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From Lucan\Jock Review March 2025\"/>
    </mc:Choice>
  </mc:AlternateContent>
  <xr:revisionPtr revIDLastSave="0" documentId="13_ncr:1_{B2D1F5D9-07FC-41D0-BADC-38A49B8DE9F3}" xr6:coauthVersionLast="47" xr6:coauthVersionMax="47" xr10:uidLastSave="{00000000-0000-0000-0000-000000000000}"/>
  <bookViews>
    <workbookView xWindow="-110" yWindow="-110" windowWidth="19420" windowHeight="11500" firstSheet="3" activeTab="4" xr2:uid="{014DED80-316E-4C9E-81C9-9004722A6A56}"/>
  </bookViews>
  <sheets>
    <sheet name="DATA_Johnstone_2023_ALL" sheetId="1" r:id="rId1"/>
    <sheet name="DATA_Johnstone_2024_ALL" sheetId="5" r:id="rId2"/>
    <sheet name="DATA_Johnstone_2023_50" sheetId="4" r:id="rId3"/>
    <sheet name="DATA_Johnstone_2024_50" sheetId="6" r:id="rId4"/>
    <sheet name="Stats" sheetId="7" r:id="rId5"/>
  </sheets>
  <definedNames>
    <definedName name="_xlnm._FilterDatabase" localSheetId="3" hidden="1">DATA_Johnstone_2024_50!$A$4:$Q$990</definedName>
    <definedName name="_xlnm._FilterDatabase" localSheetId="1" hidden="1">DATA_Johnstone_2024_ALL!$G$3:$W$4939</definedName>
  </definedNames>
  <calcPr calcId="191028"/>
  <pivotCaches>
    <pivotCache cacheId="42" r:id="rId6"/>
    <pivotCache cacheId="48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24" i="6" l="1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580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" i="6"/>
  <c r="D48" i="7"/>
  <c r="D47" i="7"/>
  <c r="C48" i="7"/>
  <c r="C47" i="7"/>
  <c r="D37" i="7"/>
  <c r="D38" i="7"/>
  <c r="D36" i="7"/>
  <c r="C38" i="7"/>
  <c r="C37" i="7"/>
  <c r="C39" i="7" s="1"/>
  <c r="C36" i="7"/>
  <c r="G27" i="7"/>
  <c r="G20" i="7" l="1"/>
  <c r="F4749" i="5"/>
  <c r="F4748" i="5"/>
  <c r="F4747" i="5"/>
  <c r="F4746" i="5"/>
  <c r="F4745" i="5"/>
  <c r="F4744" i="5"/>
  <c r="F4743" i="5"/>
  <c r="F4742" i="5"/>
  <c r="F4741" i="5"/>
  <c r="F4740" i="5"/>
  <c r="F4739" i="5"/>
  <c r="F4738" i="5"/>
  <c r="F4737" i="5"/>
  <c r="F4736" i="5"/>
  <c r="F4735" i="5"/>
  <c r="F4734" i="5"/>
  <c r="F4733" i="5"/>
  <c r="F4732" i="5"/>
  <c r="F4731" i="5"/>
  <c r="F4730" i="5"/>
  <c r="F4729" i="5"/>
  <c r="F4728" i="5"/>
  <c r="F4727" i="5"/>
  <c r="F4726" i="5"/>
  <c r="F4725" i="5"/>
  <c r="F4724" i="5"/>
  <c r="F4723" i="5"/>
  <c r="F4722" i="5"/>
  <c r="F4721" i="5"/>
  <c r="F4720" i="5"/>
  <c r="F4719" i="5"/>
  <c r="F4718" i="5"/>
  <c r="F4716" i="5"/>
  <c r="F4715" i="5"/>
  <c r="F4714" i="5"/>
  <c r="F4713" i="5"/>
  <c r="F4712" i="5"/>
  <c r="F4709" i="5"/>
  <c r="F4708" i="5"/>
  <c r="F4707" i="5"/>
  <c r="F4706" i="5"/>
  <c r="F4705" i="5"/>
  <c r="F4704" i="5"/>
  <c r="F4703" i="5"/>
  <c r="F4702" i="5"/>
  <c r="F4701" i="5"/>
  <c r="F4700" i="5"/>
  <c r="F4699" i="5"/>
  <c r="F4698" i="5"/>
  <c r="F4697" i="5"/>
  <c r="F4696" i="5"/>
  <c r="F4695" i="5"/>
  <c r="F4694" i="5"/>
  <c r="F4693" i="5"/>
  <c r="F4692" i="5"/>
  <c r="F4691" i="5"/>
  <c r="F4690" i="5"/>
  <c r="F4689" i="5"/>
  <c r="F4688" i="5"/>
  <c r="F4687" i="5"/>
  <c r="F4686" i="5"/>
  <c r="F4685" i="5"/>
  <c r="F4684" i="5"/>
  <c r="F4683" i="5"/>
  <c r="F4680" i="5"/>
  <c r="F4679" i="5"/>
  <c r="F4678" i="5"/>
  <c r="F4676" i="5"/>
  <c r="F4575" i="5"/>
  <c r="F4574" i="5"/>
  <c r="F4573" i="5"/>
  <c r="F4572" i="5"/>
  <c r="F4571" i="5"/>
  <c r="F4570" i="5"/>
  <c r="F4569" i="5"/>
  <c r="F4568" i="5"/>
  <c r="F4567" i="5"/>
  <c r="F4566" i="5"/>
  <c r="F4565" i="5"/>
  <c r="F4564" i="5"/>
  <c r="F4563" i="5"/>
  <c r="F4562" i="5"/>
  <c r="F4561" i="5"/>
  <c r="F4560" i="5"/>
  <c r="F4559" i="5"/>
  <c r="F4558" i="5"/>
  <c r="F4557" i="5"/>
  <c r="F4556" i="5"/>
  <c r="F4555" i="5"/>
  <c r="F4554" i="5"/>
  <c r="F4553" i="5"/>
  <c r="F4552" i="5"/>
  <c r="F4551" i="5"/>
  <c r="F4550" i="5"/>
  <c r="F4549" i="5"/>
  <c r="F4548" i="5"/>
  <c r="F4547" i="5"/>
  <c r="F4546" i="5"/>
  <c r="F4545" i="5"/>
  <c r="F4544" i="5"/>
  <c r="F4543" i="5"/>
  <c r="F4542" i="5"/>
  <c r="F4541" i="5"/>
  <c r="F4540" i="5"/>
  <c r="F4539" i="5"/>
  <c r="F4538" i="5"/>
  <c r="F4537" i="5"/>
  <c r="F4536" i="5"/>
  <c r="F4535" i="5"/>
  <c r="F4534" i="5"/>
  <c r="F4533" i="5"/>
  <c r="F4532" i="5"/>
  <c r="F4531" i="5"/>
  <c r="F4530" i="5"/>
  <c r="F4529" i="5"/>
  <c r="F4528" i="5"/>
  <c r="F4527" i="5"/>
  <c r="F4526" i="5"/>
  <c r="F4525" i="5"/>
  <c r="F4524" i="5"/>
  <c r="F4523" i="5"/>
  <c r="F4522" i="5"/>
  <c r="F4521" i="5"/>
  <c r="F4520" i="5"/>
  <c r="F4519" i="5"/>
  <c r="F4518" i="5"/>
  <c r="F4517" i="5"/>
  <c r="F4516" i="5"/>
  <c r="F4515" i="5"/>
  <c r="F4514" i="5"/>
  <c r="F4513" i="5"/>
  <c r="F4512" i="5"/>
  <c r="F4511" i="5"/>
  <c r="F4510" i="5"/>
  <c r="F4509" i="5"/>
  <c r="F4508" i="5"/>
  <c r="F4507" i="5"/>
  <c r="F4506" i="5"/>
  <c r="F4505" i="5"/>
  <c r="F4504" i="5"/>
  <c r="F4503" i="5"/>
  <c r="F4502" i="5"/>
  <c r="F4501" i="5"/>
  <c r="F4500" i="5"/>
  <c r="F4499" i="5"/>
  <c r="F4496" i="5"/>
  <c r="F4495" i="5"/>
  <c r="F4494" i="5"/>
  <c r="F4493" i="5"/>
  <c r="F4492" i="5"/>
  <c r="F4491" i="5"/>
  <c r="F4490" i="5"/>
  <c r="F4489" i="5"/>
  <c r="F4488" i="5"/>
  <c r="F4487" i="5"/>
  <c r="F4486" i="5"/>
  <c r="F4485" i="5"/>
  <c r="F4484" i="5"/>
  <c r="F4483" i="5"/>
  <c r="F4482" i="5"/>
  <c r="F4481" i="5"/>
  <c r="F4480" i="5"/>
  <c r="F4479" i="5"/>
  <c r="F4478" i="5"/>
  <c r="F4477" i="5"/>
  <c r="F4476" i="5"/>
  <c r="F4475" i="5"/>
  <c r="F4474" i="5"/>
  <c r="F4473" i="5"/>
  <c r="F4472" i="5"/>
  <c r="F4471" i="5"/>
  <c r="F4470" i="5"/>
  <c r="F4469" i="5"/>
  <c r="F4468" i="5"/>
  <c r="F4467" i="5"/>
  <c r="F4466" i="5"/>
  <c r="F4465" i="5"/>
  <c r="F4464" i="5"/>
  <c r="F4463" i="5"/>
  <c r="F4462" i="5"/>
  <c r="F4461" i="5"/>
  <c r="F4460" i="5"/>
  <c r="F4459" i="5"/>
  <c r="F4458" i="5"/>
  <c r="F4457" i="5"/>
  <c r="F4456" i="5"/>
  <c r="F4455" i="5"/>
  <c r="F4454" i="5"/>
  <c r="F4453" i="5"/>
  <c r="F4452" i="5"/>
  <c r="F4451" i="5"/>
  <c r="F4450" i="5"/>
  <c r="F4449" i="5"/>
  <c r="F4448" i="5"/>
  <c r="F4447" i="5"/>
  <c r="F4446" i="5"/>
  <c r="F4445" i="5"/>
  <c r="F4444" i="5"/>
  <c r="F4443" i="5"/>
  <c r="F4442" i="5"/>
  <c r="F4441" i="5"/>
  <c r="F4440" i="5"/>
  <c r="F4439" i="5"/>
  <c r="F4438" i="5"/>
  <c r="F4437" i="5"/>
  <c r="F4436" i="5"/>
  <c r="F4435" i="5"/>
  <c r="F4434" i="5"/>
  <c r="F4433" i="5"/>
  <c r="F4432" i="5"/>
  <c r="F4431" i="5"/>
  <c r="F4430" i="5"/>
  <c r="F4429" i="5"/>
  <c r="F4428" i="5"/>
  <c r="F4427" i="5"/>
  <c r="F4426" i="5"/>
  <c r="F4425" i="5"/>
  <c r="F4424" i="5"/>
  <c r="F4423" i="5"/>
  <c r="F4422" i="5"/>
  <c r="F4421" i="5"/>
  <c r="F4420" i="5"/>
  <c r="F4419" i="5"/>
  <c r="F4418" i="5"/>
  <c r="F4417" i="5"/>
  <c r="F4416" i="5"/>
  <c r="F4415" i="5"/>
  <c r="F4414" i="5"/>
  <c r="F4413" i="5"/>
  <c r="F4412" i="5"/>
  <c r="F4411" i="5"/>
  <c r="F4259" i="5"/>
  <c r="F4258" i="5"/>
  <c r="F4257" i="5"/>
  <c r="F4256" i="5"/>
  <c r="F4255" i="5"/>
  <c r="F4254" i="5"/>
  <c r="F4253" i="5"/>
  <c r="F4252" i="5"/>
  <c r="F4251" i="5"/>
  <c r="F4250" i="5"/>
  <c r="F4249" i="5"/>
  <c r="F4248" i="5"/>
  <c r="F4247" i="5"/>
  <c r="F4246" i="5"/>
  <c r="F4245" i="5"/>
  <c r="F4244" i="5"/>
  <c r="F4243" i="5"/>
  <c r="F4242" i="5"/>
  <c r="F4241" i="5"/>
  <c r="F4240" i="5"/>
  <c r="F4239" i="5"/>
  <c r="F4238" i="5"/>
  <c r="F4237" i="5"/>
  <c r="F4236" i="5"/>
  <c r="F4235" i="5"/>
  <c r="F4234" i="5"/>
  <c r="F4233" i="5"/>
  <c r="F4232" i="5"/>
  <c r="F4231" i="5"/>
  <c r="F4230" i="5"/>
  <c r="F4229" i="5"/>
  <c r="F4228" i="5"/>
  <c r="F4227" i="5"/>
  <c r="F4226" i="5"/>
  <c r="F4225" i="5"/>
  <c r="F4224" i="5"/>
  <c r="F4223" i="5"/>
  <c r="F4222" i="5"/>
  <c r="F4221" i="5"/>
  <c r="F4220" i="5"/>
  <c r="F4219" i="5"/>
  <c r="F4218" i="5"/>
  <c r="F4217" i="5"/>
  <c r="F4216" i="5"/>
  <c r="F4215" i="5"/>
  <c r="F4214" i="5"/>
  <c r="F4213" i="5"/>
  <c r="F4212" i="5"/>
  <c r="F4211" i="5"/>
  <c r="F4210" i="5"/>
  <c r="F4209" i="5"/>
  <c r="F4208" i="5"/>
  <c r="F4207" i="5"/>
  <c r="F4206" i="5"/>
  <c r="F4205" i="5"/>
  <c r="F4204" i="5"/>
  <c r="F4203" i="5"/>
  <c r="F4202" i="5"/>
  <c r="F4201" i="5"/>
  <c r="F4200" i="5"/>
  <c r="F4199" i="5"/>
  <c r="F4198" i="5"/>
  <c r="F4197" i="5"/>
  <c r="F4196" i="5"/>
  <c r="F4195" i="5"/>
  <c r="F4194" i="5"/>
  <c r="F4193" i="5"/>
  <c r="F4192" i="5"/>
  <c r="F4191" i="5"/>
  <c r="F4190" i="5"/>
  <c r="F4189" i="5"/>
  <c r="F4188" i="5"/>
  <c r="F4187" i="5"/>
  <c r="F4186" i="5"/>
  <c r="F4185" i="5"/>
  <c r="F4177" i="5"/>
  <c r="F4176" i="5"/>
  <c r="F4175" i="5"/>
  <c r="F4174" i="5"/>
  <c r="F4173" i="5"/>
  <c r="F4172" i="5"/>
  <c r="F4171" i="5"/>
  <c r="F4170" i="5"/>
  <c r="F4169" i="5"/>
  <c r="F4168" i="5"/>
  <c r="F4167" i="5"/>
  <c r="F4166" i="5"/>
  <c r="F4165" i="5"/>
  <c r="F4164" i="5"/>
  <c r="F4163" i="5"/>
  <c r="F4162" i="5"/>
  <c r="F4161" i="5"/>
  <c r="F4160" i="5"/>
  <c r="F4159" i="5"/>
  <c r="F4158" i="5"/>
  <c r="F4157" i="5"/>
  <c r="F4156" i="5"/>
  <c r="F4155" i="5"/>
  <c r="F4154" i="5"/>
  <c r="F4153" i="5"/>
  <c r="F4152" i="5"/>
  <c r="F4151" i="5"/>
  <c r="F4150" i="5"/>
  <c r="F4149" i="5"/>
  <c r="F4148" i="5"/>
  <c r="F4147" i="5"/>
  <c r="F4146" i="5"/>
  <c r="F4145" i="5"/>
  <c r="F4144" i="5"/>
  <c r="F4143" i="5"/>
  <c r="F4142" i="5"/>
  <c r="F4141" i="5"/>
  <c r="F4140" i="5"/>
  <c r="F4139" i="5"/>
  <c r="F4138" i="5"/>
  <c r="F4137" i="5"/>
  <c r="F4136" i="5"/>
  <c r="F4135" i="5"/>
  <c r="F4134" i="5"/>
  <c r="F4133" i="5"/>
  <c r="F4132" i="5"/>
  <c r="F4131" i="5"/>
  <c r="F4130" i="5"/>
  <c r="F4129" i="5"/>
  <c r="F4128" i="5"/>
  <c r="F4127" i="5"/>
  <c r="F4126" i="5"/>
  <c r="F4125" i="5"/>
  <c r="F4124" i="5"/>
  <c r="F4123" i="5"/>
  <c r="F4122" i="5"/>
  <c r="F4121" i="5"/>
  <c r="F4120" i="5"/>
  <c r="F4119" i="5"/>
  <c r="F4118" i="5"/>
  <c r="F4117" i="5"/>
  <c r="F4116" i="5"/>
  <c r="F4115" i="5"/>
  <c r="F4114" i="5"/>
  <c r="F4113" i="5"/>
  <c r="F4112" i="5"/>
  <c r="F4111" i="5"/>
  <c r="F4110" i="5"/>
  <c r="F4109" i="5"/>
  <c r="F4108" i="5"/>
  <c r="F4107" i="5"/>
  <c r="F4106" i="5"/>
  <c r="F4105" i="5"/>
  <c r="F4104" i="5"/>
  <c r="F4103" i="5"/>
  <c r="F4102" i="5"/>
  <c r="F4101" i="5"/>
  <c r="F4100" i="5"/>
  <c r="F4099" i="5"/>
  <c r="F4098" i="5"/>
  <c r="F4097" i="5"/>
  <c r="F4096" i="5"/>
  <c r="F4095" i="5"/>
  <c r="F4094" i="5"/>
  <c r="F4093" i="5"/>
  <c r="F4092" i="5"/>
  <c r="F4091" i="5"/>
  <c r="F4090" i="5"/>
  <c r="F4089" i="5"/>
  <c r="F4088" i="5"/>
  <c r="F4087" i="5"/>
  <c r="F4086" i="5"/>
  <c r="F4085" i="5"/>
  <c r="F4084" i="5"/>
  <c r="F4083" i="5"/>
  <c r="F4082" i="5"/>
  <c r="F4081" i="5"/>
  <c r="F4080" i="5"/>
  <c r="F4079" i="5"/>
  <c r="F4078" i="5"/>
  <c r="F4077" i="5"/>
  <c r="F4076" i="5"/>
  <c r="F4075" i="5"/>
  <c r="F4074" i="5"/>
  <c r="F4073" i="5"/>
  <c r="F4072" i="5"/>
  <c r="F4071" i="5"/>
  <c r="F4070" i="5"/>
  <c r="F4069" i="5"/>
  <c r="F4068" i="5"/>
  <c r="F4067" i="5"/>
  <c r="F4066" i="5"/>
  <c r="F4065" i="5"/>
  <c r="F4064" i="5"/>
  <c r="F4063" i="5"/>
  <c r="F4062" i="5"/>
  <c r="F4061" i="5"/>
  <c r="F4060" i="5"/>
  <c r="F4059" i="5"/>
  <c r="F4058" i="5"/>
  <c r="F4057" i="5"/>
  <c r="F4056" i="5"/>
  <c r="F4055" i="5"/>
  <c r="F4054" i="5"/>
  <c r="F4053" i="5"/>
  <c r="F4052" i="5"/>
  <c r="F4051" i="5"/>
  <c r="F4050" i="5"/>
  <c r="F4049" i="5"/>
  <c r="F4048" i="5"/>
  <c r="F4047" i="5"/>
  <c r="F4046" i="5"/>
  <c r="F4045" i="5"/>
  <c r="F4044" i="5"/>
  <c r="F4043" i="5"/>
  <c r="F4042" i="5"/>
  <c r="F4041" i="5"/>
  <c r="F4040" i="5"/>
  <c r="F4039" i="5"/>
  <c r="F4038" i="5"/>
  <c r="F4037" i="5"/>
  <c r="F4036" i="5"/>
  <c r="F4035" i="5"/>
  <c r="F4034" i="5"/>
  <c r="F4033" i="5"/>
  <c r="F4032" i="5"/>
  <c r="F4031" i="5"/>
  <c r="F4030" i="5"/>
  <c r="F4029" i="5"/>
  <c r="F4028" i="5"/>
  <c r="F4027" i="5"/>
  <c r="F4026" i="5"/>
  <c r="F4025" i="5"/>
  <c r="F4024" i="5"/>
  <c r="F4023" i="5"/>
  <c r="F4022" i="5"/>
  <c r="F4021" i="5"/>
  <c r="F4020" i="5"/>
  <c r="F4019" i="5"/>
  <c r="F4018" i="5"/>
  <c r="F4017" i="5"/>
  <c r="F4016" i="5"/>
  <c r="F4015" i="5"/>
  <c r="F4014" i="5"/>
  <c r="F4013" i="5"/>
  <c r="F4012" i="5"/>
  <c r="F4011" i="5"/>
  <c r="F4010" i="5"/>
  <c r="F4009" i="5"/>
  <c r="F4008" i="5"/>
  <c r="F4007" i="5"/>
  <c r="F4006" i="5"/>
  <c r="F4005" i="5"/>
  <c r="F4004" i="5"/>
  <c r="F4003" i="5"/>
  <c r="F4002" i="5"/>
  <c r="F4001" i="5"/>
  <c r="F4000" i="5"/>
  <c r="F3999" i="5"/>
  <c r="F3998" i="5"/>
  <c r="F3997" i="5"/>
  <c r="F3996" i="5"/>
  <c r="F3995" i="5"/>
  <c r="F3994" i="5"/>
  <c r="F3993" i="5"/>
  <c r="F3992" i="5"/>
  <c r="F3991" i="5"/>
  <c r="F3990" i="5"/>
  <c r="F3989" i="5"/>
  <c r="F3988" i="5"/>
  <c r="F3987" i="5"/>
  <c r="F3986" i="5"/>
  <c r="F3985" i="5"/>
  <c r="F3984" i="5"/>
  <c r="F3983" i="5"/>
  <c r="F3982" i="5"/>
  <c r="F3981" i="5"/>
  <c r="F3980" i="5"/>
  <c r="F3979" i="5"/>
  <c r="F3978" i="5"/>
  <c r="F3977" i="5"/>
  <c r="F3976" i="5"/>
  <c r="F3975" i="5"/>
  <c r="F3974" i="5"/>
  <c r="F3973" i="5"/>
  <c r="F3972" i="5"/>
  <c r="F3971" i="5"/>
  <c r="F3970" i="5"/>
  <c r="F3969" i="5"/>
  <c r="F3968" i="5"/>
  <c r="F3967" i="5"/>
  <c r="F3966" i="5"/>
  <c r="F3965" i="5"/>
  <c r="F3964" i="5"/>
  <c r="F3963" i="5"/>
  <c r="F3962" i="5"/>
  <c r="F3961" i="5"/>
  <c r="F1909" i="5"/>
  <c r="F1908" i="5"/>
  <c r="F1907" i="5"/>
  <c r="F1906" i="5"/>
  <c r="F1905" i="5"/>
  <c r="F1904" i="5"/>
  <c r="F1903" i="5"/>
  <c r="F1902" i="5"/>
  <c r="F1901" i="5"/>
  <c r="F1900" i="5"/>
  <c r="F1899" i="5"/>
  <c r="F1898" i="5"/>
  <c r="F1897" i="5"/>
  <c r="F1896" i="5"/>
  <c r="F1895" i="5"/>
  <c r="F1894" i="5"/>
  <c r="F1893" i="5"/>
  <c r="F1892" i="5"/>
  <c r="F1891" i="5"/>
  <c r="F1890" i="5"/>
  <c r="F1889" i="5"/>
  <c r="F1888" i="5"/>
  <c r="F1887" i="5"/>
  <c r="F1886" i="5"/>
  <c r="F1885" i="5"/>
  <c r="F1884" i="5"/>
  <c r="F1883" i="5"/>
  <c r="F1882" i="5"/>
  <c r="F1881" i="5"/>
  <c r="F1880" i="5"/>
  <c r="F1879" i="5"/>
  <c r="F1878" i="5"/>
  <c r="F1877" i="5"/>
  <c r="F1876" i="5"/>
  <c r="F1875" i="5"/>
  <c r="F1874" i="5"/>
  <c r="F1873" i="5"/>
  <c r="F1872" i="5"/>
  <c r="F1871" i="5"/>
  <c r="F1870" i="5"/>
  <c r="F1869" i="5"/>
  <c r="F1868" i="5"/>
  <c r="F1867" i="5"/>
  <c r="F1866" i="5"/>
  <c r="F1865" i="5"/>
  <c r="F1864" i="5"/>
  <c r="F1863" i="5"/>
  <c r="F1862" i="5"/>
  <c r="F1861" i="5"/>
  <c r="F1860" i="5"/>
  <c r="F1859" i="5"/>
  <c r="F1858" i="5"/>
  <c r="F1857" i="5"/>
  <c r="F1856" i="5"/>
  <c r="F1855" i="5"/>
  <c r="F1854" i="5"/>
  <c r="F1853" i="5"/>
  <c r="F1852" i="5"/>
  <c r="F1851" i="5"/>
  <c r="F1850" i="5"/>
  <c r="F1849" i="5"/>
  <c r="F1848" i="5"/>
  <c r="F1847" i="5"/>
  <c r="F1846" i="5"/>
  <c r="F1845" i="5"/>
  <c r="F1844" i="5"/>
  <c r="F1843" i="5"/>
  <c r="F1842" i="5"/>
  <c r="F1841" i="5"/>
  <c r="F1840" i="5"/>
  <c r="F1839" i="5"/>
  <c r="F1838" i="5"/>
  <c r="F1837" i="5"/>
  <c r="F1836" i="5"/>
  <c r="F1835" i="5"/>
  <c r="F1834" i="5"/>
  <c r="F1833" i="5"/>
  <c r="F1832" i="5"/>
  <c r="F1831" i="5"/>
  <c r="F1830" i="5"/>
  <c r="F1829" i="5"/>
  <c r="F1828" i="5"/>
  <c r="F1827" i="5"/>
  <c r="F1826" i="5"/>
  <c r="F1825" i="5"/>
  <c r="F1824" i="5"/>
  <c r="F1823" i="5"/>
  <c r="F1822" i="5"/>
  <c r="F1821" i="5"/>
  <c r="F1820" i="5"/>
  <c r="F1819" i="5"/>
  <c r="F1818" i="5"/>
  <c r="F1817" i="5"/>
  <c r="F1816" i="5"/>
  <c r="F1815" i="5"/>
  <c r="F1814" i="5"/>
  <c r="F1813" i="5"/>
  <c r="F1812" i="5"/>
  <c r="F1811" i="5"/>
  <c r="F1810" i="5"/>
  <c r="F1809" i="5"/>
  <c r="F1808" i="5"/>
  <c r="F1807" i="5"/>
  <c r="F1806" i="5"/>
  <c r="F1805" i="5"/>
  <c r="F1804" i="5"/>
  <c r="F1803" i="5"/>
  <c r="F1802" i="5"/>
  <c r="F1801" i="5"/>
  <c r="F1800" i="5"/>
  <c r="F1799" i="5"/>
  <c r="F1798" i="5"/>
  <c r="F1797" i="5"/>
  <c r="F1796" i="5"/>
  <c r="F1795" i="5"/>
  <c r="F1794" i="5"/>
  <c r="F1793" i="5"/>
  <c r="F1792" i="5"/>
  <c r="F1791" i="5"/>
  <c r="F1790" i="5"/>
  <c r="F1789" i="5"/>
  <c r="F1788" i="5"/>
  <c r="F1787" i="5"/>
  <c r="F1786" i="5"/>
  <c r="F1785" i="5"/>
  <c r="F1784" i="5"/>
  <c r="F1783" i="5"/>
  <c r="F1782" i="5"/>
  <c r="F1781" i="5"/>
  <c r="F1780" i="5"/>
  <c r="F1779" i="5"/>
  <c r="F1778" i="5"/>
  <c r="F1777" i="5"/>
  <c r="F1776" i="5"/>
  <c r="F1775" i="5"/>
  <c r="F1774" i="5"/>
  <c r="F1773" i="5"/>
  <c r="F1772" i="5"/>
  <c r="F1771" i="5"/>
  <c r="F1770" i="5"/>
  <c r="F1769" i="5"/>
  <c r="F1768" i="5"/>
  <c r="F1767" i="5"/>
  <c r="F1766" i="5"/>
  <c r="F1765" i="5"/>
  <c r="F1764" i="5"/>
  <c r="F1763" i="5"/>
  <c r="F1762" i="5"/>
  <c r="F1761" i="5"/>
  <c r="F1760" i="5"/>
  <c r="F1759" i="5"/>
  <c r="F1758" i="5"/>
  <c r="F1757" i="5"/>
  <c r="F1756" i="5"/>
  <c r="F1755" i="5"/>
  <c r="F1754" i="5"/>
  <c r="F1753" i="5"/>
  <c r="F1752" i="5"/>
  <c r="F1751" i="5"/>
  <c r="F1750" i="5"/>
  <c r="F1749" i="5"/>
  <c r="F1748" i="5"/>
  <c r="F1747" i="5"/>
  <c r="F1746" i="5"/>
  <c r="F1745" i="5"/>
  <c r="F1744" i="5"/>
  <c r="F1743" i="5"/>
  <c r="F1742" i="5"/>
  <c r="F1741" i="5"/>
  <c r="F174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7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6" i="5"/>
  <c r="I167" i="5"/>
  <c r="I168" i="5"/>
  <c r="I169" i="5"/>
  <c r="I173" i="5"/>
  <c r="I174" i="5"/>
  <c r="I176" i="5"/>
  <c r="I179" i="5"/>
  <c r="I180" i="5"/>
  <c r="I181" i="5"/>
  <c r="I182" i="5"/>
  <c r="I183" i="5"/>
  <c r="I184" i="5"/>
  <c r="I186" i="5"/>
  <c r="I187" i="5"/>
  <c r="I188" i="5"/>
  <c r="I192" i="5"/>
  <c r="I193" i="5"/>
  <c r="I194" i="5"/>
  <c r="I195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3" i="5"/>
  <c r="I214" i="5"/>
  <c r="I216" i="5"/>
  <c r="I217" i="5"/>
  <c r="I219" i="5"/>
  <c r="I220" i="5"/>
  <c r="I221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9" i="5"/>
  <c r="I1210" i="5"/>
  <c r="I1211" i="5"/>
  <c r="I1212" i="5"/>
  <c r="I1213" i="5"/>
  <c r="I1214" i="5"/>
  <c r="I1215" i="5"/>
  <c r="I1217" i="5"/>
  <c r="I1219" i="5"/>
  <c r="I1220" i="5"/>
  <c r="I1221" i="5"/>
  <c r="I1222" i="5"/>
  <c r="I1223" i="5"/>
  <c r="I1224" i="5"/>
  <c r="I1225" i="5"/>
  <c r="I1228" i="5"/>
  <c r="I1233" i="5"/>
  <c r="I1237" i="5"/>
  <c r="I1240" i="5"/>
  <c r="I1249" i="5"/>
  <c r="I1250" i="5"/>
  <c r="I1251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1300" i="5"/>
  <c r="I1301" i="5"/>
  <c r="I1302" i="5"/>
  <c r="I1303" i="5"/>
  <c r="I1304" i="5"/>
  <c r="I1305" i="5"/>
  <c r="I1306" i="5"/>
  <c r="I1307" i="5"/>
  <c r="I1308" i="5"/>
  <c r="I1309" i="5"/>
  <c r="I1310" i="5"/>
  <c r="I1311" i="5"/>
  <c r="I1312" i="5"/>
  <c r="I1313" i="5"/>
  <c r="I1314" i="5"/>
  <c r="I1315" i="5"/>
  <c r="I1316" i="5"/>
  <c r="I1317" i="5"/>
  <c r="I1318" i="5"/>
  <c r="I1319" i="5"/>
  <c r="I1320" i="5"/>
  <c r="I1321" i="5"/>
  <c r="I1322" i="5"/>
  <c r="I1323" i="5"/>
  <c r="I1324" i="5"/>
  <c r="I1325" i="5"/>
  <c r="I1326" i="5"/>
  <c r="I1327" i="5"/>
  <c r="I1328" i="5"/>
  <c r="I1329" i="5"/>
  <c r="I1330" i="5"/>
  <c r="I1331" i="5"/>
  <c r="I1332" i="5"/>
  <c r="I1333" i="5"/>
  <c r="I1334" i="5"/>
  <c r="I1335" i="5"/>
  <c r="I1336" i="5"/>
  <c r="I1337" i="5"/>
  <c r="I1338" i="5"/>
  <c r="I1339" i="5"/>
  <c r="I1340" i="5"/>
  <c r="I1341" i="5"/>
  <c r="I1342" i="5"/>
  <c r="I1343" i="5"/>
  <c r="I1344" i="5"/>
  <c r="I1345" i="5"/>
  <c r="I1346" i="5"/>
  <c r="I1347" i="5"/>
  <c r="I1348" i="5"/>
  <c r="I1349" i="5"/>
  <c r="I1350" i="5"/>
  <c r="I1351" i="5"/>
  <c r="I1352" i="5"/>
  <c r="I1353" i="5"/>
  <c r="I1354" i="5"/>
  <c r="I1355" i="5"/>
  <c r="I1356" i="5"/>
  <c r="I1357" i="5"/>
  <c r="I1358" i="5"/>
  <c r="I1359" i="5"/>
  <c r="I1360" i="5"/>
  <c r="I1361" i="5"/>
  <c r="I1362" i="5"/>
  <c r="I1363" i="5"/>
  <c r="I1364" i="5"/>
  <c r="I1365" i="5"/>
  <c r="I1366" i="5"/>
  <c r="I1367" i="5"/>
  <c r="I1368" i="5"/>
  <c r="I1369" i="5"/>
  <c r="I1370" i="5"/>
  <c r="I1371" i="5"/>
  <c r="I1372" i="5"/>
  <c r="I1373" i="5"/>
  <c r="I1374" i="5"/>
  <c r="I1375" i="5"/>
  <c r="I1376" i="5"/>
  <c r="I1377" i="5"/>
  <c r="I1378" i="5"/>
  <c r="I1379" i="5"/>
  <c r="I1380" i="5"/>
  <c r="I1381" i="5"/>
  <c r="I1382" i="5"/>
  <c r="I1383" i="5"/>
  <c r="I1384" i="5"/>
  <c r="I1385" i="5"/>
  <c r="I1386" i="5"/>
  <c r="I1387" i="5"/>
  <c r="I1388" i="5"/>
  <c r="I1389" i="5"/>
  <c r="I1390" i="5"/>
  <c r="I1391" i="5"/>
  <c r="I1392" i="5"/>
  <c r="I1393" i="5"/>
  <c r="I1394" i="5"/>
  <c r="I1395" i="5"/>
  <c r="I1396" i="5"/>
  <c r="I1397" i="5"/>
  <c r="I1398" i="5"/>
  <c r="I1400" i="5"/>
  <c r="I1401" i="5"/>
  <c r="I1402" i="5"/>
  <c r="I1403" i="5"/>
  <c r="I1404" i="5"/>
  <c r="I1405" i="5"/>
  <c r="I1406" i="5"/>
  <c r="I1407" i="5"/>
  <c r="I1408" i="5"/>
  <c r="I1409" i="5"/>
  <c r="I1410" i="5"/>
  <c r="I1413" i="5"/>
  <c r="I1414" i="5"/>
  <c r="I1415" i="5"/>
  <c r="I1416" i="5"/>
  <c r="I1417" i="5"/>
  <c r="I1418" i="5"/>
  <c r="I1419" i="5"/>
  <c r="I1420" i="5"/>
  <c r="I1421" i="5"/>
  <c r="I1422" i="5"/>
  <c r="I1423" i="5"/>
  <c r="I1424" i="5"/>
  <c r="I1425" i="5"/>
  <c r="I1426" i="5"/>
  <c r="I1427" i="5"/>
  <c r="I1428" i="5"/>
  <c r="I1429" i="5"/>
  <c r="I1430" i="5"/>
  <c r="I1432" i="5"/>
  <c r="I1433" i="5"/>
  <c r="I1434" i="5"/>
  <c r="I1435" i="5"/>
  <c r="I1436" i="5"/>
  <c r="I1437" i="5"/>
  <c r="I1438" i="5"/>
  <c r="I1439" i="5"/>
  <c r="I1440" i="5"/>
  <c r="I1441" i="5"/>
  <c r="I1442" i="5"/>
  <c r="I1443" i="5"/>
  <c r="I1444" i="5"/>
  <c r="I1445" i="5"/>
  <c r="I1446" i="5"/>
  <c r="I1447" i="5"/>
  <c r="I1448" i="5"/>
  <c r="I1449" i="5"/>
  <c r="I1450" i="5"/>
  <c r="I1451" i="5"/>
  <c r="I1452" i="5"/>
  <c r="I1453" i="5"/>
  <c r="I1454" i="5"/>
  <c r="I1455" i="5"/>
  <c r="I1456" i="5"/>
  <c r="I1457" i="5"/>
  <c r="I1458" i="5"/>
  <c r="I1459" i="5"/>
  <c r="I1460" i="5"/>
  <c r="I1461" i="5"/>
  <c r="I1462" i="5"/>
  <c r="I1463" i="5"/>
  <c r="I1464" i="5"/>
  <c r="I1465" i="5"/>
  <c r="I1466" i="5"/>
  <c r="I1467" i="5"/>
  <c r="I1468" i="5"/>
  <c r="I1469" i="5"/>
  <c r="I1470" i="5"/>
  <c r="I1471" i="5"/>
  <c r="I1472" i="5"/>
  <c r="I1473" i="5"/>
  <c r="I1474" i="5"/>
  <c r="I1475" i="5"/>
  <c r="I1476" i="5"/>
  <c r="I1477" i="5"/>
  <c r="I1478" i="5"/>
  <c r="I1479" i="5"/>
  <c r="I1480" i="5"/>
  <c r="I1481" i="5"/>
  <c r="I1482" i="5"/>
  <c r="I1483" i="5"/>
  <c r="I1484" i="5"/>
  <c r="I1485" i="5"/>
  <c r="I1486" i="5"/>
  <c r="I1487" i="5"/>
  <c r="I1488" i="5"/>
  <c r="I1489" i="5"/>
  <c r="I1490" i="5"/>
  <c r="I1491" i="5"/>
  <c r="I1492" i="5"/>
  <c r="I1493" i="5"/>
  <c r="I1494" i="5"/>
  <c r="I1495" i="5"/>
  <c r="I1496" i="5"/>
  <c r="I1497" i="5"/>
  <c r="I1498" i="5"/>
  <c r="I1499" i="5"/>
  <c r="I1500" i="5"/>
  <c r="I1501" i="5"/>
  <c r="I1502" i="5"/>
  <c r="I1503" i="5"/>
  <c r="I1504" i="5"/>
  <c r="I1505" i="5"/>
  <c r="I1506" i="5"/>
  <c r="I1507" i="5"/>
  <c r="I1508" i="5"/>
  <c r="I1509" i="5"/>
  <c r="I1510" i="5"/>
  <c r="I1511" i="5"/>
  <c r="I1512" i="5"/>
  <c r="I1513" i="5"/>
  <c r="I1514" i="5"/>
  <c r="I1515" i="5"/>
  <c r="I1516" i="5"/>
  <c r="I1517" i="5"/>
  <c r="I1518" i="5"/>
  <c r="I1519" i="5"/>
  <c r="I1520" i="5"/>
  <c r="I1521" i="5"/>
  <c r="I1522" i="5"/>
  <c r="I1523" i="5"/>
  <c r="I1524" i="5"/>
  <c r="I1525" i="5"/>
  <c r="I1526" i="5"/>
  <c r="I1527" i="5"/>
  <c r="I1528" i="5"/>
  <c r="I1529" i="5"/>
  <c r="I1530" i="5"/>
  <c r="I1531" i="5"/>
  <c r="I1532" i="5"/>
  <c r="I1533" i="5"/>
  <c r="I1534" i="5"/>
  <c r="I1535" i="5"/>
  <c r="I1536" i="5"/>
  <c r="I1537" i="5"/>
  <c r="I1538" i="5"/>
  <c r="I1539" i="5"/>
  <c r="I1540" i="5"/>
  <c r="I1541" i="5"/>
  <c r="I1542" i="5"/>
  <c r="I1543" i="5"/>
  <c r="I1548" i="5"/>
  <c r="I1549" i="5"/>
  <c r="I1550" i="5"/>
  <c r="I1551" i="5"/>
  <c r="I1552" i="5"/>
  <c r="I1553" i="5"/>
  <c r="I1554" i="5"/>
  <c r="I1555" i="5"/>
  <c r="I1556" i="5"/>
  <c r="I1557" i="5"/>
  <c r="I1558" i="5"/>
  <c r="I1559" i="5"/>
  <c r="I1560" i="5"/>
  <c r="I1561" i="5"/>
  <c r="I1562" i="5"/>
  <c r="I1563" i="5"/>
  <c r="I1564" i="5"/>
  <c r="I1565" i="5"/>
  <c r="I1566" i="5"/>
  <c r="I1567" i="5"/>
  <c r="I1568" i="5"/>
  <c r="I1569" i="5"/>
  <c r="I1570" i="5"/>
  <c r="I1571" i="5"/>
  <c r="I1572" i="5"/>
  <c r="I1573" i="5"/>
  <c r="I1574" i="5"/>
  <c r="I1575" i="5"/>
  <c r="I1576" i="5"/>
  <c r="I1577" i="5"/>
  <c r="I1578" i="5"/>
  <c r="I1579" i="5"/>
  <c r="I1580" i="5"/>
  <c r="I1581" i="5"/>
  <c r="I1582" i="5"/>
  <c r="I1583" i="5"/>
  <c r="I1584" i="5"/>
  <c r="I1585" i="5"/>
  <c r="I1586" i="5"/>
  <c r="I1587" i="5"/>
  <c r="I1588" i="5"/>
  <c r="I1589" i="5"/>
  <c r="I1590" i="5"/>
  <c r="I1591" i="5"/>
  <c r="I1592" i="5"/>
  <c r="I1593" i="5"/>
  <c r="I1594" i="5"/>
  <c r="I1595" i="5"/>
  <c r="I1596" i="5"/>
  <c r="I1597" i="5"/>
  <c r="I1598" i="5"/>
  <c r="I1599" i="5"/>
  <c r="I1600" i="5"/>
  <c r="I1601" i="5"/>
  <c r="I1602" i="5"/>
  <c r="I1603" i="5"/>
  <c r="I1604" i="5"/>
  <c r="I1605" i="5"/>
  <c r="I1606" i="5"/>
  <c r="I1607" i="5"/>
  <c r="I1608" i="5"/>
  <c r="I1609" i="5"/>
  <c r="I1610" i="5"/>
  <c r="I1611" i="5"/>
  <c r="I1612" i="5"/>
  <c r="I1613" i="5"/>
  <c r="I1614" i="5"/>
  <c r="I1615" i="5"/>
  <c r="I1616" i="5"/>
  <c r="I1617" i="5"/>
  <c r="I1618" i="5"/>
  <c r="I1619" i="5"/>
  <c r="I1620" i="5"/>
  <c r="I1621" i="5"/>
  <c r="I1622" i="5"/>
  <c r="I1623" i="5"/>
  <c r="I1624" i="5"/>
  <c r="I1625" i="5"/>
  <c r="I1626" i="5"/>
  <c r="I1627" i="5"/>
  <c r="I1628" i="5"/>
  <c r="I1629" i="5"/>
  <c r="I1630" i="5"/>
  <c r="I1631" i="5"/>
  <c r="I1632" i="5"/>
  <c r="I1633" i="5"/>
  <c r="I1634" i="5"/>
  <c r="I1635" i="5"/>
  <c r="I1636" i="5"/>
  <c r="I1637" i="5"/>
  <c r="I1638" i="5"/>
  <c r="I1639" i="5"/>
  <c r="I1640" i="5"/>
  <c r="I1641" i="5"/>
  <c r="I1642" i="5"/>
  <c r="I1643" i="5"/>
  <c r="I1644" i="5"/>
  <c r="I1645" i="5"/>
  <c r="I1646" i="5"/>
  <c r="I1647" i="5"/>
  <c r="I1648" i="5"/>
  <c r="I1649" i="5"/>
  <c r="I1650" i="5"/>
  <c r="I1651" i="5"/>
  <c r="I1652" i="5"/>
  <c r="I1653" i="5"/>
  <c r="I1654" i="5"/>
  <c r="I1655" i="5"/>
  <c r="I1656" i="5"/>
  <c r="I1657" i="5"/>
  <c r="I1658" i="5"/>
  <c r="I1659" i="5"/>
  <c r="I1660" i="5"/>
  <c r="I1661" i="5"/>
  <c r="I1662" i="5"/>
  <c r="I1663" i="5"/>
  <c r="I1664" i="5"/>
  <c r="I1665" i="5"/>
  <c r="I1666" i="5"/>
  <c r="I1667" i="5"/>
  <c r="I1668" i="5"/>
  <c r="I1669" i="5"/>
  <c r="I1670" i="5"/>
  <c r="I1671" i="5"/>
  <c r="I1672" i="5"/>
  <c r="I1673" i="5"/>
  <c r="I1674" i="5"/>
  <c r="I1675" i="5"/>
  <c r="I1676" i="5"/>
  <c r="I1677" i="5"/>
  <c r="I1678" i="5"/>
  <c r="I1679" i="5"/>
  <c r="I1680" i="5"/>
  <c r="I1681" i="5"/>
  <c r="I1682" i="5"/>
  <c r="I1683" i="5"/>
  <c r="I1684" i="5"/>
  <c r="I1685" i="5"/>
  <c r="I1686" i="5"/>
  <c r="I1687" i="5"/>
  <c r="I1688" i="5"/>
  <c r="I1689" i="5"/>
  <c r="I1690" i="5"/>
  <c r="I1691" i="5"/>
  <c r="I1692" i="5"/>
  <c r="I1693" i="5"/>
  <c r="I1694" i="5"/>
  <c r="I1695" i="5"/>
  <c r="I1696" i="5"/>
  <c r="I1697" i="5"/>
  <c r="I1698" i="5"/>
  <c r="I1699" i="5"/>
  <c r="I1700" i="5"/>
  <c r="I1701" i="5"/>
  <c r="I1702" i="5"/>
  <c r="I1703" i="5"/>
  <c r="I1704" i="5"/>
  <c r="I1705" i="5"/>
  <c r="I1706" i="5"/>
  <c r="I1707" i="5"/>
  <c r="I1708" i="5"/>
  <c r="I1709" i="5"/>
  <c r="I1710" i="5"/>
  <c r="I1711" i="5"/>
  <c r="I1712" i="5"/>
  <c r="I1713" i="5"/>
  <c r="I1714" i="5"/>
  <c r="I1715" i="5"/>
  <c r="I1716" i="5"/>
  <c r="I1717" i="5"/>
  <c r="I1718" i="5"/>
  <c r="I1719" i="5"/>
  <c r="I1720" i="5"/>
  <c r="I1721" i="5"/>
  <c r="I1722" i="5"/>
  <c r="I1723" i="5"/>
  <c r="I1724" i="5"/>
  <c r="I1725" i="5"/>
  <c r="I1726" i="5"/>
  <c r="I1727" i="5"/>
  <c r="I1728" i="5"/>
  <c r="I1729" i="5"/>
  <c r="I1730" i="5"/>
  <c r="I1731" i="5"/>
  <c r="I1732" i="5"/>
  <c r="I1733" i="5"/>
  <c r="I1734" i="5"/>
  <c r="I1735" i="5"/>
  <c r="I1736" i="5"/>
  <c r="I1737" i="5"/>
  <c r="I1738" i="5"/>
  <c r="I1739" i="5"/>
  <c r="I1740" i="5"/>
  <c r="I1741" i="5"/>
  <c r="I1742" i="5"/>
  <c r="I1743" i="5"/>
  <c r="I1744" i="5"/>
  <c r="I1745" i="5"/>
  <c r="I1746" i="5"/>
  <c r="I1747" i="5"/>
  <c r="I1748" i="5"/>
  <c r="I1749" i="5"/>
  <c r="I1750" i="5"/>
  <c r="I1751" i="5"/>
  <c r="I1752" i="5"/>
  <c r="I1753" i="5"/>
  <c r="I1754" i="5"/>
  <c r="I1755" i="5"/>
  <c r="I1756" i="5"/>
  <c r="I1757" i="5"/>
  <c r="I1758" i="5"/>
  <c r="I1759" i="5"/>
  <c r="I1760" i="5"/>
  <c r="I1761" i="5"/>
  <c r="I1762" i="5"/>
  <c r="I1763" i="5"/>
  <c r="I1764" i="5"/>
  <c r="I1765" i="5"/>
  <c r="I1766" i="5"/>
  <c r="I1767" i="5"/>
  <c r="I1768" i="5"/>
  <c r="I1769" i="5"/>
  <c r="I1770" i="5"/>
  <c r="I1771" i="5"/>
  <c r="I1772" i="5"/>
  <c r="I1773" i="5"/>
  <c r="I1779" i="5"/>
  <c r="I1781" i="5"/>
  <c r="I1784" i="5"/>
  <c r="I1785" i="5"/>
  <c r="I1786" i="5"/>
  <c r="I1787" i="5"/>
  <c r="I1788" i="5"/>
  <c r="I1789" i="5"/>
  <c r="I1790" i="5"/>
  <c r="I1791" i="5"/>
  <c r="I1792" i="5"/>
  <c r="I1793" i="5"/>
  <c r="I1795" i="5"/>
  <c r="I1798" i="5"/>
  <c r="I1803" i="5"/>
  <c r="I1804" i="5"/>
  <c r="I1805" i="5"/>
  <c r="I1806" i="5"/>
  <c r="I1807" i="5"/>
  <c r="I1808" i="5"/>
  <c r="I1809" i="5"/>
  <c r="I1812" i="5"/>
  <c r="I1813" i="5"/>
  <c r="I1815" i="5"/>
  <c r="I1816" i="5"/>
  <c r="I1818" i="5"/>
  <c r="I1819" i="5"/>
  <c r="I1820" i="5"/>
  <c r="I1821" i="5"/>
  <c r="I1822" i="5"/>
  <c r="I1824" i="5"/>
  <c r="I1825" i="5"/>
  <c r="I1826" i="5"/>
  <c r="I1830" i="5"/>
  <c r="I1831" i="5"/>
  <c r="I1833" i="5"/>
  <c r="I1834" i="5"/>
  <c r="I1835" i="5"/>
  <c r="I1836" i="5"/>
  <c r="I1839" i="5"/>
  <c r="I1840" i="5"/>
  <c r="I1841" i="5"/>
  <c r="I1845" i="5"/>
  <c r="I1846" i="5"/>
  <c r="I1847" i="5"/>
  <c r="I1848" i="5"/>
  <c r="I1850" i="5"/>
  <c r="I1856" i="5"/>
  <c r="I1858" i="5"/>
  <c r="I1859" i="5"/>
  <c r="I1860" i="5"/>
  <c r="I1861" i="5"/>
  <c r="I1862" i="5"/>
  <c r="I1863" i="5"/>
  <c r="I1864" i="5"/>
  <c r="I1865" i="5"/>
  <c r="I1866" i="5"/>
  <c r="I1867" i="5"/>
  <c r="I1868" i="5"/>
  <c r="I1869" i="5"/>
  <c r="I1870" i="5"/>
  <c r="I1871" i="5"/>
  <c r="I1872" i="5"/>
  <c r="I1873" i="5"/>
  <c r="I1874" i="5"/>
  <c r="I1875" i="5"/>
  <c r="I1876" i="5"/>
  <c r="I1877" i="5"/>
  <c r="I1878" i="5"/>
  <c r="I1879" i="5"/>
  <c r="I1880" i="5"/>
  <c r="I1882" i="5"/>
  <c r="I1883" i="5"/>
  <c r="I1884" i="5"/>
  <c r="I1885" i="5"/>
  <c r="I1886" i="5"/>
  <c r="I1887" i="5"/>
  <c r="I1888" i="5"/>
  <c r="I1889" i="5"/>
  <c r="I1891" i="5"/>
  <c r="I1893" i="5"/>
  <c r="I1894" i="5"/>
  <c r="I1895" i="5"/>
  <c r="I1896" i="5"/>
  <c r="I1897" i="5"/>
  <c r="I1898" i="5"/>
  <c r="I1899" i="5"/>
  <c r="I1900" i="5"/>
  <c r="I1901" i="5"/>
  <c r="I1902" i="5"/>
  <c r="I1903" i="5"/>
  <c r="I1904" i="5"/>
  <c r="I1905" i="5"/>
  <c r="I1906" i="5"/>
  <c r="I1907" i="5"/>
  <c r="I1910" i="5"/>
  <c r="I1911" i="5"/>
  <c r="I1912" i="5"/>
  <c r="I1913" i="5"/>
  <c r="I1914" i="5"/>
  <c r="I1915" i="5"/>
  <c r="I1916" i="5"/>
  <c r="I1917" i="5"/>
  <c r="I1918" i="5"/>
  <c r="I1919" i="5"/>
  <c r="I1920" i="5"/>
  <c r="I1921" i="5"/>
  <c r="I1922" i="5"/>
  <c r="I1923" i="5"/>
  <c r="I1924" i="5"/>
  <c r="I1925" i="5"/>
  <c r="I1926" i="5"/>
  <c r="I1927" i="5"/>
  <c r="I1928" i="5"/>
  <c r="I1929" i="5"/>
  <c r="I1930" i="5"/>
  <c r="I1931" i="5"/>
  <c r="I1932" i="5"/>
  <c r="I1933" i="5"/>
  <c r="I1934" i="5"/>
  <c r="I1935" i="5"/>
  <c r="I1936" i="5"/>
  <c r="I1937" i="5"/>
  <c r="I1938" i="5"/>
  <c r="I1939" i="5"/>
  <c r="I1940" i="5"/>
  <c r="I1941" i="5"/>
  <c r="I1942" i="5"/>
  <c r="I1943" i="5"/>
  <c r="I1944" i="5"/>
  <c r="I1945" i="5"/>
  <c r="I1946" i="5"/>
  <c r="I1947" i="5"/>
  <c r="I1948" i="5"/>
  <c r="I1949" i="5"/>
  <c r="I1950" i="5"/>
  <c r="I1951" i="5"/>
  <c r="I1952" i="5"/>
  <c r="I1953" i="5"/>
  <c r="I1954" i="5"/>
  <c r="I1955" i="5"/>
  <c r="I1956" i="5"/>
  <c r="I1957" i="5"/>
  <c r="I1958" i="5"/>
  <c r="I1959" i="5"/>
  <c r="I1960" i="5"/>
  <c r="I1961" i="5"/>
  <c r="I1962" i="5"/>
  <c r="I1963" i="5"/>
  <c r="I1964" i="5"/>
  <c r="I1965" i="5"/>
  <c r="I1966" i="5"/>
  <c r="I1967" i="5"/>
  <c r="I1968" i="5"/>
  <c r="I1969" i="5"/>
  <c r="I1970" i="5"/>
  <c r="I1971" i="5"/>
  <c r="I1972" i="5"/>
  <c r="I1973" i="5"/>
  <c r="I1974" i="5"/>
  <c r="I1975" i="5"/>
  <c r="I1976" i="5"/>
  <c r="I1977" i="5"/>
  <c r="I1978" i="5"/>
  <c r="I1979" i="5"/>
  <c r="I1980" i="5"/>
  <c r="I1981" i="5"/>
  <c r="I1982" i="5"/>
  <c r="I1983" i="5"/>
  <c r="I1984" i="5"/>
  <c r="I1985" i="5"/>
  <c r="I1986" i="5"/>
  <c r="I1987" i="5"/>
  <c r="I1988" i="5"/>
  <c r="I1989" i="5"/>
  <c r="I1990" i="5"/>
  <c r="I1991" i="5"/>
  <c r="I1992" i="5"/>
  <c r="I1993" i="5"/>
  <c r="I1994" i="5"/>
  <c r="I1995" i="5"/>
  <c r="I1996" i="5"/>
  <c r="I1997" i="5"/>
  <c r="I1998" i="5"/>
  <c r="I1999" i="5"/>
  <c r="I2000" i="5"/>
  <c r="I2001" i="5"/>
  <c r="I2002" i="5"/>
  <c r="I2003" i="5"/>
  <c r="I2004" i="5"/>
  <c r="I2005" i="5"/>
  <c r="I2006" i="5"/>
  <c r="I2007" i="5"/>
  <c r="I2008" i="5"/>
  <c r="I2009" i="5"/>
  <c r="I2010" i="5"/>
  <c r="I2011" i="5"/>
  <c r="I2012" i="5"/>
  <c r="I2013" i="5"/>
  <c r="I2014" i="5"/>
  <c r="I2015" i="5"/>
  <c r="I2016" i="5"/>
  <c r="I2017" i="5"/>
  <c r="I2018" i="5"/>
  <c r="I2019" i="5"/>
  <c r="I2020" i="5"/>
  <c r="I2021" i="5"/>
  <c r="I2022" i="5"/>
  <c r="I2023" i="5"/>
  <c r="I2024" i="5"/>
  <c r="I2025" i="5"/>
  <c r="I2026" i="5"/>
  <c r="I2027" i="5"/>
  <c r="I2028" i="5"/>
  <c r="I2029" i="5"/>
  <c r="I2030" i="5"/>
  <c r="I2031" i="5"/>
  <c r="I2032" i="5"/>
  <c r="I2033" i="5"/>
  <c r="I2034" i="5"/>
  <c r="I2035" i="5"/>
  <c r="I2036" i="5"/>
  <c r="I2037" i="5"/>
  <c r="I2038" i="5"/>
  <c r="I2039" i="5"/>
  <c r="I2040" i="5"/>
  <c r="I2041" i="5"/>
  <c r="I2042" i="5"/>
  <c r="I2043" i="5"/>
  <c r="I2044" i="5"/>
  <c r="I2045" i="5"/>
  <c r="I2046" i="5"/>
  <c r="I2047" i="5"/>
  <c r="I2048" i="5"/>
  <c r="I2049" i="5"/>
  <c r="I2050" i="5"/>
  <c r="I2051" i="5"/>
  <c r="I2052" i="5"/>
  <c r="I2053" i="5"/>
  <c r="I2054" i="5"/>
  <c r="I2055" i="5"/>
  <c r="I2056" i="5"/>
  <c r="I2057" i="5"/>
  <c r="I2058" i="5"/>
  <c r="I2059" i="5"/>
  <c r="I2060" i="5"/>
  <c r="I2061" i="5"/>
  <c r="I2062" i="5"/>
  <c r="I2063" i="5"/>
  <c r="I2064" i="5"/>
  <c r="I2065" i="5"/>
  <c r="I2066" i="5"/>
  <c r="I2067" i="5"/>
  <c r="I2068" i="5"/>
  <c r="I2069" i="5"/>
  <c r="I2070" i="5"/>
  <c r="I2071" i="5"/>
  <c r="I2072" i="5"/>
  <c r="I2073" i="5"/>
  <c r="I2074" i="5"/>
  <c r="I2075" i="5"/>
  <c r="I2076" i="5"/>
  <c r="I2077" i="5"/>
  <c r="I2078" i="5"/>
  <c r="I2079" i="5"/>
  <c r="I2080" i="5"/>
  <c r="I2081" i="5"/>
  <c r="I2082" i="5"/>
  <c r="I2083" i="5"/>
  <c r="I2084" i="5"/>
  <c r="I2085" i="5"/>
  <c r="I2086" i="5"/>
  <c r="I2087" i="5"/>
  <c r="I2088" i="5"/>
  <c r="I2089" i="5"/>
  <c r="I2090" i="5"/>
  <c r="I2091" i="5"/>
  <c r="I2092" i="5"/>
  <c r="I2093" i="5"/>
  <c r="I2094" i="5"/>
  <c r="I2095" i="5"/>
  <c r="I2096" i="5"/>
  <c r="I2097" i="5"/>
  <c r="I2098" i="5"/>
  <c r="I2099" i="5"/>
  <c r="I2100" i="5"/>
  <c r="I2101" i="5"/>
  <c r="I2102" i="5"/>
  <c r="I2103" i="5"/>
  <c r="I2104" i="5"/>
  <c r="I2105" i="5"/>
  <c r="I2106" i="5"/>
  <c r="I2107" i="5"/>
  <c r="I2108" i="5"/>
  <c r="I2109" i="5"/>
  <c r="I2110" i="5"/>
  <c r="I2111" i="5"/>
  <c r="I2112" i="5"/>
  <c r="I2113" i="5"/>
  <c r="I2114" i="5"/>
  <c r="I2115" i="5"/>
  <c r="I2116" i="5"/>
  <c r="I2117" i="5"/>
  <c r="I2118" i="5"/>
  <c r="I2119" i="5"/>
  <c r="I2120" i="5"/>
  <c r="I2121" i="5"/>
  <c r="I2122" i="5"/>
  <c r="I2123" i="5"/>
  <c r="I2124" i="5"/>
  <c r="I2125" i="5"/>
  <c r="I2126" i="5"/>
  <c r="I2127" i="5"/>
  <c r="I2128" i="5"/>
  <c r="I2129" i="5"/>
  <c r="I2130" i="5"/>
  <c r="I2131" i="5"/>
  <c r="I2132" i="5"/>
  <c r="I2133" i="5"/>
  <c r="I2134" i="5"/>
  <c r="I2135" i="5"/>
  <c r="I2136" i="5"/>
  <c r="I2137" i="5"/>
  <c r="I2138" i="5"/>
  <c r="I2139" i="5"/>
  <c r="I2140" i="5"/>
  <c r="I2141" i="5"/>
  <c r="I2142" i="5"/>
  <c r="I2143" i="5"/>
  <c r="I2144" i="5"/>
  <c r="I2145" i="5"/>
  <c r="I2146" i="5"/>
  <c r="I2147" i="5"/>
  <c r="I2148" i="5"/>
  <c r="I2149" i="5"/>
  <c r="I2150" i="5"/>
  <c r="I2151" i="5"/>
  <c r="I2152" i="5"/>
  <c r="I2153" i="5"/>
  <c r="I2154" i="5"/>
  <c r="I2155" i="5"/>
  <c r="I2156" i="5"/>
  <c r="I2157" i="5"/>
  <c r="I2158" i="5"/>
  <c r="I2159" i="5"/>
  <c r="I2160" i="5"/>
  <c r="I2161" i="5"/>
  <c r="I2162" i="5"/>
  <c r="I2163" i="5"/>
  <c r="I2164" i="5"/>
  <c r="I2165" i="5"/>
  <c r="I2166" i="5"/>
  <c r="I2167" i="5"/>
  <c r="I2168" i="5"/>
  <c r="I2169" i="5"/>
  <c r="I2170" i="5"/>
  <c r="I2171" i="5"/>
  <c r="I2172" i="5"/>
  <c r="I2173" i="5"/>
  <c r="I2174" i="5"/>
  <c r="I2175" i="5"/>
  <c r="I2176" i="5"/>
  <c r="I2177" i="5"/>
  <c r="I2178" i="5"/>
  <c r="I2179" i="5"/>
  <c r="I2180" i="5"/>
  <c r="I2181" i="5"/>
  <c r="I2182" i="5"/>
  <c r="I2183" i="5"/>
  <c r="I2184" i="5"/>
  <c r="I2185" i="5"/>
  <c r="I2186" i="5"/>
  <c r="I2187" i="5"/>
  <c r="I2188" i="5"/>
  <c r="I2189" i="5"/>
  <c r="I2190" i="5"/>
  <c r="I2191" i="5"/>
  <c r="I2192" i="5"/>
  <c r="I2193" i="5"/>
  <c r="I2194" i="5"/>
  <c r="I2195" i="5"/>
  <c r="I2196" i="5"/>
  <c r="I2197" i="5"/>
  <c r="I2198" i="5"/>
  <c r="I2199" i="5"/>
  <c r="I2200" i="5"/>
  <c r="I2201" i="5"/>
  <c r="I2202" i="5"/>
  <c r="I2203" i="5"/>
  <c r="I2204" i="5"/>
  <c r="I2205" i="5"/>
  <c r="I2206" i="5"/>
  <c r="I2207" i="5"/>
  <c r="I2208" i="5"/>
  <c r="I2209" i="5"/>
  <c r="I2210" i="5"/>
  <c r="I2211" i="5"/>
  <c r="I2212" i="5"/>
  <c r="I2213" i="5"/>
  <c r="I2214" i="5"/>
  <c r="I2215" i="5"/>
  <c r="I2216" i="5"/>
  <c r="I2217" i="5"/>
  <c r="I2218" i="5"/>
  <c r="I2219" i="5"/>
  <c r="I2220" i="5"/>
  <c r="I2221" i="5"/>
  <c r="I2222" i="5"/>
  <c r="I2223" i="5"/>
  <c r="I2224" i="5"/>
  <c r="I2225" i="5"/>
  <c r="I2226" i="5"/>
  <c r="I2227" i="5"/>
  <c r="I2228" i="5"/>
  <c r="I2229" i="5"/>
  <c r="I2230" i="5"/>
  <c r="I2231" i="5"/>
  <c r="I2232" i="5"/>
  <c r="I2233" i="5"/>
  <c r="I2234" i="5"/>
  <c r="I2235" i="5"/>
  <c r="I2236" i="5"/>
  <c r="I2237" i="5"/>
  <c r="I2238" i="5"/>
  <c r="I2239" i="5"/>
  <c r="I2240" i="5"/>
  <c r="I2241" i="5"/>
  <c r="I2242" i="5"/>
  <c r="I2243" i="5"/>
  <c r="I2244" i="5"/>
  <c r="I2245" i="5"/>
  <c r="I2246" i="5"/>
  <c r="I2247" i="5"/>
  <c r="I2248" i="5"/>
  <c r="I2249" i="5"/>
  <c r="I2250" i="5"/>
  <c r="I2251" i="5"/>
  <c r="I2252" i="5"/>
  <c r="I2253" i="5"/>
  <c r="I2254" i="5"/>
  <c r="I2255" i="5"/>
  <c r="I2256" i="5"/>
  <c r="I2257" i="5"/>
  <c r="I2258" i="5"/>
  <c r="I2259" i="5"/>
  <c r="I2260" i="5"/>
  <c r="I2261" i="5"/>
  <c r="I2262" i="5"/>
  <c r="I2263" i="5"/>
  <c r="I2264" i="5"/>
  <c r="I2265" i="5"/>
  <c r="I2266" i="5"/>
  <c r="I2267" i="5"/>
  <c r="I2268" i="5"/>
  <c r="I2269" i="5"/>
  <c r="I2270" i="5"/>
  <c r="I2271" i="5"/>
  <c r="I2272" i="5"/>
  <c r="I2273" i="5"/>
  <c r="I2274" i="5"/>
  <c r="I2275" i="5"/>
  <c r="I2276" i="5"/>
  <c r="I2277" i="5"/>
  <c r="I2278" i="5"/>
  <c r="I2279" i="5"/>
  <c r="I2280" i="5"/>
  <c r="I2281" i="5"/>
  <c r="I2282" i="5"/>
  <c r="I2283" i="5"/>
  <c r="I2284" i="5"/>
  <c r="I2285" i="5"/>
  <c r="I2286" i="5"/>
  <c r="I2287" i="5"/>
  <c r="I2288" i="5"/>
  <c r="I2289" i="5"/>
  <c r="I2290" i="5"/>
  <c r="I2291" i="5"/>
  <c r="I2292" i="5"/>
  <c r="I2293" i="5"/>
  <c r="I2294" i="5"/>
  <c r="I2295" i="5"/>
  <c r="I2296" i="5"/>
  <c r="I2297" i="5"/>
  <c r="I2298" i="5"/>
  <c r="I2299" i="5"/>
  <c r="I2300" i="5"/>
  <c r="I2301" i="5"/>
  <c r="I2302" i="5"/>
  <c r="I2303" i="5"/>
  <c r="I2304" i="5"/>
  <c r="I2305" i="5"/>
  <c r="I2306" i="5"/>
  <c r="I2307" i="5"/>
  <c r="I2308" i="5"/>
  <c r="I2309" i="5"/>
  <c r="I2310" i="5"/>
  <c r="I2311" i="5"/>
  <c r="I2312" i="5"/>
  <c r="I2313" i="5"/>
  <c r="I2314" i="5"/>
  <c r="I2315" i="5"/>
  <c r="I2316" i="5"/>
  <c r="I2317" i="5"/>
  <c r="I2318" i="5"/>
  <c r="I2319" i="5"/>
  <c r="I2320" i="5"/>
  <c r="I2321" i="5"/>
  <c r="I2322" i="5"/>
  <c r="I2323" i="5"/>
  <c r="I2324" i="5"/>
  <c r="I2325" i="5"/>
  <c r="I2326" i="5"/>
  <c r="I2327" i="5"/>
  <c r="I2328" i="5"/>
  <c r="I2329" i="5"/>
  <c r="I2330" i="5"/>
  <c r="I2331" i="5"/>
  <c r="I2332" i="5"/>
  <c r="I2333" i="5"/>
  <c r="I2334" i="5"/>
  <c r="I2335" i="5"/>
  <c r="I2336" i="5"/>
  <c r="I2337" i="5"/>
  <c r="I2338" i="5"/>
  <c r="I2339" i="5"/>
  <c r="I2340" i="5"/>
  <c r="I2341" i="5"/>
  <c r="I2342" i="5"/>
  <c r="I2343" i="5"/>
  <c r="I2344" i="5"/>
  <c r="I2345" i="5"/>
  <c r="I2346" i="5"/>
  <c r="I2347" i="5"/>
  <c r="I2348" i="5"/>
  <c r="I2349" i="5"/>
  <c r="I2350" i="5"/>
  <c r="I2351" i="5"/>
  <c r="I2352" i="5"/>
  <c r="I2353" i="5"/>
  <c r="I2354" i="5"/>
  <c r="I2355" i="5"/>
  <c r="I2356" i="5"/>
  <c r="I2357" i="5"/>
  <c r="I2358" i="5"/>
  <c r="I2359" i="5"/>
  <c r="I2360" i="5"/>
  <c r="I2361" i="5"/>
  <c r="I2362" i="5"/>
  <c r="I2363" i="5"/>
  <c r="I2364" i="5"/>
  <c r="I2365" i="5"/>
  <c r="I2366" i="5"/>
  <c r="I2367" i="5"/>
  <c r="I2368" i="5"/>
  <c r="I2369" i="5"/>
  <c r="I2370" i="5"/>
  <c r="I2371" i="5"/>
  <c r="I2372" i="5"/>
  <c r="I2373" i="5"/>
  <c r="I2374" i="5"/>
  <c r="I2375" i="5"/>
  <c r="I2376" i="5"/>
  <c r="I2377" i="5"/>
  <c r="I2378" i="5"/>
  <c r="I2379" i="5"/>
  <c r="I2380" i="5"/>
  <c r="I2381" i="5"/>
  <c r="I2382" i="5"/>
  <c r="I2383" i="5"/>
  <c r="I2384" i="5"/>
  <c r="I2385" i="5"/>
  <c r="I2386" i="5"/>
  <c r="I2387" i="5"/>
  <c r="I2388" i="5"/>
  <c r="I2389" i="5"/>
  <c r="I2390" i="5"/>
  <c r="I2391" i="5"/>
  <c r="I2392" i="5"/>
  <c r="I2393" i="5"/>
  <c r="I2394" i="5"/>
  <c r="I2395" i="5"/>
  <c r="I2396" i="5"/>
  <c r="I2397" i="5"/>
  <c r="I2398" i="5"/>
  <c r="I2399" i="5"/>
  <c r="I2400" i="5"/>
  <c r="I2401" i="5"/>
  <c r="I2402" i="5"/>
  <c r="I2403" i="5"/>
  <c r="I2404" i="5"/>
  <c r="I2405" i="5"/>
  <c r="I2406" i="5"/>
  <c r="I2407" i="5"/>
  <c r="I2408" i="5"/>
  <c r="I2409" i="5"/>
  <c r="I2410" i="5"/>
  <c r="I2411" i="5"/>
  <c r="I2412" i="5"/>
  <c r="I2413" i="5"/>
  <c r="I2414" i="5"/>
  <c r="I2415" i="5"/>
  <c r="I2416" i="5"/>
  <c r="I2417" i="5"/>
  <c r="I2418" i="5"/>
  <c r="I2419" i="5"/>
  <c r="I2420" i="5"/>
  <c r="I2421" i="5"/>
  <c r="I2422" i="5"/>
  <c r="I2423" i="5"/>
  <c r="I2424" i="5"/>
  <c r="I2425" i="5"/>
  <c r="I2426" i="5"/>
  <c r="I2427" i="5"/>
  <c r="I2428" i="5"/>
  <c r="I2429" i="5"/>
  <c r="I2430" i="5"/>
  <c r="I2431" i="5"/>
  <c r="I2432" i="5"/>
  <c r="I2433" i="5"/>
  <c r="I2434" i="5"/>
  <c r="I2435" i="5"/>
  <c r="I2436" i="5"/>
  <c r="I2437" i="5"/>
  <c r="I2438" i="5"/>
  <c r="I2439" i="5"/>
  <c r="I2440" i="5"/>
  <c r="I2441" i="5"/>
  <c r="I2442" i="5"/>
  <c r="I2443" i="5"/>
  <c r="I2444" i="5"/>
  <c r="I2445" i="5"/>
  <c r="I2446" i="5"/>
  <c r="I2447" i="5"/>
  <c r="I2448" i="5"/>
  <c r="I2449" i="5"/>
  <c r="I2450" i="5"/>
  <c r="I2451" i="5"/>
  <c r="I2452" i="5"/>
  <c r="I2453" i="5"/>
  <c r="I2454" i="5"/>
  <c r="I2455" i="5"/>
  <c r="I2456" i="5"/>
  <c r="I2457" i="5"/>
  <c r="I2458" i="5"/>
  <c r="I2459" i="5"/>
  <c r="I2460" i="5"/>
  <c r="I2461" i="5"/>
  <c r="I2462" i="5"/>
  <c r="I2463" i="5"/>
  <c r="I2464" i="5"/>
  <c r="I2465" i="5"/>
  <c r="I2466" i="5"/>
  <c r="I2467" i="5"/>
  <c r="I2468" i="5"/>
  <c r="I2469" i="5"/>
  <c r="I2470" i="5"/>
  <c r="I2471" i="5"/>
  <c r="I2472" i="5"/>
  <c r="I2473" i="5"/>
  <c r="I2474" i="5"/>
  <c r="I2475" i="5"/>
  <c r="I2476" i="5"/>
  <c r="I2477" i="5"/>
  <c r="I2478" i="5"/>
  <c r="I2479" i="5"/>
  <c r="I2480" i="5"/>
  <c r="I2481" i="5"/>
  <c r="I2482" i="5"/>
  <c r="I2483" i="5"/>
  <c r="I2484" i="5"/>
  <c r="I2485" i="5"/>
  <c r="I2486" i="5"/>
  <c r="I2487" i="5"/>
  <c r="I2488" i="5"/>
  <c r="I2489" i="5"/>
  <c r="I2490" i="5"/>
  <c r="I2491" i="5"/>
  <c r="I2492" i="5"/>
  <c r="I2493" i="5"/>
  <c r="I2494" i="5"/>
  <c r="I2495" i="5"/>
  <c r="I2496" i="5"/>
  <c r="I2497" i="5"/>
  <c r="I2498" i="5"/>
  <c r="I2499" i="5"/>
  <c r="I2500" i="5"/>
  <c r="I2501" i="5"/>
  <c r="I2502" i="5"/>
  <c r="I2503" i="5"/>
  <c r="I2504" i="5"/>
  <c r="I2505" i="5"/>
  <c r="I2506" i="5"/>
  <c r="I2507" i="5"/>
  <c r="I2508" i="5"/>
  <c r="I2509" i="5"/>
  <c r="I2510" i="5"/>
  <c r="I2511" i="5"/>
  <c r="I2512" i="5"/>
  <c r="I2513" i="5"/>
  <c r="I2514" i="5"/>
  <c r="I2515" i="5"/>
  <c r="I2516" i="5"/>
  <c r="I2517" i="5"/>
  <c r="I2518" i="5"/>
  <c r="I2519" i="5"/>
  <c r="I2520" i="5"/>
  <c r="I2521" i="5"/>
  <c r="I2522" i="5"/>
  <c r="I2523" i="5"/>
  <c r="I2524" i="5"/>
  <c r="I2525" i="5"/>
  <c r="I2526" i="5"/>
  <c r="I2527" i="5"/>
  <c r="I2528" i="5"/>
  <c r="I2529" i="5"/>
  <c r="I2530" i="5"/>
  <c r="I2531" i="5"/>
  <c r="I2532" i="5"/>
  <c r="I2533" i="5"/>
  <c r="I2534" i="5"/>
  <c r="I2535" i="5"/>
  <c r="I2536" i="5"/>
  <c r="I2537" i="5"/>
  <c r="I2538" i="5"/>
  <c r="I2539" i="5"/>
  <c r="I2540" i="5"/>
  <c r="I2541" i="5"/>
  <c r="I2542" i="5"/>
  <c r="I2543" i="5"/>
  <c r="I2544" i="5"/>
  <c r="I2545" i="5"/>
  <c r="I2546" i="5"/>
  <c r="I2547" i="5"/>
  <c r="I2548" i="5"/>
  <c r="I2549" i="5"/>
  <c r="I2550" i="5"/>
  <c r="I2551" i="5"/>
  <c r="I2552" i="5"/>
  <c r="I2553" i="5"/>
  <c r="I2554" i="5"/>
  <c r="I2555" i="5"/>
  <c r="I2556" i="5"/>
  <c r="I2557" i="5"/>
  <c r="I2558" i="5"/>
  <c r="I2559" i="5"/>
  <c r="I2560" i="5"/>
  <c r="I2561" i="5"/>
  <c r="I2562" i="5"/>
  <c r="I2563" i="5"/>
  <c r="I2564" i="5"/>
  <c r="I2565" i="5"/>
  <c r="I2566" i="5"/>
  <c r="I2567" i="5"/>
  <c r="I2568" i="5"/>
  <c r="I2569" i="5"/>
  <c r="I2570" i="5"/>
  <c r="I2571" i="5"/>
  <c r="I2572" i="5"/>
  <c r="I2573" i="5"/>
  <c r="I2574" i="5"/>
  <c r="I2575" i="5"/>
  <c r="I2576" i="5"/>
  <c r="I2577" i="5"/>
  <c r="I2578" i="5"/>
  <c r="I2579" i="5"/>
  <c r="I2580" i="5"/>
  <c r="I2581" i="5"/>
  <c r="I2582" i="5"/>
  <c r="I2583" i="5"/>
  <c r="I2584" i="5"/>
  <c r="I2585" i="5"/>
  <c r="I2586" i="5"/>
  <c r="I2587" i="5"/>
  <c r="I2588" i="5"/>
  <c r="I2589" i="5"/>
  <c r="I2590" i="5"/>
  <c r="I2591" i="5"/>
  <c r="I2592" i="5"/>
  <c r="I2593" i="5"/>
  <c r="I2594" i="5"/>
  <c r="I2595" i="5"/>
  <c r="I2596" i="5"/>
  <c r="I2597" i="5"/>
  <c r="I2598" i="5"/>
  <c r="I2599" i="5"/>
  <c r="I2600" i="5"/>
  <c r="I2601" i="5"/>
  <c r="I2602" i="5"/>
  <c r="I2603" i="5"/>
  <c r="I2604" i="5"/>
  <c r="I2605" i="5"/>
  <c r="I2606" i="5"/>
  <c r="I2607" i="5"/>
  <c r="I2608" i="5"/>
  <c r="I2609" i="5"/>
  <c r="I2610" i="5"/>
  <c r="I2611" i="5"/>
  <c r="I2612" i="5"/>
  <c r="I2613" i="5"/>
  <c r="I2614" i="5"/>
  <c r="I2615" i="5"/>
  <c r="I2616" i="5"/>
  <c r="I2617" i="5"/>
  <c r="I2618" i="5"/>
  <c r="I2619" i="5"/>
  <c r="I2620" i="5"/>
  <c r="I2621" i="5"/>
  <c r="I2622" i="5"/>
  <c r="I2623" i="5"/>
  <c r="I2624" i="5"/>
  <c r="I2625" i="5"/>
  <c r="I2626" i="5"/>
  <c r="I2627" i="5"/>
  <c r="I2628" i="5"/>
  <c r="I2629" i="5"/>
  <c r="I2630" i="5"/>
  <c r="I2631" i="5"/>
  <c r="I2632" i="5"/>
  <c r="I2633" i="5"/>
  <c r="I2634" i="5"/>
  <c r="I2635" i="5"/>
  <c r="I2636" i="5"/>
  <c r="I2637" i="5"/>
  <c r="I2638" i="5"/>
  <c r="I2639" i="5"/>
  <c r="I2640" i="5"/>
  <c r="I2641" i="5"/>
  <c r="I2642" i="5"/>
  <c r="I2643" i="5"/>
  <c r="I2644" i="5"/>
  <c r="I2645" i="5"/>
  <c r="I2646" i="5"/>
  <c r="I2647" i="5"/>
  <c r="I2648" i="5"/>
  <c r="I2649" i="5"/>
  <c r="I2650" i="5"/>
  <c r="I2651" i="5"/>
  <c r="I2652" i="5"/>
  <c r="I2653" i="5"/>
  <c r="I2654" i="5"/>
  <c r="I2655" i="5"/>
  <c r="I2656" i="5"/>
  <c r="I2657" i="5"/>
  <c r="I2658" i="5"/>
  <c r="I2659" i="5"/>
  <c r="I2660" i="5"/>
  <c r="I2661" i="5"/>
  <c r="I2662" i="5"/>
  <c r="I2663" i="5"/>
  <c r="I2664" i="5"/>
  <c r="I2665" i="5"/>
  <c r="I2666" i="5"/>
  <c r="I2667" i="5"/>
  <c r="I2668" i="5"/>
  <c r="I2669" i="5"/>
  <c r="I2670" i="5"/>
  <c r="I2671" i="5"/>
  <c r="I2672" i="5"/>
  <c r="I2673" i="5"/>
  <c r="I2674" i="5"/>
  <c r="I2675" i="5"/>
  <c r="I2676" i="5"/>
  <c r="I2677" i="5"/>
  <c r="I2678" i="5"/>
  <c r="I2679" i="5"/>
  <c r="I2680" i="5"/>
  <c r="I2681" i="5"/>
  <c r="I2682" i="5"/>
  <c r="I2683" i="5"/>
  <c r="I2684" i="5"/>
  <c r="I2685" i="5"/>
  <c r="I2686" i="5"/>
  <c r="I2687" i="5"/>
  <c r="I2688" i="5"/>
  <c r="I2689" i="5"/>
  <c r="I2690" i="5"/>
  <c r="I2691" i="5"/>
  <c r="I2692" i="5"/>
  <c r="I2693" i="5"/>
  <c r="I2694" i="5"/>
  <c r="I2695" i="5"/>
  <c r="I2696" i="5"/>
  <c r="I2697" i="5"/>
  <c r="I2698" i="5"/>
  <c r="I2699" i="5"/>
  <c r="I2700" i="5"/>
  <c r="I2701" i="5"/>
  <c r="I2702" i="5"/>
  <c r="I2703" i="5"/>
  <c r="I2704" i="5"/>
  <c r="I2705" i="5"/>
  <c r="I2706" i="5"/>
  <c r="I2707" i="5"/>
  <c r="I2708" i="5"/>
  <c r="I2709" i="5"/>
  <c r="I2710" i="5"/>
  <c r="I2711" i="5"/>
  <c r="I2712" i="5"/>
  <c r="I2713" i="5"/>
  <c r="I2714" i="5"/>
  <c r="I2715" i="5"/>
  <c r="I2716" i="5"/>
  <c r="I2717" i="5"/>
  <c r="I2718" i="5"/>
  <c r="I2719" i="5"/>
  <c r="I2720" i="5"/>
  <c r="I2721" i="5"/>
  <c r="I2722" i="5"/>
  <c r="I2723" i="5"/>
  <c r="I2724" i="5"/>
  <c r="I2725" i="5"/>
  <c r="I2726" i="5"/>
  <c r="I2727" i="5"/>
  <c r="I2728" i="5"/>
  <c r="I2729" i="5"/>
  <c r="I2730" i="5"/>
  <c r="I2731" i="5"/>
  <c r="I2732" i="5"/>
  <c r="I2733" i="5"/>
  <c r="I2734" i="5"/>
  <c r="I2735" i="5"/>
  <c r="I2736" i="5"/>
  <c r="I2737" i="5"/>
  <c r="I2738" i="5"/>
  <c r="I2739" i="5"/>
  <c r="I2740" i="5"/>
  <c r="I2741" i="5"/>
  <c r="I2742" i="5"/>
  <c r="I2743" i="5"/>
  <c r="I2744" i="5"/>
  <c r="I2745" i="5"/>
  <c r="I2746" i="5"/>
  <c r="I2747" i="5"/>
  <c r="I2748" i="5"/>
  <c r="I2749" i="5"/>
  <c r="I2750" i="5"/>
  <c r="I2751" i="5"/>
  <c r="I2752" i="5"/>
  <c r="I2753" i="5"/>
  <c r="I2754" i="5"/>
  <c r="I2755" i="5"/>
  <c r="I2756" i="5"/>
  <c r="I2757" i="5"/>
  <c r="I2758" i="5"/>
  <c r="I2759" i="5"/>
  <c r="I2760" i="5"/>
  <c r="I2761" i="5"/>
  <c r="I2762" i="5"/>
  <c r="I2763" i="5"/>
  <c r="I2764" i="5"/>
  <c r="I2765" i="5"/>
  <c r="I2766" i="5"/>
  <c r="I2767" i="5"/>
  <c r="I2768" i="5"/>
  <c r="I2769" i="5"/>
  <c r="I2770" i="5"/>
  <c r="I2771" i="5"/>
  <c r="I2772" i="5"/>
  <c r="I2773" i="5"/>
  <c r="I2774" i="5"/>
  <c r="I2775" i="5"/>
  <c r="I2776" i="5"/>
  <c r="I2777" i="5"/>
  <c r="I2778" i="5"/>
  <c r="I2779" i="5"/>
  <c r="I2780" i="5"/>
  <c r="I2781" i="5"/>
  <c r="I2782" i="5"/>
  <c r="I2783" i="5"/>
  <c r="I2784" i="5"/>
  <c r="I2785" i="5"/>
  <c r="I2786" i="5"/>
  <c r="I2787" i="5"/>
  <c r="I2788" i="5"/>
  <c r="I2789" i="5"/>
  <c r="I2790" i="5"/>
  <c r="I2791" i="5"/>
  <c r="I2792" i="5"/>
  <c r="I2793" i="5"/>
  <c r="I2794" i="5"/>
  <c r="I2795" i="5"/>
  <c r="I2796" i="5"/>
  <c r="I2797" i="5"/>
  <c r="I2798" i="5"/>
  <c r="I2799" i="5"/>
  <c r="I2800" i="5"/>
  <c r="I2801" i="5"/>
  <c r="I2802" i="5"/>
  <c r="I2803" i="5"/>
  <c r="I2804" i="5"/>
  <c r="I2805" i="5"/>
  <c r="I2806" i="5"/>
  <c r="I2807" i="5"/>
  <c r="I2808" i="5"/>
  <c r="I2809" i="5"/>
  <c r="I2810" i="5"/>
  <c r="I2811" i="5"/>
  <c r="I2812" i="5"/>
  <c r="I2813" i="5"/>
  <c r="I2814" i="5"/>
  <c r="I2815" i="5"/>
  <c r="I2816" i="5"/>
  <c r="I2817" i="5"/>
  <c r="I2818" i="5"/>
  <c r="I2819" i="5"/>
  <c r="I2820" i="5"/>
  <c r="I2821" i="5"/>
  <c r="I2822" i="5"/>
  <c r="I2823" i="5"/>
  <c r="I2824" i="5"/>
  <c r="I2825" i="5"/>
  <c r="I2826" i="5"/>
  <c r="I2827" i="5"/>
  <c r="I2828" i="5"/>
  <c r="I2829" i="5"/>
  <c r="I2830" i="5"/>
  <c r="I2831" i="5"/>
  <c r="I2832" i="5"/>
  <c r="I2833" i="5"/>
  <c r="I2834" i="5"/>
  <c r="I2835" i="5"/>
  <c r="I2836" i="5"/>
  <c r="I2837" i="5"/>
  <c r="I2838" i="5"/>
  <c r="I2839" i="5"/>
  <c r="I2840" i="5"/>
  <c r="I2841" i="5"/>
  <c r="I2842" i="5"/>
  <c r="I2843" i="5"/>
  <c r="I2844" i="5"/>
  <c r="I2845" i="5"/>
  <c r="I2846" i="5"/>
  <c r="I2847" i="5"/>
  <c r="I2848" i="5"/>
  <c r="I2849" i="5"/>
  <c r="I2850" i="5"/>
  <c r="I2851" i="5"/>
  <c r="I2852" i="5"/>
  <c r="I2853" i="5"/>
  <c r="I2854" i="5"/>
  <c r="I2855" i="5"/>
  <c r="I2856" i="5"/>
  <c r="I2857" i="5"/>
  <c r="I2858" i="5"/>
  <c r="I2859" i="5"/>
  <c r="I2860" i="5"/>
  <c r="I2861" i="5"/>
  <c r="I2862" i="5"/>
  <c r="I2863" i="5"/>
  <c r="I2864" i="5"/>
  <c r="I2865" i="5"/>
  <c r="I2866" i="5"/>
  <c r="I2867" i="5"/>
  <c r="I2868" i="5"/>
  <c r="I2869" i="5"/>
  <c r="I2870" i="5"/>
  <c r="I2871" i="5"/>
  <c r="I2872" i="5"/>
  <c r="I2873" i="5"/>
  <c r="I2874" i="5"/>
  <c r="I2875" i="5"/>
  <c r="I2876" i="5"/>
  <c r="I2877" i="5"/>
  <c r="I2878" i="5"/>
  <c r="I2879" i="5"/>
  <c r="I2880" i="5"/>
  <c r="I2881" i="5"/>
  <c r="I2882" i="5"/>
  <c r="I2883" i="5"/>
  <c r="I2884" i="5"/>
  <c r="I2885" i="5"/>
  <c r="I2886" i="5"/>
  <c r="I2887" i="5"/>
  <c r="I2888" i="5"/>
  <c r="I2889" i="5"/>
  <c r="I2890" i="5"/>
  <c r="I2891" i="5"/>
  <c r="I2892" i="5"/>
  <c r="I2893" i="5"/>
  <c r="I2894" i="5"/>
  <c r="I2895" i="5"/>
  <c r="I2896" i="5"/>
  <c r="I2897" i="5"/>
  <c r="I2898" i="5"/>
  <c r="I2899" i="5"/>
  <c r="I2900" i="5"/>
  <c r="I2901" i="5"/>
  <c r="I2902" i="5"/>
  <c r="I2903" i="5"/>
  <c r="I2904" i="5"/>
  <c r="I2905" i="5"/>
  <c r="I2906" i="5"/>
  <c r="I2907" i="5"/>
  <c r="I2908" i="5"/>
  <c r="I2909" i="5"/>
  <c r="I2910" i="5"/>
  <c r="I2911" i="5"/>
  <c r="I2912" i="5"/>
  <c r="I2913" i="5"/>
  <c r="I2914" i="5"/>
  <c r="I2915" i="5"/>
  <c r="I2916" i="5"/>
  <c r="I2917" i="5"/>
  <c r="I2918" i="5"/>
  <c r="I2919" i="5"/>
  <c r="I2920" i="5"/>
  <c r="I2921" i="5"/>
  <c r="I2922" i="5"/>
  <c r="I2923" i="5"/>
  <c r="I2924" i="5"/>
  <c r="I2925" i="5"/>
  <c r="I2926" i="5"/>
  <c r="I2927" i="5"/>
  <c r="I2928" i="5"/>
  <c r="I2929" i="5"/>
  <c r="I2930" i="5"/>
  <c r="I2931" i="5"/>
  <c r="I2932" i="5"/>
  <c r="I2933" i="5"/>
  <c r="I2934" i="5"/>
  <c r="I2935" i="5"/>
  <c r="I2936" i="5"/>
  <c r="I2937" i="5"/>
  <c r="I2938" i="5"/>
  <c r="I2939" i="5"/>
  <c r="I2940" i="5"/>
  <c r="I2941" i="5"/>
  <c r="I2942" i="5"/>
  <c r="I2943" i="5"/>
  <c r="I2944" i="5"/>
  <c r="I2945" i="5"/>
  <c r="I2946" i="5"/>
  <c r="I2947" i="5"/>
  <c r="I2948" i="5"/>
  <c r="I2949" i="5"/>
  <c r="I2950" i="5"/>
  <c r="I2951" i="5"/>
  <c r="I2952" i="5"/>
  <c r="I2953" i="5"/>
  <c r="I2954" i="5"/>
  <c r="I2955" i="5"/>
  <c r="I2956" i="5"/>
  <c r="I2957" i="5"/>
  <c r="I2958" i="5"/>
  <c r="I2959" i="5"/>
  <c r="I2960" i="5"/>
  <c r="I2961" i="5"/>
  <c r="I2962" i="5"/>
  <c r="I2963" i="5"/>
  <c r="I2964" i="5"/>
  <c r="I2965" i="5"/>
  <c r="I2966" i="5"/>
  <c r="I2967" i="5"/>
  <c r="I2968" i="5"/>
  <c r="I2969" i="5"/>
  <c r="I2970" i="5"/>
  <c r="I2971" i="5"/>
  <c r="I2972" i="5"/>
  <c r="I2973" i="5"/>
  <c r="I2974" i="5"/>
  <c r="I2975" i="5"/>
  <c r="I2976" i="5"/>
  <c r="I2977" i="5"/>
  <c r="I2978" i="5"/>
  <c r="I2979" i="5"/>
  <c r="I2980" i="5"/>
  <c r="I2981" i="5"/>
  <c r="I2982" i="5"/>
  <c r="I2983" i="5"/>
  <c r="I2984" i="5"/>
  <c r="I2985" i="5"/>
  <c r="I2986" i="5"/>
  <c r="I2987" i="5"/>
  <c r="I2988" i="5"/>
  <c r="I2989" i="5"/>
  <c r="I2990" i="5"/>
  <c r="I2991" i="5"/>
  <c r="I2992" i="5"/>
  <c r="I2993" i="5"/>
  <c r="I2994" i="5"/>
  <c r="I2995" i="5"/>
  <c r="I2996" i="5"/>
  <c r="I2997" i="5"/>
  <c r="I2998" i="5"/>
  <c r="I2999" i="5"/>
  <c r="I3000" i="5"/>
  <c r="I3001" i="5"/>
  <c r="I3002" i="5"/>
  <c r="I3003" i="5"/>
  <c r="I3004" i="5"/>
  <c r="I3005" i="5"/>
  <c r="I3006" i="5"/>
  <c r="I3007" i="5"/>
  <c r="I3008" i="5"/>
  <c r="I3009" i="5"/>
  <c r="I3010" i="5"/>
  <c r="I3011" i="5"/>
  <c r="I3012" i="5"/>
  <c r="I3013" i="5"/>
  <c r="I3014" i="5"/>
  <c r="I3015" i="5"/>
  <c r="I3016" i="5"/>
  <c r="I3017" i="5"/>
  <c r="I3018" i="5"/>
  <c r="I3019" i="5"/>
  <c r="I3020" i="5"/>
  <c r="I3021" i="5"/>
  <c r="I3022" i="5"/>
  <c r="I3023" i="5"/>
  <c r="I3024" i="5"/>
  <c r="I3025" i="5"/>
  <c r="I3026" i="5"/>
  <c r="I3027" i="5"/>
  <c r="I3028" i="5"/>
  <c r="I3029" i="5"/>
  <c r="I3030" i="5"/>
  <c r="I3031" i="5"/>
  <c r="I3032" i="5"/>
  <c r="I3033" i="5"/>
  <c r="I3034" i="5"/>
  <c r="I3035" i="5"/>
  <c r="I3036" i="5"/>
  <c r="I3037" i="5"/>
  <c r="I3038" i="5"/>
  <c r="I3039" i="5"/>
  <c r="I3040" i="5"/>
  <c r="I3041" i="5"/>
  <c r="I3042" i="5"/>
  <c r="I3043" i="5"/>
  <c r="I3044" i="5"/>
  <c r="I3045" i="5"/>
  <c r="I3046" i="5"/>
  <c r="I3047" i="5"/>
  <c r="I3048" i="5"/>
  <c r="I3049" i="5"/>
  <c r="I3050" i="5"/>
  <c r="I3051" i="5"/>
  <c r="I3052" i="5"/>
  <c r="I3053" i="5"/>
  <c r="I3054" i="5"/>
  <c r="I3055" i="5"/>
  <c r="I3056" i="5"/>
  <c r="I3057" i="5"/>
  <c r="I3058" i="5"/>
  <c r="I3059" i="5"/>
  <c r="I3060" i="5"/>
  <c r="I3061" i="5"/>
  <c r="I3062" i="5"/>
  <c r="I3063" i="5"/>
  <c r="I3064" i="5"/>
  <c r="I3065" i="5"/>
  <c r="I3066" i="5"/>
  <c r="I3067" i="5"/>
  <c r="I3068" i="5"/>
  <c r="I3069" i="5"/>
  <c r="I3070" i="5"/>
  <c r="I3071" i="5"/>
  <c r="I3072" i="5"/>
  <c r="I3073" i="5"/>
  <c r="I3074" i="5"/>
  <c r="I3075" i="5"/>
  <c r="I3076" i="5"/>
  <c r="I3077" i="5"/>
  <c r="I3078" i="5"/>
  <c r="I3079" i="5"/>
  <c r="I3080" i="5"/>
  <c r="I3081" i="5"/>
  <c r="I3082" i="5"/>
  <c r="I3083" i="5"/>
  <c r="I3084" i="5"/>
  <c r="I3085" i="5"/>
  <c r="I3086" i="5"/>
  <c r="I3087" i="5"/>
  <c r="I3088" i="5"/>
  <c r="I3089" i="5"/>
  <c r="I3090" i="5"/>
  <c r="I3091" i="5"/>
  <c r="I3092" i="5"/>
  <c r="I3093" i="5"/>
  <c r="I3094" i="5"/>
  <c r="I3095" i="5"/>
  <c r="I3096" i="5"/>
  <c r="I3097" i="5"/>
  <c r="I3098" i="5"/>
  <c r="I3099" i="5"/>
  <c r="I3100" i="5"/>
  <c r="I3101" i="5"/>
  <c r="I3102" i="5"/>
  <c r="I3103" i="5"/>
  <c r="I3104" i="5"/>
  <c r="I3105" i="5"/>
  <c r="I3106" i="5"/>
  <c r="I3107" i="5"/>
  <c r="I3108" i="5"/>
  <c r="I3109" i="5"/>
  <c r="I3110" i="5"/>
  <c r="I3111" i="5"/>
  <c r="I3112" i="5"/>
  <c r="I3113" i="5"/>
  <c r="I3114" i="5"/>
  <c r="I3115" i="5"/>
  <c r="I3116" i="5"/>
  <c r="I3117" i="5"/>
  <c r="I3118" i="5"/>
  <c r="I3119" i="5"/>
  <c r="I3120" i="5"/>
  <c r="I3121" i="5"/>
  <c r="I3122" i="5"/>
  <c r="I3123" i="5"/>
  <c r="I3124" i="5"/>
  <c r="I3125" i="5"/>
  <c r="I3126" i="5"/>
  <c r="I3127" i="5"/>
  <c r="I3128" i="5"/>
  <c r="I3129" i="5"/>
  <c r="I3130" i="5"/>
  <c r="I3131" i="5"/>
  <c r="I3132" i="5"/>
  <c r="I3133" i="5"/>
  <c r="I3134" i="5"/>
  <c r="I3135" i="5"/>
  <c r="I3136" i="5"/>
  <c r="I3137" i="5"/>
  <c r="I3138" i="5"/>
  <c r="I3139" i="5"/>
  <c r="I3140" i="5"/>
  <c r="I3141" i="5"/>
  <c r="I3142" i="5"/>
  <c r="I3143" i="5"/>
  <c r="I3144" i="5"/>
  <c r="I3145" i="5"/>
  <c r="I3146" i="5"/>
  <c r="I3147" i="5"/>
  <c r="I3148" i="5"/>
  <c r="I3149" i="5"/>
  <c r="I3150" i="5"/>
  <c r="I3151" i="5"/>
  <c r="I3152" i="5"/>
  <c r="I3153" i="5"/>
  <c r="I3154" i="5"/>
  <c r="I3155" i="5"/>
  <c r="I3156" i="5"/>
  <c r="I3157" i="5"/>
  <c r="I3158" i="5"/>
  <c r="I3159" i="5"/>
  <c r="I3160" i="5"/>
  <c r="I3161" i="5"/>
  <c r="I3162" i="5"/>
  <c r="I3163" i="5"/>
  <c r="I3164" i="5"/>
  <c r="I3165" i="5"/>
  <c r="I3166" i="5"/>
  <c r="I3167" i="5"/>
  <c r="I3168" i="5"/>
  <c r="I3169" i="5"/>
  <c r="I3170" i="5"/>
  <c r="I3171" i="5"/>
  <c r="I3172" i="5"/>
  <c r="I3173" i="5"/>
  <c r="I3174" i="5"/>
  <c r="I3175" i="5"/>
  <c r="I3176" i="5"/>
  <c r="I3177" i="5"/>
  <c r="I3178" i="5"/>
  <c r="I3179" i="5"/>
  <c r="I3180" i="5"/>
  <c r="I3181" i="5"/>
  <c r="I3182" i="5"/>
  <c r="I3183" i="5"/>
  <c r="I3184" i="5"/>
  <c r="I3185" i="5"/>
  <c r="I3186" i="5"/>
  <c r="I3187" i="5"/>
  <c r="I3188" i="5"/>
  <c r="I3189" i="5"/>
  <c r="I3190" i="5"/>
  <c r="I3191" i="5"/>
  <c r="I3192" i="5"/>
  <c r="I3193" i="5"/>
  <c r="I3194" i="5"/>
  <c r="I3195" i="5"/>
  <c r="I3196" i="5"/>
  <c r="I3197" i="5"/>
  <c r="I3198" i="5"/>
  <c r="I3199" i="5"/>
  <c r="I3200" i="5"/>
  <c r="I3201" i="5"/>
  <c r="I3202" i="5"/>
  <c r="I3203" i="5"/>
  <c r="I3204" i="5"/>
  <c r="I3205" i="5"/>
  <c r="I3206" i="5"/>
  <c r="I3207" i="5"/>
  <c r="I3208" i="5"/>
  <c r="I3209" i="5"/>
  <c r="I3210" i="5"/>
  <c r="I3211" i="5"/>
  <c r="I3212" i="5"/>
  <c r="I3213" i="5"/>
  <c r="I3214" i="5"/>
  <c r="I3215" i="5"/>
  <c r="I3216" i="5"/>
  <c r="I3217" i="5"/>
  <c r="I3218" i="5"/>
  <c r="I3219" i="5"/>
  <c r="I3220" i="5"/>
  <c r="I3221" i="5"/>
  <c r="I3222" i="5"/>
  <c r="I3223" i="5"/>
  <c r="I3224" i="5"/>
  <c r="I3225" i="5"/>
  <c r="I3226" i="5"/>
  <c r="I3227" i="5"/>
  <c r="I3228" i="5"/>
  <c r="I3229" i="5"/>
  <c r="I3230" i="5"/>
  <c r="I3231" i="5"/>
  <c r="I3232" i="5"/>
  <c r="I3233" i="5"/>
  <c r="I3234" i="5"/>
  <c r="I3235" i="5"/>
  <c r="I3236" i="5"/>
  <c r="I3237" i="5"/>
  <c r="I3238" i="5"/>
  <c r="I3239" i="5"/>
  <c r="I3240" i="5"/>
  <c r="I3241" i="5"/>
  <c r="I3242" i="5"/>
  <c r="I3243" i="5"/>
  <c r="I3244" i="5"/>
  <c r="I3245" i="5"/>
  <c r="I3246" i="5"/>
  <c r="I3247" i="5"/>
  <c r="I3248" i="5"/>
  <c r="I3249" i="5"/>
  <c r="I3250" i="5"/>
  <c r="I3251" i="5"/>
  <c r="I3252" i="5"/>
  <c r="I3253" i="5"/>
  <c r="I3254" i="5"/>
  <c r="I3255" i="5"/>
  <c r="I3256" i="5"/>
  <c r="I3257" i="5"/>
  <c r="I3258" i="5"/>
  <c r="I3259" i="5"/>
  <c r="I3260" i="5"/>
  <c r="I3261" i="5"/>
  <c r="I3262" i="5"/>
  <c r="I3263" i="5"/>
  <c r="I3264" i="5"/>
  <c r="I3265" i="5"/>
  <c r="I3266" i="5"/>
  <c r="I3267" i="5"/>
  <c r="I3268" i="5"/>
  <c r="I3269" i="5"/>
  <c r="I3270" i="5"/>
  <c r="I3271" i="5"/>
  <c r="I3272" i="5"/>
  <c r="I3273" i="5"/>
  <c r="I3274" i="5"/>
  <c r="I3275" i="5"/>
  <c r="I3276" i="5"/>
  <c r="I3277" i="5"/>
  <c r="I3278" i="5"/>
  <c r="I3279" i="5"/>
  <c r="I3280" i="5"/>
  <c r="I3281" i="5"/>
  <c r="I3282" i="5"/>
  <c r="I3283" i="5"/>
  <c r="I3284" i="5"/>
  <c r="I3285" i="5"/>
  <c r="I3286" i="5"/>
  <c r="I3287" i="5"/>
  <c r="I3288" i="5"/>
  <c r="I3289" i="5"/>
  <c r="I3290" i="5"/>
  <c r="I3291" i="5"/>
  <c r="I3292" i="5"/>
  <c r="I3293" i="5"/>
  <c r="I3294" i="5"/>
  <c r="I3295" i="5"/>
  <c r="I3296" i="5"/>
  <c r="I3297" i="5"/>
  <c r="I3298" i="5"/>
  <c r="I3299" i="5"/>
  <c r="I3300" i="5"/>
  <c r="I3301" i="5"/>
  <c r="I3302" i="5"/>
  <c r="I3303" i="5"/>
  <c r="I3304" i="5"/>
  <c r="I3305" i="5"/>
  <c r="I3306" i="5"/>
  <c r="I3307" i="5"/>
  <c r="I3308" i="5"/>
  <c r="I3309" i="5"/>
  <c r="I3310" i="5"/>
  <c r="I3311" i="5"/>
  <c r="I3312" i="5"/>
  <c r="I3313" i="5"/>
  <c r="I3314" i="5"/>
  <c r="I3315" i="5"/>
  <c r="I3316" i="5"/>
  <c r="I3317" i="5"/>
  <c r="I3318" i="5"/>
  <c r="I3319" i="5"/>
  <c r="I3320" i="5"/>
  <c r="I3321" i="5"/>
  <c r="I3322" i="5"/>
  <c r="I3323" i="5"/>
  <c r="I3324" i="5"/>
  <c r="I3325" i="5"/>
  <c r="I3326" i="5"/>
  <c r="I3327" i="5"/>
  <c r="I3328" i="5"/>
  <c r="I3329" i="5"/>
  <c r="I3330" i="5"/>
  <c r="I3331" i="5"/>
  <c r="I3332" i="5"/>
  <c r="I3333" i="5"/>
  <c r="I3334" i="5"/>
  <c r="I3335" i="5"/>
  <c r="I3336" i="5"/>
  <c r="I3337" i="5"/>
  <c r="I3338" i="5"/>
  <c r="I3339" i="5"/>
  <c r="I3340" i="5"/>
  <c r="I3341" i="5"/>
  <c r="I3342" i="5"/>
  <c r="I3343" i="5"/>
  <c r="I3344" i="5"/>
  <c r="I3345" i="5"/>
  <c r="I3346" i="5"/>
  <c r="I3347" i="5"/>
  <c r="I3348" i="5"/>
  <c r="I3349" i="5"/>
  <c r="I3350" i="5"/>
  <c r="I3351" i="5"/>
  <c r="I3352" i="5"/>
  <c r="I3353" i="5"/>
  <c r="I3354" i="5"/>
  <c r="I3355" i="5"/>
  <c r="I3356" i="5"/>
  <c r="I3357" i="5"/>
  <c r="I3358" i="5"/>
  <c r="I3359" i="5"/>
  <c r="I3360" i="5"/>
  <c r="I3361" i="5"/>
  <c r="I3362" i="5"/>
  <c r="I3363" i="5"/>
  <c r="I3364" i="5"/>
  <c r="I3365" i="5"/>
  <c r="I3366" i="5"/>
  <c r="I3367" i="5"/>
  <c r="I3368" i="5"/>
  <c r="I3369" i="5"/>
  <c r="I3370" i="5"/>
  <c r="I3371" i="5"/>
  <c r="I3372" i="5"/>
  <c r="I3373" i="5"/>
  <c r="I3374" i="5"/>
  <c r="I3375" i="5"/>
  <c r="I3376" i="5"/>
  <c r="I3377" i="5"/>
  <c r="I3378" i="5"/>
  <c r="I3379" i="5"/>
  <c r="I3380" i="5"/>
  <c r="I3381" i="5"/>
  <c r="I3382" i="5"/>
  <c r="I3383" i="5"/>
  <c r="I3384" i="5"/>
  <c r="I3385" i="5"/>
  <c r="I3386" i="5"/>
  <c r="I3387" i="5"/>
  <c r="I3388" i="5"/>
  <c r="I3389" i="5"/>
  <c r="I3390" i="5"/>
  <c r="I3391" i="5"/>
  <c r="I3392" i="5"/>
  <c r="I3393" i="5"/>
  <c r="I3394" i="5"/>
  <c r="I3395" i="5"/>
  <c r="I3396" i="5"/>
  <c r="I3397" i="5"/>
  <c r="I3398" i="5"/>
  <c r="I3399" i="5"/>
  <c r="I3400" i="5"/>
  <c r="I3401" i="5"/>
  <c r="I3402" i="5"/>
  <c r="I3403" i="5"/>
  <c r="I3404" i="5"/>
  <c r="I3405" i="5"/>
  <c r="I3406" i="5"/>
  <c r="I3407" i="5"/>
  <c r="I3408" i="5"/>
  <c r="I3409" i="5"/>
  <c r="I3410" i="5"/>
  <c r="I3411" i="5"/>
  <c r="I3412" i="5"/>
  <c r="I3413" i="5"/>
  <c r="I3414" i="5"/>
  <c r="I3415" i="5"/>
  <c r="I3416" i="5"/>
  <c r="I3417" i="5"/>
  <c r="I3418" i="5"/>
  <c r="I3419" i="5"/>
  <c r="I3420" i="5"/>
  <c r="I3421" i="5"/>
  <c r="I3422" i="5"/>
  <c r="I3423" i="5"/>
  <c r="I3424" i="5"/>
  <c r="I3425" i="5"/>
  <c r="I3426" i="5"/>
  <c r="I3427" i="5"/>
  <c r="I3428" i="5"/>
  <c r="I3429" i="5"/>
  <c r="I3430" i="5"/>
  <c r="I3431" i="5"/>
  <c r="I3432" i="5"/>
  <c r="I3433" i="5"/>
  <c r="I3434" i="5"/>
  <c r="I3435" i="5"/>
  <c r="I3436" i="5"/>
  <c r="I3437" i="5"/>
  <c r="I3438" i="5"/>
  <c r="I3439" i="5"/>
  <c r="I3440" i="5"/>
  <c r="I3441" i="5"/>
  <c r="I3442" i="5"/>
  <c r="I3443" i="5"/>
  <c r="I3444" i="5"/>
  <c r="I3445" i="5"/>
  <c r="I3446" i="5"/>
  <c r="I3447" i="5"/>
  <c r="I3448" i="5"/>
  <c r="I3449" i="5"/>
  <c r="I3450" i="5"/>
  <c r="I3451" i="5"/>
  <c r="I3452" i="5"/>
  <c r="I3453" i="5"/>
  <c r="I3454" i="5"/>
  <c r="I3455" i="5"/>
  <c r="I3456" i="5"/>
  <c r="I3457" i="5"/>
  <c r="I3458" i="5"/>
  <c r="I3459" i="5"/>
  <c r="I3460" i="5"/>
  <c r="I3461" i="5"/>
  <c r="I3462" i="5"/>
  <c r="I3463" i="5"/>
  <c r="I3464" i="5"/>
  <c r="I3465" i="5"/>
  <c r="I3466" i="5"/>
  <c r="I3467" i="5"/>
  <c r="I3468" i="5"/>
  <c r="I3469" i="5"/>
  <c r="I3470" i="5"/>
  <c r="I3471" i="5"/>
  <c r="I3472" i="5"/>
  <c r="I3473" i="5"/>
  <c r="I3474" i="5"/>
  <c r="I3475" i="5"/>
  <c r="I3476" i="5"/>
  <c r="I3477" i="5"/>
  <c r="I3478" i="5"/>
  <c r="I3479" i="5"/>
  <c r="I3480" i="5"/>
  <c r="I3481" i="5"/>
  <c r="I3482" i="5"/>
  <c r="I3483" i="5"/>
  <c r="I3484" i="5"/>
  <c r="I3485" i="5"/>
  <c r="I3486" i="5"/>
  <c r="I3487" i="5"/>
  <c r="I3488" i="5"/>
  <c r="I3489" i="5"/>
  <c r="I3490" i="5"/>
  <c r="I3491" i="5"/>
  <c r="I3492" i="5"/>
  <c r="I3493" i="5"/>
  <c r="I3494" i="5"/>
  <c r="I3495" i="5"/>
  <c r="I3496" i="5"/>
  <c r="I3497" i="5"/>
  <c r="I3498" i="5"/>
  <c r="I3499" i="5"/>
  <c r="I3500" i="5"/>
  <c r="I3501" i="5"/>
  <c r="I3502" i="5"/>
  <c r="I3503" i="5"/>
  <c r="I3504" i="5"/>
  <c r="I3505" i="5"/>
  <c r="I3506" i="5"/>
  <c r="I3507" i="5"/>
  <c r="I3508" i="5"/>
  <c r="I3509" i="5"/>
  <c r="I3510" i="5"/>
  <c r="I3511" i="5"/>
  <c r="I3512" i="5"/>
  <c r="I3513" i="5"/>
  <c r="I3514" i="5"/>
  <c r="I3515" i="5"/>
  <c r="I3516" i="5"/>
  <c r="I3517" i="5"/>
  <c r="I3518" i="5"/>
  <c r="I3519" i="5"/>
  <c r="I3520" i="5"/>
  <c r="I3521" i="5"/>
  <c r="I3522" i="5"/>
  <c r="I3523" i="5"/>
  <c r="I3524" i="5"/>
  <c r="I3525" i="5"/>
  <c r="I3526" i="5"/>
  <c r="I3527" i="5"/>
  <c r="I3528" i="5"/>
  <c r="I3529" i="5"/>
  <c r="I3530" i="5"/>
  <c r="I3531" i="5"/>
  <c r="I3532" i="5"/>
  <c r="I3533" i="5"/>
  <c r="I3534" i="5"/>
  <c r="I3535" i="5"/>
  <c r="I3536" i="5"/>
  <c r="I3537" i="5"/>
  <c r="I3538" i="5"/>
  <c r="I3539" i="5"/>
  <c r="I3540" i="5"/>
  <c r="I3541" i="5"/>
  <c r="I3542" i="5"/>
  <c r="I3543" i="5"/>
  <c r="I3544" i="5"/>
  <c r="I3545" i="5"/>
  <c r="I3546" i="5"/>
  <c r="I3547" i="5"/>
  <c r="I3548" i="5"/>
  <c r="I3549" i="5"/>
  <c r="I3550" i="5"/>
  <c r="I3551" i="5"/>
  <c r="I3552" i="5"/>
  <c r="I3553" i="5"/>
  <c r="I3554" i="5"/>
  <c r="I3555" i="5"/>
  <c r="I3556" i="5"/>
  <c r="I3557" i="5"/>
  <c r="I3558" i="5"/>
  <c r="I3559" i="5"/>
  <c r="I3560" i="5"/>
  <c r="I3561" i="5"/>
  <c r="I3562" i="5"/>
  <c r="I3563" i="5"/>
  <c r="I3564" i="5"/>
  <c r="I3565" i="5"/>
  <c r="I3566" i="5"/>
  <c r="I3567" i="5"/>
  <c r="I3568" i="5"/>
  <c r="I3569" i="5"/>
  <c r="I3570" i="5"/>
  <c r="I3571" i="5"/>
  <c r="I3572" i="5"/>
  <c r="I3573" i="5"/>
  <c r="I3574" i="5"/>
  <c r="I3575" i="5"/>
  <c r="I3576" i="5"/>
  <c r="I3577" i="5"/>
  <c r="I3578" i="5"/>
  <c r="I3579" i="5"/>
  <c r="I3580" i="5"/>
  <c r="I3581" i="5"/>
  <c r="I3582" i="5"/>
  <c r="I3583" i="5"/>
  <c r="I3584" i="5"/>
  <c r="I3585" i="5"/>
  <c r="I3586" i="5"/>
  <c r="I3587" i="5"/>
  <c r="I3588" i="5"/>
  <c r="I3589" i="5"/>
  <c r="I3590" i="5"/>
  <c r="I3591" i="5"/>
  <c r="I3592" i="5"/>
  <c r="I3593" i="5"/>
  <c r="I3594" i="5"/>
  <c r="I3595" i="5"/>
  <c r="I3596" i="5"/>
  <c r="I3597" i="5"/>
  <c r="I3598" i="5"/>
  <c r="I3599" i="5"/>
  <c r="I3600" i="5"/>
  <c r="I3601" i="5"/>
  <c r="I3602" i="5"/>
  <c r="I3603" i="5"/>
  <c r="I3604" i="5"/>
  <c r="I3605" i="5"/>
  <c r="I3606" i="5"/>
  <c r="I3607" i="5"/>
  <c r="I3608" i="5"/>
  <c r="I3609" i="5"/>
  <c r="I3610" i="5"/>
  <c r="I3611" i="5"/>
  <c r="I3612" i="5"/>
  <c r="I3613" i="5"/>
  <c r="I3614" i="5"/>
  <c r="I3615" i="5"/>
  <c r="I3616" i="5"/>
  <c r="I3617" i="5"/>
  <c r="I3618" i="5"/>
  <c r="I3619" i="5"/>
  <c r="I3620" i="5"/>
  <c r="I3621" i="5"/>
  <c r="I3622" i="5"/>
  <c r="I3623" i="5"/>
  <c r="I3624" i="5"/>
  <c r="I3625" i="5"/>
  <c r="I3626" i="5"/>
  <c r="I3627" i="5"/>
  <c r="I3628" i="5"/>
  <c r="I3629" i="5"/>
  <c r="I3630" i="5"/>
  <c r="I3631" i="5"/>
  <c r="I3632" i="5"/>
  <c r="I3633" i="5"/>
  <c r="I3634" i="5"/>
  <c r="I3635" i="5"/>
  <c r="I3636" i="5"/>
  <c r="I3637" i="5"/>
  <c r="I3638" i="5"/>
  <c r="I3639" i="5"/>
  <c r="I3640" i="5"/>
  <c r="I3641" i="5"/>
  <c r="I3642" i="5"/>
  <c r="I3643" i="5"/>
  <c r="I3644" i="5"/>
  <c r="I3645" i="5"/>
  <c r="I3646" i="5"/>
  <c r="I3647" i="5"/>
  <c r="I3648" i="5"/>
  <c r="I3649" i="5"/>
  <c r="I3650" i="5"/>
  <c r="I3651" i="5"/>
  <c r="I3652" i="5"/>
  <c r="I3653" i="5"/>
  <c r="I3654" i="5"/>
  <c r="I3655" i="5"/>
  <c r="I3656" i="5"/>
  <c r="I3657" i="5"/>
  <c r="I3658" i="5"/>
  <c r="I3659" i="5"/>
  <c r="I3660" i="5"/>
  <c r="I3661" i="5"/>
  <c r="I3662" i="5"/>
  <c r="I3663" i="5"/>
  <c r="I3664" i="5"/>
  <c r="I3665" i="5"/>
  <c r="I3666" i="5"/>
  <c r="I3667" i="5"/>
  <c r="I3668" i="5"/>
  <c r="I3669" i="5"/>
  <c r="I3670" i="5"/>
  <c r="I3671" i="5"/>
  <c r="I3672" i="5"/>
  <c r="I3673" i="5"/>
  <c r="I3674" i="5"/>
  <c r="I3675" i="5"/>
  <c r="I3676" i="5"/>
  <c r="I3677" i="5"/>
  <c r="I3678" i="5"/>
  <c r="I3679" i="5"/>
  <c r="I3680" i="5"/>
  <c r="I3681" i="5"/>
  <c r="I3682" i="5"/>
  <c r="I3683" i="5"/>
  <c r="I3684" i="5"/>
  <c r="I3685" i="5"/>
  <c r="I3686" i="5"/>
  <c r="I3687" i="5"/>
  <c r="I3688" i="5"/>
  <c r="I3689" i="5"/>
  <c r="I3690" i="5"/>
  <c r="I3691" i="5"/>
  <c r="I3692" i="5"/>
  <c r="I3693" i="5"/>
  <c r="I3694" i="5"/>
  <c r="I3695" i="5"/>
  <c r="I3696" i="5"/>
  <c r="I3697" i="5"/>
  <c r="I3698" i="5"/>
  <c r="I3699" i="5"/>
  <c r="I3700" i="5"/>
  <c r="I3701" i="5"/>
  <c r="I3702" i="5"/>
  <c r="I3703" i="5"/>
  <c r="I3704" i="5"/>
  <c r="I3705" i="5"/>
  <c r="I3706" i="5"/>
  <c r="I3707" i="5"/>
  <c r="I3708" i="5"/>
  <c r="I3709" i="5"/>
  <c r="I3710" i="5"/>
  <c r="I3711" i="5"/>
  <c r="I3712" i="5"/>
  <c r="I3713" i="5"/>
  <c r="I3714" i="5"/>
  <c r="I3715" i="5"/>
  <c r="I3716" i="5"/>
  <c r="I3717" i="5"/>
  <c r="I3718" i="5"/>
  <c r="I3719" i="5"/>
  <c r="I3720" i="5"/>
  <c r="I3721" i="5"/>
  <c r="I3722" i="5"/>
  <c r="I3723" i="5"/>
  <c r="I3724" i="5"/>
  <c r="I3725" i="5"/>
  <c r="I3726" i="5"/>
  <c r="I3727" i="5"/>
  <c r="I3728" i="5"/>
  <c r="I3729" i="5"/>
  <c r="I3730" i="5"/>
  <c r="I3731" i="5"/>
  <c r="I3732" i="5"/>
  <c r="I3733" i="5"/>
  <c r="I3734" i="5"/>
  <c r="I3735" i="5"/>
  <c r="I3736" i="5"/>
  <c r="I3737" i="5"/>
  <c r="I3738" i="5"/>
  <c r="I3739" i="5"/>
  <c r="I3740" i="5"/>
  <c r="I3741" i="5"/>
  <c r="I3742" i="5"/>
  <c r="I3743" i="5"/>
  <c r="I3744" i="5"/>
  <c r="I3745" i="5"/>
  <c r="I3746" i="5"/>
  <c r="I3747" i="5"/>
  <c r="I3748" i="5"/>
  <c r="I3749" i="5"/>
  <c r="I3750" i="5"/>
  <c r="I3751" i="5"/>
  <c r="I3752" i="5"/>
  <c r="I3753" i="5"/>
  <c r="I3754" i="5"/>
  <c r="I3755" i="5"/>
  <c r="I3756" i="5"/>
  <c r="I3757" i="5"/>
  <c r="I3758" i="5"/>
  <c r="I3759" i="5"/>
  <c r="I3760" i="5"/>
  <c r="I3761" i="5"/>
  <c r="I3762" i="5"/>
  <c r="I3763" i="5"/>
  <c r="I3764" i="5"/>
  <c r="I3765" i="5"/>
  <c r="I3766" i="5"/>
  <c r="I3767" i="5"/>
  <c r="I3768" i="5"/>
  <c r="I3769" i="5"/>
  <c r="I3770" i="5"/>
  <c r="I3771" i="5"/>
  <c r="I3772" i="5"/>
  <c r="I3773" i="5"/>
  <c r="I3774" i="5"/>
  <c r="I3775" i="5"/>
  <c r="I3776" i="5"/>
  <c r="I3777" i="5"/>
  <c r="I3778" i="5"/>
  <c r="I3779" i="5"/>
  <c r="I3780" i="5"/>
  <c r="I3781" i="5"/>
  <c r="I3782" i="5"/>
  <c r="I3783" i="5"/>
  <c r="I3784" i="5"/>
  <c r="I3785" i="5"/>
  <c r="I3786" i="5"/>
  <c r="I3787" i="5"/>
  <c r="I3788" i="5"/>
  <c r="I3789" i="5"/>
  <c r="I3790" i="5"/>
  <c r="I3791" i="5"/>
  <c r="I3792" i="5"/>
  <c r="I3793" i="5"/>
  <c r="I3794" i="5"/>
  <c r="I3795" i="5"/>
  <c r="I3796" i="5"/>
  <c r="I3797" i="5"/>
  <c r="I3798" i="5"/>
  <c r="I3799" i="5"/>
  <c r="I3800" i="5"/>
  <c r="I3801" i="5"/>
  <c r="I3802" i="5"/>
  <c r="I3803" i="5"/>
  <c r="I3804" i="5"/>
  <c r="I3805" i="5"/>
  <c r="I3806" i="5"/>
  <c r="I3807" i="5"/>
  <c r="I3808" i="5"/>
  <c r="I3809" i="5"/>
  <c r="I3810" i="5"/>
  <c r="I3811" i="5"/>
  <c r="I3812" i="5"/>
  <c r="I3813" i="5"/>
  <c r="I3814" i="5"/>
  <c r="I3815" i="5"/>
  <c r="I3816" i="5"/>
  <c r="I3817" i="5"/>
  <c r="I3818" i="5"/>
  <c r="I3819" i="5"/>
  <c r="I3820" i="5"/>
  <c r="I3821" i="5"/>
  <c r="I3822" i="5"/>
  <c r="I3823" i="5"/>
  <c r="I3824" i="5"/>
  <c r="I3825" i="5"/>
  <c r="I3826" i="5"/>
  <c r="I3827" i="5"/>
  <c r="I3828" i="5"/>
  <c r="I3829" i="5"/>
  <c r="I3830" i="5"/>
  <c r="I3831" i="5"/>
  <c r="I3832" i="5"/>
  <c r="I3833" i="5"/>
  <c r="I3834" i="5"/>
  <c r="I3835" i="5"/>
  <c r="I3836" i="5"/>
  <c r="I3837" i="5"/>
  <c r="I3838" i="5"/>
  <c r="I3839" i="5"/>
  <c r="I3840" i="5"/>
  <c r="I3841" i="5"/>
  <c r="I3842" i="5"/>
  <c r="I3843" i="5"/>
  <c r="I3844" i="5"/>
  <c r="I3845" i="5"/>
  <c r="I3846" i="5"/>
  <c r="I3847" i="5"/>
  <c r="I3848" i="5"/>
  <c r="I3849" i="5"/>
  <c r="I3850" i="5"/>
  <c r="I3851" i="5"/>
  <c r="I3852" i="5"/>
  <c r="I3853" i="5"/>
  <c r="I3854" i="5"/>
  <c r="I3855" i="5"/>
  <c r="I3856" i="5"/>
  <c r="I3857" i="5"/>
  <c r="I3858" i="5"/>
  <c r="I3859" i="5"/>
  <c r="I3860" i="5"/>
  <c r="I3861" i="5"/>
  <c r="I3862" i="5"/>
  <c r="I3863" i="5"/>
  <c r="I3864" i="5"/>
  <c r="I3865" i="5"/>
  <c r="I3866" i="5"/>
  <c r="I3867" i="5"/>
  <c r="I3868" i="5"/>
  <c r="I3869" i="5"/>
  <c r="I3870" i="5"/>
  <c r="I3871" i="5"/>
  <c r="I3872" i="5"/>
  <c r="I3873" i="5"/>
  <c r="I3874" i="5"/>
  <c r="I3875" i="5"/>
  <c r="I3876" i="5"/>
  <c r="I3877" i="5"/>
  <c r="I3878" i="5"/>
  <c r="I3879" i="5"/>
  <c r="I3880" i="5"/>
  <c r="I3881" i="5"/>
  <c r="I3882" i="5"/>
  <c r="I3883" i="5"/>
  <c r="I3884" i="5"/>
  <c r="I3885" i="5"/>
  <c r="I3886" i="5"/>
  <c r="I3887" i="5"/>
  <c r="I3888" i="5"/>
  <c r="I3889" i="5"/>
  <c r="I3890" i="5"/>
  <c r="I3891" i="5"/>
  <c r="I3892" i="5"/>
  <c r="I3893" i="5"/>
  <c r="I3894" i="5"/>
  <c r="I3895" i="5"/>
  <c r="I3896" i="5"/>
  <c r="I3897" i="5"/>
  <c r="I3898" i="5"/>
  <c r="I3899" i="5"/>
  <c r="I3900" i="5"/>
  <c r="I3901" i="5"/>
  <c r="I3902" i="5"/>
  <c r="I3903" i="5"/>
  <c r="I3904" i="5"/>
  <c r="I3905" i="5"/>
  <c r="I3906" i="5"/>
  <c r="I3907" i="5"/>
  <c r="I3908" i="5"/>
  <c r="I3909" i="5"/>
  <c r="I3910" i="5"/>
  <c r="I3911" i="5"/>
  <c r="I3912" i="5"/>
  <c r="I3913" i="5"/>
  <c r="I3914" i="5"/>
  <c r="I3915" i="5"/>
  <c r="I3916" i="5"/>
  <c r="I3917" i="5"/>
  <c r="I3918" i="5"/>
  <c r="I3919" i="5"/>
  <c r="I3920" i="5"/>
  <c r="I3921" i="5"/>
  <c r="I3922" i="5"/>
  <c r="I3923" i="5"/>
  <c r="I3924" i="5"/>
  <c r="I3925" i="5"/>
  <c r="I3926" i="5"/>
  <c r="I3927" i="5"/>
  <c r="I3928" i="5"/>
  <c r="I3929" i="5"/>
  <c r="I3930" i="5"/>
  <c r="I3931" i="5"/>
  <c r="I3932" i="5"/>
  <c r="I3933" i="5"/>
  <c r="I3934" i="5"/>
  <c r="I3935" i="5"/>
  <c r="I3936" i="5"/>
  <c r="I3937" i="5"/>
  <c r="I3938" i="5"/>
  <c r="I3939" i="5"/>
  <c r="I3940" i="5"/>
  <c r="I3941" i="5"/>
  <c r="I3942" i="5"/>
  <c r="I3943" i="5"/>
  <c r="I3944" i="5"/>
  <c r="I3945" i="5"/>
  <c r="I3946" i="5"/>
  <c r="I3947" i="5"/>
  <c r="I3948" i="5"/>
  <c r="I3949" i="5"/>
  <c r="I3950" i="5"/>
  <c r="I3951" i="5"/>
  <c r="I3952" i="5"/>
  <c r="I3953" i="5"/>
  <c r="I3954" i="5"/>
  <c r="I3955" i="5"/>
  <c r="I3956" i="5"/>
  <c r="I3957" i="5"/>
  <c r="I3958" i="5"/>
  <c r="I3959" i="5"/>
  <c r="I3960" i="5"/>
  <c r="I3961" i="5"/>
  <c r="I3962" i="5"/>
  <c r="I3963" i="5"/>
  <c r="I3964" i="5"/>
  <c r="I3965" i="5"/>
  <c r="I3966" i="5"/>
  <c r="I3967" i="5"/>
  <c r="I3968" i="5"/>
  <c r="I3969" i="5"/>
  <c r="I3970" i="5"/>
  <c r="I3971" i="5"/>
  <c r="I3972" i="5"/>
  <c r="I3973" i="5"/>
  <c r="I3976" i="5"/>
  <c r="I3977" i="5"/>
  <c r="I3978" i="5"/>
  <c r="I3979" i="5"/>
  <c r="I3980" i="5"/>
  <c r="I3982" i="5"/>
  <c r="I3983" i="5"/>
  <c r="I3984" i="5"/>
  <c r="I3985" i="5"/>
  <c r="I3986" i="5"/>
  <c r="I3987" i="5"/>
  <c r="I3988" i="5"/>
  <c r="I3989" i="5"/>
  <c r="I3990" i="5"/>
  <c r="I3991" i="5"/>
  <c r="I3992" i="5"/>
  <c r="I3994" i="5"/>
  <c r="I3995" i="5"/>
  <c r="I3996" i="5"/>
  <c r="I3997" i="5"/>
  <c r="I3999" i="5"/>
  <c r="I4000" i="5"/>
  <c r="I4001" i="5"/>
  <c r="I4005" i="5"/>
  <c r="I4006" i="5"/>
  <c r="I4007" i="5"/>
  <c r="I4008" i="5"/>
  <c r="I4009" i="5"/>
  <c r="I4010" i="5"/>
  <c r="I4011" i="5"/>
  <c r="I4012" i="5"/>
  <c r="I4013" i="5"/>
  <c r="I4014" i="5"/>
  <c r="I4015" i="5"/>
  <c r="I4016" i="5"/>
  <c r="I4017" i="5"/>
  <c r="I4018" i="5"/>
  <c r="I4019" i="5"/>
  <c r="I4020" i="5"/>
  <c r="I4021" i="5"/>
  <c r="I4022" i="5"/>
  <c r="I4023" i="5"/>
  <c r="I4024" i="5"/>
  <c r="I4025" i="5"/>
  <c r="I4026" i="5"/>
  <c r="I4027" i="5"/>
  <c r="I4028" i="5"/>
  <c r="I4029" i="5"/>
  <c r="I4030" i="5"/>
  <c r="I4031" i="5"/>
  <c r="I4032" i="5"/>
  <c r="I4033" i="5"/>
  <c r="I4034" i="5"/>
  <c r="I4035" i="5"/>
  <c r="I4036" i="5"/>
  <c r="I4037" i="5"/>
  <c r="I4038" i="5"/>
  <c r="I4039" i="5"/>
  <c r="I4040" i="5"/>
  <c r="I4041" i="5"/>
  <c r="I4042" i="5"/>
  <c r="I4043" i="5"/>
  <c r="I4044" i="5"/>
  <c r="I4045" i="5"/>
  <c r="I4046" i="5"/>
  <c r="I4047" i="5"/>
  <c r="I4048" i="5"/>
  <c r="I4049" i="5"/>
  <c r="I4050" i="5"/>
  <c r="I4051" i="5"/>
  <c r="I4052" i="5"/>
  <c r="I4053" i="5"/>
  <c r="I4054" i="5"/>
  <c r="I4055" i="5"/>
  <c r="I4056" i="5"/>
  <c r="I4057" i="5"/>
  <c r="I4058" i="5"/>
  <c r="I4059" i="5"/>
  <c r="I4060" i="5"/>
  <c r="I4061" i="5"/>
  <c r="I4062" i="5"/>
  <c r="I4063" i="5"/>
  <c r="I4064" i="5"/>
  <c r="I4065" i="5"/>
  <c r="I4066" i="5"/>
  <c r="I4067" i="5"/>
  <c r="I4068" i="5"/>
  <c r="I4070" i="5"/>
  <c r="I4071" i="5"/>
  <c r="I4072" i="5"/>
  <c r="I4074" i="5"/>
  <c r="I4075" i="5"/>
  <c r="I4076" i="5"/>
  <c r="I4077" i="5"/>
  <c r="I4078" i="5"/>
  <c r="I4079" i="5"/>
  <c r="I4080" i="5"/>
  <c r="I4081" i="5"/>
  <c r="I4082" i="5"/>
  <c r="I4083" i="5"/>
  <c r="I4084" i="5"/>
  <c r="I4085" i="5"/>
  <c r="I4086" i="5"/>
  <c r="I4087" i="5"/>
  <c r="I4088" i="5"/>
  <c r="I4089" i="5"/>
  <c r="I4090" i="5"/>
  <c r="I4091" i="5"/>
  <c r="I4092" i="5"/>
  <c r="I4094" i="5"/>
  <c r="I4095" i="5"/>
  <c r="I4096" i="5"/>
  <c r="I4097" i="5"/>
  <c r="I4098" i="5"/>
  <c r="I4099" i="5"/>
  <c r="I4100" i="5"/>
  <c r="I4101" i="5"/>
  <c r="I4102" i="5"/>
  <c r="I4103" i="5"/>
  <c r="I4104" i="5"/>
  <c r="I4105" i="5"/>
  <c r="I4106" i="5"/>
  <c r="I4107" i="5"/>
  <c r="I4108" i="5"/>
  <c r="I4109" i="5"/>
  <c r="I4110" i="5"/>
  <c r="I4111" i="5"/>
  <c r="I4112" i="5"/>
  <c r="I4113" i="5"/>
  <c r="I4114" i="5"/>
  <c r="I4115" i="5"/>
  <c r="I4116" i="5"/>
  <c r="I4117" i="5"/>
  <c r="I4118" i="5"/>
  <c r="I4119" i="5"/>
  <c r="I4120" i="5"/>
  <c r="I4121" i="5"/>
  <c r="I4122" i="5"/>
  <c r="I4123" i="5"/>
  <c r="I4124" i="5"/>
  <c r="I4125" i="5"/>
  <c r="I4126" i="5"/>
  <c r="I4127" i="5"/>
  <c r="I4128" i="5"/>
  <c r="I4129" i="5"/>
  <c r="I4130" i="5"/>
  <c r="I4131" i="5"/>
  <c r="I4132" i="5"/>
  <c r="I4133" i="5"/>
  <c r="I4134" i="5"/>
  <c r="I4135" i="5"/>
  <c r="I4136" i="5"/>
  <c r="I4137" i="5"/>
  <c r="I4138" i="5"/>
  <c r="I4139" i="5"/>
  <c r="I4140" i="5"/>
  <c r="I4141" i="5"/>
  <c r="I4142" i="5"/>
  <c r="I4143" i="5"/>
  <c r="I4144" i="5"/>
  <c r="I4145" i="5"/>
  <c r="I4146" i="5"/>
  <c r="I4147" i="5"/>
  <c r="I4148" i="5"/>
  <c r="I4149" i="5"/>
  <c r="I4150" i="5"/>
  <c r="I4151" i="5"/>
  <c r="I4152" i="5"/>
  <c r="I4153" i="5"/>
  <c r="I4154" i="5"/>
  <c r="I4155" i="5"/>
  <c r="I4156" i="5"/>
  <c r="I4157" i="5"/>
  <c r="I4158" i="5"/>
  <c r="I4159" i="5"/>
  <c r="I4160" i="5"/>
  <c r="I4161" i="5"/>
  <c r="I4162" i="5"/>
  <c r="I4163" i="5"/>
  <c r="I4164" i="5"/>
  <c r="I4165" i="5"/>
  <c r="I4166" i="5"/>
  <c r="I4167" i="5"/>
  <c r="I4168" i="5"/>
  <c r="I4169" i="5"/>
  <c r="I4170" i="5"/>
  <c r="I4171" i="5"/>
  <c r="I4172" i="5"/>
  <c r="I4173" i="5"/>
  <c r="I4174" i="5"/>
  <c r="I4175" i="5"/>
  <c r="I4176" i="5"/>
  <c r="I4177" i="5"/>
  <c r="I4178" i="5"/>
  <c r="I4179" i="5"/>
  <c r="I4180" i="5"/>
  <c r="I4181" i="5"/>
  <c r="I4182" i="5"/>
  <c r="I4183" i="5"/>
  <c r="I4184" i="5"/>
  <c r="I4185" i="5"/>
  <c r="I4186" i="5"/>
  <c r="I4187" i="5"/>
  <c r="I4188" i="5"/>
  <c r="I4189" i="5"/>
  <c r="I4190" i="5"/>
  <c r="I4191" i="5"/>
  <c r="I4192" i="5"/>
  <c r="I4193" i="5"/>
  <c r="I4194" i="5"/>
  <c r="I4195" i="5"/>
  <c r="I4196" i="5"/>
  <c r="I4197" i="5"/>
  <c r="I4198" i="5"/>
  <c r="I4199" i="5"/>
  <c r="I4200" i="5"/>
  <c r="I4202" i="5"/>
  <c r="I4205" i="5"/>
  <c r="I4206" i="5"/>
  <c r="I4207" i="5"/>
  <c r="I4208" i="5"/>
  <c r="I4209" i="5"/>
  <c r="I4210" i="5"/>
  <c r="I4211" i="5"/>
  <c r="I4212" i="5"/>
  <c r="I4213" i="5"/>
  <c r="I4214" i="5"/>
  <c r="I4215" i="5"/>
  <c r="I4216" i="5"/>
  <c r="I4217" i="5"/>
  <c r="I4218" i="5"/>
  <c r="I4219" i="5"/>
  <c r="I4220" i="5"/>
  <c r="I4221" i="5"/>
  <c r="I4222" i="5"/>
  <c r="I4223" i="5"/>
  <c r="I4224" i="5"/>
  <c r="I4225" i="5"/>
  <c r="I4226" i="5"/>
  <c r="I4227" i="5"/>
  <c r="I4228" i="5"/>
  <c r="I4229" i="5"/>
  <c r="I4230" i="5"/>
  <c r="I4231" i="5"/>
  <c r="I4232" i="5"/>
  <c r="I4233" i="5"/>
  <c r="I4234" i="5"/>
  <c r="I4235" i="5"/>
  <c r="I4236" i="5"/>
  <c r="I4237" i="5"/>
  <c r="I4238" i="5"/>
  <c r="I4239" i="5"/>
  <c r="I4242" i="5"/>
  <c r="I4243" i="5"/>
  <c r="I4244" i="5"/>
  <c r="I4245" i="5"/>
  <c r="I4246" i="5"/>
  <c r="I4247" i="5"/>
  <c r="I4248" i="5"/>
  <c r="I4249" i="5"/>
  <c r="I4250" i="5"/>
  <c r="I4251" i="5"/>
  <c r="I4252" i="5"/>
  <c r="I4253" i="5"/>
  <c r="I4254" i="5"/>
  <c r="I4255" i="5"/>
  <c r="I4256" i="5"/>
  <c r="I4257" i="5"/>
  <c r="I4258" i="5"/>
  <c r="I4259" i="5"/>
  <c r="I4260" i="5"/>
  <c r="I4261" i="5"/>
  <c r="I4262" i="5"/>
  <c r="I4263" i="5"/>
  <c r="I4264" i="5"/>
  <c r="I4265" i="5"/>
  <c r="I4266" i="5"/>
  <c r="I4267" i="5"/>
  <c r="I4268" i="5"/>
  <c r="I4269" i="5"/>
  <c r="I4270" i="5"/>
  <c r="I4271" i="5"/>
  <c r="I4272" i="5"/>
  <c r="I4273" i="5"/>
  <c r="I4274" i="5"/>
  <c r="I4275" i="5"/>
  <c r="I4276" i="5"/>
  <c r="I4277" i="5"/>
  <c r="I4278" i="5"/>
  <c r="I4279" i="5"/>
  <c r="I4280" i="5"/>
  <c r="I4281" i="5"/>
  <c r="I4282" i="5"/>
  <c r="I4283" i="5"/>
  <c r="I4284" i="5"/>
  <c r="I4285" i="5"/>
  <c r="I4286" i="5"/>
  <c r="I4287" i="5"/>
  <c r="I4288" i="5"/>
  <c r="I4289" i="5"/>
  <c r="I4290" i="5"/>
  <c r="I4291" i="5"/>
  <c r="I4292" i="5"/>
  <c r="I4293" i="5"/>
  <c r="I4294" i="5"/>
  <c r="I4295" i="5"/>
  <c r="I4296" i="5"/>
  <c r="I4297" i="5"/>
  <c r="I4298" i="5"/>
  <c r="I4299" i="5"/>
  <c r="I4300" i="5"/>
  <c r="I4301" i="5"/>
  <c r="I4302" i="5"/>
  <c r="I4303" i="5"/>
  <c r="I4304" i="5"/>
  <c r="I4305" i="5"/>
  <c r="I4306" i="5"/>
  <c r="I4307" i="5"/>
  <c r="I4308" i="5"/>
  <c r="I4309" i="5"/>
  <c r="I4310" i="5"/>
  <c r="I4311" i="5"/>
  <c r="I4312" i="5"/>
  <c r="I4313" i="5"/>
  <c r="I4314" i="5"/>
  <c r="I4315" i="5"/>
  <c r="I4316" i="5"/>
  <c r="I4317" i="5"/>
  <c r="I4318" i="5"/>
  <c r="I4319" i="5"/>
  <c r="I4320" i="5"/>
  <c r="I4321" i="5"/>
  <c r="I4322" i="5"/>
  <c r="I4323" i="5"/>
  <c r="I4324" i="5"/>
  <c r="I4325" i="5"/>
  <c r="I4326" i="5"/>
  <c r="I4327" i="5"/>
  <c r="I4328" i="5"/>
  <c r="I4329" i="5"/>
  <c r="I4330" i="5"/>
  <c r="I4331" i="5"/>
  <c r="I4332" i="5"/>
  <c r="I4333" i="5"/>
  <c r="I4334" i="5"/>
  <c r="I4335" i="5"/>
  <c r="I4336" i="5"/>
  <c r="I4337" i="5"/>
  <c r="I4338" i="5"/>
  <c r="I4339" i="5"/>
  <c r="I4340" i="5"/>
  <c r="I4341" i="5"/>
  <c r="I4342" i="5"/>
  <c r="I4343" i="5"/>
  <c r="I4344" i="5"/>
  <c r="I4345" i="5"/>
  <c r="I4346" i="5"/>
  <c r="I4347" i="5"/>
  <c r="I4348" i="5"/>
  <c r="I4349" i="5"/>
  <c r="I4350" i="5"/>
  <c r="I4351" i="5"/>
  <c r="I4352" i="5"/>
  <c r="I4353" i="5"/>
  <c r="I4354" i="5"/>
  <c r="I4355" i="5"/>
  <c r="I4356" i="5"/>
  <c r="I4357" i="5"/>
  <c r="I4358" i="5"/>
  <c r="I4359" i="5"/>
  <c r="I4360" i="5"/>
  <c r="I4361" i="5"/>
  <c r="I4362" i="5"/>
  <c r="I4363" i="5"/>
  <c r="I4364" i="5"/>
  <c r="I4365" i="5"/>
  <c r="I4366" i="5"/>
  <c r="I4367" i="5"/>
  <c r="I4368" i="5"/>
  <c r="I4369" i="5"/>
  <c r="I4370" i="5"/>
  <c r="I4371" i="5"/>
  <c r="I4372" i="5"/>
  <c r="I4373" i="5"/>
  <c r="I4374" i="5"/>
  <c r="I4375" i="5"/>
  <c r="I4376" i="5"/>
  <c r="I4377" i="5"/>
  <c r="I4378" i="5"/>
  <c r="I4379" i="5"/>
  <c r="I4380" i="5"/>
  <c r="I4381" i="5"/>
  <c r="I4382" i="5"/>
  <c r="I4383" i="5"/>
  <c r="I4384" i="5"/>
  <c r="I4385" i="5"/>
  <c r="I4386" i="5"/>
  <c r="I4387" i="5"/>
  <c r="I4388" i="5"/>
  <c r="I4389" i="5"/>
  <c r="I4390" i="5"/>
  <c r="I4391" i="5"/>
  <c r="I4392" i="5"/>
  <c r="I4393" i="5"/>
  <c r="I4394" i="5"/>
  <c r="I4395" i="5"/>
  <c r="I4396" i="5"/>
  <c r="I4397" i="5"/>
  <c r="I4398" i="5"/>
  <c r="I4399" i="5"/>
  <c r="I4400" i="5"/>
  <c r="I4401" i="5"/>
  <c r="I4402" i="5"/>
  <c r="I4403" i="5"/>
  <c r="I4404" i="5"/>
  <c r="I4405" i="5"/>
  <c r="I4406" i="5"/>
  <c r="I4407" i="5"/>
  <c r="I4408" i="5"/>
  <c r="I4409" i="5"/>
  <c r="I4410" i="5"/>
  <c r="I4411" i="5"/>
  <c r="I4412" i="5"/>
  <c r="I4413" i="5"/>
  <c r="I4414" i="5"/>
  <c r="I4415" i="5"/>
  <c r="I4416" i="5"/>
  <c r="I4417" i="5"/>
  <c r="I4418" i="5"/>
  <c r="I4419" i="5"/>
  <c r="I4420" i="5"/>
  <c r="I4421" i="5"/>
  <c r="I4422" i="5"/>
  <c r="I4423" i="5"/>
  <c r="I4424" i="5"/>
  <c r="I4425" i="5"/>
  <c r="I4426" i="5"/>
  <c r="I4427" i="5"/>
  <c r="I4428" i="5"/>
  <c r="I4429" i="5"/>
  <c r="I4430" i="5"/>
  <c r="I4431" i="5"/>
  <c r="I4432" i="5"/>
  <c r="I4433" i="5"/>
  <c r="I4434" i="5"/>
  <c r="I4435" i="5"/>
  <c r="I4436" i="5"/>
  <c r="I4437" i="5"/>
  <c r="I4438" i="5"/>
  <c r="I4439" i="5"/>
  <c r="I4440" i="5"/>
  <c r="I4441" i="5"/>
  <c r="I4442" i="5"/>
  <c r="I4443" i="5"/>
  <c r="I4444" i="5"/>
  <c r="I4445" i="5"/>
  <c r="I4446" i="5"/>
  <c r="I4447" i="5"/>
  <c r="I4448" i="5"/>
  <c r="I4449" i="5"/>
  <c r="I4450" i="5"/>
  <c r="I4451" i="5"/>
  <c r="I4452" i="5"/>
  <c r="I4453" i="5"/>
  <c r="I4454" i="5"/>
  <c r="I4455" i="5"/>
  <c r="I4456" i="5"/>
  <c r="I4457" i="5"/>
  <c r="I4458" i="5"/>
  <c r="I4459" i="5"/>
  <c r="I4460" i="5"/>
  <c r="I4461" i="5"/>
  <c r="I4469" i="5"/>
  <c r="I4470" i="5"/>
  <c r="I4471" i="5"/>
  <c r="I4472" i="5"/>
  <c r="I4473" i="5"/>
  <c r="I4474" i="5"/>
  <c r="I4476" i="5"/>
  <c r="I4477" i="5"/>
  <c r="I4478" i="5"/>
  <c r="I4479" i="5"/>
  <c r="I4480" i="5"/>
  <c r="I4481" i="5"/>
  <c r="I4482" i="5"/>
  <c r="I4483" i="5"/>
  <c r="I4484" i="5"/>
  <c r="I4485" i="5"/>
  <c r="I4487" i="5"/>
  <c r="I4488" i="5"/>
  <c r="I4489" i="5"/>
  <c r="I4490" i="5"/>
  <c r="I4491" i="5"/>
  <c r="I4492" i="5"/>
  <c r="I4493" i="5"/>
  <c r="I4494" i="5"/>
  <c r="I4495" i="5"/>
  <c r="I4496" i="5"/>
  <c r="I4497" i="5"/>
  <c r="I4498" i="5"/>
  <c r="I4499" i="5"/>
  <c r="I4500" i="5"/>
  <c r="I4501" i="5"/>
  <c r="I4502" i="5"/>
  <c r="I4503" i="5"/>
  <c r="I4504" i="5"/>
  <c r="I4505" i="5"/>
  <c r="I4506" i="5"/>
  <c r="I4507" i="5"/>
  <c r="I4508" i="5"/>
  <c r="I4509" i="5"/>
  <c r="I4510" i="5"/>
  <c r="I4511" i="5"/>
  <c r="I4512" i="5"/>
  <c r="I4513" i="5"/>
  <c r="I4514" i="5"/>
  <c r="I4515" i="5"/>
  <c r="I4516" i="5"/>
  <c r="I4517" i="5"/>
  <c r="I4518" i="5"/>
  <c r="I4519" i="5"/>
  <c r="I4520" i="5"/>
  <c r="I4521" i="5"/>
  <c r="I4522" i="5"/>
  <c r="I4523" i="5"/>
  <c r="I4524" i="5"/>
  <c r="I4525" i="5"/>
  <c r="I4526" i="5"/>
  <c r="I4527" i="5"/>
  <c r="I4528" i="5"/>
  <c r="I4530" i="5"/>
  <c r="I4531" i="5"/>
  <c r="I4532" i="5"/>
  <c r="I4533" i="5"/>
  <c r="I4534" i="5"/>
  <c r="I4535" i="5"/>
  <c r="I4536" i="5"/>
  <c r="I4537" i="5"/>
  <c r="I4538" i="5"/>
  <c r="I4539" i="5"/>
  <c r="I4540" i="5"/>
  <c r="I4541" i="5"/>
  <c r="I4542" i="5"/>
  <c r="I4543" i="5"/>
  <c r="I4544" i="5"/>
  <c r="I4545" i="5"/>
  <c r="I4546" i="5"/>
  <c r="I4547" i="5"/>
  <c r="I4548" i="5"/>
  <c r="I4549" i="5"/>
  <c r="I4550" i="5"/>
  <c r="I4551" i="5"/>
  <c r="I4552" i="5"/>
  <c r="I4553" i="5"/>
  <c r="I4554" i="5"/>
  <c r="I4555" i="5"/>
  <c r="I4556" i="5"/>
  <c r="I4557" i="5"/>
  <c r="I4558" i="5"/>
  <c r="I4559" i="5"/>
  <c r="I4560" i="5"/>
  <c r="I4561" i="5"/>
  <c r="I4562" i="5"/>
  <c r="I4563" i="5"/>
  <c r="I4564" i="5"/>
  <c r="I4565" i="5"/>
  <c r="I4566" i="5"/>
  <c r="I4567" i="5"/>
  <c r="I4568" i="5"/>
  <c r="I4569" i="5"/>
  <c r="I4570" i="5"/>
  <c r="I4571" i="5"/>
  <c r="I4572" i="5"/>
  <c r="I4573" i="5"/>
  <c r="I4574" i="5"/>
  <c r="I4575" i="5"/>
  <c r="I4683" i="5"/>
  <c r="I4684" i="5"/>
  <c r="I4685" i="5"/>
  <c r="I4686" i="5"/>
  <c r="I4687" i="5"/>
  <c r="I4688" i="5"/>
  <c r="I4689" i="5"/>
  <c r="I4690" i="5"/>
  <c r="I4691" i="5"/>
  <c r="I4692" i="5"/>
  <c r="I4693" i="5"/>
  <c r="I4694" i="5"/>
  <c r="I4695" i="5"/>
  <c r="I4696" i="5"/>
  <c r="I4697" i="5"/>
  <c r="I4698" i="5"/>
  <c r="I4699" i="5"/>
  <c r="I4700" i="5"/>
  <c r="I4701" i="5"/>
  <c r="I4702" i="5"/>
  <c r="I4703" i="5"/>
  <c r="I4704" i="5"/>
  <c r="I4705" i="5"/>
  <c r="I4706" i="5"/>
  <c r="I4707" i="5"/>
  <c r="I4708" i="5"/>
  <c r="I4709" i="5"/>
  <c r="I4710" i="5"/>
  <c r="I4711" i="5"/>
  <c r="I4712" i="5"/>
  <c r="I4713" i="5"/>
  <c r="I4714" i="5"/>
  <c r="I4715" i="5"/>
  <c r="I4717" i="5"/>
  <c r="I4720" i="5"/>
  <c r="I4721" i="5"/>
  <c r="I4722" i="5"/>
  <c r="I4723" i="5"/>
  <c r="I4724" i="5"/>
  <c r="I4725" i="5"/>
  <c r="I4726" i="5"/>
  <c r="I4727" i="5"/>
  <c r="I4728" i="5"/>
  <c r="I4729" i="5"/>
  <c r="I4730" i="5"/>
  <c r="I4731" i="5"/>
  <c r="I4732" i="5"/>
  <c r="I4733" i="5"/>
  <c r="I4734" i="5"/>
  <c r="I4735" i="5"/>
  <c r="I4736" i="5"/>
  <c r="I4737" i="5"/>
  <c r="I4738" i="5"/>
  <c r="I4739" i="5"/>
  <c r="I4740" i="5"/>
  <c r="I4741" i="5"/>
  <c r="I4742" i="5"/>
  <c r="I4744" i="5"/>
  <c r="I4745" i="5"/>
  <c r="I4746" i="5"/>
  <c r="I4747" i="5"/>
  <c r="I4748" i="5"/>
  <c r="I4749" i="5"/>
  <c r="I4750" i="5"/>
  <c r="I4751" i="5"/>
  <c r="I4752" i="5"/>
  <c r="I4753" i="5"/>
  <c r="I4754" i="5"/>
  <c r="I4755" i="5"/>
  <c r="I4756" i="5"/>
  <c r="I4757" i="5"/>
  <c r="I4758" i="5"/>
  <c r="I4759" i="5"/>
  <c r="I4760" i="5"/>
  <c r="I4761" i="5"/>
  <c r="I4762" i="5"/>
  <c r="I4763" i="5"/>
  <c r="I4764" i="5"/>
  <c r="I4765" i="5"/>
  <c r="I4766" i="5"/>
  <c r="I4767" i="5"/>
  <c r="I4768" i="5"/>
  <c r="I4769" i="5"/>
  <c r="I4770" i="5"/>
  <c r="I4771" i="5"/>
  <c r="I4772" i="5"/>
  <c r="I4773" i="5"/>
  <c r="I4774" i="5"/>
  <c r="I4775" i="5"/>
  <c r="I4776" i="5"/>
  <c r="I4777" i="5"/>
  <c r="I4778" i="5"/>
  <c r="I4779" i="5"/>
  <c r="I4780" i="5"/>
  <c r="I4781" i="5"/>
  <c r="I4782" i="5"/>
  <c r="I4783" i="5"/>
  <c r="I4784" i="5"/>
  <c r="I4785" i="5"/>
  <c r="I4786" i="5"/>
  <c r="I4787" i="5"/>
  <c r="I4788" i="5"/>
  <c r="I4789" i="5"/>
  <c r="I4790" i="5"/>
  <c r="I4791" i="5"/>
  <c r="I4792" i="5"/>
  <c r="I4793" i="5"/>
  <c r="I4794" i="5"/>
  <c r="I4795" i="5"/>
  <c r="I4796" i="5"/>
  <c r="I4797" i="5"/>
  <c r="I4798" i="5"/>
  <c r="I4799" i="5"/>
  <c r="I4800" i="5"/>
  <c r="I4801" i="5"/>
  <c r="I4802" i="5"/>
  <c r="I4803" i="5"/>
  <c r="I4804" i="5"/>
  <c r="I4805" i="5"/>
  <c r="I4806" i="5"/>
  <c r="I4807" i="5"/>
  <c r="I4808" i="5"/>
  <c r="I4809" i="5"/>
  <c r="I4810" i="5"/>
  <c r="I4811" i="5"/>
  <c r="I4812" i="5"/>
  <c r="I4813" i="5"/>
  <c r="I4814" i="5"/>
  <c r="I4815" i="5"/>
  <c r="I4816" i="5"/>
  <c r="I4817" i="5"/>
  <c r="I4818" i="5"/>
  <c r="I4819" i="5"/>
  <c r="I4820" i="5"/>
  <c r="I4821" i="5"/>
  <c r="I4822" i="5"/>
  <c r="I4823" i="5"/>
  <c r="I4824" i="5"/>
  <c r="I4825" i="5"/>
  <c r="I4826" i="5"/>
  <c r="I4827" i="5"/>
  <c r="I4828" i="5"/>
  <c r="I4829" i="5"/>
  <c r="I4830" i="5"/>
  <c r="I4831" i="5"/>
  <c r="I4832" i="5"/>
  <c r="I4833" i="5"/>
  <c r="I4834" i="5"/>
  <c r="I4835" i="5"/>
  <c r="I4836" i="5"/>
  <c r="I4837" i="5"/>
  <c r="I4838" i="5"/>
  <c r="I4839" i="5"/>
  <c r="I4840" i="5"/>
  <c r="I4841" i="5"/>
  <c r="I4842" i="5"/>
  <c r="I4843" i="5"/>
  <c r="I4844" i="5"/>
  <c r="I4845" i="5"/>
  <c r="I4846" i="5"/>
  <c r="I4847" i="5"/>
  <c r="I4848" i="5"/>
  <c r="I4849" i="5"/>
  <c r="I4850" i="5"/>
  <c r="I4851" i="5"/>
  <c r="I4852" i="5"/>
  <c r="I4853" i="5"/>
  <c r="I4854" i="5"/>
  <c r="I4855" i="5"/>
  <c r="I4856" i="5"/>
  <c r="I4857" i="5"/>
  <c r="I4858" i="5"/>
  <c r="I4859" i="5"/>
  <c r="I4860" i="5"/>
  <c r="I4861" i="5"/>
  <c r="I4862" i="5"/>
  <c r="I4863" i="5"/>
  <c r="I4864" i="5"/>
  <c r="I4865" i="5"/>
  <c r="I4866" i="5"/>
  <c r="I4867" i="5"/>
  <c r="I4868" i="5"/>
  <c r="I4869" i="5"/>
  <c r="I4870" i="5"/>
  <c r="I4871" i="5"/>
  <c r="I4872" i="5"/>
  <c r="I4873" i="5"/>
  <c r="I4874" i="5"/>
  <c r="I4875" i="5"/>
  <c r="I4876" i="5"/>
  <c r="I4877" i="5"/>
  <c r="I4878" i="5"/>
  <c r="I4879" i="5"/>
  <c r="I4880" i="5"/>
  <c r="I4881" i="5"/>
  <c r="I4882" i="5"/>
  <c r="I4883" i="5"/>
  <c r="I4884" i="5"/>
  <c r="I4885" i="5"/>
  <c r="I4886" i="5"/>
  <c r="I4887" i="5"/>
  <c r="I4888" i="5"/>
  <c r="I4889" i="5"/>
  <c r="I4890" i="5"/>
  <c r="I4891" i="5"/>
  <c r="I4892" i="5"/>
  <c r="I4893" i="5"/>
  <c r="I4894" i="5"/>
  <c r="I4895" i="5"/>
  <c r="I4896" i="5"/>
  <c r="I4897" i="5"/>
  <c r="I4898" i="5"/>
  <c r="I4899" i="5"/>
  <c r="I4900" i="5"/>
  <c r="I4901" i="5"/>
  <c r="I4902" i="5"/>
  <c r="I4903" i="5"/>
  <c r="I4904" i="5"/>
  <c r="I4905" i="5"/>
  <c r="I4906" i="5"/>
  <c r="I4907" i="5"/>
  <c r="I4908" i="5"/>
  <c r="I4909" i="5"/>
  <c r="I4910" i="5"/>
  <c r="I4911" i="5"/>
  <c r="I4912" i="5"/>
  <c r="I4913" i="5"/>
  <c r="I4914" i="5"/>
  <c r="I4915" i="5"/>
  <c r="I4916" i="5"/>
  <c r="I4917" i="5"/>
  <c r="I4918" i="5"/>
  <c r="I4919" i="5"/>
  <c r="I4920" i="5"/>
  <c r="I4921" i="5"/>
  <c r="I4922" i="5"/>
  <c r="I4923" i="5"/>
  <c r="I4924" i="5"/>
  <c r="I4925" i="5"/>
  <c r="I4926" i="5"/>
  <c r="I4927" i="5"/>
  <c r="I4928" i="5"/>
  <c r="I4929" i="5"/>
  <c r="I4930" i="5"/>
  <c r="I4931" i="5"/>
  <c r="I4932" i="5"/>
  <c r="I4933" i="5"/>
  <c r="I4934" i="5"/>
  <c r="I4935" i="5"/>
  <c r="I4936" i="5"/>
  <c r="I4937" i="5"/>
  <c r="I4938" i="5"/>
  <c r="I4" i="5"/>
  <c r="G5" i="6" l="1"/>
  <c r="I5" i="6" s="1"/>
  <c r="G6" i="6"/>
  <c r="G7" i="6"/>
  <c r="G8" i="6"/>
  <c r="I8" i="6" s="1"/>
  <c r="G9" i="6"/>
  <c r="G10" i="6"/>
  <c r="G11" i="6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G23" i="6"/>
  <c r="G24" i="6"/>
  <c r="I24" i="6" s="1"/>
  <c r="G25" i="6"/>
  <c r="G26" i="6"/>
  <c r="G27" i="6"/>
  <c r="I27" i="6" s="1"/>
  <c r="G28" i="6"/>
  <c r="I28" i="6" s="1"/>
  <c r="G29" i="6"/>
  <c r="I29" i="6" s="1"/>
  <c r="G30" i="6"/>
  <c r="G31" i="6"/>
  <c r="I31" i="6" s="1"/>
  <c r="G32" i="6"/>
  <c r="I32" i="6" s="1"/>
  <c r="G33" i="6"/>
  <c r="I33" i="6" s="1"/>
  <c r="G34" i="6"/>
  <c r="I34" i="6" s="1"/>
  <c r="G35" i="6"/>
  <c r="I35" i="6" s="1"/>
  <c r="G36" i="6"/>
  <c r="I36" i="6" s="1"/>
  <c r="G37" i="6"/>
  <c r="I37" i="6" s="1"/>
  <c r="G38" i="6"/>
  <c r="I38" i="6" s="1"/>
  <c r="G39" i="6"/>
  <c r="G40" i="6"/>
  <c r="I40" i="6" s="1"/>
  <c r="G41" i="6"/>
  <c r="G42" i="6"/>
  <c r="G43" i="6"/>
  <c r="G44" i="6"/>
  <c r="G45" i="6"/>
  <c r="I45" i="6" s="1"/>
  <c r="G46" i="6"/>
  <c r="I46" i="6" s="1"/>
  <c r="G47" i="6"/>
  <c r="I47" i="6" s="1"/>
  <c r="G48" i="6"/>
  <c r="I48" i="6" s="1"/>
  <c r="G49" i="6"/>
  <c r="I49" i="6" s="1"/>
  <c r="G50" i="6"/>
  <c r="I50" i="6" s="1"/>
  <c r="G51" i="6"/>
  <c r="I51" i="6" s="1"/>
  <c r="G52" i="6"/>
  <c r="I52" i="6" s="1"/>
  <c r="G53" i="6"/>
  <c r="I53" i="6" s="1"/>
  <c r="G54" i="6"/>
  <c r="G55" i="6"/>
  <c r="G56" i="6"/>
  <c r="I56" i="6" s="1"/>
  <c r="G57" i="6"/>
  <c r="G58" i="6"/>
  <c r="G59" i="6"/>
  <c r="I59" i="6" s="1"/>
  <c r="G60" i="6"/>
  <c r="I60" i="6" s="1"/>
  <c r="G61" i="6"/>
  <c r="I61" i="6" s="1"/>
  <c r="G62" i="6"/>
  <c r="I62" i="6" s="1"/>
  <c r="G63" i="6"/>
  <c r="I63" i="6" s="1"/>
  <c r="G64" i="6"/>
  <c r="I64" i="6" s="1"/>
  <c r="G65" i="6"/>
  <c r="I65" i="6" s="1"/>
  <c r="G66" i="6"/>
  <c r="I66" i="6" s="1"/>
  <c r="G67" i="6"/>
  <c r="I67" i="6" s="1"/>
  <c r="G68" i="6"/>
  <c r="I68" i="6" s="1"/>
  <c r="G69" i="6"/>
  <c r="I69" i="6" s="1"/>
  <c r="G70" i="6"/>
  <c r="I70" i="6" s="1"/>
  <c r="G71" i="6"/>
  <c r="G72" i="6"/>
  <c r="I72" i="6" s="1"/>
  <c r="G73" i="6"/>
  <c r="I73" i="6" s="1"/>
  <c r="G74" i="6"/>
  <c r="G75" i="6"/>
  <c r="G76" i="6"/>
  <c r="I76" i="6" s="1"/>
  <c r="G77" i="6"/>
  <c r="I77" i="6" s="1"/>
  <c r="G78" i="6"/>
  <c r="I78" i="6" s="1"/>
  <c r="G79" i="6"/>
  <c r="I79" i="6" s="1"/>
  <c r="G80" i="6"/>
  <c r="I80" i="6" s="1"/>
  <c r="G81" i="6"/>
  <c r="I81" i="6" s="1"/>
  <c r="G82" i="6"/>
  <c r="I82" i="6" s="1"/>
  <c r="G83" i="6"/>
  <c r="I83" i="6" s="1"/>
  <c r="G84" i="6"/>
  <c r="I84" i="6" s="1"/>
  <c r="G85" i="6"/>
  <c r="I85" i="6" s="1"/>
  <c r="G86" i="6"/>
  <c r="I86" i="6" s="1"/>
  <c r="G87" i="6"/>
  <c r="G88" i="6"/>
  <c r="I88" i="6" s="1"/>
  <c r="G89" i="6"/>
  <c r="G90" i="6"/>
  <c r="G91" i="6"/>
  <c r="I91" i="6" s="1"/>
  <c r="G92" i="6"/>
  <c r="I92" i="6" s="1"/>
  <c r="G93" i="6"/>
  <c r="I93" i="6" s="1"/>
  <c r="G94" i="6"/>
  <c r="I94" i="6" s="1"/>
  <c r="G95" i="6"/>
  <c r="I95" i="6" s="1"/>
  <c r="G96" i="6"/>
  <c r="I96" i="6" s="1"/>
  <c r="G97" i="6"/>
  <c r="I97" i="6" s="1"/>
  <c r="G98" i="6"/>
  <c r="I98" i="6" s="1"/>
  <c r="G99" i="6"/>
  <c r="I99" i="6" s="1"/>
  <c r="G100" i="6"/>
  <c r="I100" i="6" s="1"/>
  <c r="G101" i="6"/>
  <c r="I101" i="6" s="1"/>
  <c r="G102" i="6"/>
  <c r="I102" i="6" s="1"/>
  <c r="G103" i="6"/>
  <c r="I103" i="6" s="1"/>
  <c r="G104" i="6"/>
  <c r="I104" i="6" s="1"/>
  <c r="G105" i="6"/>
  <c r="I105" i="6" s="1"/>
  <c r="G106" i="6"/>
  <c r="G107" i="6"/>
  <c r="I107" i="6" s="1"/>
  <c r="G108" i="6"/>
  <c r="I108" i="6" s="1"/>
  <c r="G109" i="6"/>
  <c r="I109" i="6" s="1"/>
  <c r="G110" i="6"/>
  <c r="I110" i="6" s="1"/>
  <c r="G111" i="6"/>
  <c r="I111" i="6" s="1"/>
  <c r="G112" i="6"/>
  <c r="I112" i="6" s="1"/>
  <c r="G113" i="6"/>
  <c r="I113" i="6" s="1"/>
  <c r="G114" i="6"/>
  <c r="I114" i="6" s="1"/>
  <c r="G115" i="6"/>
  <c r="I115" i="6" s="1"/>
  <c r="G116" i="6"/>
  <c r="I116" i="6" s="1"/>
  <c r="G117" i="6"/>
  <c r="I117" i="6" s="1"/>
  <c r="G118" i="6"/>
  <c r="I118" i="6" s="1"/>
  <c r="G119" i="6"/>
  <c r="I119" i="6" s="1"/>
  <c r="G120" i="6"/>
  <c r="I120" i="6" s="1"/>
  <c r="G121" i="6"/>
  <c r="G122" i="6"/>
  <c r="I122" i="6" s="1"/>
  <c r="G123" i="6"/>
  <c r="I123" i="6" s="1"/>
  <c r="G124" i="6"/>
  <c r="I124" i="6" s="1"/>
  <c r="G125" i="6"/>
  <c r="I125" i="6" s="1"/>
  <c r="G126" i="6"/>
  <c r="I126" i="6" s="1"/>
  <c r="G127" i="6"/>
  <c r="I127" i="6" s="1"/>
  <c r="G128" i="6"/>
  <c r="I128" i="6" s="1"/>
  <c r="G129" i="6"/>
  <c r="I129" i="6" s="1"/>
  <c r="G130" i="6"/>
  <c r="I130" i="6" s="1"/>
  <c r="G131" i="6"/>
  <c r="I131" i="6" s="1"/>
  <c r="G132" i="6"/>
  <c r="I132" i="6" s="1"/>
  <c r="G133" i="6"/>
  <c r="I133" i="6" s="1"/>
  <c r="G134" i="6"/>
  <c r="I134" i="6" s="1"/>
  <c r="G135" i="6"/>
  <c r="G136" i="6"/>
  <c r="I136" i="6" s="1"/>
  <c r="G137" i="6"/>
  <c r="I137" i="6" s="1"/>
  <c r="G138" i="6"/>
  <c r="G139" i="6"/>
  <c r="I139" i="6" s="1"/>
  <c r="G140" i="6"/>
  <c r="I140" i="6" s="1"/>
  <c r="G141" i="6"/>
  <c r="I141" i="6" s="1"/>
  <c r="G142" i="6"/>
  <c r="I142" i="6" s="1"/>
  <c r="G143" i="6"/>
  <c r="I143" i="6" s="1"/>
  <c r="G144" i="6"/>
  <c r="I144" i="6" s="1"/>
  <c r="G145" i="6"/>
  <c r="I145" i="6" s="1"/>
  <c r="G146" i="6"/>
  <c r="I146" i="6" s="1"/>
  <c r="G147" i="6"/>
  <c r="I147" i="6" s="1"/>
  <c r="G148" i="6"/>
  <c r="I148" i="6" s="1"/>
  <c r="G149" i="6"/>
  <c r="I149" i="6" s="1"/>
  <c r="G150" i="6"/>
  <c r="I150" i="6" s="1"/>
  <c r="G151" i="6"/>
  <c r="G152" i="6"/>
  <c r="I152" i="6" s="1"/>
  <c r="G153" i="6"/>
  <c r="I153" i="6" s="1"/>
  <c r="G154" i="6"/>
  <c r="I154" i="6" s="1"/>
  <c r="G155" i="6"/>
  <c r="I155" i="6" s="1"/>
  <c r="G156" i="6"/>
  <c r="I156" i="6" s="1"/>
  <c r="G157" i="6"/>
  <c r="I157" i="6" s="1"/>
  <c r="G158" i="6"/>
  <c r="I158" i="6" s="1"/>
  <c r="G159" i="6"/>
  <c r="I159" i="6" s="1"/>
  <c r="G160" i="6"/>
  <c r="I160" i="6" s="1"/>
  <c r="G161" i="6"/>
  <c r="I161" i="6" s="1"/>
  <c r="G162" i="6"/>
  <c r="I162" i="6" s="1"/>
  <c r="G163" i="6"/>
  <c r="I163" i="6" s="1"/>
  <c r="G164" i="6"/>
  <c r="I164" i="6" s="1"/>
  <c r="G165" i="6"/>
  <c r="I165" i="6" s="1"/>
  <c r="G166" i="6"/>
  <c r="I166" i="6" s="1"/>
  <c r="G167" i="6"/>
  <c r="I167" i="6" s="1"/>
  <c r="G168" i="6"/>
  <c r="I168" i="6" s="1"/>
  <c r="G169" i="6"/>
  <c r="I169" i="6" s="1"/>
  <c r="G170" i="6"/>
  <c r="G171" i="6"/>
  <c r="I171" i="6" s="1"/>
  <c r="G172" i="6"/>
  <c r="I172" i="6" s="1"/>
  <c r="G173" i="6"/>
  <c r="I173" i="6" s="1"/>
  <c r="G174" i="6"/>
  <c r="I174" i="6" s="1"/>
  <c r="G175" i="6"/>
  <c r="I175" i="6" s="1"/>
  <c r="G176" i="6"/>
  <c r="I176" i="6" s="1"/>
  <c r="G177" i="6"/>
  <c r="I177" i="6" s="1"/>
  <c r="G178" i="6"/>
  <c r="I178" i="6" s="1"/>
  <c r="G179" i="6"/>
  <c r="I179" i="6" s="1"/>
  <c r="G180" i="6"/>
  <c r="I180" i="6" s="1"/>
  <c r="G181" i="6"/>
  <c r="I181" i="6" s="1"/>
  <c r="G182" i="6"/>
  <c r="I182" i="6" s="1"/>
  <c r="G183" i="6"/>
  <c r="I183" i="6" s="1"/>
  <c r="G184" i="6"/>
  <c r="I184" i="6" s="1"/>
  <c r="G185" i="6"/>
  <c r="I185" i="6" s="1"/>
  <c r="G186" i="6"/>
  <c r="I186" i="6" s="1"/>
  <c r="G187" i="6"/>
  <c r="I187" i="6" s="1"/>
  <c r="G188" i="6"/>
  <c r="I188" i="6" s="1"/>
  <c r="G189" i="6"/>
  <c r="I189" i="6" s="1"/>
  <c r="G190" i="6"/>
  <c r="I190" i="6" s="1"/>
  <c r="G191" i="6"/>
  <c r="I191" i="6" s="1"/>
  <c r="G192" i="6"/>
  <c r="I192" i="6" s="1"/>
  <c r="G193" i="6"/>
  <c r="I193" i="6" s="1"/>
  <c r="G194" i="6"/>
  <c r="I194" i="6" s="1"/>
  <c r="G195" i="6"/>
  <c r="I195" i="6" s="1"/>
  <c r="G196" i="6"/>
  <c r="I196" i="6" s="1"/>
  <c r="G197" i="6"/>
  <c r="I197" i="6" s="1"/>
  <c r="G198" i="6"/>
  <c r="I198" i="6" s="1"/>
  <c r="G199" i="6"/>
  <c r="I199" i="6" s="1"/>
  <c r="G200" i="6"/>
  <c r="I200" i="6" s="1"/>
  <c r="G201" i="6"/>
  <c r="I201" i="6" s="1"/>
  <c r="G202" i="6"/>
  <c r="G203" i="6"/>
  <c r="I203" i="6" s="1"/>
  <c r="G204" i="6"/>
  <c r="I204" i="6" s="1"/>
  <c r="G205" i="6"/>
  <c r="I205" i="6" s="1"/>
  <c r="G206" i="6"/>
  <c r="I206" i="6" s="1"/>
  <c r="G207" i="6"/>
  <c r="I207" i="6" s="1"/>
  <c r="G208" i="6"/>
  <c r="I208" i="6" s="1"/>
  <c r="G209" i="6"/>
  <c r="I209" i="6" s="1"/>
  <c r="G210" i="6"/>
  <c r="I210" i="6" s="1"/>
  <c r="G211" i="6"/>
  <c r="I211" i="6" s="1"/>
  <c r="G212" i="6"/>
  <c r="I212" i="6" s="1"/>
  <c r="G213" i="6"/>
  <c r="I213" i="6" s="1"/>
  <c r="G214" i="6"/>
  <c r="I214" i="6" s="1"/>
  <c r="G215" i="6"/>
  <c r="G216" i="6"/>
  <c r="I216" i="6" s="1"/>
  <c r="G217" i="6"/>
  <c r="G218" i="6"/>
  <c r="I218" i="6" s="1"/>
  <c r="G219" i="6"/>
  <c r="I219" i="6" s="1"/>
  <c r="G220" i="6"/>
  <c r="I220" i="6" s="1"/>
  <c r="G221" i="6"/>
  <c r="I221" i="6" s="1"/>
  <c r="G222" i="6"/>
  <c r="I222" i="6" s="1"/>
  <c r="G223" i="6"/>
  <c r="I223" i="6" s="1"/>
  <c r="G224" i="6"/>
  <c r="I224" i="6" s="1"/>
  <c r="G225" i="6"/>
  <c r="I225" i="6" s="1"/>
  <c r="G226" i="6"/>
  <c r="I226" i="6" s="1"/>
  <c r="G227" i="6"/>
  <c r="I227" i="6" s="1"/>
  <c r="G228" i="6"/>
  <c r="I228" i="6" s="1"/>
  <c r="G229" i="6"/>
  <c r="I229" i="6" s="1"/>
  <c r="G230" i="6"/>
  <c r="I230" i="6" s="1"/>
  <c r="G231" i="6"/>
  <c r="G232" i="6"/>
  <c r="I232" i="6" s="1"/>
  <c r="G233" i="6"/>
  <c r="I233" i="6" s="1"/>
  <c r="G234" i="6"/>
  <c r="G235" i="6"/>
  <c r="I235" i="6" s="1"/>
  <c r="G236" i="6"/>
  <c r="I236" i="6" s="1"/>
  <c r="G237" i="6"/>
  <c r="I237" i="6" s="1"/>
  <c r="G238" i="6"/>
  <c r="G239" i="6"/>
  <c r="I239" i="6" s="1"/>
  <c r="G240" i="6"/>
  <c r="I240" i="6" s="1"/>
  <c r="G241" i="6"/>
  <c r="I241" i="6" s="1"/>
  <c r="G242" i="6"/>
  <c r="I242" i="6" s="1"/>
  <c r="G243" i="6"/>
  <c r="I243" i="6" s="1"/>
  <c r="G244" i="6"/>
  <c r="I244" i="6" s="1"/>
  <c r="G245" i="6"/>
  <c r="I245" i="6" s="1"/>
  <c r="G246" i="6"/>
  <c r="I246" i="6" s="1"/>
  <c r="G247" i="6"/>
  <c r="I247" i="6" s="1"/>
  <c r="G248" i="6"/>
  <c r="I248" i="6" s="1"/>
  <c r="G249" i="6"/>
  <c r="I249" i="6" s="1"/>
  <c r="G250" i="6"/>
  <c r="G251" i="6"/>
  <c r="I251" i="6" s="1"/>
  <c r="G252" i="6"/>
  <c r="I252" i="6" s="1"/>
  <c r="G253" i="6"/>
  <c r="I253" i="6" s="1"/>
  <c r="G254" i="6"/>
  <c r="I254" i="6" s="1"/>
  <c r="G255" i="6"/>
  <c r="I255" i="6" s="1"/>
  <c r="G256" i="6"/>
  <c r="I256" i="6" s="1"/>
  <c r="G257" i="6"/>
  <c r="I257" i="6" s="1"/>
  <c r="G258" i="6"/>
  <c r="I258" i="6" s="1"/>
  <c r="G259" i="6"/>
  <c r="I259" i="6" s="1"/>
  <c r="G260" i="6"/>
  <c r="I260" i="6" s="1"/>
  <c r="G261" i="6"/>
  <c r="I261" i="6" s="1"/>
  <c r="G262" i="6"/>
  <c r="I262" i="6" s="1"/>
  <c r="G263" i="6"/>
  <c r="I263" i="6" s="1"/>
  <c r="G264" i="6"/>
  <c r="I264" i="6" s="1"/>
  <c r="G265" i="6"/>
  <c r="I265" i="6" s="1"/>
  <c r="G266" i="6"/>
  <c r="G267" i="6"/>
  <c r="I267" i="6" s="1"/>
  <c r="G268" i="6"/>
  <c r="I268" i="6" s="1"/>
  <c r="G269" i="6"/>
  <c r="I269" i="6" s="1"/>
  <c r="G270" i="6"/>
  <c r="I270" i="6" s="1"/>
  <c r="G271" i="6"/>
  <c r="I271" i="6" s="1"/>
  <c r="G272" i="6"/>
  <c r="I272" i="6" s="1"/>
  <c r="G273" i="6"/>
  <c r="I273" i="6" s="1"/>
  <c r="G274" i="6"/>
  <c r="I274" i="6" s="1"/>
  <c r="G275" i="6"/>
  <c r="I275" i="6" s="1"/>
  <c r="G276" i="6"/>
  <c r="I276" i="6" s="1"/>
  <c r="G277" i="6"/>
  <c r="I277" i="6" s="1"/>
  <c r="G278" i="6"/>
  <c r="I278" i="6" s="1"/>
  <c r="G279" i="6"/>
  <c r="I279" i="6" s="1"/>
  <c r="G280" i="6"/>
  <c r="I280" i="6" s="1"/>
  <c r="G281" i="6"/>
  <c r="I281" i="6" s="1"/>
  <c r="G282" i="6"/>
  <c r="I282" i="6" s="1"/>
  <c r="G283" i="6"/>
  <c r="I283" i="6" s="1"/>
  <c r="G284" i="6"/>
  <c r="I284" i="6" s="1"/>
  <c r="G285" i="6"/>
  <c r="I285" i="6" s="1"/>
  <c r="G286" i="6"/>
  <c r="I286" i="6" s="1"/>
  <c r="G287" i="6"/>
  <c r="I287" i="6" s="1"/>
  <c r="G288" i="6"/>
  <c r="I288" i="6" s="1"/>
  <c r="G289" i="6"/>
  <c r="I289" i="6" s="1"/>
  <c r="G290" i="6"/>
  <c r="I290" i="6" s="1"/>
  <c r="G291" i="6"/>
  <c r="I291" i="6" s="1"/>
  <c r="G292" i="6"/>
  <c r="I292" i="6" s="1"/>
  <c r="G293" i="6"/>
  <c r="I293" i="6" s="1"/>
  <c r="G294" i="6"/>
  <c r="I294" i="6" s="1"/>
  <c r="G295" i="6"/>
  <c r="G296" i="6"/>
  <c r="I296" i="6" s="1"/>
  <c r="G297" i="6"/>
  <c r="I297" i="6" s="1"/>
  <c r="G298" i="6"/>
  <c r="G299" i="6"/>
  <c r="I299" i="6" s="1"/>
  <c r="G300" i="6"/>
  <c r="I300" i="6" s="1"/>
  <c r="G301" i="6"/>
  <c r="I301" i="6" s="1"/>
  <c r="G302" i="6"/>
  <c r="I302" i="6" s="1"/>
  <c r="G303" i="6"/>
  <c r="I303" i="6" s="1"/>
  <c r="G304" i="6"/>
  <c r="I304" i="6" s="1"/>
  <c r="G305" i="6"/>
  <c r="I305" i="6" s="1"/>
  <c r="G306" i="6"/>
  <c r="I306" i="6" s="1"/>
  <c r="G307" i="6"/>
  <c r="I307" i="6" s="1"/>
  <c r="G308" i="6"/>
  <c r="I308" i="6" s="1"/>
  <c r="G309" i="6"/>
  <c r="I309" i="6" s="1"/>
  <c r="G310" i="6"/>
  <c r="I310" i="6" s="1"/>
  <c r="G311" i="6"/>
  <c r="I311" i="6" s="1"/>
  <c r="G312" i="6"/>
  <c r="I312" i="6" s="1"/>
  <c r="G313" i="6"/>
  <c r="I313" i="6" s="1"/>
  <c r="G314" i="6"/>
  <c r="G315" i="6"/>
  <c r="I315" i="6" s="1"/>
  <c r="G316" i="6"/>
  <c r="I316" i="6" s="1"/>
  <c r="G317" i="6"/>
  <c r="I317" i="6" s="1"/>
  <c r="G318" i="6"/>
  <c r="I318" i="6" s="1"/>
  <c r="G319" i="6"/>
  <c r="I319" i="6" s="1"/>
  <c r="G320" i="6"/>
  <c r="I320" i="6" s="1"/>
  <c r="G321" i="6"/>
  <c r="I321" i="6" s="1"/>
  <c r="G322" i="6"/>
  <c r="I322" i="6" s="1"/>
  <c r="G323" i="6"/>
  <c r="I323" i="6" s="1"/>
  <c r="G324" i="6"/>
  <c r="I324" i="6" s="1"/>
  <c r="G325" i="6"/>
  <c r="I325" i="6" s="1"/>
  <c r="G326" i="6"/>
  <c r="I326" i="6" s="1"/>
  <c r="G327" i="6"/>
  <c r="I327" i="6" s="1"/>
  <c r="G328" i="6"/>
  <c r="I328" i="6" s="1"/>
  <c r="G329" i="6"/>
  <c r="G330" i="6"/>
  <c r="G331" i="6"/>
  <c r="I331" i="6" s="1"/>
  <c r="G332" i="6"/>
  <c r="I332" i="6" s="1"/>
  <c r="G333" i="6"/>
  <c r="I333" i="6" s="1"/>
  <c r="G334" i="6"/>
  <c r="I334" i="6" s="1"/>
  <c r="G335" i="6"/>
  <c r="I335" i="6" s="1"/>
  <c r="G336" i="6"/>
  <c r="I336" i="6" s="1"/>
  <c r="G337" i="6"/>
  <c r="I337" i="6" s="1"/>
  <c r="G338" i="6"/>
  <c r="I338" i="6" s="1"/>
  <c r="G339" i="6"/>
  <c r="I339" i="6" s="1"/>
  <c r="G340" i="6"/>
  <c r="I340" i="6" s="1"/>
  <c r="G341" i="6"/>
  <c r="I341" i="6" s="1"/>
  <c r="G342" i="6"/>
  <c r="I342" i="6" s="1"/>
  <c r="G343" i="6"/>
  <c r="I343" i="6" s="1"/>
  <c r="G344" i="6"/>
  <c r="I344" i="6" s="1"/>
  <c r="G345" i="6"/>
  <c r="I345" i="6" s="1"/>
  <c r="G346" i="6"/>
  <c r="I346" i="6" s="1"/>
  <c r="G347" i="6"/>
  <c r="I347" i="6" s="1"/>
  <c r="G348" i="6"/>
  <c r="I348" i="6" s="1"/>
  <c r="G349" i="6"/>
  <c r="I349" i="6" s="1"/>
  <c r="G350" i="6"/>
  <c r="I350" i="6" s="1"/>
  <c r="G351" i="6"/>
  <c r="I351" i="6" s="1"/>
  <c r="G352" i="6"/>
  <c r="I352" i="6" s="1"/>
  <c r="G353" i="6"/>
  <c r="I353" i="6" s="1"/>
  <c r="G354" i="6"/>
  <c r="I354" i="6" s="1"/>
  <c r="G355" i="6"/>
  <c r="I355" i="6" s="1"/>
  <c r="G356" i="6"/>
  <c r="I356" i="6" s="1"/>
  <c r="G357" i="6"/>
  <c r="I357" i="6" s="1"/>
  <c r="G358" i="6"/>
  <c r="I358" i="6" s="1"/>
  <c r="G359" i="6"/>
  <c r="G360" i="6"/>
  <c r="I360" i="6" s="1"/>
  <c r="G361" i="6"/>
  <c r="I361" i="6" s="1"/>
  <c r="G362" i="6"/>
  <c r="G363" i="6"/>
  <c r="I363" i="6" s="1"/>
  <c r="G364" i="6"/>
  <c r="I364" i="6" s="1"/>
  <c r="G365" i="6"/>
  <c r="I365" i="6" s="1"/>
  <c r="G366" i="6"/>
  <c r="I366" i="6" s="1"/>
  <c r="G367" i="6"/>
  <c r="I367" i="6" s="1"/>
  <c r="G368" i="6"/>
  <c r="I368" i="6" s="1"/>
  <c r="G369" i="6"/>
  <c r="I369" i="6" s="1"/>
  <c r="G370" i="6"/>
  <c r="I370" i="6" s="1"/>
  <c r="G371" i="6"/>
  <c r="I371" i="6" s="1"/>
  <c r="G372" i="6"/>
  <c r="I372" i="6" s="1"/>
  <c r="G373" i="6"/>
  <c r="I373" i="6" s="1"/>
  <c r="G374" i="6"/>
  <c r="I374" i="6" s="1"/>
  <c r="G375" i="6"/>
  <c r="I375" i="6" s="1"/>
  <c r="G376" i="6"/>
  <c r="I376" i="6" s="1"/>
  <c r="G377" i="6"/>
  <c r="I377" i="6" s="1"/>
  <c r="G378" i="6"/>
  <c r="I378" i="6" s="1"/>
  <c r="G379" i="6"/>
  <c r="I379" i="6" s="1"/>
  <c r="G380" i="6"/>
  <c r="I380" i="6" s="1"/>
  <c r="G381" i="6"/>
  <c r="I381" i="6" s="1"/>
  <c r="G382" i="6"/>
  <c r="I382" i="6" s="1"/>
  <c r="G383" i="6"/>
  <c r="I383" i="6" s="1"/>
  <c r="G384" i="6"/>
  <c r="I384" i="6" s="1"/>
  <c r="G385" i="6"/>
  <c r="I385" i="6" s="1"/>
  <c r="G386" i="6"/>
  <c r="I386" i="6" s="1"/>
  <c r="G387" i="6"/>
  <c r="I387" i="6" s="1"/>
  <c r="G388" i="6"/>
  <c r="I388" i="6" s="1"/>
  <c r="G389" i="6"/>
  <c r="I389" i="6" s="1"/>
  <c r="G390" i="6"/>
  <c r="I390" i="6" s="1"/>
  <c r="G391" i="6"/>
  <c r="I391" i="6" s="1"/>
  <c r="G392" i="6"/>
  <c r="I392" i="6" s="1"/>
  <c r="G393" i="6"/>
  <c r="G394" i="6"/>
  <c r="G395" i="6"/>
  <c r="G396" i="6"/>
  <c r="I396" i="6" s="1"/>
  <c r="G397" i="6"/>
  <c r="I397" i="6" s="1"/>
  <c r="G398" i="6"/>
  <c r="I398" i="6" s="1"/>
  <c r="G399" i="6"/>
  <c r="I399" i="6" s="1"/>
  <c r="G400" i="6"/>
  <c r="I400" i="6" s="1"/>
  <c r="G401" i="6"/>
  <c r="I401" i="6" s="1"/>
  <c r="G402" i="6"/>
  <c r="I402" i="6" s="1"/>
  <c r="G403" i="6"/>
  <c r="I403" i="6" s="1"/>
  <c r="G404" i="6"/>
  <c r="I404" i="6" s="1"/>
  <c r="G405" i="6"/>
  <c r="I405" i="6" s="1"/>
  <c r="G406" i="6"/>
  <c r="I406" i="6" s="1"/>
  <c r="G407" i="6"/>
  <c r="G408" i="6"/>
  <c r="I408" i="6" s="1"/>
  <c r="G409" i="6"/>
  <c r="I409" i="6" s="1"/>
  <c r="G410" i="6"/>
  <c r="I410" i="6" s="1"/>
  <c r="G411" i="6"/>
  <c r="I411" i="6" s="1"/>
  <c r="G412" i="6"/>
  <c r="I412" i="6" s="1"/>
  <c r="G413" i="6"/>
  <c r="I413" i="6" s="1"/>
  <c r="G414" i="6"/>
  <c r="G415" i="6"/>
  <c r="I415" i="6" s="1"/>
  <c r="G416" i="6"/>
  <c r="I416" i="6" s="1"/>
  <c r="G417" i="6"/>
  <c r="I417" i="6" s="1"/>
  <c r="G418" i="6"/>
  <c r="I418" i="6" s="1"/>
  <c r="G419" i="6"/>
  <c r="I419" i="6" s="1"/>
  <c r="G420" i="6"/>
  <c r="I420" i="6" s="1"/>
  <c r="G421" i="6"/>
  <c r="I421" i="6" s="1"/>
  <c r="G422" i="6"/>
  <c r="I422" i="6" s="1"/>
  <c r="G423" i="6"/>
  <c r="G424" i="6"/>
  <c r="I424" i="6" s="1"/>
  <c r="G425" i="6"/>
  <c r="I425" i="6" s="1"/>
  <c r="G426" i="6"/>
  <c r="G427" i="6"/>
  <c r="I427" i="6" s="1"/>
  <c r="G428" i="6"/>
  <c r="I428" i="6" s="1"/>
  <c r="G429" i="6"/>
  <c r="I429" i="6" s="1"/>
  <c r="G430" i="6"/>
  <c r="I430" i="6" s="1"/>
  <c r="G431" i="6"/>
  <c r="I431" i="6" s="1"/>
  <c r="G432" i="6"/>
  <c r="I432" i="6" s="1"/>
  <c r="G433" i="6"/>
  <c r="I433" i="6" s="1"/>
  <c r="G434" i="6"/>
  <c r="I434" i="6" s="1"/>
  <c r="G435" i="6"/>
  <c r="I435" i="6" s="1"/>
  <c r="G436" i="6"/>
  <c r="I436" i="6" s="1"/>
  <c r="G437" i="6"/>
  <c r="I437" i="6" s="1"/>
  <c r="G438" i="6"/>
  <c r="I438" i="6" s="1"/>
  <c r="G439" i="6"/>
  <c r="I439" i="6" s="1"/>
  <c r="G440" i="6"/>
  <c r="I440" i="6" s="1"/>
  <c r="G441" i="6"/>
  <c r="I441" i="6" s="1"/>
  <c r="G442" i="6"/>
  <c r="G443" i="6"/>
  <c r="I443" i="6" s="1"/>
  <c r="G444" i="6"/>
  <c r="I444" i="6" s="1"/>
  <c r="G445" i="6"/>
  <c r="I445" i="6" s="1"/>
  <c r="G446" i="6"/>
  <c r="I446" i="6" s="1"/>
  <c r="G447" i="6"/>
  <c r="I447" i="6" s="1"/>
  <c r="I448" i="6"/>
  <c r="I449" i="6"/>
  <c r="I450" i="6"/>
  <c r="I451" i="6"/>
  <c r="I452" i="6"/>
  <c r="I453" i="6"/>
  <c r="I454" i="6"/>
  <c r="I455" i="6"/>
  <c r="I456" i="6"/>
  <c r="I457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5" i="6"/>
  <c r="I476" i="6"/>
  <c r="I477" i="6"/>
  <c r="I478" i="6"/>
  <c r="G479" i="6"/>
  <c r="I479" i="6" s="1"/>
  <c r="G480" i="6"/>
  <c r="I480" i="6" s="1"/>
  <c r="G481" i="6"/>
  <c r="I481" i="6" s="1"/>
  <c r="G482" i="6"/>
  <c r="I482" i="6" s="1"/>
  <c r="G483" i="6"/>
  <c r="I483" i="6" s="1"/>
  <c r="G484" i="6"/>
  <c r="I484" i="6" s="1"/>
  <c r="G485" i="6"/>
  <c r="I485" i="6" s="1"/>
  <c r="G486" i="6"/>
  <c r="I486" i="6" s="1"/>
  <c r="G487" i="6"/>
  <c r="I487" i="6" s="1"/>
  <c r="G488" i="6"/>
  <c r="I488" i="6" s="1"/>
  <c r="G489" i="6"/>
  <c r="I489" i="6" s="1"/>
  <c r="G490" i="6"/>
  <c r="G491" i="6"/>
  <c r="I491" i="6" s="1"/>
  <c r="G492" i="6"/>
  <c r="I492" i="6" s="1"/>
  <c r="G493" i="6"/>
  <c r="I493" i="6" s="1"/>
  <c r="G494" i="6"/>
  <c r="I494" i="6" s="1"/>
  <c r="G495" i="6"/>
  <c r="I495" i="6" s="1"/>
  <c r="G496" i="6"/>
  <c r="I496" i="6" s="1"/>
  <c r="G497" i="6"/>
  <c r="I497" i="6" s="1"/>
  <c r="G498" i="6"/>
  <c r="I498" i="6" s="1"/>
  <c r="G499" i="6"/>
  <c r="I499" i="6" s="1"/>
  <c r="G500" i="6"/>
  <c r="I500" i="6" s="1"/>
  <c r="G501" i="6"/>
  <c r="I501" i="6" s="1"/>
  <c r="G502" i="6"/>
  <c r="I502" i="6" s="1"/>
  <c r="G503" i="6"/>
  <c r="I503" i="6" s="1"/>
  <c r="G504" i="6"/>
  <c r="I504" i="6" s="1"/>
  <c r="G505" i="6"/>
  <c r="I505" i="6" s="1"/>
  <c r="G506" i="6"/>
  <c r="G507" i="6"/>
  <c r="I507" i="6" s="1"/>
  <c r="G508" i="6"/>
  <c r="I508" i="6" s="1"/>
  <c r="G509" i="6"/>
  <c r="I509" i="6" s="1"/>
  <c r="G510" i="6"/>
  <c r="I510" i="6" s="1"/>
  <c r="G511" i="6"/>
  <c r="I511" i="6" s="1"/>
  <c r="G512" i="6"/>
  <c r="I512" i="6" s="1"/>
  <c r="G513" i="6"/>
  <c r="I513" i="6" s="1"/>
  <c r="G514" i="6"/>
  <c r="I514" i="6" s="1"/>
  <c r="G515" i="6"/>
  <c r="I515" i="6" s="1"/>
  <c r="G516" i="6"/>
  <c r="I516" i="6" s="1"/>
  <c r="G517" i="6"/>
  <c r="I517" i="6" s="1"/>
  <c r="G518" i="6"/>
  <c r="I518" i="6" s="1"/>
  <c r="G519" i="6"/>
  <c r="I519" i="6" s="1"/>
  <c r="G520" i="6"/>
  <c r="I520" i="6" s="1"/>
  <c r="G521" i="6"/>
  <c r="I521" i="6" s="1"/>
  <c r="G522" i="6"/>
  <c r="G523" i="6"/>
  <c r="I523" i="6" s="1"/>
  <c r="G524" i="6"/>
  <c r="I524" i="6" s="1"/>
  <c r="G525" i="6"/>
  <c r="I525" i="6" s="1"/>
  <c r="G526" i="6"/>
  <c r="I526" i="6" s="1"/>
  <c r="G527" i="6"/>
  <c r="I527" i="6" s="1"/>
  <c r="G528" i="6"/>
  <c r="I528" i="6" s="1"/>
  <c r="G529" i="6"/>
  <c r="I529" i="6" s="1"/>
  <c r="G530" i="6"/>
  <c r="I530" i="6" s="1"/>
  <c r="G531" i="6"/>
  <c r="I531" i="6" s="1"/>
  <c r="G532" i="6"/>
  <c r="I532" i="6" s="1"/>
  <c r="G533" i="6"/>
  <c r="I533" i="6" s="1"/>
  <c r="G534" i="6"/>
  <c r="I534" i="6" s="1"/>
  <c r="G535" i="6"/>
  <c r="I535" i="6" s="1"/>
  <c r="G536" i="6"/>
  <c r="I536" i="6" s="1"/>
  <c r="G537" i="6"/>
  <c r="I537" i="6" s="1"/>
  <c r="G538" i="6"/>
  <c r="G539" i="6"/>
  <c r="I539" i="6" s="1"/>
  <c r="G540" i="6"/>
  <c r="G541" i="6"/>
  <c r="I541" i="6" s="1"/>
  <c r="G542" i="6"/>
  <c r="I542" i="6" s="1"/>
  <c r="G543" i="6"/>
  <c r="I543" i="6" s="1"/>
  <c r="G544" i="6"/>
  <c r="I544" i="6" s="1"/>
  <c r="G545" i="6"/>
  <c r="I545" i="6" s="1"/>
  <c r="G546" i="6"/>
  <c r="I546" i="6" s="1"/>
  <c r="G547" i="6"/>
  <c r="I547" i="6" s="1"/>
  <c r="G548" i="6"/>
  <c r="I548" i="6" s="1"/>
  <c r="G549" i="6"/>
  <c r="I549" i="6" s="1"/>
  <c r="G550" i="6"/>
  <c r="I550" i="6" s="1"/>
  <c r="G551" i="6"/>
  <c r="G552" i="6"/>
  <c r="I552" i="6" s="1"/>
  <c r="G553" i="6"/>
  <c r="I553" i="6" s="1"/>
  <c r="G554" i="6"/>
  <c r="G555" i="6"/>
  <c r="I555" i="6" s="1"/>
  <c r="G556" i="6"/>
  <c r="I556" i="6" s="1"/>
  <c r="G557" i="6"/>
  <c r="I557" i="6" s="1"/>
  <c r="G558" i="6"/>
  <c r="I558" i="6" s="1"/>
  <c r="G559" i="6"/>
  <c r="I559" i="6" s="1"/>
  <c r="G560" i="6"/>
  <c r="I560" i="6" s="1"/>
  <c r="G561" i="6"/>
  <c r="I561" i="6" s="1"/>
  <c r="G562" i="6"/>
  <c r="I562" i="6" s="1"/>
  <c r="G563" i="6"/>
  <c r="I563" i="6" s="1"/>
  <c r="G564" i="6"/>
  <c r="I564" i="6" s="1"/>
  <c r="G565" i="6"/>
  <c r="I565" i="6" s="1"/>
  <c r="G566" i="6"/>
  <c r="I566" i="6" s="1"/>
  <c r="G567" i="6"/>
  <c r="I567" i="6" s="1"/>
  <c r="G568" i="6"/>
  <c r="I568" i="6" s="1"/>
  <c r="G569" i="6"/>
  <c r="I569" i="6" s="1"/>
  <c r="G570" i="6"/>
  <c r="I570" i="6" s="1"/>
  <c r="G571" i="6"/>
  <c r="I571" i="6" s="1"/>
  <c r="G572" i="6"/>
  <c r="I572" i="6" s="1"/>
  <c r="G573" i="6"/>
  <c r="I573" i="6" s="1"/>
  <c r="G574" i="6"/>
  <c r="I574" i="6" s="1"/>
  <c r="G575" i="6"/>
  <c r="I575" i="6" s="1"/>
  <c r="G576" i="6"/>
  <c r="I576" i="6" s="1"/>
  <c r="G577" i="6"/>
  <c r="I577" i="6" s="1"/>
  <c r="G578" i="6"/>
  <c r="I578" i="6" s="1"/>
  <c r="G579" i="6"/>
  <c r="I579" i="6" s="1"/>
  <c r="I580" i="6"/>
  <c r="G581" i="6"/>
  <c r="I581" i="6" s="1"/>
  <c r="G582" i="6"/>
  <c r="I582" i="6" s="1"/>
  <c r="G583" i="6"/>
  <c r="I583" i="6" s="1"/>
  <c r="G584" i="6"/>
  <c r="I584" i="6" s="1"/>
  <c r="G585" i="6"/>
  <c r="G586" i="6"/>
  <c r="G587" i="6"/>
  <c r="I587" i="6" s="1"/>
  <c r="G588" i="6"/>
  <c r="I588" i="6" s="1"/>
  <c r="G589" i="6"/>
  <c r="I589" i="6" s="1"/>
  <c r="G590" i="6"/>
  <c r="I590" i="6" s="1"/>
  <c r="G591" i="6"/>
  <c r="I591" i="6" s="1"/>
  <c r="G592" i="6"/>
  <c r="I592" i="6" s="1"/>
  <c r="G593" i="6"/>
  <c r="I593" i="6" s="1"/>
  <c r="G594" i="6"/>
  <c r="I594" i="6" s="1"/>
  <c r="G595" i="6"/>
  <c r="I595" i="6" s="1"/>
  <c r="G596" i="6"/>
  <c r="I596" i="6" s="1"/>
  <c r="G597" i="6"/>
  <c r="I597" i="6" s="1"/>
  <c r="G598" i="6"/>
  <c r="I598" i="6" s="1"/>
  <c r="G599" i="6"/>
  <c r="I599" i="6" s="1"/>
  <c r="G600" i="6"/>
  <c r="I600" i="6" s="1"/>
  <c r="G601" i="6"/>
  <c r="I601" i="6" s="1"/>
  <c r="G602" i="6"/>
  <c r="I602" i="6" s="1"/>
  <c r="G603" i="6"/>
  <c r="I603" i="6" s="1"/>
  <c r="G604" i="6"/>
  <c r="I604" i="6" s="1"/>
  <c r="G605" i="6"/>
  <c r="I605" i="6" s="1"/>
  <c r="G606" i="6"/>
  <c r="I606" i="6" s="1"/>
  <c r="G607" i="6"/>
  <c r="I607" i="6" s="1"/>
  <c r="G608" i="6"/>
  <c r="I608" i="6" s="1"/>
  <c r="G609" i="6"/>
  <c r="I609" i="6" s="1"/>
  <c r="G610" i="6"/>
  <c r="I610" i="6" s="1"/>
  <c r="G611" i="6"/>
  <c r="I611" i="6" s="1"/>
  <c r="G612" i="6"/>
  <c r="I612" i="6" s="1"/>
  <c r="G613" i="6"/>
  <c r="I613" i="6" s="1"/>
  <c r="G614" i="6"/>
  <c r="I614" i="6" s="1"/>
  <c r="G615" i="6"/>
  <c r="I615" i="6" s="1"/>
  <c r="G616" i="6"/>
  <c r="I616" i="6" s="1"/>
  <c r="G617" i="6"/>
  <c r="I617" i="6" s="1"/>
  <c r="G618" i="6"/>
  <c r="I618" i="6" s="1"/>
  <c r="G619" i="6"/>
  <c r="I619" i="6" s="1"/>
  <c r="G620" i="6"/>
  <c r="I620" i="6" s="1"/>
  <c r="G621" i="6"/>
  <c r="I621" i="6" s="1"/>
  <c r="G622" i="6"/>
  <c r="I622" i="6" s="1"/>
  <c r="G623" i="6"/>
  <c r="I623" i="6" s="1"/>
  <c r="G624" i="6"/>
  <c r="I624" i="6" s="1"/>
  <c r="G625" i="6"/>
  <c r="I625" i="6" s="1"/>
  <c r="G626" i="6"/>
  <c r="I626" i="6" s="1"/>
  <c r="G627" i="6"/>
  <c r="I627" i="6" s="1"/>
  <c r="G628" i="6"/>
  <c r="I628" i="6" s="1"/>
  <c r="G629" i="6"/>
  <c r="I629" i="6" s="1"/>
  <c r="G630" i="6"/>
  <c r="I630" i="6" s="1"/>
  <c r="G631" i="6"/>
  <c r="I631" i="6" s="1"/>
  <c r="G632" i="6"/>
  <c r="I632" i="6" s="1"/>
  <c r="G633" i="6"/>
  <c r="I633" i="6" s="1"/>
  <c r="G634" i="6"/>
  <c r="I634" i="6" s="1"/>
  <c r="G635" i="6"/>
  <c r="I635" i="6" s="1"/>
  <c r="G636" i="6"/>
  <c r="I636" i="6" s="1"/>
  <c r="G637" i="6"/>
  <c r="I637" i="6" s="1"/>
  <c r="G638" i="6"/>
  <c r="I638" i="6" s="1"/>
  <c r="G639" i="6"/>
  <c r="I639" i="6" s="1"/>
  <c r="G640" i="6"/>
  <c r="I640" i="6" s="1"/>
  <c r="G641" i="6"/>
  <c r="I641" i="6" s="1"/>
  <c r="G642" i="6"/>
  <c r="I642" i="6" s="1"/>
  <c r="G643" i="6"/>
  <c r="I643" i="6" s="1"/>
  <c r="G644" i="6"/>
  <c r="I644" i="6" s="1"/>
  <c r="G645" i="6"/>
  <c r="I645" i="6" s="1"/>
  <c r="G646" i="6"/>
  <c r="I646" i="6" s="1"/>
  <c r="G647" i="6"/>
  <c r="I647" i="6" s="1"/>
  <c r="G648" i="6"/>
  <c r="I648" i="6" s="1"/>
  <c r="G649" i="6"/>
  <c r="I649" i="6" s="1"/>
  <c r="G650" i="6"/>
  <c r="G651" i="6"/>
  <c r="I651" i="6" s="1"/>
  <c r="G652" i="6"/>
  <c r="I652" i="6" s="1"/>
  <c r="G653" i="6"/>
  <c r="I653" i="6" s="1"/>
  <c r="G654" i="6"/>
  <c r="I654" i="6" s="1"/>
  <c r="G655" i="6"/>
  <c r="I655" i="6" s="1"/>
  <c r="G656" i="6"/>
  <c r="I656" i="6" s="1"/>
  <c r="G657" i="6"/>
  <c r="I657" i="6" s="1"/>
  <c r="G658" i="6"/>
  <c r="I658" i="6" s="1"/>
  <c r="G659" i="6"/>
  <c r="I659" i="6" s="1"/>
  <c r="G660" i="6"/>
  <c r="I660" i="6" s="1"/>
  <c r="G661" i="6"/>
  <c r="I661" i="6" s="1"/>
  <c r="G662" i="6"/>
  <c r="I662" i="6" s="1"/>
  <c r="G663" i="6"/>
  <c r="I663" i="6" s="1"/>
  <c r="G664" i="6"/>
  <c r="I664" i="6" s="1"/>
  <c r="G665" i="6"/>
  <c r="I665" i="6" s="1"/>
  <c r="G666" i="6"/>
  <c r="I666" i="6" s="1"/>
  <c r="G667" i="6"/>
  <c r="I667" i="6" s="1"/>
  <c r="G668" i="6"/>
  <c r="I668" i="6" s="1"/>
  <c r="G669" i="6"/>
  <c r="I669" i="6" s="1"/>
  <c r="G670" i="6"/>
  <c r="I670" i="6" s="1"/>
  <c r="G671" i="6"/>
  <c r="I671" i="6" s="1"/>
  <c r="G672" i="6"/>
  <c r="I672" i="6" s="1"/>
  <c r="G673" i="6"/>
  <c r="I673" i="6" s="1"/>
  <c r="G674" i="6"/>
  <c r="I674" i="6" s="1"/>
  <c r="G675" i="6"/>
  <c r="I675" i="6" s="1"/>
  <c r="G676" i="6"/>
  <c r="I676" i="6" s="1"/>
  <c r="G677" i="6"/>
  <c r="I677" i="6" s="1"/>
  <c r="G678" i="6"/>
  <c r="I678" i="6" s="1"/>
  <c r="G679" i="6"/>
  <c r="I679" i="6" s="1"/>
  <c r="G680" i="6"/>
  <c r="I680" i="6" s="1"/>
  <c r="G681" i="6"/>
  <c r="I681" i="6" s="1"/>
  <c r="G682" i="6"/>
  <c r="G683" i="6"/>
  <c r="I683" i="6" s="1"/>
  <c r="G684" i="6"/>
  <c r="I684" i="6" s="1"/>
  <c r="G685" i="6"/>
  <c r="I685" i="6" s="1"/>
  <c r="G686" i="6"/>
  <c r="I686" i="6" s="1"/>
  <c r="G687" i="6"/>
  <c r="I687" i="6" s="1"/>
  <c r="G688" i="6"/>
  <c r="I688" i="6" s="1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5" i="6"/>
  <c r="I717" i="6"/>
  <c r="I718" i="6"/>
  <c r="I719" i="6"/>
  <c r="I720" i="6"/>
  <c r="I721" i="6"/>
  <c r="I722" i="6"/>
  <c r="I723" i="6"/>
  <c r="I724" i="6"/>
  <c r="G725" i="6"/>
  <c r="I725" i="6" s="1"/>
  <c r="G726" i="6"/>
  <c r="I726" i="6" s="1"/>
  <c r="G727" i="6"/>
  <c r="I727" i="6" s="1"/>
  <c r="G728" i="6"/>
  <c r="I728" i="6" s="1"/>
  <c r="G729" i="6"/>
  <c r="I729" i="6" s="1"/>
  <c r="G730" i="6"/>
  <c r="I730" i="6" s="1"/>
  <c r="G731" i="6"/>
  <c r="I731" i="6" s="1"/>
  <c r="G732" i="6"/>
  <c r="I732" i="6" s="1"/>
  <c r="G733" i="6"/>
  <c r="I733" i="6" s="1"/>
  <c r="G734" i="6"/>
  <c r="I734" i="6" s="1"/>
  <c r="G735" i="6"/>
  <c r="I735" i="6" s="1"/>
  <c r="G736" i="6"/>
  <c r="I736" i="6" s="1"/>
  <c r="G737" i="6"/>
  <c r="I737" i="6" s="1"/>
  <c r="G738" i="6"/>
  <c r="I738" i="6" s="1"/>
  <c r="G739" i="6"/>
  <c r="I739" i="6" s="1"/>
  <c r="G740" i="6"/>
  <c r="I740" i="6" s="1"/>
  <c r="G741" i="6"/>
  <c r="I741" i="6" s="1"/>
  <c r="G742" i="6"/>
  <c r="I742" i="6" s="1"/>
  <c r="G743" i="6"/>
  <c r="I743" i="6" s="1"/>
  <c r="G744" i="6"/>
  <c r="I744" i="6" s="1"/>
  <c r="G745" i="6"/>
  <c r="I745" i="6" s="1"/>
  <c r="G746" i="6"/>
  <c r="I746" i="6" s="1"/>
  <c r="G747" i="6"/>
  <c r="I747" i="6" s="1"/>
  <c r="G748" i="6"/>
  <c r="I748" i="6" s="1"/>
  <c r="G749" i="6"/>
  <c r="I749" i="6" s="1"/>
  <c r="G750" i="6"/>
  <c r="I750" i="6" s="1"/>
  <c r="G751" i="6"/>
  <c r="I751" i="6" s="1"/>
  <c r="G752" i="6"/>
  <c r="I752" i="6" s="1"/>
  <c r="G753" i="6"/>
  <c r="I753" i="6" s="1"/>
  <c r="G754" i="6"/>
  <c r="I754" i="6" s="1"/>
  <c r="G755" i="6"/>
  <c r="I755" i="6" s="1"/>
  <c r="G756" i="6"/>
  <c r="I756" i="6" s="1"/>
  <c r="G757" i="6"/>
  <c r="I757" i="6" s="1"/>
  <c r="G758" i="6"/>
  <c r="I758" i="6" s="1"/>
  <c r="G759" i="6"/>
  <c r="I759" i="6" s="1"/>
  <c r="G760" i="6"/>
  <c r="I760" i="6" s="1"/>
  <c r="G761" i="6"/>
  <c r="I761" i="6" s="1"/>
  <c r="G762" i="6"/>
  <c r="I762" i="6" s="1"/>
  <c r="G763" i="6"/>
  <c r="I763" i="6" s="1"/>
  <c r="G764" i="6"/>
  <c r="I764" i="6" s="1"/>
  <c r="G765" i="6"/>
  <c r="I765" i="6" s="1"/>
  <c r="G766" i="6"/>
  <c r="I766" i="6" s="1"/>
  <c r="G767" i="6"/>
  <c r="I767" i="6" s="1"/>
  <c r="G768" i="6"/>
  <c r="I768" i="6" s="1"/>
  <c r="G769" i="6"/>
  <c r="I769" i="6" s="1"/>
  <c r="G770" i="6"/>
  <c r="I770" i="6" s="1"/>
  <c r="G771" i="6"/>
  <c r="I771" i="6" s="1"/>
  <c r="G772" i="6"/>
  <c r="I772" i="6" s="1"/>
  <c r="G773" i="6"/>
  <c r="I773" i="6" s="1"/>
  <c r="G774" i="6"/>
  <c r="I774" i="6" s="1"/>
  <c r="G775" i="6"/>
  <c r="I775" i="6" s="1"/>
  <c r="G776" i="6"/>
  <c r="I776" i="6" s="1"/>
  <c r="G777" i="6"/>
  <c r="I777" i="6" s="1"/>
  <c r="G778" i="6"/>
  <c r="I778" i="6" s="1"/>
  <c r="G779" i="6"/>
  <c r="I779" i="6" s="1"/>
  <c r="G780" i="6"/>
  <c r="I780" i="6" s="1"/>
  <c r="G781" i="6"/>
  <c r="I781" i="6" s="1"/>
  <c r="G782" i="6"/>
  <c r="I782" i="6" s="1"/>
  <c r="G783" i="6"/>
  <c r="I783" i="6" s="1"/>
  <c r="G784" i="6"/>
  <c r="I784" i="6" s="1"/>
  <c r="G785" i="6"/>
  <c r="I785" i="6" s="1"/>
  <c r="G786" i="6"/>
  <c r="I786" i="6" s="1"/>
  <c r="G787" i="6"/>
  <c r="I787" i="6" s="1"/>
  <c r="G788" i="6"/>
  <c r="I788" i="6" s="1"/>
  <c r="G789" i="6"/>
  <c r="I789" i="6" s="1"/>
  <c r="G790" i="6"/>
  <c r="I790" i="6" s="1"/>
  <c r="G791" i="6"/>
  <c r="I791" i="6" s="1"/>
  <c r="G792" i="6"/>
  <c r="I792" i="6" s="1"/>
  <c r="G793" i="6"/>
  <c r="I793" i="6" s="1"/>
  <c r="G794" i="6"/>
  <c r="I794" i="6" s="1"/>
  <c r="G795" i="6"/>
  <c r="I795" i="6" s="1"/>
  <c r="G796" i="6"/>
  <c r="I796" i="6" s="1"/>
  <c r="G797" i="6"/>
  <c r="I797" i="6" s="1"/>
  <c r="G798" i="6"/>
  <c r="I798" i="6" s="1"/>
  <c r="G799" i="6"/>
  <c r="I799" i="6" s="1"/>
  <c r="G800" i="6"/>
  <c r="I800" i="6" s="1"/>
  <c r="G801" i="6"/>
  <c r="I801" i="6" s="1"/>
  <c r="G802" i="6"/>
  <c r="I802" i="6" s="1"/>
  <c r="G803" i="6"/>
  <c r="I803" i="6" s="1"/>
  <c r="G804" i="6"/>
  <c r="I804" i="6" s="1"/>
  <c r="G805" i="6"/>
  <c r="I805" i="6" s="1"/>
  <c r="G806" i="6"/>
  <c r="I806" i="6" s="1"/>
  <c r="G807" i="6"/>
  <c r="I807" i="6" s="1"/>
  <c r="G808" i="6"/>
  <c r="I808" i="6" s="1"/>
  <c r="G809" i="6"/>
  <c r="G810" i="6"/>
  <c r="G811" i="6"/>
  <c r="I811" i="6" s="1"/>
  <c r="G812" i="6"/>
  <c r="I812" i="6" s="1"/>
  <c r="G813" i="6"/>
  <c r="I813" i="6" s="1"/>
  <c r="G814" i="6"/>
  <c r="I814" i="6" s="1"/>
  <c r="G815" i="6"/>
  <c r="I815" i="6" s="1"/>
  <c r="G816" i="6"/>
  <c r="I816" i="6" s="1"/>
  <c r="G817" i="6"/>
  <c r="I817" i="6" s="1"/>
  <c r="G818" i="6"/>
  <c r="I818" i="6" s="1"/>
  <c r="G819" i="6"/>
  <c r="I819" i="6" s="1"/>
  <c r="G820" i="6"/>
  <c r="I820" i="6" s="1"/>
  <c r="G821" i="6"/>
  <c r="I821" i="6" s="1"/>
  <c r="G822" i="6"/>
  <c r="I822" i="6" s="1"/>
  <c r="G823" i="6"/>
  <c r="I823" i="6" s="1"/>
  <c r="G824" i="6"/>
  <c r="I824" i="6" s="1"/>
  <c r="G825" i="6"/>
  <c r="I825" i="6" s="1"/>
  <c r="G826" i="6"/>
  <c r="I826" i="6" s="1"/>
  <c r="G827" i="6"/>
  <c r="I827" i="6" s="1"/>
  <c r="G828" i="6"/>
  <c r="I828" i="6" s="1"/>
  <c r="G829" i="6"/>
  <c r="I829" i="6" s="1"/>
  <c r="G830" i="6"/>
  <c r="I830" i="6" s="1"/>
  <c r="G831" i="6"/>
  <c r="I831" i="6" s="1"/>
  <c r="G832" i="6"/>
  <c r="I832" i="6" s="1"/>
  <c r="G833" i="6"/>
  <c r="I833" i="6" s="1"/>
  <c r="G834" i="6"/>
  <c r="I834" i="6" s="1"/>
  <c r="G835" i="6"/>
  <c r="I835" i="6" s="1"/>
  <c r="G836" i="6"/>
  <c r="I836" i="6" s="1"/>
  <c r="G837" i="6"/>
  <c r="I837" i="6" s="1"/>
  <c r="G838" i="6"/>
  <c r="I838" i="6" s="1"/>
  <c r="G839" i="6"/>
  <c r="I839" i="6" s="1"/>
  <c r="G840" i="6"/>
  <c r="I840" i="6" s="1"/>
  <c r="G841" i="6"/>
  <c r="I841" i="6" s="1"/>
  <c r="G842" i="6"/>
  <c r="I842" i="6" s="1"/>
  <c r="G843" i="6"/>
  <c r="I843" i="6" s="1"/>
  <c r="G844" i="6"/>
  <c r="I844" i="6" s="1"/>
  <c r="G845" i="6"/>
  <c r="I845" i="6" s="1"/>
  <c r="G846" i="6"/>
  <c r="I846" i="6" s="1"/>
  <c r="G847" i="6"/>
  <c r="I847" i="6" s="1"/>
  <c r="G848" i="6"/>
  <c r="I848" i="6" s="1"/>
  <c r="G849" i="6"/>
  <c r="I849" i="6" s="1"/>
  <c r="G850" i="6"/>
  <c r="I850" i="6" s="1"/>
  <c r="G851" i="6"/>
  <c r="I851" i="6" s="1"/>
  <c r="G852" i="6"/>
  <c r="I852" i="6" s="1"/>
  <c r="G853" i="6"/>
  <c r="I853" i="6" s="1"/>
  <c r="G854" i="6"/>
  <c r="I854" i="6" s="1"/>
  <c r="G855" i="6"/>
  <c r="I855" i="6" s="1"/>
  <c r="G856" i="6"/>
  <c r="I856" i="6" s="1"/>
  <c r="G857" i="6"/>
  <c r="I857" i="6" s="1"/>
  <c r="G858" i="6"/>
  <c r="I858" i="6" s="1"/>
  <c r="G859" i="6"/>
  <c r="I859" i="6" s="1"/>
  <c r="G860" i="6"/>
  <c r="I860" i="6" s="1"/>
  <c r="G861" i="6"/>
  <c r="I861" i="6" s="1"/>
  <c r="G862" i="6"/>
  <c r="I862" i="6" s="1"/>
  <c r="G863" i="6"/>
  <c r="I863" i="6" s="1"/>
  <c r="G864" i="6"/>
  <c r="I864" i="6" s="1"/>
  <c r="G865" i="6"/>
  <c r="I865" i="6" s="1"/>
  <c r="G866" i="6"/>
  <c r="I866" i="6" s="1"/>
  <c r="G867" i="6"/>
  <c r="I867" i="6" s="1"/>
  <c r="G868" i="6"/>
  <c r="I868" i="6" s="1"/>
  <c r="G869" i="6"/>
  <c r="I869" i="6" s="1"/>
  <c r="G870" i="6"/>
  <c r="I870" i="6" s="1"/>
  <c r="G871" i="6"/>
  <c r="I871" i="6" s="1"/>
  <c r="G872" i="6"/>
  <c r="I872" i="6" s="1"/>
  <c r="G873" i="6"/>
  <c r="I873" i="6" s="1"/>
  <c r="G874" i="6"/>
  <c r="I874" i="6" s="1"/>
  <c r="G875" i="6"/>
  <c r="I875" i="6" s="1"/>
  <c r="G876" i="6"/>
  <c r="I876" i="6" s="1"/>
  <c r="G877" i="6"/>
  <c r="I877" i="6" s="1"/>
  <c r="G878" i="6"/>
  <c r="I878" i="6" s="1"/>
  <c r="G879" i="6"/>
  <c r="I879" i="6" s="1"/>
  <c r="G880" i="6"/>
  <c r="I880" i="6" s="1"/>
  <c r="G881" i="6"/>
  <c r="I881" i="6" s="1"/>
  <c r="G882" i="6"/>
  <c r="I882" i="6" s="1"/>
  <c r="G883" i="6"/>
  <c r="I883" i="6" s="1"/>
  <c r="G884" i="6"/>
  <c r="I884" i="6" s="1"/>
  <c r="G885" i="6"/>
  <c r="I885" i="6" s="1"/>
  <c r="G886" i="6"/>
  <c r="I886" i="6" s="1"/>
  <c r="G887" i="6"/>
  <c r="I887" i="6" s="1"/>
  <c r="G888" i="6"/>
  <c r="I888" i="6" s="1"/>
  <c r="G889" i="6"/>
  <c r="I889" i="6" s="1"/>
  <c r="G890" i="6"/>
  <c r="I890" i="6" s="1"/>
  <c r="G891" i="6"/>
  <c r="G892" i="6"/>
  <c r="I892" i="6" s="1"/>
  <c r="G893" i="6"/>
  <c r="I893" i="6" s="1"/>
  <c r="G894" i="6"/>
  <c r="I894" i="6" s="1"/>
  <c r="G895" i="6"/>
  <c r="I895" i="6" s="1"/>
  <c r="G896" i="6"/>
  <c r="I896" i="6" s="1"/>
  <c r="G897" i="6"/>
  <c r="I897" i="6" s="1"/>
  <c r="G898" i="6"/>
  <c r="I898" i="6" s="1"/>
  <c r="G899" i="6"/>
  <c r="I899" i="6" s="1"/>
  <c r="G900" i="6"/>
  <c r="I900" i="6" s="1"/>
  <c r="G901" i="6"/>
  <c r="I901" i="6" s="1"/>
  <c r="G902" i="6"/>
  <c r="I902" i="6" s="1"/>
  <c r="G903" i="6"/>
  <c r="I903" i="6" s="1"/>
  <c r="G904" i="6"/>
  <c r="I904" i="6" s="1"/>
  <c r="G905" i="6"/>
  <c r="I905" i="6" s="1"/>
  <c r="G906" i="6"/>
  <c r="I906" i="6" s="1"/>
  <c r="G907" i="6"/>
  <c r="I907" i="6" s="1"/>
  <c r="G908" i="6"/>
  <c r="I908" i="6" s="1"/>
  <c r="G909" i="6"/>
  <c r="I909" i="6" s="1"/>
  <c r="G910" i="6"/>
  <c r="I910" i="6" s="1"/>
  <c r="G911" i="6"/>
  <c r="I911" i="6" s="1"/>
  <c r="G912" i="6"/>
  <c r="I912" i="6" s="1"/>
  <c r="G913" i="6"/>
  <c r="I913" i="6" s="1"/>
  <c r="G914" i="6"/>
  <c r="I914" i="6" s="1"/>
  <c r="G915" i="6"/>
  <c r="I915" i="6" s="1"/>
  <c r="G916" i="6"/>
  <c r="I916" i="6" s="1"/>
  <c r="G917" i="6"/>
  <c r="I917" i="6" s="1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I933" i="6" s="1"/>
  <c r="G934" i="6"/>
  <c r="G935" i="6"/>
  <c r="G936" i="6"/>
  <c r="G937" i="6"/>
  <c r="G938" i="6"/>
  <c r="I938" i="6" s="1"/>
  <c r="G939" i="6"/>
  <c r="I939" i="6" s="1"/>
  <c r="G940" i="6"/>
  <c r="I940" i="6" s="1"/>
  <c r="G941" i="6"/>
  <c r="I941" i="6" s="1"/>
  <c r="G942" i="6"/>
  <c r="I942" i="6" s="1"/>
  <c r="G943" i="6"/>
  <c r="I943" i="6" s="1"/>
  <c r="G944" i="6"/>
  <c r="I944" i="6" s="1"/>
  <c r="G945" i="6"/>
  <c r="I945" i="6" s="1"/>
  <c r="G946" i="6"/>
  <c r="I946" i="6" s="1"/>
  <c r="G947" i="6"/>
  <c r="I947" i="6" s="1"/>
  <c r="G948" i="6"/>
  <c r="I948" i="6" s="1"/>
  <c r="G949" i="6"/>
  <c r="I949" i="6" s="1"/>
  <c r="G950" i="6"/>
  <c r="I950" i="6" s="1"/>
  <c r="G951" i="6"/>
  <c r="I951" i="6" s="1"/>
  <c r="G952" i="6"/>
  <c r="I952" i="6" s="1"/>
  <c r="G953" i="6"/>
  <c r="I953" i="6" s="1"/>
  <c r="G954" i="6"/>
  <c r="I954" i="6" s="1"/>
  <c r="G955" i="6"/>
  <c r="I955" i="6" s="1"/>
  <c r="G956" i="6"/>
  <c r="I956" i="6" s="1"/>
  <c r="G957" i="6"/>
  <c r="I957" i="6" s="1"/>
  <c r="G958" i="6"/>
  <c r="I958" i="6" s="1"/>
  <c r="G959" i="6"/>
  <c r="I959" i="6" s="1"/>
  <c r="G960" i="6"/>
  <c r="I960" i="6" s="1"/>
  <c r="G961" i="6"/>
  <c r="I961" i="6" s="1"/>
  <c r="G962" i="6"/>
  <c r="I962" i="6" s="1"/>
  <c r="G963" i="6"/>
  <c r="I963" i="6" s="1"/>
  <c r="G964" i="6"/>
  <c r="I964" i="6" s="1"/>
  <c r="G965" i="6"/>
  <c r="I965" i="6" s="1"/>
  <c r="G966" i="6"/>
  <c r="I966" i="6" s="1"/>
  <c r="G967" i="6"/>
  <c r="I967" i="6" s="1"/>
  <c r="G968" i="6"/>
  <c r="I968" i="6" s="1"/>
  <c r="G969" i="6"/>
  <c r="I969" i="6" s="1"/>
  <c r="G970" i="6"/>
  <c r="I970" i="6" s="1"/>
  <c r="G971" i="6"/>
  <c r="I971" i="6" s="1"/>
  <c r="G972" i="6"/>
  <c r="I972" i="6" s="1"/>
  <c r="G973" i="6"/>
  <c r="I973" i="6" s="1"/>
  <c r="G974" i="6"/>
  <c r="I974" i="6" s="1"/>
  <c r="G975" i="6"/>
  <c r="I975" i="6" s="1"/>
  <c r="G976" i="6"/>
  <c r="I976" i="6" s="1"/>
  <c r="G977" i="6"/>
  <c r="I977" i="6" s="1"/>
  <c r="G978" i="6"/>
  <c r="I978" i="6" s="1"/>
  <c r="G979" i="6"/>
  <c r="I979" i="6" s="1"/>
  <c r="G980" i="6"/>
  <c r="I980" i="6" s="1"/>
  <c r="G981" i="6"/>
  <c r="I981" i="6" s="1"/>
  <c r="G982" i="6"/>
  <c r="I982" i="6" s="1"/>
  <c r="G983" i="6"/>
  <c r="I983" i="6" s="1"/>
  <c r="G984" i="6"/>
  <c r="I984" i="6" s="1"/>
  <c r="G985" i="6"/>
  <c r="G986" i="6"/>
  <c r="G987" i="6"/>
  <c r="I987" i="6" s="1"/>
  <c r="G988" i="6"/>
  <c r="I988" i="6" s="1"/>
  <c r="G989" i="6"/>
  <c r="I989" i="6" s="1"/>
  <c r="G990" i="6"/>
  <c r="I990" i="6" s="1"/>
  <c r="I25" i="6"/>
  <c r="I26" i="6"/>
  <c r="I30" i="6"/>
  <c r="I39" i="6"/>
  <c r="I41" i="6"/>
  <c r="I42" i="6"/>
  <c r="I43" i="6"/>
  <c r="I44" i="6"/>
  <c r="I54" i="6"/>
  <c r="I55" i="6"/>
  <c r="I57" i="6"/>
  <c r="I58" i="6"/>
  <c r="I71" i="6"/>
  <c r="I74" i="6"/>
  <c r="I75" i="6"/>
  <c r="I87" i="6"/>
  <c r="I89" i="6"/>
  <c r="I90" i="6"/>
  <c r="I106" i="6"/>
  <c r="I121" i="6"/>
  <c r="I135" i="6"/>
  <c r="I138" i="6"/>
  <c r="I151" i="6"/>
  <c r="I170" i="6"/>
  <c r="I202" i="6"/>
  <c r="I215" i="6"/>
  <c r="I217" i="6"/>
  <c r="I231" i="6"/>
  <c r="I234" i="6"/>
  <c r="I238" i="6"/>
  <c r="I250" i="6"/>
  <c r="I266" i="6"/>
  <c r="I295" i="6"/>
  <c r="I298" i="6"/>
  <c r="I314" i="6"/>
  <c r="I329" i="6"/>
  <c r="I330" i="6"/>
  <c r="I359" i="6"/>
  <c r="I362" i="6"/>
  <c r="I393" i="6"/>
  <c r="I394" i="6"/>
  <c r="I395" i="6"/>
  <c r="I407" i="6"/>
  <c r="I414" i="6"/>
  <c r="I423" i="6"/>
  <c r="I426" i="6"/>
  <c r="I442" i="6"/>
  <c r="I458" i="6"/>
  <c r="I473" i="6"/>
  <c r="I474" i="6"/>
  <c r="I490" i="6"/>
  <c r="I506" i="6"/>
  <c r="I522" i="6"/>
  <c r="I538" i="6"/>
  <c r="I540" i="6"/>
  <c r="I551" i="6"/>
  <c r="I554" i="6"/>
  <c r="I585" i="6"/>
  <c r="I586" i="6"/>
  <c r="I650" i="6"/>
  <c r="I682" i="6"/>
  <c r="I714" i="6"/>
  <c r="I716" i="6"/>
  <c r="I809" i="6"/>
  <c r="I810" i="6"/>
  <c r="I891" i="6"/>
  <c r="I985" i="6"/>
  <c r="I986" i="6"/>
  <c r="I6" i="6"/>
  <c r="I7" i="6"/>
  <c r="I9" i="6"/>
  <c r="I10" i="6"/>
  <c r="I11" i="6"/>
  <c r="I22" i="6"/>
  <c r="I23" i="6"/>
  <c r="I4" i="6"/>
  <c r="J26" i="6"/>
  <c r="J27" i="6"/>
  <c r="N27" i="6" s="1"/>
  <c r="J28" i="6"/>
  <c r="N28" i="6" s="1"/>
  <c r="J29" i="6"/>
  <c r="N29" i="6" s="1"/>
  <c r="J30" i="6"/>
  <c r="J31" i="6"/>
  <c r="J32" i="6"/>
  <c r="N32" i="6" s="1"/>
  <c r="J33" i="6"/>
  <c r="N33" i="6" s="1"/>
  <c r="J34" i="6"/>
  <c r="J35" i="6"/>
  <c r="N35" i="6" s="1"/>
  <c r="J36" i="6"/>
  <c r="Q36" i="6" s="1"/>
  <c r="J37" i="6"/>
  <c r="J38" i="6"/>
  <c r="O38" i="6" s="1"/>
  <c r="J39" i="6"/>
  <c r="Q39" i="6" s="1"/>
  <c r="J40" i="6"/>
  <c r="J41" i="6"/>
  <c r="N41" i="6" s="1"/>
  <c r="J42" i="6"/>
  <c r="J43" i="6"/>
  <c r="J44" i="6"/>
  <c r="J45" i="6"/>
  <c r="J46" i="6"/>
  <c r="J47" i="6"/>
  <c r="J48" i="6"/>
  <c r="J49" i="6"/>
  <c r="J50" i="6"/>
  <c r="Q50" i="6" s="1"/>
  <c r="J51" i="6"/>
  <c r="O51" i="6" s="1"/>
  <c r="J52" i="6"/>
  <c r="J53" i="6"/>
  <c r="J54" i="6"/>
  <c r="O54" i="6" s="1"/>
  <c r="J55" i="6"/>
  <c r="O55" i="6" s="1"/>
  <c r="J56" i="6"/>
  <c r="J57" i="6"/>
  <c r="N57" i="6" s="1"/>
  <c r="J58" i="6"/>
  <c r="J59" i="6"/>
  <c r="N59" i="6" s="1"/>
  <c r="J60" i="6"/>
  <c r="J61" i="6"/>
  <c r="J62" i="6"/>
  <c r="N62" i="6" s="1"/>
  <c r="J63" i="6"/>
  <c r="J64" i="6"/>
  <c r="J65" i="6"/>
  <c r="J66" i="6"/>
  <c r="J67" i="6"/>
  <c r="N67" i="6" s="1"/>
  <c r="J68" i="6"/>
  <c r="J69" i="6"/>
  <c r="O69" i="6" s="1"/>
  <c r="J70" i="6"/>
  <c r="J71" i="6"/>
  <c r="O71" i="6" s="1"/>
  <c r="J72" i="6"/>
  <c r="O72" i="6" s="1"/>
  <c r="J73" i="6"/>
  <c r="J74" i="6"/>
  <c r="J75" i="6"/>
  <c r="O75" i="6" s="1"/>
  <c r="J76" i="6"/>
  <c r="J77" i="6"/>
  <c r="J78" i="6"/>
  <c r="O78" i="6" s="1"/>
  <c r="J79" i="6"/>
  <c r="J80" i="6"/>
  <c r="J81" i="6"/>
  <c r="J82" i="6"/>
  <c r="J83" i="6"/>
  <c r="J84" i="6"/>
  <c r="J85" i="6"/>
  <c r="J86" i="6"/>
  <c r="N86" i="6" s="1"/>
  <c r="J87" i="6"/>
  <c r="J88" i="6"/>
  <c r="J89" i="6"/>
  <c r="N89" i="6" s="1"/>
  <c r="J90" i="6"/>
  <c r="N90" i="6" s="1"/>
  <c r="J91" i="6"/>
  <c r="N91" i="6" s="1"/>
  <c r="J92" i="6"/>
  <c r="J93" i="6"/>
  <c r="J94" i="6"/>
  <c r="J95" i="6"/>
  <c r="J96" i="6"/>
  <c r="J97" i="6"/>
  <c r="J98" i="6"/>
  <c r="J99" i="6"/>
  <c r="Q99" i="6" s="1"/>
  <c r="J100" i="6"/>
  <c r="J101" i="6"/>
  <c r="J102" i="6"/>
  <c r="N102" i="6" s="1"/>
  <c r="J103" i="6"/>
  <c r="N103" i="6" s="1"/>
  <c r="J104" i="6"/>
  <c r="J105" i="6"/>
  <c r="N105" i="6" s="1"/>
  <c r="J106" i="6"/>
  <c r="N106" i="6" s="1"/>
  <c r="J107" i="6"/>
  <c r="N107" i="6" s="1"/>
  <c r="J108" i="6"/>
  <c r="J109" i="6"/>
  <c r="N109" i="6" s="1"/>
  <c r="J110" i="6"/>
  <c r="J111" i="6"/>
  <c r="Q111" i="6" s="1"/>
  <c r="J112" i="6"/>
  <c r="Q112" i="6" s="1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Q126" i="6" s="1"/>
  <c r="J127" i="6"/>
  <c r="J128" i="6"/>
  <c r="J129" i="6"/>
  <c r="J130" i="6"/>
  <c r="J131" i="6"/>
  <c r="J132" i="6"/>
  <c r="N132" i="6" s="1"/>
  <c r="J133" i="6"/>
  <c r="J134" i="6"/>
  <c r="Q134" i="6" s="1"/>
  <c r="J135" i="6"/>
  <c r="O135" i="6" s="1"/>
  <c r="J136" i="6"/>
  <c r="N136" i="6" s="1"/>
  <c r="J137" i="6"/>
  <c r="J138" i="6"/>
  <c r="J139" i="6"/>
  <c r="J140" i="6"/>
  <c r="J141" i="6"/>
  <c r="J142" i="6"/>
  <c r="J143" i="6"/>
  <c r="J144" i="6"/>
  <c r="J145" i="6"/>
  <c r="N145" i="6" s="1"/>
  <c r="J146" i="6"/>
  <c r="N146" i="6" s="1"/>
  <c r="J147" i="6"/>
  <c r="N147" i="6" s="1"/>
  <c r="J148" i="6"/>
  <c r="N148" i="6" s="1"/>
  <c r="J149" i="6"/>
  <c r="J150" i="6"/>
  <c r="N150" i="6" s="1"/>
  <c r="J151" i="6"/>
  <c r="J152" i="6"/>
  <c r="N152" i="6" s="1"/>
  <c r="J153" i="6"/>
  <c r="N153" i="6" s="1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N166" i="6" s="1"/>
  <c r="J167" i="6"/>
  <c r="N167" i="6" s="1"/>
  <c r="J168" i="6"/>
  <c r="J169" i="6"/>
  <c r="N169" i="6" s="1"/>
  <c r="J170" i="6"/>
  <c r="J171" i="6"/>
  <c r="N171" i="6" s="1"/>
  <c r="J172" i="6"/>
  <c r="J173" i="6"/>
  <c r="N173" i="6" s="1"/>
  <c r="J174" i="6"/>
  <c r="O174" i="6" s="1"/>
  <c r="J175" i="6"/>
  <c r="O175" i="6" s="1"/>
  <c r="J176" i="6"/>
  <c r="N176" i="6" s="1"/>
  <c r="J177" i="6"/>
  <c r="N177" i="6" s="1"/>
  <c r="J178" i="6"/>
  <c r="O178" i="6" s="1"/>
  <c r="J179" i="6"/>
  <c r="J180" i="6"/>
  <c r="J181" i="6"/>
  <c r="J182" i="6"/>
  <c r="J183" i="6"/>
  <c r="O183" i="6" s="1"/>
  <c r="J184" i="6"/>
  <c r="J185" i="6"/>
  <c r="J186" i="6"/>
  <c r="J187" i="6"/>
  <c r="J188" i="6"/>
  <c r="J189" i="6"/>
  <c r="J190" i="6"/>
  <c r="Q190" i="6" s="1"/>
  <c r="J191" i="6"/>
  <c r="Q191" i="6" s="1"/>
  <c r="J192" i="6"/>
  <c r="J193" i="6"/>
  <c r="J194" i="6"/>
  <c r="J195" i="6"/>
  <c r="J196" i="6"/>
  <c r="J197" i="6"/>
  <c r="J198" i="6"/>
  <c r="N198" i="6" s="1"/>
  <c r="J199" i="6"/>
  <c r="J200" i="6"/>
  <c r="J201" i="6"/>
  <c r="N201" i="6" s="1"/>
  <c r="J202" i="6"/>
  <c r="N202" i="6" s="1"/>
  <c r="J203" i="6"/>
  <c r="O203" i="6" s="1"/>
  <c r="J204" i="6"/>
  <c r="J205" i="6"/>
  <c r="J206" i="6"/>
  <c r="J207" i="6"/>
  <c r="J208" i="6"/>
  <c r="J209" i="6"/>
  <c r="J210" i="6"/>
  <c r="J211" i="6"/>
  <c r="J212" i="6"/>
  <c r="J213" i="6"/>
  <c r="N213" i="6" s="1"/>
  <c r="J214" i="6"/>
  <c r="N214" i="6" s="1"/>
  <c r="J215" i="6"/>
  <c r="N215" i="6" s="1"/>
  <c r="J216" i="6"/>
  <c r="O216" i="6" s="1"/>
  <c r="J217" i="6"/>
  <c r="N217" i="6" s="1"/>
  <c r="J218" i="6"/>
  <c r="N218" i="6" s="1"/>
  <c r="J219" i="6"/>
  <c r="N219" i="6" s="1"/>
  <c r="J220" i="6"/>
  <c r="J221" i="6"/>
  <c r="J222" i="6"/>
  <c r="J223" i="6"/>
  <c r="J224" i="6"/>
  <c r="J225" i="6"/>
  <c r="J226" i="6"/>
  <c r="Q226" i="6" s="1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O247" i="6" s="1"/>
  <c r="J248" i="6"/>
  <c r="J249" i="6"/>
  <c r="J250" i="6"/>
  <c r="Q250" i="6" s="1"/>
  <c r="J251" i="6"/>
  <c r="O251" i="6" s="1"/>
  <c r="J252" i="6"/>
  <c r="J253" i="6"/>
  <c r="J254" i="6"/>
  <c r="J255" i="6"/>
  <c r="J256" i="6"/>
  <c r="J257" i="6"/>
  <c r="N257" i="6" s="1"/>
  <c r="J258" i="6"/>
  <c r="N258" i="6" s="1"/>
  <c r="J259" i="6"/>
  <c r="Q259" i="6" s="1"/>
  <c r="J260" i="6"/>
  <c r="O260" i="6" s="1"/>
  <c r="J261" i="6"/>
  <c r="Q261" i="6" s="1"/>
  <c r="J262" i="6"/>
  <c r="N262" i="6" s="1"/>
  <c r="J263" i="6"/>
  <c r="O263" i="6" s="1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N278" i="6" s="1"/>
  <c r="J279" i="6"/>
  <c r="J280" i="6"/>
  <c r="N280" i="6" s="1"/>
  <c r="J281" i="6"/>
  <c r="O281" i="6" s="1"/>
  <c r="J282" i="6"/>
  <c r="O282" i="6" s="1"/>
  <c r="J283" i="6"/>
  <c r="J284" i="6"/>
  <c r="J285" i="6"/>
  <c r="J286" i="6"/>
  <c r="J287" i="6"/>
  <c r="J288" i="6"/>
  <c r="J289" i="6"/>
  <c r="N289" i="6" s="1"/>
  <c r="J290" i="6"/>
  <c r="J291" i="6"/>
  <c r="N291" i="6" s="1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Q308" i="6" s="1"/>
  <c r="J309" i="6"/>
  <c r="J310" i="6"/>
  <c r="N310" i="6" s="1"/>
  <c r="J311" i="6"/>
  <c r="J312" i="6"/>
  <c r="J313" i="6"/>
  <c r="N313" i="6" s="1"/>
  <c r="J314" i="6"/>
  <c r="O314" i="6" s="1"/>
  <c r="J315" i="6"/>
  <c r="J316" i="6"/>
  <c r="J317" i="6"/>
  <c r="J318" i="6"/>
  <c r="O318" i="6" s="1"/>
  <c r="J319" i="6"/>
  <c r="J320" i="6"/>
  <c r="J321" i="6"/>
  <c r="J322" i="6"/>
  <c r="J323" i="6"/>
  <c r="N323" i="6" s="1"/>
  <c r="J324" i="6"/>
  <c r="J325" i="6"/>
  <c r="J326" i="6"/>
  <c r="J327" i="6"/>
  <c r="J328" i="6"/>
  <c r="J329" i="6"/>
  <c r="Q329" i="6" s="1"/>
  <c r="J330" i="6"/>
  <c r="N330" i="6" s="1"/>
  <c r="J331" i="6"/>
  <c r="J332" i="6"/>
  <c r="J333" i="6"/>
  <c r="Q333" i="6" s="1"/>
  <c r="J334" i="6"/>
  <c r="Q334" i="6" s="1"/>
  <c r="J335" i="6"/>
  <c r="J336" i="6"/>
  <c r="J337" i="6"/>
  <c r="J338" i="6"/>
  <c r="J339" i="6"/>
  <c r="O339" i="6" s="1"/>
  <c r="J340" i="6"/>
  <c r="J341" i="6"/>
  <c r="J342" i="6"/>
  <c r="J343" i="6"/>
  <c r="Q343" i="6" s="1"/>
  <c r="J344" i="6"/>
  <c r="Q344" i="6" s="1"/>
  <c r="J345" i="6"/>
  <c r="N345" i="6" s="1"/>
  <c r="J346" i="6"/>
  <c r="N346" i="6" s="1"/>
  <c r="J347" i="6"/>
  <c r="N347" i="6" s="1"/>
  <c r="J348" i="6"/>
  <c r="J349" i="6"/>
  <c r="N349" i="6" s="1"/>
  <c r="J350" i="6"/>
  <c r="N350" i="6" s="1"/>
  <c r="J351" i="6"/>
  <c r="J352" i="6"/>
  <c r="J353" i="6"/>
  <c r="N353" i="6" s="1"/>
  <c r="J354" i="6"/>
  <c r="J355" i="6"/>
  <c r="J356" i="6"/>
  <c r="J357" i="6"/>
  <c r="J358" i="6"/>
  <c r="J359" i="6"/>
  <c r="J360" i="6"/>
  <c r="J361" i="6"/>
  <c r="J362" i="6"/>
  <c r="J363" i="6"/>
  <c r="J364" i="6"/>
  <c r="J365" i="6"/>
  <c r="Q365" i="6" s="1"/>
  <c r="J366" i="6"/>
  <c r="J367" i="6"/>
  <c r="J368" i="6"/>
  <c r="J369" i="6"/>
  <c r="J370" i="6"/>
  <c r="J371" i="6"/>
  <c r="Q371" i="6" s="1"/>
  <c r="J372" i="6"/>
  <c r="J373" i="6"/>
  <c r="J374" i="6"/>
  <c r="O374" i="6" s="1"/>
  <c r="J375" i="6"/>
  <c r="O375" i="6" s="1"/>
  <c r="J376" i="6"/>
  <c r="J377" i="6"/>
  <c r="O377" i="6" s="1"/>
  <c r="J378" i="6"/>
  <c r="J379" i="6"/>
  <c r="N379" i="6" s="1"/>
  <c r="J380" i="6"/>
  <c r="J381" i="6"/>
  <c r="N381" i="6" s="1"/>
  <c r="J382" i="6"/>
  <c r="J383" i="6"/>
  <c r="J384" i="6"/>
  <c r="J385" i="6"/>
  <c r="J386" i="6"/>
  <c r="J387" i="6"/>
  <c r="Q387" i="6" s="1"/>
  <c r="J388" i="6"/>
  <c r="J389" i="6"/>
  <c r="J390" i="6"/>
  <c r="N390" i="6" s="1"/>
  <c r="J391" i="6"/>
  <c r="O391" i="6" s="1"/>
  <c r="J392" i="6"/>
  <c r="N392" i="6" s="1"/>
  <c r="J393" i="6"/>
  <c r="Q393" i="6" s="1"/>
  <c r="J394" i="6"/>
  <c r="J395" i="6"/>
  <c r="O395" i="6" s="1"/>
  <c r="J396" i="6"/>
  <c r="J397" i="6"/>
  <c r="N397" i="6" s="1"/>
  <c r="J398" i="6"/>
  <c r="N398" i="6" s="1"/>
  <c r="J399" i="6"/>
  <c r="N399" i="6" s="1"/>
  <c r="J400" i="6"/>
  <c r="N400" i="6" s="1"/>
  <c r="J401" i="6"/>
  <c r="N401" i="6" s="1"/>
  <c r="J402" i="6"/>
  <c r="N402" i="6" s="1"/>
  <c r="J403" i="6"/>
  <c r="N403" i="6" s="1"/>
  <c r="J404" i="6"/>
  <c r="J405" i="6"/>
  <c r="J406" i="6"/>
  <c r="N406" i="6" s="1"/>
  <c r="J407" i="6"/>
  <c r="N407" i="6" s="1"/>
  <c r="J408" i="6"/>
  <c r="J409" i="6"/>
  <c r="Q409" i="6" s="1"/>
  <c r="J410" i="6"/>
  <c r="Q410" i="6" s="1"/>
  <c r="J411" i="6"/>
  <c r="Q411" i="6" s="1"/>
  <c r="J412" i="6"/>
  <c r="J413" i="6"/>
  <c r="O413" i="6" s="1"/>
  <c r="J414" i="6"/>
  <c r="Q414" i="6" s="1"/>
  <c r="J415" i="6"/>
  <c r="J416" i="6"/>
  <c r="J417" i="6"/>
  <c r="J418" i="6"/>
  <c r="J419" i="6"/>
  <c r="N419" i="6" s="1"/>
  <c r="J420" i="6"/>
  <c r="J421" i="6"/>
  <c r="Q421" i="6" s="1"/>
  <c r="J422" i="6"/>
  <c r="Q422" i="6" s="1"/>
  <c r="J423" i="6"/>
  <c r="Q423" i="6" s="1"/>
  <c r="J424" i="6"/>
  <c r="Q424" i="6" s="1"/>
  <c r="J425" i="6"/>
  <c r="O425" i="6" s="1"/>
  <c r="J426" i="6"/>
  <c r="J427" i="6"/>
  <c r="J428" i="6"/>
  <c r="J429" i="6"/>
  <c r="J430" i="6"/>
  <c r="J431" i="6"/>
  <c r="N431" i="6" s="1"/>
  <c r="J432" i="6"/>
  <c r="J433" i="6"/>
  <c r="J434" i="6"/>
  <c r="J435" i="6"/>
  <c r="J436" i="6"/>
  <c r="O436" i="6" s="1"/>
  <c r="J437" i="6"/>
  <c r="O437" i="6" s="1"/>
  <c r="J438" i="6"/>
  <c r="N438" i="6" s="1"/>
  <c r="J439" i="6"/>
  <c r="N439" i="6" s="1"/>
  <c r="J440" i="6"/>
  <c r="N440" i="6" s="1"/>
  <c r="J441" i="6"/>
  <c r="Q441" i="6" s="1"/>
  <c r="J442" i="6"/>
  <c r="J443" i="6"/>
  <c r="J444" i="6"/>
  <c r="J445" i="6"/>
  <c r="J446" i="6"/>
  <c r="J447" i="6"/>
  <c r="J448" i="6"/>
  <c r="J449" i="6"/>
  <c r="J450" i="6"/>
  <c r="J451" i="6"/>
  <c r="N451" i="6" s="1"/>
  <c r="J452" i="6"/>
  <c r="Q452" i="6" s="1"/>
  <c r="J453" i="6"/>
  <c r="Q453" i="6" s="1"/>
  <c r="J454" i="6"/>
  <c r="J455" i="6"/>
  <c r="Q455" i="6" s="1"/>
  <c r="J456" i="6"/>
  <c r="J457" i="6"/>
  <c r="Q457" i="6" s="1"/>
  <c r="J458" i="6"/>
  <c r="J459" i="6"/>
  <c r="J460" i="6"/>
  <c r="J461" i="6"/>
  <c r="J462" i="6"/>
  <c r="J463" i="6"/>
  <c r="J464" i="6"/>
  <c r="J465" i="6"/>
  <c r="J466" i="6"/>
  <c r="J467" i="6"/>
  <c r="N467" i="6" s="1"/>
  <c r="J468" i="6"/>
  <c r="Q468" i="6" s="1"/>
  <c r="J469" i="6"/>
  <c r="Q469" i="6" s="1"/>
  <c r="J470" i="6"/>
  <c r="N470" i="6" s="1"/>
  <c r="J471" i="6"/>
  <c r="Q471" i="6" s="1"/>
  <c r="J472" i="6"/>
  <c r="N472" i="6" s="1"/>
  <c r="J473" i="6"/>
  <c r="Q473" i="6" s="1"/>
  <c r="J474" i="6"/>
  <c r="N474" i="6" s="1"/>
  <c r="J475" i="6"/>
  <c r="Q475" i="6" s="1"/>
  <c r="J476" i="6"/>
  <c r="J477" i="6"/>
  <c r="O477" i="6" s="1"/>
  <c r="J478" i="6"/>
  <c r="J479" i="6"/>
  <c r="J480" i="6"/>
  <c r="J481" i="6"/>
  <c r="J482" i="6"/>
  <c r="J483" i="6"/>
  <c r="J484" i="6"/>
  <c r="J485" i="6"/>
  <c r="J486" i="6"/>
  <c r="O486" i="6" s="1"/>
  <c r="J487" i="6"/>
  <c r="N487" i="6" s="1"/>
  <c r="J488" i="6"/>
  <c r="N488" i="6" s="1"/>
  <c r="J489" i="6"/>
  <c r="O489" i="6" s="1"/>
  <c r="J490" i="6"/>
  <c r="O490" i="6" s="1"/>
  <c r="J491" i="6"/>
  <c r="O491" i="6" s="1"/>
  <c r="J492" i="6"/>
  <c r="J493" i="6"/>
  <c r="N493" i="6" s="1"/>
  <c r="J494" i="6"/>
  <c r="J495" i="6"/>
  <c r="J496" i="6"/>
  <c r="J497" i="6"/>
  <c r="J498" i="6"/>
  <c r="J499" i="6"/>
  <c r="Q499" i="6" s="1"/>
  <c r="J500" i="6"/>
  <c r="Q500" i="6" s="1"/>
  <c r="J501" i="6"/>
  <c r="Q501" i="6" s="1"/>
  <c r="J502" i="6"/>
  <c r="N502" i="6" s="1"/>
  <c r="J503" i="6"/>
  <c r="N503" i="6" s="1"/>
  <c r="J504" i="6"/>
  <c r="Q504" i="6" s="1"/>
  <c r="J505" i="6"/>
  <c r="Q505" i="6" s="1"/>
  <c r="J506" i="6"/>
  <c r="Q506" i="6" s="1"/>
  <c r="J507" i="6"/>
  <c r="Q507" i="6" s="1"/>
  <c r="J508" i="6"/>
  <c r="J509" i="6"/>
  <c r="J510" i="6"/>
  <c r="J511" i="6"/>
  <c r="J512" i="6"/>
  <c r="J513" i="6"/>
  <c r="J514" i="6"/>
  <c r="J515" i="6"/>
  <c r="J516" i="6"/>
  <c r="J517" i="6"/>
  <c r="J518" i="6"/>
  <c r="N518" i="6" s="1"/>
  <c r="J519" i="6"/>
  <c r="Q519" i="6" s="1"/>
  <c r="J520" i="6"/>
  <c r="Q520" i="6" s="1"/>
  <c r="J521" i="6"/>
  <c r="N521" i="6" s="1"/>
  <c r="J522" i="6"/>
  <c r="N522" i="6" s="1"/>
  <c r="J523" i="6"/>
  <c r="N523" i="6" s="1"/>
  <c r="J524" i="6"/>
  <c r="N524" i="6" s="1"/>
  <c r="J525" i="6"/>
  <c r="Q525" i="6" s="1"/>
  <c r="J526" i="6"/>
  <c r="J527" i="6"/>
  <c r="J528" i="6"/>
  <c r="Q528" i="6" s="1"/>
  <c r="J529" i="6"/>
  <c r="J530" i="6"/>
  <c r="J531" i="6"/>
  <c r="J532" i="6"/>
  <c r="O532" i="6" s="1"/>
  <c r="J533" i="6"/>
  <c r="J534" i="6"/>
  <c r="Q534" i="6" s="1"/>
  <c r="J535" i="6"/>
  <c r="N535" i="6" s="1"/>
  <c r="J536" i="6"/>
  <c r="Q536" i="6" s="1"/>
  <c r="J537" i="6"/>
  <c r="N537" i="6" s="1"/>
  <c r="J538" i="6"/>
  <c r="O538" i="6" s="1"/>
  <c r="J539" i="6"/>
  <c r="N539" i="6" s="1"/>
  <c r="J540" i="6"/>
  <c r="N540" i="6" s="1"/>
  <c r="J541" i="6"/>
  <c r="N541" i="6" s="1"/>
  <c r="J542" i="6"/>
  <c r="N542" i="6" s="1"/>
  <c r="J543" i="6"/>
  <c r="J544" i="6"/>
  <c r="J545" i="6"/>
  <c r="J546" i="6"/>
  <c r="J547" i="6"/>
  <c r="J548" i="6"/>
  <c r="Q548" i="6" s="1"/>
  <c r="J549" i="6"/>
  <c r="Q549" i="6" s="1"/>
  <c r="J550" i="6"/>
  <c r="N550" i="6" s="1"/>
  <c r="J551" i="6"/>
  <c r="Q551" i="6" s="1"/>
  <c r="J552" i="6"/>
  <c r="N552" i="6" s="1"/>
  <c r="J553" i="6"/>
  <c r="O553" i="6" s="1"/>
  <c r="J554" i="6"/>
  <c r="J555" i="6"/>
  <c r="Q555" i="6" s="1"/>
  <c r="J556" i="6"/>
  <c r="J557" i="6"/>
  <c r="Q557" i="6" s="1"/>
  <c r="J558" i="6"/>
  <c r="Q558" i="6" s="1"/>
  <c r="J559" i="6"/>
  <c r="J560" i="6"/>
  <c r="J561" i="6"/>
  <c r="J562" i="6"/>
  <c r="J563" i="6"/>
  <c r="J564" i="6"/>
  <c r="J565" i="6"/>
  <c r="J566" i="6"/>
  <c r="N566" i="6" s="1"/>
  <c r="J567" i="6"/>
  <c r="N567" i="6" s="1"/>
  <c r="J568" i="6"/>
  <c r="N568" i="6" s="1"/>
  <c r="J569" i="6"/>
  <c r="N569" i="6" s="1"/>
  <c r="J570" i="6"/>
  <c r="N570" i="6" s="1"/>
  <c r="J571" i="6"/>
  <c r="N571" i="6" s="1"/>
  <c r="J572" i="6"/>
  <c r="N572" i="6" s="1"/>
  <c r="J573" i="6"/>
  <c r="J574" i="6"/>
  <c r="J575" i="6"/>
  <c r="J576" i="6"/>
  <c r="J577" i="6"/>
  <c r="J578" i="6"/>
  <c r="J579" i="6"/>
  <c r="J580" i="6"/>
  <c r="J581" i="6"/>
  <c r="Q581" i="6" s="1"/>
  <c r="J582" i="6"/>
  <c r="Q582" i="6" s="1"/>
  <c r="J583" i="6"/>
  <c r="Q583" i="6" s="1"/>
  <c r="J584" i="6"/>
  <c r="N584" i="6" s="1"/>
  <c r="J585" i="6"/>
  <c r="N585" i="6" s="1"/>
  <c r="J586" i="6"/>
  <c r="N586" i="6" s="1"/>
  <c r="J587" i="6"/>
  <c r="Q587" i="6" s="1"/>
  <c r="J588" i="6"/>
  <c r="N588" i="6" s="1"/>
  <c r="J589" i="6"/>
  <c r="N589" i="6" s="1"/>
  <c r="J590" i="6"/>
  <c r="N590" i="6" s="1"/>
  <c r="J591" i="6"/>
  <c r="J592" i="6"/>
  <c r="J593" i="6"/>
  <c r="J594" i="6"/>
  <c r="J595" i="6"/>
  <c r="O595" i="6" s="1"/>
  <c r="J596" i="6"/>
  <c r="J597" i="6"/>
  <c r="J598" i="6"/>
  <c r="Q598" i="6" s="1"/>
  <c r="J599" i="6"/>
  <c r="J600" i="6"/>
  <c r="N600" i="6" s="1"/>
  <c r="J601" i="6"/>
  <c r="N601" i="6" s="1"/>
  <c r="J602" i="6"/>
  <c r="O602" i="6" s="1"/>
  <c r="J603" i="6"/>
  <c r="O603" i="6" s="1"/>
  <c r="J604" i="6"/>
  <c r="O604" i="6" s="1"/>
  <c r="J605" i="6"/>
  <c r="J606" i="6"/>
  <c r="O606" i="6" s="1"/>
  <c r="J607" i="6"/>
  <c r="J608" i="6"/>
  <c r="J609" i="6"/>
  <c r="J610" i="6"/>
  <c r="J611" i="6"/>
  <c r="J612" i="6"/>
  <c r="J613" i="6"/>
  <c r="J614" i="6"/>
  <c r="N614" i="6" s="1"/>
  <c r="J615" i="6"/>
  <c r="N615" i="6" s="1"/>
  <c r="J616" i="6"/>
  <c r="N616" i="6" s="1"/>
  <c r="J617" i="6"/>
  <c r="Q617" i="6" s="1"/>
  <c r="J618" i="6"/>
  <c r="N618" i="6" s="1"/>
  <c r="J619" i="6"/>
  <c r="Q619" i="6" s="1"/>
  <c r="J620" i="6"/>
  <c r="J621" i="6"/>
  <c r="J622" i="6"/>
  <c r="Q622" i="6" s="1"/>
  <c r="J623" i="6"/>
  <c r="J624" i="6"/>
  <c r="J625" i="6"/>
  <c r="J626" i="6"/>
  <c r="J627" i="6"/>
  <c r="J628" i="6"/>
  <c r="Q628" i="6" s="1"/>
  <c r="J629" i="6"/>
  <c r="Q629" i="6" s="1"/>
  <c r="J630" i="6"/>
  <c r="Q630" i="6" s="1"/>
  <c r="J631" i="6"/>
  <c r="N631" i="6" s="1"/>
  <c r="J632" i="6"/>
  <c r="Q632" i="6" s="1"/>
  <c r="J633" i="6"/>
  <c r="N633" i="6" s="1"/>
  <c r="J634" i="6"/>
  <c r="Q634" i="6" s="1"/>
  <c r="J635" i="6"/>
  <c r="N635" i="6" s="1"/>
  <c r="J636" i="6"/>
  <c r="N636" i="6" s="1"/>
  <c r="J637" i="6"/>
  <c r="N637" i="6" s="1"/>
  <c r="J638" i="6"/>
  <c r="N638" i="6" s="1"/>
  <c r="J639" i="6"/>
  <c r="J640" i="6"/>
  <c r="J641" i="6"/>
  <c r="J642" i="6"/>
  <c r="J643" i="6"/>
  <c r="J644" i="6"/>
  <c r="J645" i="6"/>
  <c r="J646" i="6"/>
  <c r="O646" i="6" s="1"/>
  <c r="J647" i="6"/>
  <c r="J648" i="6"/>
  <c r="J649" i="6"/>
  <c r="O649" i="6" s="1"/>
  <c r="J650" i="6"/>
  <c r="N650" i="6" s="1"/>
  <c r="J651" i="6"/>
  <c r="N651" i="6" s="1"/>
  <c r="J652" i="6"/>
  <c r="J653" i="6"/>
  <c r="Q653" i="6" s="1"/>
  <c r="J654" i="6"/>
  <c r="Q654" i="6" s="1"/>
  <c r="J655" i="6"/>
  <c r="J656" i="6"/>
  <c r="J657" i="6"/>
  <c r="J658" i="6"/>
  <c r="J659" i="6"/>
  <c r="J660" i="6"/>
  <c r="J661" i="6"/>
  <c r="J662" i="6"/>
  <c r="N662" i="6" s="1"/>
  <c r="J663" i="6"/>
  <c r="N663" i="6" s="1"/>
  <c r="J664" i="6"/>
  <c r="N664" i="6" s="1"/>
  <c r="J665" i="6"/>
  <c r="Q665" i="6" s="1"/>
  <c r="J666" i="6"/>
  <c r="Q666" i="6" s="1"/>
  <c r="J667" i="6"/>
  <c r="J668" i="6"/>
  <c r="J669" i="6"/>
  <c r="Q669" i="6" s="1"/>
  <c r="J670" i="6"/>
  <c r="Q670" i="6" s="1"/>
  <c r="J671" i="6"/>
  <c r="J672" i="6"/>
  <c r="J673" i="6"/>
  <c r="J674" i="6"/>
  <c r="J675" i="6"/>
  <c r="J676" i="6"/>
  <c r="J677" i="6"/>
  <c r="J678" i="6"/>
  <c r="N678" i="6" s="1"/>
  <c r="J679" i="6"/>
  <c r="N679" i="6" s="1"/>
  <c r="J680" i="6"/>
  <c r="N680" i="6" s="1"/>
  <c r="J681" i="6"/>
  <c r="N681" i="6" s="1"/>
  <c r="J682" i="6"/>
  <c r="N682" i="6" s="1"/>
  <c r="J683" i="6"/>
  <c r="N683" i="6" s="1"/>
  <c r="J684" i="6"/>
  <c r="N684" i="6" s="1"/>
  <c r="J685" i="6"/>
  <c r="N685" i="6" s="1"/>
  <c r="J686" i="6"/>
  <c r="N686" i="6" s="1"/>
  <c r="J687" i="6"/>
  <c r="J688" i="6"/>
  <c r="J689" i="6"/>
  <c r="J690" i="6"/>
  <c r="J691" i="6"/>
  <c r="J692" i="6"/>
  <c r="Q692" i="6" s="1"/>
  <c r="J693" i="6"/>
  <c r="J694" i="6"/>
  <c r="Q694" i="6" s="1"/>
  <c r="J695" i="6"/>
  <c r="Q695" i="6" s="1"/>
  <c r="J696" i="6"/>
  <c r="N696" i="6" s="1"/>
  <c r="J697" i="6"/>
  <c r="O697" i="6" s="1"/>
  <c r="J698" i="6"/>
  <c r="N698" i="6" s="1"/>
  <c r="J699" i="6"/>
  <c r="N699" i="6" s="1"/>
  <c r="J700" i="6"/>
  <c r="N700" i="6" s="1"/>
  <c r="J701" i="6"/>
  <c r="Q701" i="6" s="1"/>
  <c r="J702" i="6"/>
  <c r="N702" i="6" s="1"/>
  <c r="J703" i="6"/>
  <c r="O703" i="6" s="1"/>
  <c r="J704" i="6"/>
  <c r="J705" i="6"/>
  <c r="J706" i="6"/>
  <c r="J707" i="6"/>
  <c r="J708" i="6"/>
  <c r="N708" i="6" s="1"/>
  <c r="J709" i="6"/>
  <c r="J710" i="6"/>
  <c r="N710" i="6" s="1"/>
  <c r="J711" i="6"/>
  <c r="N711" i="6" s="1"/>
  <c r="J712" i="6"/>
  <c r="N712" i="6" s="1"/>
  <c r="J713" i="6"/>
  <c r="N713" i="6" s="1"/>
  <c r="J714" i="6"/>
  <c r="O714" i="6" s="1"/>
  <c r="J715" i="6"/>
  <c r="O715" i="6" s="1"/>
  <c r="J716" i="6"/>
  <c r="O716" i="6" s="1"/>
  <c r="J717" i="6"/>
  <c r="J718" i="6"/>
  <c r="Q718" i="6" s="1"/>
  <c r="J719" i="6"/>
  <c r="O719" i="6" s="1"/>
  <c r="J720" i="6"/>
  <c r="O720" i="6" s="1"/>
  <c r="J721" i="6"/>
  <c r="O721" i="6" s="1"/>
  <c r="J722" i="6"/>
  <c r="J723" i="6"/>
  <c r="J724" i="6"/>
  <c r="O724" i="6" s="1"/>
  <c r="J725" i="6"/>
  <c r="O725" i="6" s="1"/>
  <c r="J726" i="6"/>
  <c r="N726" i="6" s="1"/>
  <c r="J727" i="6"/>
  <c r="N727" i="6" s="1"/>
  <c r="J728" i="6"/>
  <c r="N728" i="6" s="1"/>
  <c r="J729" i="6"/>
  <c r="N729" i="6" s="1"/>
  <c r="J730" i="6"/>
  <c r="N730" i="6" s="1"/>
  <c r="J731" i="6"/>
  <c r="Q731" i="6" s="1"/>
  <c r="J732" i="6"/>
  <c r="N732" i="6" s="1"/>
  <c r="J733" i="6"/>
  <c r="N733" i="6" s="1"/>
  <c r="J734" i="6"/>
  <c r="N734" i="6" s="1"/>
  <c r="J735" i="6"/>
  <c r="J736" i="6"/>
  <c r="J737" i="6"/>
  <c r="J738" i="6"/>
  <c r="J739" i="6"/>
  <c r="J740" i="6"/>
  <c r="J741" i="6"/>
  <c r="J742" i="6"/>
  <c r="Q742" i="6" s="1"/>
  <c r="J743" i="6"/>
  <c r="N743" i="6" s="1"/>
  <c r="J744" i="6"/>
  <c r="Q744" i="6" s="1"/>
  <c r="J745" i="6"/>
  <c r="O745" i="6" s="1"/>
  <c r="J746" i="6"/>
  <c r="Q746" i="6" s="1"/>
  <c r="J747" i="6"/>
  <c r="O747" i="6" s="1"/>
  <c r="J748" i="6"/>
  <c r="N748" i="6" s="1"/>
  <c r="J749" i="6"/>
  <c r="N749" i="6" s="1"/>
  <c r="J750" i="6"/>
  <c r="N750" i="6" s="1"/>
  <c r="J751" i="6"/>
  <c r="J752" i="6"/>
  <c r="J753" i="6"/>
  <c r="O753" i="6" s="1"/>
  <c r="J754" i="6"/>
  <c r="O754" i="6" s="1"/>
  <c r="J755" i="6"/>
  <c r="O755" i="6" s="1"/>
  <c r="J756" i="6"/>
  <c r="N756" i="6" s="1"/>
  <c r="J757" i="6"/>
  <c r="Q757" i="6" s="1"/>
  <c r="J758" i="6"/>
  <c r="Q758" i="6" s="1"/>
  <c r="J759" i="6"/>
  <c r="Q759" i="6" s="1"/>
  <c r="J760" i="6"/>
  <c r="N760" i="6" s="1"/>
  <c r="J761" i="6"/>
  <c r="O761" i="6" s="1"/>
  <c r="J762" i="6"/>
  <c r="N762" i="6" s="1"/>
  <c r="J763" i="6"/>
  <c r="J764" i="6"/>
  <c r="J765" i="6"/>
  <c r="J766" i="6"/>
  <c r="J767" i="6"/>
  <c r="J768" i="6"/>
  <c r="J769" i="6"/>
  <c r="J770" i="6"/>
  <c r="J771" i="6"/>
  <c r="J772" i="6"/>
  <c r="Q772" i="6" s="1"/>
  <c r="J773" i="6"/>
  <c r="Q773" i="6" s="1"/>
  <c r="J774" i="6"/>
  <c r="Q774" i="6" s="1"/>
  <c r="J775" i="6"/>
  <c r="O775" i="6" s="1"/>
  <c r="J776" i="6"/>
  <c r="Q776" i="6" s="1"/>
  <c r="J777" i="6"/>
  <c r="N777" i="6" s="1"/>
  <c r="J778" i="6"/>
  <c r="Q778" i="6" s="1"/>
  <c r="J779" i="6"/>
  <c r="Q779" i="6" s="1"/>
  <c r="J780" i="6"/>
  <c r="N780" i="6" s="1"/>
  <c r="J781" i="6"/>
  <c r="N781" i="6" s="1"/>
  <c r="J782" i="6"/>
  <c r="J783" i="6"/>
  <c r="J784" i="6"/>
  <c r="J785" i="6"/>
  <c r="O785" i="6" s="1"/>
  <c r="J786" i="6"/>
  <c r="O786" i="6" s="1"/>
  <c r="J787" i="6"/>
  <c r="J788" i="6"/>
  <c r="J789" i="6"/>
  <c r="J790" i="6"/>
  <c r="N790" i="6" s="1"/>
  <c r="J791" i="6"/>
  <c r="N791" i="6" s="1"/>
  <c r="J792" i="6"/>
  <c r="N792" i="6" s="1"/>
  <c r="J793" i="6"/>
  <c r="N793" i="6" s="1"/>
  <c r="J794" i="6"/>
  <c r="O794" i="6" s="1"/>
  <c r="J795" i="6"/>
  <c r="Q795" i="6" s="1"/>
  <c r="J796" i="6"/>
  <c r="Q796" i="6" s="1"/>
  <c r="J797" i="6"/>
  <c r="J798" i="6"/>
  <c r="N798" i="6" s="1"/>
  <c r="J799" i="6"/>
  <c r="O799" i="6" s="1"/>
  <c r="J800" i="6"/>
  <c r="O800" i="6" s="1"/>
  <c r="J801" i="6"/>
  <c r="O801" i="6" s="1"/>
  <c r="J802" i="6"/>
  <c r="O802" i="6" s="1"/>
  <c r="J803" i="6"/>
  <c r="J804" i="6"/>
  <c r="Q804" i="6" s="1"/>
  <c r="J805" i="6"/>
  <c r="J806" i="6"/>
  <c r="N806" i="6" s="1"/>
  <c r="J807" i="6"/>
  <c r="N807" i="6" s="1"/>
  <c r="J808" i="6"/>
  <c r="J809" i="6"/>
  <c r="O809" i="6" s="1"/>
  <c r="J810" i="6"/>
  <c r="J811" i="6"/>
  <c r="J812" i="6"/>
  <c r="O812" i="6" s="1"/>
  <c r="J813" i="6"/>
  <c r="J814" i="6"/>
  <c r="J815" i="6"/>
  <c r="J816" i="6"/>
  <c r="J817" i="6"/>
  <c r="J818" i="6"/>
  <c r="J819" i="6"/>
  <c r="J820" i="6"/>
  <c r="J821" i="6"/>
  <c r="Q821" i="6" s="1"/>
  <c r="J822" i="6"/>
  <c r="J823" i="6"/>
  <c r="J824" i="6"/>
  <c r="J825" i="6"/>
  <c r="N825" i="6" s="1"/>
  <c r="J826" i="6"/>
  <c r="N826" i="6" s="1"/>
  <c r="J827" i="6"/>
  <c r="N827" i="6" s="1"/>
  <c r="J828" i="6"/>
  <c r="Q828" i="6" s="1"/>
  <c r="J829" i="6"/>
  <c r="J830" i="6"/>
  <c r="J831" i="6"/>
  <c r="J832" i="6"/>
  <c r="J833" i="6"/>
  <c r="O833" i="6" s="1"/>
  <c r="J834" i="6"/>
  <c r="J835" i="6"/>
  <c r="O835" i="6" s="1"/>
  <c r="J836" i="6"/>
  <c r="J837" i="6"/>
  <c r="J838" i="6"/>
  <c r="N838" i="6" s="1"/>
  <c r="J839" i="6"/>
  <c r="N839" i="6" s="1"/>
  <c r="J840" i="6"/>
  <c r="J841" i="6"/>
  <c r="N841" i="6" s="1"/>
  <c r="J842" i="6"/>
  <c r="J843" i="6"/>
  <c r="Q843" i="6" s="1"/>
  <c r="J844" i="6"/>
  <c r="Q844" i="6" s="1"/>
  <c r="J845" i="6"/>
  <c r="J846" i="6"/>
  <c r="N846" i="6" s="1"/>
  <c r="J847" i="6"/>
  <c r="J848" i="6"/>
  <c r="J849" i="6"/>
  <c r="J850" i="6"/>
  <c r="J851" i="6"/>
  <c r="J852" i="6"/>
  <c r="J853" i="6"/>
  <c r="J854" i="6"/>
  <c r="J855" i="6"/>
  <c r="Q855" i="6" s="1"/>
  <c r="J856" i="6"/>
  <c r="Q856" i="6" s="1"/>
  <c r="J857" i="6"/>
  <c r="N857" i="6" s="1"/>
  <c r="J858" i="6"/>
  <c r="Q858" i="6" s="1"/>
  <c r="J859" i="6"/>
  <c r="N859" i="6" s="1"/>
  <c r="J860" i="6"/>
  <c r="N860" i="6" s="1"/>
  <c r="J861" i="6"/>
  <c r="N861" i="6" s="1"/>
  <c r="J862" i="6"/>
  <c r="N862" i="6" s="1"/>
  <c r="J863" i="6"/>
  <c r="J864" i="6"/>
  <c r="J865" i="6"/>
  <c r="J866" i="6"/>
  <c r="N866" i="6" s="1"/>
  <c r="J867" i="6"/>
  <c r="N867" i="6" s="1"/>
  <c r="J868" i="6"/>
  <c r="O868" i="6" s="1"/>
  <c r="J869" i="6"/>
  <c r="Q869" i="6" s="1"/>
  <c r="J870" i="6"/>
  <c r="Q870" i="6" s="1"/>
  <c r="J871" i="6"/>
  <c r="Q871" i="6" s="1"/>
  <c r="J872" i="6"/>
  <c r="Q872" i="6" s="1"/>
  <c r="J873" i="6"/>
  <c r="N873" i="6" s="1"/>
  <c r="J874" i="6"/>
  <c r="Q874" i="6" s="1"/>
  <c r="J875" i="6"/>
  <c r="Q875" i="6" s="1"/>
  <c r="J876" i="6"/>
  <c r="Q876" i="6" s="1"/>
  <c r="J877" i="6"/>
  <c r="J878" i="6"/>
  <c r="N878" i="6" s="1"/>
  <c r="J879" i="6"/>
  <c r="J880" i="6"/>
  <c r="O880" i="6" s="1"/>
  <c r="J881" i="6"/>
  <c r="J882" i="6"/>
  <c r="N882" i="6" s="1"/>
  <c r="J883" i="6"/>
  <c r="Q883" i="6" s="1"/>
  <c r="J884" i="6"/>
  <c r="N884" i="6" s="1"/>
  <c r="J885" i="6"/>
  <c r="N885" i="6" s="1"/>
  <c r="J886" i="6"/>
  <c r="N886" i="6" s="1"/>
  <c r="J887" i="6"/>
  <c r="N887" i="6" s="1"/>
  <c r="J888" i="6"/>
  <c r="N888" i="6" s="1"/>
  <c r="J889" i="6"/>
  <c r="N889" i="6" s="1"/>
  <c r="J890" i="6"/>
  <c r="N890" i="6" s="1"/>
  <c r="J891" i="6"/>
  <c r="J892" i="6"/>
  <c r="Q892" i="6" s="1"/>
  <c r="J893" i="6"/>
  <c r="J894" i="6"/>
  <c r="J895" i="6"/>
  <c r="J896" i="6"/>
  <c r="N896" i="6" s="1"/>
  <c r="J897" i="6"/>
  <c r="J898" i="6"/>
  <c r="J899" i="6"/>
  <c r="Q899" i="6" s="1"/>
  <c r="J900" i="6"/>
  <c r="N900" i="6" s="1"/>
  <c r="J901" i="6"/>
  <c r="J902" i="6"/>
  <c r="N902" i="6" s="1"/>
  <c r="J903" i="6"/>
  <c r="J904" i="6"/>
  <c r="O904" i="6" s="1"/>
  <c r="J905" i="6"/>
  <c r="N905" i="6" s="1"/>
  <c r="J906" i="6"/>
  <c r="J907" i="6"/>
  <c r="Q907" i="6" s="1"/>
  <c r="J908" i="6"/>
  <c r="Q908" i="6" s="1"/>
  <c r="J909" i="6"/>
  <c r="J910" i="6"/>
  <c r="J911" i="6"/>
  <c r="J912" i="6"/>
  <c r="Q912" i="6" s="1"/>
  <c r="J913" i="6"/>
  <c r="J914" i="6"/>
  <c r="J915" i="6"/>
  <c r="J916" i="6"/>
  <c r="Q916" i="6" s="1"/>
  <c r="J917" i="6"/>
  <c r="J918" i="6"/>
  <c r="Q918" i="6" s="1"/>
  <c r="J919" i="6"/>
  <c r="Q919" i="6" s="1"/>
  <c r="J920" i="6"/>
  <c r="N920" i="6" s="1"/>
  <c r="J921" i="6"/>
  <c r="N921" i="6" s="1"/>
  <c r="J922" i="6"/>
  <c r="Q922" i="6" s="1"/>
  <c r="J923" i="6"/>
  <c r="Q923" i="6" s="1"/>
  <c r="J924" i="6"/>
  <c r="N924" i="6" s="1"/>
  <c r="J925" i="6"/>
  <c r="N925" i="6" s="1"/>
  <c r="J926" i="6"/>
  <c r="N926" i="6" s="1"/>
  <c r="J927" i="6"/>
  <c r="N927" i="6" s="1"/>
  <c r="J928" i="6"/>
  <c r="Q928" i="6" s="1"/>
  <c r="J929" i="6"/>
  <c r="J930" i="6"/>
  <c r="Q930" i="6" s="1"/>
  <c r="J931" i="6"/>
  <c r="Q931" i="6" s="1"/>
  <c r="J932" i="6"/>
  <c r="Q932" i="6" s="1"/>
  <c r="J933" i="6"/>
  <c r="J934" i="6"/>
  <c r="N934" i="6" s="1"/>
  <c r="J935" i="6"/>
  <c r="N935" i="6" s="1"/>
  <c r="J936" i="6"/>
  <c r="N936" i="6" s="1"/>
  <c r="J937" i="6"/>
  <c r="N937" i="6" s="1"/>
  <c r="J938" i="6"/>
  <c r="N938" i="6" s="1"/>
  <c r="J939" i="6"/>
  <c r="O939" i="6" s="1"/>
  <c r="J940" i="6"/>
  <c r="O940" i="6" s="1"/>
  <c r="J941" i="6"/>
  <c r="O941" i="6" s="1"/>
  <c r="J942" i="6"/>
  <c r="J943" i="6"/>
  <c r="J944" i="6"/>
  <c r="J945" i="6"/>
  <c r="N945" i="6" s="1"/>
  <c r="J946" i="6"/>
  <c r="J947" i="6"/>
  <c r="Q947" i="6" s="1"/>
  <c r="J948" i="6"/>
  <c r="Q948" i="6" s="1"/>
  <c r="J949" i="6"/>
  <c r="J950" i="6"/>
  <c r="J951" i="6"/>
  <c r="N951" i="6" s="1"/>
  <c r="J952" i="6"/>
  <c r="Q952" i="6" s="1"/>
  <c r="J953" i="6"/>
  <c r="N953" i="6" s="1"/>
  <c r="J954" i="6"/>
  <c r="Q954" i="6" s="1"/>
  <c r="J955" i="6"/>
  <c r="Q955" i="6" s="1"/>
  <c r="J956" i="6"/>
  <c r="N956" i="6" s="1"/>
  <c r="J957" i="6"/>
  <c r="N957" i="6" s="1"/>
  <c r="J958" i="6"/>
  <c r="N958" i="6" s="1"/>
  <c r="J959" i="6"/>
  <c r="O959" i="6" s="1"/>
  <c r="J960" i="6"/>
  <c r="O960" i="6" s="1"/>
  <c r="J961" i="6"/>
  <c r="N961" i="6" s="1"/>
  <c r="J962" i="6"/>
  <c r="J963" i="6"/>
  <c r="J964" i="6"/>
  <c r="J965" i="6"/>
  <c r="J966" i="6"/>
  <c r="Q966" i="6" s="1"/>
  <c r="J967" i="6"/>
  <c r="Q967" i="6" s="1"/>
  <c r="J968" i="6"/>
  <c r="Q968" i="6" s="1"/>
  <c r="J969" i="6"/>
  <c r="N969" i="6" s="1"/>
  <c r="J970" i="6"/>
  <c r="Q970" i="6" s="1"/>
  <c r="J971" i="6"/>
  <c r="Q971" i="6" s="1"/>
  <c r="J972" i="6"/>
  <c r="Q972" i="6" s="1"/>
  <c r="J973" i="6"/>
  <c r="O973" i="6" s="1"/>
  <c r="J974" i="6"/>
  <c r="O974" i="6" s="1"/>
  <c r="J975" i="6"/>
  <c r="Q975" i="6" s="1"/>
  <c r="J976" i="6"/>
  <c r="N976" i="6" s="1"/>
  <c r="J977" i="6"/>
  <c r="Q977" i="6" s="1"/>
  <c r="J978" i="6"/>
  <c r="Q978" i="6" s="1"/>
  <c r="J979" i="6"/>
  <c r="Q979" i="6" s="1"/>
  <c r="J980" i="6"/>
  <c r="J981" i="6"/>
  <c r="J982" i="6"/>
  <c r="N982" i="6" s="1"/>
  <c r="J983" i="6"/>
  <c r="N983" i="6" s="1"/>
  <c r="J984" i="6"/>
  <c r="N984" i="6" s="1"/>
  <c r="J985" i="6"/>
  <c r="N985" i="6" s="1"/>
  <c r="J986" i="6"/>
  <c r="N986" i="6" s="1"/>
  <c r="J987" i="6"/>
  <c r="N987" i="6" s="1"/>
  <c r="J988" i="6"/>
  <c r="N988" i="6" s="1"/>
  <c r="J989" i="6"/>
  <c r="N989" i="6" s="1"/>
  <c r="J990" i="6"/>
  <c r="N990" i="6" s="1"/>
  <c r="J25" i="6"/>
  <c r="Q25" i="6" s="1"/>
  <c r="O152" i="6" l="1"/>
  <c r="O39" i="6"/>
  <c r="Q55" i="6"/>
  <c r="Q54" i="6"/>
  <c r="N203" i="6"/>
  <c r="N75" i="6"/>
  <c r="Q28" i="6"/>
  <c r="N135" i="6"/>
  <c r="O333" i="6"/>
  <c r="N134" i="6"/>
  <c r="O250" i="6"/>
  <c r="O245" i="6"/>
  <c r="N245" i="6"/>
  <c r="O153" i="6"/>
  <c r="O136" i="6"/>
  <c r="O134" i="6"/>
  <c r="Q75" i="6"/>
  <c r="Q906" i="6"/>
  <c r="O906" i="6"/>
  <c r="O805" i="6"/>
  <c r="Q789" i="6"/>
  <c r="O789" i="6"/>
  <c r="Q741" i="6"/>
  <c r="O741" i="6"/>
  <c r="Q709" i="6"/>
  <c r="O709" i="6"/>
  <c r="O693" i="6"/>
  <c r="Q693" i="6"/>
  <c r="Q677" i="6"/>
  <c r="O677" i="6"/>
  <c r="Q661" i="6"/>
  <c r="O661" i="6"/>
  <c r="Q645" i="6"/>
  <c r="O645" i="6"/>
  <c r="Q613" i="6"/>
  <c r="O613" i="6"/>
  <c r="Q597" i="6"/>
  <c r="O597" i="6"/>
  <c r="Q565" i="6"/>
  <c r="O565" i="6"/>
  <c r="Q533" i="6"/>
  <c r="O533" i="6"/>
  <c r="Q517" i="6"/>
  <c r="O517" i="6"/>
  <c r="O485" i="6"/>
  <c r="Q485" i="6"/>
  <c r="Q405" i="6"/>
  <c r="O405" i="6"/>
  <c r="O389" i="6"/>
  <c r="Q389" i="6"/>
  <c r="Q373" i="6"/>
  <c r="O373" i="6"/>
  <c r="Q357" i="6"/>
  <c r="O357" i="6"/>
  <c r="N357" i="6"/>
  <c r="Q341" i="6"/>
  <c r="N341" i="6"/>
  <c r="Q325" i="6"/>
  <c r="O325" i="6"/>
  <c r="Q309" i="6"/>
  <c r="O309" i="6"/>
  <c r="Q277" i="6"/>
  <c r="N277" i="6"/>
  <c r="N261" i="6"/>
  <c r="O261" i="6"/>
  <c r="Q229" i="6"/>
  <c r="O229" i="6"/>
  <c r="N229" i="6"/>
  <c r="Q213" i="6"/>
  <c r="O213" i="6"/>
  <c r="Q197" i="6"/>
  <c r="O197" i="6"/>
  <c r="O181" i="6"/>
  <c r="Q181" i="6"/>
  <c r="Q165" i="6"/>
  <c r="O165" i="6"/>
  <c r="N165" i="6"/>
  <c r="Q149" i="6"/>
  <c r="O149" i="6"/>
  <c r="O133" i="6"/>
  <c r="Q133" i="6"/>
  <c r="N133" i="6"/>
  <c r="Q117" i="6"/>
  <c r="N117" i="6"/>
  <c r="O101" i="6"/>
  <c r="Q101" i="6"/>
  <c r="N101" i="6"/>
  <c r="Q85" i="6"/>
  <c r="O85" i="6"/>
  <c r="Q69" i="6"/>
  <c r="N69" i="6"/>
  <c r="O53" i="6"/>
  <c r="Q53" i="6"/>
  <c r="O37" i="6"/>
  <c r="N977" i="6"/>
  <c r="N928" i="6"/>
  <c r="N871" i="6"/>
  <c r="N852" i="6"/>
  <c r="N828" i="6"/>
  <c r="N692" i="6"/>
  <c r="N666" i="6"/>
  <c r="N645" i="6"/>
  <c r="N619" i="6"/>
  <c r="N598" i="6"/>
  <c r="N551" i="6"/>
  <c r="N525" i="6"/>
  <c r="N475" i="6"/>
  <c r="N453" i="6"/>
  <c r="N325" i="6"/>
  <c r="N181" i="6"/>
  <c r="N111" i="6"/>
  <c r="N78" i="6"/>
  <c r="O955" i="6"/>
  <c r="O919" i="6"/>
  <c r="O844" i="6"/>
  <c r="O759" i="6"/>
  <c r="O669" i="6"/>
  <c r="O619" i="6"/>
  <c r="O552" i="6"/>
  <c r="O422" i="6"/>
  <c r="O341" i="6"/>
  <c r="O280" i="6"/>
  <c r="Q942" i="6"/>
  <c r="Q822" i="6"/>
  <c r="Q699" i="6"/>
  <c r="Q532" i="6"/>
  <c r="Q330" i="6"/>
  <c r="Q135" i="6"/>
  <c r="Q676" i="6"/>
  <c r="O676" i="6"/>
  <c r="Q660" i="6"/>
  <c r="O660" i="6"/>
  <c r="Q644" i="6"/>
  <c r="O644" i="6"/>
  <c r="Q612" i="6"/>
  <c r="O612" i="6"/>
  <c r="Q596" i="6"/>
  <c r="O596" i="6"/>
  <c r="O580" i="6"/>
  <c r="Q580" i="6"/>
  <c r="Q564" i="6"/>
  <c r="O564" i="6"/>
  <c r="Q516" i="6"/>
  <c r="O516" i="6"/>
  <c r="O484" i="6"/>
  <c r="Q484" i="6"/>
  <c r="Q420" i="6"/>
  <c r="O420" i="6"/>
  <c r="Q404" i="6"/>
  <c r="O404" i="6"/>
  <c r="Q388" i="6"/>
  <c r="O388" i="6"/>
  <c r="Q372" i="6"/>
  <c r="O372" i="6"/>
  <c r="Q356" i="6"/>
  <c r="O356" i="6"/>
  <c r="Q340" i="6"/>
  <c r="N340" i="6"/>
  <c r="O340" i="6"/>
  <c r="Q324" i="6"/>
  <c r="O324" i="6"/>
  <c r="Q276" i="6"/>
  <c r="O276" i="6"/>
  <c r="N276" i="6"/>
  <c r="Q244" i="6"/>
  <c r="N244" i="6"/>
  <c r="Q228" i="6"/>
  <c r="O228" i="6"/>
  <c r="N228" i="6"/>
  <c r="Q212" i="6"/>
  <c r="O212" i="6"/>
  <c r="N212" i="6"/>
  <c r="Q196" i="6"/>
  <c r="O196" i="6"/>
  <c r="O180" i="6"/>
  <c r="Q180" i="6"/>
  <c r="Q164" i="6"/>
  <c r="O164" i="6"/>
  <c r="N164" i="6"/>
  <c r="Q148" i="6"/>
  <c r="O148" i="6"/>
  <c r="O132" i="6"/>
  <c r="Q132" i="6"/>
  <c r="Q116" i="6"/>
  <c r="O116" i="6"/>
  <c r="N116" i="6"/>
  <c r="O100" i="6"/>
  <c r="Q100" i="6"/>
  <c r="N100" i="6"/>
  <c r="O84" i="6"/>
  <c r="Q84" i="6"/>
  <c r="Q68" i="6"/>
  <c r="O68" i="6"/>
  <c r="N960" i="6"/>
  <c r="N908" i="6"/>
  <c r="N870" i="6"/>
  <c r="N851" i="6"/>
  <c r="N759" i="6"/>
  <c r="N665" i="6"/>
  <c r="N644" i="6"/>
  <c r="N597" i="6"/>
  <c r="N452" i="6"/>
  <c r="N424" i="6"/>
  <c r="N324" i="6"/>
  <c r="N180" i="6"/>
  <c r="O954" i="6"/>
  <c r="O918" i="6"/>
  <c r="O876" i="6"/>
  <c r="O843" i="6"/>
  <c r="O758" i="6"/>
  <c r="O666" i="6"/>
  <c r="O617" i="6"/>
  <c r="O551" i="6"/>
  <c r="O475" i="6"/>
  <c r="O421" i="6"/>
  <c r="O277" i="6"/>
  <c r="Q697" i="6"/>
  <c r="Q78" i="6"/>
  <c r="O307" i="6"/>
  <c r="Q291" i="6"/>
  <c r="O291" i="6"/>
  <c r="Q275" i="6"/>
  <c r="N275" i="6"/>
  <c r="O275" i="6"/>
  <c r="Q243" i="6"/>
  <c r="N243" i="6"/>
  <c r="O243" i="6"/>
  <c r="Q227" i="6"/>
  <c r="N227" i="6"/>
  <c r="Q211" i="6"/>
  <c r="N211" i="6"/>
  <c r="O211" i="6"/>
  <c r="Q195" i="6"/>
  <c r="O195" i="6"/>
  <c r="Q179" i="6"/>
  <c r="O179" i="6"/>
  <c r="Q163" i="6"/>
  <c r="O163" i="6"/>
  <c r="N163" i="6"/>
  <c r="Q147" i="6"/>
  <c r="O147" i="6"/>
  <c r="Q131" i="6"/>
  <c r="O131" i="6"/>
  <c r="N131" i="6"/>
  <c r="Q115" i="6"/>
  <c r="N115" i="6"/>
  <c r="Q83" i="6"/>
  <c r="O83" i="6"/>
  <c r="N83" i="6"/>
  <c r="Q67" i="6"/>
  <c r="O67" i="6"/>
  <c r="N51" i="6"/>
  <c r="Q35" i="6"/>
  <c r="O35" i="6"/>
  <c r="N975" i="6"/>
  <c r="N959" i="6"/>
  <c r="N907" i="6"/>
  <c r="N869" i="6"/>
  <c r="N850" i="6"/>
  <c r="N779" i="6"/>
  <c r="N758" i="6"/>
  <c r="N617" i="6"/>
  <c r="N596" i="6"/>
  <c r="N549" i="6"/>
  <c r="N501" i="6"/>
  <c r="N473" i="6"/>
  <c r="N423" i="6"/>
  <c r="N373" i="6"/>
  <c r="N250" i="6"/>
  <c r="N179" i="6"/>
  <c r="N68" i="6"/>
  <c r="O952" i="6"/>
  <c r="O917" i="6"/>
  <c r="O875" i="6"/>
  <c r="O757" i="6"/>
  <c r="O665" i="6"/>
  <c r="O601" i="6"/>
  <c r="O549" i="6"/>
  <c r="O473" i="6"/>
  <c r="O414" i="6"/>
  <c r="O334" i="6"/>
  <c r="O259" i="6"/>
  <c r="Q814" i="6"/>
  <c r="Q651" i="6"/>
  <c r="Q491" i="6"/>
  <c r="Q282" i="6"/>
  <c r="Q738" i="6"/>
  <c r="O738" i="6"/>
  <c r="N738" i="6"/>
  <c r="Q722" i="6"/>
  <c r="N722" i="6"/>
  <c r="Q706" i="6"/>
  <c r="O706" i="6"/>
  <c r="N706" i="6"/>
  <c r="Q690" i="6"/>
  <c r="N690" i="6"/>
  <c r="Q674" i="6"/>
  <c r="O674" i="6"/>
  <c r="N674" i="6"/>
  <c r="Q658" i="6"/>
  <c r="N658" i="6"/>
  <c r="Q642" i="6"/>
  <c r="N642" i="6"/>
  <c r="Q626" i="6"/>
  <c r="O626" i="6"/>
  <c r="N626" i="6"/>
  <c r="Q610" i="6"/>
  <c r="O610" i="6"/>
  <c r="N610" i="6"/>
  <c r="Q594" i="6"/>
  <c r="O594" i="6"/>
  <c r="N594" i="6"/>
  <c r="Q578" i="6"/>
  <c r="N578" i="6"/>
  <c r="Q562" i="6"/>
  <c r="O562" i="6"/>
  <c r="N562" i="6"/>
  <c r="Q546" i="6"/>
  <c r="O546" i="6"/>
  <c r="N546" i="6"/>
  <c r="Q530" i="6"/>
  <c r="O530" i="6"/>
  <c r="N530" i="6"/>
  <c r="Q514" i="6"/>
  <c r="O514" i="6"/>
  <c r="N514" i="6"/>
  <c r="Q498" i="6"/>
  <c r="O498" i="6"/>
  <c r="N498" i="6"/>
  <c r="Q482" i="6"/>
  <c r="O482" i="6"/>
  <c r="Q466" i="6"/>
  <c r="O466" i="6"/>
  <c r="Q450" i="6"/>
  <c r="O450" i="6"/>
  <c r="Q434" i="6"/>
  <c r="O434" i="6"/>
  <c r="Q418" i="6"/>
  <c r="O418" i="6"/>
  <c r="Q402" i="6"/>
  <c r="O402" i="6"/>
  <c r="Q386" i="6"/>
  <c r="O386" i="6"/>
  <c r="Q370" i="6"/>
  <c r="O370" i="6"/>
  <c r="Q354" i="6"/>
  <c r="O354" i="6"/>
  <c r="Q338" i="6"/>
  <c r="O338" i="6"/>
  <c r="N338" i="6"/>
  <c r="Q322" i="6"/>
  <c r="O322" i="6"/>
  <c r="N322" i="6"/>
  <c r="O306" i="6"/>
  <c r="Q274" i="6"/>
  <c r="O274" i="6"/>
  <c r="N274" i="6"/>
  <c r="Q258" i="6"/>
  <c r="O258" i="6"/>
  <c r="Q242" i="6"/>
  <c r="O242" i="6"/>
  <c r="Q210" i="6"/>
  <c r="N210" i="6"/>
  <c r="O210" i="6"/>
  <c r="Q194" i="6"/>
  <c r="O194" i="6"/>
  <c r="Q178" i="6"/>
  <c r="N178" i="6"/>
  <c r="Q162" i="6"/>
  <c r="O162" i="6"/>
  <c r="N162" i="6"/>
  <c r="Q146" i="6"/>
  <c r="O146" i="6"/>
  <c r="Q130" i="6"/>
  <c r="O130" i="6"/>
  <c r="Q114" i="6"/>
  <c r="O114" i="6"/>
  <c r="N114" i="6"/>
  <c r="Q98" i="6"/>
  <c r="O98" i="6"/>
  <c r="N98" i="6"/>
  <c r="Q82" i="6"/>
  <c r="O82" i="6"/>
  <c r="N82" i="6"/>
  <c r="Q66" i="6"/>
  <c r="O66" i="6"/>
  <c r="O50" i="6"/>
  <c r="N50" i="6"/>
  <c r="N974" i="6"/>
  <c r="N942" i="6"/>
  <c r="N906" i="6"/>
  <c r="N868" i="6"/>
  <c r="N804" i="6"/>
  <c r="N778" i="6"/>
  <c r="N757" i="6"/>
  <c r="N731" i="6"/>
  <c r="N548" i="6"/>
  <c r="N500" i="6"/>
  <c r="N450" i="6"/>
  <c r="N422" i="6"/>
  <c r="O916" i="6"/>
  <c r="O874" i="6"/>
  <c r="O718" i="6"/>
  <c r="O658" i="6"/>
  <c r="O600" i="6"/>
  <c r="O548" i="6"/>
  <c r="O471" i="6"/>
  <c r="Q939" i="6"/>
  <c r="Q812" i="6"/>
  <c r="Q650" i="6"/>
  <c r="Q490" i="6"/>
  <c r="Q281" i="6"/>
  <c r="N835" i="6"/>
  <c r="Q755" i="6"/>
  <c r="N755" i="6"/>
  <c r="Q707" i="6"/>
  <c r="O707" i="6"/>
  <c r="N707" i="6"/>
  <c r="Q643" i="6"/>
  <c r="O643" i="6"/>
  <c r="N643" i="6"/>
  <c r="Q737" i="6"/>
  <c r="O737" i="6"/>
  <c r="N737" i="6"/>
  <c r="Q721" i="6"/>
  <c r="N721" i="6"/>
  <c r="Q705" i="6"/>
  <c r="O705" i="6"/>
  <c r="N705" i="6"/>
  <c r="Q689" i="6"/>
  <c r="O689" i="6"/>
  <c r="N689" i="6"/>
  <c r="Q673" i="6"/>
  <c r="O673" i="6"/>
  <c r="N673" i="6"/>
  <c r="Q657" i="6"/>
  <c r="O657" i="6"/>
  <c r="N657" i="6"/>
  <c r="Q641" i="6"/>
  <c r="O641" i="6"/>
  <c r="N641" i="6"/>
  <c r="Q625" i="6"/>
  <c r="O625" i="6"/>
  <c r="N625" i="6"/>
  <c r="Q609" i="6"/>
  <c r="O609" i="6"/>
  <c r="N609" i="6"/>
  <c r="Q593" i="6"/>
  <c r="O593" i="6"/>
  <c r="N593" i="6"/>
  <c r="Q577" i="6"/>
  <c r="O577" i="6"/>
  <c r="N577" i="6"/>
  <c r="Q561" i="6"/>
  <c r="O561" i="6"/>
  <c r="N561" i="6"/>
  <c r="Q545" i="6"/>
  <c r="O545" i="6"/>
  <c r="N545" i="6"/>
  <c r="Q529" i="6"/>
  <c r="O529" i="6"/>
  <c r="N529" i="6"/>
  <c r="Q513" i="6"/>
  <c r="O513" i="6"/>
  <c r="N513" i="6"/>
  <c r="Q497" i="6"/>
  <c r="O497" i="6"/>
  <c r="N497" i="6"/>
  <c r="Q481" i="6"/>
  <c r="O481" i="6"/>
  <c r="N481" i="6"/>
  <c r="Q465" i="6"/>
  <c r="O465" i="6"/>
  <c r="Q449" i="6"/>
  <c r="O449" i="6"/>
  <c r="Q433" i="6"/>
  <c r="O433" i="6"/>
  <c r="Q417" i="6"/>
  <c r="O417" i="6"/>
  <c r="Q401" i="6"/>
  <c r="O401" i="6"/>
  <c r="Q385" i="6"/>
  <c r="O385" i="6"/>
  <c r="O369" i="6"/>
  <c r="Q353" i="6"/>
  <c r="O353" i="6"/>
  <c r="Q337" i="6"/>
  <c r="O337" i="6"/>
  <c r="Q321" i="6"/>
  <c r="O321" i="6"/>
  <c r="N321" i="6"/>
  <c r="Q289" i="6"/>
  <c r="O289" i="6"/>
  <c r="Q273" i="6"/>
  <c r="O273" i="6"/>
  <c r="N273" i="6"/>
  <c r="Q257" i="6"/>
  <c r="O257" i="6"/>
  <c r="Q241" i="6"/>
  <c r="O241" i="6"/>
  <c r="Q225" i="6"/>
  <c r="N225" i="6"/>
  <c r="Q209" i="6"/>
  <c r="O209" i="6"/>
  <c r="N209" i="6"/>
  <c r="Q193" i="6"/>
  <c r="O193" i="6"/>
  <c r="N193" i="6"/>
  <c r="Q177" i="6"/>
  <c r="O177" i="6"/>
  <c r="Q161" i="6"/>
  <c r="O161" i="6"/>
  <c r="N161" i="6"/>
  <c r="Q145" i="6"/>
  <c r="O145" i="6"/>
  <c r="Q129" i="6"/>
  <c r="O129" i="6"/>
  <c r="Q113" i="6"/>
  <c r="O113" i="6"/>
  <c r="Q97" i="6"/>
  <c r="O97" i="6"/>
  <c r="N97" i="6"/>
  <c r="Q81" i="6"/>
  <c r="O81" i="6"/>
  <c r="Q65" i="6"/>
  <c r="O65" i="6"/>
  <c r="N65" i="6"/>
  <c r="Q49" i="6"/>
  <c r="N49" i="6"/>
  <c r="O33" i="6"/>
  <c r="N973" i="6"/>
  <c r="N824" i="6"/>
  <c r="N709" i="6"/>
  <c r="N499" i="6"/>
  <c r="N471" i="6"/>
  <c r="N449" i="6"/>
  <c r="N421" i="6"/>
  <c r="N371" i="6"/>
  <c r="N286" i="6"/>
  <c r="N66" i="6"/>
  <c r="N25" i="6"/>
  <c r="O908" i="6"/>
  <c r="O872" i="6"/>
  <c r="O796" i="6"/>
  <c r="O654" i="6"/>
  <c r="O598" i="6"/>
  <c r="O536" i="6"/>
  <c r="O469" i="6"/>
  <c r="O330" i="6"/>
  <c r="O49" i="6"/>
  <c r="Q649" i="6"/>
  <c r="Q489" i="6"/>
  <c r="Q280" i="6"/>
  <c r="O912" i="6"/>
  <c r="N912" i="6"/>
  <c r="Q880" i="6"/>
  <c r="N880" i="6"/>
  <c r="Q864" i="6"/>
  <c r="N864" i="6"/>
  <c r="O864" i="6"/>
  <c r="Q832" i="6"/>
  <c r="N832" i="6"/>
  <c r="O832" i="6"/>
  <c r="O816" i="6"/>
  <c r="Q800" i="6"/>
  <c r="N800" i="6"/>
  <c r="Q784" i="6"/>
  <c r="O784" i="6"/>
  <c r="N784" i="6"/>
  <c r="O768" i="6"/>
  <c r="N768" i="6"/>
  <c r="Q768" i="6"/>
  <c r="Q752" i="6"/>
  <c r="N752" i="6"/>
  <c r="Q736" i="6"/>
  <c r="N736" i="6"/>
  <c r="Q720" i="6"/>
  <c r="N720" i="6"/>
  <c r="Q704" i="6"/>
  <c r="O704" i="6"/>
  <c r="N704" i="6"/>
  <c r="Q688" i="6"/>
  <c r="N688" i="6"/>
  <c r="Q672" i="6"/>
  <c r="O672" i="6"/>
  <c r="N672" i="6"/>
  <c r="Q656" i="6"/>
  <c r="O656" i="6"/>
  <c r="N656" i="6"/>
  <c r="Q640" i="6"/>
  <c r="O640" i="6"/>
  <c r="N640" i="6"/>
  <c r="O624" i="6"/>
  <c r="Q624" i="6"/>
  <c r="N624" i="6"/>
  <c r="O608" i="6"/>
  <c r="Q608" i="6"/>
  <c r="N608" i="6"/>
  <c r="Q592" i="6"/>
  <c r="O592" i="6"/>
  <c r="N592" i="6"/>
  <c r="O576" i="6"/>
  <c r="Q576" i="6"/>
  <c r="N576" i="6"/>
  <c r="O560" i="6"/>
  <c r="Q560" i="6"/>
  <c r="N560" i="6"/>
  <c r="Q544" i="6"/>
  <c r="O544" i="6"/>
  <c r="N544" i="6"/>
  <c r="O528" i="6"/>
  <c r="N528" i="6"/>
  <c r="O512" i="6"/>
  <c r="Q512" i="6"/>
  <c r="N512" i="6"/>
  <c r="Q496" i="6"/>
  <c r="O496" i="6"/>
  <c r="N496" i="6"/>
  <c r="O480" i="6"/>
  <c r="Q480" i="6"/>
  <c r="N480" i="6"/>
  <c r="O464" i="6"/>
  <c r="Q464" i="6"/>
  <c r="N464" i="6"/>
  <c r="Q448" i="6"/>
  <c r="O448" i="6"/>
  <c r="O432" i="6"/>
  <c r="Q432" i="6"/>
  <c r="O416" i="6"/>
  <c r="Q416" i="6"/>
  <c r="Q400" i="6"/>
  <c r="O400" i="6"/>
  <c r="O384" i="6"/>
  <c r="Q384" i="6"/>
  <c r="O368" i="6"/>
  <c r="Q368" i="6"/>
  <c r="O352" i="6"/>
  <c r="Q352" i="6"/>
  <c r="N352" i="6"/>
  <c r="O336" i="6"/>
  <c r="Q336" i="6"/>
  <c r="N336" i="6"/>
  <c r="Q320" i="6"/>
  <c r="O320" i="6"/>
  <c r="N320" i="6"/>
  <c r="O304" i="6"/>
  <c r="Q272" i="6"/>
  <c r="O272" i="6"/>
  <c r="O240" i="6"/>
  <c r="Q240" i="6"/>
  <c r="Q224" i="6"/>
  <c r="O224" i="6"/>
  <c r="O208" i="6"/>
  <c r="Q208" i="6"/>
  <c r="N208" i="6"/>
  <c r="Q192" i="6"/>
  <c r="O192" i="6"/>
  <c r="N192" i="6"/>
  <c r="O176" i="6"/>
  <c r="Q176" i="6"/>
  <c r="O160" i="6"/>
  <c r="Q160" i="6"/>
  <c r="Q144" i="6"/>
  <c r="O144" i="6"/>
  <c r="N144" i="6"/>
  <c r="O128" i="6"/>
  <c r="Q128" i="6"/>
  <c r="Q96" i="6"/>
  <c r="O96" i="6"/>
  <c r="N96" i="6"/>
  <c r="Q80" i="6"/>
  <c r="O80" i="6"/>
  <c r="Q64" i="6"/>
  <c r="O64" i="6"/>
  <c r="N64" i="6"/>
  <c r="Q48" i="6"/>
  <c r="N48" i="6"/>
  <c r="Q32" i="6"/>
  <c r="O32" i="6"/>
  <c r="N972" i="6"/>
  <c r="N923" i="6"/>
  <c r="N904" i="6"/>
  <c r="N844" i="6"/>
  <c r="N823" i="6"/>
  <c r="N776" i="6"/>
  <c r="N661" i="6"/>
  <c r="N520" i="6"/>
  <c r="N448" i="6"/>
  <c r="N420" i="6"/>
  <c r="N370" i="6"/>
  <c r="N282" i="6"/>
  <c r="O25" i="6"/>
  <c r="O948" i="6"/>
  <c r="O907" i="6"/>
  <c r="O871" i="6"/>
  <c r="O795" i="6"/>
  <c r="O701" i="6"/>
  <c r="O653" i="6"/>
  <c r="O534" i="6"/>
  <c r="O468" i="6"/>
  <c r="O392" i="6"/>
  <c r="O329" i="6"/>
  <c r="Q904" i="6"/>
  <c r="Q809" i="6"/>
  <c r="Q646" i="6"/>
  <c r="Q486" i="6"/>
  <c r="Q263" i="6"/>
  <c r="Q815" i="6"/>
  <c r="Q799" i="6"/>
  <c r="N799" i="6"/>
  <c r="Q783" i="6"/>
  <c r="N783" i="6"/>
  <c r="Q767" i="6"/>
  <c r="N767" i="6"/>
  <c r="O767" i="6"/>
  <c r="Q751" i="6"/>
  <c r="O751" i="6"/>
  <c r="N751" i="6"/>
  <c r="Q735" i="6"/>
  <c r="N735" i="6"/>
  <c r="Q719" i="6"/>
  <c r="N719" i="6"/>
  <c r="Q703" i="6"/>
  <c r="N703" i="6"/>
  <c r="Q687" i="6"/>
  <c r="N687" i="6"/>
  <c r="Q671" i="6"/>
  <c r="N671" i="6"/>
  <c r="Q655" i="6"/>
  <c r="O655" i="6"/>
  <c r="N655" i="6"/>
  <c r="Q639" i="6"/>
  <c r="O639" i="6"/>
  <c r="N639" i="6"/>
  <c r="Q623" i="6"/>
  <c r="O623" i="6"/>
  <c r="N623" i="6"/>
  <c r="Q607" i="6"/>
  <c r="N607" i="6"/>
  <c r="O607" i="6"/>
  <c r="Q591" i="6"/>
  <c r="O591" i="6"/>
  <c r="N591" i="6"/>
  <c r="Q575" i="6"/>
  <c r="N575" i="6"/>
  <c r="O575" i="6"/>
  <c r="Q559" i="6"/>
  <c r="O559" i="6"/>
  <c r="N559" i="6"/>
  <c r="Q543" i="6"/>
  <c r="O543" i="6"/>
  <c r="N543" i="6"/>
  <c r="Q527" i="6"/>
  <c r="N527" i="6"/>
  <c r="O527" i="6"/>
  <c r="Q511" i="6"/>
  <c r="O511" i="6"/>
  <c r="N511" i="6"/>
  <c r="Q495" i="6"/>
  <c r="O495" i="6"/>
  <c r="N495" i="6"/>
  <c r="Q479" i="6"/>
  <c r="O479" i="6"/>
  <c r="N479" i="6"/>
  <c r="Q463" i="6"/>
  <c r="O463" i="6"/>
  <c r="N463" i="6"/>
  <c r="Q447" i="6"/>
  <c r="O447" i="6"/>
  <c r="N447" i="6"/>
  <c r="Q431" i="6"/>
  <c r="O431" i="6"/>
  <c r="Q415" i="6"/>
  <c r="O415" i="6"/>
  <c r="Q399" i="6"/>
  <c r="O399" i="6"/>
  <c r="Q383" i="6"/>
  <c r="O383" i="6"/>
  <c r="Q367" i="6"/>
  <c r="O367" i="6"/>
  <c r="Q351" i="6"/>
  <c r="O351" i="6"/>
  <c r="N351" i="6"/>
  <c r="Q335" i="6"/>
  <c r="O335" i="6"/>
  <c r="N335" i="6"/>
  <c r="Q319" i="6"/>
  <c r="O319" i="6"/>
  <c r="N319" i="6"/>
  <c r="O303" i="6"/>
  <c r="Q271" i="6"/>
  <c r="O271" i="6"/>
  <c r="Q255" i="6"/>
  <c r="Q239" i="6"/>
  <c r="O239" i="6"/>
  <c r="Q223" i="6"/>
  <c r="O223" i="6"/>
  <c r="Q207" i="6"/>
  <c r="N207" i="6"/>
  <c r="O207" i="6"/>
  <c r="Q175" i="6"/>
  <c r="N175" i="6"/>
  <c r="Q159" i="6"/>
  <c r="O159" i="6"/>
  <c r="Q143" i="6"/>
  <c r="O143" i="6"/>
  <c r="N143" i="6"/>
  <c r="Q127" i="6"/>
  <c r="O127" i="6"/>
  <c r="Q95" i="6"/>
  <c r="O95" i="6"/>
  <c r="N95" i="6"/>
  <c r="Q79" i="6"/>
  <c r="N79" i="6"/>
  <c r="O79" i="6"/>
  <c r="Q63" i="6"/>
  <c r="O63" i="6"/>
  <c r="N63" i="6"/>
  <c r="Q47" i="6"/>
  <c r="N47" i="6"/>
  <c r="N971" i="6"/>
  <c r="N955" i="6"/>
  <c r="N939" i="6"/>
  <c r="N922" i="6"/>
  <c r="N843" i="6"/>
  <c r="N822" i="6"/>
  <c r="N796" i="6"/>
  <c r="N775" i="6"/>
  <c r="N660" i="6"/>
  <c r="N634" i="6"/>
  <c r="N613" i="6"/>
  <c r="N587" i="6"/>
  <c r="N519" i="6"/>
  <c r="N491" i="6"/>
  <c r="N469" i="6"/>
  <c r="N441" i="6"/>
  <c r="N344" i="6"/>
  <c r="N281" i="6"/>
  <c r="N241" i="6"/>
  <c r="O979" i="6"/>
  <c r="O947" i="6"/>
  <c r="O870" i="6"/>
  <c r="O752" i="6"/>
  <c r="O699" i="6"/>
  <c r="O651" i="6"/>
  <c r="O587" i="6"/>
  <c r="O525" i="6"/>
  <c r="O457" i="6"/>
  <c r="O47" i="6"/>
  <c r="Q794" i="6"/>
  <c r="Q606" i="6"/>
  <c r="Q437" i="6"/>
  <c r="Q798" i="6"/>
  <c r="O798" i="6"/>
  <c r="Q782" i="6"/>
  <c r="O782" i="6"/>
  <c r="O766" i="6"/>
  <c r="Q766" i="6"/>
  <c r="O750" i="6"/>
  <c r="Q750" i="6"/>
  <c r="Q734" i="6"/>
  <c r="O734" i="6"/>
  <c r="Q702" i="6"/>
  <c r="O702" i="6"/>
  <c r="Q686" i="6"/>
  <c r="O686" i="6"/>
  <c r="Q638" i="6"/>
  <c r="O638" i="6"/>
  <c r="Q590" i="6"/>
  <c r="O590" i="6"/>
  <c r="Q574" i="6"/>
  <c r="O574" i="6"/>
  <c r="Q542" i="6"/>
  <c r="O542" i="6"/>
  <c r="Q526" i="6"/>
  <c r="O526" i="6"/>
  <c r="Q510" i="6"/>
  <c r="O510" i="6"/>
  <c r="Q494" i="6"/>
  <c r="O494" i="6"/>
  <c r="N494" i="6"/>
  <c r="Q478" i="6"/>
  <c r="O478" i="6"/>
  <c r="N478" i="6"/>
  <c r="O462" i="6"/>
  <c r="Q462" i="6"/>
  <c r="N462" i="6"/>
  <c r="Q446" i="6"/>
  <c r="O446" i="6"/>
  <c r="N446" i="6"/>
  <c r="Q430" i="6"/>
  <c r="N430" i="6"/>
  <c r="Q398" i="6"/>
  <c r="O398" i="6"/>
  <c r="Q350" i="6"/>
  <c r="O350" i="6"/>
  <c r="Q318" i="6"/>
  <c r="N318" i="6"/>
  <c r="Q302" i="6"/>
  <c r="N302" i="6"/>
  <c r="Q270" i="6"/>
  <c r="O270" i="6"/>
  <c r="Q238" i="6"/>
  <c r="O238" i="6"/>
  <c r="Q222" i="6"/>
  <c r="O222" i="6"/>
  <c r="N222" i="6"/>
  <c r="O206" i="6"/>
  <c r="N206" i="6"/>
  <c r="Q174" i="6"/>
  <c r="N174" i="6"/>
  <c r="Q158" i="6"/>
  <c r="O158" i="6"/>
  <c r="Q142" i="6"/>
  <c r="O142" i="6"/>
  <c r="N142" i="6"/>
  <c r="Q110" i="6"/>
  <c r="N110" i="6"/>
  <c r="Q94" i="6"/>
  <c r="O94" i="6"/>
  <c r="N94" i="6"/>
  <c r="Q62" i="6"/>
  <c r="O62" i="6"/>
  <c r="Q46" i="6"/>
  <c r="O46" i="6"/>
  <c r="O30" i="6"/>
  <c r="Q30" i="6"/>
  <c r="N970" i="6"/>
  <c r="N954" i="6"/>
  <c r="N883" i="6"/>
  <c r="N821" i="6"/>
  <c r="N795" i="6"/>
  <c r="N774" i="6"/>
  <c r="N701" i="6"/>
  <c r="N654" i="6"/>
  <c r="N612" i="6"/>
  <c r="N565" i="6"/>
  <c r="N490" i="6"/>
  <c r="N468" i="6"/>
  <c r="N418" i="6"/>
  <c r="N368" i="6"/>
  <c r="N343" i="6"/>
  <c r="N130" i="6"/>
  <c r="N99" i="6"/>
  <c r="O978" i="6"/>
  <c r="O869" i="6"/>
  <c r="O824" i="6"/>
  <c r="O746" i="6"/>
  <c r="O695" i="6"/>
  <c r="O650" i="6"/>
  <c r="O583" i="6"/>
  <c r="O520" i="6"/>
  <c r="O455" i="6"/>
  <c r="O387" i="6"/>
  <c r="O244" i="6"/>
  <c r="Q900" i="6"/>
  <c r="Q775" i="6"/>
  <c r="Q604" i="6"/>
  <c r="Q436" i="6"/>
  <c r="Q260" i="6"/>
  <c r="O877" i="6"/>
  <c r="Q877" i="6"/>
  <c r="Q861" i="6"/>
  <c r="O861" i="6"/>
  <c r="Q845" i="6"/>
  <c r="O845" i="6"/>
  <c r="O829" i="6"/>
  <c r="O813" i="6"/>
  <c r="Q781" i="6"/>
  <c r="O781" i="6"/>
  <c r="Q765" i="6"/>
  <c r="O765" i="6"/>
  <c r="Q749" i="6"/>
  <c r="O749" i="6"/>
  <c r="Q733" i="6"/>
  <c r="O733" i="6"/>
  <c r="Q717" i="6"/>
  <c r="O717" i="6"/>
  <c r="Q685" i="6"/>
  <c r="O685" i="6"/>
  <c r="Q637" i="6"/>
  <c r="O637" i="6"/>
  <c r="Q621" i="6"/>
  <c r="O621" i="6"/>
  <c r="Q605" i="6"/>
  <c r="O605" i="6"/>
  <c r="Q589" i="6"/>
  <c r="O589" i="6"/>
  <c r="Q573" i="6"/>
  <c r="O573" i="6"/>
  <c r="Q541" i="6"/>
  <c r="O541" i="6"/>
  <c r="Q509" i="6"/>
  <c r="O509" i="6"/>
  <c r="Q493" i="6"/>
  <c r="O493" i="6"/>
  <c r="Q477" i="6"/>
  <c r="N477" i="6"/>
  <c r="Q461" i="6"/>
  <c r="O461" i="6"/>
  <c r="N461" i="6"/>
  <c r="Q445" i="6"/>
  <c r="O445" i="6"/>
  <c r="N445" i="6"/>
  <c r="Q429" i="6"/>
  <c r="O429" i="6"/>
  <c r="N429" i="6"/>
  <c r="Q413" i="6"/>
  <c r="N413" i="6"/>
  <c r="Q397" i="6"/>
  <c r="O397" i="6"/>
  <c r="Q381" i="6"/>
  <c r="O381" i="6"/>
  <c r="Q349" i="6"/>
  <c r="O349" i="6"/>
  <c r="Q317" i="6"/>
  <c r="O317" i="6"/>
  <c r="N317" i="6"/>
  <c r="N301" i="6"/>
  <c r="N285" i="6"/>
  <c r="Q269" i="6"/>
  <c r="O269" i="6"/>
  <c r="N269" i="6"/>
  <c r="Q253" i="6"/>
  <c r="O253" i="6"/>
  <c r="N253" i="6"/>
  <c r="Q237" i="6"/>
  <c r="O237" i="6"/>
  <c r="Q221" i="6"/>
  <c r="O221" i="6"/>
  <c r="Q205" i="6"/>
  <c r="O205" i="6"/>
  <c r="N205" i="6"/>
  <c r="Q189" i="6"/>
  <c r="O189" i="6"/>
  <c r="N189" i="6"/>
  <c r="Q173" i="6"/>
  <c r="O173" i="6"/>
  <c r="Q157" i="6"/>
  <c r="O157" i="6"/>
  <c r="N157" i="6"/>
  <c r="Q141" i="6"/>
  <c r="O141" i="6"/>
  <c r="N141" i="6"/>
  <c r="Q125" i="6"/>
  <c r="O125" i="6"/>
  <c r="Q109" i="6"/>
  <c r="O109" i="6"/>
  <c r="Q93" i="6"/>
  <c r="O93" i="6"/>
  <c r="N93" i="6"/>
  <c r="Q77" i="6"/>
  <c r="O77" i="6"/>
  <c r="N77" i="6"/>
  <c r="Q61" i="6"/>
  <c r="O61" i="6"/>
  <c r="N61" i="6"/>
  <c r="O45" i="6"/>
  <c r="Q29" i="6"/>
  <c r="O29" i="6"/>
  <c r="N794" i="6"/>
  <c r="N773" i="6"/>
  <c r="N747" i="6"/>
  <c r="N653" i="6"/>
  <c r="N632" i="6"/>
  <c r="N606" i="6"/>
  <c r="N564" i="6"/>
  <c r="N538" i="6"/>
  <c r="N517" i="6"/>
  <c r="N489" i="6"/>
  <c r="N417" i="6"/>
  <c r="N389" i="6"/>
  <c r="N367" i="6"/>
  <c r="N337" i="6"/>
  <c r="N308" i="6"/>
  <c r="N272" i="6"/>
  <c r="N239" i="6"/>
  <c r="N129" i="6"/>
  <c r="N55" i="6"/>
  <c r="O977" i="6"/>
  <c r="O943" i="6"/>
  <c r="O899" i="6"/>
  <c r="O858" i="6"/>
  <c r="O823" i="6"/>
  <c r="O783" i="6"/>
  <c r="O744" i="6"/>
  <c r="O694" i="6"/>
  <c r="O642" i="6"/>
  <c r="O582" i="6"/>
  <c r="O519" i="6"/>
  <c r="O453" i="6"/>
  <c r="O308" i="6"/>
  <c r="O227" i="6"/>
  <c r="O126" i="6"/>
  <c r="Q896" i="6"/>
  <c r="Q761" i="6"/>
  <c r="Q603" i="6"/>
  <c r="Q206" i="6"/>
  <c r="O981" i="6"/>
  <c r="Q981" i="6"/>
  <c r="Q933" i="6"/>
  <c r="O933" i="6"/>
  <c r="O885" i="6"/>
  <c r="Q964" i="6"/>
  <c r="O964" i="6"/>
  <c r="Q836" i="6"/>
  <c r="O836" i="6"/>
  <c r="O915" i="6"/>
  <c r="Q867" i="6"/>
  <c r="O867" i="6"/>
  <c r="Q803" i="6"/>
  <c r="O803" i="6"/>
  <c r="N803" i="6"/>
  <c r="Q771" i="6"/>
  <c r="O771" i="6"/>
  <c r="N771" i="6"/>
  <c r="Q723" i="6"/>
  <c r="O723" i="6"/>
  <c r="N723" i="6"/>
  <c r="Q675" i="6"/>
  <c r="O675" i="6"/>
  <c r="N675" i="6"/>
  <c r="Q627" i="6"/>
  <c r="N627" i="6"/>
  <c r="Q595" i="6"/>
  <c r="N595" i="6"/>
  <c r="Q563" i="6"/>
  <c r="O563" i="6"/>
  <c r="N563" i="6"/>
  <c r="Q531" i="6"/>
  <c r="O531" i="6"/>
  <c r="N531" i="6"/>
  <c r="Q515" i="6"/>
  <c r="O515" i="6"/>
  <c r="N515" i="6"/>
  <c r="Q483" i="6"/>
  <c r="O483" i="6"/>
  <c r="Q451" i="6"/>
  <c r="O451" i="6"/>
  <c r="Q419" i="6"/>
  <c r="O419" i="6"/>
  <c r="Q339" i="6"/>
  <c r="N339" i="6"/>
  <c r="Q946" i="6"/>
  <c r="O946" i="6"/>
  <c r="Q914" i="6"/>
  <c r="Q882" i="6"/>
  <c r="O882" i="6"/>
  <c r="Q866" i="6"/>
  <c r="O866" i="6"/>
  <c r="N834" i="6"/>
  <c r="Q786" i="6"/>
  <c r="N786" i="6"/>
  <c r="Q945" i="6"/>
  <c r="O945" i="6"/>
  <c r="O913" i="6"/>
  <c r="N913" i="6"/>
  <c r="Q881" i="6"/>
  <c r="N881" i="6"/>
  <c r="N849" i="6"/>
  <c r="Q817" i="6"/>
  <c r="N817" i="6"/>
  <c r="O817" i="6"/>
  <c r="Q785" i="6"/>
  <c r="N785" i="6"/>
  <c r="Q976" i="6"/>
  <c r="O976" i="6"/>
  <c r="O911" i="6"/>
  <c r="N911" i="6"/>
  <c r="Q879" i="6"/>
  <c r="N879" i="6"/>
  <c r="O879" i="6"/>
  <c r="Q990" i="6"/>
  <c r="O990" i="6"/>
  <c r="O958" i="6"/>
  <c r="Q958" i="6"/>
  <c r="Q926" i="6"/>
  <c r="O926" i="6"/>
  <c r="O862" i="6"/>
  <c r="Q862" i="6"/>
  <c r="Q988" i="6"/>
  <c r="O988" i="6"/>
  <c r="Q956" i="6"/>
  <c r="O956" i="6"/>
  <c r="Q924" i="6"/>
  <c r="O924" i="6"/>
  <c r="O860" i="6"/>
  <c r="Q860" i="6"/>
  <c r="Q780" i="6"/>
  <c r="O780" i="6"/>
  <c r="Q764" i="6"/>
  <c r="O764" i="6"/>
  <c r="Q748" i="6"/>
  <c r="O748" i="6"/>
  <c r="O732" i="6"/>
  <c r="Q732" i="6"/>
  <c r="O700" i="6"/>
  <c r="Q700" i="6"/>
  <c r="O684" i="6"/>
  <c r="Q684" i="6"/>
  <c r="O668" i="6"/>
  <c r="Q668" i="6"/>
  <c r="O652" i="6"/>
  <c r="Q652" i="6"/>
  <c r="O636" i="6"/>
  <c r="Q636" i="6"/>
  <c r="O620" i="6"/>
  <c r="Q620" i="6"/>
  <c r="O588" i="6"/>
  <c r="Q588" i="6"/>
  <c r="O572" i="6"/>
  <c r="Q572" i="6"/>
  <c r="O556" i="6"/>
  <c r="Q556" i="6"/>
  <c r="O540" i="6"/>
  <c r="Q540" i="6"/>
  <c r="O524" i="6"/>
  <c r="Q524" i="6"/>
  <c r="O508" i="6"/>
  <c r="N508" i="6"/>
  <c r="Q508" i="6"/>
  <c r="Q492" i="6"/>
  <c r="O492" i="6"/>
  <c r="N492" i="6"/>
  <c r="O476" i="6"/>
  <c r="Q476" i="6"/>
  <c r="N476" i="6"/>
  <c r="O460" i="6"/>
  <c r="N460" i="6"/>
  <c r="Q460" i="6"/>
  <c r="Q444" i="6"/>
  <c r="O444" i="6"/>
  <c r="N444" i="6"/>
  <c r="Q428" i="6"/>
  <c r="O428" i="6"/>
  <c r="N428" i="6"/>
  <c r="Q412" i="6"/>
  <c r="O412" i="6"/>
  <c r="N412" i="6"/>
  <c r="Q396" i="6"/>
  <c r="O396" i="6"/>
  <c r="N396" i="6"/>
  <c r="O380" i="6"/>
  <c r="Q364" i="6"/>
  <c r="Q348" i="6"/>
  <c r="O348" i="6"/>
  <c r="N348" i="6"/>
  <c r="Q332" i="6"/>
  <c r="O332" i="6"/>
  <c r="N332" i="6"/>
  <c r="Q316" i="6"/>
  <c r="O316" i="6"/>
  <c r="N316" i="6"/>
  <c r="O300" i="6"/>
  <c r="N300" i="6"/>
  <c r="Q268" i="6"/>
  <c r="O268" i="6"/>
  <c r="N268" i="6"/>
  <c r="Q252" i="6"/>
  <c r="O252" i="6"/>
  <c r="N252" i="6"/>
  <c r="Q236" i="6"/>
  <c r="O236" i="6"/>
  <c r="N236" i="6"/>
  <c r="Q220" i="6"/>
  <c r="O220" i="6"/>
  <c r="N220" i="6"/>
  <c r="Q204" i="6"/>
  <c r="O204" i="6"/>
  <c r="N204" i="6"/>
  <c r="Q188" i="6"/>
  <c r="O188" i="6"/>
  <c r="N188" i="6"/>
  <c r="Q172" i="6"/>
  <c r="O172" i="6"/>
  <c r="N172" i="6"/>
  <c r="Q156" i="6"/>
  <c r="O156" i="6"/>
  <c r="N156" i="6"/>
  <c r="Q140" i="6"/>
  <c r="O140" i="6"/>
  <c r="N140" i="6"/>
  <c r="Q124" i="6"/>
  <c r="O124" i="6"/>
  <c r="N124" i="6"/>
  <c r="Q108" i="6"/>
  <c r="O108" i="6"/>
  <c r="N108" i="6"/>
  <c r="Q92" i="6"/>
  <c r="O92" i="6"/>
  <c r="N92" i="6"/>
  <c r="Q76" i="6"/>
  <c r="O76" i="6"/>
  <c r="N76" i="6"/>
  <c r="Q60" i="6"/>
  <c r="O60" i="6"/>
  <c r="N60" i="6"/>
  <c r="Q44" i="6"/>
  <c r="O44" i="6"/>
  <c r="N44" i="6"/>
  <c r="O28" i="6"/>
  <c r="N968" i="6"/>
  <c r="N952" i="6"/>
  <c r="N919" i="6"/>
  <c r="N814" i="6"/>
  <c r="N772" i="6"/>
  <c r="N746" i="6"/>
  <c r="N725" i="6"/>
  <c r="N652" i="6"/>
  <c r="N605" i="6"/>
  <c r="N558" i="6"/>
  <c r="N516" i="6"/>
  <c r="N466" i="6"/>
  <c r="N416" i="6"/>
  <c r="N388" i="6"/>
  <c r="N334" i="6"/>
  <c r="N307" i="6"/>
  <c r="N271" i="6"/>
  <c r="N128" i="6"/>
  <c r="N54" i="6"/>
  <c r="O975" i="6"/>
  <c r="O856" i="6"/>
  <c r="O821" i="6"/>
  <c r="O779" i="6"/>
  <c r="O742" i="6"/>
  <c r="O692" i="6"/>
  <c r="O634" i="6"/>
  <c r="O581" i="6"/>
  <c r="O507" i="6"/>
  <c r="O452" i="6"/>
  <c r="O226" i="6"/>
  <c r="O117" i="6"/>
  <c r="Q747" i="6"/>
  <c r="Q602" i="6"/>
  <c r="Q203" i="6"/>
  <c r="Q986" i="6"/>
  <c r="O986" i="6"/>
  <c r="Q938" i="6"/>
  <c r="O938" i="6"/>
  <c r="Q826" i="6"/>
  <c r="O826" i="6"/>
  <c r="Q965" i="6"/>
  <c r="O965" i="6"/>
  <c r="O980" i="6"/>
  <c r="Q980" i="6"/>
  <c r="Q884" i="6"/>
  <c r="O884" i="6"/>
  <c r="Q788" i="6"/>
  <c r="O788" i="6"/>
  <c r="Q756" i="6"/>
  <c r="O756" i="6"/>
  <c r="Q740" i="6"/>
  <c r="O740" i="6"/>
  <c r="Q708" i="6"/>
  <c r="O708" i="6"/>
  <c r="Q963" i="6"/>
  <c r="O963" i="6"/>
  <c r="N819" i="6"/>
  <c r="Q787" i="6"/>
  <c r="O787" i="6"/>
  <c r="N787" i="6"/>
  <c r="Q739" i="6"/>
  <c r="O739" i="6"/>
  <c r="N739" i="6"/>
  <c r="Q691" i="6"/>
  <c r="N691" i="6"/>
  <c r="Q659" i="6"/>
  <c r="O659" i="6"/>
  <c r="N659" i="6"/>
  <c r="Q611" i="6"/>
  <c r="O611" i="6"/>
  <c r="N611" i="6"/>
  <c r="Q579" i="6"/>
  <c r="N579" i="6"/>
  <c r="Q547" i="6"/>
  <c r="O547" i="6"/>
  <c r="N547" i="6"/>
  <c r="Q467" i="6"/>
  <c r="O467" i="6"/>
  <c r="Q435" i="6"/>
  <c r="O435" i="6"/>
  <c r="Q403" i="6"/>
  <c r="O403" i="6"/>
  <c r="Q355" i="6"/>
  <c r="O355" i="6"/>
  <c r="Q323" i="6"/>
  <c r="O323" i="6"/>
  <c r="Q962" i="6"/>
  <c r="O962" i="6"/>
  <c r="Q818" i="6"/>
  <c r="O818" i="6"/>
  <c r="Q802" i="6"/>
  <c r="N802" i="6"/>
  <c r="Q770" i="6"/>
  <c r="O770" i="6"/>
  <c r="N770" i="6"/>
  <c r="Q754" i="6"/>
  <c r="N754" i="6"/>
  <c r="Q961" i="6"/>
  <c r="O961" i="6"/>
  <c r="Q929" i="6"/>
  <c r="N929" i="6"/>
  <c r="O929" i="6"/>
  <c r="Q865" i="6"/>
  <c r="N865" i="6"/>
  <c r="O865" i="6"/>
  <c r="N833" i="6"/>
  <c r="Q801" i="6"/>
  <c r="N801" i="6"/>
  <c r="Q769" i="6"/>
  <c r="O769" i="6"/>
  <c r="N769" i="6"/>
  <c r="Q753" i="6"/>
  <c r="N753" i="6"/>
  <c r="Q927" i="6"/>
  <c r="O927" i="6"/>
  <c r="Q895" i="6"/>
  <c r="N895" i="6"/>
  <c r="O863" i="6"/>
  <c r="N863" i="6"/>
  <c r="Q863" i="6"/>
  <c r="O847" i="6"/>
  <c r="N847" i="6"/>
  <c r="N831" i="6"/>
  <c r="Q878" i="6"/>
  <c r="O878" i="6"/>
  <c r="O846" i="6"/>
  <c r="Q989" i="6"/>
  <c r="O989" i="6"/>
  <c r="Q957" i="6"/>
  <c r="O957" i="6"/>
  <c r="O925" i="6"/>
  <c r="Q925" i="6"/>
  <c r="Q987" i="6"/>
  <c r="O987" i="6"/>
  <c r="Q891" i="6"/>
  <c r="O859" i="6"/>
  <c r="Q859" i="6"/>
  <c r="Q827" i="6"/>
  <c r="O827" i="6"/>
  <c r="Q763" i="6"/>
  <c r="O763" i="6"/>
  <c r="Q683" i="6"/>
  <c r="O683" i="6"/>
  <c r="Q667" i="6"/>
  <c r="O667" i="6"/>
  <c r="Q635" i="6"/>
  <c r="O635" i="6"/>
  <c r="Q571" i="6"/>
  <c r="O571" i="6"/>
  <c r="Q539" i="6"/>
  <c r="O539" i="6"/>
  <c r="Q523" i="6"/>
  <c r="O523" i="6"/>
  <c r="O459" i="6"/>
  <c r="Q459" i="6"/>
  <c r="N459" i="6"/>
  <c r="Q443" i="6"/>
  <c r="O443" i="6"/>
  <c r="N443" i="6"/>
  <c r="Q427" i="6"/>
  <c r="N427" i="6"/>
  <c r="O411" i="6"/>
  <c r="N411" i="6"/>
  <c r="Q395" i="6"/>
  <c r="N395" i="6"/>
  <c r="Q379" i="6"/>
  <c r="O379" i="6"/>
  <c r="O363" i="6"/>
  <c r="Q363" i="6"/>
  <c r="Q347" i="6"/>
  <c r="O347" i="6"/>
  <c r="N331" i="6"/>
  <c r="O331" i="6"/>
  <c r="Q315" i="6"/>
  <c r="O315" i="6"/>
  <c r="N315" i="6"/>
  <c r="Q299" i="6"/>
  <c r="O299" i="6"/>
  <c r="N299" i="6"/>
  <c r="Q283" i="6"/>
  <c r="N283" i="6"/>
  <c r="Q267" i="6"/>
  <c r="O267" i="6"/>
  <c r="Q251" i="6"/>
  <c r="N251" i="6"/>
  <c r="O235" i="6"/>
  <c r="O219" i="6"/>
  <c r="Q219" i="6"/>
  <c r="O187" i="6"/>
  <c r="Q187" i="6"/>
  <c r="N187" i="6"/>
  <c r="O171" i="6"/>
  <c r="Q171" i="6"/>
  <c r="O155" i="6"/>
  <c r="N155" i="6"/>
  <c r="O139" i="6"/>
  <c r="Q139" i="6"/>
  <c r="N139" i="6"/>
  <c r="O123" i="6"/>
  <c r="Q123" i="6"/>
  <c r="O107" i="6"/>
  <c r="Q107" i="6"/>
  <c r="O91" i="6"/>
  <c r="Q91" i="6"/>
  <c r="O59" i="6"/>
  <c r="Q59" i="6"/>
  <c r="O43" i="6"/>
  <c r="Q43" i="6"/>
  <c r="O27" i="6"/>
  <c r="N967" i="6"/>
  <c r="N918" i="6"/>
  <c r="N877" i="6"/>
  <c r="N858" i="6"/>
  <c r="N766" i="6"/>
  <c r="N745" i="6"/>
  <c r="N724" i="6"/>
  <c r="N677" i="6"/>
  <c r="N630" i="6"/>
  <c r="N604" i="6"/>
  <c r="N583" i="6"/>
  <c r="N557" i="6"/>
  <c r="N536" i="6"/>
  <c r="N510" i="6"/>
  <c r="N465" i="6"/>
  <c r="N437" i="6"/>
  <c r="N415" i="6"/>
  <c r="N387" i="6"/>
  <c r="N365" i="6"/>
  <c r="N333" i="6"/>
  <c r="N270" i="6"/>
  <c r="N237" i="6"/>
  <c r="N197" i="6"/>
  <c r="N160" i="6"/>
  <c r="N127" i="6"/>
  <c r="N53" i="6"/>
  <c r="O972" i="6"/>
  <c r="O932" i="6"/>
  <c r="O855" i="6"/>
  <c r="O820" i="6"/>
  <c r="O778" i="6"/>
  <c r="O736" i="6"/>
  <c r="O691" i="6"/>
  <c r="O632" i="6"/>
  <c r="O579" i="6"/>
  <c r="O506" i="6"/>
  <c r="O441" i="6"/>
  <c r="O225" i="6"/>
  <c r="O115" i="6"/>
  <c r="Q893" i="6"/>
  <c r="Q745" i="6"/>
  <c r="Q601" i="6"/>
  <c r="Q155" i="6"/>
  <c r="Q586" i="6"/>
  <c r="O586" i="6"/>
  <c r="Q570" i="6"/>
  <c r="O570" i="6"/>
  <c r="Q554" i="6"/>
  <c r="O554" i="6"/>
  <c r="Q522" i="6"/>
  <c r="O522" i="6"/>
  <c r="Q474" i="6"/>
  <c r="O474" i="6"/>
  <c r="O458" i="6"/>
  <c r="Q458" i="6"/>
  <c r="Q442" i="6"/>
  <c r="O442" i="6"/>
  <c r="N442" i="6"/>
  <c r="Q426" i="6"/>
  <c r="N426" i="6"/>
  <c r="O426" i="6"/>
  <c r="O410" i="6"/>
  <c r="N410" i="6"/>
  <c r="Q394" i="6"/>
  <c r="O394" i="6"/>
  <c r="N394" i="6"/>
  <c r="Q346" i="6"/>
  <c r="O346" i="6"/>
  <c r="Q314" i="6"/>
  <c r="N314" i="6"/>
  <c r="N298" i="6"/>
  <c r="Q266" i="6"/>
  <c r="O266" i="6"/>
  <c r="N266" i="6"/>
  <c r="Q234" i="6"/>
  <c r="O234" i="6"/>
  <c r="N234" i="6"/>
  <c r="Q218" i="6"/>
  <c r="O218" i="6"/>
  <c r="O202" i="6"/>
  <c r="Q202" i="6"/>
  <c r="N186" i="6"/>
  <c r="Q186" i="6"/>
  <c r="Q170" i="6"/>
  <c r="O170" i="6"/>
  <c r="N170" i="6"/>
  <c r="O154" i="6"/>
  <c r="N154" i="6"/>
  <c r="Q138" i="6"/>
  <c r="O138" i="6"/>
  <c r="N138" i="6"/>
  <c r="Q122" i="6"/>
  <c r="O122" i="6"/>
  <c r="N122" i="6"/>
  <c r="O106" i="6"/>
  <c r="Q106" i="6"/>
  <c r="Q90" i="6"/>
  <c r="O90" i="6"/>
  <c r="O74" i="6"/>
  <c r="Q74" i="6"/>
  <c r="N74" i="6"/>
  <c r="Q58" i="6"/>
  <c r="N58" i="6"/>
  <c r="O58" i="6"/>
  <c r="N42" i="6"/>
  <c r="O26" i="6"/>
  <c r="N966" i="6"/>
  <c r="N917" i="6"/>
  <c r="N876" i="6"/>
  <c r="N812" i="6"/>
  <c r="N765" i="6"/>
  <c r="N744" i="6"/>
  <c r="N718" i="6"/>
  <c r="N697" i="6"/>
  <c r="N676" i="6"/>
  <c r="N629" i="6"/>
  <c r="N603" i="6"/>
  <c r="N582" i="6"/>
  <c r="N556" i="6"/>
  <c r="N509" i="6"/>
  <c r="N486" i="6"/>
  <c r="N458" i="6"/>
  <c r="N436" i="6"/>
  <c r="N414" i="6"/>
  <c r="N386" i="6"/>
  <c r="N363" i="6"/>
  <c r="N305" i="6"/>
  <c r="N267" i="6"/>
  <c r="N235" i="6"/>
  <c r="N196" i="6"/>
  <c r="N159" i="6"/>
  <c r="N126" i="6"/>
  <c r="O971" i="6"/>
  <c r="O931" i="6"/>
  <c r="O896" i="6"/>
  <c r="O819" i="6"/>
  <c r="O776" i="6"/>
  <c r="O735" i="6"/>
  <c r="O690" i="6"/>
  <c r="O630" i="6"/>
  <c r="O578" i="6"/>
  <c r="O505" i="6"/>
  <c r="O430" i="6"/>
  <c r="O371" i="6"/>
  <c r="O286" i="6"/>
  <c r="O112" i="6"/>
  <c r="Q974" i="6"/>
  <c r="Q725" i="6"/>
  <c r="Q600" i="6"/>
  <c r="Q154" i="6"/>
  <c r="Q265" i="6"/>
  <c r="O265" i="6"/>
  <c r="N265" i="6"/>
  <c r="O233" i="6"/>
  <c r="Q233" i="6"/>
  <c r="N233" i="6"/>
  <c r="Q217" i="6"/>
  <c r="O217" i="6"/>
  <c r="O201" i="6"/>
  <c r="Q201" i="6"/>
  <c r="Q185" i="6"/>
  <c r="N185" i="6"/>
  <c r="O185" i="6"/>
  <c r="Q169" i="6"/>
  <c r="O169" i="6"/>
  <c r="N137" i="6"/>
  <c r="O137" i="6"/>
  <c r="Q121" i="6"/>
  <c r="O121" i="6"/>
  <c r="N121" i="6"/>
  <c r="Q105" i="6"/>
  <c r="O105" i="6"/>
  <c r="Q89" i="6"/>
  <c r="O89" i="6"/>
  <c r="Q73" i="6"/>
  <c r="O73" i="6"/>
  <c r="N73" i="6"/>
  <c r="O57" i="6"/>
  <c r="Q57" i="6"/>
  <c r="Q41" i="6"/>
  <c r="N981" i="6"/>
  <c r="N965" i="6"/>
  <c r="N933" i="6"/>
  <c r="N875" i="6"/>
  <c r="N856" i="6"/>
  <c r="N764" i="6"/>
  <c r="N717" i="6"/>
  <c r="N670" i="6"/>
  <c r="N649" i="6"/>
  <c r="N628" i="6"/>
  <c r="N602" i="6"/>
  <c r="N581" i="6"/>
  <c r="N555" i="6"/>
  <c r="N534" i="6"/>
  <c r="N507" i="6"/>
  <c r="N485" i="6"/>
  <c r="N457" i="6"/>
  <c r="N435" i="6"/>
  <c r="N385" i="6"/>
  <c r="N329" i="6"/>
  <c r="N304" i="6"/>
  <c r="N263" i="6"/>
  <c r="N226" i="6"/>
  <c r="N195" i="6"/>
  <c r="N158" i="6"/>
  <c r="N125" i="6"/>
  <c r="N85" i="6"/>
  <c r="N46" i="6"/>
  <c r="O970" i="6"/>
  <c r="O930" i="6"/>
  <c r="O895" i="6"/>
  <c r="O852" i="6"/>
  <c r="O731" i="6"/>
  <c r="O688" i="6"/>
  <c r="O629" i="6"/>
  <c r="O558" i="6"/>
  <c r="O504" i="6"/>
  <c r="O427" i="6"/>
  <c r="O366" i="6"/>
  <c r="O191" i="6"/>
  <c r="O111" i="6"/>
  <c r="Q973" i="6"/>
  <c r="Q724" i="6"/>
  <c r="Q553" i="6"/>
  <c r="Q392" i="6"/>
  <c r="Q153" i="6"/>
  <c r="Q840" i="6"/>
  <c r="O840" i="6"/>
  <c r="Q792" i="6"/>
  <c r="O792" i="6"/>
  <c r="Q760" i="6"/>
  <c r="O760" i="6"/>
  <c r="O728" i="6"/>
  <c r="Q728" i="6"/>
  <c r="Q712" i="6"/>
  <c r="O712" i="6"/>
  <c r="Q696" i="6"/>
  <c r="O696" i="6"/>
  <c r="Q680" i="6"/>
  <c r="O680" i="6"/>
  <c r="Q664" i="6"/>
  <c r="O664" i="6"/>
  <c r="Q648" i="6"/>
  <c r="O648" i="6"/>
  <c r="Q616" i="6"/>
  <c r="O616" i="6"/>
  <c r="O584" i="6"/>
  <c r="Q584" i="6"/>
  <c r="Q568" i="6"/>
  <c r="O568" i="6"/>
  <c r="Q488" i="6"/>
  <c r="O488" i="6"/>
  <c r="Q472" i="6"/>
  <c r="O472" i="6"/>
  <c r="Q456" i="6"/>
  <c r="O456" i="6"/>
  <c r="Q440" i="6"/>
  <c r="O440" i="6"/>
  <c r="O408" i="6"/>
  <c r="Q408" i="6"/>
  <c r="N408" i="6"/>
  <c r="Q376" i="6"/>
  <c r="O376" i="6"/>
  <c r="O360" i="6"/>
  <c r="N360" i="6"/>
  <c r="Q328" i="6"/>
  <c r="O328" i="6"/>
  <c r="Q296" i="6"/>
  <c r="O296" i="6"/>
  <c r="N296" i="6"/>
  <c r="Q264" i="6"/>
  <c r="N264" i="6"/>
  <c r="O264" i="6"/>
  <c r="O248" i="6"/>
  <c r="N232" i="6"/>
  <c r="Q232" i="6"/>
  <c r="O232" i="6"/>
  <c r="Q216" i="6"/>
  <c r="N216" i="6"/>
  <c r="O200" i="6"/>
  <c r="Q200" i="6"/>
  <c r="N200" i="6"/>
  <c r="N184" i="6"/>
  <c r="Q184" i="6"/>
  <c r="Q168" i="6"/>
  <c r="N168" i="6"/>
  <c r="O168" i="6"/>
  <c r="Q120" i="6"/>
  <c r="O120" i="6"/>
  <c r="N120" i="6"/>
  <c r="N104" i="6"/>
  <c r="Q104" i="6"/>
  <c r="Q88" i="6"/>
  <c r="N88" i="6"/>
  <c r="O88" i="6"/>
  <c r="Q72" i="6"/>
  <c r="N72" i="6"/>
  <c r="O56" i="6"/>
  <c r="N56" i="6"/>
  <c r="Q56" i="6"/>
  <c r="O40" i="6"/>
  <c r="N40" i="6"/>
  <c r="N980" i="6"/>
  <c r="N964" i="6"/>
  <c r="N948" i="6"/>
  <c r="N932" i="6"/>
  <c r="N915" i="6"/>
  <c r="N893" i="6"/>
  <c r="N874" i="6"/>
  <c r="N855" i="6"/>
  <c r="N836" i="6"/>
  <c r="N810" i="6"/>
  <c r="N789" i="6"/>
  <c r="N763" i="6"/>
  <c r="N742" i="6"/>
  <c r="N716" i="6"/>
  <c r="N695" i="6"/>
  <c r="N669" i="6"/>
  <c r="N648" i="6"/>
  <c r="N622" i="6"/>
  <c r="N580" i="6"/>
  <c r="N554" i="6"/>
  <c r="N533" i="6"/>
  <c r="N506" i="6"/>
  <c r="N484" i="6"/>
  <c r="N456" i="6"/>
  <c r="N434" i="6"/>
  <c r="N384" i="6"/>
  <c r="N356" i="6"/>
  <c r="N328" i="6"/>
  <c r="N303" i="6"/>
  <c r="N224" i="6"/>
  <c r="N194" i="6"/>
  <c r="N123" i="6"/>
  <c r="N84" i="6"/>
  <c r="O968" i="6"/>
  <c r="O928" i="6"/>
  <c r="O892" i="6"/>
  <c r="O851" i="6"/>
  <c r="O810" i="6"/>
  <c r="O774" i="6"/>
  <c r="O687" i="6"/>
  <c r="O628" i="6"/>
  <c r="O557" i="6"/>
  <c r="O501" i="6"/>
  <c r="O283" i="6"/>
  <c r="O190" i="6"/>
  <c r="O110" i="6"/>
  <c r="Q960" i="6"/>
  <c r="Q868" i="6"/>
  <c r="Q716" i="6"/>
  <c r="Q552" i="6"/>
  <c r="Q152" i="6"/>
  <c r="Q839" i="6"/>
  <c r="O839" i="6"/>
  <c r="O807" i="6"/>
  <c r="Q791" i="6"/>
  <c r="O791" i="6"/>
  <c r="O743" i="6"/>
  <c r="Q743" i="6"/>
  <c r="Q727" i="6"/>
  <c r="O727" i="6"/>
  <c r="Q711" i="6"/>
  <c r="O711" i="6"/>
  <c r="O679" i="6"/>
  <c r="Q679" i="6"/>
  <c r="Q663" i="6"/>
  <c r="O663" i="6"/>
  <c r="O647" i="6"/>
  <c r="Q647" i="6"/>
  <c r="Q631" i="6"/>
  <c r="O631" i="6"/>
  <c r="Q615" i="6"/>
  <c r="O615" i="6"/>
  <c r="O599" i="6"/>
  <c r="Q599" i="6"/>
  <c r="Q567" i="6"/>
  <c r="O567" i="6"/>
  <c r="Q535" i="6"/>
  <c r="O535" i="6"/>
  <c r="Q503" i="6"/>
  <c r="O503" i="6"/>
  <c r="Q487" i="6"/>
  <c r="O487" i="6"/>
  <c r="Q439" i="6"/>
  <c r="O439" i="6"/>
  <c r="Q407" i="6"/>
  <c r="O407" i="6"/>
  <c r="Q391" i="6"/>
  <c r="N391" i="6"/>
  <c r="N375" i="6"/>
  <c r="O359" i="6"/>
  <c r="N359" i="6"/>
  <c r="Q359" i="6"/>
  <c r="Q327" i="6"/>
  <c r="O327" i="6"/>
  <c r="O311" i="6"/>
  <c r="Q295" i="6"/>
  <c r="Q279" i="6"/>
  <c r="O279" i="6"/>
  <c r="N279" i="6"/>
  <c r="Q247" i="6"/>
  <c r="O231" i="6"/>
  <c r="N231" i="6"/>
  <c r="Q231" i="6"/>
  <c r="Q215" i="6"/>
  <c r="O215" i="6"/>
  <c r="O199" i="6"/>
  <c r="Q199" i="6"/>
  <c r="N199" i="6"/>
  <c r="Q183" i="6"/>
  <c r="N183" i="6"/>
  <c r="Q167" i="6"/>
  <c r="O167" i="6"/>
  <c r="Q151" i="6"/>
  <c r="N151" i="6"/>
  <c r="O151" i="6"/>
  <c r="Q119" i="6"/>
  <c r="O119" i="6"/>
  <c r="N119" i="6"/>
  <c r="O103" i="6"/>
  <c r="Q103" i="6"/>
  <c r="O87" i="6"/>
  <c r="Q87" i="6"/>
  <c r="N87" i="6"/>
  <c r="Q71" i="6"/>
  <c r="N71" i="6"/>
  <c r="N979" i="6"/>
  <c r="N963" i="6"/>
  <c r="N931" i="6"/>
  <c r="N914" i="6"/>
  <c r="N892" i="6"/>
  <c r="N830" i="6"/>
  <c r="N809" i="6"/>
  <c r="N788" i="6"/>
  <c r="N741" i="6"/>
  <c r="N715" i="6"/>
  <c r="N694" i="6"/>
  <c r="N668" i="6"/>
  <c r="N647" i="6"/>
  <c r="N621" i="6"/>
  <c r="N574" i="6"/>
  <c r="N553" i="6"/>
  <c r="N532" i="6"/>
  <c r="N505" i="6"/>
  <c r="N483" i="6"/>
  <c r="N455" i="6"/>
  <c r="N433" i="6"/>
  <c r="N405" i="6"/>
  <c r="N355" i="6"/>
  <c r="N327" i="6"/>
  <c r="N260" i="6"/>
  <c r="N223" i="6"/>
  <c r="N191" i="6"/>
  <c r="N113" i="6"/>
  <c r="N81" i="6"/>
  <c r="N39" i="6"/>
  <c r="O967" i="6"/>
  <c r="O923" i="6"/>
  <c r="O883" i="6"/>
  <c r="O808" i="6"/>
  <c r="O773" i="6"/>
  <c r="O671" i="6"/>
  <c r="O627" i="6"/>
  <c r="O555" i="6"/>
  <c r="O500" i="6"/>
  <c r="O424" i="6"/>
  <c r="O344" i="6"/>
  <c r="O186" i="6"/>
  <c r="O104" i="6"/>
  <c r="Q959" i="6"/>
  <c r="Q715" i="6"/>
  <c r="Q538" i="6"/>
  <c r="Q360" i="6"/>
  <c r="Q137" i="6"/>
  <c r="Q890" i="6"/>
  <c r="O842" i="6"/>
  <c r="Q762" i="6"/>
  <c r="O762" i="6"/>
  <c r="Q730" i="6"/>
  <c r="O730" i="6"/>
  <c r="O698" i="6"/>
  <c r="Q698" i="6"/>
  <c r="Q682" i="6"/>
  <c r="O682" i="6"/>
  <c r="Q618" i="6"/>
  <c r="O618" i="6"/>
  <c r="Q985" i="6"/>
  <c r="O985" i="6"/>
  <c r="Q969" i="6"/>
  <c r="O969" i="6"/>
  <c r="O953" i="6"/>
  <c r="Q953" i="6"/>
  <c r="O937" i="6"/>
  <c r="Q937" i="6"/>
  <c r="O921" i="6"/>
  <c r="Q921" i="6"/>
  <c r="Q905" i="6"/>
  <c r="O905" i="6"/>
  <c r="Q873" i="6"/>
  <c r="O873" i="6"/>
  <c r="O857" i="6"/>
  <c r="Q857" i="6"/>
  <c r="O841" i="6"/>
  <c r="Q841" i="6"/>
  <c r="Q825" i="6"/>
  <c r="O825" i="6"/>
  <c r="O793" i="6"/>
  <c r="Q793" i="6"/>
  <c r="Q777" i="6"/>
  <c r="O777" i="6"/>
  <c r="Q729" i="6"/>
  <c r="O729" i="6"/>
  <c r="Q713" i="6"/>
  <c r="O713" i="6"/>
  <c r="Q681" i="6"/>
  <c r="O681" i="6"/>
  <c r="Q633" i="6"/>
  <c r="O633" i="6"/>
  <c r="O585" i="6"/>
  <c r="Q585" i="6"/>
  <c r="Q569" i="6"/>
  <c r="O569" i="6"/>
  <c r="O537" i="6"/>
  <c r="Q537" i="6"/>
  <c r="Q521" i="6"/>
  <c r="O521" i="6"/>
  <c r="Q425" i="6"/>
  <c r="N425" i="6"/>
  <c r="O409" i="6"/>
  <c r="N409" i="6"/>
  <c r="O393" i="6"/>
  <c r="N393" i="6"/>
  <c r="Q377" i="6"/>
  <c r="O361" i="6"/>
  <c r="Q345" i="6"/>
  <c r="O345" i="6"/>
  <c r="Q313" i="6"/>
  <c r="O313" i="6"/>
  <c r="Q984" i="6"/>
  <c r="O984" i="6"/>
  <c r="O936" i="6"/>
  <c r="Q936" i="6"/>
  <c r="O920" i="6"/>
  <c r="Q920" i="6"/>
  <c r="Q888" i="6"/>
  <c r="O888" i="6"/>
  <c r="Q983" i="6"/>
  <c r="O983" i="6"/>
  <c r="Q951" i="6"/>
  <c r="O951" i="6"/>
  <c r="O935" i="6"/>
  <c r="Q935" i="6"/>
  <c r="Q887" i="6"/>
  <c r="Q982" i="6"/>
  <c r="O982" i="6"/>
  <c r="Q934" i="6"/>
  <c r="O934" i="6"/>
  <c r="Q902" i="6"/>
  <c r="O902" i="6"/>
  <c r="Q886" i="6"/>
  <c r="O886" i="6"/>
  <c r="Q838" i="6"/>
  <c r="O838" i="6"/>
  <c r="O806" i="6"/>
  <c r="Q790" i="6"/>
  <c r="O790" i="6"/>
  <c r="O726" i="6"/>
  <c r="Q726" i="6"/>
  <c r="Q710" i="6"/>
  <c r="O710" i="6"/>
  <c r="O678" i="6"/>
  <c r="Q678" i="6"/>
  <c r="Q662" i="6"/>
  <c r="O662" i="6"/>
  <c r="Q614" i="6"/>
  <c r="O614" i="6"/>
  <c r="Q566" i="6"/>
  <c r="O566" i="6"/>
  <c r="Q550" i="6"/>
  <c r="O550" i="6"/>
  <c r="Q518" i="6"/>
  <c r="O518" i="6"/>
  <c r="Q502" i="6"/>
  <c r="O502" i="6"/>
  <c r="Q470" i="6"/>
  <c r="O470" i="6"/>
  <c r="Q454" i="6"/>
  <c r="O454" i="6"/>
  <c r="O438" i="6"/>
  <c r="Q438" i="6"/>
  <c r="Q406" i="6"/>
  <c r="O406" i="6"/>
  <c r="Q390" i="6"/>
  <c r="O390" i="6"/>
  <c r="O358" i="6"/>
  <c r="N358" i="6"/>
  <c r="Q358" i="6"/>
  <c r="O342" i="6"/>
  <c r="Q342" i="6"/>
  <c r="N342" i="6"/>
  <c r="Q326" i="6"/>
  <c r="O326" i="6"/>
  <c r="Q310" i="6"/>
  <c r="O310" i="6"/>
  <c r="Q294" i="6"/>
  <c r="O294" i="6"/>
  <c r="N294" i="6"/>
  <c r="Q278" i="6"/>
  <c r="O278" i="6"/>
  <c r="O262" i="6"/>
  <c r="Q262" i="6"/>
  <c r="Q246" i="6"/>
  <c r="N246" i="6"/>
  <c r="O246" i="6"/>
  <c r="O230" i="6"/>
  <c r="N230" i="6"/>
  <c r="Q230" i="6"/>
  <c r="O214" i="6"/>
  <c r="Q214" i="6"/>
  <c r="O198" i="6"/>
  <c r="Q198" i="6"/>
  <c r="O182" i="6"/>
  <c r="Q182" i="6"/>
  <c r="N182" i="6"/>
  <c r="Q166" i="6"/>
  <c r="O166" i="6"/>
  <c r="Q150" i="6"/>
  <c r="O150" i="6"/>
  <c r="Q118" i="6"/>
  <c r="N118" i="6"/>
  <c r="O118" i="6"/>
  <c r="O102" i="6"/>
  <c r="Q102" i="6"/>
  <c r="O86" i="6"/>
  <c r="Q86" i="6"/>
  <c r="Q70" i="6"/>
  <c r="O70" i="6"/>
  <c r="N70" i="6"/>
  <c r="Q38" i="6"/>
  <c r="N38" i="6"/>
  <c r="N30" i="6"/>
  <c r="N978" i="6"/>
  <c r="N962" i="6"/>
  <c r="N946" i="6"/>
  <c r="N930" i="6"/>
  <c r="N910" i="6"/>
  <c r="N891" i="6"/>
  <c r="N872" i="6"/>
  <c r="N829" i="6"/>
  <c r="N808" i="6"/>
  <c r="N782" i="6"/>
  <c r="N761" i="6"/>
  <c r="N740" i="6"/>
  <c r="N714" i="6"/>
  <c r="N693" i="6"/>
  <c r="N667" i="6"/>
  <c r="N646" i="6"/>
  <c r="N620" i="6"/>
  <c r="N599" i="6"/>
  <c r="N573" i="6"/>
  <c r="N526" i="6"/>
  <c r="N504" i="6"/>
  <c r="N482" i="6"/>
  <c r="N454" i="6"/>
  <c r="N432" i="6"/>
  <c r="N404" i="6"/>
  <c r="N382" i="6"/>
  <c r="N354" i="6"/>
  <c r="N326" i="6"/>
  <c r="N259" i="6"/>
  <c r="N221" i="6"/>
  <c r="N190" i="6"/>
  <c r="N149" i="6"/>
  <c r="N112" i="6"/>
  <c r="N80" i="6"/>
  <c r="O966" i="6"/>
  <c r="O922" i="6"/>
  <c r="O881" i="6"/>
  <c r="O849" i="6"/>
  <c r="O804" i="6"/>
  <c r="O772" i="6"/>
  <c r="O722" i="6"/>
  <c r="O670" i="6"/>
  <c r="O622" i="6"/>
  <c r="O499" i="6"/>
  <c r="O423" i="6"/>
  <c r="O343" i="6"/>
  <c r="O184" i="6"/>
  <c r="O99" i="6"/>
  <c r="Q714" i="6"/>
  <c r="Q331" i="6"/>
  <c r="Q136" i="6"/>
  <c r="F3960" i="5" l="1"/>
  <c r="F3959" i="5"/>
  <c r="F3958" i="5"/>
  <c r="F3957" i="5"/>
  <c r="F3956" i="5"/>
  <c r="F3955" i="5"/>
  <c r="F3954" i="5"/>
  <c r="F3953" i="5"/>
  <c r="F3952" i="5"/>
  <c r="F3951" i="5"/>
  <c r="F3950" i="5"/>
  <c r="F3949" i="5"/>
  <c r="F3948" i="5"/>
  <c r="F3947" i="5"/>
  <c r="F3946" i="5"/>
  <c r="F3945" i="5"/>
  <c r="F3944" i="5"/>
  <c r="F3943" i="5"/>
  <c r="F3942" i="5"/>
  <c r="F3941" i="5"/>
  <c r="F3940" i="5"/>
  <c r="F3939" i="5"/>
  <c r="F3938" i="5"/>
  <c r="F3937" i="5"/>
  <c r="F3936" i="5"/>
  <c r="F3935" i="5"/>
  <c r="F3934" i="5"/>
  <c r="F3933" i="5"/>
  <c r="F3932" i="5"/>
  <c r="F3931" i="5"/>
  <c r="F3930" i="5"/>
  <c r="F3929" i="5"/>
  <c r="F3928" i="5"/>
  <c r="F3927" i="5"/>
  <c r="F3926" i="5"/>
  <c r="F3925" i="5"/>
  <c r="F3924" i="5"/>
  <c r="F3923" i="5"/>
  <c r="F3922" i="5"/>
  <c r="F3921" i="5"/>
  <c r="F3920" i="5"/>
  <c r="F3919" i="5"/>
  <c r="F3918" i="5"/>
  <c r="F3917" i="5"/>
  <c r="F3916" i="5"/>
  <c r="F3915" i="5"/>
  <c r="F3914" i="5"/>
  <c r="F3913" i="5"/>
  <c r="F3912" i="5"/>
  <c r="F3911" i="5"/>
  <c r="F3910" i="5"/>
  <c r="F3909" i="5"/>
  <c r="F3908" i="5"/>
  <c r="F3907" i="5"/>
  <c r="F3906" i="5"/>
  <c r="F3905" i="5"/>
  <c r="F3904" i="5"/>
  <c r="F3903" i="5"/>
  <c r="F3902" i="5"/>
  <c r="F3901" i="5"/>
  <c r="F3900" i="5"/>
  <c r="F3899" i="5"/>
  <c r="F3898" i="5"/>
  <c r="F3897" i="5"/>
  <c r="F3896" i="5"/>
  <c r="F3895" i="5"/>
  <c r="F3894" i="5"/>
  <c r="F3893" i="5"/>
  <c r="F3892" i="5"/>
  <c r="F3891" i="5"/>
  <c r="F3890" i="5"/>
  <c r="F3889" i="5"/>
  <c r="F3888" i="5"/>
  <c r="F3887" i="5"/>
  <c r="F3886" i="5"/>
  <c r="F3885" i="5"/>
  <c r="F3884" i="5"/>
  <c r="F3883" i="5"/>
  <c r="F3882" i="5"/>
  <c r="F3881" i="5"/>
  <c r="F3880" i="5"/>
  <c r="F3879" i="5"/>
  <c r="F3878" i="5"/>
  <c r="F3877" i="5"/>
  <c r="F3876" i="5"/>
  <c r="F3875" i="5"/>
  <c r="F3874" i="5"/>
  <c r="F3873" i="5"/>
  <c r="F3872" i="5"/>
  <c r="F3871" i="5"/>
  <c r="F3870" i="5"/>
  <c r="F3869" i="5"/>
  <c r="F3868" i="5"/>
  <c r="F3867" i="5"/>
  <c r="F3866" i="5"/>
  <c r="F3865" i="5"/>
  <c r="F3864" i="5"/>
  <c r="F3863" i="5"/>
  <c r="F3862" i="5"/>
  <c r="F3861" i="5"/>
  <c r="F3860" i="5"/>
  <c r="F3859" i="5"/>
  <c r="F3858" i="5"/>
  <c r="F3857" i="5"/>
  <c r="F3856" i="5"/>
  <c r="F3855" i="5"/>
  <c r="F3854" i="5"/>
  <c r="F3853" i="5"/>
  <c r="F3852" i="5"/>
  <c r="F3851" i="5"/>
  <c r="F3850" i="5"/>
  <c r="F3849" i="5"/>
  <c r="F3848" i="5"/>
  <c r="F3847" i="5"/>
  <c r="F3846" i="5"/>
  <c r="F3845" i="5"/>
  <c r="F3844" i="5"/>
  <c r="F3843" i="5"/>
  <c r="F3842" i="5"/>
  <c r="F3841" i="5"/>
  <c r="F3840" i="5"/>
  <c r="F3839" i="5"/>
  <c r="F3838" i="5"/>
  <c r="F3837" i="5"/>
  <c r="F3836" i="5"/>
  <c r="F3835" i="5"/>
  <c r="F3834" i="5"/>
  <c r="F3833" i="5"/>
  <c r="F3832" i="5"/>
  <c r="F3831" i="5"/>
  <c r="F3830" i="5"/>
  <c r="F3829" i="5"/>
  <c r="F3828" i="5"/>
  <c r="F3827" i="5"/>
  <c r="F3826" i="5"/>
  <c r="F3825" i="5"/>
  <c r="F3824" i="5"/>
  <c r="F3823" i="5"/>
  <c r="F3822" i="5"/>
  <c r="F3821" i="5"/>
  <c r="F3820" i="5"/>
  <c r="F3819" i="5"/>
  <c r="F3818" i="5"/>
  <c r="F3817" i="5"/>
  <c r="F3816" i="5"/>
  <c r="F3815" i="5"/>
  <c r="F3814" i="5"/>
  <c r="F3813" i="5"/>
  <c r="F3812" i="5"/>
  <c r="F3811" i="5"/>
  <c r="F3810" i="5"/>
  <c r="F3809" i="5"/>
  <c r="F3807" i="5"/>
  <c r="F3806" i="5"/>
  <c r="F3804" i="5"/>
  <c r="F3803" i="5"/>
  <c r="F3802" i="5"/>
  <c r="F3801" i="5"/>
  <c r="F3800" i="5"/>
  <c r="F3799" i="5"/>
  <c r="F3798" i="5"/>
  <c r="F3797" i="5"/>
  <c r="F3796" i="5"/>
  <c r="F3795" i="5"/>
  <c r="F3794" i="5"/>
  <c r="F3793" i="5"/>
  <c r="F3792" i="5"/>
  <c r="F3791" i="5"/>
  <c r="F3790" i="5"/>
  <c r="F3789" i="5"/>
  <c r="F3788" i="5"/>
  <c r="F3787" i="5"/>
  <c r="F3786" i="5"/>
  <c r="F3785" i="5"/>
  <c r="F3784" i="5"/>
  <c r="F3783" i="5"/>
  <c r="F3782" i="5"/>
  <c r="F3781" i="5"/>
  <c r="F3780" i="5"/>
  <c r="F3779" i="5"/>
  <c r="F3778" i="5"/>
  <c r="F3777" i="5"/>
  <c r="F3776" i="5"/>
  <c r="F3775" i="5"/>
  <c r="F3774" i="5"/>
  <c r="F3773" i="5"/>
  <c r="F3772" i="5"/>
  <c r="F3771" i="5"/>
  <c r="F3770" i="5"/>
  <c r="F3769" i="5"/>
  <c r="F3768" i="5"/>
  <c r="F3767" i="5"/>
  <c r="F3766" i="5"/>
  <c r="F3765" i="5"/>
  <c r="F3764" i="5"/>
  <c r="F3763" i="5"/>
  <c r="F3762" i="5"/>
  <c r="F3761" i="5"/>
  <c r="F3760" i="5"/>
  <c r="F3759" i="5"/>
  <c r="F3758" i="5"/>
  <c r="F3757" i="5"/>
  <c r="F3756" i="5"/>
  <c r="F3755" i="5"/>
  <c r="F3754" i="5"/>
  <c r="F3753" i="5"/>
  <c r="F3752" i="5"/>
  <c r="F3751" i="5"/>
  <c r="F3750" i="5"/>
  <c r="F3749" i="5"/>
  <c r="F3748" i="5"/>
  <c r="F3747" i="5"/>
  <c r="F3746" i="5"/>
  <c r="F3745" i="5"/>
  <c r="F3744" i="5"/>
  <c r="F3743" i="5"/>
  <c r="F3742" i="5"/>
  <c r="F3741" i="5"/>
  <c r="F3740" i="5"/>
  <c r="F3739" i="5"/>
  <c r="F3738" i="5"/>
  <c r="F3737" i="5"/>
  <c r="F3736" i="5"/>
  <c r="F3735" i="5"/>
  <c r="F3734" i="5"/>
  <c r="F3733" i="5"/>
  <c r="F3732" i="5"/>
  <c r="F3731" i="5"/>
  <c r="F3730" i="5"/>
  <c r="F3729" i="5"/>
  <c r="F3728" i="5"/>
  <c r="F3727" i="5"/>
  <c r="F3726" i="5"/>
  <c r="F3725" i="5"/>
  <c r="F3724" i="5"/>
  <c r="F3723" i="5"/>
  <c r="F3722" i="5"/>
  <c r="F3721" i="5"/>
  <c r="F3720" i="5"/>
  <c r="F3719" i="5"/>
  <c r="F3718" i="5"/>
  <c r="F3717" i="5"/>
  <c r="F3716" i="5"/>
  <c r="F3715" i="5"/>
  <c r="F3714" i="5"/>
  <c r="F3713" i="5"/>
  <c r="F3712" i="5"/>
  <c r="F3711" i="5"/>
  <c r="F3710" i="5"/>
  <c r="F3709" i="5"/>
  <c r="F3708" i="5"/>
  <c r="F3707" i="5"/>
  <c r="F3706" i="5"/>
  <c r="F3705" i="5"/>
  <c r="F3704" i="5"/>
  <c r="F3703" i="5"/>
  <c r="F3702" i="5"/>
  <c r="F3701" i="5"/>
  <c r="F3700" i="5"/>
  <c r="F3699" i="5"/>
  <c r="F3698" i="5"/>
  <c r="F3697" i="5"/>
  <c r="F3696" i="5"/>
  <c r="F3695" i="5"/>
  <c r="F3694" i="5"/>
  <c r="F3693" i="5"/>
  <c r="F3692" i="5"/>
  <c r="F3691" i="5"/>
  <c r="F3690" i="5"/>
  <c r="F3689" i="5"/>
  <c r="F3688" i="5"/>
  <c r="F3687" i="5"/>
  <c r="F3686" i="5"/>
  <c r="F3685" i="5"/>
  <c r="F3684" i="5"/>
  <c r="F3683" i="5"/>
  <c r="F3682" i="5"/>
  <c r="F3681" i="5"/>
  <c r="F3680" i="5"/>
  <c r="F3679" i="5"/>
  <c r="F3678" i="5"/>
  <c r="F3677" i="5"/>
  <c r="F3676" i="5"/>
  <c r="F3675" i="5"/>
  <c r="F3674" i="5"/>
  <c r="F3673" i="5"/>
  <c r="F3672" i="5"/>
  <c r="F3671" i="5"/>
  <c r="F3670" i="5"/>
  <c r="F3669" i="5"/>
  <c r="F3668" i="5"/>
  <c r="F3667" i="5"/>
  <c r="F3666" i="5"/>
  <c r="F3665" i="5"/>
  <c r="F3664" i="5"/>
  <c r="F3663" i="5"/>
  <c r="F3662" i="5"/>
  <c r="F3661" i="5"/>
  <c r="F3660" i="5"/>
  <c r="F3659" i="5"/>
  <c r="F3658" i="5"/>
  <c r="F3657" i="5"/>
  <c r="F3656" i="5"/>
  <c r="F3655" i="5"/>
  <c r="F3654" i="5"/>
  <c r="F3653" i="5"/>
  <c r="F3652" i="5"/>
  <c r="F3651" i="5"/>
  <c r="F3650" i="5"/>
  <c r="F3649" i="5"/>
  <c r="F3648" i="5"/>
  <c r="F3647" i="5"/>
  <c r="F3646" i="5"/>
  <c r="F3645" i="5"/>
  <c r="F3644" i="5"/>
  <c r="F3643" i="5"/>
  <c r="F3642" i="5"/>
  <c r="F3641" i="5"/>
  <c r="F3640" i="5"/>
  <c r="F3639" i="5"/>
  <c r="F3638" i="5"/>
  <c r="F3637" i="5"/>
  <c r="F3636" i="5"/>
  <c r="F3635" i="5"/>
  <c r="F3634" i="5"/>
  <c r="F3633" i="5"/>
  <c r="F3632" i="5"/>
  <c r="F3631" i="5"/>
  <c r="F3630" i="5"/>
  <c r="F3629" i="5"/>
  <c r="F3628" i="5"/>
  <c r="F3627" i="5"/>
  <c r="F3626" i="5"/>
  <c r="F3625" i="5"/>
  <c r="F3624" i="5"/>
  <c r="F3623" i="5"/>
  <c r="F3622" i="5"/>
  <c r="F3621" i="5"/>
  <c r="F3620" i="5"/>
  <c r="F3619" i="5"/>
  <c r="F3618" i="5"/>
  <c r="F3617" i="5"/>
  <c r="F3616" i="5"/>
  <c r="F3615" i="5"/>
  <c r="F3614" i="5"/>
  <c r="F3613" i="5"/>
  <c r="F3612" i="5"/>
  <c r="F3611" i="5"/>
  <c r="F3610" i="5"/>
  <c r="F3609" i="5"/>
  <c r="F3608" i="5"/>
  <c r="F3607" i="5"/>
  <c r="F3606" i="5"/>
  <c r="F3605" i="5"/>
  <c r="F3604" i="5"/>
  <c r="F3603" i="5"/>
  <c r="F3602" i="5"/>
  <c r="F3601" i="5"/>
  <c r="F3600" i="5"/>
  <c r="F3599" i="5"/>
  <c r="F3598" i="5"/>
  <c r="F3597" i="5"/>
  <c r="F3596" i="5"/>
  <c r="F3595" i="5"/>
  <c r="F3594" i="5"/>
  <c r="F3593" i="5"/>
  <c r="F3592" i="5"/>
  <c r="F3591" i="5"/>
  <c r="F3590" i="5"/>
  <c r="F3589" i="5"/>
  <c r="F3588" i="5"/>
  <c r="F3587" i="5"/>
  <c r="F3586" i="5"/>
  <c r="F3585" i="5"/>
  <c r="F3584" i="5"/>
  <c r="F3583" i="5"/>
  <c r="F3582" i="5"/>
  <c r="F3581" i="5"/>
  <c r="F3580" i="5"/>
  <c r="F3579" i="5"/>
  <c r="F3578" i="5"/>
  <c r="F3577" i="5"/>
  <c r="F3576" i="5"/>
  <c r="F3575" i="5"/>
  <c r="F3574" i="5"/>
  <c r="F3573" i="5"/>
  <c r="F3572" i="5"/>
  <c r="F3571" i="5"/>
  <c r="F3570" i="5"/>
  <c r="F3569" i="5"/>
  <c r="F3568" i="5"/>
  <c r="F3567" i="5"/>
  <c r="F3566" i="5"/>
  <c r="F3565" i="5"/>
  <c r="F3564" i="5"/>
  <c r="F3563" i="5"/>
  <c r="F3562" i="5"/>
  <c r="F3561" i="5"/>
  <c r="F3560" i="5"/>
  <c r="F3559" i="5"/>
  <c r="F3558" i="5"/>
  <c r="F3557" i="5"/>
  <c r="F3556" i="5"/>
  <c r="F3555" i="5"/>
  <c r="F3554" i="5"/>
  <c r="F3553" i="5"/>
  <c r="F3552" i="5"/>
  <c r="F3551" i="5"/>
  <c r="F3550" i="5"/>
  <c r="F3549" i="5"/>
  <c r="F3548" i="5"/>
  <c r="F3547" i="5"/>
  <c r="F3546" i="5"/>
  <c r="F3545" i="5"/>
  <c r="F3544" i="5"/>
  <c r="F3543" i="5"/>
  <c r="F3542" i="5"/>
  <c r="F3541" i="5"/>
  <c r="F3540" i="5"/>
  <c r="F3539" i="5"/>
  <c r="F3538" i="5"/>
  <c r="F3537" i="5"/>
  <c r="F3536" i="5"/>
  <c r="F3535" i="5"/>
  <c r="F3534" i="5"/>
  <c r="F3533" i="5"/>
  <c r="F3532" i="5"/>
  <c r="F3531" i="5"/>
  <c r="F3530" i="5"/>
  <c r="F3529" i="5"/>
  <c r="F3528" i="5"/>
  <c r="F3527" i="5"/>
  <c r="F3526" i="5"/>
  <c r="F3525" i="5"/>
  <c r="F3524" i="5"/>
  <c r="F3523" i="5"/>
  <c r="F3522" i="5"/>
  <c r="F3521" i="5"/>
  <c r="F3520" i="5"/>
  <c r="F3519" i="5"/>
  <c r="F3518" i="5"/>
  <c r="F3517" i="5"/>
  <c r="F3516" i="5"/>
  <c r="F3515" i="5"/>
  <c r="F3514" i="5"/>
  <c r="F3513" i="5"/>
  <c r="F3512" i="5"/>
  <c r="F3511" i="5"/>
  <c r="F3510" i="5"/>
  <c r="F3509" i="5"/>
  <c r="F3508" i="5"/>
  <c r="F3507" i="5"/>
  <c r="F3506" i="5"/>
  <c r="F3505" i="5"/>
  <c r="F3504" i="5"/>
  <c r="F3503" i="5"/>
  <c r="F3502" i="5"/>
  <c r="F3501" i="5"/>
  <c r="F3500" i="5"/>
  <c r="F3499" i="5"/>
  <c r="F3498" i="5"/>
  <c r="F3497" i="5"/>
  <c r="F3496" i="5"/>
  <c r="F3495" i="5"/>
  <c r="F3494" i="5"/>
  <c r="F3493" i="5"/>
  <c r="F3492" i="5"/>
  <c r="F3491" i="5"/>
  <c r="F3490" i="5"/>
  <c r="F3489" i="5"/>
  <c r="F3488" i="5"/>
  <c r="F3487" i="5"/>
  <c r="F3486" i="5"/>
  <c r="F3485" i="5"/>
  <c r="F3484" i="5"/>
  <c r="F3483" i="5"/>
  <c r="F3482" i="5"/>
  <c r="F3481" i="5"/>
  <c r="F3480" i="5"/>
  <c r="F3479" i="5"/>
  <c r="F3478" i="5"/>
  <c r="F3477" i="5"/>
  <c r="F3476" i="5"/>
  <c r="F3475" i="5"/>
  <c r="F3474" i="5"/>
  <c r="F3473" i="5"/>
  <c r="F3472" i="5"/>
  <c r="F3471" i="5"/>
  <c r="F3470" i="5"/>
  <c r="F3469" i="5"/>
  <c r="F3468" i="5"/>
  <c r="F3467" i="5"/>
  <c r="F3466" i="5"/>
  <c r="F3465" i="5"/>
  <c r="F3464" i="5"/>
  <c r="F3463" i="5"/>
  <c r="F3462" i="5"/>
  <c r="F3461" i="5"/>
  <c r="F3460" i="5"/>
  <c r="F3459" i="5"/>
  <c r="F3458" i="5"/>
  <c r="F3457" i="5"/>
  <c r="F3456" i="5"/>
  <c r="F3455" i="5"/>
  <c r="F3454" i="5"/>
  <c r="F3453" i="5"/>
  <c r="F3452" i="5"/>
  <c r="F3451" i="5"/>
  <c r="F3450" i="5"/>
  <c r="F3449" i="5"/>
  <c r="F3448" i="5"/>
  <c r="F3447" i="5"/>
  <c r="F3446" i="5"/>
  <c r="F3445" i="5"/>
  <c r="F3444" i="5"/>
  <c r="F3443" i="5"/>
  <c r="F3442" i="5"/>
  <c r="F3441" i="5"/>
  <c r="F3440" i="5"/>
  <c r="F3439" i="5"/>
  <c r="F3438" i="5"/>
  <c r="F3437" i="5"/>
  <c r="F3436" i="5"/>
  <c r="F3435" i="5"/>
  <c r="F3434" i="5"/>
  <c r="F3433" i="5"/>
  <c r="F3432" i="5"/>
  <c r="F3431" i="5"/>
  <c r="F3430" i="5"/>
  <c r="F3429" i="5"/>
  <c r="F3428" i="5"/>
  <c r="F3427" i="5"/>
  <c r="F3426" i="5"/>
  <c r="F3425" i="5"/>
  <c r="F3424" i="5"/>
  <c r="F3423" i="5"/>
  <c r="F3422" i="5"/>
  <c r="F3421" i="5"/>
  <c r="F3420" i="5"/>
  <c r="F3419" i="5"/>
  <c r="F3418" i="5"/>
  <c r="F3417" i="5"/>
  <c r="F3416" i="5"/>
  <c r="F3415" i="5"/>
  <c r="F3414" i="5"/>
  <c r="F3413" i="5"/>
  <c r="F3412" i="5"/>
  <c r="F3411" i="5"/>
  <c r="F3410" i="5"/>
  <c r="F3409" i="5"/>
  <c r="F3408" i="5"/>
  <c r="F3407" i="5"/>
  <c r="F3406" i="5"/>
  <c r="F3405" i="5"/>
  <c r="F3404" i="5"/>
  <c r="F3403" i="5"/>
  <c r="F3402" i="5"/>
  <c r="F3401" i="5"/>
  <c r="F3400" i="5"/>
  <c r="F3399" i="5"/>
  <c r="F3398" i="5"/>
  <c r="F3397" i="5"/>
  <c r="F3396" i="5"/>
  <c r="F3395" i="5"/>
  <c r="F3394" i="5"/>
  <c r="F3393" i="5"/>
  <c r="F3392" i="5"/>
  <c r="F3391" i="5"/>
  <c r="F3390" i="5"/>
  <c r="F3389" i="5"/>
  <c r="F3388" i="5"/>
  <c r="F3387" i="5"/>
  <c r="F3386" i="5"/>
  <c r="F3385" i="5"/>
  <c r="F3384" i="5"/>
  <c r="F3383" i="5"/>
  <c r="F3382" i="5"/>
  <c r="F3381" i="5"/>
  <c r="F3380" i="5"/>
  <c r="F3379" i="5"/>
  <c r="F3378" i="5"/>
  <c r="F3377" i="5"/>
  <c r="F3376" i="5"/>
  <c r="F3375" i="5"/>
  <c r="F3374" i="5"/>
  <c r="F3373" i="5"/>
  <c r="F3372" i="5"/>
  <c r="F3371" i="5"/>
  <c r="F3370" i="5"/>
  <c r="F3369" i="5"/>
  <c r="F3368" i="5"/>
  <c r="F3367" i="5"/>
  <c r="F3366" i="5"/>
  <c r="F3365" i="5"/>
  <c r="F3364" i="5"/>
  <c r="F3363" i="5"/>
  <c r="F3362" i="5"/>
  <c r="F3361" i="5"/>
  <c r="F3360" i="5"/>
  <c r="F3359" i="5"/>
  <c r="F3358" i="5"/>
  <c r="F3357" i="5"/>
  <c r="F3356" i="5"/>
  <c r="F3355" i="5"/>
  <c r="F3354" i="5"/>
  <c r="F3353" i="5"/>
  <c r="F3352" i="5"/>
  <c r="F3351" i="5"/>
  <c r="F3350" i="5"/>
  <c r="F3349" i="5"/>
  <c r="F3348" i="5"/>
  <c r="F3347" i="5"/>
  <c r="F3346" i="5"/>
  <c r="F3345" i="5"/>
  <c r="F3344" i="5"/>
  <c r="F3343" i="5"/>
  <c r="F3342" i="5"/>
  <c r="F3341" i="5"/>
  <c r="F3340" i="5"/>
  <c r="F3339" i="5"/>
  <c r="F3338" i="5"/>
  <c r="F3337" i="5"/>
  <c r="F3336" i="5"/>
  <c r="F3335" i="5"/>
  <c r="F3334" i="5"/>
  <c r="F3333" i="5"/>
  <c r="F3332" i="5"/>
  <c r="F3331" i="5"/>
  <c r="F3330" i="5"/>
  <c r="F3329" i="5"/>
  <c r="F3328" i="5"/>
  <c r="F3327" i="5"/>
  <c r="F3326" i="5"/>
  <c r="F3325" i="5"/>
  <c r="F3324" i="5"/>
  <c r="F3323" i="5"/>
  <c r="F3322" i="5"/>
  <c r="F3321" i="5"/>
  <c r="F3320" i="5"/>
  <c r="F3319" i="5"/>
  <c r="F3318" i="5"/>
  <c r="F3317" i="5"/>
  <c r="F3316" i="5"/>
  <c r="F3315" i="5"/>
  <c r="F3314" i="5"/>
  <c r="F3313" i="5"/>
  <c r="F3312" i="5"/>
  <c r="F3311" i="5"/>
  <c r="F3310" i="5"/>
  <c r="F3309" i="5"/>
  <c r="F3308" i="5"/>
  <c r="F3307" i="5"/>
  <c r="F3306" i="5"/>
  <c r="F3305" i="5"/>
  <c r="F3304" i="5"/>
  <c r="F3303" i="5"/>
  <c r="F3302" i="5"/>
  <c r="F3301" i="5"/>
  <c r="F3300" i="5"/>
  <c r="F3299" i="5"/>
  <c r="F3298" i="5"/>
  <c r="F3297" i="5"/>
  <c r="F3296" i="5"/>
  <c r="F3295" i="5"/>
  <c r="F3294" i="5"/>
  <c r="F3293" i="5"/>
  <c r="F3292" i="5"/>
  <c r="F3291" i="5"/>
  <c r="F3290" i="5"/>
  <c r="F3289" i="5"/>
  <c r="F3288" i="5"/>
  <c r="F3287" i="5"/>
  <c r="F3286" i="5"/>
  <c r="F3285" i="5"/>
  <c r="F3284" i="5"/>
  <c r="F3283" i="5"/>
  <c r="F3282" i="5"/>
  <c r="F3281" i="5"/>
  <c r="F3280" i="5"/>
  <c r="F3279" i="5"/>
  <c r="F3278" i="5"/>
  <c r="F3277" i="5"/>
  <c r="F3276" i="5"/>
  <c r="F3275" i="5"/>
  <c r="F3274" i="5"/>
  <c r="F3273" i="5"/>
  <c r="F3272" i="5"/>
  <c r="F3271" i="5"/>
  <c r="F3270" i="5"/>
  <c r="F3269" i="5"/>
  <c r="F3268" i="5"/>
  <c r="F3267" i="5"/>
  <c r="F3266" i="5"/>
  <c r="F3265" i="5"/>
  <c r="F3264" i="5"/>
  <c r="F3263" i="5"/>
  <c r="F3262" i="5"/>
  <c r="F3261" i="5"/>
  <c r="F3260" i="5"/>
  <c r="F3259" i="5"/>
  <c r="F3258" i="5"/>
  <c r="F3257" i="5"/>
  <c r="F3256" i="5"/>
  <c r="F3255" i="5"/>
  <c r="F3254" i="5"/>
  <c r="F3253" i="5"/>
  <c r="F3252" i="5"/>
  <c r="F3251" i="5"/>
  <c r="F3250" i="5"/>
  <c r="F3249" i="5"/>
  <c r="F3245" i="5"/>
  <c r="F3243" i="5"/>
  <c r="F3242" i="5"/>
  <c r="F3205" i="5"/>
  <c r="F3204" i="5"/>
  <c r="F3203" i="5"/>
  <c r="F3202" i="5"/>
  <c r="F3201" i="5"/>
  <c r="F3200" i="5"/>
  <c r="F3199" i="5"/>
  <c r="F3198" i="5"/>
  <c r="F3197" i="5"/>
  <c r="F3196" i="5"/>
  <c r="F3195" i="5"/>
  <c r="F3194" i="5"/>
  <c r="F3193" i="5"/>
  <c r="F3192" i="5"/>
  <c r="F3191" i="5"/>
  <c r="F3190" i="5"/>
  <c r="F3189" i="5"/>
  <c r="F3188" i="5"/>
  <c r="F3187" i="5"/>
  <c r="F3186" i="5"/>
  <c r="F3185" i="5"/>
  <c r="F3184" i="5"/>
  <c r="F3183" i="5"/>
  <c r="F3182" i="5"/>
  <c r="F3181" i="5"/>
  <c r="F3180" i="5"/>
  <c r="F3179" i="5"/>
  <c r="F3178" i="5"/>
  <c r="F3177" i="5"/>
  <c r="F3176" i="5"/>
  <c r="F3175" i="5"/>
  <c r="F3174" i="5"/>
  <c r="F3173" i="5"/>
  <c r="F3172" i="5"/>
  <c r="F3171" i="5"/>
  <c r="F3170" i="5"/>
  <c r="F3169" i="5"/>
  <c r="F3168" i="5"/>
  <c r="F3167" i="5"/>
  <c r="F3166" i="5"/>
  <c r="F3165" i="5"/>
  <c r="F3164" i="5"/>
  <c r="F3163" i="5"/>
  <c r="F3162" i="5"/>
  <c r="F3161" i="5"/>
  <c r="F3160" i="5"/>
  <c r="F3159" i="5"/>
  <c r="F3158" i="5"/>
  <c r="F3157" i="5"/>
  <c r="F3156" i="5"/>
  <c r="F3155" i="5"/>
  <c r="F3154" i="5"/>
  <c r="F3153" i="5"/>
  <c r="F3152" i="5"/>
  <c r="F3151" i="5"/>
  <c r="F3150" i="5"/>
  <c r="F3149" i="5"/>
  <c r="F3148" i="5"/>
  <c r="F3147" i="5"/>
  <c r="F3146" i="5"/>
  <c r="F3145" i="5"/>
  <c r="F3144" i="5"/>
  <c r="F3143" i="5"/>
  <c r="F3142" i="5"/>
  <c r="F3141" i="5"/>
  <c r="F3140" i="5"/>
  <c r="F3139" i="5"/>
  <c r="F3138" i="5"/>
  <c r="F3137" i="5"/>
  <c r="F3136" i="5"/>
  <c r="F3135" i="5"/>
  <c r="F3134" i="5"/>
  <c r="F3133" i="5"/>
  <c r="F3132" i="5"/>
  <c r="F3131" i="5"/>
  <c r="F3130" i="5"/>
  <c r="F3129" i="5"/>
  <c r="F3128" i="5"/>
  <c r="F3127" i="5"/>
  <c r="F3126" i="5"/>
  <c r="F3125" i="5"/>
  <c r="F3124" i="5"/>
  <c r="F3123" i="5"/>
  <c r="F3122" i="5"/>
  <c r="F3121" i="5"/>
  <c r="F3120" i="5"/>
  <c r="F3119" i="5"/>
  <c r="F3118" i="5"/>
  <c r="F3117" i="5"/>
  <c r="F3116" i="5"/>
  <c r="F3115" i="5"/>
  <c r="F3114" i="5"/>
  <c r="F3113" i="5"/>
  <c r="F3112" i="5"/>
  <c r="F3111" i="5"/>
  <c r="F3110" i="5"/>
  <c r="F3109" i="5"/>
  <c r="F3108" i="5"/>
  <c r="F3107" i="5"/>
  <c r="F3106" i="5"/>
  <c r="F3105" i="5"/>
  <c r="F3104" i="5"/>
  <c r="F3103" i="5"/>
  <c r="F3102" i="5"/>
  <c r="F3101" i="5"/>
  <c r="F3100" i="5"/>
  <c r="F3099" i="5"/>
  <c r="F3098" i="5"/>
  <c r="F3097" i="5"/>
  <c r="F3096" i="5"/>
  <c r="F3095" i="5"/>
  <c r="F3094" i="5"/>
  <c r="F3093" i="5"/>
  <c r="F3092" i="5"/>
  <c r="F3091" i="5"/>
  <c r="F3090" i="5"/>
  <c r="F3089" i="5"/>
  <c r="F3088" i="5"/>
  <c r="F3087" i="5"/>
  <c r="F3086" i="5"/>
  <c r="F3085" i="5"/>
  <c r="F3084" i="5"/>
  <c r="F3083" i="5"/>
  <c r="F3082" i="5"/>
  <c r="F3081" i="5"/>
  <c r="F3080" i="5"/>
  <c r="F3079" i="5"/>
  <c r="F3078" i="5"/>
  <c r="F3077" i="5"/>
  <c r="F3076" i="5"/>
  <c r="F3075" i="5"/>
  <c r="F3074" i="5"/>
  <c r="F3073" i="5"/>
  <c r="F3072" i="5"/>
  <c r="F3071" i="5"/>
  <c r="F3070" i="5"/>
  <c r="F3069" i="5"/>
  <c r="F3068" i="5"/>
  <c r="F3067" i="5"/>
  <c r="F3066" i="5"/>
  <c r="F3065" i="5"/>
  <c r="F3064" i="5"/>
  <c r="F3063" i="5"/>
  <c r="F3062" i="5"/>
  <c r="F3061" i="5"/>
  <c r="F3060" i="5"/>
  <c r="F3059" i="5"/>
  <c r="F3058" i="5"/>
  <c r="F3057" i="5"/>
  <c r="F3056" i="5"/>
  <c r="F3055" i="5"/>
  <c r="F3054" i="5"/>
  <c r="F3053" i="5"/>
  <c r="F3052" i="5"/>
  <c r="F3051" i="5"/>
  <c r="F3050" i="5"/>
  <c r="F3049" i="5"/>
  <c r="F3048" i="5"/>
  <c r="F3047" i="5"/>
  <c r="F3046" i="5"/>
  <c r="F3045" i="5"/>
  <c r="F3044" i="5"/>
  <c r="F3043" i="5"/>
  <c r="F3042" i="5"/>
  <c r="F3041" i="5"/>
  <c r="F3040" i="5"/>
  <c r="F3039" i="5"/>
  <c r="F3038" i="5"/>
  <c r="F3037" i="5"/>
  <c r="F3036" i="5"/>
  <c r="F3035" i="5"/>
  <c r="F3034" i="5"/>
  <c r="F3033" i="5"/>
  <c r="F3032" i="5"/>
  <c r="F3031" i="5"/>
  <c r="F3030" i="5"/>
  <c r="F3029" i="5"/>
  <c r="F3028" i="5"/>
  <c r="F3027" i="5"/>
  <c r="F3026" i="5"/>
  <c r="F3025" i="5"/>
  <c r="F3024" i="5"/>
  <c r="F3023" i="5"/>
  <c r="F3022" i="5"/>
  <c r="F3021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64" i="5"/>
  <c r="F2663" i="5"/>
  <c r="F2662" i="5"/>
  <c r="F2661" i="5"/>
  <c r="F2660" i="5"/>
  <c r="F2659" i="5"/>
  <c r="F2658" i="5"/>
  <c r="F2657" i="5"/>
  <c r="F2656" i="5"/>
  <c r="F2655" i="5"/>
  <c r="F2654" i="5"/>
  <c r="F2653" i="5"/>
  <c r="F2652" i="5"/>
  <c r="F2651" i="5"/>
  <c r="F2650" i="5"/>
  <c r="F2649" i="5"/>
  <c r="F2648" i="5"/>
  <c r="F2647" i="5"/>
  <c r="F2646" i="5"/>
  <c r="F2645" i="5"/>
  <c r="F2644" i="5"/>
  <c r="F2643" i="5"/>
  <c r="F2642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2427" i="5"/>
  <c r="F2426" i="5"/>
  <c r="F2425" i="5"/>
  <c r="F2424" i="5"/>
  <c r="F2423" i="5"/>
  <c r="F2422" i="5"/>
  <c r="F2421" i="5"/>
  <c r="F2420" i="5"/>
  <c r="F2419" i="5"/>
  <c r="F2418" i="5"/>
  <c r="F2417" i="5"/>
  <c r="F2416" i="5"/>
  <c r="F2415" i="5"/>
  <c r="F2414" i="5"/>
  <c r="F2413" i="5"/>
  <c r="F2412" i="5"/>
  <c r="F2411" i="5"/>
  <c r="F2410" i="5"/>
  <c r="F2409" i="5"/>
  <c r="F2408" i="5"/>
  <c r="F2407" i="5"/>
  <c r="F2406" i="5"/>
  <c r="F2405" i="5"/>
  <c r="F2404" i="5"/>
  <c r="F2403" i="5"/>
  <c r="F2402" i="5"/>
  <c r="F2401" i="5"/>
  <c r="F2400" i="5"/>
  <c r="F2399" i="5"/>
  <c r="F2398" i="5"/>
  <c r="F2397" i="5"/>
  <c r="F2396" i="5"/>
  <c r="F2395" i="5"/>
  <c r="F2394" i="5"/>
  <c r="F2393" i="5"/>
  <c r="F2392" i="5"/>
  <c r="F2391" i="5"/>
  <c r="F2390" i="5"/>
  <c r="F2389" i="5"/>
  <c r="F2388" i="5"/>
  <c r="F2387" i="5"/>
  <c r="F2386" i="5"/>
  <c r="F2385" i="5"/>
  <c r="F2384" i="5"/>
  <c r="F2383" i="5"/>
  <c r="F2382" i="5"/>
  <c r="F2381" i="5"/>
  <c r="F2380" i="5"/>
  <c r="F2379" i="5"/>
  <c r="F2378" i="5"/>
  <c r="F2377" i="5"/>
  <c r="F2376" i="5"/>
  <c r="F2375" i="5"/>
  <c r="F2374" i="5"/>
  <c r="F2373" i="5"/>
  <c r="F2372" i="5"/>
  <c r="F2371" i="5"/>
  <c r="F2370" i="5"/>
  <c r="F2369" i="5"/>
  <c r="F2368" i="5"/>
  <c r="F2367" i="5"/>
  <c r="F2366" i="5"/>
  <c r="F2365" i="5"/>
  <c r="F2364" i="5"/>
  <c r="F2363" i="5"/>
  <c r="F2362" i="5"/>
  <c r="F2361" i="5"/>
  <c r="F2360" i="5"/>
  <c r="F2359" i="5"/>
  <c r="F2358" i="5"/>
  <c r="F2357" i="5"/>
  <c r="F2356" i="5"/>
  <c r="F2355" i="5"/>
  <c r="F2354" i="5"/>
  <c r="F2353" i="5"/>
  <c r="F2352" i="5"/>
  <c r="F2351" i="5"/>
  <c r="F2350" i="5"/>
  <c r="F2349" i="5"/>
  <c r="F2348" i="5"/>
  <c r="F2347" i="5"/>
  <c r="F2346" i="5"/>
  <c r="F2345" i="5"/>
  <c r="F2344" i="5"/>
  <c r="F2343" i="5"/>
  <c r="F2342" i="5"/>
  <c r="F2341" i="5"/>
  <c r="F2340" i="5"/>
  <c r="F2339" i="5"/>
  <c r="F2338" i="5"/>
  <c r="F2337" i="5"/>
  <c r="F2336" i="5"/>
  <c r="F2335" i="5"/>
  <c r="F2334" i="5"/>
  <c r="F2333" i="5"/>
  <c r="F2332" i="5"/>
  <c r="F2331" i="5"/>
  <c r="F2330" i="5"/>
  <c r="F2329" i="5"/>
  <c r="F2328" i="5"/>
  <c r="F2327" i="5"/>
  <c r="F2326" i="5"/>
  <c r="F2325" i="5"/>
  <c r="F2324" i="5"/>
  <c r="F2323" i="5"/>
  <c r="F2322" i="5"/>
  <c r="F2321" i="5"/>
  <c r="F2320" i="5"/>
  <c r="F2319" i="5"/>
  <c r="F2318" i="5"/>
  <c r="F2317" i="5"/>
  <c r="F2316" i="5"/>
  <c r="F2315" i="5"/>
  <c r="F2314" i="5"/>
  <c r="F2313" i="5"/>
  <c r="F2312" i="5"/>
  <c r="F2311" i="5"/>
  <c r="F2310" i="5"/>
  <c r="F2309" i="5"/>
  <c r="F2308" i="5"/>
  <c r="F2307" i="5"/>
  <c r="F2306" i="5"/>
  <c r="F2305" i="5"/>
  <c r="F2304" i="5"/>
  <c r="F2303" i="5"/>
  <c r="F2302" i="5"/>
  <c r="F2301" i="5"/>
  <c r="F2300" i="5"/>
  <c r="F2299" i="5"/>
  <c r="F2298" i="5"/>
  <c r="F2297" i="5"/>
  <c r="F2296" i="5"/>
  <c r="F2295" i="5"/>
  <c r="F2294" i="5"/>
  <c r="F2293" i="5"/>
  <c r="F2292" i="5"/>
  <c r="F2291" i="5"/>
  <c r="F2290" i="5"/>
  <c r="F2289" i="5"/>
  <c r="F2288" i="5"/>
  <c r="F2287" i="5"/>
  <c r="F2285" i="5"/>
  <c r="F2284" i="5"/>
  <c r="F2283" i="5"/>
  <c r="F2282" i="5"/>
  <c r="F2281" i="5"/>
  <c r="F2280" i="5"/>
  <c r="F2279" i="5"/>
  <c r="F2278" i="5"/>
  <c r="F2277" i="5"/>
  <c r="F2276" i="5"/>
  <c r="F2275" i="5"/>
  <c r="F2274" i="5"/>
  <c r="F2273" i="5"/>
  <c r="F2272" i="5"/>
  <c r="F2271" i="5"/>
  <c r="F2270" i="5"/>
  <c r="F2269" i="5"/>
  <c r="F2268" i="5"/>
  <c r="F2267" i="5"/>
  <c r="F2266" i="5"/>
  <c r="F2265" i="5"/>
  <c r="F2264" i="5"/>
  <c r="F2263" i="5"/>
  <c r="F2262" i="5"/>
  <c r="F2261" i="5"/>
  <c r="F2260" i="5"/>
  <c r="F2259" i="5"/>
  <c r="F2258" i="5"/>
  <c r="F2257" i="5"/>
  <c r="F2256" i="5"/>
  <c r="F2255" i="5"/>
  <c r="F2254" i="5"/>
  <c r="F2253" i="5"/>
  <c r="F2252" i="5"/>
  <c r="F2251" i="5"/>
  <c r="F2250" i="5"/>
  <c r="F2249" i="5"/>
  <c r="F2248" i="5"/>
  <c r="F2247" i="5"/>
  <c r="F2246" i="5"/>
  <c r="F2245" i="5"/>
  <c r="F2244" i="5"/>
  <c r="F2243" i="5"/>
  <c r="F2242" i="5"/>
  <c r="F2241" i="5"/>
  <c r="F2240" i="5"/>
  <c r="F2239" i="5"/>
  <c r="F2238" i="5"/>
  <c r="F2237" i="5"/>
  <c r="F2236" i="5"/>
  <c r="F2235" i="5"/>
  <c r="F2234" i="5"/>
  <c r="F2233" i="5"/>
  <c r="F2232" i="5"/>
  <c r="F2231" i="5"/>
  <c r="F2230" i="5"/>
  <c r="F2229" i="5"/>
  <c r="F2228" i="5"/>
  <c r="F2227" i="5"/>
  <c r="F2226" i="5"/>
  <c r="F2225" i="5"/>
  <c r="F2224" i="5"/>
  <c r="F2223" i="5"/>
  <c r="F2222" i="5"/>
  <c r="F2221" i="5"/>
  <c r="F2220" i="5"/>
  <c r="F2219" i="5"/>
  <c r="F2218" i="5"/>
  <c r="F2217" i="5"/>
  <c r="F2216" i="5"/>
  <c r="F2215" i="5"/>
  <c r="F2214" i="5"/>
  <c r="F2213" i="5"/>
  <c r="F2212" i="5"/>
  <c r="F2211" i="5"/>
  <c r="F2210" i="5"/>
  <c r="F2209" i="5"/>
  <c r="F2208" i="5"/>
  <c r="F2207" i="5"/>
  <c r="F2206" i="5"/>
  <c r="F2205" i="5"/>
  <c r="F2204" i="5"/>
  <c r="F2203" i="5"/>
  <c r="F2202" i="5"/>
  <c r="F2201" i="5"/>
  <c r="F2200" i="5"/>
  <c r="F2199" i="5"/>
  <c r="F2198" i="5"/>
  <c r="F2197" i="5"/>
  <c r="F2196" i="5"/>
  <c r="F2195" i="5"/>
  <c r="F2194" i="5"/>
  <c r="F2193" i="5"/>
  <c r="F2192" i="5"/>
  <c r="F2191" i="5"/>
  <c r="F2190" i="5"/>
  <c r="F2189" i="5"/>
  <c r="F2188" i="5"/>
  <c r="F2187" i="5"/>
  <c r="F2186" i="5"/>
  <c r="F2185" i="5"/>
  <c r="F2184" i="5"/>
  <c r="F2183" i="5"/>
  <c r="F2182" i="5"/>
  <c r="F2181" i="5"/>
  <c r="F2180" i="5"/>
  <c r="F2179" i="5"/>
  <c r="F2178" i="5"/>
  <c r="F2177" i="5"/>
  <c r="F2176" i="5"/>
  <c r="F2175" i="5"/>
  <c r="F2174" i="5"/>
  <c r="F2173" i="5"/>
  <c r="F2172" i="5"/>
  <c r="F2171" i="5"/>
  <c r="F2170" i="5"/>
  <c r="F2169" i="5"/>
  <c r="F2168" i="5"/>
  <c r="F2167" i="5"/>
  <c r="F2166" i="5"/>
  <c r="F2165" i="5"/>
  <c r="F2164" i="5"/>
  <c r="F2163" i="5"/>
  <c r="F2162" i="5"/>
  <c r="F2161" i="5"/>
  <c r="F2160" i="5"/>
  <c r="F2159" i="5"/>
  <c r="F2158" i="5"/>
  <c r="F2157" i="5"/>
  <c r="F2156" i="5"/>
  <c r="F2155" i="5"/>
  <c r="F2154" i="5"/>
  <c r="F2153" i="5"/>
  <c r="F2152" i="5"/>
  <c r="F2151" i="5"/>
  <c r="F2150" i="5"/>
  <c r="F2149" i="5"/>
  <c r="F2148" i="5"/>
  <c r="F2147" i="5"/>
  <c r="F2146" i="5"/>
  <c r="F2145" i="5"/>
  <c r="F2144" i="5"/>
  <c r="F2143" i="5"/>
  <c r="F2142" i="5"/>
  <c r="F2141" i="5"/>
  <c r="F2140" i="5"/>
  <c r="F2139" i="5"/>
  <c r="F2138" i="5"/>
  <c r="F2137" i="5"/>
  <c r="F2136" i="5"/>
  <c r="F2135" i="5"/>
  <c r="F2134" i="5"/>
  <c r="F2133" i="5"/>
  <c r="F2132" i="5"/>
  <c r="F2131" i="5"/>
  <c r="F2130" i="5"/>
  <c r="F2129" i="5"/>
  <c r="F2128" i="5"/>
  <c r="F2127" i="5"/>
  <c r="F2126" i="5"/>
  <c r="F2125" i="5"/>
  <c r="F2124" i="5"/>
  <c r="F2123" i="5"/>
  <c r="F2122" i="5"/>
  <c r="F2121" i="5"/>
  <c r="F2120" i="5"/>
  <c r="F2119" i="5"/>
  <c r="F2118" i="5"/>
  <c r="F2117" i="5"/>
  <c r="F2116" i="5"/>
  <c r="F2115" i="5"/>
  <c r="F2114" i="5"/>
  <c r="F2113" i="5"/>
  <c r="F2112" i="5"/>
  <c r="F2111" i="5"/>
  <c r="F2110" i="5"/>
  <c r="F2109" i="5"/>
  <c r="F2108" i="5"/>
  <c r="F2107" i="5"/>
  <c r="F2106" i="5"/>
  <c r="F2105" i="5"/>
  <c r="F2104" i="5"/>
  <c r="F2103" i="5"/>
  <c r="F2102" i="5"/>
  <c r="F2101" i="5"/>
  <c r="F2100" i="5"/>
  <c r="F2099" i="5"/>
  <c r="F2098" i="5"/>
  <c r="F2097" i="5"/>
  <c r="F2096" i="5"/>
  <c r="F2095" i="5"/>
  <c r="F2094" i="5"/>
  <c r="F2093" i="5"/>
  <c r="F2092" i="5"/>
  <c r="F2091" i="5"/>
  <c r="F2090" i="5"/>
  <c r="F2089" i="5"/>
  <c r="F2088" i="5"/>
  <c r="F2087" i="5"/>
  <c r="F2086" i="5"/>
  <c r="F2085" i="5"/>
  <c r="F2084" i="5"/>
  <c r="F2083" i="5"/>
  <c r="F2082" i="5"/>
  <c r="F2081" i="5"/>
  <c r="F2080" i="5"/>
  <c r="F2079" i="5"/>
  <c r="F2078" i="5"/>
  <c r="F2077" i="5"/>
  <c r="F2076" i="5"/>
  <c r="F2075" i="5"/>
  <c r="F2074" i="5"/>
  <c r="F2073" i="5"/>
  <c r="F2072" i="5"/>
  <c r="F2071" i="5"/>
  <c r="F2070" i="5"/>
  <c r="F2069" i="5"/>
  <c r="F2068" i="5"/>
  <c r="F2067" i="5"/>
  <c r="F2066" i="5"/>
  <c r="F2065" i="5"/>
  <c r="F2064" i="5"/>
  <c r="F2063" i="5"/>
  <c r="F2062" i="5"/>
  <c r="F2061" i="5"/>
  <c r="F2060" i="5"/>
  <c r="F2059" i="5"/>
  <c r="F2058" i="5"/>
  <c r="F2057" i="5"/>
  <c r="F2056" i="5"/>
  <c r="F2055" i="5"/>
  <c r="F2054" i="5"/>
  <c r="F2053" i="5"/>
  <c r="F2052" i="5"/>
  <c r="F2051" i="5"/>
  <c r="F2050" i="5"/>
  <c r="F2049" i="5"/>
  <c r="F2048" i="5"/>
  <c r="F2047" i="5"/>
  <c r="F2046" i="5"/>
  <c r="F2045" i="5"/>
  <c r="F2044" i="5"/>
  <c r="F2043" i="5"/>
  <c r="F2042" i="5"/>
  <c r="F2041" i="5"/>
  <c r="F2040" i="5"/>
  <c r="F2039" i="5"/>
  <c r="F2038" i="5"/>
  <c r="F2037" i="5"/>
  <c r="F2036" i="5"/>
  <c r="F2035" i="5"/>
  <c r="F2034" i="5"/>
  <c r="F2033" i="5"/>
  <c r="F2032" i="5"/>
  <c r="F2031" i="5"/>
  <c r="F2030" i="5"/>
  <c r="F2029" i="5"/>
  <c r="F2028" i="5"/>
  <c r="F2027" i="5"/>
  <c r="F2026" i="5"/>
  <c r="F2025" i="5"/>
  <c r="F2024" i="5"/>
  <c r="F2023" i="5"/>
  <c r="F2022" i="5"/>
  <c r="F2021" i="5"/>
  <c r="F2020" i="5"/>
  <c r="F2019" i="5"/>
  <c r="F2018" i="5"/>
  <c r="F2017" i="5"/>
  <c r="F2016" i="5"/>
  <c r="F2015" i="5"/>
  <c r="F2014" i="5"/>
  <c r="F2013" i="5"/>
  <c r="F2012" i="5"/>
  <c r="F2011" i="5"/>
  <c r="F2010" i="5"/>
  <c r="F2009" i="5"/>
  <c r="F2008" i="5"/>
  <c r="F2007" i="5"/>
  <c r="F2006" i="5"/>
  <c r="F2005" i="5"/>
  <c r="F2004" i="5"/>
  <c r="F2003" i="5"/>
  <c r="F2002" i="5"/>
  <c r="F2001" i="5"/>
  <c r="F2000" i="5"/>
  <c r="F1999" i="5"/>
  <c r="F1998" i="5"/>
  <c r="F1997" i="5"/>
  <c r="F1996" i="5"/>
  <c r="F1995" i="5"/>
  <c r="F1994" i="5"/>
  <c r="F1993" i="5"/>
  <c r="F1992" i="5"/>
  <c r="F1991" i="5"/>
  <c r="F1990" i="5"/>
  <c r="F1989" i="5"/>
  <c r="F1988" i="5"/>
  <c r="F1987" i="5"/>
  <c r="F1986" i="5"/>
  <c r="F1985" i="5"/>
  <c r="F1984" i="5"/>
  <c r="F1983" i="5"/>
  <c r="F1982" i="5"/>
  <c r="F1981" i="5"/>
  <c r="F1980" i="5"/>
  <c r="F1979" i="5"/>
  <c r="F1978" i="5"/>
  <c r="F1977" i="5"/>
  <c r="F1976" i="5"/>
  <c r="F1975" i="5"/>
  <c r="F1974" i="5"/>
  <c r="F1973" i="5"/>
  <c r="F1972" i="5"/>
  <c r="F1971" i="5"/>
  <c r="F1970" i="5"/>
  <c r="F1969" i="5"/>
  <c r="F1968" i="5"/>
  <c r="F1967" i="5"/>
  <c r="F1966" i="5"/>
  <c r="F1965" i="5"/>
  <c r="F1964" i="5"/>
  <c r="F1963" i="5"/>
  <c r="F1962" i="5"/>
  <c r="F1961" i="5"/>
  <c r="F1960" i="5"/>
  <c r="F1959" i="5"/>
  <c r="F1958" i="5"/>
  <c r="F1957" i="5"/>
  <c r="F1956" i="5"/>
  <c r="F1955" i="5"/>
  <c r="F1954" i="5"/>
  <c r="F1953" i="5"/>
  <c r="F1952" i="5"/>
  <c r="F1951" i="5"/>
  <c r="F1950" i="5"/>
  <c r="F1949" i="5"/>
  <c r="F1948" i="5"/>
  <c r="F1947" i="5"/>
  <c r="F1946" i="5"/>
  <c r="F1945" i="5"/>
  <c r="F1944" i="5"/>
  <c r="F1943" i="5"/>
  <c r="F1942" i="5"/>
  <c r="F1941" i="5"/>
  <c r="F1940" i="5"/>
  <c r="F1939" i="5"/>
  <c r="F1938" i="5"/>
  <c r="F1937" i="5"/>
  <c r="F1936" i="5"/>
  <c r="F1935" i="5"/>
  <c r="F1934" i="5"/>
  <c r="F1933" i="5"/>
  <c r="F1932" i="5"/>
  <c r="F1931" i="5"/>
  <c r="F1930" i="5"/>
  <c r="F1929" i="5"/>
  <c r="F1928" i="5"/>
  <c r="F1927" i="5"/>
  <c r="F1926" i="5"/>
  <c r="F1925" i="5"/>
  <c r="F1924" i="5"/>
  <c r="F1923" i="5"/>
  <c r="F1922" i="5"/>
  <c r="F1921" i="5"/>
  <c r="F1920" i="5"/>
  <c r="F1919" i="5"/>
  <c r="F1918" i="5"/>
  <c r="F1917" i="5"/>
  <c r="F1916" i="5"/>
  <c r="F1915" i="5"/>
  <c r="F1914" i="5"/>
  <c r="F1913" i="5"/>
  <c r="F1912" i="5"/>
  <c r="F1911" i="5"/>
  <c r="F1910" i="5"/>
  <c r="F1736" i="5"/>
  <c r="F1565" i="5"/>
  <c r="F1559" i="5"/>
  <c r="F1558" i="5"/>
  <c r="F1557" i="5"/>
  <c r="F1556" i="5"/>
  <c r="F1554" i="5"/>
  <c r="F1553" i="5"/>
  <c r="F1552" i="5"/>
  <c r="F1551" i="5"/>
  <c r="F15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0" i="5"/>
  <c r="F1001" i="5"/>
  <c r="F996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B8" i="7"/>
  <c r="B4" i="7"/>
  <c r="B3" i="7"/>
  <c r="B2" i="7"/>
  <c r="I5083" i="1"/>
  <c r="I5082" i="1"/>
  <c r="I5073" i="1"/>
  <c r="I5072" i="1"/>
  <c r="I5063" i="1"/>
  <c r="I5062" i="1"/>
  <c r="I5053" i="1"/>
  <c r="I5052" i="1"/>
  <c r="I5043" i="1"/>
  <c r="I5042" i="1"/>
  <c r="I5033" i="1"/>
  <c r="I5032" i="1"/>
  <c r="I5030" i="1"/>
  <c r="I5029" i="1"/>
  <c r="I5028" i="1"/>
  <c r="I5027" i="1"/>
  <c r="I5026" i="1"/>
  <c r="I5025" i="1"/>
  <c r="I5024" i="1"/>
  <c r="I5023" i="1"/>
  <c r="I5022" i="1"/>
  <c r="I5021" i="1"/>
  <c r="I5020" i="1"/>
  <c r="I5013" i="1"/>
  <c r="I5012" i="1"/>
  <c r="I5003" i="1"/>
  <c r="I5002" i="1"/>
  <c r="I4993" i="1"/>
  <c r="I4992" i="1"/>
  <c r="I4983" i="1"/>
  <c r="I4982" i="1"/>
  <c r="I4973" i="1"/>
  <c r="I4972" i="1"/>
  <c r="I4963" i="1"/>
  <c r="I4962" i="1"/>
  <c r="I4953" i="1"/>
  <c r="I4952" i="1"/>
  <c r="I4943" i="1"/>
  <c r="I4942" i="1"/>
  <c r="D4" i="7" l="1"/>
  <c r="D3" i="7"/>
  <c r="D2" i="7"/>
  <c r="B5" i="7"/>
  <c r="D5" i="7" s="1"/>
  <c r="D8" i="7"/>
  <c r="B9" i="7"/>
  <c r="D9" i="7" s="1"/>
  <c r="D12" i="7" l="1"/>
  <c r="AM4749" i="1" l="1"/>
  <c r="AM4748" i="1"/>
  <c r="AM4747" i="1"/>
  <c r="AM4746" i="1"/>
  <c r="AM4745" i="1"/>
  <c r="AM4744" i="1"/>
  <c r="AM4743" i="1"/>
  <c r="AM4742" i="1"/>
  <c r="AM4741" i="1"/>
  <c r="AM4740" i="1"/>
  <c r="AM4739" i="1"/>
  <c r="AM4738" i="1"/>
  <c r="AM4737" i="1"/>
  <c r="AM4736" i="1"/>
  <c r="AM4735" i="1"/>
  <c r="AM4734" i="1"/>
  <c r="AM4733" i="1"/>
  <c r="AM4732" i="1"/>
  <c r="AM4731" i="1"/>
  <c r="AM4730" i="1"/>
  <c r="AM4729" i="1"/>
  <c r="AM4728" i="1"/>
  <c r="AM4727" i="1"/>
  <c r="AM4726" i="1"/>
  <c r="AM4725" i="1"/>
  <c r="AM4724" i="1"/>
  <c r="AM4723" i="1"/>
  <c r="AM4722" i="1"/>
  <c r="AM4721" i="1"/>
  <c r="AM4720" i="1"/>
  <c r="AM4719" i="1"/>
  <c r="AM4718" i="1"/>
  <c r="AM4717" i="1"/>
  <c r="AM4716" i="1"/>
  <c r="AM4715" i="1"/>
  <c r="AM4714" i="1"/>
  <c r="AM4713" i="1"/>
  <c r="AM4712" i="1"/>
  <c r="AM4711" i="1"/>
  <c r="AM4710" i="1"/>
  <c r="AM4709" i="1"/>
  <c r="AM4708" i="1"/>
  <c r="AM4707" i="1"/>
  <c r="AM4706" i="1"/>
  <c r="AM4705" i="1"/>
  <c r="AM4704" i="1"/>
  <c r="AM4703" i="1"/>
  <c r="AM4702" i="1"/>
  <c r="AM4701" i="1"/>
  <c r="AM4700" i="1"/>
  <c r="AM4699" i="1"/>
  <c r="AM4698" i="1"/>
  <c r="AM4697" i="1"/>
  <c r="AM4696" i="1"/>
  <c r="AM4695" i="1"/>
  <c r="AM4694" i="1"/>
  <c r="AM4693" i="1"/>
  <c r="AM4692" i="1"/>
  <c r="AM4691" i="1"/>
  <c r="AM4690" i="1"/>
  <c r="AM4689" i="1"/>
  <c r="AM4688" i="1"/>
  <c r="AM4687" i="1"/>
  <c r="AM4686" i="1"/>
  <c r="AM4685" i="1"/>
  <c r="AM4684" i="1"/>
  <c r="AM4683" i="1"/>
  <c r="AM4682" i="1"/>
  <c r="AM4681" i="1"/>
  <c r="AM4680" i="1"/>
  <c r="AM4679" i="1"/>
  <c r="AM4678" i="1"/>
  <c r="AM4677" i="1"/>
  <c r="AM4676" i="1"/>
  <c r="AM4675" i="1"/>
  <c r="AM4674" i="1"/>
  <c r="AM4673" i="1"/>
  <c r="AM4672" i="1"/>
  <c r="AM4671" i="1"/>
  <c r="AM4670" i="1"/>
  <c r="AM4669" i="1"/>
  <c r="AM4668" i="1"/>
  <c r="AM4667" i="1"/>
  <c r="AM4666" i="1"/>
  <c r="AM4665" i="1"/>
  <c r="AM4664" i="1"/>
  <c r="AM4663" i="1"/>
  <c r="AM4662" i="1"/>
  <c r="AM4661" i="1"/>
  <c r="AM4660" i="1"/>
  <c r="AM4659" i="1"/>
  <c r="AM4658" i="1"/>
  <c r="AM4655" i="1"/>
  <c r="AM4654" i="1"/>
  <c r="AM4653" i="1"/>
  <c r="AM4652" i="1"/>
  <c r="AM4651" i="1"/>
  <c r="AM4650" i="1"/>
  <c r="AM4649" i="1"/>
  <c r="AM4648" i="1"/>
  <c r="AM4647" i="1"/>
  <c r="AM4646" i="1"/>
  <c r="AM4645" i="1"/>
  <c r="AM4644" i="1"/>
  <c r="AM4643" i="1"/>
  <c r="AM4642" i="1"/>
  <c r="AM4641" i="1"/>
  <c r="AM4640" i="1"/>
  <c r="AM4639" i="1"/>
  <c r="AM4638" i="1"/>
  <c r="AM4637" i="1"/>
  <c r="AM4636" i="1"/>
  <c r="AM4635" i="1"/>
  <c r="AM4634" i="1"/>
  <c r="AM4633" i="1"/>
  <c r="AM4632" i="1"/>
  <c r="AM4631" i="1"/>
  <c r="AM4630" i="1"/>
  <c r="AM4629" i="1"/>
  <c r="AM4628" i="1"/>
  <c r="AM4627" i="1"/>
  <c r="AM4626" i="1"/>
  <c r="AM4625" i="1"/>
  <c r="AM4624" i="1"/>
  <c r="AM4623" i="1"/>
  <c r="AM4622" i="1"/>
  <c r="AM4621" i="1"/>
  <c r="AM4620" i="1"/>
  <c r="AM4619" i="1"/>
  <c r="AM4618" i="1"/>
  <c r="AM4617" i="1"/>
  <c r="AM4616" i="1"/>
  <c r="AM4615" i="1"/>
  <c r="AM4614" i="1"/>
  <c r="AM4613" i="1"/>
  <c r="AM4612" i="1"/>
  <c r="AM4611" i="1"/>
  <c r="AM4610" i="1"/>
  <c r="AM4609" i="1"/>
  <c r="AM4608" i="1"/>
  <c r="AM4607" i="1"/>
  <c r="AM4606" i="1"/>
  <c r="AM4605" i="1"/>
  <c r="AM4604" i="1"/>
  <c r="AM4603" i="1"/>
  <c r="AM4602" i="1"/>
  <c r="AM4601" i="1"/>
  <c r="AM4600" i="1"/>
  <c r="AM4599" i="1"/>
  <c r="AM4598" i="1"/>
  <c r="AM4597" i="1"/>
  <c r="AM4596" i="1"/>
  <c r="AM4595" i="1"/>
  <c r="AM4594" i="1"/>
  <c r="AM4593" i="1"/>
  <c r="AM4592" i="1"/>
  <c r="AM4591" i="1"/>
  <c r="AM4590" i="1"/>
  <c r="AM4589" i="1"/>
  <c r="AM4588" i="1"/>
  <c r="AM4587" i="1"/>
  <c r="AM4586" i="1"/>
  <c r="AM4585" i="1"/>
  <c r="AM4584" i="1"/>
  <c r="AM4583" i="1"/>
  <c r="AM4582" i="1"/>
  <c r="AM4581" i="1"/>
  <c r="AM4580" i="1"/>
  <c r="AM4579" i="1"/>
  <c r="AM4578" i="1"/>
  <c r="AM4577" i="1"/>
  <c r="AM4576" i="1"/>
  <c r="AM4575" i="1"/>
  <c r="AM4574" i="1"/>
  <c r="AM4573" i="1"/>
  <c r="AM4572" i="1"/>
  <c r="AM4571" i="1"/>
  <c r="AM4570" i="1"/>
  <c r="AM4569" i="1"/>
  <c r="AM4568" i="1"/>
  <c r="AM4567" i="1"/>
  <c r="AM4566" i="1"/>
  <c r="AM4565" i="1"/>
  <c r="AM4564" i="1"/>
  <c r="AM4563" i="1"/>
  <c r="AM4562" i="1"/>
  <c r="AM4561" i="1"/>
  <c r="AM4560" i="1"/>
  <c r="AM4559" i="1"/>
  <c r="AM4558" i="1"/>
  <c r="AM4557" i="1"/>
  <c r="AM4556" i="1"/>
  <c r="AM4555" i="1"/>
  <c r="AM4554" i="1"/>
  <c r="AM4553" i="1"/>
  <c r="AM4552" i="1"/>
  <c r="AM4551" i="1"/>
  <c r="AM4550" i="1"/>
  <c r="AM4549" i="1"/>
  <c r="AM4548" i="1"/>
  <c r="AM4547" i="1"/>
  <c r="AM4546" i="1"/>
  <c r="AM4545" i="1"/>
  <c r="AM4544" i="1"/>
  <c r="AM4543" i="1"/>
  <c r="AM4542" i="1"/>
  <c r="AM4541" i="1"/>
  <c r="AM4540" i="1"/>
  <c r="AM4539" i="1"/>
  <c r="AM4538" i="1"/>
  <c r="AM4537" i="1"/>
  <c r="AM4536" i="1"/>
  <c r="AM4535" i="1"/>
  <c r="AM4534" i="1"/>
  <c r="AM4533" i="1"/>
  <c r="AM4532" i="1"/>
  <c r="AM4531" i="1"/>
  <c r="AM4530" i="1"/>
  <c r="AM4529" i="1"/>
  <c r="AM4528" i="1"/>
  <c r="AM4527" i="1"/>
  <c r="AM4526" i="1"/>
  <c r="AM4525" i="1"/>
  <c r="AM4524" i="1"/>
  <c r="AM4523" i="1"/>
  <c r="AM4522" i="1"/>
  <c r="AM4521" i="1"/>
  <c r="AM4520" i="1"/>
  <c r="AM4519" i="1"/>
  <c r="AM4518" i="1"/>
  <c r="AM4517" i="1"/>
  <c r="AM4516" i="1"/>
  <c r="AM4515" i="1"/>
  <c r="AM4514" i="1"/>
  <c r="AM4513" i="1"/>
  <c r="AM4512" i="1"/>
  <c r="AM4511" i="1"/>
  <c r="AM4510" i="1"/>
  <c r="AM4509" i="1"/>
  <c r="AM4508" i="1"/>
  <c r="AM4507" i="1"/>
  <c r="AM4506" i="1"/>
  <c r="AM4505" i="1"/>
  <c r="AM4504" i="1"/>
  <c r="AM4503" i="1"/>
  <c r="AM4502" i="1"/>
  <c r="AM4501" i="1"/>
  <c r="AM4500" i="1"/>
  <c r="AM4499" i="1"/>
  <c r="AM4498" i="1"/>
  <c r="AM4497" i="1"/>
  <c r="AM4496" i="1"/>
  <c r="AM4495" i="1"/>
  <c r="AM4494" i="1"/>
  <c r="AM4493" i="1"/>
  <c r="AM4492" i="1"/>
  <c r="AM4491" i="1"/>
  <c r="AM4490" i="1"/>
  <c r="AM4489" i="1"/>
  <c r="AM4488" i="1"/>
  <c r="AM4487" i="1"/>
  <c r="AM4486" i="1"/>
  <c r="AM4485" i="1"/>
  <c r="AM4484" i="1"/>
  <c r="AM4483" i="1"/>
  <c r="AM4482" i="1"/>
  <c r="AM4481" i="1"/>
  <c r="AM4480" i="1"/>
  <c r="AM4479" i="1"/>
  <c r="AM4478" i="1"/>
  <c r="AM4477" i="1"/>
  <c r="AM4476" i="1"/>
  <c r="AM4475" i="1"/>
  <c r="AM4474" i="1"/>
  <c r="AM4473" i="1"/>
  <c r="AM4472" i="1"/>
  <c r="AM4471" i="1"/>
  <c r="AM4470" i="1"/>
  <c r="AM4469" i="1"/>
  <c r="AM4468" i="1"/>
  <c r="AM4467" i="1"/>
  <c r="AM4466" i="1"/>
  <c r="AM4465" i="1"/>
  <c r="AM4464" i="1"/>
  <c r="AM4463" i="1"/>
  <c r="AM4462" i="1"/>
  <c r="AM4461" i="1"/>
  <c r="AM4460" i="1"/>
  <c r="AM4459" i="1"/>
  <c r="AM4458" i="1"/>
  <c r="AM4457" i="1"/>
  <c r="AM4456" i="1"/>
  <c r="AM4455" i="1"/>
  <c r="AM4454" i="1"/>
  <c r="AM4453" i="1"/>
  <c r="AM4452" i="1"/>
  <c r="AM4451" i="1"/>
  <c r="AM4450" i="1"/>
  <c r="AM4449" i="1"/>
  <c r="AM4448" i="1"/>
  <c r="AM4447" i="1"/>
  <c r="AM4446" i="1"/>
  <c r="AM4445" i="1"/>
  <c r="AM4444" i="1"/>
  <c r="AM4443" i="1"/>
  <c r="AM4442" i="1"/>
  <c r="AM4441" i="1"/>
  <c r="AM4440" i="1"/>
  <c r="AM4439" i="1"/>
  <c r="AM4438" i="1"/>
  <c r="AM4437" i="1"/>
  <c r="AM4436" i="1"/>
  <c r="AM4435" i="1"/>
  <c r="AM4434" i="1"/>
  <c r="AM4433" i="1"/>
  <c r="AM4432" i="1"/>
  <c r="AM4431" i="1"/>
  <c r="AM4430" i="1"/>
  <c r="AM4429" i="1"/>
  <c r="AM4428" i="1"/>
  <c r="AM4427" i="1"/>
  <c r="AM4426" i="1"/>
  <c r="AM4425" i="1"/>
  <c r="AM4424" i="1"/>
  <c r="AM4423" i="1"/>
  <c r="AM4422" i="1"/>
  <c r="AM4421" i="1"/>
  <c r="AM4420" i="1"/>
  <c r="AM4419" i="1"/>
  <c r="AM4418" i="1"/>
  <c r="AM4417" i="1"/>
  <c r="AM4416" i="1"/>
  <c r="AM4415" i="1"/>
  <c r="AM4414" i="1"/>
  <c r="AM4413" i="1"/>
  <c r="AM4412" i="1"/>
  <c r="AM4410" i="1"/>
  <c r="AM4409" i="1"/>
  <c r="AM4408" i="1"/>
  <c r="AM4257" i="1"/>
  <c r="AM4256" i="1"/>
  <c r="AM4255" i="1"/>
  <c r="AM4254" i="1"/>
  <c r="AM4253" i="1"/>
  <c r="AM4252" i="1"/>
  <c r="AM4251" i="1"/>
  <c r="AM4250" i="1"/>
  <c r="AM4249" i="1"/>
  <c r="AM4248" i="1"/>
  <c r="AM4247" i="1"/>
  <c r="AM4246" i="1"/>
  <c r="AM4245" i="1"/>
  <c r="AM4244" i="1"/>
  <c r="AM4243" i="1"/>
  <c r="AM4242" i="1"/>
  <c r="AM4241" i="1"/>
  <c r="AM4240" i="1"/>
  <c r="AM4239" i="1"/>
  <c r="AM4238" i="1"/>
  <c r="AM4237" i="1"/>
  <c r="AM4236" i="1"/>
  <c r="AM4235" i="1"/>
  <c r="AM4234" i="1"/>
  <c r="AM4233" i="1"/>
  <c r="AM4232" i="1"/>
  <c r="AM4231" i="1"/>
  <c r="AM4230" i="1"/>
  <c r="AM4229" i="1"/>
  <c r="AM4228" i="1"/>
  <c r="AM4227" i="1"/>
  <c r="AM4226" i="1"/>
  <c r="AM4225" i="1"/>
  <c r="AM4224" i="1"/>
  <c r="AM4223" i="1"/>
  <c r="AM4222" i="1"/>
  <c r="AM4221" i="1"/>
  <c r="AM4220" i="1"/>
  <c r="AM4219" i="1"/>
  <c r="AM4218" i="1"/>
  <c r="AM4217" i="1"/>
  <c r="AM4216" i="1"/>
  <c r="AM4215" i="1"/>
  <c r="AM4214" i="1"/>
  <c r="AM4213" i="1"/>
  <c r="AM4212" i="1"/>
  <c r="AM4211" i="1"/>
  <c r="AM4210" i="1"/>
  <c r="AM4209" i="1"/>
  <c r="AM4208" i="1"/>
  <c r="AM4207" i="1"/>
  <c r="AM4206" i="1"/>
  <c r="AM4205" i="1"/>
  <c r="AM4204" i="1"/>
  <c r="AM4203" i="1"/>
  <c r="AM4202" i="1"/>
  <c r="AM4201" i="1"/>
  <c r="AM4200" i="1"/>
  <c r="AM4199" i="1"/>
  <c r="AM4198" i="1"/>
  <c r="AM4197" i="1"/>
  <c r="AM4196" i="1"/>
  <c r="AM4195" i="1"/>
  <c r="AM4194" i="1"/>
  <c r="AM4193" i="1"/>
  <c r="AM4192" i="1"/>
  <c r="AM4191" i="1"/>
  <c r="AM4190" i="1"/>
  <c r="AM4189" i="1"/>
  <c r="AM4188" i="1"/>
  <c r="AM4187" i="1"/>
  <c r="AM4186" i="1"/>
  <c r="AM4185" i="1"/>
  <c r="AM4184" i="1"/>
  <c r="AM4183" i="1"/>
  <c r="AM4178" i="1"/>
  <c r="AM4176" i="1"/>
  <c r="AM4175" i="1"/>
  <c r="AM4174" i="1"/>
  <c r="AM4173" i="1"/>
  <c r="AM4172" i="1"/>
  <c r="AM4171" i="1"/>
  <c r="AM4170" i="1"/>
  <c r="AM4169" i="1"/>
  <c r="AM4168" i="1"/>
  <c r="AM4167" i="1"/>
  <c r="AM4166" i="1"/>
  <c r="AM4165" i="1"/>
  <c r="AM4164" i="1"/>
  <c r="AM4163" i="1"/>
  <c r="AM4162" i="1"/>
  <c r="AM4161" i="1"/>
  <c r="AM4160" i="1"/>
  <c r="AM4159" i="1"/>
  <c r="AM4158" i="1"/>
  <c r="AM4157" i="1"/>
  <c r="AM4156" i="1"/>
  <c r="AM4155" i="1"/>
  <c r="AM4154" i="1"/>
  <c r="AM4153" i="1"/>
  <c r="AM4152" i="1"/>
  <c r="AM4151" i="1"/>
  <c r="AM4150" i="1"/>
  <c r="AM4149" i="1"/>
  <c r="AM4148" i="1"/>
  <c r="AM4147" i="1"/>
  <c r="AM4146" i="1"/>
  <c r="AM4145" i="1"/>
  <c r="AM4144" i="1"/>
  <c r="AM4143" i="1"/>
  <c r="AM4142" i="1"/>
  <c r="AM4141" i="1"/>
  <c r="AM4140" i="1"/>
  <c r="AM4139" i="1"/>
  <c r="AM4138" i="1"/>
  <c r="AM4137" i="1"/>
  <c r="AM4136" i="1"/>
  <c r="AM4135" i="1"/>
  <c r="AM4134" i="1"/>
  <c r="AM4133" i="1"/>
  <c r="AM4132" i="1"/>
  <c r="AM4131" i="1"/>
  <c r="AM4130" i="1"/>
  <c r="AM4129" i="1"/>
  <c r="AM4128" i="1"/>
  <c r="AM4127" i="1"/>
  <c r="AM4126" i="1"/>
  <c r="AM4125" i="1"/>
  <c r="AM4124" i="1"/>
  <c r="AM4123" i="1"/>
  <c r="AM4122" i="1"/>
  <c r="AM4121" i="1"/>
  <c r="AM4120" i="1"/>
  <c r="AM4119" i="1"/>
  <c r="AM4118" i="1"/>
  <c r="AM4117" i="1"/>
  <c r="AM4116" i="1"/>
  <c r="AM4115" i="1"/>
  <c r="AM4114" i="1"/>
  <c r="AM4113" i="1"/>
  <c r="AM4112" i="1"/>
  <c r="AM4111" i="1"/>
  <c r="AM4110" i="1"/>
  <c r="AM4109" i="1"/>
  <c r="AM4108" i="1"/>
  <c r="AM4107" i="1"/>
  <c r="AM4106" i="1"/>
  <c r="AM4105" i="1"/>
  <c r="AM4104" i="1"/>
  <c r="AM4103" i="1"/>
  <c r="AM4102" i="1"/>
  <c r="AM4101" i="1"/>
  <c r="AM4100" i="1"/>
  <c r="AM4099" i="1"/>
  <c r="AM4098" i="1"/>
  <c r="AM4097" i="1"/>
  <c r="AM4096" i="1"/>
  <c r="AM4095" i="1"/>
  <c r="AM4094" i="1"/>
  <c r="AM4093" i="1"/>
  <c r="AM4092" i="1"/>
  <c r="AM4091" i="1"/>
  <c r="AM4090" i="1"/>
  <c r="AM4089" i="1"/>
  <c r="AM4088" i="1"/>
  <c r="AM4087" i="1"/>
  <c r="AM4086" i="1"/>
  <c r="AM4085" i="1"/>
  <c r="AM4084" i="1"/>
  <c r="AM4083" i="1"/>
  <c r="AM4082" i="1"/>
  <c r="AM4081" i="1"/>
  <c r="AM4080" i="1"/>
  <c r="AM4079" i="1"/>
  <c r="AM4078" i="1"/>
  <c r="AM4077" i="1"/>
  <c r="AM4076" i="1"/>
  <c r="AM4075" i="1"/>
  <c r="AM4074" i="1"/>
  <c r="AM4073" i="1"/>
  <c r="AM4072" i="1"/>
  <c r="AM4071" i="1"/>
  <c r="AM4070" i="1"/>
  <c r="AM4069" i="1"/>
  <c r="AM4068" i="1"/>
  <c r="AM4067" i="1"/>
  <c r="AM4066" i="1"/>
  <c r="AM4065" i="1"/>
  <c r="AM4064" i="1"/>
  <c r="AM4063" i="1"/>
  <c r="AM4062" i="1"/>
  <c r="AM4061" i="1"/>
  <c r="AM4060" i="1"/>
  <c r="AM4059" i="1"/>
  <c r="AM4058" i="1"/>
  <c r="AM4057" i="1"/>
  <c r="AM4056" i="1"/>
  <c r="AM4055" i="1"/>
  <c r="AM4054" i="1"/>
  <c r="AM4053" i="1"/>
  <c r="AM4052" i="1"/>
  <c r="AM4051" i="1"/>
  <c r="AM4050" i="1"/>
  <c r="AM4049" i="1"/>
  <c r="AM4048" i="1"/>
  <c r="AM4047" i="1"/>
  <c r="AM4046" i="1"/>
  <c r="AM4045" i="1"/>
  <c r="AM4044" i="1"/>
  <c r="AM4043" i="1"/>
  <c r="AM4042" i="1"/>
  <c r="AM4041" i="1"/>
  <c r="AM4040" i="1"/>
  <c r="AM4039" i="1"/>
  <c r="AM4038" i="1"/>
  <c r="AM4037" i="1"/>
  <c r="AM4036" i="1"/>
  <c r="AM4035" i="1"/>
  <c r="AM4034" i="1"/>
  <c r="AM4033" i="1"/>
  <c r="AM4032" i="1"/>
  <c r="AM4031" i="1"/>
  <c r="AM4030" i="1"/>
  <c r="AM4029" i="1"/>
  <c r="AM4028" i="1"/>
  <c r="AM4027" i="1"/>
  <c r="AM4026" i="1"/>
  <c r="AM4025" i="1"/>
  <c r="AM4024" i="1"/>
  <c r="AM4023" i="1"/>
  <c r="AM4022" i="1"/>
  <c r="AM4021" i="1"/>
  <c r="AM4020" i="1"/>
  <c r="AM4019" i="1"/>
  <c r="AM4018" i="1"/>
  <c r="AM4017" i="1"/>
  <c r="AM4016" i="1"/>
  <c r="AM4015" i="1"/>
  <c r="AM4014" i="1"/>
  <c r="AM4013" i="1"/>
  <c r="AM4012" i="1"/>
  <c r="AM4011" i="1"/>
  <c r="AM4010" i="1"/>
  <c r="AM4009" i="1"/>
  <c r="AM4008" i="1"/>
  <c r="AM4007" i="1"/>
  <c r="AM4006" i="1"/>
  <c r="AM4005" i="1"/>
  <c r="AM4004" i="1"/>
  <c r="AM4003" i="1"/>
  <c r="AM4002" i="1"/>
  <c r="AM4001" i="1"/>
  <c r="AM4000" i="1"/>
  <c r="AM3999" i="1"/>
  <c r="AM3998" i="1"/>
  <c r="AM3997" i="1"/>
  <c r="AM3996" i="1"/>
  <c r="AM3995" i="1"/>
  <c r="AM3994" i="1"/>
  <c r="AM3993" i="1"/>
  <c r="AM3992" i="1"/>
  <c r="AM3991" i="1"/>
  <c r="AM3990" i="1"/>
  <c r="AM3989" i="1"/>
  <c r="AM3988" i="1"/>
  <c r="AM3987" i="1"/>
  <c r="AM3986" i="1"/>
  <c r="AM3985" i="1"/>
  <c r="AM3984" i="1"/>
  <c r="AM3983" i="1"/>
  <c r="AM3982" i="1"/>
  <c r="AM3981" i="1"/>
  <c r="AM3980" i="1"/>
  <c r="AM3979" i="1"/>
  <c r="AM3978" i="1"/>
  <c r="AM3977" i="1"/>
  <c r="AM3976" i="1"/>
  <c r="AM3975" i="1"/>
  <c r="AM3974" i="1"/>
  <c r="AM3973" i="1"/>
  <c r="AM3972" i="1"/>
  <c r="AM3971" i="1"/>
  <c r="AM3970" i="1"/>
  <c r="AM3969" i="1"/>
  <c r="AM3968" i="1"/>
  <c r="AM3967" i="1"/>
  <c r="AM3966" i="1"/>
  <c r="AM3965" i="1"/>
  <c r="AM3964" i="1"/>
  <c r="AM3963" i="1"/>
  <c r="AM3962" i="1"/>
  <c r="AM3961" i="1"/>
  <c r="AM3960" i="1"/>
  <c r="AM3959" i="1"/>
  <c r="AM3958" i="1"/>
  <c r="AM3957" i="1"/>
  <c r="AM3956" i="1"/>
  <c r="AM3955" i="1"/>
  <c r="AM3954" i="1"/>
  <c r="AM3953" i="1"/>
  <c r="AM3952" i="1"/>
  <c r="AM3951" i="1"/>
  <c r="AM3950" i="1"/>
  <c r="AM3949" i="1"/>
  <c r="AM3948" i="1"/>
  <c r="AM3947" i="1"/>
  <c r="AM3946" i="1"/>
  <c r="AM3945" i="1"/>
  <c r="AM3944" i="1"/>
  <c r="AM3943" i="1"/>
  <c r="AM3942" i="1"/>
  <c r="AM3941" i="1"/>
  <c r="AM3940" i="1"/>
  <c r="AM3939" i="1"/>
  <c r="AM3938" i="1"/>
  <c r="AM3937" i="1"/>
  <c r="AM3936" i="1"/>
  <c r="AM3935" i="1"/>
  <c r="AM3934" i="1"/>
  <c r="AM3933" i="1"/>
  <c r="AM3932" i="1"/>
  <c r="AM3931" i="1"/>
  <c r="AM3930" i="1"/>
  <c r="AM3929" i="1"/>
  <c r="AM3928" i="1"/>
  <c r="AM3927" i="1"/>
  <c r="AM3926" i="1"/>
  <c r="AM3925" i="1"/>
  <c r="AM3924" i="1"/>
  <c r="AM3923" i="1"/>
  <c r="AM3922" i="1"/>
  <c r="AM3921" i="1"/>
  <c r="AM3920" i="1"/>
  <c r="AM3919" i="1"/>
  <c r="AM3918" i="1"/>
  <c r="AM3917" i="1"/>
  <c r="AM3916" i="1"/>
  <c r="AM3915" i="1"/>
  <c r="AM3914" i="1"/>
  <c r="AM3913" i="1"/>
  <c r="AM3912" i="1"/>
  <c r="AM3911" i="1"/>
  <c r="AM3910" i="1"/>
  <c r="AM3909" i="1"/>
  <c r="AM3908" i="1"/>
  <c r="AM3907" i="1"/>
  <c r="AM3906" i="1"/>
  <c r="AM3905" i="1"/>
  <c r="AM3904" i="1"/>
  <c r="AM3903" i="1"/>
  <c r="AM3902" i="1"/>
  <c r="AM3901" i="1"/>
  <c r="AM3900" i="1"/>
  <c r="AM3899" i="1"/>
  <c r="AM3898" i="1"/>
  <c r="AM3897" i="1"/>
  <c r="AM3896" i="1"/>
  <c r="AM3895" i="1"/>
  <c r="AM3894" i="1"/>
  <c r="AM3893" i="1"/>
  <c r="AM3892" i="1"/>
  <c r="AM3891" i="1"/>
  <c r="AM3890" i="1"/>
  <c r="AM3889" i="1"/>
  <c r="AM3888" i="1"/>
  <c r="AM3887" i="1"/>
  <c r="AM3886" i="1"/>
  <c r="AM3885" i="1"/>
  <c r="AM3884" i="1"/>
  <c r="AM3883" i="1"/>
  <c r="AM3882" i="1"/>
  <c r="AM3881" i="1"/>
  <c r="AM3880" i="1"/>
  <c r="AM3879" i="1"/>
  <c r="AM3878" i="1"/>
  <c r="AM3877" i="1"/>
  <c r="AM3876" i="1"/>
  <c r="AM3875" i="1"/>
  <c r="AM3874" i="1"/>
  <c r="AM3873" i="1"/>
  <c r="AM3872" i="1"/>
  <c r="AM3871" i="1"/>
  <c r="AM3870" i="1"/>
  <c r="AM3869" i="1"/>
  <c r="AM3868" i="1"/>
  <c r="AM3867" i="1"/>
  <c r="AM3866" i="1"/>
  <c r="AM3865" i="1"/>
  <c r="AM3864" i="1"/>
  <c r="AM3863" i="1"/>
  <c r="AM3862" i="1"/>
  <c r="AM3861" i="1"/>
  <c r="AM3860" i="1"/>
  <c r="AM3859" i="1"/>
  <c r="AM3858" i="1"/>
  <c r="AM3857" i="1"/>
  <c r="AM3856" i="1"/>
  <c r="AM3855" i="1"/>
  <c r="AM3854" i="1"/>
  <c r="AM3853" i="1"/>
  <c r="AM3852" i="1"/>
  <c r="AM3851" i="1"/>
  <c r="AM3850" i="1"/>
  <c r="AM3849" i="1"/>
  <c r="AM3848" i="1"/>
  <c r="AM3847" i="1"/>
  <c r="AM3846" i="1"/>
  <c r="AM3845" i="1"/>
  <c r="AM3844" i="1"/>
  <c r="AM3843" i="1"/>
  <c r="AM3842" i="1"/>
  <c r="AM3841" i="1"/>
  <c r="AM3840" i="1"/>
  <c r="AM3839" i="1"/>
  <c r="AM3838" i="1"/>
  <c r="AM3837" i="1"/>
  <c r="AM3836" i="1"/>
  <c r="AM3835" i="1"/>
  <c r="AM3834" i="1"/>
  <c r="AM3833" i="1"/>
  <c r="AM3832" i="1"/>
  <c r="AM3831" i="1"/>
  <c r="AM3830" i="1"/>
  <c r="AM3829" i="1"/>
  <c r="AM3828" i="1"/>
  <c r="AM3827" i="1"/>
  <c r="AM3826" i="1"/>
  <c r="AM3825" i="1"/>
  <c r="AM3824" i="1"/>
  <c r="AM3823" i="1"/>
  <c r="AM3822" i="1"/>
  <c r="AM3821" i="1"/>
  <c r="AM3820" i="1"/>
  <c r="AM3819" i="1"/>
  <c r="AM3818" i="1"/>
  <c r="AM3817" i="1"/>
  <c r="AM3618" i="1"/>
  <c r="AM3617" i="1"/>
  <c r="AM3616" i="1"/>
  <c r="AM3615" i="1"/>
  <c r="AM3614" i="1"/>
  <c r="AM3613" i="1"/>
  <c r="AM3612" i="1"/>
  <c r="AM3611" i="1"/>
  <c r="AM3610" i="1"/>
  <c r="AM3609" i="1"/>
  <c r="AM3608" i="1"/>
  <c r="AM3607" i="1"/>
  <c r="AM3606" i="1"/>
  <c r="AM3605" i="1"/>
  <c r="AM3604" i="1"/>
  <c r="AM3603" i="1"/>
  <c r="AM3602" i="1"/>
  <c r="AM3601" i="1"/>
  <c r="AM3600" i="1"/>
  <c r="AM3599" i="1"/>
  <c r="AM3598" i="1"/>
  <c r="AM3597" i="1"/>
  <c r="AM3596" i="1"/>
  <c r="AM3595" i="1"/>
  <c r="AM3594" i="1"/>
  <c r="AM3593" i="1"/>
  <c r="AM3592" i="1"/>
  <c r="AM3591" i="1"/>
  <c r="AM3590" i="1"/>
  <c r="AM3589" i="1"/>
  <c r="AM3588" i="1"/>
  <c r="AM3587" i="1"/>
  <c r="AM3586" i="1"/>
  <c r="AM3585" i="1"/>
  <c r="AM3584" i="1"/>
  <c r="AM3583" i="1"/>
  <c r="AM3582" i="1"/>
  <c r="AM3581" i="1"/>
  <c r="AM3580" i="1"/>
  <c r="AM3579" i="1"/>
  <c r="AM3578" i="1"/>
  <c r="AM3577" i="1"/>
  <c r="AM3576" i="1"/>
  <c r="AM3575" i="1"/>
  <c r="AM3574" i="1"/>
  <c r="AM3573" i="1"/>
  <c r="AM3572" i="1"/>
  <c r="AM3571" i="1"/>
  <c r="AM3570" i="1"/>
  <c r="AM3569" i="1"/>
  <c r="AM3568" i="1"/>
  <c r="AM3567" i="1"/>
  <c r="AM3566" i="1"/>
  <c r="AM3565" i="1"/>
  <c r="AM3564" i="1"/>
  <c r="AM3563" i="1"/>
  <c r="AM3562" i="1"/>
  <c r="AM3561" i="1"/>
  <c r="AM3560" i="1"/>
  <c r="AM3559" i="1"/>
  <c r="AM3558" i="1"/>
  <c r="AM3557" i="1"/>
  <c r="AM3556" i="1"/>
  <c r="AM3555" i="1"/>
  <c r="AM3554" i="1"/>
  <c r="AM3553" i="1"/>
  <c r="AM3552" i="1"/>
  <c r="AM3551" i="1"/>
  <c r="AM3550" i="1"/>
  <c r="AM3549" i="1"/>
  <c r="AM3548" i="1"/>
  <c r="AM3547" i="1"/>
  <c r="AM3546" i="1"/>
  <c r="AM3545" i="1"/>
  <c r="AM3544" i="1"/>
  <c r="AM3543" i="1"/>
  <c r="AM3542" i="1"/>
  <c r="AM3541" i="1"/>
  <c r="AM3540" i="1"/>
  <c r="AM3539" i="1"/>
  <c r="AM3538" i="1"/>
  <c r="AM3537" i="1"/>
  <c r="AM3536" i="1"/>
  <c r="AM3535" i="1"/>
  <c r="AM3534" i="1"/>
  <c r="AM3533" i="1"/>
  <c r="AM3532" i="1"/>
  <c r="AM3531" i="1"/>
  <c r="AM3530" i="1"/>
  <c r="AM3529" i="1"/>
  <c r="AM3528" i="1"/>
  <c r="AM3527" i="1"/>
  <c r="AM3526" i="1"/>
  <c r="AM3525" i="1"/>
  <c r="AM3524" i="1"/>
  <c r="AM3523" i="1"/>
  <c r="AM3522" i="1"/>
  <c r="AM3521" i="1"/>
  <c r="AM3520" i="1"/>
  <c r="AM3519" i="1"/>
  <c r="AM3518" i="1"/>
  <c r="AM3517" i="1"/>
  <c r="AM3516" i="1"/>
  <c r="AM3515" i="1"/>
  <c r="AM3514" i="1"/>
  <c r="AM3513" i="1"/>
  <c r="AM3512" i="1"/>
  <c r="AM3511" i="1"/>
  <c r="AM3510" i="1"/>
  <c r="AM3509" i="1"/>
  <c r="AM3508" i="1"/>
  <c r="AM3507" i="1"/>
  <c r="AM3506" i="1"/>
  <c r="AM3505" i="1"/>
  <c r="AM3504" i="1"/>
  <c r="AM3503" i="1"/>
  <c r="AM3502" i="1"/>
  <c r="AM3501" i="1"/>
  <c r="AM3500" i="1"/>
  <c r="AM3499" i="1"/>
  <c r="AM3498" i="1"/>
  <c r="AM3497" i="1"/>
  <c r="AM3496" i="1"/>
  <c r="AM3495" i="1"/>
  <c r="AM3494" i="1"/>
  <c r="AM3493" i="1"/>
  <c r="AM3492" i="1"/>
  <c r="AM3491" i="1"/>
  <c r="AM3490" i="1"/>
  <c r="AM3489" i="1"/>
  <c r="AM3488" i="1"/>
  <c r="AM3487" i="1"/>
  <c r="AM3486" i="1"/>
  <c r="AM3485" i="1"/>
  <c r="AM3484" i="1"/>
  <c r="AM3483" i="1"/>
  <c r="AM3482" i="1"/>
  <c r="AM3481" i="1"/>
  <c r="AM3480" i="1"/>
  <c r="AM3479" i="1"/>
  <c r="AM3478" i="1"/>
  <c r="AM3477" i="1"/>
  <c r="AM3476" i="1"/>
  <c r="AM3475" i="1"/>
  <c r="AM3474" i="1"/>
  <c r="AM3473" i="1"/>
  <c r="AM3472" i="1"/>
  <c r="AM3471" i="1"/>
  <c r="AM3470" i="1"/>
  <c r="AM3469" i="1"/>
  <c r="AM3468" i="1"/>
  <c r="AM3467" i="1"/>
  <c r="AM3466" i="1"/>
  <c r="AM3465" i="1"/>
  <c r="AM3464" i="1"/>
  <c r="AM3463" i="1"/>
  <c r="AM3462" i="1"/>
  <c r="AM3461" i="1"/>
  <c r="AM3460" i="1"/>
  <c r="AM3459" i="1"/>
  <c r="AM3458" i="1"/>
  <c r="AM3457" i="1"/>
  <c r="AM3456" i="1"/>
  <c r="AM3455" i="1"/>
  <c r="AM3454" i="1"/>
  <c r="AM3453" i="1"/>
  <c r="AM3452" i="1"/>
  <c r="AM3451" i="1"/>
  <c r="AM3450" i="1"/>
  <c r="AM3449" i="1"/>
  <c r="AM3448" i="1"/>
  <c r="AM3447" i="1"/>
  <c r="AM3446" i="1"/>
  <c r="AM3445" i="1"/>
  <c r="AM3444" i="1"/>
  <c r="AM3443" i="1"/>
  <c r="AM3442" i="1"/>
  <c r="AM3441" i="1"/>
  <c r="AM3440" i="1"/>
  <c r="AM3439" i="1"/>
  <c r="AM3438" i="1"/>
  <c r="AM3437" i="1"/>
  <c r="AM3436" i="1"/>
  <c r="AM3435" i="1"/>
  <c r="AM3434" i="1"/>
  <c r="AM3433" i="1"/>
  <c r="AM3432" i="1"/>
  <c r="AM3431" i="1"/>
  <c r="AM3430" i="1"/>
  <c r="AM3429" i="1"/>
  <c r="AM3428" i="1"/>
  <c r="AM3427" i="1"/>
  <c r="AM3426" i="1"/>
  <c r="AM3425" i="1"/>
  <c r="AM3424" i="1"/>
  <c r="AM3423" i="1"/>
  <c r="AM3422" i="1"/>
  <c r="AM3421" i="1"/>
  <c r="AM3420" i="1"/>
  <c r="AM3419" i="1"/>
  <c r="AM3418" i="1"/>
  <c r="AM3417" i="1"/>
  <c r="AM3416" i="1"/>
  <c r="AM3415" i="1"/>
  <c r="AM3414" i="1"/>
  <c r="AM3413" i="1"/>
  <c r="AM3412" i="1"/>
  <c r="AM3411" i="1"/>
  <c r="AM3410" i="1"/>
  <c r="AM3409" i="1"/>
  <c r="AM3408" i="1"/>
  <c r="AM3407" i="1"/>
  <c r="AM3406" i="1"/>
  <c r="AM3405" i="1"/>
  <c r="AM3404" i="1"/>
  <c r="AM3403" i="1"/>
  <c r="AM3402" i="1"/>
  <c r="AM3401" i="1"/>
  <c r="AM3400" i="1"/>
  <c r="AM3399" i="1"/>
  <c r="AM3398" i="1"/>
  <c r="AM3397" i="1"/>
  <c r="AM3396" i="1"/>
  <c r="AM3395" i="1"/>
  <c r="AM3394" i="1"/>
  <c r="AM3393" i="1"/>
  <c r="AM3392" i="1"/>
  <c r="AM3391" i="1"/>
  <c r="AM3390" i="1"/>
  <c r="AM3389" i="1"/>
  <c r="AM3388" i="1"/>
  <c r="AM3387" i="1"/>
  <c r="AM3386" i="1"/>
  <c r="AM3385" i="1"/>
  <c r="AM3384" i="1"/>
  <c r="AM3383" i="1"/>
  <c r="AM3382" i="1"/>
  <c r="AM3381" i="1"/>
  <c r="AM3380" i="1"/>
  <c r="AM3379" i="1"/>
  <c r="AM3378" i="1"/>
  <c r="AM3377" i="1"/>
  <c r="AM3376" i="1"/>
  <c r="AM3375" i="1"/>
  <c r="AM3374" i="1"/>
  <c r="AM3373" i="1"/>
  <c r="AM3372" i="1"/>
  <c r="AM3371" i="1"/>
  <c r="AM3370" i="1"/>
  <c r="AM3369" i="1"/>
  <c r="AM3368" i="1"/>
  <c r="AM3367" i="1"/>
  <c r="AM3366" i="1"/>
  <c r="AM3365" i="1"/>
  <c r="AM3364" i="1"/>
  <c r="AM3363" i="1"/>
  <c r="AM3362" i="1"/>
  <c r="AM3361" i="1"/>
  <c r="AM3360" i="1"/>
  <c r="AM3359" i="1"/>
  <c r="AM3358" i="1"/>
  <c r="AM3357" i="1"/>
  <c r="AM3356" i="1"/>
  <c r="AM3355" i="1"/>
  <c r="AM3354" i="1"/>
  <c r="AM3353" i="1"/>
  <c r="AM3352" i="1"/>
  <c r="AM3351" i="1"/>
  <c r="AM3350" i="1"/>
  <c r="AM3349" i="1"/>
  <c r="AM3348" i="1"/>
  <c r="AM3347" i="1"/>
  <c r="AM3346" i="1"/>
  <c r="AM3345" i="1"/>
  <c r="AM3344" i="1"/>
  <c r="AM3343" i="1"/>
  <c r="AM3342" i="1"/>
  <c r="AM3341" i="1"/>
  <c r="AM3340" i="1"/>
  <c r="AM3339" i="1"/>
  <c r="AM3338" i="1"/>
  <c r="AM3337" i="1"/>
  <c r="AM3336" i="1"/>
  <c r="AM3335" i="1"/>
  <c r="AM3334" i="1"/>
  <c r="AM3333" i="1"/>
  <c r="AM3332" i="1"/>
  <c r="AM3331" i="1"/>
  <c r="AM3330" i="1"/>
  <c r="AM3329" i="1"/>
  <c r="AM3328" i="1"/>
  <c r="AM3327" i="1"/>
  <c r="AM3326" i="1"/>
  <c r="AM3325" i="1"/>
  <c r="AM3324" i="1"/>
  <c r="AM3323" i="1"/>
  <c r="AM3322" i="1"/>
  <c r="AK3325" i="1"/>
  <c r="AM3320" i="1"/>
  <c r="AM3319" i="1"/>
  <c r="AM3318" i="1"/>
  <c r="AM3317" i="1"/>
  <c r="AM3316" i="1"/>
  <c r="AM3315" i="1"/>
  <c r="AM3314" i="1"/>
  <c r="AM3313" i="1"/>
  <c r="AM3312" i="1"/>
  <c r="AM3311" i="1"/>
  <c r="AM3310" i="1"/>
  <c r="AM3309" i="1"/>
  <c r="AM3308" i="1"/>
  <c r="AM3307" i="1"/>
  <c r="AM3306" i="1"/>
  <c r="AM3305" i="1"/>
  <c r="AM3304" i="1"/>
  <c r="AM3303" i="1"/>
  <c r="AM3302" i="1"/>
  <c r="AM3301" i="1"/>
  <c r="AM3300" i="1"/>
  <c r="AM3299" i="1"/>
  <c r="AM3298" i="1"/>
  <c r="AM3297" i="1"/>
  <c r="AM3296" i="1"/>
  <c r="AM3295" i="1"/>
  <c r="AM3294" i="1"/>
  <c r="AM3293" i="1"/>
  <c r="AM3292" i="1"/>
  <c r="AM3291" i="1"/>
  <c r="AM3290" i="1"/>
  <c r="AM3289" i="1"/>
  <c r="AM3288" i="1"/>
  <c r="AM3287" i="1"/>
  <c r="AM3286" i="1"/>
  <c r="AM3285" i="1"/>
  <c r="AM3284" i="1"/>
  <c r="AM3283" i="1"/>
  <c r="AM3282" i="1"/>
  <c r="AM3281" i="1"/>
  <c r="AM3280" i="1"/>
  <c r="AM3279" i="1"/>
  <c r="AM3278" i="1"/>
  <c r="AM3277" i="1"/>
  <c r="AM3276" i="1"/>
  <c r="AM3275" i="1"/>
  <c r="AM3274" i="1"/>
  <c r="AM3273" i="1"/>
  <c r="AM3272" i="1"/>
  <c r="AM3271" i="1"/>
  <c r="AM3270" i="1"/>
  <c r="AM3269" i="1"/>
  <c r="AM3268" i="1"/>
  <c r="AM3267" i="1"/>
  <c r="AM3266" i="1"/>
  <c r="AM3265" i="1"/>
  <c r="AM3264" i="1"/>
  <c r="AM3263" i="1"/>
  <c r="AM3262" i="1"/>
  <c r="AM3261" i="1"/>
  <c r="AM3260" i="1"/>
  <c r="AM3259" i="1"/>
  <c r="AM3258" i="1"/>
  <c r="AM3257" i="1"/>
  <c r="AM3256" i="1"/>
  <c r="AM3255" i="1"/>
  <c r="AM3254" i="1"/>
  <c r="AM3253" i="1"/>
  <c r="AM3252" i="1"/>
  <c r="AM3251" i="1"/>
  <c r="AM3250" i="1"/>
  <c r="AM3249" i="1"/>
  <c r="AM3248" i="1"/>
  <c r="AM3244" i="1"/>
  <c r="AM3243" i="1"/>
  <c r="AM3242" i="1"/>
  <c r="AM3204" i="1"/>
  <c r="AM3203" i="1"/>
  <c r="AM3202" i="1"/>
  <c r="AM3201" i="1"/>
  <c r="AM3200" i="1"/>
  <c r="AM3199" i="1"/>
  <c r="AM3198" i="1"/>
  <c r="AM3197" i="1"/>
  <c r="AM3196" i="1"/>
  <c r="AM3195" i="1"/>
  <c r="AM3194" i="1"/>
  <c r="AM3193" i="1"/>
  <c r="AM3192" i="1"/>
  <c r="AM3191" i="1"/>
  <c r="AM3190" i="1"/>
  <c r="AM3189" i="1"/>
  <c r="AM3188" i="1"/>
  <c r="AM3187" i="1"/>
  <c r="AM3186" i="1"/>
  <c r="AM3185" i="1"/>
  <c r="AM3184" i="1"/>
  <c r="AM3183" i="1"/>
  <c r="AM3182" i="1"/>
  <c r="AM3181" i="1"/>
  <c r="AM3180" i="1"/>
  <c r="AM3179" i="1"/>
  <c r="AM3178" i="1"/>
  <c r="AM3177" i="1"/>
  <c r="AM3176" i="1"/>
  <c r="AM3175" i="1"/>
  <c r="AM3174" i="1"/>
  <c r="AM3173" i="1"/>
  <c r="AM3172" i="1"/>
  <c r="AM3171" i="1"/>
  <c r="AM3170" i="1"/>
  <c r="AM3169" i="1"/>
  <c r="AM3168" i="1"/>
  <c r="AM3167" i="1"/>
  <c r="AM3166" i="1"/>
  <c r="AM3165" i="1"/>
  <c r="AM3164" i="1"/>
  <c r="AM3163" i="1"/>
  <c r="AM3162" i="1"/>
  <c r="AM3161" i="1"/>
  <c r="AM3160" i="1"/>
  <c r="AM3159" i="1"/>
  <c r="AM3158" i="1"/>
  <c r="AM3157" i="1"/>
  <c r="AM3156" i="1"/>
  <c r="AM3155" i="1"/>
  <c r="AM3154" i="1"/>
  <c r="AM3153" i="1"/>
  <c r="AM3152" i="1"/>
  <c r="AM3151" i="1"/>
  <c r="AM3150" i="1"/>
  <c r="AM3149" i="1"/>
  <c r="AM3148" i="1"/>
  <c r="AM3147" i="1"/>
  <c r="AM3146" i="1"/>
  <c r="AM3145" i="1"/>
  <c r="AM3144" i="1"/>
  <c r="AM3143" i="1"/>
  <c r="AM3142" i="1"/>
  <c r="AM3141" i="1"/>
  <c r="AM3140" i="1"/>
  <c r="AM3139" i="1"/>
  <c r="AM3138" i="1"/>
  <c r="AM3137" i="1"/>
  <c r="AM3136" i="1"/>
  <c r="AM3135" i="1"/>
  <c r="AM3134" i="1"/>
  <c r="AM3133" i="1"/>
  <c r="AM3132" i="1"/>
  <c r="AM3131" i="1"/>
  <c r="AM3130" i="1"/>
  <c r="AM3129" i="1"/>
  <c r="AM3128" i="1"/>
  <c r="AM3127" i="1"/>
  <c r="AM3126" i="1"/>
  <c r="AM3125" i="1"/>
  <c r="AM3124" i="1"/>
  <c r="AM3123" i="1"/>
  <c r="AM3122" i="1"/>
  <c r="AM3121" i="1"/>
  <c r="AM3120" i="1"/>
  <c r="AM3119" i="1"/>
  <c r="AM3118" i="1"/>
  <c r="AM3117" i="1"/>
  <c r="AM3116" i="1"/>
  <c r="AM2629" i="1"/>
  <c r="AM2628" i="1"/>
  <c r="AM2627" i="1"/>
  <c r="AM2626" i="1"/>
  <c r="AM2625" i="1"/>
  <c r="AM2624" i="1"/>
  <c r="AM2623" i="1"/>
  <c r="AM2622" i="1"/>
  <c r="AM2621" i="1"/>
  <c r="AM2620" i="1"/>
  <c r="AM2619" i="1"/>
  <c r="AM2618" i="1"/>
  <c r="AM2617" i="1"/>
  <c r="AM2616" i="1"/>
  <c r="AM2615" i="1"/>
  <c r="AM2614" i="1"/>
  <c r="AM2613" i="1"/>
  <c r="AM2612" i="1"/>
  <c r="AM2611" i="1"/>
  <c r="AM2610" i="1"/>
  <c r="AM2609" i="1"/>
  <c r="AM2608" i="1"/>
  <c r="AM2607" i="1"/>
  <c r="AM2606" i="1"/>
  <c r="AM2605" i="1"/>
  <c r="AM2604" i="1"/>
  <c r="AM2603" i="1"/>
  <c r="AM2602" i="1"/>
  <c r="AM2601" i="1"/>
  <c r="AM2600" i="1"/>
  <c r="AM2599" i="1"/>
  <c r="AM2598" i="1"/>
  <c r="AM2597" i="1"/>
  <c r="AM2596" i="1"/>
  <c r="AM2595" i="1"/>
  <c r="AM2594" i="1"/>
  <c r="AM2593" i="1"/>
  <c r="AM2592" i="1"/>
  <c r="AM2591" i="1"/>
  <c r="AM2590" i="1"/>
  <c r="AM2589" i="1"/>
  <c r="AM2588" i="1"/>
  <c r="AM2587" i="1"/>
  <c r="AM2586" i="1"/>
  <c r="AM2585" i="1"/>
  <c r="AM2584" i="1"/>
  <c r="AM2583" i="1"/>
  <c r="AM2582" i="1"/>
  <c r="AM2581" i="1"/>
  <c r="AM2580" i="1"/>
  <c r="AM2579" i="1"/>
  <c r="AM2578" i="1"/>
  <c r="AM2577" i="1"/>
  <c r="AM2576" i="1"/>
  <c r="AM2575" i="1"/>
  <c r="AM2574" i="1"/>
  <c r="AM2573" i="1"/>
  <c r="AM2572" i="1"/>
  <c r="AM2571" i="1"/>
  <c r="AM2570" i="1"/>
  <c r="AM2569" i="1"/>
  <c r="AM2568" i="1"/>
  <c r="AM2567" i="1"/>
  <c r="AM2566" i="1"/>
  <c r="AM2565" i="1"/>
  <c r="AM2564" i="1"/>
  <c r="AM2563" i="1"/>
  <c r="AM2562" i="1"/>
  <c r="AM2561" i="1"/>
  <c r="AM2560" i="1"/>
  <c r="AM2559" i="1"/>
  <c r="AM2558" i="1"/>
  <c r="AM2557" i="1"/>
  <c r="AM2556" i="1"/>
  <c r="AM2555" i="1"/>
  <c r="AM2554" i="1"/>
  <c r="AM2553" i="1"/>
  <c r="AM2552" i="1"/>
  <c r="AM2551" i="1"/>
  <c r="AM2550" i="1"/>
  <c r="AM2549" i="1"/>
  <c r="AM2548" i="1"/>
  <c r="AM2547" i="1"/>
  <c r="AM2546" i="1"/>
  <c r="AM2545" i="1"/>
  <c r="AM2544" i="1"/>
  <c r="AM2543" i="1"/>
  <c r="AM2542" i="1"/>
  <c r="AM2541" i="1"/>
  <c r="AM2540" i="1"/>
  <c r="AM2539" i="1"/>
  <c r="AM2538" i="1"/>
  <c r="AM2537" i="1"/>
  <c r="AM2536" i="1"/>
  <c r="AM2535" i="1"/>
  <c r="AM2534" i="1"/>
  <c r="AM2533" i="1"/>
  <c r="AM2532" i="1"/>
  <c r="AM2531" i="1"/>
  <c r="AM2530" i="1"/>
  <c r="AM2529" i="1"/>
  <c r="AM2528" i="1"/>
  <c r="AM2527" i="1"/>
  <c r="AM2526" i="1"/>
  <c r="AM2525" i="1"/>
  <c r="AM2524" i="1"/>
  <c r="AM2523" i="1"/>
  <c r="AM2522" i="1"/>
  <c r="AM2521" i="1"/>
  <c r="AM2520" i="1"/>
  <c r="AM2519" i="1"/>
  <c r="AM2518" i="1"/>
  <c r="AM2517" i="1"/>
  <c r="AM2516" i="1"/>
  <c r="AM2515" i="1"/>
  <c r="AM2514" i="1"/>
  <c r="AM2513" i="1"/>
  <c r="AM2512" i="1"/>
  <c r="AM2511" i="1"/>
  <c r="AM2510" i="1"/>
  <c r="AM2509" i="1"/>
  <c r="AM2508" i="1"/>
  <c r="AM2507" i="1"/>
  <c r="AM2506" i="1"/>
  <c r="AM2505" i="1"/>
  <c r="AM2504" i="1"/>
  <c r="AM2503" i="1"/>
  <c r="AM2502" i="1"/>
  <c r="AM2501" i="1"/>
  <c r="AM2500" i="1"/>
  <c r="AM2499" i="1"/>
  <c r="AM2498" i="1"/>
  <c r="AM2497" i="1"/>
  <c r="AM2496" i="1"/>
  <c r="AM2495" i="1"/>
  <c r="AM2494" i="1"/>
  <c r="AM2493" i="1"/>
  <c r="AM2492" i="1"/>
  <c r="AM2491" i="1"/>
  <c r="AM2490" i="1"/>
  <c r="AM2489" i="1"/>
  <c r="AM2488" i="1"/>
  <c r="AM2487" i="1"/>
  <c r="AM2486" i="1"/>
  <c r="AM2485" i="1"/>
  <c r="AM2484" i="1"/>
  <c r="AM2483" i="1"/>
  <c r="AM2482" i="1"/>
  <c r="AM2481" i="1"/>
  <c r="AM2480" i="1"/>
  <c r="AM2479" i="1"/>
  <c r="AM2478" i="1"/>
  <c r="AM2477" i="1"/>
  <c r="AM2476" i="1"/>
  <c r="AM2475" i="1"/>
  <c r="AM2474" i="1"/>
  <c r="AM2473" i="1"/>
  <c r="AM2472" i="1"/>
  <c r="AM2471" i="1"/>
  <c r="AM2470" i="1"/>
  <c r="AM2469" i="1"/>
  <c r="AM2468" i="1"/>
  <c r="AM2467" i="1"/>
  <c r="AM2466" i="1"/>
  <c r="AM2465" i="1"/>
  <c r="AM2464" i="1"/>
  <c r="AM2463" i="1"/>
  <c r="AM2462" i="1"/>
  <c r="AM2461" i="1"/>
  <c r="AM2460" i="1"/>
  <c r="AM2459" i="1"/>
  <c r="AM2458" i="1"/>
  <c r="AM2457" i="1"/>
  <c r="AM2456" i="1"/>
  <c r="AM2455" i="1"/>
  <c r="AM2454" i="1"/>
  <c r="AM2453" i="1"/>
  <c r="AM2452" i="1"/>
  <c r="AM2451" i="1"/>
  <c r="AM2450" i="1"/>
  <c r="AM2449" i="1"/>
  <c r="AM2448" i="1"/>
  <c r="AM2447" i="1"/>
  <c r="AM2446" i="1"/>
  <c r="AM2445" i="1"/>
  <c r="AM2444" i="1"/>
  <c r="AM2443" i="1"/>
  <c r="AM2442" i="1"/>
  <c r="AM2441" i="1"/>
  <c r="AM2440" i="1"/>
  <c r="AM2439" i="1"/>
  <c r="AM2438" i="1"/>
  <c r="AM2437" i="1"/>
  <c r="AM2436" i="1"/>
  <c r="AM2435" i="1"/>
  <c r="AM2434" i="1"/>
  <c r="AM2433" i="1"/>
  <c r="AM2432" i="1"/>
  <c r="AM2431" i="1"/>
  <c r="AM2430" i="1"/>
  <c r="AM2429" i="1"/>
  <c r="AM2428" i="1"/>
  <c r="AM2427" i="1"/>
  <c r="AM2426" i="1"/>
  <c r="AM2425" i="1"/>
  <c r="AM2424" i="1"/>
  <c r="AM2423" i="1"/>
  <c r="AM2422" i="1"/>
  <c r="AM2421" i="1"/>
  <c r="AM2420" i="1"/>
  <c r="AM2419" i="1"/>
  <c r="AM2418" i="1"/>
  <c r="AM2417" i="1"/>
  <c r="AM2416" i="1"/>
  <c r="AM2415" i="1"/>
  <c r="AM2414" i="1"/>
  <c r="AM2413" i="1"/>
  <c r="AM2412" i="1"/>
  <c r="AM2411" i="1"/>
  <c r="AM2410" i="1"/>
  <c r="AM2409" i="1"/>
  <c r="AM2408" i="1"/>
  <c r="AM2407" i="1"/>
  <c r="AM2406" i="1"/>
  <c r="AM2405" i="1"/>
  <c r="AM2404" i="1"/>
  <c r="AM2403" i="1"/>
  <c r="AM2402" i="1"/>
  <c r="AM2401" i="1"/>
  <c r="AM2400" i="1"/>
  <c r="AM2399" i="1"/>
  <c r="AM2398" i="1"/>
  <c r="AM2397" i="1"/>
  <c r="AM2396" i="1"/>
  <c r="AM2395" i="1"/>
  <c r="AM2394" i="1"/>
  <c r="AM2393" i="1"/>
  <c r="AM2392" i="1"/>
  <c r="AM2391" i="1"/>
  <c r="AM2390" i="1"/>
  <c r="AM2389" i="1"/>
  <c r="AM2388" i="1"/>
  <c r="AM2387" i="1"/>
  <c r="AM2386" i="1"/>
  <c r="AM2385" i="1"/>
  <c r="AM2384" i="1"/>
  <c r="AM2383" i="1"/>
  <c r="AM2382" i="1"/>
  <c r="AM2381" i="1"/>
  <c r="AM2380" i="1"/>
  <c r="AM2379" i="1"/>
  <c r="AM2378" i="1"/>
  <c r="AM2377" i="1"/>
  <c r="AM2376" i="1"/>
  <c r="AM2375" i="1"/>
  <c r="AM2374" i="1"/>
  <c r="AM2373" i="1"/>
  <c r="AM2372" i="1"/>
  <c r="AM2371" i="1"/>
  <c r="AM2370" i="1"/>
  <c r="AM2369" i="1"/>
  <c r="AM2368" i="1"/>
  <c r="AM2367" i="1"/>
  <c r="AM2366" i="1"/>
  <c r="AM2365" i="1"/>
  <c r="AM2364" i="1"/>
  <c r="AM2363" i="1"/>
  <c r="AM2362" i="1"/>
  <c r="AM2361" i="1"/>
  <c r="AM2360" i="1"/>
  <c r="AM2359" i="1"/>
  <c r="AM2358" i="1"/>
  <c r="AM2357" i="1"/>
  <c r="AM2356" i="1"/>
  <c r="AM2355" i="1"/>
  <c r="AM2354" i="1"/>
  <c r="AM2353" i="1"/>
  <c r="AM2352" i="1"/>
  <c r="AM2351" i="1"/>
  <c r="AM2350" i="1"/>
  <c r="AM2349" i="1"/>
  <c r="AM2348" i="1"/>
  <c r="AM2347" i="1"/>
  <c r="AM2346" i="1"/>
  <c r="AM2345" i="1"/>
  <c r="AM2344" i="1"/>
  <c r="AM2343" i="1"/>
  <c r="AM2342" i="1"/>
  <c r="AM2341" i="1"/>
  <c r="AM2340" i="1"/>
  <c r="AM2339" i="1"/>
  <c r="AM2338" i="1"/>
  <c r="AM2337" i="1"/>
  <c r="AM2336" i="1"/>
  <c r="AM2335" i="1"/>
  <c r="AM2334" i="1"/>
  <c r="AM2333" i="1"/>
  <c r="AM2332" i="1"/>
  <c r="AM2331" i="1"/>
  <c r="AM2330" i="1"/>
  <c r="AM2329" i="1"/>
  <c r="AM2328" i="1"/>
  <c r="AM2327" i="1"/>
  <c r="AM2326" i="1"/>
  <c r="AM2325" i="1"/>
  <c r="AM2324" i="1"/>
  <c r="AM2323" i="1"/>
  <c r="AM2322" i="1"/>
  <c r="AM2321" i="1"/>
  <c r="AM2320" i="1"/>
  <c r="AM2319" i="1"/>
  <c r="AM2318" i="1"/>
  <c r="AM2317" i="1"/>
  <c r="AM2316" i="1"/>
  <c r="AM2315" i="1"/>
  <c r="AM2314" i="1"/>
  <c r="AM2313" i="1"/>
  <c r="AM2312" i="1"/>
  <c r="AM2311" i="1"/>
  <c r="AM2310" i="1"/>
  <c r="AM2309" i="1"/>
  <c r="AM2308" i="1"/>
  <c r="AM2307" i="1"/>
  <c r="AM2306" i="1"/>
  <c r="AM2305" i="1"/>
  <c r="AM2304" i="1"/>
  <c r="AM2303" i="1"/>
  <c r="AM2302" i="1"/>
  <c r="AM2301" i="1"/>
  <c r="AM2300" i="1"/>
  <c r="AM2299" i="1"/>
  <c r="AM2298" i="1"/>
  <c r="AM2297" i="1"/>
  <c r="AM2296" i="1"/>
  <c r="AM2295" i="1"/>
  <c r="AM2294" i="1"/>
  <c r="AM2293" i="1"/>
  <c r="AM2292" i="1"/>
  <c r="AM2291" i="1"/>
  <c r="AM2290" i="1"/>
  <c r="AM2289" i="1"/>
  <c r="AM2288" i="1"/>
  <c r="AM2287" i="1"/>
  <c r="AM2286" i="1"/>
  <c r="AM2285" i="1"/>
  <c r="AM2284" i="1"/>
  <c r="AM2283" i="1"/>
  <c r="AM2282" i="1"/>
  <c r="AM2281" i="1"/>
  <c r="AM2280" i="1"/>
  <c r="AM2279" i="1"/>
  <c r="AM2278" i="1"/>
  <c r="AM2277" i="1"/>
  <c r="AM2276" i="1"/>
  <c r="AM2275" i="1"/>
  <c r="AM2274" i="1"/>
  <c r="AM2273" i="1"/>
  <c r="AM2272" i="1"/>
  <c r="AM2271" i="1"/>
  <c r="AM2270" i="1"/>
  <c r="AM2269" i="1"/>
  <c r="AM2268" i="1"/>
  <c r="AM2267" i="1"/>
  <c r="AM2266" i="1"/>
  <c r="AM2265" i="1"/>
  <c r="AM2264" i="1"/>
  <c r="AM2263" i="1"/>
  <c r="AM2262" i="1"/>
  <c r="AM2261" i="1"/>
  <c r="AM2260" i="1"/>
  <c r="AM2259" i="1"/>
  <c r="AM2258" i="1"/>
  <c r="AM2257" i="1"/>
  <c r="AM2256" i="1"/>
  <c r="AM2255" i="1"/>
  <c r="AM2254" i="1"/>
  <c r="AM2253" i="1"/>
  <c r="AM2252" i="1"/>
  <c r="AM2251" i="1"/>
  <c r="AM2250" i="1"/>
  <c r="AM2249" i="1"/>
  <c r="AM2248" i="1"/>
  <c r="AM2247" i="1"/>
  <c r="AM2246" i="1"/>
  <c r="AM2245" i="1"/>
  <c r="AM2244" i="1"/>
  <c r="AM2243" i="1"/>
  <c r="AM2242" i="1"/>
  <c r="AM2241" i="1"/>
  <c r="AM2240" i="1"/>
  <c r="AM2239" i="1"/>
  <c r="AM2238" i="1"/>
  <c r="AM2237" i="1"/>
  <c r="AM2236" i="1"/>
  <c r="AM2235" i="1"/>
  <c r="AM2234" i="1"/>
  <c r="AM2233" i="1"/>
  <c r="AM2232" i="1"/>
  <c r="AM2231" i="1"/>
  <c r="AM2230" i="1"/>
  <c r="AM2229" i="1"/>
  <c r="AM2228" i="1"/>
  <c r="AM2227" i="1"/>
  <c r="AM2226" i="1"/>
  <c r="AM2225" i="1"/>
  <c r="AM2224" i="1"/>
  <c r="AM2223" i="1"/>
  <c r="AM2222" i="1"/>
  <c r="AM2221" i="1"/>
  <c r="AM2220" i="1"/>
  <c r="AM2219" i="1"/>
  <c r="AM2218" i="1"/>
  <c r="AM2217" i="1"/>
  <c r="AM2216" i="1"/>
  <c r="AM2215" i="1"/>
  <c r="AM2214" i="1"/>
  <c r="AM2213" i="1"/>
  <c r="AM2212" i="1"/>
  <c r="AM2211" i="1"/>
  <c r="AM2210" i="1"/>
  <c r="AM2209" i="1"/>
  <c r="AM2208" i="1"/>
  <c r="AM2207" i="1"/>
  <c r="AM2206" i="1"/>
  <c r="AM2205" i="1"/>
  <c r="AM2204" i="1"/>
  <c r="AM2203" i="1"/>
  <c r="AM2202" i="1"/>
  <c r="AM2201" i="1"/>
  <c r="AM2200" i="1"/>
  <c r="AM2199" i="1"/>
  <c r="AM2198" i="1"/>
  <c r="AM2197" i="1"/>
  <c r="AM2196" i="1"/>
  <c r="AM2195" i="1"/>
  <c r="AM2194" i="1"/>
  <c r="AM2193" i="1"/>
  <c r="AM2192" i="1"/>
  <c r="AM2191" i="1"/>
  <c r="AM2190" i="1"/>
  <c r="AM2189" i="1"/>
  <c r="AM2188" i="1"/>
  <c r="AM2187" i="1"/>
  <c r="AM2186" i="1"/>
  <c r="AM2185" i="1"/>
  <c r="AM2184" i="1"/>
  <c r="AM2183" i="1"/>
  <c r="AM2182" i="1"/>
  <c r="AM2181" i="1"/>
  <c r="AM2180" i="1"/>
  <c r="AM2179" i="1"/>
  <c r="AM2178" i="1"/>
  <c r="AM2177" i="1"/>
  <c r="AM2176" i="1"/>
  <c r="AM2175" i="1"/>
  <c r="AM2174" i="1"/>
  <c r="AM2173" i="1"/>
  <c r="AM2172" i="1"/>
  <c r="AM2171" i="1"/>
  <c r="AM2170" i="1"/>
  <c r="AM2169" i="1"/>
  <c r="AM2168" i="1"/>
  <c r="AM2167" i="1"/>
  <c r="AM2166" i="1"/>
  <c r="AM2165" i="1"/>
  <c r="AM2164" i="1"/>
  <c r="AM2163" i="1"/>
  <c r="AM2162" i="1"/>
  <c r="AM2161" i="1"/>
  <c r="AM2160" i="1"/>
  <c r="AM2159" i="1"/>
  <c r="AM2158" i="1"/>
  <c r="AM2157" i="1"/>
  <c r="AM2156" i="1"/>
  <c r="AM2155" i="1"/>
  <c r="AM2154" i="1"/>
  <c r="AM2153" i="1"/>
  <c r="AM2152" i="1"/>
  <c r="AM2151" i="1"/>
  <c r="AM2150" i="1"/>
  <c r="AM2149" i="1"/>
  <c r="AM2148" i="1"/>
  <c r="AM2147" i="1"/>
  <c r="AM2146" i="1"/>
  <c r="AM2145" i="1"/>
  <c r="AM2144" i="1"/>
  <c r="AM2143" i="1"/>
  <c r="AM2142" i="1"/>
  <c r="AM2141" i="1"/>
  <c r="AM2140" i="1"/>
  <c r="AM2139" i="1"/>
  <c r="AM2138" i="1"/>
  <c r="AM2137" i="1"/>
  <c r="AM2136" i="1"/>
  <c r="AM2135" i="1"/>
  <c r="AM2134" i="1"/>
  <c r="AM2133" i="1"/>
  <c r="AM2132" i="1"/>
  <c r="AM2131" i="1"/>
  <c r="AM2130" i="1"/>
  <c r="AM2129" i="1"/>
  <c r="AM2128" i="1"/>
  <c r="AM2127" i="1"/>
  <c r="AM2126" i="1"/>
  <c r="AM2125" i="1"/>
  <c r="AM2124" i="1"/>
  <c r="AM2123" i="1"/>
  <c r="AM2122" i="1"/>
  <c r="AM2121" i="1"/>
  <c r="AM2120" i="1"/>
  <c r="AM2119" i="1"/>
  <c r="AM2118" i="1"/>
  <c r="AM2117" i="1"/>
  <c r="AM2116" i="1"/>
  <c r="AM2115" i="1"/>
  <c r="AM2114" i="1"/>
  <c r="AM2113" i="1"/>
  <c r="AM2112" i="1"/>
  <c r="AM2111" i="1"/>
  <c r="AM2110" i="1"/>
  <c r="AM2109" i="1"/>
  <c r="AM2108" i="1"/>
  <c r="AM2107" i="1"/>
  <c r="AM2106" i="1"/>
  <c r="AM2105" i="1"/>
  <c r="AM2104" i="1"/>
  <c r="AM2103" i="1"/>
  <c r="AM2102" i="1"/>
  <c r="AM2101" i="1"/>
  <c r="AM2100" i="1"/>
  <c r="AM2099" i="1"/>
  <c r="AM2098" i="1"/>
  <c r="AM2097" i="1"/>
  <c r="AM2096" i="1"/>
  <c r="AM2095" i="1"/>
  <c r="AM2094" i="1"/>
  <c r="AM2093" i="1"/>
  <c r="AM2092" i="1"/>
  <c r="AM2091" i="1"/>
  <c r="AM2090" i="1"/>
  <c r="AM2089" i="1"/>
  <c r="AM2088" i="1"/>
  <c r="AM2087" i="1"/>
  <c r="AM2086" i="1"/>
  <c r="AM2085" i="1"/>
  <c r="AM2084" i="1"/>
  <c r="AM2083" i="1"/>
  <c r="AM2082" i="1"/>
  <c r="AM2081" i="1"/>
  <c r="AM2080" i="1"/>
  <c r="AM2079" i="1"/>
  <c r="AM2078" i="1"/>
  <c r="AM2077" i="1"/>
  <c r="AM2076" i="1"/>
  <c r="AM2075" i="1"/>
  <c r="AM2074" i="1"/>
  <c r="AM2073" i="1"/>
  <c r="AM2072" i="1"/>
  <c r="AM2071" i="1"/>
  <c r="AM2070" i="1"/>
  <c r="AM2069" i="1"/>
  <c r="AM2068" i="1"/>
  <c r="AM2067" i="1"/>
  <c r="AM2066" i="1"/>
  <c r="AM2065" i="1"/>
  <c r="AM2064" i="1"/>
  <c r="AM2063" i="1"/>
  <c r="AM2062" i="1"/>
  <c r="AM2061" i="1"/>
  <c r="AM2060" i="1"/>
  <c r="AM2059" i="1"/>
  <c r="AM2058" i="1"/>
  <c r="AM2057" i="1"/>
  <c r="AM2056" i="1"/>
  <c r="AM2055" i="1"/>
  <c r="AM2054" i="1"/>
  <c r="AM2053" i="1"/>
  <c r="AM2052" i="1"/>
  <c r="AM2051" i="1"/>
  <c r="AM2050" i="1"/>
  <c r="AM2049" i="1"/>
  <c r="AM2048" i="1"/>
  <c r="AM2047" i="1"/>
  <c r="AM2046" i="1"/>
  <c r="AM2045" i="1"/>
  <c r="AM2044" i="1"/>
  <c r="AM2043" i="1"/>
  <c r="AM2042" i="1"/>
  <c r="AM2041" i="1"/>
  <c r="AM2040" i="1"/>
  <c r="AM2039" i="1"/>
  <c r="AM2038" i="1"/>
  <c r="AM2037" i="1"/>
  <c r="AM2036" i="1"/>
  <c r="AM2035" i="1"/>
  <c r="AM2034" i="1"/>
  <c r="AM2033" i="1"/>
  <c r="AM2032" i="1"/>
  <c r="AM2031" i="1"/>
  <c r="AM2030" i="1"/>
  <c r="AM2029" i="1"/>
  <c r="AM2028" i="1"/>
  <c r="AM2027" i="1"/>
  <c r="AM2026" i="1"/>
  <c r="AM2025" i="1"/>
  <c r="AM2024" i="1"/>
  <c r="AM2023" i="1"/>
  <c r="AM2022" i="1"/>
  <c r="AM2021" i="1"/>
  <c r="AM2020" i="1"/>
  <c r="AM2019" i="1"/>
  <c r="AM2018" i="1"/>
  <c r="AM2017" i="1"/>
  <c r="AM2016" i="1"/>
  <c r="AM2015" i="1"/>
  <c r="AM2014" i="1"/>
  <c r="AM2013" i="1"/>
  <c r="AM2012" i="1"/>
  <c r="AM2011" i="1"/>
  <c r="AM2010" i="1"/>
  <c r="AM2009" i="1"/>
  <c r="AM2008" i="1"/>
  <c r="AM2007" i="1"/>
  <c r="AM2006" i="1"/>
  <c r="AM2005" i="1"/>
  <c r="AM2004" i="1"/>
  <c r="AM2003" i="1"/>
  <c r="AM2002" i="1"/>
  <c r="AM2001" i="1"/>
  <c r="AM2000" i="1"/>
  <c r="AM1999" i="1"/>
  <c r="AM1998" i="1"/>
  <c r="AM1997" i="1"/>
  <c r="AM1996" i="1"/>
  <c r="AM1995" i="1"/>
  <c r="AM1994" i="1"/>
  <c r="AM1993" i="1"/>
  <c r="AM1992" i="1"/>
  <c r="AM1991" i="1"/>
  <c r="AM1990" i="1"/>
  <c r="AM1989" i="1"/>
  <c r="AM1988" i="1"/>
  <c r="AM1987" i="1"/>
  <c r="AM1986" i="1"/>
  <c r="AM1985" i="1"/>
  <c r="AM1984" i="1"/>
  <c r="AM1983" i="1"/>
  <c r="AM1982" i="1"/>
  <c r="AM1981" i="1"/>
  <c r="AM1980" i="1"/>
  <c r="AM1979" i="1"/>
  <c r="AM1978" i="1"/>
  <c r="AM1977" i="1"/>
  <c r="AM1976" i="1"/>
  <c r="AM1975" i="1"/>
  <c r="AM1974" i="1"/>
  <c r="AM1973" i="1"/>
  <c r="AM1972" i="1"/>
  <c r="AM1971" i="1"/>
  <c r="AM1970" i="1"/>
  <c r="AM1969" i="1"/>
  <c r="AM1968" i="1"/>
  <c r="AM1967" i="1"/>
  <c r="AM1966" i="1"/>
  <c r="AM1965" i="1"/>
  <c r="AM1964" i="1"/>
  <c r="AM1963" i="1"/>
  <c r="AM1962" i="1"/>
  <c r="AM1961" i="1"/>
  <c r="AM1960" i="1"/>
  <c r="AM1959" i="1"/>
  <c r="AM1958" i="1"/>
  <c r="AM1957" i="1"/>
  <c r="AM1956" i="1"/>
  <c r="AM1955" i="1"/>
  <c r="AM1954" i="1"/>
  <c r="AM1953" i="1"/>
  <c r="AM1952" i="1"/>
  <c r="AM1951" i="1"/>
  <c r="AM1950" i="1"/>
  <c r="AM1949" i="1"/>
  <c r="AM1948" i="1"/>
  <c r="AM1947" i="1"/>
  <c r="AM1946" i="1"/>
  <c r="AM1945" i="1"/>
  <c r="AM1944" i="1"/>
  <c r="AM1943" i="1"/>
  <c r="AM1942" i="1"/>
  <c r="AM1941" i="1"/>
  <c r="AM1940" i="1"/>
  <c r="AM1939" i="1"/>
  <c r="AM1938" i="1"/>
  <c r="AM1937" i="1"/>
  <c r="AM1936" i="1"/>
  <c r="AM1935" i="1"/>
  <c r="AM1934" i="1"/>
  <c r="AM1933" i="1"/>
  <c r="AM1932" i="1"/>
  <c r="AM1931" i="1"/>
  <c r="AM1930" i="1"/>
  <c r="AM1929" i="1"/>
  <c r="AM1928" i="1"/>
  <c r="AM1927" i="1"/>
  <c r="AM1926" i="1"/>
  <c r="AM1925" i="1"/>
  <c r="AM1924" i="1"/>
  <c r="AM1923" i="1"/>
  <c r="AM1922" i="1"/>
  <c r="AM1921" i="1"/>
  <c r="AM1920" i="1"/>
  <c r="AM1919" i="1"/>
  <c r="AM1918" i="1"/>
  <c r="AM1917" i="1"/>
  <c r="AM1916" i="1"/>
  <c r="AM1915" i="1"/>
  <c r="AM1914" i="1"/>
  <c r="AM1913" i="1"/>
  <c r="AM1912" i="1"/>
  <c r="AM1911" i="1"/>
  <c r="AM1910" i="1"/>
  <c r="AM1909" i="1"/>
  <c r="AM1908" i="1"/>
  <c r="AM1907" i="1"/>
  <c r="AM1906" i="1"/>
  <c r="AM1905" i="1"/>
  <c r="AM1904" i="1"/>
  <c r="AM1903" i="1"/>
  <c r="AM1902" i="1"/>
  <c r="AM1901" i="1"/>
  <c r="AM1900" i="1"/>
  <c r="AM1899" i="1"/>
  <c r="AM1898" i="1"/>
  <c r="AM1897" i="1"/>
  <c r="AM1896" i="1"/>
  <c r="AM1895" i="1"/>
  <c r="AM1894" i="1"/>
  <c r="AM1893" i="1"/>
  <c r="AM1892" i="1"/>
  <c r="AM1891" i="1"/>
  <c r="AM1890" i="1"/>
  <c r="AM1889" i="1"/>
  <c r="AM1888" i="1"/>
  <c r="AM1887" i="1"/>
  <c r="AM1886" i="1"/>
  <c r="AM1885" i="1"/>
  <c r="AM1884" i="1"/>
  <c r="AM1883" i="1"/>
  <c r="AM1882" i="1"/>
  <c r="AM1881" i="1"/>
  <c r="AM1880" i="1"/>
  <c r="AM1879" i="1"/>
  <c r="AM1878" i="1"/>
  <c r="AM1877" i="1"/>
  <c r="AM1876" i="1"/>
  <c r="AM1875" i="1"/>
  <c r="AM1874" i="1"/>
  <c r="AM1873" i="1"/>
  <c r="AM1872" i="1"/>
  <c r="AM1871" i="1"/>
  <c r="AM1870" i="1"/>
  <c r="AM1869" i="1"/>
  <c r="AM1868" i="1"/>
  <c r="AM1867" i="1"/>
  <c r="AM1866" i="1"/>
  <c r="AM1865" i="1"/>
  <c r="AM1864" i="1"/>
  <c r="AM1863" i="1"/>
  <c r="AM1862" i="1"/>
  <c r="AM1861" i="1"/>
  <c r="AM1860" i="1"/>
  <c r="AM1859" i="1"/>
  <c r="AM1858" i="1"/>
  <c r="AM1857" i="1"/>
  <c r="AM1856" i="1"/>
  <c r="AM1855" i="1"/>
  <c r="AM1854" i="1"/>
  <c r="AM1853" i="1"/>
  <c r="AM1852" i="1"/>
  <c r="AM1851" i="1"/>
  <c r="AM1850" i="1"/>
  <c r="AM1849" i="1"/>
  <c r="AM1848" i="1"/>
  <c r="AM1847" i="1"/>
  <c r="AM1846" i="1"/>
  <c r="AM1845" i="1"/>
  <c r="AM1844" i="1"/>
  <c r="AM1843" i="1"/>
  <c r="AM1842" i="1"/>
  <c r="AM1841" i="1"/>
  <c r="AM1840" i="1"/>
  <c r="AM1839" i="1"/>
  <c r="AM1838" i="1"/>
  <c r="AM1837" i="1"/>
  <c r="AM1836" i="1"/>
  <c r="AM1835" i="1"/>
  <c r="AM1834" i="1"/>
  <c r="AM1833" i="1"/>
  <c r="AM1832" i="1"/>
  <c r="AM1831" i="1"/>
  <c r="AM1830" i="1"/>
  <c r="AM1829" i="1"/>
  <c r="AM1828" i="1"/>
  <c r="AM1827" i="1"/>
  <c r="AM1826" i="1"/>
  <c r="AM1825" i="1"/>
  <c r="AM1824" i="1"/>
  <c r="AM1823" i="1"/>
  <c r="AM1822" i="1"/>
  <c r="AM1821" i="1"/>
  <c r="AM1820" i="1"/>
  <c r="AM1819" i="1"/>
  <c r="AM1818" i="1"/>
  <c r="AM1817" i="1"/>
  <c r="AM1816" i="1"/>
  <c r="AM1815" i="1"/>
  <c r="AM1814" i="1"/>
  <c r="AM1813" i="1"/>
  <c r="AM1812" i="1"/>
  <c r="AM1811" i="1"/>
  <c r="AM1810" i="1"/>
  <c r="AM1809" i="1"/>
  <c r="AM1808" i="1"/>
  <c r="AM1807" i="1"/>
  <c r="AM1806" i="1"/>
  <c r="AM1805" i="1"/>
  <c r="AM1804" i="1"/>
  <c r="AM1803" i="1"/>
  <c r="AM1802" i="1"/>
  <c r="AM1801" i="1"/>
  <c r="AM1800" i="1"/>
  <c r="AM1799" i="1"/>
  <c r="AM1798" i="1"/>
  <c r="AM1797" i="1"/>
  <c r="AM1796" i="1"/>
  <c r="AM1795" i="1"/>
  <c r="AM1794" i="1"/>
  <c r="AM1793" i="1"/>
  <c r="AM1792" i="1"/>
  <c r="AM1791" i="1"/>
  <c r="AM1790" i="1"/>
  <c r="AM1789" i="1"/>
  <c r="AM1788" i="1"/>
  <c r="AM1787" i="1"/>
  <c r="AM1786" i="1"/>
  <c r="AM1785" i="1"/>
  <c r="AM1784" i="1"/>
  <c r="AM1783" i="1"/>
  <c r="AM1782" i="1"/>
  <c r="AM1781" i="1"/>
  <c r="AM1780" i="1"/>
  <c r="AM1779" i="1"/>
  <c r="AM1778" i="1"/>
  <c r="AM1777" i="1"/>
  <c r="AM1776" i="1"/>
  <c r="AM1775" i="1"/>
  <c r="AM1774" i="1"/>
  <c r="AM1773" i="1"/>
  <c r="AM1772" i="1"/>
  <c r="AM1771" i="1"/>
  <c r="AM1770" i="1"/>
  <c r="AM1769" i="1"/>
  <c r="AM1768" i="1"/>
  <c r="AM1767" i="1"/>
  <c r="AM1766" i="1"/>
  <c r="AM1765" i="1"/>
  <c r="AM1764" i="1"/>
  <c r="AM1763" i="1"/>
  <c r="AM1762" i="1"/>
  <c r="AM1761" i="1"/>
  <c r="AM1760" i="1"/>
  <c r="AM1759" i="1"/>
  <c r="AM1758" i="1"/>
  <c r="AM1757" i="1"/>
  <c r="AM1756" i="1"/>
  <c r="AM1755" i="1"/>
  <c r="AM1754" i="1"/>
  <c r="AM1753" i="1"/>
  <c r="AM1752" i="1"/>
  <c r="AM1751" i="1"/>
  <c r="AM1750" i="1"/>
  <c r="AM1749" i="1"/>
  <c r="AM1748" i="1"/>
  <c r="AM1747" i="1"/>
  <c r="AM1746" i="1"/>
  <c r="AM1745" i="1"/>
  <c r="AM1744" i="1"/>
  <c r="AM1743" i="1"/>
  <c r="AM1742" i="1"/>
  <c r="AM1741" i="1"/>
  <c r="AM1740" i="1"/>
  <c r="AM1739" i="1"/>
  <c r="AM1735" i="1"/>
  <c r="AM1734" i="1"/>
  <c r="AM1569" i="1"/>
  <c r="AM1563" i="1"/>
  <c r="AM1560" i="1"/>
  <c r="AM1559" i="1"/>
  <c r="AM1556" i="1"/>
  <c r="AM1555" i="1"/>
  <c r="AM1554" i="1"/>
  <c r="AM1553" i="1"/>
  <c r="AM1552" i="1"/>
  <c r="AM1551" i="1"/>
  <c r="AM1550" i="1"/>
  <c r="AM1549" i="1"/>
  <c r="AM1547" i="1"/>
  <c r="AM1546" i="1"/>
  <c r="AM1545" i="1"/>
  <c r="AM1544" i="1"/>
  <c r="AM1543" i="1"/>
  <c r="AM1542" i="1"/>
  <c r="AM1541" i="1"/>
  <c r="AM1540" i="1"/>
  <c r="AM1539" i="1"/>
  <c r="AM1538" i="1"/>
  <c r="AM1537" i="1"/>
  <c r="AM1536" i="1"/>
  <c r="AM1535" i="1"/>
  <c r="AM1534" i="1"/>
  <c r="AM1533" i="1"/>
  <c r="AM1532" i="1"/>
  <c r="AM1531" i="1"/>
  <c r="AM1530" i="1"/>
  <c r="AM1529" i="1"/>
  <c r="AM1528" i="1"/>
  <c r="AM1527" i="1"/>
  <c r="AM1526" i="1"/>
  <c r="AM1525" i="1"/>
  <c r="AM1524" i="1"/>
  <c r="AM1523" i="1"/>
  <c r="AM1522" i="1"/>
  <c r="AM1521" i="1"/>
  <c r="AM1520" i="1"/>
  <c r="AM1519" i="1"/>
  <c r="AM1518" i="1"/>
  <c r="AM1517" i="1"/>
  <c r="AM1516" i="1"/>
  <c r="AM1515" i="1"/>
  <c r="AM1514" i="1"/>
  <c r="AM1513" i="1"/>
  <c r="AM1512" i="1"/>
  <c r="AM1511" i="1"/>
  <c r="AM1510" i="1"/>
  <c r="AM1509" i="1"/>
  <c r="AM1508" i="1"/>
  <c r="AM1507" i="1"/>
  <c r="AM1506" i="1"/>
  <c r="AM1505" i="1"/>
  <c r="AM1504" i="1"/>
  <c r="AM1503" i="1"/>
  <c r="AM1502" i="1"/>
  <c r="AM1501" i="1"/>
  <c r="AM1500" i="1"/>
  <c r="AM1499" i="1"/>
  <c r="AM1498" i="1"/>
  <c r="AM1497" i="1"/>
  <c r="AM1496" i="1"/>
  <c r="AM1495" i="1"/>
  <c r="AM1494" i="1"/>
  <c r="AM1493" i="1"/>
  <c r="AM1492" i="1"/>
  <c r="AM1491" i="1"/>
  <c r="AM1490" i="1"/>
  <c r="AM1489" i="1"/>
  <c r="AM1488" i="1"/>
  <c r="AM1487" i="1"/>
  <c r="AM1486" i="1"/>
  <c r="AM1485" i="1"/>
  <c r="AM1484" i="1"/>
  <c r="AM1483" i="1"/>
  <c r="AM1482" i="1"/>
  <c r="AM1481" i="1"/>
  <c r="AM1480" i="1"/>
  <c r="AM1479" i="1"/>
  <c r="AM1478" i="1"/>
  <c r="AM1477" i="1"/>
  <c r="AM1476" i="1"/>
  <c r="AM1475" i="1"/>
  <c r="AM1474" i="1"/>
  <c r="AM1473" i="1"/>
  <c r="AM1472" i="1"/>
  <c r="AM1471" i="1"/>
  <c r="AM1470" i="1"/>
  <c r="AM1469" i="1"/>
  <c r="AM1468" i="1"/>
  <c r="AM1467" i="1"/>
  <c r="AM1466" i="1"/>
  <c r="AM1465" i="1"/>
  <c r="AM1464" i="1"/>
  <c r="AM1463" i="1"/>
  <c r="AM1462" i="1"/>
  <c r="AM1461" i="1"/>
  <c r="AM1460" i="1"/>
  <c r="AM1459" i="1"/>
  <c r="AM1458" i="1"/>
  <c r="AM1457" i="1"/>
  <c r="AM1456" i="1"/>
  <c r="AM1455" i="1"/>
  <c r="AM1454" i="1"/>
  <c r="AM1453" i="1"/>
  <c r="AM1452" i="1"/>
  <c r="AM1451" i="1"/>
  <c r="AM1450" i="1"/>
  <c r="AM1449" i="1"/>
  <c r="AM1448" i="1"/>
  <c r="AM1447" i="1"/>
  <c r="AM1446" i="1"/>
  <c r="AM1445" i="1"/>
  <c r="AM1444" i="1"/>
  <c r="AM1443" i="1"/>
  <c r="AM1442" i="1"/>
  <c r="AM1441" i="1"/>
  <c r="AM1440" i="1"/>
  <c r="AM1439" i="1"/>
  <c r="AM1438" i="1"/>
  <c r="AM1437" i="1"/>
  <c r="AM1436" i="1"/>
  <c r="AM1435" i="1"/>
  <c r="AM1434" i="1"/>
  <c r="AM1433" i="1"/>
  <c r="AM1432" i="1"/>
  <c r="AM1431" i="1"/>
  <c r="AM1430" i="1"/>
  <c r="AM1429" i="1"/>
  <c r="AM1428" i="1"/>
  <c r="AM1427" i="1"/>
  <c r="AM1426" i="1"/>
  <c r="AM1425" i="1"/>
  <c r="AM1424" i="1"/>
  <c r="AM1423" i="1"/>
  <c r="AM1422" i="1"/>
  <c r="AM1421" i="1"/>
  <c r="AM1420" i="1"/>
  <c r="AM1419" i="1"/>
  <c r="AM1418" i="1"/>
  <c r="AM1417" i="1"/>
  <c r="AM1416" i="1"/>
  <c r="AM1415" i="1"/>
  <c r="AM1414" i="1"/>
  <c r="AM1413" i="1"/>
  <c r="AM1412" i="1"/>
  <c r="AM1411" i="1"/>
  <c r="AM1410" i="1"/>
  <c r="AM1409" i="1"/>
  <c r="AM1408" i="1"/>
  <c r="AM1407" i="1"/>
  <c r="AM1406" i="1"/>
  <c r="AM1405" i="1"/>
  <c r="AM1404" i="1"/>
  <c r="AM1403" i="1"/>
  <c r="AM1402" i="1"/>
  <c r="AM1401" i="1"/>
  <c r="AM1400" i="1"/>
  <c r="AM1399" i="1"/>
  <c r="AM1398" i="1"/>
  <c r="AM1397" i="1"/>
  <c r="AM1396" i="1"/>
  <c r="AM1278" i="1"/>
  <c r="AM1277" i="1"/>
  <c r="AM1276" i="1"/>
  <c r="AM1275" i="1"/>
  <c r="AM1274" i="1"/>
  <c r="AM1273" i="1"/>
  <c r="AM1272" i="1"/>
  <c r="AM1271" i="1"/>
  <c r="AM1270" i="1"/>
  <c r="AM1269" i="1"/>
  <c r="AM1268" i="1"/>
  <c r="AM1267" i="1"/>
  <c r="AM1266" i="1"/>
  <c r="AM1265" i="1"/>
  <c r="AM1264" i="1"/>
  <c r="AM1263" i="1"/>
  <c r="AM1262" i="1"/>
  <c r="AM1261" i="1"/>
  <c r="AM1260" i="1"/>
  <c r="AM1259" i="1"/>
  <c r="AM1258" i="1"/>
  <c r="AM1257" i="1"/>
  <c r="AM1256" i="1"/>
  <c r="AM1255" i="1"/>
  <c r="AM1254" i="1"/>
  <c r="AM1253" i="1"/>
  <c r="AM1252" i="1"/>
  <c r="AM1251" i="1"/>
  <c r="AM1250" i="1"/>
  <c r="AM1249" i="1"/>
  <c r="AM1248" i="1"/>
  <c r="AM1247" i="1"/>
  <c r="AM1246" i="1"/>
  <c r="AM1245" i="1"/>
  <c r="AM1244" i="1"/>
  <c r="AM1243" i="1"/>
  <c r="AM1242" i="1"/>
  <c r="AM1241" i="1"/>
  <c r="AM1240" i="1"/>
  <c r="AM1239" i="1"/>
  <c r="AM1238" i="1"/>
  <c r="AM1237" i="1"/>
  <c r="AM1236" i="1"/>
  <c r="AM1235" i="1"/>
  <c r="AM1234" i="1"/>
  <c r="AM1233" i="1"/>
  <c r="AM1232" i="1"/>
  <c r="AM1231" i="1"/>
  <c r="AM1230" i="1"/>
  <c r="AM1229" i="1"/>
  <c r="AM1228" i="1"/>
  <c r="AM1227" i="1"/>
  <c r="AM1226" i="1"/>
  <c r="AM1225" i="1"/>
  <c r="AM1224" i="1"/>
  <c r="AM1223" i="1"/>
  <c r="AM1222" i="1"/>
  <c r="AM1221" i="1"/>
  <c r="AM1220" i="1"/>
  <c r="AM1219" i="1"/>
  <c r="AM1218" i="1"/>
  <c r="AM1217" i="1"/>
  <c r="AM1216" i="1"/>
  <c r="AM1215" i="1"/>
  <c r="AM1214" i="1"/>
  <c r="AM1213" i="1"/>
  <c r="AM1212" i="1"/>
  <c r="AM1211" i="1"/>
  <c r="AM1210" i="1"/>
  <c r="AM1209" i="1"/>
  <c r="AM1208" i="1"/>
  <c r="AM1207" i="1"/>
  <c r="AM1206" i="1"/>
  <c r="AM1205" i="1"/>
  <c r="AM1204" i="1"/>
  <c r="AM1203" i="1"/>
  <c r="AM1202" i="1"/>
  <c r="AM1201" i="1"/>
  <c r="AM1200" i="1"/>
  <c r="AM1199" i="1"/>
  <c r="AM1198" i="1"/>
  <c r="AM1197" i="1"/>
  <c r="AM1196" i="1"/>
  <c r="AM1195" i="1"/>
  <c r="AM1194" i="1"/>
  <c r="AM1193" i="1"/>
  <c r="AM1192" i="1"/>
  <c r="AM1191" i="1"/>
  <c r="AM1190" i="1"/>
  <c r="AM1189" i="1"/>
  <c r="AM1188" i="1"/>
  <c r="AM1187" i="1"/>
  <c r="AM1186" i="1"/>
  <c r="AM1185" i="1"/>
  <c r="AM1184" i="1"/>
  <c r="AM1183" i="1"/>
  <c r="AM1182" i="1"/>
  <c r="AM1181" i="1"/>
  <c r="AM1180" i="1"/>
  <c r="AM1179" i="1"/>
  <c r="AM1178" i="1"/>
  <c r="AM1177" i="1"/>
  <c r="AM1176" i="1"/>
  <c r="AM1175" i="1"/>
  <c r="AM1174" i="1"/>
  <c r="AM1173" i="1"/>
  <c r="AM1172" i="1"/>
  <c r="AM1171" i="1"/>
  <c r="AM1170" i="1"/>
  <c r="AM1169" i="1"/>
  <c r="AM1168" i="1"/>
  <c r="AM1167" i="1"/>
  <c r="AM1166" i="1"/>
  <c r="AM1165" i="1"/>
  <c r="AM1164" i="1"/>
  <c r="AM1163" i="1"/>
  <c r="AM1162" i="1"/>
  <c r="AM1161" i="1"/>
  <c r="AM1160" i="1"/>
  <c r="AM1159" i="1"/>
  <c r="AM1158" i="1"/>
  <c r="AM1157" i="1"/>
  <c r="AM1156" i="1"/>
  <c r="AM1155" i="1"/>
  <c r="AM1154" i="1"/>
  <c r="AM1153" i="1"/>
  <c r="AM1152" i="1"/>
  <c r="AM1151" i="1"/>
  <c r="AM1150" i="1"/>
  <c r="AM1149" i="1"/>
  <c r="AM1148" i="1"/>
  <c r="AM1147" i="1"/>
  <c r="AM1146" i="1"/>
  <c r="AM1145" i="1"/>
  <c r="AM1144" i="1"/>
  <c r="AM1143" i="1"/>
  <c r="AM1142" i="1"/>
  <c r="AM1141" i="1"/>
  <c r="AM1140" i="1"/>
  <c r="AM1139" i="1"/>
  <c r="AM1138" i="1"/>
  <c r="AM1137" i="1"/>
  <c r="AM1136" i="1"/>
  <c r="AM1135" i="1"/>
  <c r="AM1134" i="1"/>
  <c r="AM1133" i="1"/>
  <c r="AM1132" i="1"/>
  <c r="AM1131" i="1"/>
  <c r="AM1130" i="1"/>
  <c r="AM1129" i="1"/>
  <c r="AM1128" i="1"/>
  <c r="AM1127" i="1"/>
  <c r="AM1126" i="1"/>
  <c r="AM1125" i="1"/>
  <c r="AM1124" i="1"/>
  <c r="AM1123" i="1"/>
  <c r="AM1122" i="1"/>
  <c r="AM1121" i="1"/>
  <c r="AM1120" i="1"/>
  <c r="AM1119" i="1"/>
  <c r="AM1118" i="1"/>
  <c r="AM1117" i="1"/>
  <c r="AM1116" i="1"/>
  <c r="AM1115" i="1"/>
  <c r="AM1114" i="1"/>
  <c r="AM1113" i="1"/>
  <c r="AM1112" i="1"/>
  <c r="AM1111" i="1"/>
  <c r="AM1110" i="1"/>
  <c r="AM1109" i="1"/>
  <c r="AM1108" i="1"/>
  <c r="AM1107" i="1"/>
  <c r="AM1106" i="1"/>
  <c r="AM1105" i="1"/>
  <c r="AM1104" i="1"/>
  <c r="AM1103" i="1"/>
  <c r="AM1102" i="1"/>
  <c r="AM1101" i="1"/>
  <c r="AM1100" i="1"/>
  <c r="AM1099" i="1"/>
  <c r="AM1098" i="1"/>
  <c r="AM1097" i="1"/>
  <c r="AM1096" i="1"/>
  <c r="AM1095" i="1"/>
  <c r="AM1094" i="1"/>
  <c r="AM1093" i="1"/>
  <c r="AM1092" i="1"/>
  <c r="AM1091" i="1"/>
  <c r="AM1090" i="1"/>
  <c r="AM1089" i="1"/>
  <c r="AM1088" i="1"/>
  <c r="AM1087" i="1"/>
  <c r="AM1086" i="1"/>
  <c r="AM1085" i="1"/>
  <c r="AM1084" i="1"/>
  <c r="AM1083" i="1"/>
  <c r="AM1082" i="1"/>
  <c r="AM1081" i="1"/>
  <c r="AM1080" i="1"/>
  <c r="AM1079" i="1"/>
  <c r="AM1078" i="1"/>
  <c r="AM1077" i="1"/>
  <c r="AM1076" i="1"/>
  <c r="AM1075" i="1"/>
  <c r="AM1074" i="1"/>
  <c r="AM1073" i="1"/>
  <c r="AM1072" i="1"/>
  <c r="AM1071" i="1"/>
  <c r="AM1070" i="1"/>
  <c r="AM1069" i="1"/>
  <c r="AM1068" i="1"/>
  <c r="AM1067" i="1"/>
  <c r="AM1066" i="1"/>
  <c r="AM1065" i="1"/>
  <c r="AM1064" i="1"/>
  <c r="AM1063" i="1"/>
  <c r="AM1062" i="1"/>
  <c r="AM1061" i="1"/>
  <c r="AM1060" i="1"/>
  <c r="AM1059" i="1"/>
  <c r="AM1058" i="1"/>
  <c r="AM1057" i="1"/>
  <c r="AM1056" i="1"/>
  <c r="AM1055" i="1"/>
  <c r="AM1054" i="1"/>
  <c r="AM1053" i="1"/>
  <c r="AM1052" i="1"/>
  <c r="AM1051" i="1"/>
  <c r="AM1050" i="1"/>
  <c r="AM1049" i="1"/>
  <c r="AM1048" i="1"/>
  <c r="AM1047" i="1"/>
  <c r="AM1046" i="1"/>
  <c r="AM1045" i="1"/>
  <c r="AM1044" i="1"/>
  <c r="AM1043" i="1"/>
  <c r="AM1042" i="1"/>
  <c r="AM1041" i="1"/>
  <c r="AM1040" i="1"/>
  <c r="AM1039" i="1"/>
  <c r="AM1038" i="1"/>
  <c r="AM1037" i="1"/>
  <c r="AM1036" i="1"/>
  <c r="AM1035" i="1"/>
  <c r="AM1034" i="1"/>
  <c r="AM1033" i="1"/>
  <c r="AM1032" i="1"/>
  <c r="AM1031" i="1"/>
  <c r="AM1030" i="1"/>
  <c r="AM1029" i="1"/>
  <c r="AM1028" i="1"/>
  <c r="AM1027" i="1"/>
  <c r="AM1026" i="1"/>
  <c r="AM1025" i="1"/>
  <c r="AM1024" i="1"/>
  <c r="AM1023" i="1"/>
  <c r="AM1022" i="1"/>
  <c r="AM1021" i="1"/>
  <c r="AM1020" i="1"/>
  <c r="AM1019" i="1"/>
  <c r="AM1018" i="1"/>
  <c r="AM1017" i="1"/>
  <c r="AM1016" i="1"/>
  <c r="AM1015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9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5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3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I4946" i="1"/>
  <c r="I4994" i="1"/>
  <c r="I4995" i="1"/>
  <c r="I4996" i="1"/>
  <c r="I4997" i="1"/>
  <c r="I5031" i="1"/>
  <c r="I5058" i="1"/>
  <c r="I4940" i="1"/>
  <c r="I4941" i="1"/>
  <c r="I4944" i="1"/>
  <c r="I4945" i="1"/>
  <c r="I4947" i="1"/>
  <c r="I4948" i="1"/>
  <c r="I4949" i="1"/>
  <c r="I4950" i="1"/>
  <c r="I4951" i="1"/>
  <c r="I4954" i="1"/>
  <c r="I4955" i="1"/>
  <c r="I4956" i="1"/>
  <c r="I4957" i="1"/>
  <c r="I4958" i="1"/>
  <c r="I4959" i="1"/>
  <c r="I4960" i="1"/>
  <c r="I4961" i="1"/>
  <c r="I4964" i="1"/>
  <c r="I4965" i="1"/>
  <c r="I4966" i="1"/>
  <c r="I4967" i="1"/>
  <c r="I4968" i="1"/>
  <c r="I4969" i="1"/>
  <c r="I4970" i="1"/>
  <c r="I4971" i="1"/>
  <c r="I4974" i="1"/>
  <c r="I4975" i="1"/>
  <c r="I4976" i="1"/>
  <c r="I4977" i="1"/>
  <c r="I4978" i="1"/>
  <c r="I4979" i="1"/>
  <c r="I4980" i="1"/>
  <c r="I4981" i="1"/>
  <c r="I4984" i="1"/>
  <c r="I4985" i="1"/>
  <c r="I4986" i="1"/>
  <c r="I4987" i="1"/>
  <c r="I4988" i="1"/>
  <c r="I4989" i="1"/>
  <c r="I4990" i="1"/>
  <c r="I4991" i="1"/>
  <c r="I4998" i="1"/>
  <c r="I4999" i="1"/>
  <c r="I5000" i="1"/>
  <c r="I5001" i="1"/>
  <c r="I5004" i="1"/>
  <c r="I5005" i="1"/>
  <c r="I5006" i="1"/>
  <c r="I5007" i="1"/>
  <c r="I5008" i="1"/>
  <c r="I5009" i="1"/>
  <c r="I5010" i="1"/>
  <c r="I5011" i="1"/>
  <c r="I5014" i="1"/>
  <c r="I5015" i="1"/>
  <c r="I5016" i="1"/>
  <c r="I5017" i="1"/>
  <c r="I5018" i="1"/>
  <c r="I5019" i="1"/>
  <c r="I5034" i="1"/>
  <c r="I5035" i="1"/>
  <c r="I5036" i="1"/>
  <c r="I5037" i="1"/>
  <c r="I5038" i="1"/>
  <c r="I5039" i="1"/>
  <c r="I5040" i="1"/>
  <c r="I5041" i="1"/>
  <c r="I5044" i="1"/>
  <c r="I5045" i="1"/>
  <c r="I5046" i="1"/>
  <c r="I5047" i="1"/>
  <c r="I5048" i="1"/>
  <c r="I5049" i="1"/>
  <c r="I5050" i="1"/>
  <c r="I5051" i="1"/>
  <c r="I5054" i="1"/>
  <c r="I5055" i="1"/>
  <c r="I5056" i="1"/>
  <c r="I5057" i="1"/>
  <c r="I5059" i="1"/>
  <c r="I5060" i="1"/>
  <c r="I5061" i="1"/>
  <c r="I5064" i="1"/>
  <c r="I5065" i="1"/>
  <c r="I5066" i="1"/>
  <c r="I5067" i="1"/>
  <c r="I5068" i="1"/>
  <c r="I5069" i="1"/>
  <c r="I5070" i="1"/>
  <c r="I5071" i="1"/>
  <c r="I5074" i="1"/>
  <c r="I5075" i="1"/>
  <c r="I5076" i="1"/>
  <c r="I5077" i="1"/>
  <c r="I5078" i="1"/>
  <c r="I5079" i="1"/>
  <c r="I5080" i="1"/>
  <c r="I5081" i="1"/>
  <c r="I5084" i="1"/>
  <c r="I5085" i="1"/>
  <c r="I5086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3339" i="1" l="1"/>
  <c r="K3339" i="1" s="1"/>
  <c r="J3338" i="1"/>
  <c r="K3338" i="1" s="1"/>
  <c r="J3337" i="1"/>
  <c r="K3337" i="1" s="1"/>
  <c r="J3336" i="1"/>
  <c r="K3336" i="1" s="1"/>
  <c r="J3335" i="1"/>
  <c r="K3335" i="1" s="1"/>
  <c r="M3335" i="1" s="1"/>
  <c r="J3334" i="1"/>
  <c r="K3334" i="1" s="1"/>
  <c r="M3334" i="1" s="1"/>
  <c r="J3333" i="1"/>
  <c r="K3333" i="1" s="1"/>
  <c r="M3333" i="1" s="1"/>
  <c r="J3332" i="1"/>
  <c r="K3332" i="1" s="1"/>
  <c r="J3331" i="1"/>
  <c r="K3331" i="1" s="1"/>
  <c r="M3331" i="1" s="1"/>
  <c r="J3330" i="1"/>
  <c r="K3330" i="1" s="1"/>
  <c r="M3330" i="1" s="1"/>
  <c r="J3329" i="1"/>
  <c r="K3329" i="1" s="1"/>
  <c r="M3329" i="1" s="1"/>
  <c r="J3328" i="1"/>
  <c r="K3328" i="1" s="1"/>
  <c r="J3327" i="1"/>
  <c r="K3327" i="1" s="1"/>
  <c r="J3326" i="1"/>
  <c r="K3326" i="1" s="1"/>
  <c r="J3325" i="1"/>
  <c r="K3325" i="1" s="1"/>
  <c r="J3324" i="1"/>
  <c r="K3324" i="1" s="1"/>
  <c r="M3324" i="1" s="1"/>
  <c r="J3323" i="1"/>
  <c r="K3323" i="1" s="1"/>
  <c r="M3323" i="1" s="1"/>
  <c r="J3322" i="1"/>
  <c r="K3322" i="1" s="1"/>
  <c r="M3322" i="1" s="1"/>
  <c r="J3321" i="1"/>
  <c r="K3321" i="1" s="1"/>
  <c r="J3320" i="1"/>
  <c r="K3320" i="1" s="1"/>
  <c r="J3319" i="1"/>
  <c r="K3319" i="1" s="1"/>
  <c r="M3319" i="1" s="1"/>
  <c r="J3318" i="1"/>
  <c r="K3318" i="1" s="1"/>
  <c r="M3318" i="1" s="1"/>
  <c r="J3317" i="1"/>
  <c r="K3317" i="1" s="1"/>
  <c r="M3317" i="1" s="1"/>
  <c r="J3316" i="1"/>
  <c r="K3316" i="1" s="1"/>
  <c r="J3315" i="1"/>
  <c r="K3315" i="1" s="1"/>
  <c r="J3314" i="1"/>
  <c r="K3314" i="1" s="1"/>
  <c r="M3314" i="1" s="1"/>
  <c r="J3313" i="1"/>
  <c r="K3313" i="1" s="1"/>
  <c r="J3312" i="1"/>
  <c r="K3312" i="1" s="1"/>
  <c r="M3312" i="1" s="1"/>
  <c r="J3311" i="1"/>
  <c r="K3311" i="1" s="1"/>
  <c r="M3311" i="1" s="1"/>
  <c r="J3310" i="1"/>
  <c r="K3310" i="1" s="1"/>
  <c r="J3309" i="1"/>
  <c r="K3309" i="1" s="1"/>
  <c r="J3308" i="1"/>
  <c r="K3308" i="1" s="1"/>
  <c r="J3307" i="1"/>
  <c r="K3307" i="1" s="1"/>
  <c r="J3306" i="1"/>
  <c r="K3306" i="1" s="1"/>
  <c r="J3305" i="1"/>
  <c r="K3305" i="1" s="1"/>
  <c r="J3304" i="1"/>
  <c r="K3304" i="1" s="1"/>
  <c r="J3303" i="1"/>
  <c r="K3303" i="1" s="1"/>
  <c r="J3302" i="1"/>
  <c r="K3302" i="1" s="1"/>
  <c r="J3301" i="1"/>
  <c r="K3301" i="1" s="1"/>
  <c r="M3301" i="1" s="1"/>
  <c r="J3300" i="1"/>
  <c r="K3300" i="1" s="1"/>
  <c r="J3299" i="1"/>
  <c r="K3299" i="1" s="1"/>
  <c r="M3299" i="1" s="1"/>
  <c r="J3298" i="1"/>
  <c r="K3298" i="1" s="1"/>
  <c r="J3297" i="1"/>
  <c r="K3297" i="1" s="1"/>
  <c r="J3296" i="1"/>
  <c r="K3296" i="1" s="1"/>
  <c r="J3295" i="1"/>
  <c r="K3295" i="1" s="1"/>
  <c r="J3294" i="1"/>
  <c r="K3294" i="1" s="1"/>
  <c r="J3293" i="1"/>
  <c r="K3293" i="1" s="1"/>
  <c r="M3293" i="1" s="1"/>
  <c r="J3292" i="1"/>
  <c r="K3292" i="1" s="1"/>
  <c r="J3291" i="1"/>
  <c r="K3291" i="1" s="1"/>
  <c r="J3290" i="1"/>
  <c r="K3290" i="1" s="1"/>
  <c r="J3289" i="1"/>
  <c r="K3289" i="1" s="1"/>
  <c r="J3288" i="1"/>
  <c r="K3288" i="1" s="1"/>
  <c r="J3287" i="1"/>
  <c r="K3287" i="1" s="1"/>
  <c r="M3287" i="1" s="1"/>
  <c r="J3286" i="1"/>
  <c r="K3286" i="1" s="1"/>
  <c r="J3285" i="1"/>
  <c r="K3285" i="1" s="1"/>
  <c r="J3284" i="1"/>
  <c r="K3284" i="1" s="1"/>
  <c r="J3283" i="1"/>
  <c r="K3283" i="1" s="1"/>
  <c r="M3283" i="1" s="1"/>
  <c r="J3282" i="1"/>
  <c r="K3282" i="1" s="1"/>
  <c r="J3281" i="1"/>
  <c r="K3281" i="1" s="1"/>
  <c r="J3280" i="1"/>
  <c r="K3280" i="1" s="1"/>
  <c r="J3279" i="1"/>
  <c r="K3279" i="1" s="1"/>
  <c r="J3278" i="1"/>
  <c r="K3278" i="1" s="1"/>
  <c r="M3278" i="1" s="1"/>
  <c r="J3277" i="1"/>
  <c r="K3277" i="1" s="1"/>
  <c r="M3277" i="1" s="1"/>
  <c r="J3276" i="1"/>
  <c r="K3276" i="1" s="1"/>
  <c r="J3275" i="1"/>
  <c r="K3275" i="1" s="1"/>
  <c r="J3274" i="1"/>
  <c r="K3274" i="1" s="1"/>
  <c r="J3273" i="1"/>
  <c r="K3273" i="1" s="1"/>
  <c r="J3272" i="1"/>
  <c r="K3272" i="1" s="1"/>
  <c r="J3271" i="1"/>
  <c r="K3271" i="1" s="1"/>
  <c r="J3270" i="1"/>
  <c r="K3270" i="1" s="1"/>
  <c r="J3269" i="1"/>
  <c r="K3269" i="1" s="1"/>
  <c r="J3268" i="1"/>
  <c r="K3268" i="1" s="1"/>
  <c r="J3267" i="1"/>
  <c r="K3267" i="1" s="1"/>
  <c r="J3266" i="1"/>
  <c r="K3266" i="1" s="1"/>
  <c r="M3266" i="1" s="1"/>
  <c r="J3265" i="1"/>
  <c r="K3265" i="1" s="1"/>
  <c r="M3265" i="1" s="1"/>
  <c r="J3264" i="1"/>
  <c r="K3264" i="1" s="1"/>
  <c r="J3263" i="1"/>
  <c r="K3263" i="1" s="1"/>
  <c r="J3262" i="1"/>
  <c r="K3262" i="1" s="1"/>
  <c r="J3261" i="1"/>
  <c r="K3261" i="1" s="1"/>
  <c r="J3260" i="1"/>
  <c r="K3260" i="1" s="1"/>
  <c r="J3259" i="1"/>
  <c r="K3259" i="1" s="1"/>
  <c r="M3259" i="1" s="1"/>
  <c r="J3258" i="1"/>
  <c r="K3258" i="1" s="1"/>
  <c r="M3258" i="1" s="1"/>
  <c r="J3257" i="1"/>
  <c r="K3257" i="1" s="1"/>
  <c r="M3257" i="1" s="1"/>
  <c r="J3256" i="1"/>
  <c r="K3256" i="1" s="1"/>
  <c r="J3255" i="1"/>
  <c r="K3255" i="1" s="1"/>
  <c r="J3254" i="1"/>
  <c r="K3254" i="1" s="1"/>
  <c r="J3253" i="1"/>
  <c r="K3253" i="1" s="1"/>
  <c r="J3252" i="1"/>
  <c r="K3252" i="1" s="1"/>
  <c r="J3251" i="1"/>
  <c r="K3251" i="1" s="1"/>
  <c r="J3250" i="1"/>
  <c r="K3250" i="1" s="1"/>
  <c r="M3250" i="1" s="1"/>
  <c r="J3249" i="1"/>
  <c r="K3249" i="1" s="1"/>
  <c r="J3248" i="1"/>
  <c r="K3248" i="1" s="1"/>
  <c r="M3248" i="1" s="1"/>
  <c r="J3247" i="1"/>
  <c r="K3247" i="1" s="1"/>
  <c r="J3246" i="1"/>
  <c r="K3246" i="1" s="1"/>
  <c r="M3246" i="1" s="1"/>
  <c r="J3245" i="1"/>
  <c r="K3245" i="1" s="1"/>
  <c r="J3244" i="1"/>
  <c r="K3244" i="1" s="1"/>
  <c r="J3243" i="1"/>
  <c r="K3243" i="1" s="1"/>
  <c r="J3242" i="1"/>
  <c r="K3242" i="1" s="1"/>
  <c r="J3241" i="1"/>
  <c r="K3241" i="1" s="1"/>
  <c r="J3240" i="1"/>
  <c r="K3240" i="1" s="1"/>
  <c r="M3240" i="1" s="1"/>
  <c r="J3239" i="1"/>
  <c r="K3239" i="1" s="1"/>
  <c r="J3238" i="1"/>
  <c r="K3238" i="1" s="1"/>
  <c r="J3237" i="1"/>
  <c r="K3237" i="1" s="1"/>
  <c r="J3236" i="1"/>
  <c r="K3236" i="1" s="1"/>
  <c r="J3235" i="1"/>
  <c r="K3235" i="1" s="1"/>
  <c r="M3235" i="1" s="1"/>
  <c r="J3234" i="1"/>
  <c r="K3234" i="1" s="1"/>
  <c r="J3233" i="1"/>
  <c r="K3233" i="1" s="1"/>
  <c r="J3232" i="1"/>
  <c r="K3232" i="1" s="1"/>
  <c r="J3231" i="1"/>
  <c r="K3231" i="1" s="1"/>
  <c r="J3230" i="1"/>
  <c r="K3230" i="1" s="1"/>
  <c r="M3230" i="1" s="1"/>
  <c r="J3229" i="1"/>
  <c r="K3229" i="1" s="1"/>
  <c r="J3228" i="1"/>
  <c r="K3228" i="1" s="1"/>
  <c r="M3228" i="1" s="1"/>
  <c r="J3227" i="1"/>
  <c r="K3227" i="1" s="1"/>
  <c r="M3227" i="1" s="1"/>
  <c r="J3226" i="1"/>
  <c r="K3226" i="1" s="1"/>
  <c r="M3226" i="1" s="1"/>
  <c r="J3225" i="1"/>
  <c r="K3225" i="1" s="1"/>
  <c r="J3224" i="1"/>
  <c r="K3224" i="1" s="1"/>
  <c r="J3223" i="1"/>
  <c r="K3223" i="1" s="1"/>
  <c r="J3222" i="1"/>
  <c r="K3222" i="1" s="1"/>
  <c r="M3222" i="1" s="1"/>
  <c r="J3221" i="1"/>
  <c r="K3221" i="1" s="1"/>
  <c r="J3220" i="1"/>
  <c r="K3220" i="1" s="1"/>
  <c r="J3219" i="1"/>
  <c r="K3219" i="1" s="1"/>
  <c r="J3218" i="1"/>
  <c r="K3218" i="1" s="1"/>
  <c r="J3217" i="1"/>
  <c r="K3217" i="1" s="1"/>
  <c r="J3216" i="1"/>
  <c r="K3216" i="1" s="1"/>
  <c r="J3215" i="1"/>
  <c r="K3215" i="1" s="1"/>
  <c r="J3214" i="1"/>
  <c r="K3214" i="1" s="1"/>
  <c r="J3213" i="1"/>
  <c r="K3213" i="1" s="1"/>
  <c r="J3212" i="1"/>
  <c r="K3212" i="1" s="1"/>
  <c r="J3211" i="1"/>
  <c r="K3211" i="1" s="1"/>
  <c r="J3210" i="1"/>
  <c r="K3210" i="1" s="1"/>
  <c r="J3209" i="1"/>
  <c r="K3209" i="1" s="1"/>
  <c r="M3209" i="1" s="1"/>
  <c r="J3208" i="1"/>
  <c r="K3208" i="1" s="1"/>
  <c r="M3208" i="1" s="1"/>
  <c r="J3207" i="1"/>
  <c r="K3207" i="1" s="1"/>
  <c r="J3206" i="1"/>
  <c r="K3206" i="1" s="1"/>
  <c r="J3205" i="1"/>
  <c r="K3205" i="1" s="1"/>
  <c r="M3205" i="1" s="1"/>
  <c r="J3204" i="1"/>
  <c r="K3204" i="1" s="1"/>
  <c r="J3203" i="1"/>
  <c r="K3203" i="1" s="1"/>
  <c r="M3203" i="1" s="1"/>
  <c r="J3202" i="1"/>
  <c r="K3202" i="1" s="1"/>
  <c r="J3201" i="1"/>
  <c r="K3201" i="1" s="1"/>
  <c r="J3200" i="1"/>
  <c r="K3200" i="1" s="1"/>
  <c r="J3199" i="1"/>
  <c r="K3199" i="1" s="1"/>
  <c r="J3198" i="1"/>
  <c r="K3198" i="1" s="1"/>
  <c r="J3197" i="1"/>
  <c r="K3197" i="1" s="1"/>
  <c r="J3196" i="1"/>
  <c r="K3196" i="1" s="1"/>
  <c r="J3195" i="1"/>
  <c r="K3195" i="1" s="1"/>
  <c r="J3194" i="1"/>
  <c r="K3194" i="1" s="1"/>
  <c r="M3194" i="1" s="1"/>
  <c r="J3193" i="1"/>
  <c r="K3193" i="1" s="1"/>
  <c r="M3193" i="1" s="1"/>
  <c r="J3192" i="1"/>
  <c r="K3192" i="1" s="1"/>
  <c r="M3192" i="1" s="1"/>
  <c r="J3191" i="1"/>
  <c r="K3191" i="1" s="1"/>
  <c r="J3190" i="1"/>
  <c r="K3190" i="1" s="1"/>
  <c r="M3190" i="1" s="1"/>
  <c r="J3189" i="1"/>
  <c r="K3189" i="1" s="1"/>
  <c r="J3188" i="1"/>
  <c r="K3188" i="1" s="1"/>
  <c r="J3187" i="1"/>
  <c r="K3187" i="1" s="1"/>
  <c r="J3186" i="1"/>
  <c r="K3186" i="1" s="1"/>
  <c r="J3185" i="1"/>
  <c r="K3185" i="1" s="1"/>
  <c r="M3185" i="1" s="1"/>
  <c r="J3184" i="1"/>
  <c r="K3184" i="1" s="1"/>
  <c r="M3184" i="1" s="1"/>
  <c r="J3183" i="1"/>
  <c r="K3183" i="1" s="1"/>
  <c r="J3182" i="1"/>
  <c r="K3182" i="1" s="1"/>
  <c r="J3181" i="1"/>
  <c r="K3181" i="1" s="1"/>
  <c r="J3180" i="1"/>
  <c r="K3180" i="1" s="1"/>
  <c r="J3179" i="1"/>
  <c r="K3179" i="1" s="1"/>
  <c r="J3178" i="1"/>
  <c r="K3178" i="1" s="1"/>
  <c r="J3177" i="1"/>
  <c r="K3177" i="1" s="1"/>
  <c r="J3176" i="1"/>
  <c r="K3176" i="1" s="1"/>
  <c r="J3175" i="1"/>
  <c r="K3175" i="1" s="1"/>
  <c r="J3174" i="1"/>
  <c r="K3174" i="1" s="1"/>
  <c r="J3173" i="1"/>
  <c r="K3173" i="1" s="1"/>
  <c r="J3172" i="1"/>
  <c r="K3172" i="1" s="1"/>
  <c r="M3172" i="1" s="1"/>
  <c r="J3171" i="1"/>
  <c r="K3171" i="1" s="1"/>
  <c r="M3171" i="1" s="1"/>
  <c r="J3170" i="1"/>
  <c r="K3170" i="1" s="1"/>
  <c r="J3169" i="1"/>
  <c r="K3169" i="1" s="1"/>
  <c r="J3168" i="1"/>
  <c r="K3168" i="1" s="1"/>
  <c r="J3167" i="1"/>
  <c r="K3167" i="1" s="1"/>
  <c r="J3166" i="1"/>
  <c r="K3166" i="1" s="1"/>
  <c r="J3165" i="1"/>
  <c r="K3165" i="1" s="1"/>
  <c r="J3164" i="1"/>
  <c r="K3164" i="1" s="1"/>
  <c r="L3164" i="1" s="1"/>
  <c r="J3163" i="1"/>
  <c r="K3163" i="1" s="1"/>
  <c r="M3163" i="1" s="1"/>
  <c r="J3162" i="1"/>
  <c r="K3162" i="1" s="1"/>
  <c r="J3161" i="1"/>
  <c r="K3161" i="1" s="1"/>
  <c r="J3160" i="1"/>
  <c r="K3160" i="1" s="1"/>
  <c r="J3159" i="1"/>
  <c r="K3159" i="1" s="1"/>
  <c r="J3158" i="1"/>
  <c r="K3158" i="1" s="1"/>
  <c r="J3157" i="1"/>
  <c r="K3157" i="1" s="1"/>
  <c r="J3156" i="1"/>
  <c r="K3156" i="1" s="1"/>
  <c r="J3155" i="1"/>
  <c r="K3155" i="1" s="1"/>
  <c r="J3154" i="1"/>
  <c r="K3154" i="1" s="1"/>
  <c r="M3154" i="1" s="1"/>
  <c r="J3153" i="1"/>
  <c r="K3153" i="1" s="1"/>
  <c r="J3152" i="1"/>
  <c r="K3152" i="1" s="1"/>
  <c r="M3152" i="1" s="1"/>
  <c r="J3151" i="1"/>
  <c r="K3151" i="1" s="1"/>
  <c r="J3150" i="1"/>
  <c r="K3150" i="1" s="1"/>
  <c r="M3150" i="1" s="1"/>
  <c r="J3149" i="1"/>
  <c r="K3149" i="1" s="1"/>
  <c r="J3148" i="1"/>
  <c r="K3148" i="1" s="1"/>
  <c r="J3147" i="1"/>
  <c r="K3147" i="1" s="1"/>
  <c r="J3146" i="1"/>
  <c r="K3146" i="1" s="1"/>
  <c r="J3145" i="1"/>
  <c r="K3145" i="1" s="1"/>
  <c r="J3144" i="1"/>
  <c r="K3144" i="1" s="1"/>
  <c r="M3144" i="1" s="1"/>
  <c r="J3143" i="1"/>
  <c r="K3143" i="1" s="1"/>
  <c r="J3142" i="1"/>
  <c r="K3142" i="1" s="1"/>
  <c r="J3141" i="1"/>
  <c r="K3141" i="1" s="1"/>
  <c r="J3140" i="1"/>
  <c r="K3140" i="1" s="1"/>
  <c r="J3139" i="1"/>
  <c r="K3139" i="1" s="1"/>
  <c r="J3138" i="1"/>
  <c r="K3138" i="1" s="1"/>
  <c r="J3137" i="1"/>
  <c r="K3137" i="1" s="1"/>
  <c r="J3136" i="1"/>
  <c r="K3136" i="1" s="1"/>
  <c r="J3135" i="1"/>
  <c r="K3135" i="1" s="1"/>
  <c r="J3134" i="1"/>
  <c r="K3134" i="1" s="1"/>
  <c r="J3133" i="1"/>
  <c r="K3133" i="1" s="1"/>
  <c r="J3132" i="1"/>
  <c r="K3132" i="1" s="1"/>
  <c r="M3132" i="1" s="1"/>
  <c r="J3131" i="1"/>
  <c r="K3131" i="1" s="1"/>
  <c r="M3131" i="1" s="1"/>
  <c r="J3130" i="1"/>
  <c r="K3130" i="1" s="1"/>
  <c r="J3129" i="1"/>
  <c r="K3129" i="1" s="1"/>
  <c r="M3129" i="1" s="1"/>
  <c r="J3128" i="1"/>
  <c r="K3128" i="1" s="1"/>
  <c r="J3127" i="1"/>
  <c r="K3127" i="1" s="1"/>
  <c r="J3126" i="1"/>
  <c r="K3126" i="1" s="1"/>
  <c r="M3126" i="1" s="1"/>
  <c r="J3125" i="1"/>
  <c r="K3125" i="1" s="1"/>
  <c r="M3125" i="1" s="1"/>
  <c r="J3124" i="1"/>
  <c r="K3124" i="1" s="1"/>
  <c r="J3123" i="1"/>
  <c r="K3123" i="1" s="1"/>
  <c r="J3122" i="1"/>
  <c r="K3122" i="1" s="1"/>
  <c r="J3121" i="1"/>
  <c r="K3121" i="1" s="1"/>
  <c r="J3120" i="1"/>
  <c r="K3120" i="1" s="1"/>
  <c r="J3119" i="1"/>
  <c r="K3119" i="1" s="1"/>
  <c r="J3118" i="1"/>
  <c r="K3118" i="1" s="1"/>
  <c r="J3117" i="1"/>
  <c r="K3117" i="1" s="1"/>
  <c r="J3116" i="1"/>
  <c r="K3116" i="1" s="1"/>
  <c r="J3115" i="1"/>
  <c r="K3115" i="1" s="1"/>
  <c r="M3115" i="1" s="1"/>
  <c r="J3114" i="1"/>
  <c r="K3114" i="1" s="1"/>
  <c r="J3113" i="1"/>
  <c r="K3113" i="1" s="1"/>
  <c r="J3112" i="1"/>
  <c r="K3112" i="1" s="1"/>
  <c r="J3111" i="1"/>
  <c r="K3111" i="1" s="1"/>
  <c r="M3111" i="1" s="1"/>
  <c r="J3110" i="1"/>
  <c r="K3110" i="1" s="1"/>
  <c r="M3110" i="1" s="1"/>
  <c r="J3109" i="1"/>
  <c r="K3109" i="1" s="1"/>
  <c r="J3108" i="1"/>
  <c r="K3108" i="1" s="1"/>
  <c r="J3107" i="1"/>
  <c r="K3107" i="1" s="1"/>
  <c r="J3106" i="1"/>
  <c r="K3106" i="1" s="1"/>
  <c r="M3106" i="1" s="1"/>
  <c r="J3105" i="1"/>
  <c r="K3105" i="1" s="1"/>
  <c r="J3104" i="1"/>
  <c r="K3104" i="1" s="1"/>
  <c r="J3103" i="1"/>
  <c r="K3103" i="1" s="1"/>
  <c r="J3102" i="1"/>
  <c r="K3102" i="1" s="1"/>
  <c r="J3101" i="1"/>
  <c r="K3101" i="1" s="1"/>
  <c r="J3100" i="1"/>
  <c r="K3100" i="1" s="1"/>
  <c r="J3099" i="1"/>
  <c r="K3099" i="1" s="1"/>
  <c r="J3098" i="1"/>
  <c r="K3098" i="1" s="1"/>
  <c r="J3097" i="1"/>
  <c r="K3097" i="1" s="1"/>
  <c r="M3097" i="1" s="1"/>
  <c r="J3096" i="1"/>
  <c r="K3096" i="1" s="1"/>
  <c r="J3095" i="1"/>
  <c r="K3095" i="1" s="1"/>
  <c r="J3094" i="1"/>
  <c r="K3094" i="1" s="1"/>
  <c r="J3093" i="1"/>
  <c r="K3093" i="1" s="1"/>
  <c r="M3093" i="1" s="1"/>
  <c r="J3092" i="1"/>
  <c r="K3092" i="1" s="1"/>
  <c r="M3092" i="1" s="1"/>
  <c r="J3091" i="1"/>
  <c r="K3091" i="1" s="1"/>
  <c r="M3091" i="1" s="1"/>
  <c r="J3090" i="1"/>
  <c r="K3090" i="1" s="1"/>
  <c r="J3089" i="1"/>
  <c r="K3089" i="1" s="1"/>
  <c r="J3088" i="1"/>
  <c r="K3088" i="1" s="1"/>
  <c r="M3088" i="1" s="1"/>
  <c r="J3087" i="1"/>
  <c r="K3087" i="1" s="1"/>
  <c r="M3087" i="1" s="1"/>
  <c r="J3086" i="1"/>
  <c r="K3086" i="1" s="1"/>
  <c r="J3085" i="1"/>
  <c r="K3085" i="1" s="1"/>
  <c r="J3084" i="1"/>
  <c r="K3084" i="1" s="1"/>
  <c r="J3083" i="1"/>
  <c r="K3083" i="1" s="1"/>
  <c r="J3082" i="1"/>
  <c r="K3082" i="1" s="1"/>
  <c r="J3081" i="1"/>
  <c r="K3081" i="1" s="1"/>
  <c r="J3080" i="1"/>
  <c r="K3080" i="1" s="1"/>
  <c r="J3079" i="1"/>
  <c r="K3079" i="1" s="1"/>
  <c r="J3078" i="1"/>
  <c r="K3078" i="1" s="1"/>
  <c r="J3077" i="1"/>
  <c r="K3077" i="1" s="1"/>
  <c r="M3077" i="1" s="1"/>
  <c r="J3076" i="1"/>
  <c r="K3076" i="1" s="1"/>
  <c r="M3076" i="1" s="1"/>
  <c r="J3075" i="1"/>
  <c r="K3075" i="1" s="1"/>
  <c r="J3074" i="1"/>
  <c r="K3074" i="1" s="1"/>
  <c r="M3074" i="1" s="1"/>
  <c r="J3073" i="1"/>
  <c r="K3073" i="1" s="1"/>
  <c r="M3073" i="1" s="1"/>
  <c r="J3072" i="1"/>
  <c r="K3072" i="1" s="1"/>
  <c r="M3072" i="1" s="1"/>
  <c r="J3071" i="1"/>
  <c r="K3071" i="1" s="1"/>
  <c r="J3070" i="1"/>
  <c r="K3070" i="1" s="1"/>
  <c r="J3069" i="1"/>
  <c r="K3069" i="1" s="1"/>
  <c r="J3068" i="1"/>
  <c r="K3068" i="1" s="1"/>
  <c r="J3067" i="1"/>
  <c r="K3067" i="1" s="1"/>
  <c r="J3066" i="1"/>
  <c r="K3066" i="1" s="1"/>
  <c r="J3065" i="1"/>
  <c r="K3065" i="1" s="1"/>
  <c r="J3064" i="1"/>
  <c r="K3064" i="1" s="1"/>
  <c r="J3063" i="1"/>
  <c r="K3063" i="1" s="1"/>
  <c r="J3062" i="1"/>
  <c r="K3062" i="1" s="1"/>
  <c r="J3061" i="1"/>
  <c r="K3061" i="1" s="1"/>
  <c r="J3060" i="1"/>
  <c r="K3060" i="1" s="1"/>
  <c r="J3059" i="1"/>
  <c r="K3059" i="1" s="1"/>
  <c r="J3058" i="1"/>
  <c r="K3058" i="1" s="1"/>
  <c r="M3058" i="1" s="1"/>
  <c r="J3057" i="1"/>
  <c r="K3057" i="1" s="1"/>
  <c r="M3057" i="1" s="1"/>
  <c r="J3056" i="1"/>
  <c r="K3056" i="1" s="1"/>
  <c r="M3056" i="1" s="1"/>
  <c r="J3055" i="1"/>
  <c r="K3055" i="1" s="1"/>
  <c r="M3055" i="1" s="1"/>
  <c r="J3054" i="1"/>
  <c r="K3054" i="1" s="1"/>
  <c r="M3054" i="1" s="1"/>
  <c r="J3053" i="1"/>
  <c r="K3053" i="1" s="1"/>
  <c r="J3052" i="1"/>
  <c r="K3052" i="1" s="1"/>
  <c r="M3052" i="1" s="1"/>
  <c r="J3051" i="1"/>
  <c r="K3051" i="1" s="1"/>
  <c r="J3050" i="1"/>
  <c r="K3050" i="1" s="1"/>
  <c r="J3049" i="1"/>
  <c r="K3049" i="1" s="1"/>
  <c r="J3048" i="1"/>
  <c r="K3048" i="1" s="1"/>
  <c r="M3048" i="1" s="1"/>
  <c r="J3047" i="1"/>
  <c r="K3047" i="1" s="1"/>
  <c r="M3047" i="1" s="1"/>
  <c r="J3046" i="1"/>
  <c r="K3046" i="1" s="1"/>
  <c r="J3045" i="1"/>
  <c r="K3045" i="1" s="1"/>
  <c r="J3044" i="1"/>
  <c r="K3044" i="1" s="1"/>
  <c r="J3043" i="1"/>
  <c r="K3043" i="1" s="1"/>
  <c r="J3042" i="1"/>
  <c r="K3042" i="1" s="1"/>
  <c r="J3041" i="1"/>
  <c r="K3041" i="1" s="1"/>
  <c r="J3040" i="1"/>
  <c r="K3040" i="1" s="1"/>
  <c r="J3039" i="1"/>
  <c r="K3039" i="1" s="1"/>
  <c r="J3038" i="1"/>
  <c r="K3038" i="1" s="1"/>
  <c r="M3038" i="1" s="1"/>
  <c r="J3037" i="1"/>
  <c r="K3037" i="1" s="1"/>
  <c r="J3036" i="1"/>
  <c r="K3036" i="1" s="1"/>
  <c r="M3036" i="1" s="1"/>
  <c r="J3035" i="1"/>
  <c r="K3035" i="1" s="1"/>
  <c r="J3034" i="1"/>
  <c r="K3034" i="1" s="1"/>
  <c r="M3034" i="1" s="1"/>
  <c r="J3033" i="1"/>
  <c r="K3033" i="1" s="1"/>
  <c r="J3032" i="1"/>
  <c r="K3032" i="1" s="1"/>
  <c r="M3032" i="1" s="1"/>
  <c r="J3031" i="1"/>
  <c r="K3031" i="1" s="1"/>
  <c r="J3030" i="1"/>
  <c r="K3030" i="1" s="1"/>
  <c r="J3029" i="1"/>
  <c r="K3029" i="1" s="1"/>
  <c r="J3028" i="1"/>
  <c r="K3028" i="1" s="1"/>
  <c r="J3027" i="1"/>
  <c r="K3027" i="1" s="1"/>
  <c r="J3026" i="1"/>
  <c r="K3026" i="1" s="1"/>
  <c r="J3025" i="1"/>
  <c r="K3025" i="1" s="1"/>
  <c r="J3024" i="1"/>
  <c r="K3024" i="1" s="1"/>
  <c r="J3022" i="1"/>
  <c r="K3022" i="1" s="1"/>
  <c r="J3021" i="1"/>
  <c r="K3021" i="1" s="1"/>
  <c r="J3020" i="1"/>
  <c r="K3020" i="1" s="1"/>
  <c r="J3019" i="1"/>
  <c r="K3019" i="1" s="1"/>
  <c r="J3018" i="1"/>
  <c r="K3018" i="1" s="1"/>
  <c r="M3018" i="1" s="1"/>
  <c r="J3017" i="1"/>
  <c r="K3017" i="1" s="1"/>
  <c r="M3017" i="1" s="1"/>
  <c r="J3016" i="1"/>
  <c r="K3016" i="1" s="1"/>
  <c r="J3015" i="1"/>
  <c r="K3015" i="1" s="1"/>
  <c r="M3015" i="1" s="1"/>
  <c r="J3014" i="1"/>
  <c r="K3014" i="1" s="1"/>
  <c r="M3014" i="1" s="1"/>
  <c r="J3013" i="1"/>
  <c r="K3013" i="1" s="1"/>
  <c r="M3013" i="1" s="1"/>
  <c r="J3012" i="1"/>
  <c r="K3012" i="1" s="1"/>
  <c r="J3011" i="1"/>
  <c r="K3011" i="1" s="1"/>
  <c r="J3010" i="1"/>
  <c r="K3010" i="1" s="1"/>
  <c r="J3009" i="1"/>
  <c r="K3009" i="1" s="1"/>
  <c r="M3009" i="1" s="1"/>
  <c r="J3008" i="1"/>
  <c r="K3008" i="1" s="1"/>
  <c r="J3007" i="1"/>
  <c r="K3007" i="1" s="1"/>
  <c r="J3006" i="1"/>
  <c r="K3006" i="1" s="1"/>
  <c r="J3005" i="1"/>
  <c r="K3005" i="1" s="1"/>
  <c r="J3004" i="1"/>
  <c r="K3004" i="1" s="1"/>
  <c r="J3003" i="1"/>
  <c r="K3003" i="1" s="1"/>
  <c r="J3002" i="1"/>
  <c r="K3002" i="1" s="1"/>
  <c r="J3001" i="1"/>
  <c r="K3001" i="1" s="1"/>
  <c r="J3000" i="1"/>
  <c r="K3000" i="1" s="1"/>
  <c r="M3000" i="1" s="1"/>
  <c r="J2999" i="1"/>
  <c r="K2999" i="1" s="1"/>
  <c r="J2998" i="1"/>
  <c r="K2998" i="1" s="1"/>
  <c r="M2998" i="1" s="1"/>
  <c r="J2997" i="1"/>
  <c r="K2997" i="1" s="1"/>
  <c r="M2997" i="1" s="1"/>
  <c r="J2996" i="1"/>
  <c r="K2996" i="1" s="1"/>
  <c r="J2995" i="1"/>
  <c r="K2995" i="1" s="1"/>
  <c r="J2994" i="1"/>
  <c r="K2994" i="1" s="1"/>
  <c r="J2993" i="1"/>
  <c r="K2993" i="1" s="1"/>
  <c r="M2993" i="1" s="1"/>
  <c r="J2992" i="1"/>
  <c r="K2992" i="1" s="1"/>
  <c r="J2991" i="1"/>
  <c r="K2991" i="1" s="1"/>
  <c r="J2990" i="1"/>
  <c r="K2990" i="1" s="1"/>
  <c r="J2989" i="1"/>
  <c r="K2989" i="1" s="1"/>
  <c r="J2988" i="1"/>
  <c r="K2988" i="1" s="1"/>
  <c r="J2987" i="1"/>
  <c r="K2987" i="1" s="1"/>
  <c r="J2986" i="1"/>
  <c r="K2986" i="1" s="1"/>
  <c r="J2985" i="1"/>
  <c r="K2985" i="1" s="1"/>
  <c r="J2984" i="1"/>
  <c r="K2984" i="1" s="1"/>
  <c r="J2983" i="1"/>
  <c r="K2983" i="1" s="1"/>
  <c r="J2982" i="1"/>
  <c r="K2982" i="1" s="1"/>
  <c r="J2981" i="1"/>
  <c r="K2981" i="1" s="1"/>
  <c r="J2980" i="1"/>
  <c r="K2980" i="1" s="1"/>
  <c r="J2979" i="1"/>
  <c r="K2979" i="1" s="1"/>
  <c r="J2978" i="1"/>
  <c r="K2978" i="1" s="1"/>
  <c r="M2978" i="1" s="1"/>
  <c r="J2977" i="1"/>
  <c r="K2977" i="1" s="1"/>
  <c r="J2976" i="1"/>
  <c r="K2976" i="1" s="1"/>
  <c r="J2975" i="1"/>
  <c r="K2975" i="1" s="1"/>
  <c r="M2975" i="1" s="1"/>
  <c r="J2974" i="1"/>
  <c r="K2974" i="1" s="1"/>
  <c r="M2974" i="1" s="1"/>
  <c r="J2973" i="1"/>
  <c r="K2973" i="1" s="1"/>
  <c r="J2972" i="1"/>
  <c r="K2972" i="1" s="1"/>
  <c r="J2971" i="1"/>
  <c r="K2971" i="1" s="1"/>
  <c r="J2970" i="1"/>
  <c r="K2970" i="1" s="1"/>
  <c r="M2970" i="1" s="1"/>
  <c r="J2969" i="1"/>
  <c r="K2969" i="1" s="1"/>
  <c r="J2968" i="1"/>
  <c r="K2968" i="1" s="1"/>
  <c r="J2967" i="1"/>
  <c r="K2967" i="1" s="1"/>
  <c r="J2966" i="1"/>
  <c r="K2966" i="1" s="1"/>
  <c r="J2965" i="1"/>
  <c r="K2965" i="1" s="1"/>
  <c r="J2964" i="1"/>
  <c r="K2964" i="1" s="1"/>
  <c r="J2963" i="1"/>
  <c r="K2963" i="1" s="1"/>
  <c r="J2962" i="1"/>
  <c r="K2962" i="1" s="1"/>
  <c r="J2961" i="1"/>
  <c r="K2961" i="1" s="1"/>
  <c r="M2961" i="1" s="1"/>
  <c r="J2960" i="1"/>
  <c r="K2960" i="1" s="1"/>
  <c r="J2959" i="1"/>
  <c r="K2959" i="1" s="1"/>
  <c r="M2959" i="1" s="1"/>
  <c r="J2958" i="1"/>
  <c r="K2958" i="1" s="1"/>
  <c r="J2957" i="1"/>
  <c r="K2957" i="1" s="1"/>
  <c r="J2956" i="1"/>
  <c r="K2956" i="1" s="1"/>
  <c r="J2955" i="1"/>
  <c r="K2955" i="1" s="1"/>
  <c r="M2955" i="1" s="1"/>
  <c r="J2954" i="1"/>
  <c r="K2954" i="1" s="1"/>
  <c r="M2954" i="1" s="1"/>
  <c r="J2953" i="1"/>
  <c r="K2953" i="1" s="1"/>
  <c r="J2952" i="1"/>
  <c r="K2952" i="1" s="1"/>
  <c r="J2951" i="1"/>
  <c r="K2951" i="1" s="1"/>
  <c r="J2950" i="1"/>
  <c r="K2950" i="1" s="1"/>
  <c r="J2949" i="1"/>
  <c r="K2949" i="1" s="1"/>
  <c r="J2948" i="1"/>
  <c r="K2948" i="1" s="1"/>
  <c r="J2947" i="1"/>
  <c r="K2947" i="1" s="1"/>
  <c r="J2946" i="1"/>
  <c r="K2946" i="1" s="1"/>
  <c r="J2944" i="1"/>
  <c r="K2944" i="1" s="1"/>
  <c r="J2943" i="1"/>
  <c r="K2943" i="1" s="1"/>
  <c r="J2942" i="1"/>
  <c r="K2942" i="1" s="1"/>
  <c r="J2941" i="1"/>
  <c r="K2941" i="1" s="1"/>
  <c r="J2940" i="1"/>
  <c r="K2940" i="1" s="1"/>
  <c r="M2940" i="1" s="1"/>
  <c r="J2939" i="1"/>
  <c r="K2939" i="1" s="1"/>
  <c r="J2938" i="1"/>
  <c r="K2938" i="1" s="1"/>
  <c r="J2937" i="1"/>
  <c r="K2937" i="1" s="1"/>
  <c r="J2936" i="1"/>
  <c r="K2936" i="1" s="1"/>
  <c r="J2935" i="1"/>
  <c r="K2935" i="1" s="1"/>
  <c r="M2935" i="1" s="1"/>
  <c r="J2934" i="1"/>
  <c r="K2934" i="1" s="1"/>
  <c r="J2933" i="1"/>
  <c r="K2933" i="1" s="1"/>
  <c r="J2932" i="1"/>
  <c r="K2932" i="1" s="1"/>
  <c r="J2931" i="1"/>
  <c r="K2931" i="1" s="1"/>
  <c r="J2930" i="1"/>
  <c r="K2930" i="1" s="1"/>
  <c r="J2929" i="1"/>
  <c r="K2929" i="1" s="1"/>
  <c r="J2928" i="1"/>
  <c r="K2928" i="1" s="1"/>
  <c r="J2926" i="1"/>
  <c r="K2926" i="1" s="1"/>
  <c r="J2925" i="1"/>
  <c r="K2925" i="1" s="1"/>
  <c r="J2924" i="1"/>
  <c r="K2924" i="1" s="1"/>
  <c r="J2923" i="1"/>
  <c r="K2923" i="1" s="1"/>
  <c r="J2922" i="1"/>
  <c r="K2922" i="1" s="1"/>
  <c r="J2921" i="1"/>
  <c r="K2921" i="1" s="1"/>
  <c r="M2921" i="1" s="1"/>
  <c r="J2920" i="1"/>
  <c r="K2920" i="1" s="1"/>
  <c r="M2920" i="1" s="1"/>
  <c r="J2919" i="1"/>
  <c r="K2919" i="1" s="1"/>
  <c r="M2919" i="1" s="1"/>
  <c r="J2918" i="1"/>
  <c r="K2918" i="1" s="1"/>
  <c r="J2917" i="1"/>
  <c r="K2917" i="1" s="1"/>
  <c r="M2917" i="1" s="1"/>
  <c r="J2916" i="1"/>
  <c r="K2916" i="1" s="1"/>
  <c r="M2916" i="1" s="1"/>
  <c r="J2915" i="1"/>
  <c r="K2915" i="1" s="1"/>
  <c r="J2914" i="1"/>
  <c r="K2914" i="1" s="1"/>
  <c r="J2913" i="1"/>
  <c r="K2913" i="1" s="1"/>
  <c r="J2912" i="1"/>
  <c r="K2912" i="1" s="1"/>
  <c r="M2912" i="1" s="1"/>
  <c r="J2911" i="1"/>
  <c r="K2911" i="1" s="1"/>
  <c r="J2910" i="1"/>
  <c r="K2910" i="1" s="1"/>
  <c r="J2909" i="1"/>
  <c r="K2909" i="1" s="1"/>
  <c r="J2908" i="1"/>
  <c r="K2908" i="1" s="1"/>
  <c r="J2907" i="1"/>
  <c r="K2907" i="1" s="1"/>
  <c r="J2906" i="1"/>
  <c r="K2906" i="1" s="1"/>
  <c r="J2905" i="1"/>
  <c r="K2905" i="1" s="1"/>
  <c r="J2904" i="1"/>
  <c r="K2904" i="1" s="1"/>
  <c r="J2903" i="1"/>
  <c r="K2903" i="1" s="1"/>
  <c r="J2902" i="1"/>
  <c r="K2902" i="1" s="1"/>
  <c r="M2902" i="1" s="1"/>
  <c r="J2901" i="1"/>
  <c r="K2901" i="1" s="1"/>
  <c r="M2901" i="1" s="1"/>
  <c r="J2900" i="1"/>
  <c r="K2900" i="1" s="1"/>
  <c r="M2900" i="1" s="1"/>
  <c r="J2899" i="1"/>
  <c r="K2899" i="1" s="1"/>
  <c r="J2898" i="1"/>
  <c r="K2898" i="1" s="1"/>
  <c r="J2897" i="1"/>
  <c r="K2897" i="1" s="1"/>
  <c r="J2896" i="1"/>
  <c r="K2896" i="1" s="1"/>
  <c r="M2896" i="1" s="1"/>
  <c r="J2895" i="1"/>
  <c r="K2895" i="1" s="1"/>
  <c r="J2894" i="1"/>
  <c r="K2894" i="1" s="1"/>
  <c r="J2893" i="1"/>
  <c r="K2893" i="1" s="1"/>
  <c r="J2892" i="1"/>
  <c r="K2892" i="1" s="1"/>
  <c r="J2891" i="1"/>
  <c r="K2891" i="1" s="1"/>
  <c r="J2890" i="1"/>
  <c r="K2890" i="1" s="1"/>
  <c r="J2889" i="1"/>
  <c r="K2889" i="1" s="1"/>
  <c r="J2888" i="1"/>
  <c r="K2888" i="1" s="1"/>
  <c r="J2887" i="1"/>
  <c r="K2887" i="1" s="1"/>
  <c r="J2886" i="1"/>
  <c r="K2886" i="1" s="1"/>
  <c r="J2885" i="1"/>
  <c r="K2885" i="1" s="1"/>
  <c r="J2884" i="1"/>
  <c r="K2884" i="1" s="1"/>
  <c r="J2883" i="1"/>
  <c r="K2883" i="1" s="1"/>
  <c r="M2883" i="1" s="1"/>
  <c r="J2882" i="1"/>
  <c r="K2882" i="1" s="1"/>
  <c r="M2882" i="1" s="1"/>
  <c r="J2881" i="1"/>
  <c r="K2881" i="1" s="1"/>
  <c r="M2881" i="1" s="1"/>
  <c r="J2880" i="1"/>
  <c r="K2880" i="1" s="1"/>
  <c r="J2879" i="1"/>
  <c r="K2879" i="1" s="1"/>
  <c r="J2878" i="1"/>
  <c r="K2878" i="1" s="1"/>
  <c r="M2878" i="1" s="1"/>
  <c r="J2877" i="1"/>
  <c r="K2877" i="1" s="1"/>
  <c r="J2876" i="1"/>
  <c r="K2876" i="1" s="1"/>
  <c r="M2876" i="1" s="1"/>
  <c r="J2875" i="1"/>
  <c r="K2875" i="1" s="1"/>
  <c r="J2874" i="1"/>
  <c r="K2874" i="1" s="1"/>
  <c r="J2873" i="1"/>
  <c r="K2873" i="1" s="1"/>
  <c r="J2872" i="1"/>
  <c r="K2872" i="1" s="1"/>
  <c r="J2871" i="1"/>
  <c r="K2871" i="1" s="1"/>
  <c r="M2871" i="1" s="1"/>
  <c r="J2869" i="1"/>
  <c r="K2869" i="1" s="1"/>
  <c r="J2868" i="1"/>
  <c r="K2868" i="1" s="1"/>
  <c r="J2867" i="1"/>
  <c r="K2867" i="1" s="1"/>
  <c r="J2866" i="1"/>
  <c r="K2866" i="1" s="1"/>
  <c r="J2865" i="1"/>
  <c r="K2865" i="1" s="1"/>
  <c r="J2864" i="1"/>
  <c r="K2864" i="1" s="1"/>
  <c r="M2864" i="1" s="1"/>
  <c r="J2863" i="1"/>
  <c r="K2863" i="1" s="1"/>
  <c r="J2862" i="1"/>
  <c r="K2862" i="1" s="1"/>
  <c r="J2861" i="1"/>
  <c r="K2861" i="1" s="1"/>
  <c r="J2860" i="1"/>
  <c r="K2860" i="1" s="1"/>
  <c r="M2860" i="1" s="1"/>
  <c r="J2859" i="1"/>
  <c r="K2859" i="1" s="1"/>
  <c r="J2858" i="1"/>
  <c r="K2858" i="1" s="1"/>
  <c r="M2858" i="1" s="1"/>
  <c r="J2857" i="1"/>
  <c r="K2857" i="1" s="1"/>
  <c r="J2856" i="1"/>
  <c r="K2856" i="1" s="1"/>
  <c r="J2855" i="1"/>
  <c r="K2855" i="1" s="1"/>
  <c r="J2854" i="1"/>
  <c r="K2854" i="1" s="1"/>
  <c r="J2853" i="1"/>
  <c r="K2853" i="1" s="1"/>
  <c r="J2852" i="1"/>
  <c r="K2852" i="1" s="1"/>
  <c r="J2851" i="1"/>
  <c r="K2851" i="1" s="1"/>
  <c r="J2850" i="1"/>
  <c r="K2850" i="1" s="1"/>
  <c r="J2849" i="1"/>
  <c r="K2849" i="1" s="1"/>
  <c r="J2848" i="1"/>
  <c r="K2848" i="1" s="1"/>
  <c r="J2847" i="1"/>
  <c r="K2847" i="1" s="1"/>
  <c r="J2846" i="1"/>
  <c r="K2846" i="1" s="1"/>
  <c r="J2845" i="1"/>
  <c r="K2845" i="1" s="1"/>
  <c r="J2844" i="1"/>
  <c r="K2844" i="1" s="1"/>
  <c r="J2843" i="1"/>
  <c r="K2843" i="1" s="1"/>
  <c r="M2843" i="1" s="1"/>
  <c r="J2842" i="1"/>
  <c r="K2842" i="1" s="1"/>
  <c r="M2842" i="1" s="1"/>
  <c r="J2841" i="1"/>
  <c r="K2841" i="1" s="1"/>
  <c r="J2840" i="1"/>
  <c r="K2840" i="1" s="1"/>
  <c r="J2839" i="1"/>
  <c r="K2839" i="1" s="1"/>
  <c r="J2838" i="1"/>
  <c r="K2838" i="1" s="1"/>
  <c r="M2838" i="1" s="1"/>
  <c r="J2837" i="1"/>
  <c r="K2837" i="1" s="1"/>
  <c r="M2837" i="1" s="1"/>
  <c r="J2836" i="1"/>
  <c r="K2836" i="1" s="1"/>
  <c r="J2835" i="1"/>
  <c r="K2835" i="1" s="1"/>
  <c r="J2834" i="1"/>
  <c r="K2834" i="1" s="1"/>
  <c r="J2833" i="1"/>
  <c r="K2833" i="1" s="1"/>
  <c r="J2832" i="1"/>
  <c r="K2832" i="1" s="1"/>
  <c r="J2831" i="1"/>
  <c r="K2831" i="1" s="1"/>
  <c r="K2830" i="1"/>
  <c r="J2829" i="1"/>
  <c r="K2829" i="1" s="1"/>
  <c r="J2828" i="1"/>
  <c r="K2828" i="1" s="1"/>
  <c r="J2827" i="1"/>
  <c r="K2827" i="1" s="1"/>
  <c r="J2826" i="1"/>
  <c r="K2826" i="1" s="1"/>
  <c r="J2825" i="1"/>
  <c r="K2825" i="1" s="1"/>
  <c r="J2824" i="1"/>
  <c r="K2824" i="1" s="1"/>
  <c r="M2824" i="1" s="1"/>
  <c r="J2823" i="1"/>
  <c r="K2823" i="1" s="1"/>
  <c r="J2822" i="1"/>
  <c r="K2822" i="1" s="1"/>
  <c r="J2821" i="1"/>
  <c r="K2821" i="1" s="1"/>
  <c r="J2820" i="1"/>
  <c r="K2820" i="1" s="1"/>
  <c r="J2819" i="1"/>
  <c r="K2819" i="1" s="1"/>
  <c r="M2819" i="1" s="1"/>
  <c r="J2818" i="1"/>
  <c r="K2818" i="1" s="1"/>
  <c r="J2817" i="1"/>
  <c r="K2817" i="1" s="1"/>
  <c r="J2816" i="1"/>
  <c r="K2816" i="1" s="1"/>
  <c r="J2815" i="1"/>
  <c r="K2815" i="1" s="1"/>
  <c r="J2814" i="1"/>
  <c r="K2814" i="1" s="1"/>
  <c r="M2814" i="1" s="1"/>
  <c r="J2813" i="1"/>
  <c r="K2813" i="1" s="1"/>
  <c r="J2812" i="1"/>
  <c r="K2812" i="1" s="1"/>
  <c r="J2811" i="1"/>
  <c r="K2811" i="1" s="1"/>
  <c r="J2810" i="1"/>
  <c r="K2810" i="1" s="1"/>
  <c r="J2809" i="1"/>
  <c r="K2809" i="1" s="1"/>
  <c r="J2808" i="1"/>
  <c r="K2808" i="1" s="1"/>
  <c r="J2807" i="1"/>
  <c r="K2807" i="1" s="1"/>
  <c r="J2806" i="1"/>
  <c r="K2806" i="1" s="1"/>
  <c r="J2805" i="1"/>
  <c r="K2805" i="1" s="1"/>
  <c r="J2804" i="1"/>
  <c r="K2804" i="1" s="1"/>
  <c r="J2803" i="1"/>
  <c r="K2803" i="1" s="1"/>
  <c r="J2802" i="1"/>
  <c r="K2802" i="1" s="1"/>
  <c r="J2801" i="1"/>
  <c r="K2801" i="1" s="1"/>
  <c r="J2800" i="1"/>
  <c r="K2800" i="1" s="1"/>
  <c r="J2799" i="1"/>
  <c r="K2799" i="1" s="1"/>
  <c r="M2799" i="1" s="1"/>
  <c r="J2798" i="1"/>
  <c r="K2798" i="1" s="1"/>
  <c r="J2797" i="1"/>
  <c r="K2797" i="1" s="1"/>
  <c r="J2796" i="1"/>
  <c r="K2796" i="1" s="1"/>
  <c r="J2795" i="1"/>
  <c r="K2795" i="1" s="1"/>
  <c r="J2794" i="1"/>
  <c r="K2794" i="1" s="1"/>
  <c r="J2793" i="1"/>
  <c r="K2793" i="1" s="1"/>
  <c r="M2793" i="1" s="1"/>
  <c r="J2792" i="1"/>
  <c r="K2792" i="1" s="1"/>
  <c r="J2791" i="1"/>
  <c r="K2791" i="1" s="1"/>
  <c r="J2790" i="1"/>
  <c r="K2790" i="1" s="1"/>
  <c r="J2789" i="1"/>
  <c r="K2789" i="1" s="1"/>
  <c r="J2788" i="1"/>
  <c r="K2788" i="1" s="1"/>
  <c r="J2787" i="1"/>
  <c r="K2787" i="1" s="1"/>
  <c r="J2786" i="1"/>
  <c r="K2786" i="1" s="1"/>
  <c r="J2785" i="1"/>
  <c r="K2785" i="1" s="1"/>
  <c r="M2785" i="1" s="1"/>
  <c r="J2784" i="1"/>
  <c r="K2784" i="1" s="1"/>
  <c r="J2783" i="1"/>
  <c r="K2783" i="1" s="1"/>
  <c r="J2782" i="1"/>
  <c r="K2782" i="1" s="1"/>
  <c r="J2781" i="1"/>
  <c r="K2781" i="1" s="1"/>
  <c r="J2780" i="1"/>
  <c r="K2780" i="1" s="1"/>
  <c r="J2779" i="1"/>
  <c r="K2779" i="1" s="1"/>
  <c r="M2779" i="1" s="1"/>
  <c r="J2778" i="1"/>
  <c r="K2778" i="1" s="1"/>
  <c r="J2777" i="1"/>
  <c r="K2777" i="1" s="1"/>
  <c r="J2776" i="1"/>
  <c r="K2776" i="1" s="1"/>
  <c r="J2775" i="1"/>
  <c r="K2775" i="1" s="1"/>
  <c r="J2774" i="1"/>
  <c r="K2774" i="1" s="1"/>
  <c r="M2774" i="1" s="1"/>
  <c r="J2773" i="1"/>
  <c r="K2773" i="1" s="1"/>
  <c r="J2772" i="1"/>
  <c r="K2772" i="1" s="1"/>
  <c r="J2771" i="1"/>
  <c r="K2771" i="1" s="1"/>
  <c r="J2770" i="1"/>
  <c r="K2770" i="1" s="1"/>
  <c r="J2769" i="1"/>
  <c r="K2769" i="1" s="1"/>
  <c r="J2768" i="1"/>
  <c r="K2768" i="1" s="1"/>
  <c r="J2767" i="1"/>
  <c r="K2767" i="1" s="1"/>
  <c r="J2766" i="1"/>
  <c r="K2766" i="1" s="1"/>
  <c r="J2765" i="1"/>
  <c r="K2765" i="1" s="1"/>
  <c r="J2764" i="1"/>
  <c r="K2764" i="1" s="1"/>
  <c r="J2763" i="1"/>
  <c r="K2763" i="1" s="1"/>
  <c r="M2763" i="1" s="1"/>
  <c r="J2762" i="1"/>
  <c r="K2762" i="1" s="1"/>
  <c r="J2761" i="1"/>
  <c r="K2761" i="1" s="1"/>
  <c r="M2761" i="1" s="1"/>
  <c r="J2760" i="1"/>
  <c r="K2760" i="1" s="1"/>
  <c r="J2759" i="1"/>
  <c r="K2759" i="1" s="1"/>
  <c r="M2759" i="1" s="1"/>
  <c r="J2758" i="1"/>
  <c r="K2758" i="1" s="1"/>
  <c r="J2757" i="1"/>
  <c r="K2757" i="1" s="1"/>
  <c r="J2756" i="1"/>
  <c r="K2756" i="1" s="1"/>
  <c r="J2755" i="1"/>
  <c r="K2755" i="1" s="1"/>
  <c r="J2754" i="1"/>
  <c r="K2754" i="1" s="1"/>
  <c r="M2754" i="1" s="1"/>
  <c r="J2753" i="1"/>
  <c r="K2753" i="1" s="1"/>
  <c r="J2752" i="1"/>
  <c r="K2752" i="1" s="1"/>
  <c r="J2751" i="1"/>
  <c r="K2751" i="1" s="1"/>
  <c r="J2750" i="1"/>
  <c r="K2750" i="1" s="1"/>
  <c r="J2749" i="1"/>
  <c r="K2749" i="1" s="1"/>
  <c r="J2748" i="1"/>
  <c r="K2748" i="1" s="1"/>
  <c r="J2747" i="1"/>
  <c r="K2747" i="1" s="1"/>
  <c r="J2746" i="1"/>
  <c r="K2746" i="1" s="1"/>
  <c r="J2745" i="1"/>
  <c r="K2745" i="1" s="1"/>
  <c r="J2744" i="1"/>
  <c r="K2744" i="1" s="1"/>
  <c r="M2744" i="1" s="1"/>
  <c r="J2743" i="1"/>
  <c r="K2743" i="1" s="1"/>
  <c r="J2742" i="1"/>
  <c r="K2742" i="1" s="1"/>
  <c r="J2741" i="1"/>
  <c r="K2741" i="1" s="1"/>
  <c r="M2741" i="1" s="1"/>
  <c r="J2740" i="1"/>
  <c r="K2740" i="1" s="1"/>
  <c r="M2740" i="1" s="1"/>
  <c r="J2739" i="1"/>
  <c r="K2739" i="1" s="1"/>
  <c r="J2738" i="1"/>
  <c r="K2738" i="1" s="1"/>
  <c r="J2737" i="1"/>
  <c r="K2737" i="1" s="1"/>
  <c r="J2736" i="1"/>
  <c r="K2736" i="1" s="1"/>
  <c r="J2735" i="1"/>
  <c r="K2735" i="1" s="1"/>
  <c r="M2735" i="1" s="1"/>
  <c r="J2734" i="1"/>
  <c r="K2734" i="1" s="1"/>
  <c r="J2733" i="1"/>
  <c r="K2733" i="1" s="1"/>
  <c r="J2732" i="1"/>
  <c r="K2732" i="1" s="1"/>
  <c r="J2731" i="1"/>
  <c r="K2731" i="1" s="1"/>
  <c r="J2730" i="1"/>
  <c r="K2730" i="1" s="1"/>
  <c r="J2729" i="1"/>
  <c r="K2729" i="1" s="1"/>
  <c r="J2728" i="1"/>
  <c r="K2728" i="1" s="1"/>
  <c r="J2727" i="1"/>
  <c r="K2727" i="1" s="1"/>
  <c r="J2726" i="1"/>
  <c r="K2726" i="1" s="1"/>
  <c r="J2725" i="1"/>
  <c r="K2725" i="1" s="1"/>
  <c r="J2724" i="1"/>
  <c r="K2724" i="1" s="1"/>
  <c r="M2724" i="1" s="1"/>
  <c r="J2723" i="1"/>
  <c r="K2723" i="1" s="1"/>
  <c r="J2722" i="1"/>
  <c r="K2722" i="1" s="1"/>
  <c r="J2721" i="1"/>
  <c r="K2721" i="1" s="1"/>
  <c r="J2720" i="1"/>
  <c r="K2720" i="1" s="1"/>
  <c r="M2720" i="1" s="1"/>
  <c r="J2719" i="1"/>
  <c r="K2719" i="1" s="1"/>
  <c r="J2718" i="1"/>
  <c r="K2718" i="1" s="1"/>
  <c r="J2717" i="1"/>
  <c r="K2717" i="1" s="1"/>
  <c r="J2716" i="1"/>
  <c r="K2716" i="1" s="1"/>
  <c r="M2716" i="1" s="1"/>
  <c r="J2715" i="1"/>
  <c r="K2715" i="1" s="1"/>
  <c r="M2715" i="1" s="1"/>
  <c r="J2714" i="1"/>
  <c r="K2714" i="1" s="1"/>
  <c r="J2713" i="1"/>
  <c r="K2713" i="1" s="1"/>
  <c r="J2712" i="1"/>
  <c r="K2712" i="1" s="1"/>
  <c r="J2711" i="1"/>
  <c r="K2711" i="1" s="1"/>
  <c r="J2710" i="1"/>
  <c r="K2710" i="1" s="1"/>
  <c r="J2709" i="1"/>
  <c r="K2709" i="1" s="1"/>
  <c r="J2708" i="1"/>
  <c r="K2708" i="1" s="1"/>
  <c r="J2707" i="1"/>
  <c r="K2707" i="1" s="1"/>
  <c r="M2707" i="1" s="1"/>
  <c r="J2706" i="1"/>
  <c r="K2706" i="1" s="1"/>
  <c r="J2705" i="1"/>
  <c r="K2705" i="1" s="1"/>
  <c r="M2705" i="1" s="1"/>
  <c r="J2704" i="1"/>
  <c r="K2704" i="1" s="1"/>
  <c r="J2703" i="1"/>
  <c r="K2703" i="1" s="1"/>
  <c r="J2702" i="1"/>
  <c r="K2702" i="1" s="1"/>
  <c r="J2701" i="1"/>
  <c r="K2701" i="1" s="1"/>
  <c r="J2700" i="1"/>
  <c r="K2700" i="1" s="1"/>
  <c r="J2699" i="1"/>
  <c r="K2699" i="1" s="1"/>
  <c r="J2698" i="1"/>
  <c r="K2698" i="1" s="1"/>
  <c r="J2697" i="1"/>
  <c r="K2697" i="1" s="1"/>
  <c r="J2696" i="1"/>
  <c r="K2696" i="1" s="1"/>
  <c r="J2695" i="1"/>
  <c r="K2695" i="1" s="1"/>
  <c r="J2694" i="1"/>
  <c r="K2694" i="1" s="1"/>
  <c r="J2693" i="1"/>
  <c r="K2693" i="1" s="1"/>
  <c r="J2692" i="1"/>
  <c r="K2692" i="1" s="1"/>
  <c r="J2691" i="1"/>
  <c r="K2691" i="1" s="1"/>
  <c r="J2690" i="1"/>
  <c r="K2690" i="1" s="1"/>
  <c r="J2689" i="1"/>
  <c r="K2689" i="1" s="1"/>
  <c r="J2688" i="1"/>
  <c r="K2688" i="1" s="1"/>
  <c r="J2687" i="1"/>
  <c r="K2687" i="1" s="1"/>
  <c r="J2686" i="1"/>
  <c r="K2686" i="1" s="1"/>
  <c r="J2685" i="1"/>
  <c r="K2685" i="1" s="1"/>
  <c r="J2684" i="1"/>
  <c r="K2684" i="1" s="1"/>
  <c r="M2684" i="1" s="1"/>
  <c r="J2683" i="1"/>
  <c r="K2683" i="1" s="1"/>
  <c r="J2682" i="1"/>
  <c r="K2682" i="1" s="1"/>
  <c r="M2682" i="1" s="1"/>
  <c r="J2681" i="1"/>
  <c r="K2681" i="1" s="1"/>
  <c r="J2680" i="1"/>
  <c r="K2680" i="1" s="1"/>
  <c r="J2679" i="1"/>
  <c r="K2679" i="1" s="1"/>
  <c r="J2678" i="1"/>
  <c r="K2678" i="1" s="1"/>
  <c r="M2678" i="1" s="1"/>
  <c r="J2677" i="1"/>
  <c r="K2677" i="1" s="1"/>
  <c r="M2677" i="1" s="1"/>
  <c r="J2676" i="1"/>
  <c r="K2676" i="1" s="1"/>
  <c r="J2675" i="1"/>
  <c r="K2675" i="1" s="1"/>
  <c r="J2674" i="1"/>
  <c r="K2674" i="1" s="1"/>
  <c r="J2673" i="1"/>
  <c r="K2673" i="1" s="1"/>
  <c r="J2672" i="1"/>
  <c r="K2672" i="1" s="1"/>
  <c r="J2671" i="1"/>
  <c r="K2671" i="1" s="1"/>
  <c r="J2670" i="1"/>
  <c r="K2670" i="1" s="1"/>
  <c r="J2669" i="1"/>
  <c r="K2669" i="1" s="1"/>
  <c r="J2668" i="1"/>
  <c r="K2668" i="1" s="1"/>
  <c r="J2667" i="1"/>
  <c r="K2667" i="1" s="1"/>
  <c r="J2666" i="1"/>
  <c r="K2666" i="1" s="1"/>
  <c r="J2665" i="1"/>
  <c r="K2665" i="1" s="1"/>
  <c r="M2665" i="1" s="1"/>
  <c r="J2664" i="1"/>
  <c r="K2664" i="1" s="1"/>
  <c r="J2663" i="1"/>
  <c r="K2663" i="1" s="1"/>
  <c r="M2663" i="1" s="1"/>
  <c r="J2662" i="1"/>
  <c r="K2662" i="1" s="1"/>
  <c r="J2661" i="1"/>
  <c r="K2661" i="1" s="1"/>
  <c r="J2660" i="1"/>
  <c r="K2660" i="1" s="1"/>
  <c r="J2659" i="1"/>
  <c r="K2659" i="1" s="1"/>
  <c r="M2659" i="1" s="1"/>
  <c r="J2658" i="1"/>
  <c r="K2658" i="1" s="1"/>
  <c r="J2657" i="1"/>
  <c r="K2657" i="1" s="1"/>
  <c r="J2656" i="1"/>
  <c r="K2656" i="1" s="1"/>
  <c r="J2655" i="1"/>
  <c r="K2655" i="1" s="1"/>
  <c r="J2654" i="1"/>
  <c r="K2654" i="1" s="1"/>
  <c r="J2653" i="1"/>
  <c r="K2653" i="1" s="1"/>
  <c r="J2652" i="1"/>
  <c r="K2652" i="1" s="1"/>
  <c r="J2651" i="1"/>
  <c r="K2651" i="1" s="1"/>
  <c r="J2650" i="1"/>
  <c r="K2650" i="1" s="1"/>
  <c r="J2649" i="1"/>
  <c r="K2649" i="1" s="1"/>
  <c r="J2648" i="1"/>
  <c r="K2648" i="1" s="1"/>
  <c r="J2646" i="1"/>
  <c r="K2646" i="1" s="1"/>
  <c r="J2645" i="1"/>
  <c r="K2645" i="1" s="1"/>
  <c r="J2644" i="1"/>
  <c r="K2644" i="1" s="1"/>
  <c r="J2643" i="1"/>
  <c r="K2643" i="1" s="1"/>
  <c r="J2642" i="1"/>
  <c r="K2642" i="1" s="1"/>
  <c r="J2641" i="1"/>
  <c r="K2641" i="1" s="1"/>
  <c r="J2640" i="1"/>
  <c r="K2640" i="1" s="1"/>
  <c r="J2639" i="1"/>
  <c r="K2639" i="1" s="1"/>
  <c r="J2638" i="1"/>
  <c r="K2638" i="1" s="1"/>
  <c r="J2637" i="1"/>
  <c r="K2637" i="1" s="1"/>
  <c r="J2636" i="1"/>
  <c r="K2636" i="1" s="1"/>
  <c r="J2635" i="1"/>
  <c r="K2635" i="1" s="1"/>
  <c r="J2634" i="1"/>
  <c r="K2634" i="1" s="1"/>
  <c r="J2633" i="1"/>
  <c r="K2633" i="1" s="1"/>
  <c r="J2632" i="1"/>
  <c r="K2632" i="1" s="1"/>
  <c r="J2631" i="1"/>
  <c r="K2631" i="1" s="1"/>
  <c r="J2630" i="1"/>
  <c r="K2630" i="1" s="1"/>
  <c r="J2629" i="1"/>
  <c r="K2629" i="1" s="1"/>
  <c r="M2629" i="1" s="1"/>
  <c r="J2628" i="1"/>
  <c r="K2628" i="1" s="1"/>
  <c r="J2627" i="1"/>
  <c r="K2627" i="1" s="1"/>
  <c r="J2626" i="1"/>
  <c r="K2626" i="1" s="1"/>
  <c r="J2625" i="1"/>
  <c r="K2625" i="1" s="1"/>
  <c r="J2624" i="1"/>
  <c r="K2624" i="1" s="1"/>
  <c r="J2623" i="1"/>
  <c r="K2623" i="1" s="1"/>
  <c r="M2623" i="1" s="1"/>
  <c r="J2622" i="1"/>
  <c r="K2622" i="1" s="1"/>
  <c r="J2621" i="1"/>
  <c r="K2621" i="1" s="1"/>
  <c r="J2620" i="1"/>
  <c r="K2620" i="1" s="1"/>
  <c r="J2619" i="1"/>
  <c r="K2619" i="1" s="1"/>
  <c r="M2619" i="1" s="1"/>
  <c r="J2617" i="1"/>
  <c r="K2617" i="1" s="1"/>
  <c r="J2616" i="1"/>
  <c r="K2616" i="1" s="1"/>
  <c r="J2615" i="1"/>
  <c r="K2615" i="1" s="1"/>
  <c r="J2614" i="1"/>
  <c r="K2614" i="1" s="1"/>
  <c r="J2613" i="1"/>
  <c r="K2613" i="1" s="1"/>
  <c r="J2612" i="1"/>
  <c r="K2612" i="1" s="1"/>
  <c r="J2611" i="1"/>
  <c r="K2611" i="1" s="1"/>
  <c r="J2610" i="1"/>
  <c r="K2610" i="1" s="1"/>
  <c r="M2610" i="1" s="1"/>
  <c r="J2609" i="1"/>
  <c r="K2609" i="1" s="1"/>
  <c r="J2608" i="1"/>
  <c r="K2608" i="1" s="1"/>
  <c r="J2607" i="1"/>
  <c r="K2607" i="1" s="1"/>
  <c r="J2606" i="1"/>
  <c r="K2606" i="1" s="1"/>
  <c r="J2605" i="1"/>
  <c r="K2605" i="1" s="1"/>
  <c r="J2604" i="1"/>
  <c r="K2604" i="1" s="1"/>
  <c r="M2604" i="1" s="1"/>
  <c r="J2603" i="1"/>
  <c r="K2603" i="1" s="1"/>
  <c r="M2603" i="1" s="1"/>
  <c r="J2602" i="1"/>
  <c r="K2602" i="1" s="1"/>
  <c r="J2601" i="1"/>
  <c r="K2601" i="1" s="1"/>
  <c r="J2600" i="1"/>
  <c r="K2600" i="1" s="1"/>
  <c r="J2599" i="1"/>
  <c r="K2599" i="1" s="1"/>
  <c r="J2598" i="1"/>
  <c r="K2598" i="1" s="1"/>
  <c r="J2597" i="1"/>
  <c r="K2597" i="1" s="1"/>
  <c r="J2596" i="1"/>
  <c r="K2596" i="1" s="1"/>
  <c r="J2595" i="1"/>
  <c r="K2595" i="1" s="1"/>
  <c r="J2594" i="1"/>
  <c r="K2594" i="1" s="1"/>
  <c r="J2593" i="1"/>
  <c r="K2593" i="1" s="1"/>
  <c r="J2592" i="1"/>
  <c r="K2592" i="1" s="1"/>
  <c r="J2591" i="1"/>
  <c r="K2591" i="1" s="1"/>
  <c r="M2591" i="1" s="1"/>
  <c r="J2590" i="1"/>
  <c r="K2590" i="1" s="1"/>
  <c r="J2589" i="1"/>
  <c r="K2589" i="1" s="1"/>
  <c r="J2588" i="1"/>
  <c r="K2588" i="1" s="1"/>
  <c r="J2587" i="1"/>
  <c r="K2587" i="1" s="1"/>
  <c r="J2586" i="1"/>
  <c r="K2586" i="1" s="1"/>
  <c r="J2585" i="1"/>
  <c r="K2585" i="1" s="1"/>
  <c r="J2584" i="1"/>
  <c r="K2584" i="1" s="1"/>
  <c r="J2583" i="1"/>
  <c r="K2583" i="1" s="1"/>
  <c r="J2582" i="1"/>
  <c r="K2582" i="1" s="1"/>
  <c r="M2582" i="1" s="1"/>
  <c r="J2581" i="1"/>
  <c r="K2581" i="1" s="1"/>
  <c r="J2580" i="1"/>
  <c r="K2580" i="1" s="1"/>
  <c r="J2579" i="1"/>
  <c r="K2579" i="1" s="1"/>
  <c r="J2578" i="1"/>
  <c r="K2578" i="1" s="1"/>
  <c r="J2577" i="1"/>
  <c r="K2577" i="1" s="1"/>
  <c r="J2576" i="1"/>
  <c r="K2576" i="1" s="1"/>
  <c r="J2575" i="1"/>
  <c r="K2575" i="1" s="1"/>
  <c r="J2573" i="1"/>
  <c r="K2573" i="1" s="1"/>
  <c r="J2572" i="1"/>
  <c r="K2572" i="1" s="1"/>
  <c r="J2571" i="1"/>
  <c r="K2571" i="1" s="1"/>
  <c r="J2570" i="1"/>
  <c r="K2570" i="1" s="1"/>
  <c r="J2569" i="1"/>
  <c r="K2569" i="1" s="1"/>
  <c r="J2568" i="1"/>
  <c r="K2568" i="1" s="1"/>
  <c r="J2567" i="1"/>
  <c r="K2567" i="1" s="1"/>
  <c r="J2566" i="1"/>
  <c r="K2566" i="1" s="1"/>
  <c r="J2564" i="1"/>
  <c r="K2564" i="1" s="1"/>
  <c r="J2563" i="1"/>
  <c r="K2563" i="1" s="1"/>
  <c r="M2563" i="1" s="1"/>
  <c r="J2562" i="1"/>
  <c r="K2562" i="1" s="1"/>
  <c r="M2562" i="1" s="1"/>
  <c r="J2561" i="1"/>
  <c r="K2561" i="1" s="1"/>
  <c r="J2560" i="1"/>
  <c r="K2560" i="1" s="1"/>
  <c r="J2559" i="1"/>
  <c r="K2559" i="1" s="1"/>
  <c r="J2558" i="1"/>
  <c r="K2558" i="1" s="1"/>
  <c r="M2558" i="1" s="1"/>
  <c r="J2557" i="1"/>
  <c r="K2557" i="1" s="1"/>
  <c r="J2556" i="1"/>
  <c r="K2556" i="1" s="1"/>
  <c r="J2555" i="1"/>
  <c r="K2555" i="1" s="1"/>
  <c r="J2554" i="1"/>
  <c r="K2554" i="1" s="1"/>
  <c r="J2553" i="1"/>
  <c r="K2553" i="1" s="1"/>
  <c r="J2552" i="1"/>
  <c r="K2552" i="1" s="1"/>
  <c r="J2551" i="1"/>
  <c r="K2551" i="1" s="1"/>
  <c r="J2550" i="1"/>
  <c r="K2550" i="1" s="1"/>
  <c r="J2549" i="1"/>
  <c r="K2549" i="1" s="1"/>
  <c r="J2548" i="1"/>
  <c r="K2548" i="1" s="1"/>
  <c r="J2547" i="1"/>
  <c r="K2547" i="1" s="1"/>
  <c r="J2546" i="1"/>
  <c r="K2546" i="1" s="1"/>
  <c r="M2546" i="1" s="1"/>
  <c r="J2545" i="1"/>
  <c r="K2545" i="1" s="1"/>
  <c r="J2544" i="1"/>
  <c r="K2544" i="1" s="1"/>
  <c r="J2543" i="1"/>
  <c r="K2543" i="1" s="1"/>
  <c r="J2542" i="1"/>
  <c r="K2542" i="1" s="1"/>
  <c r="J2541" i="1"/>
  <c r="K2541" i="1" s="1"/>
  <c r="J2540" i="1"/>
  <c r="K2540" i="1" s="1"/>
  <c r="M2540" i="1" s="1"/>
  <c r="J2539" i="1"/>
  <c r="K2539" i="1" s="1"/>
  <c r="J2538" i="1"/>
  <c r="K2538" i="1" s="1"/>
  <c r="J2537" i="1"/>
  <c r="K2537" i="1" s="1"/>
  <c r="J2536" i="1"/>
  <c r="K2536" i="1" s="1"/>
  <c r="J2535" i="1"/>
  <c r="K2535" i="1" s="1"/>
  <c r="J2534" i="1"/>
  <c r="K2534" i="1" s="1"/>
  <c r="M2534" i="1" s="1"/>
  <c r="J2533" i="1"/>
  <c r="K2533" i="1" s="1"/>
  <c r="J2532" i="1"/>
  <c r="K2532" i="1" s="1"/>
  <c r="M2532" i="1" s="1"/>
  <c r="J2531" i="1"/>
  <c r="K2531" i="1" s="1"/>
  <c r="J2530" i="1"/>
  <c r="K2530" i="1" s="1"/>
  <c r="J2529" i="1"/>
  <c r="K2529" i="1" s="1"/>
  <c r="J2528" i="1"/>
  <c r="K2528" i="1" s="1"/>
  <c r="J2526" i="1"/>
  <c r="K2526" i="1" s="1"/>
  <c r="J2525" i="1"/>
  <c r="K2525" i="1" s="1"/>
  <c r="J2524" i="1"/>
  <c r="K2524" i="1" s="1"/>
  <c r="J2523" i="1"/>
  <c r="K2523" i="1" s="1"/>
  <c r="J2522" i="1"/>
  <c r="K2522" i="1" s="1"/>
  <c r="J2521" i="1"/>
  <c r="K2521" i="1" s="1"/>
  <c r="J2520" i="1"/>
  <c r="K2520" i="1" s="1"/>
  <c r="J2519" i="1"/>
  <c r="K2519" i="1" s="1"/>
  <c r="J2518" i="1"/>
  <c r="K2518" i="1" s="1"/>
  <c r="J2517" i="1"/>
  <c r="K2517" i="1" s="1"/>
  <c r="J2516" i="1"/>
  <c r="K2516" i="1" s="1"/>
  <c r="J2515" i="1"/>
  <c r="K2515" i="1" s="1"/>
  <c r="J2514" i="1"/>
  <c r="K2514" i="1" s="1"/>
  <c r="J2513" i="1"/>
  <c r="K2513" i="1" s="1"/>
  <c r="J2512" i="1"/>
  <c r="K2512" i="1" s="1"/>
  <c r="J2511" i="1"/>
  <c r="K2511" i="1" s="1"/>
  <c r="J2510" i="1"/>
  <c r="K2510" i="1" s="1"/>
  <c r="J2509" i="1"/>
  <c r="K2509" i="1" s="1"/>
  <c r="J2508" i="1"/>
  <c r="K2508" i="1" s="1"/>
  <c r="J2507" i="1"/>
  <c r="K2507" i="1" s="1"/>
  <c r="J2506" i="1"/>
  <c r="K2506" i="1" s="1"/>
  <c r="J2505" i="1"/>
  <c r="K2505" i="1" s="1"/>
  <c r="J2504" i="1"/>
  <c r="K2504" i="1" s="1"/>
  <c r="J2503" i="1"/>
  <c r="K2503" i="1" s="1"/>
  <c r="J2502" i="1"/>
  <c r="K2502" i="1" s="1"/>
  <c r="J2501" i="1"/>
  <c r="K2501" i="1" s="1"/>
  <c r="J2500" i="1"/>
  <c r="K2500" i="1" s="1"/>
  <c r="J2499" i="1"/>
  <c r="K2499" i="1" s="1"/>
  <c r="J2498" i="1"/>
  <c r="K2498" i="1" s="1"/>
  <c r="J2497" i="1"/>
  <c r="K2497" i="1" s="1"/>
  <c r="J2496" i="1"/>
  <c r="K2496" i="1" s="1"/>
  <c r="J2495" i="1"/>
  <c r="K2495" i="1" s="1"/>
  <c r="J2494" i="1"/>
  <c r="K2494" i="1" s="1"/>
  <c r="J2493" i="1"/>
  <c r="K2493" i="1" s="1"/>
  <c r="J2492" i="1"/>
  <c r="K2492" i="1" s="1"/>
  <c r="M2492" i="1" s="1"/>
  <c r="J2491" i="1"/>
  <c r="K2491" i="1" s="1"/>
  <c r="J2490" i="1"/>
  <c r="K2490" i="1" s="1"/>
  <c r="J2489" i="1"/>
  <c r="K2489" i="1" s="1"/>
  <c r="M2489" i="1" s="1"/>
  <c r="J2488" i="1"/>
  <c r="K2488" i="1" s="1"/>
  <c r="J2487" i="1"/>
  <c r="K2487" i="1" s="1"/>
  <c r="J2486" i="1"/>
  <c r="K2486" i="1" s="1"/>
  <c r="J2485" i="1"/>
  <c r="K2485" i="1" s="1"/>
  <c r="J2484" i="1"/>
  <c r="K2484" i="1" s="1"/>
  <c r="J2483" i="1"/>
  <c r="K2483" i="1" s="1"/>
  <c r="J2482" i="1"/>
  <c r="K2482" i="1" s="1"/>
  <c r="J2481" i="1"/>
  <c r="K2481" i="1" s="1"/>
  <c r="J2480" i="1"/>
  <c r="K2480" i="1" s="1"/>
  <c r="J2479" i="1"/>
  <c r="K2479" i="1" s="1"/>
  <c r="J2478" i="1"/>
  <c r="K2478" i="1" s="1"/>
  <c r="J2477" i="1"/>
  <c r="K2477" i="1" s="1"/>
  <c r="J2476" i="1"/>
  <c r="K2476" i="1" s="1"/>
  <c r="J2475" i="1"/>
  <c r="K2475" i="1" s="1"/>
  <c r="M2475" i="1" s="1"/>
  <c r="J2474" i="1"/>
  <c r="K2474" i="1" s="1"/>
  <c r="J2473" i="1"/>
  <c r="K2473" i="1" s="1"/>
  <c r="J2471" i="1"/>
  <c r="K2471" i="1" s="1"/>
  <c r="M2471" i="1" s="1"/>
  <c r="J2470" i="1"/>
  <c r="K2470" i="1" s="1"/>
  <c r="J2469" i="1"/>
  <c r="K2469" i="1" s="1"/>
  <c r="J2468" i="1"/>
  <c r="K2468" i="1" s="1"/>
  <c r="J2467" i="1"/>
  <c r="K2467" i="1" s="1"/>
  <c r="J2466" i="1"/>
  <c r="K2466" i="1" s="1"/>
  <c r="J2465" i="1"/>
  <c r="K2465" i="1" s="1"/>
  <c r="J2464" i="1"/>
  <c r="K2464" i="1" s="1"/>
  <c r="J2463" i="1"/>
  <c r="K2463" i="1" s="1"/>
  <c r="J2462" i="1"/>
  <c r="K2462" i="1" s="1"/>
  <c r="M2462" i="1" s="1"/>
  <c r="J2461" i="1"/>
  <c r="K2461" i="1" s="1"/>
  <c r="J2460" i="1"/>
  <c r="K2460" i="1" s="1"/>
  <c r="J2459" i="1"/>
  <c r="K2459" i="1" s="1"/>
  <c r="J2457" i="1"/>
  <c r="K2457" i="1" s="1"/>
  <c r="J2456" i="1"/>
  <c r="K2456" i="1" s="1"/>
  <c r="J2455" i="1"/>
  <c r="K2455" i="1" s="1"/>
  <c r="J2454" i="1"/>
  <c r="K2454" i="1" s="1"/>
  <c r="J2453" i="1"/>
  <c r="K2453" i="1" s="1"/>
  <c r="J2452" i="1"/>
  <c r="K2452" i="1" s="1"/>
  <c r="J2451" i="1"/>
  <c r="K2451" i="1" s="1"/>
  <c r="J2450" i="1"/>
  <c r="K2450" i="1" s="1"/>
  <c r="J2449" i="1"/>
  <c r="K2449" i="1" s="1"/>
  <c r="J2448" i="1"/>
  <c r="K2448" i="1" s="1"/>
  <c r="J2447" i="1"/>
  <c r="K2447" i="1" s="1"/>
  <c r="J2446" i="1"/>
  <c r="K2446" i="1" s="1"/>
  <c r="J2445" i="1"/>
  <c r="K2445" i="1" s="1"/>
  <c r="J2444" i="1"/>
  <c r="K2444" i="1" s="1"/>
  <c r="J2443" i="1"/>
  <c r="K2443" i="1" s="1"/>
  <c r="M2443" i="1" s="1"/>
  <c r="J2442" i="1"/>
  <c r="K2442" i="1" s="1"/>
  <c r="M2442" i="1" s="1"/>
  <c r="J2441" i="1"/>
  <c r="K2441" i="1" s="1"/>
  <c r="J2440" i="1"/>
  <c r="K2440" i="1" s="1"/>
  <c r="J2439" i="1"/>
  <c r="K2439" i="1" s="1"/>
  <c r="J2438" i="1"/>
  <c r="K2438" i="1" s="1"/>
  <c r="J2437" i="1"/>
  <c r="K2437" i="1" s="1"/>
  <c r="J2436" i="1"/>
  <c r="K2436" i="1" s="1"/>
  <c r="J2435" i="1"/>
  <c r="K2435" i="1" s="1"/>
  <c r="J2434" i="1"/>
  <c r="K2434" i="1" s="1"/>
  <c r="J2433" i="1"/>
  <c r="K2433" i="1" s="1"/>
  <c r="J2432" i="1"/>
  <c r="K2432" i="1" s="1"/>
  <c r="J2431" i="1"/>
  <c r="K2431" i="1" s="1"/>
  <c r="J2430" i="1"/>
  <c r="K2430" i="1" s="1"/>
  <c r="J2429" i="1"/>
  <c r="K2429" i="1" s="1"/>
  <c r="J2428" i="1"/>
  <c r="K2428" i="1" s="1"/>
  <c r="J2427" i="1"/>
  <c r="K2427" i="1" s="1"/>
  <c r="J2426" i="1"/>
  <c r="K2426" i="1" s="1"/>
  <c r="J2425" i="1"/>
  <c r="K2425" i="1" s="1"/>
  <c r="J2424" i="1"/>
  <c r="K2424" i="1" s="1"/>
  <c r="J2423" i="1"/>
  <c r="K2423" i="1" s="1"/>
  <c r="J2422" i="1"/>
  <c r="K2422" i="1" s="1"/>
  <c r="J2421" i="1"/>
  <c r="K2421" i="1" s="1"/>
  <c r="J2420" i="1"/>
  <c r="K2420" i="1" s="1"/>
  <c r="M2420" i="1" s="1"/>
  <c r="J2419" i="1"/>
  <c r="K2419" i="1" s="1"/>
  <c r="J2418" i="1"/>
  <c r="K2418" i="1" s="1"/>
  <c r="J2416" i="1"/>
  <c r="K2416" i="1" s="1"/>
  <c r="J2415" i="1"/>
  <c r="K2415" i="1" s="1"/>
  <c r="J2414" i="1"/>
  <c r="K2414" i="1" s="1"/>
  <c r="J2413" i="1"/>
  <c r="K2413" i="1" s="1"/>
  <c r="J2412" i="1"/>
  <c r="K2412" i="1" s="1"/>
  <c r="J2411" i="1"/>
  <c r="K2411" i="1" s="1"/>
  <c r="M2411" i="1" s="1"/>
  <c r="J2410" i="1"/>
  <c r="K2410" i="1" s="1"/>
  <c r="M2410" i="1" s="1"/>
  <c r="J2409" i="1"/>
  <c r="K2409" i="1" s="1"/>
  <c r="J2408" i="1"/>
  <c r="K2408" i="1" s="1"/>
  <c r="J2407" i="1"/>
  <c r="K2407" i="1" s="1"/>
  <c r="J2406" i="1"/>
  <c r="K2406" i="1" s="1"/>
  <c r="J2405" i="1"/>
  <c r="K2405" i="1" s="1"/>
  <c r="L2405" i="1" s="1"/>
  <c r="J2404" i="1"/>
  <c r="K2404" i="1" s="1"/>
  <c r="J2403" i="1"/>
  <c r="K2403" i="1" s="1"/>
  <c r="J2402" i="1"/>
  <c r="K2402" i="1" s="1"/>
  <c r="J2401" i="1"/>
  <c r="K2401" i="1" s="1"/>
  <c r="J2400" i="1"/>
  <c r="K2400" i="1" s="1"/>
  <c r="J2399" i="1"/>
  <c r="K2399" i="1" s="1"/>
  <c r="J2398" i="1"/>
  <c r="K2398" i="1" s="1"/>
  <c r="J2397" i="1"/>
  <c r="K2397" i="1" s="1"/>
  <c r="J2396" i="1"/>
  <c r="K2396" i="1" s="1"/>
  <c r="J2395" i="1"/>
  <c r="K2395" i="1" s="1"/>
  <c r="J2394" i="1"/>
  <c r="K2394" i="1" s="1"/>
  <c r="J2393" i="1"/>
  <c r="K2393" i="1" s="1"/>
  <c r="M2393" i="1" s="1"/>
  <c r="J2392" i="1"/>
  <c r="K2392" i="1" s="1"/>
  <c r="M2392" i="1" s="1"/>
  <c r="J2391" i="1"/>
  <c r="K2391" i="1" s="1"/>
  <c r="J2390" i="1"/>
  <c r="K2390" i="1" s="1"/>
  <c r="J2389" i="1"/>
  <c r="K2389" i="1" s="1"/>
  <c r="J2388" i="1"/>
  <c r="K2388" i="1" s="1"/>
  <c r="M2388" i="1" s="1"/>
  <c r="J2387" i="1"/>
  <c r="K2387" i="1" s="1"/>
  <c r="J2386" i="1"/>
  <c r="K2386" i="1" s="1"/>
  <c r="J2384" i="1"/>
  <c r="K2384" i="1" s="1"/>
  <c r="J2383" i="1"/>
  <c r="K2383" i="1" s="1"/>
  <c r="J2382" i="1"/>
  <c r="K2382" i="1" s="1"/>
  <c r="J2381" i="1"/>
  <c r="K2381" i="1" s="1"/>
  <c r="J2380" i="1"/>
  <c r="K2380" i="1" s="1"/>
  <c r="J2378" i="1"/>
  <c r="K2378" i="1" s="1"/>
  <c r="J2376" i="1"/>
  <c r="K2376" i="1" s="1"/>
  <c r="J2375" i="1"/>
  <c r="K2375" i="1" s="1"/>
  <c r="J2374" i="1"/>
  <c r="K2374" i="1" s="1"/>
  <c r="J2373" i="1"/>
  <c r="K2373" i="1" s="1"/>
  <c r="J2372" i="1"/>
  <c r="K2372" i="1" s="1"/>
  <c r="J2371" i="1"/>
  <c r="K2371" i="1" s="1"/>
  <c r="J2370" i="1"/>
  <c r="K2370" i="1" s="1"/>
  <c r="M2370" i="1" s="1"/>
  <c r="J2369" i="1"/>
  <c r="K2369" i="1" s="1"/>
  <c r="J2368" i="1"/>
  <c r="K2368" i="1" s="1"/>
  <c r="J2367" i="1"/>
  <c r="K2367" i="1" s="1"/>
  <c r="J2366" i="1"/>
  <c r="K2366" i="1" s="1"/>
  <c r="J2365" i="1"/>
  <c r="K2365" i="1" s="1"/>
  <c r="J2364" i="1"/>
  <c r="K2364" i="1" s="1"/>
  <c r="J2363" i="1"/>
  <c r="K2363" i="1" s="1"/>
  <c r="J2362" i="1"/>
  <c r="K2362" i="1" s="1"/>
  <c r="J2361" i="1"/>
  <c r="K2361" i="1" s="1"/>
  <c r="M2361" i="1" s="1"/>
  <c r="J2360" i="1"/>
  <c r="K2360" i="1" s="1"/>
  <c r="J2359" i="1"/>
  <c r="K2359" i="1" s="1"/>
  <c r="J2358" i="1"/>
  <c r="K2358" i="1" s="1"/>
  <c r="J2357" i="1"/>
  <c r="K2357" i="1" s="1"/>
  <c r="J2356" i="1"/>
  <c r="K2356" i="1" s="1"/>
  <c r="J2355" i="1"/>
  <c r="K2355" i="1" s="1"/>
  <c r="J2354" i="1"/>
  <c r="K2354" i="1" s="1"/>
  <c r="J2353" i="1"/>
  <c r="K2353" i="1" s="1"/>
  <c r="J2352" i="1"/>
  <c r="K2352" i="1" s="1"/>
  <c r="J2351" i="1"/>
  <c r="K2351" i="1" s="1"/>
  <c r="J2350" i="1"/>
  <c r="K2350" i="1" s="1"/>
  <c r="J2349" i="1"/>
  <c r="K2349" i="1" s="1"/>
  <c r="J2348" i="1"/>
  <c r="K2348" i="1" s="1"/>
  <c r="J2347" i="1"/>
  <c r="K2347" i="1" s="1"/>
  <c r="J2346" i="1"/>
  <c r="K2346" i="1" s="1"/>
  <c r="J2345" i="1"/>
  <c r="K2345" i="1" s="1"/>
  <c r="J2344" i="1"/>
  <c r="K2344" i="1" s="1"/>
  <c r="J2343" i="1"/>
  <c r="K2343" i="1" s="1"/>
  <c r="J2342" i="1"/>
  <c r="K2342" i="1" s="1"/>
  <c r="J2341" i="1"/>
  <c r="K2341" i="1" s="1"/>
  <c r="J2340" i="1"/>
  <c r="K2340" i="1" s="1"/>
  <c r="J2339" i="1"/>
  <c r="K2339" i="1" s="1"/>
  <c r="J2338" i="1"/>
  <c r="K2338" i="1" s="1"/>
  <c r="J2337" i="1"/>
  <c r="K2337" i="1" s="1"/>
  <c r="J2336" i="1"/>
  <c r="K2336" i="1" s="1"/>
  <c r="J2335" i="1"/>
  <c r="K2335" i="1" s="1"/>
  <c r="J2334" i="1"/>
  <c r="K2334" i="1" s="1"/>
  <c r="J2333" i="1"/>
  <c r="K2333" i="1" s="1"/>
  <c r="J2332" i="1"/>
  <c r="K2332" i="1" s="1"/>
  <c r="J2331" i="1"/>
  <c r="K2331" i="1" s="1"/>
  <c r="J2330" i="1"/>
  <c r="K2330" i="1" s="1"/>
  <c r="J2329" i="1"/>
  <c r="K2329" i="1" s="1"/>
  <c r="J2328" i="1"/>
  <c r="K2328" i="1" s="1"/>
  <c r="J2327" i="1"/>
  <c r="K2327" i="1" s="1"/>
  <c r="J2326" i="1"/>
  <c r="K2326" i="1" s="1"/>
  <c r="J2325" i="1"/>
  <c r="K2325" i="1" s="1"/>
  <c r="M2325" i="1" s="1"/>
  <c r="J2324" i="1"/>
  <c r="K2324" i="1" s="1"/>
  <c r="J2323" i="1"/>
  <c r="K2323" i="1" s="1"/>
  <c r="J2322" i="1"/>
  <c r="K2322" i="1" s="1"/>
  <c r="J2321" i="1"/>
  <c r="K2321" i="1" s="1"/>
  <c r="J2320" i="1"/>
  <c r="K2320" i="1" s="1"/>
  <c r="J2319" i="1"/>
  <c r="K2319" i="1" s="1"/>
  <c r="J2318" i="1"/>
  <c r="K2318" i="1" s="1"/>
  <c r="J2317" i="1"/>
  <c r="K2317" i="1" s="1"/>
  <c r="J2316" i="1"/>
  <c r="K2316" i="1" s="1"/>
  <c r="J2315" i="1"/>
  <c r="K2315" i="1" s="1"/>
  <c r="M2315" i="1" s="1"/>
  <c r="J2314" i="1"/>
  <c r="K2314" i="1" s="1"/>
  <c r="J2313" i="1"/>
  <c r="K2313" i="1" s="1"/>
  <c r="J2312" i="1"/>
  <c r="K2312" i="1" s="1"/>
  <c r="J2311" i="1"/>
  <c r="K2311" i="1" s="1"/>
  <c r="J2310" i="1"/>
  <c r="K2310" i="1" s="1"/>
  <c r="J2309" i="1"/>
  <c r="K2309" i="1" s="1"/>
  <c r="J2308" i="1"/>
  <c r="K2308" i="1" s="1"/>
  <c r="J2307" i="1"/>
  <c r="K2307" i="1" s="1"/>
  <c r="J2306" i="1"/>
  <c r="K2306" i="1" s="1"/>
  <c r="J2305" i="1"/>
  <c r="K2305" i="1" s="1"/>
  <c r="J2304" i="1"/>
  <c r="K2304" i="1" s="1"/>
  <c r="J2303" i="1"/>
  <c r="K2303" i="1" s="1"/>
  <c r="J2302" i="1"/>
  <c r="K2302" i="1" s="1"/>
  <c r="J2301" i="1"/>
  <c r="K2301" i="1" s="1"/>
  <c r="J2300" i="1"/>
  <c r="K2300" i="1" s="1"/>
  <c r="J2299" i="1"/>
  <c r="K2299" i="1" s="1"/>
  <c r="J2298" i="1"/>
  <c r="K2298" i="1" s="1"/>
  <c r="J2297" i="1"/>
  <c r="K2297" i="1" s="1"/>
  <c r="J2296" i="1"/>
  <c r="K2296" i="1" s="1"/>
  <c r="J2295" i="1"/>
  <c r="K2295" i="1" s="1"/>
  <c r="J2294" i="1"/>
  <c r="K2294" i="1" s="1"/>
  <c r="J2293" i="1"/>
  <c r="K2293" i="1" s="1"/>
  <c r="J2292" i="1"/>
  <c r="K2292" i="1" s="1"/>
  <c r="J2291" i="1"/>
  <c r="K2291" i="1" s="1"/>
  <c r="J2290" i="1"/>
  <c r="K2290" i="1" s="1"/>
  <c r="J2289" i="1"/>
  <c r="K2289" i="1" s="1"/>
  <c r="M2289" i="1" s="1"/>
  <c r="J2288" i="1"/>
  <c r="K2288" i="1" s="1"/>
  <c r="M2288" i="1" s="1"/>
  <c r="J2287" i="1"/>
  <c r="K2287" i="1" s="1"/>
  <c r="J2286" i="1"/>
  <c r="K2286" i="1" s="1"/>
  <c r="J2285" i="1"/>
  <c r="K2285" i="1" s="1"/>
  <c r="J2284" i="1"/>
  <c r="K2284" i="1" s="1"/>
  <c r="J2283" i="1"/>
  <c r="K2283" i="1" s="1"/>
  <c r="J2282" i="1"/>
  <c r="K2282" i="1" s="1"/>
  <c r="J2281" i="1"/>
  <c r="K2281" i="1" s="1"/>
  <c r="J2280" i="1"/>
  <c r="K2280" i="1" s="1"/>
  <c r="J2279" i="1"/>
  <c r="K2279" i="1" s="1"/>
  <c r="J2278" i="1"/>
  <c r="K2278" i="1" s="1"/>
  <c r="J2277" i="1"/>
  <c r="K2277" i="1" s="1"/>
  <c r="J2276" i="1"/>
  <c r="K2276" i="1" s="1"/>
  <c r="J2275" i="1"/>
  <c r="K2275" i="1" s="1"/>
  <c r="M2275" i="1" s="1"/>
  <c r="J2274" i="1"/>
  <c r="K2274" i="1" s="1"/>
  <c r="J2273" i="1"/>
  <c r="K2273" i="1" s="1"/>
  <c r="J2272" i="1"/>
  <c r="K2272" i="1" s="1"/>
  <c r="J2271" i="1"/>
  <c r="K2271" i="1" s="1"/>
  <c r="J2270" i="1"/>
  <c r="K2270" i="1" s="1"/>
  <c r="J2269" i="1"/>
  <c r="K2269" i="1" s="1"/>
  <c r="J2268" i="1"/>
  <c r="K2268" i="1" s="1"/>
  <c r="J2267" i="1"/>
  <c r="K2267" i="1" s="1"/>
  <c r="J2266" i="1"/>
  <c r="K2266" i="1" s="1"/>
  <c r="J2265" i="1"/>
  <c r="K2265" i="1" s="1"/>
  <c r="J2264" i="1"/>
  <c r="K2264" i="1" s="1"/>
  <c r="J2263" i="1"/>
  <c r="K2263" i="1" s="1"/>
  <c r="J2262" i="1"/>
  <c r="K2262" i="1" s="1"/>
  <c r="J2261" i="1"/>
  <c r="K2261" i="1" s="1"/>
  <c r="J2259" i="1"/>
  <c r="K2259" i="1" s="1"/>
  <c r="J2257" i="1"/>
  <c r="K2257" i="1" s="1"/>
  <c r="J2256" i="1"/>
  <c r="K2256" i="1" s="1"/>
  <c r="J2255" i="1"/>
  <c r="K2255" i="1" s="1"/>
  <c r="J2254" i="1"/>
  <c r="K2254" i="1" s="1"/>
  <c r="J2253" i="1"/>
  <c r="K2253" i="1" s="1"/>
  <c r="J2252" i="1"/>
  <c r="K2252" i="1" s="1"/>
  <c r="J2251" i="1"/>
  <c r="K2251" i="1" s="1"/>
  <c r="J2250" i="1"/>
  <c r="K2250" i="1" s="1"/>
  <c r="J2249" i="1"/>
  <c r="K2249" i="1" s="1"/>
  <c r="J2248" i="1"/>
  <c r="K2248" i="1" s="1"/>
  <c r="J2247" i="1"/>
  <c r="K2247" i="1" s="1"/>
  <c r="J2246" i="1"/>
  <c r="K2246" i="1" s="1"/>
  <c r="J2245" i="1"/>
  <c r="K2245" i="1" s="1"/>
  <c r="J2244" i="1"/>
  <c r="K2244" i="1" s="1"/>
  <c r="J2243" i="1"/>
  <c r="K2243" i="1" s="1"/>
  <c r="J2242" i="1"/>
  <c r="K2242" i="1" s="1"/>
  <c r="J2241" i="1"/>
  <c r="K2241" i="1" s="1"/>
  <c r="J2240" i="1"/>
  <c r="K2240" i="1" s="1"/>
  <c r="J2239" i="1"/>
  <c r="K2239" i="1" s="1"/>
  <c r="M2239" i="1" s="1"/>
  <c r="J2238" i="1"/>
  <c r="K2238" i="1" s="1"/>
  <c r="J2237" i="1"/>
  <c r="K2237" i="1" s="1"/>
  <c r="J2236" i="1"/>
  <c r="K2236" i="1" s="1"/>
  <c r="J2235" i="1"/>
  <c r="K2235" i="1" s="1"/>
  <c r="J2234" i="1"/>
  <c r="K2234" i="1" s="1"/>
  <c r="J2233" i="1"/>
  <c r="K2233" i="1" s="1"/>
  <c r="J2232" i="1"/>
  <c r="K2232" i="1" s="1"/>
  <c r="M2232" i="1" s="1"/>
  <c r="J2231" i="1"/>
  <c r="K2231" i="1" s="1"/>
  <c r="J2230" i="1"/>
  <c r="K2230" i="1" s="1"/>
  <c r="M2230" i="1" s="1"/>
  <c r="J2229" i="1"/>
  <c r="K2229" i="1" s="1"/>
  <c r="J2228" i="1"/>
  <c r="K2228" i="1" s="1"/>
  <c r="J2227" i="1"/>
  <c r="K2227" i="1" s="1"/>
  <c r="J2226" i="1"/>
  <c r="K2226" i="1" s="1"/>
  <c r="J2225" i="1"/>
  <c r="K2225" i="1" s="1"/>
  <c r="J2224" i="1"/>
  <c r="K2224" i="1" s="1"/>
  <c r="J2223" i="1"/>
  <c r="K2223" i="1" s="1"/>
  <c r="J2222" i="1"/>
  <c r="K2222" i="1" s="1"/>
  <c r="J2221" i="1"/>
  <c r="K2221" i="1" s="1"/>
  <c r="J2220" i="1"/>
  <c r="K2220" i="1" s="1"/>
  <c r="J2219" i="1"/>
  <c r="K2219" i="1" s="1"/>
  <c r="J2218" i="1"/>
  <c r="K2218" i="1" s="1"/>
  <c r="J2217" i="1"/>
  <c r="K2217" i="1" s="1"/>
  <c r="J2216" i="1"/>
  <c r="K2216" i="1" s="1"/>
  <c r="J2215" i="1"/>
  <c r="K2215" i="1" s="1"/>
  <c r="J2214" i="1"/>
  <c r="K2214" i="1" s="1"/>
  <c r="J2213" i="1"/>
  <c r="K2213" i="1" s="1"/>
  <c r="J2212" i="1"/>
  <c r="K2212" i="1" s="1"/>
  <c r="J2210" i="1"/>
  <c r="K2210" i="1" s="1"/>
  <c r="J2209" i="1"/>
  <c r="K2209" i="1" s="1"/>
  <c r="J2208" i="1"/>
  <c r="K2208" i="1" s="1"/>
  <c r="J2207" i="1"/>
  <c r="K2207" i="1" s="1"/>
  <c r="M2207" i="1" s="1"/>
  <c r="J2206" i="1"/>
  <c r="K2206" i="1" s="1"/>
  <c r="J2205" i="1"/>
  <c r="K2205" i="1" s="1"/>
  <c r="J2204" i="1"/>
  <c r="K2204" i="1" s="1"/>
  <c r="J2203" i="1"/>
  <c r="K2203" i="1" s="1"/>
  <c r="J2202" i="1"/>
  <c r="K2202" i="1" s="1"/>
  <c r="J2201" i="1"/>
  <c r="K2201" i="1" s="1"/>
  <c r="J2200" i="1"/>
  <c r="K2200" i="1" s="1"/>
  <c r="J2199" i="1"/>
  <c r="K2199" i="1" s="1"/>
  <c r="J2198" i="1"/>
  <c r="K2198" i="1" s="1"/>
  <c r="M2198" i="1" s="1"/>
  <c r="J2197" i="1"/>
  <c r="K2197" i="1" s="1"/>
  <c r="J2196" i="1"/>
  <c r="K2196" i="1" s="1"/>
  <c r="J2195" i="1"/>
  <c r="K2195" i="1" s="1"/>
  <c r="J2194" i="1"/>
  <c r="K2194" i="1" s="1"/>
  <c r="J2193" i="1"/>
  <c r="K2193" i="1" s="1"/>
  <c r="J2192" i="1"/>
  <c r="K2192" i="1" s="1"/>
  <c r="J2191" i="1"/>
  <c r="K2191" i="1" s="1"/>
  <c r="J2190" i="1"/>
  <c r="K2190" i="1" s="1"/>
  <c r="J2189" i="1"/>
  <c r="K2189" i="1" s="1"/>
  <c r="J2188" i="1"/>
  <c r="K2188" i="1" s="1"/>
  <c r="J2187" i="1"/>
  <c r="K2187" i="1" s="1"/>
  <c r="J2186" i="1"/>
  <c r="K2186" i="1" s="1"/>
  <c r="J2185" i="1"/>
  <c r="K2185" i="1" s="1"/>
  <c r="M2185" i="1" s="1"/>
  <c r="J2184" i="1"/>
  <c r="K2184" i="1" s="1"/>
  <c r="J2183" i="1"/>
  <c r="K2183" i="1" s="1"/>
  <c r="J2182" i="1"/>
  <c r="K2182" i="1" s="1"/>
  <c r="J2181" i="1"/>
  <c r="K2181" i="1" s="1"/>
  <c r="J2180" i="1"/>
  <c r="K2180" i="1" s="1"/>
  <c r="J2179" i="1"/>
  <c r="K2179" i="1" s="1"/>
  <c r="J2178" i="1"/>
  <c r="K2178" i="1" s="1"/>
  <c r="J2177" i="1"/>
  <c r="K2177" i="1" s="1"/>
  <c r="J2176" i="1"/>
  <c r="K2176" i="1" s="1"/>
  <c r="J2175" i="1"/>
  <c r="K2175" i="1" s="1"/>
  <c r="J2174" i="1"/>
  <c r="K2174" i="1" s="1"/>
  <c r="J2173" i="1"/>
  <c r="K2173" i="1" s="1"/>
  <c r="J2172" i="1"/>
  <c r="K2172" i="1" s="1"/>
  <c r="J2171" i="1"/>
  <c r="K2171" i="1" s="1"/>
  <c r="J2170" i="1"/>
  <c r="K2170" i="1" s="1"/>
  <c r="J2169" i="1"/>
  <c r="K2169" i="1" s="1"/>
  <c r="J2168" i="1"/>
  <c r="K2168" i="1" s="1"/>
  <c r="J2167" i="1"/>
  <c r="K2167" i="1" s="1"/>
  <c r="J2166" i="1"/>
  <c r="K2166" i="1" s="1"/>
  <c r="J2165" i="1"/>
  <c r="K2165" i="1" s="1"/>
  <c r="J2164" i="1"/>
  <c r="K2164" i="1" s="1"/>
  <c r="J2163" i="1"/>
  <c r="K2163" i="1" s="1"/>
  <c r="J2162" i="1"/>
  <c r="K2162" i="1" s="1"/>
  <c r="J2161" i="1"/>
  <c r="K2161" i="1" s="1"/>
  <c r="J2160" i="1"/>
  <c r="K2160" i="1" s="1"/>
  <c r="J2159" i="1"/>
  <c r="K2159" i="1" s="1"/>
  <c r="J2158" i="1"/>
  <c r="K2158" i="1" s="1"/>
  <c r="J2157" i="1"/>
  <c r="K2157" i="1" s="1"/>
  <c r="J2156" i="1"/>
  <c r="K2156" i="1" s="1"/>
  <c r="J2155" i="1"/>
  <c r="K2155" i="1" s="1"/>
  <c r="J2154" i="1"/>
  <c r="K2154" i="1" s="1"/>
  <c r="J2153" i="1"/>
  <c r="K2153" i="1" s="1"/>
  <c r="J2152" i="1"/>
  <c r="K2152" i="1" s="1"/>
  <c r="J2151" i="1"/>
  <c r="K2151" i="1" s="1"/>
  <c r="J2150" i="1"/>
  <c r="K2150" i="1" s="1"/>
  <c r="J2149" i="1"/>
  <c r="K2149" i="1" s="1"/>
  <c r="J2148" i="1"/>
  <c r="K2148" i="1" s="1"/>
  <c r="J2147" i="1"/>
  <c r="K2147" i="1" s="1"/>
  <c r="J2146" i="1"/>
  <c r="K2146" i="1" s="1"/>
  <c r="J2145" i="1"/>
  <c r="K2145" i="1" s="1"/>
  <c r="J2144" i="1"/>
  <c r="K2144" i="1" s="1"/>
  <c r="J2142" i="1"/>
  <c r="K2142" i="1" s="1"/>
  <c r="J2141" i="1"/>
  <c r="K2141" i="1" s="1"/>
  <c r="J2140" i="1"/>
  <c r="K2140" i="1" s="1"/>
  <c r="J2139" i="1"/>
  <c r="K2139" i="1" s="1"/>
  <c r="J2138" i="1"/>
  <c r="K2138" i="1" s="1"/>
  <c r="J2137" i="1"/>
  <c r="K2137" i="1" s="1"/>
  <c r="M2137" i="1" s="1"/>
  <c r="J2136" i="1"/>
  <c r="K2136" i="1" s="1"/>
  <c r="J2135" i="1"/>
  <c r="K2135" i="1" s="1"/>
  <c r="J2134" i="1"/>
  <c r="K2134" i="1" s="1"/>
  <c r="J2133" i="1"/>
  <c r="K2133" i="1" s="1"/>
  <c r="J2132" i="1"/>
  <c r="K2132" i="1" s="1"/>
  <c r="J2131" i="1"/>
  <c r="K2131" i="1" s="1"/>
  <c r="J2130" i="1"/>
  <c r="K2130" i="1" s="1"/>
  <c r="M2130" i="1" s="1"/>
  <c r="J2129" i="1"/>
  <c r="K2129" i="1" s="1"/>
  <c r="J2128" i="1"/>
  <c r="K2128" i="1" s="1"/>
  <c r="J2127" i="1"/>
  <c r="K2127" i="1" s="1"/>
  <c r="J2126" i="1"/>
  <c r="K2126" i="1" s="1"/>
  <c r="J2125" i="1"/>
  <c r="K2125" i="1" s="1"/>
  <c r="J2123" i="1"/>
  <c r="K2123" i="1" s="1"/>
  <c r="J2122" i="1"/>
  <c r="K2122" i="1" s="1"/>
  <c r="J2120" i="1"/>
  <c r="K2120" i="1" s="1"/>
  <c r="J2119" i="1"/>
  <c r="K2119" i="1" s="1"/>
  <c r="J2118" i="1"/>
  <c r="K2118" i="1" s="1"/>
  <c r="J2117" i="1"/>
  <c r="K2117" i="1" s="1"/>
  <c r="M2117" i="1" s="1"/>
  <c r="J2116" i="1"/>
  <c r="K2116" i="1" s="1"/>
  <c r="J2115" i="1"/>
  <c r="K2115" i="1" s="1"/>
  <c r="J2114" i="1"/>
  <c r="K2114" i="1" s="1"/>
  <c r="J2113" i="1"/>
  <c r="K2113" i="1" s="1"/>
  <c r="J2112" i="1"/>
  <c r="K2112" i="1" s="1"/>
  <c r="J2111" i="1"/>
  <c r="K2111" i="1" s="1"/>
  <c r="J2110" i="1"/>
  <c r="K2110" i="1" s="1"/>
  <c r="J2109" i="1"/>
  <c r="K2109" i="1" s="1"/>
  <c r="J2108" i="1"/>
  <c r="K2108" i="1" s="1"/>
  <c r="J2105" i="1"/>
  <c r="K2105" i="1" s="1"/>
  <c r="J2103" i="1"/>
  <c r="K2103" i="1" s="1"/>
  <c r="J2102" i="1"/>
  <c r="K2102" i="1" s="1"/>
  <c r="M2102" i="1" s="1"/>
  <c r="J2101" i="1"/>
  <c r="K2101" i="1" s="1"/>
  <c r="J2100" i="1"/>
  <c r="K2100" i="1" s="1"/>
  <c r="J2098" i="1"/>
  <c r="K2098" i="1" s="1"/>
  <c r="J2097" i="1"/>
  <c r="K2097" i="1" s="1"/>
  <c r="J2096" i="1"/>
  <c r="K2096" i="1" s="1"/>
  <c r="J2094" i="1"/>
  <c r="K2094" i="1" s="1"/>
  <c r="J2093" i="1"/>
  <c r="K2093" i="1" s="1"/>
  <c r="J2092" i="1"/>
  <c r="K2092" i="1" s="1"/>
  <c r="J2091" i="1"/>
  <c r="K2091" i="1" s="1"/>
  <c r="J2090" i="1"/>
  <c r="K2090" i="1" s="1"/>
  <c r="J2089" i="1"/>
  <c r="K2089" i="1" s="1"/>
  <c r="J2088" i="1"/>
  <c r="K2088" i="1" s="1"/>
  <c r="J2087" i="1"/>
  <c r="K2087" i="1" s="1"/>
  <c r="J2086" i="1"/>
  <c r="K2086" i="1" s="1"/>
  <c r="J2085" i="1"/>
  <c r="K2085" i="1" s="1"/>
  <c r="J2084" i="1"/>
  <c r="K2084" i="1" s="1"/>
  <c r="J2083" i="1"/>
  <c r="K2083" i="1" s="1"/>
  <c r="J2082" i="1"/>
  <c r="K2082" i="1" s="1"/>
  <c r="J2081" i="1"/>
  <c r="K2081" i="1" s="1"/>
  <c r="J2080" i="1"/>
  <c r="K2080" i="1" s="1"/>
  <c r="J2079" i="1"/>
  <c r="K2079" i="1" s="1"/>
  <c r="J2078" i="1"/>
  <c r="K2078" i="1" s="1"/>
  <c r="J2077" i="1"/>
  <c r="K2077" i="1" s="1"/>
  <c r="J2076" i="1"/>
  <c r="K2076" i="1" s="1"/>
  <c r="J2075" i="1"/>
  <c r="K2075" i="1" s="1"/>
  <c r="J2074" i="1"/>
  <c r="K2074" i="1" s="1"/>
  <c r="J2073" i="1"/>
  <c r="K2073" i="1" s="1"/>
  <c r="J2072" i="1"/>
  <c r="K2072" i="1" s="1"/>
  <c r="J2070" i="1"/>
  <c r="K2070" i="1" s="1"/>
  <c r="J2068" i="1"/>
  <c r="K2068" i="1" s="1"/>
  <c r="J2065" i="1"/>
  <c r="K2065" i="1" s="1"/>
  <c r="J2064" i="1"/>
  <c r="K2064" i="1" s="1"/>
  <c r="J2063" i="1"/>
  <c r="K2063" i="1" s="1"/>
  <c r="J2062" i="1"/>
  <c r="K2062" i="1" s="1"/>
  <c r="J2061" i="1"/>
  <c r="K2061" i="1" s="1"/>
  <c r="J2060" i="1"/>
  <c r="K2060" i="1" s="1"/>
  <c r="J2059" i="1"/>
  <c r="K2059" i="1" s="1"/>
  <c r="J2058" i="1"/>
  <c r="K2058" i="1" s="1"/>
  <c r="J2057" i="1"/>
  <c r="K2057" i="1" s="1"/>
  <c r="J2056" i="1"/>
  <c r="K2056" i="1" s="1"/>
  <c r="J2055" i="1"/>
  <c r="K2055" i="1" s="1"/>
  <c r="J2054" i="1"/>
  <c r="K2054" i="1" s="1"/>
  <c r="J2052" i="1"/>
  <c r="K2052" i="1" s="1"/>
  <c r="J2051" i="1"/>
  <c r="K2051" i="1" s="1"/>
  <c r="J2050" i="1"/>
  <c r="K2050" i="1" s="1"/>
  <c r="J2049" i="1"/>
  <c r="K2049" i="1" s="1"/>
  <c r="J2048" i="1"/>
  <c r="K2048" i="1" s="1"/>
  <c r="J2047" i="1"/>
  <c r="K2047" i="1" s="1"/>
  <c r="J2046" i="1"/>
  <c r="K2046" i="1" s="1"/>
  <c r="J2043" i="1"/>
  <c r="K2043" i="1" s="1"/>
  <c r="J2042" i="1"/>
  <c r="K2042" i="1" s="1"/>
  <c r="J2041" i="1"/>
  <c r="K2041" i="1" s="1"/>
  <c r="J2040" i="1"/>
  <c r="K2040" i="1" s="1"/>
  <c r="J2039" i="1"/>
  <c r="K2039" i="1" s="1"/>
  <c r="J2038" i="1"/>
  <c r="K2038" i="1" s="1"/>
  <c r="J2036" i="1"/>
  <c r="K2036" i="1" s="1"/>
  <c r="J2035" i="1"/>
  <c r="K2035" i="1" s="1"/>
  <c r="J2034" i="1"/>
  <c r="K2034" i="1" s="1"/>
  <c r="J2033" i="1"/>
  <c r="K2033" i="1" s="1"/>
  <c r="J2032" i="1"/>
  <c r="K2032" i="1" s="1"/>
  <c r="J2031" i="1"/>
  <c r="K2031" i="1" s="1"/>
  <c r="J2029" i="1"/>
  <c r="K2029" i="1" s="1"/>
  <c r="J2028" i="1"/>
  <c r="K2028" i="1" s="1"/>
  <c r="J2027" i="1"/>
  <c r="K2027" i="1" s="1"/>
  <c r="J2026" i="1"/>
  <c r="K2026" i="1" s="1"/>
  <c r="M2026" i="1" s="1"/>
  <c r="J2023" i="1"/>
  <c r="K2023" i="1" s="1"/>
  <c r="J2022" i="1"/>
  <c r="K2022" i="1" s="1"/>
  <c r="J2021" i="1"/>
  <c r="K2021" i="1" s="1"/>
  <c r="J2020" i="1"/>
  <c r="K2020" i="1" s="1"/>
  <c r="J2019" i="1"/>
  <c r="K2019" i="1" s="1"/>
  <c r="J2018" i="1"/>
  <c r="K2018" i="1" s="1"/>
  <c r="J2017" i="1"/>
  <c r="K2017" i="1" s="1"/>
  <c r="J2016" i="1"/>
  <c r="K2016" i="1" s="1"/>
  <c r="J2015" i="1"/>
  <c r="K2015" i="1" s="1"/>
  <c r="J2014" i="1"/>
  <c r="K2014" i="1" s="1"/>
  <c r="J2013" i="1"/>
  <c r="K2013" i="1" s="1"/>
  <c r="J2012" i="1"/>
  <c r="K2012" i="1" s="1"/>
  <c r="J2011" i="1"/>
  <c r="K2011" i="1" s="1"/>
  <c r="J2010" i="1"/>
  <c r="K2010" i="1" s="1"/>
  <c r="J2009" i="1"/>
  <c r="K2009" i="1" s="1"/>
  <c r="J2008" i="1"/>
  <c r="K2008" i="1" s="1"/>
  <c r="J2007" i="1"/>
  <c r="K2007" i="1" s="1"/>
  <c r="J2006" i="1"/>
  <c r="K2006" i="1" s="1"/>
  <c r="J2005" i="1"/>
  <c r="K2005" i="1" s="1"/>
  <c r="J2004" i="1"/>
  <c r="K2004" i="1" s="1"/>
  <c r="J2003" i="1"/>
  <c r="K2003" i="1" s="1"/>
  <c r="J2002" i="1"/>
  <c r="K2002" i="1" s="1"/>
  <c r="J2000" i="1"/>
  <c r="K2000" i="1" s="1"/>
  <c r="J1999" i="1"/>
  <c r="K1999" i="1" s="1"/>
  <c r="J1998" i="1"/>
  <c r="K1998" i="1" s="1"/>
  <c r="J1997" i="1"/>
  <c r="K1997" i="1" s="1"/>
  <c r="J1996" i="1"/>
  <c r="K1996" i="1" s="1"/>
  <c r="J1995" i="1"/>
  <c r="K1995" i="1" s="1"/>
  <c r="J1994" i="1"/>
  <c r="K1994" i="1" s="1"/>
  <c r="M1994" i="1" s="1"/>
  <c r="J1993" i="1"/>
  <c r="K1993" i="1" s="1"/>
  <c r="J1992" i="1"/>
  <c r="K1992" i="1" s="1"/>
  <c r="J1991" i="1"/>
  <c r="K1991" i="1" s="1"/>
  <c r="J1990" i="1"/>
  <c r="K1990" i="1" s="1"/>
  <c r="J1989" i="1"/>
  <c r="K1989" i="1" s="1"/>
  <c r="J1988" i="1"/>
  <c r="K1988" i="1" s="1"/>
  <c r="J1987" i="1"/>
  <c r="K1987" i="1" s="1"/>
  <c r="J1986" i="1"/>
  <c r="K1986" i="1" s="1"/>
  <c r="J1985" i="1"/>
  <c r="K1985" i="1" s="1"/>
  <c r="J1984" i="1"/>
  <c r="K1984" i="1" s="1"/>
  <c r="M1984" i="1" s="1"/>
  <c r="J1983" i="1"/>
  <c r="K1983" i="1" s="1"/>
  <c r="J1982" i="1"/>
  <c r="K1982" i="1" s="1"/>
  <c r="J1981" i="1"/>
  <c r="K1981" i="1" s="1"/>
  <c r="J1979" i="1"/>
  <c r="K1979" i="1" s="1"/>
  <c r="J1978" i="1"/>
  <c r="K1978" i="1" s="1"/>
  <c r="J1977" i="1"/>
  <c r="K1977" i="1" s="1"/>
  <c r="J1976" i="1"/>
  <c r="K1976" i="1" s="1"/>
  <c r="J1975" i="1"/>
  <c r="K1975" i="1" s="1"/>
  <c r="J1974" i="1"/>
  <c r="K1974" i="1" s="1"/>
  <c r="J1973" i="1"/>
  <c r="K1973" i="1" s="1"/>
  <c r="J1972" i="1"/>
  <c r="K1972" i="1" s="1"/>
  <c r="J1971" i="1"/>
  <c r="K1971" i="1" s="1"/>
  <c r="J1970" i="1"/>
  <c r="K1970" i="1" s="1"/>
  <c r="J1969" i="1"/>
  <c r="K1969" i="1" s="1"/>
  <c r="J1968" i="1"/>
  <c r="K1968" i="1" s="1"/>
  <c r="J1967" i="1"/>
  <c r="K1967" i="1" s="1"/>
  <c r="J1966" i="1"/>
  <c r="K1966" i="1" s="1"/>
  <c r="J1965" i="1"/>
  <c r="K1965" i="1" s="1"/>
  <c r="J1964" i="1"/>
  <c r="K1964" i="1" s="1"/>
  <c r="J1963" i="1"/>
  <c r="K1963" i="1" s="1"/>
  <c r="J1962" i="1"/>
  <c r="K1962" i="1" s="1"/>
  <c r="J1961" i="1"/>
  <c r="K1961" i="1" s="1"/>
  <c r="J1960" i="1"/>
  <c r="K1960" i="1" s="1"/>
  <c r="J1959" i="1"/>
  <c r="K1959" i="1" s="1"/>
  <c r="J1958" i="1"/>
  <c r="K1958" i="1" s="1"/>
  <c r="M1958" i="1" s="1"/>
  <c r="J1957" i="1"/>
  <c r="K1957" i="1" s="1"/>
  <c r="M1957" i="1" s="1"/>
  <c r="J1956" i="1"/>
  <c r="K1956" i="1" s="1"/>
  <c r="J1955" i="1"/>
  <c r="K1955" i="1" s="1"/>
  <c r="J1954" i="1"/>
  <c r="K1954" i="1" s="1"/>
  <c r="J1953" i="1"/>
  <c r="K1953" i="1" s="1"/>
  <c r="J1952" i="1"/>
  <c r="K1952" i="1" s="1"/>
  <c r="J1951" i="1"/>
  <c r="K1951" i="1" s="1"/>
  <c r="J1950" i="1"/>
  <c r="K1950" i="1" s="1"/>
  <c r="J1949" i="1"/>
  <c r="K1949" i="1" s="1"/>
  <c r="J1948" i="1"/>
  <c r="K1948" i="1" s="1"/>
  <c r="J1947" i="1"/>
  <c r="K1947" i="1" s="1"/>
  <c r="J1946" i="1"/>
  <c r="K1946" i="1" s="1"/>
  <c r="J1945" i="1"/>
  <c r="K1945" i="1" s="1"/>
  <c r="J1944" i="1"/>
  <c r="K1944" i="1" s="1"/>
  <c r="J1943" i="1"/>
  <c r="K1943" i="1" s="1"/>
  <c r="J1942" i="1"/>
  <c r="K1942" i="1" s="1"/>
  <c r="J1941" i="1"/>
  <c r="K1941" i="1" s="1"/>
  <c r="J1940" i="1"/>
  <c r="K1940" i="1" s="1"/>
  <c r="J1939" i="1"/>
  <c r="K1939" i="1" s="1"/>
  <c r="J1938" i="1"/>
  <c r="K1938" i="1" s="1"/>
  <c r="J1937" i="1"/>
  <c r="K1937" i="1" s="1"/>
  <c r="J1936" i="1"/>
  <c r="K1936" i="1" s="1"/>
  <c r="J1935" i="1"/>
  <c r="K1935" i="1" s="1"/>
  <c r="J1934" i="1"/>
  <c r="K1934" i="1" s="1"/>
  <c r="J1933" i="1"/>
  <c r="K1933" i="1" s="1"/>
  <c r="J1932" i="1"/>
  <c r="K1932" i="1" s="1"/>
  <c r="J1931" i="1"/>
  <c r="K1931" i="1" s="1"/>
  <c r="J1930" i="1"/>
  <c r="K1930" i="1" s="1"/>
  <c r="J1929" i="1"/>
  <c r="K1929" i="1" s="1"/>
  <c r="J1928" i="1"/>
  <c r="K1928" i="1" s="1"/>
  <c r="J1927" i="1"/>
  <c r="K1927" i="1" s="1"/>
  <c r="J1926" i="1"/>
  <c r="K1926" i="1" s="1"/>
  <c r="J1925" i="1"/>
  <c r="K1925" i="1" s="1"/>
  <c r="J1924" i="1"/>
  <c r="K1924" i="1" s="1"/>
  <c r="J1923" i="1"/>
  <c r="K1923" i="1" s="1"/>
  <c r="J1922" i="1"/>
  <c r="K1922" i="1" s="1"/>
  <c r="J1921" i="1"/>
  <c r="K1921" i="1" s="1"/>
  <c r="J1920" i="1"/>
  <c r="K1920" i="1" s="1"/>
  <c r="J1919" i="1"/>
  <c r="K1919" i="1" s="1"/>
  <c r="J1918" i="1"/>
  <c r="K1918" i="1" s="1"/>
  <c r="J1917" i="1"/>
  <c r="K1917" i="1" s="1"/>
  <c r="J1916" i="1"/>
  <c r="K1916" i="1" s="1"/>
  <c r="J1915" i="1"/>
  <c r="K1915" i="1" s="1"/>
  <c r="J1913" i="1"/>
  <c r="K1913" i="1" s="1"/>
  <c r="J1912" i="1"/>
  <c r="K1912" i="1" s="1"/>
  <c r="J1911" i="1"/>
  <c r="K1911" i="1" s="1"/>
  <c r="J1908" i="1"/>
  <c r="K1908" i="1" s="1"/>
  <c r="J1907" i="1"/>
  <c r="K1907" i="1" s="1"/>
  <c r="J1906" i="1"/>
  <c r="K1906" i="1" s="1"/>
  <c r="J1905" i="1"/>
  <c r="K1905" i="1" s="1"/>
  <c r="J1904" i="1"/>
  <c r="K1904" i="1" s="1"/>
  <c r="M1904" i="1" s="1"/>
  <c r="J1903" i="1"/>
  <c r="K1903" i="1" s="1"/>
  <c r="J1902" i="1"/>
  <c r="K1902" i="1" s="1"/>
  <c r="M1902" i="1" s="1"/>
  <c r="J1901" i="1"/>
  <c r="K1901" i="1" s="1"/>
  <c r="J1900" i="1"/>
  <c r="K1900" i="1" s="1"/>
  <c r="J1899" i="1"/>
  <c r="K1899" i="1" s="1"/>
  <c r="J1898" i="1"/>
  <c r="K1898" i="1" s="1"/>
  <c r="J1897" i="1"/>
  <c r="K1897" i="1" s="1"/>
  <c r="J1896" i="1"/>
  <c r="K1896" i="1" s="1"/>
  <c r="J1895" i="1"/>
  <c r="K1895" i="1" s="1"/>
  <c r="J1894" i="1"/>
  <c r="K1894" i="1" s="1"/>
  <c r="J1893" i="1"/>
  <c r="K1893" i="1" s="1"/>
  <c r="J1892" i="1"/>
  <c r="K1892" i="1" s="1"/>
  <c r="J1891" i="1"/>
  <c r="K1891" i="1" s="1"/>
  <c r="J1890" i="1"/>
  <c r="K1890" i="1" s="1"/>
  <c r="J1889" i="1"/>
  <c r="K1889" i="1" s="1"/>
  <c r="J1888" i="1"/>
  <c r="K1888" i="1" s="1"/>
  <c r="J1887" i="1"/>
  <c r="K1887" i="1" s="1"/>
  <c r="J1886" i="1"/>
  <c r="K1886" i="1" s="1"/>
  <c r="J1885" i="1"/>
  <c r="K1885" i="1" s="1"/>
  <c r="J1884" i="1"/>
  <c r="K1884" i="1" s="1"/>
  <c r="J1883" i="1"/>
  <c r="K1883" i="1" s="1"/>
  <c r="J1882" i="1"/>
  <c r="K1882" i="1" s="1"/>
  <c r="J1881" i="1"/>
  <c r="K1881" i="1" s="1"/>
  <c r="J1880" i="1"/>
  <c r="K1880" i="1" s="1"/>
  <c r="J1879" i="1"/>
  <c r="K1879" i="1" s="1"/>
  <c r="J1876" i="1"/>
  <c r="K1876" i="1" s="1"/>
  <c r="J1875" i="1"/>
  <c r="K1875" i="1" s="1"/>
  <c r="J1874" i="1"/>
  <c r="K1874" i="1" s="1"/>
  <c r="J1873" i="1"/>
  <c r="K1873" i="1" s="1"/>
  <c r="J1872" i="1"/>
  <c r="K1872" i="1" s="1"/>
  <c r="J1869" i="1"/>
  <c r="K1869" i="1" s="1"/>
  <c r="J1868" i="1"/>
  <c r="K1868" i="1" s="1"/>
  <c r="J1867" i="1"/>
  <c r="K1867" i="1" s="1"/>
  <c r="J1866" i="1"/>
  <c r="K1866" i="1" s="1"/>
  <c r="J1865" i="1"/>
  <c r="K1865" i="1" s="1"/>
  <c r="J1864" i="1"/>
  <c r="K1864" i="1" s="1"/>
  <c r="J1863" i="1"/>
  <c r="K1863" i="1" s="1"/>
  <c r="M1863" i="1" s="1"/>
  <c r="J1862" i="1"/>
  <c r="K1862" i="1" s="1"/>
  <c r="J1861" i="1"/>
  <c r="K1861" i="1" s="1"/>
  <c r="J1860" i="1"/>
  <c r="K1860" i="1" s="1"/>
  <c r="J1859" i="1"/>
  <c r="K1859" i="1" s="1"/>
  <c r="J1858" i="1"/>
  <c r="K1858" i="1" s="1"/>
  <c r="J1857" i="1"/>
  <c r="K1857" i="1" s="1"/>
  <c r="J1856" i="1"/>
  <c r="K1856" i="1" s="1"/>
  <c r="J1855" i="1"/>
  <c r="K1855" i="1" s="1"/>
  <c r="J1854" i="1"/>
  <c r="K1854" i="1" s="1"/>
  <c r="J1853" i="1"/>
  <c r="K1853" i="1" s="1"/>
  <c r="J1852" i="1"/>
  <c r="K1852" i="1" s="1"/>
  <c r="J1851" i="1"/>
  <c r="K1851" i="1" s="1"/>
  <c r="J1850" i="1"/>
  <c r="K1850" i="1" s="1"/>
  <c r="J1849" i="1"/>
  <c r="K1849" i="1" s="1"/>
  <c r="J1848" i="1"/>
  <c r="K1848" i="1" s="1"/>
  <c r="J1847" i="1"/>
  <c r="K1847" i="1" s="1"/>
  <c r="J1846" i="1"/>
  <c r="K1846" i="1" s="1"/>
  <c r="J1845" i="1"/>
  <c r="K1845" i="1" s="1"/>
  <c r="J1844" i="1"/>
  <c r="K1844" i="1" s="1"/>
  <c r="J1843" i="1"/>
  <c r="K1843" i="1" s="1"/>
  <c r="J1842" i="1"/>
  <c r="K1842" i="1" s="1"/>
  <c r="J1841" i="1"/>
  <c r="K1841" i="1" s="1"/>
  <c r="J1840" i="1"/>
  <c r="K1840" i="1" s="1"/>
  <c r="J1839" i="1"/>
  <c r="K1839" i="1" s="1"/>
  <c r="J1838" i="1"/>
  <c r="K1838" i="1" s="1"/>
  <c r="J1837" i="1"/>
  <c r="K1837" i="1" s="1"/>
  <c r="J1836" i="1"/>
  <c r="K1836" i="1" s="1"/>
  <c r="J1835" i="1"/>
  <c r="K1835" i="1" s="1"/>
  <c r="J1834" i="1"/>
  <c r="K1834" i="1" s="1"/>
  <c r="J1833" i="1"/>
  <c r="K1833" i="1" s="1"/>
  <c r="J1832" i="1"/>
  <c r="K1832" i="1" s="1"/>
  <c r="J1831" i="1"/>
  <c r="K1831" i="1" s="1"/>
  <c r="M1831" i="1" s="1"/>
  <c r="J1830" i="1"/>
  <c r="K1830" i="1" s="1"/>
  <c r="J1828" i="1"/>
  <c r="K1828" i="1" s="1"/>
  <c r="J1827" i="1"/>
  <c r="K1827" i="1" s="1"/>
  <c r="J1826" i="1"/>
  <c r="K1826" i="1" s="1"/>
  <c r="J1825" i="1"/>
  <c r="K1825" i="1" s="1"/>
  <c r="J1824" i="1"/>
  <c r="K1824" i="1" s="1"/>
  <c r="J1823" i="1"/>
  <c r="K1823" i="1" s="1"/>
  <c r="J1822" i="1"/>
  <c r="K1822" i="1" s="1"/>
  <c r="J1821" i="1"/>
  <c r="K1821" i="1" s="1"/>
  <c r="J1820" i="1"/>
  <c r="K1820" i="1" s="1"/>
  <c r="J1819" i="1"/>
  <c r="K1819" i="1" s="1"/>
  <c r="J1818" i="1"/>
  <c r="K1818" i="1" s="1"/>
  <c r="J1817" i="1"/>
  <c r="K1817" i="1" s="1"/>
  <c r="J1816" i="1"/>
  <c r="K1816" i="1" s="1"/>
  <c r="J1815" i="1"/>
  <c r="K1815" i="1" s="1"/>
  <c r="J1814" i="1"/>
  <c r="K1814" i="1" s="1"/>
  <c r="J1813" i="1"/>
  <c r="K1813" i="1" s="1"/>
  <c r="J1812" i="1"/>
  <c r="K1812" i="1" s="1"/>
  <c r="J1811" i="1"/>
  <c r="K1811" i="1" s="1"/>
  <c r="J1810" i="1"/>
  <c r="K1810" i="1" s="1"/>
  <c r="J1809" i="1"/>
  <c r="K1809" i="1" s="1"/>
  <c r="J1808" i="1"/>
  <c r="K1808" i="1" s="1"/>
  <c r="J1807" i="1"/>
  <c r="K1807" i="1" s="1"/>
  <c r="J1806" i="1"/>
  <c r="K1806" i="1" s="1"/>
  <c r="J1805" i="1"/>
  <c r="K1805" i="1" s="1"/>
  <c r="J1804" i="1"/>
  <c r="K1804" i="1" s="1"/>
  <c r="J1803" i="1"/>
  <c r="K1803" i="1" s="1"/>
  <c r="J1802" i="1"/>
  <c r="K1802" i="1" s="1"/>
  <c r="J1801" i="1"/>
  <c r="K1801" i="1" s="1"/>
  <c r="J1800" i="1"/>
  <c r="K1800" i="1" s="1"/>
  <c r="J1799" i="1"/>
  <c r="K1799" i="1" s="1"/>
  <c r="J1798" i="1"/>
  <c r="K1798" i="1" s="1"/>
  <c r="J1797" i="1"/>
  <c r="K1797" i="1" s="1"/>
  <c r="J1796" i="1"/>
  <c r="K1796" i="1" s="1"/>
  <c r="J1795" i="1"/>
  <c r="K1795" i="1" s="1"/>
  <c r="J1794" i="1"/>
  <c r="K1794" i="1" s="1"/>
  <c r="J1793" i="1"/>
  <c r="K1793" i="1" s="1"/>
  <c r="J1792" i="1"/>
  <c r="K1792" i="1" s="1"/>
  <c r="J1791" i="1"/>
  <c r="K1791" i="1" s="1"/>
  <c r="J1790" i="1"/>
  <c r="K1790" i="1" s="1"/>
  <c r="J1789" i="1"/>
  <c r="K1789" i="1" s="1"/>
  <c r="J1788" i="1"/>
  <c r="K1788" i="1" s="1"/>
  <c r="J1787" i="1"/>
  <c r="K1787" i="1" s="1"/>
  <c r="J1786" i="1"/>
  <c r="K1786" i="1" s="1"/>
  <c r="J1785" i="1"/>
  <c r="K1785" i="1" s="1"/>
  <c r="J1784" i="1"/>
  <c r="K1784" i="1" s="1"/>
  <c r="J1783" i="1"/>
  <c r="K1783" i="1" s="1"/>
  <c r="J1782" i="1"/>
  <c r="K1782" i="1" s="1"/>
  <c r="J1781" i="1"/>
  <c r="K1781" i="1" s="1"/>
  <c r="J1780" i="1"/>
  <c r="K1780" i="1" s="1"/>
  <c r="J1779" i="1"/>
  <c r="K1779" i="1" s="1"/>
  <c r="J1778" i="1"/>
  <c r="K1778" i="1" s="1"/>
  <c r="J1777" i="1"/>
  <c r="K1777" i="1" s="1"/>
  <c r="J1776" i="1"/>
  <c r="K1776" i="1" s="1"/>
  <c r="J1775" i="1"/>
  <c r="K1775" i="1" s="1"/>
  <c r="J1774" i="1"/>
  <c r="K1774" i="1" s="1"/>
  <c r="J1773" i="1"/>
  <c r="K1773" i="1" s="1"/>
  <c r="J1772" i="1"/>
  <c r="K1772" i="1" s="1"/>
  <c r="J1771" i="1"/>
  <c r="K1771" i="1" s="1"/>
  <c r="J1770" i="1"/>
  <c r="K1770" i="1" s="1"/>
  <c r="J1769" i="1"/>
  <c r="K1769" i="1" s="1"/>
  <c r="J1768" i="1"/>
  <c r="K1768" i="1" s="1"/>
  <c r="J1767" i="1"/>
  <c r="K1767" i="1" s="1"/>
  <c r="J1766" i="1"/>
  <c r="K1766" i="1" s="1"/>
  <c r="J1765" i="1"/>
  <c r="K1765" i="1" s="1"/>
  <c r="J1764" i="1"/>
  <c r="K1764" i="1" s="1"/>
  <c r="J1763" i="1"/>
  <c r="K1763" i="1" s="1"/>
  <c r="J1762" i="1"/>
  <c r="K1762" i="1" s="1"/>
  <c r="J1761" i="1"/>
  <c r="K1761" i="1" s="1"/>
  <c r="J1760" i="1"/>
  <c r="K1760" i="1" s="1"/>
  <c r="J1759" i="1"/>
  <c r="K1759" i="1" s="1"/>
  <c r="J1758" i="1"/>
  <c r="K1758" i="1" s="1"/>
  <c r="M1758" i="1" s="1"/>
  <c r="J1757" i="1"/>
  <c r="K1757" i="1" s="1"/>
  <c r="J1756" i="1"/>
  <c r="K1756" i="1" s="1"/>
  <c r="J1755" i="1"/>
  <c r="K1755" i="1" s="1"/>
  <c r="J1754" i="1"/>
  <c r="K1754" i="1" s="1"/>
  <c r="J1753" i="1"/>
  <c r="K1753" i="1" s="1"/>
  <c r="J1752" i="1"/>
  <c r="K1752" i="1" s="1"/>
  <c r="J1751" i="1"/>
  <c r="K1751" i="1" s="1"/>
  <c r="J1750" i="1"/>
  <c r="K1750" i="1" s="1"/>
  <c r="J1749" i="1"/>
  <c r="K1749" i="1" s="1"/>
  <c r="J1748" i="1"/>
  <c r="K1748" i="1" s="1"/>
  <c r="M1748" i="1" s="1"/>
  <c r="J1747" i="1"/>
  <c r="K1747" i="1" s="1"/>
  <c r="J1746" i="1"/>
  <c r="K1746" i="1" s="1"/>
  <c r="J1745" i="1"/>
  <c r="K1745" i="1" s="1"/>
  <c r="J1744" i="1"/>
  <c r="K1744" i="1" s="1"/>
  <c r="J1743" i="1"/>
  <c r="K1743" i="1" s="1"/>
  <c r="J1742" i="1"/>
  <c r="K1742" i="1" s="1"/>
  <c r="J1741" i="1"/>
  <c r="K1741" i="1" s="1"/>
  <c r="J1740" i="1"/>
  <c r="K1740" i="1" s="1"/>
  <c r="J1739" i="1"/>
  <c r="K1739" i="1" s="1"/>
  <c r="J1738" i="1"/>
  <c r="K1738" i="1" s="1"/>
  <c r="J1737" i="1"/>
  <c r="K1737" i="1" s="1"/>
  <c r="J1736" i="1"/>
  <c r="K1736" i="1" s="1"/>
  <c r="J1735" i="1"/>
  <c r="K1735" i="1" s="1"/>
  <c r="J1734" i="1"/>
  <c r="K1734" i="1" s="1"/>
  <c r="J1733" i="1"/>
  <c r="K1733" i="1" s="1"/>
  <c r="J1732" i="1"/>
  <c r="K1732" i="1" s="1"/>
  <c r="J1731" i="1"/>
  <c r="K1731" i="1" s="1"/>
  <c r="J1730" i="1"/>
  <c r="K1730" i="1" s="1"/>
  <c r="J1729" i="1"/>
  <c r="K1729" i="1" s="1"/>
  <c r="J1728" i="1"/>
  <c r="K1728" i="1" s="1"/>
  <c r="J1727" i="1"/>
  <c r="K1727" i="1" s="1"/>
  <c r="J1726" i="1"/>
  <c r="K1726" i="1" s="1"/>
  <c r="J1725" i="1"/>
  <c r="K1725" i="1" s="1"/>
  <c r="J1724" i="1"/>
  <c r="K1724" i="1" s="1"/>
  <c r="J1723" i="1"/>
  <c r="K1723" i="1" s="1"/>
  <c r="J1722" i="1"/>
  <c r="K1722" i="1" s="1"/>
  <c r="J1721" i="1"/>
  <c r="K1721" i="1" s="1"/>
  <c r="J1720" i="1"/>
  <c r="K1720" i="1" s="1"/>
  <c r="J1719" i="1"/>
  <c r="K1719" i="1" s="1"/>
  <c r="J1718" i="1"/>
  <c r="K1718" i="1" s="1"/>
  <c r="J1717" i="1"/>
  <c r="K1717" i="1" s="1"/>
  <c r="J1716" i="1"/>
  <c r="K1716" i="1" s="1"/>
  <c r="J1715" i="1"/>
  <c r="K1715" i="1" s="1"/>
  <c r="J1714" i="1"/>
  <c r="K1714" i="1" s="1"/>
  <c r="J1713" i="1"/>
  <c r="K1713" i="1" s="1"/>
  <c r="J1712" i="1"/>
  <c r="K1712" i="1" s="1"/>
  <c r="J1711" i="1"/>
  <c r="K1711" i="1" s="1"/>
  <c r="J1710" i="1"/>
  <c r="K1710" i="1" s="1"/>
  <c r="J1709" i="1"/>
  <c r="K1709" i="1" s="1"/>
  <c r="J1708" i="1"/>
  <c r="K1708" i="1" s="1"/>
  <c r="J1707" i="1"/>
  <c r="K1707" i="1" s="1"/>
  <c r="J1706" i="1"/>
  <c r="K1706" i="1" s="1"/>
  <c r="J1705" i="1"/>
  <c r="K1705" i="1" s="1"/>
  <c r="J1704" i="1"/>
  <c r="K1704" i="1" s="1"/>
  <c r="J1703" i="1"/>
  <c r="K1703" i="1" s="1"/>
  <c r="J1702" i="1"/>
  <c r="K1702" i="1" s="1"/>
  <c r="J1701" i="1"/>
  <c r="K1701" i="1" s="1"/>
  <c r="J1700" i="1"/>
  <c r="K1700" i="1" s="1"/>
  <c r="J1699" i="1"/>
  <c r="K1699" i="1" s="1"/>
  <c r="J1698" i="1"/>
  <c r="K1698" i="1" s="1"/>
  <c r="J1697" i="1"/>
  <c r="K1697" i="1" s="1"/>
  <c r="J1696" i="1"/>
  <c r="K1696" i="1" s="1"/>
  <c r="J1695" i="1"/>
  <c r="K1695" i="1" s="1"/>
  <c r="J1694" i="1"/>
  <c r="K1694" i="1" s="1"/>
  <c r="J1693" i="1"/>
  <c r="K1693" i="1" s="1"/>
  <c r="J1692" i="1"/>
  <c r="K1692" i="1" s="1"/>
  <c r="J1691" i="1"/>
  <c r="K1691" i="1" s="1"/>
  <c r="J1690" i="1"/>
  <c r="K1690" i="1" s="1"/>
  <c r="J1689" i="1"/>
  <c r="K1689" i="1" s="1"/>
  <c r="J1688" i="1"/>
  <c r="K1688" i="1" s="1"/>
  <c r="J1687" i="1"/>
  <c r="K1687" i="1" s="1"/>
  <c r="J1686" i="1"/>
  <c r="K1686" i="1" s="1"/>
  <c r="M1686" i="1" s="1"/>
  <c r="J1685" i="1"/>
  <c r="K1685" i="1" s="1"/>
  <c r="J1684" i="1"/>
  <c r="K1684" i="1" s="1"/>
  <c r="J1683" i="1"/>
  <c r="K1683" i="1" s="1"/>
  <c r="J1682" i="1"/>
  <c r="K1682" i="1" s="1"/>
  <c r="J1681" i="1"/>
  <c r="K1681" i="1" s="1"/>
  <c r="J1680" i="1"/>
  <c r="K1680" i="1" s="1"/>
  <c r="J1679" i="1"/>
  <c r="K1679" i="1" s="1"/>
  <c r="J1678" i="1"/>
  <c r="K1678" i="1" s="1"/>
  <c r="J1677" i="1"/>
  <c r="K1677" i="1" s="1"/>
  <c r="J1676" i="1"/>
  <c r="K1676" i="1" s="1"/>
  <c r="J1675" i="1"/>
  <c r="K1675" i="1" s="1"/>
  <c r="J1674" i="1"/>
  <c r="K1674" i="1" s="1"/>
  <c r="J1673" i="1"/>
  <c r="K1673" i="1" s="1"/>
  <c r="J1672" i="1"/>
  <c r="K1672" i="1" s="1"/>
  <c r="J1671" i="1"/>
  <c r="K1671" i="1" s="1"/>
  <c r="J1670" i="1"/>
  <c r="K1670" i="1" s="1"/>
  <c r="J1669" i="1"/>
  <c r="K1669" i="1" s="1"/>
  <c r="J1668" i="1"/>
  <c r="K1668" i="1" s="1"/>
  <c r="J1667" i="1"/>
  <c r="K1667" i="1" s="1"/>
  <c r="J1666" i="1"/>
  <c r="K1666" i="1" s="1"/>
  <c r="J1665" i="1"/>
  <c r="K1665" i="1" s="1"/>
  <c r="J1664" i="1"/>
  <c r="K1664" i="1" s="1"/>
  <c r="J1663" i="1"/>
  <c r="K1663" i="1" s="1"/>
  <c r="J1662" i="1"/>
  <c r="K1662" i="1" s="1"/>
  <c r="J1661" i="1"/>
  <c r="K1661" i="1" s="1"/>
  <c r="J1660" i="1"/>
  <c r="K1660" i="1" s="1"/>
  <c r="J1659" i="1"/>
  <c r="K1659" i="1" s="1"/>
  <c r="J1658" i="1"/>
  <c r="K1658" i="1" s="1"/>
  <c r="J1657" i="1"/>
  <c r="K1657" i="1" s="1"/>
  <c r="J1656" i="1"/>
  <c r="K1656" i="1" s="1"/>
  <c r="J1655" i="1"/>
  <c r="K1655" i="1" s="1"/>
  <c r="J1654" i="1"/>
  <c r="K1654" i="1" s="1"/>
  <c r="J1653" i="1"/>
  <c r="K1653" i="1" s="1"/>
  <c r="J1652" i="1"/>
  <c r="K1652" i="1" s="1"/>
  <c r="J1651" i="1"/>
  <c r="K1651" i="1" s="1"/>
  <c r="J1650" i="1"/>
  <c r="K1650" i="1" s="1"/>
  <c r="J1649" i="1"/>
  <c r="K1649" i="1" s="1"/>
  <c r="J1648" i="1"/>
  <c r="K1648" i="1" s="1"/>
  <c r="J1647" i="1"/>
  <c r="K1647" i="1" s="1"/>
  <c r="J1646" i="1"/>
  <c r="K1646" i="1" s="1"/>
  <c r="J1645" i="1"/>
  <c r="K1645" i="1" s="1"/>
  <c r="J1644" i="1"/>
  <c r="K1644" i="1" s="1"/>
  <c r="J1643" i="1"/>
  <c r="K1643" i="1" s="1"/>
  <c r="J1642" i="1"/>
  <c r="K1642" i="1" s="1"/>
  <c r="J1641" i="1"/>
  <c r="K1641" i="1" s="1"/>
  <c r="J1640" i="1"/>
  <c r="K1640" i="1" s="1"/>
  <c r="J1639" i="1"/>
  <c r="K1639" i="1" s="1"/>
  <c r="J1638" i="1"/>
  <c r="K1638" i="1" s="1"/>
  <c r="J1637" i="1"/>
  <c r="K1637" i="1" s="1"/>
  <c r="J1636" i="1"/>
  <c r="K1636" i="1" s="1"/>
  <c r="J1635" i="1"/>
  <c r="K1635" i="1" s="1"/>
  <c r="J1634" i="1"/>
  <c r="K1634" i="1" s="1"/>
  <c r="J1633" i="1"/>
  <c r="K1633" i="1" s="1"/>
  <c r="J1632" i="1"/>
  <c r="K1632" i="1" s="1"/>
  <c r="J1631" i="1"/>
  <c r="K1631" i="1" s="1"/>
  <c r="J1630" i="1"/>
  <c r="K1630" i="1" s="1"/>
  <c r="J1629" i="1"/>
  <c r="K1629" i="1" s="1"/>
  <c r="J1628" i="1"/>
  <c r="K1628" i="1" s="1"/>
  <c r="J1627" i="1"/>
  <c r="K1627" i="1" s="1"/>
  <c r="J1626" i="1"/>
  <c r="K1626" i="1" s="1"/>
  <c r="J1625" i="1"/>
  <c r="K1625" i="1" s="1"/>
  <c r="J1624" i="1"/>
  <c r="K1624" i="1" s="1"/>
  <c r="J1623" i="1"/>
  <c r="K1623" i="1" s="1"/>
  <c r="J1622" i="1"/>
  <c r="K1622" i="1" s="1"/>
  <c r="J1621" i="1"/>
  <c r="K1621" i="1" s="1"/>
  <c r="J1620" i="1"/>
  <c r="K1620" i="1" s="1"/>
  <c r="J1619" i="1"/>
  <c r="K1619" i="1" s="1"/>
  <c r="J1618" i="1"/>
  <c r="K1618" i="1" s="1"/>
  <c r="J1617" i="1"/>
  <c r="K1617" i="1" s="1"/>
  <c r="J1616" i="1"/>
  <c r="K1616" i="1" s="1"/>
  <c r="J1615" i="1"/>
  <c r="K1615" i="1" s="1"/>
  <c r="J1614" i="1"/>
  <c r="K1614" i="1" s="1"/>
  <c r="J1613" i="1"/>
  <c r="K1613" i="1" s="1"/>
  <c r="J1612" i="1"/>
  <c r="K1612" i="1" s="1"/>
  <c r="J1611" i="1"/>
  <c r="K1611" i="1" s="1"/>
  <c r="J1610" i="1"/>
  <c r="K1610" i="1" s="1"/>
  <c r="J1609" i="1"/>
  <c r="K1609" i="1" s="1"/>
  <c r="J1608" i="1"/>
  <c r="K1608" i="1" s="1"/>
  <c r="J1607" i="1"/>
  <c r="K1607" i="1" s="1"/>
  <c r="J1606" i="1"/>
  <c r="K1606" i="1" s="1"/>
  <c r="J1605" i="1"/>
  <c r="K1605" i="1" s="1"/>
  <c r="J1604" i="1"/>
  <c r="K1604" i="1" s="1"/>
  <c r="J1603" i="1"/>
  <c r="K1603" i="1" s="1"/>
  <c r="J1602" i="1"/>
  <c r="K1602" i="1" s="1"/>
  <c r="J1601" i="1"/>
  <c r="K1601" i="1" s="1"/>
  <c r="J1600" i="1"/>
  <c r="K1600" i="1" s="1"/>
  <c r="M1600" i="1" s="1"/>
  <c r="J1599" i="1"/>
  <c r="K1599" i="1" s="1"/>
  <c r="J1598" i="1"/>
  <c r="K1598" i="1" s="1"/>
  <c r="J1597" i="1"/>
  <c r="K1597" i="1" s="1"/>
  <c r="J1596" i="1"/>
  <c r="K1596" i="1" s="1"/>
  <c r="J1595" i="1"/>
  <c r="K1595" i="1" s="1"/>
  <c r="J1594" i="1"/>
  <c r="K1594" i="1" s="1"/>
  <c r="J1593" i="1"/>
  <c r="K1593" i="1" s="1"/>
  <c r="J1592" i="1"/>
  <c r="K1592" i="1" s="1"/>
  <c r="J1591" i="1"/>
  <c r="K1591" i="1" s="1"/>
  <c r="J1590" i="1"/>
  <c r="K1590" i="1" s="1"/>
  <c r="J1589" i="1"/>
  <c r="K1589" i="1" s="1"/>
  <c r="J1588" i="1"/>
  <c r="K1588" i="1" s="1"/>
  <c r="J1587" i="1"/>
  <c r="K1587" i="1" s="1"/>
  <c r="J1586" i="1"/>
  <c r="K1586" i="1" s="1"/>
  <c r="J1585" i="1"/>
  <c r="K1585" i="1" s="1"/>
  <c r="J1584" i="1"/>
  <c r="K1584" i="1" s="1"/>
  <c r="J1583" i="1"/>
  <c r="K1583" i="1" s="1"/>
  <c r="J1582" i="1"/>
  <c r="K1582" i="1" s="1"/>
  <c r="M1582" i="1" s="1"/>
  <c r="J1581" i="1"/>
  <c r="K1581" i="1" s="1"/>
  <c r="J1580" i="1"/>
  <c r="K1580" i="1" s="1"/>
  <c r="J1579" i="1"/>
  <c r="K1579" i="1" s="1"/>
  <c r="J1578" i="1"/>
  <c r="K1578" i="1" s="1"/>
  <c r="J1577" i="1"/>
  <c r="K1577" i="1" s="1"/>
  <c r="J1576" i="1"/>
  <c r="K1576" i="1" s="1"/>
  <c r="J1575" i="1"/>
  <c r="K1575" i="1" s="1"/>
  <c r="J1574" i="1"/>
  <c r="K1574" i="1" s="1"/>
  <c r="J1573" i="1"/>
  <c r="K1573" i="1" s="1"/>
  <c r="J1572" i="1"/>
  <c r="K1572" i="1" s="1"/>
  <c r="J1571" i="1"/>
  <c r="K1571" i="1" s="1"/>
  <c r="J1570" i="1"/>
  <c r="K1570" i="1" s="1"/>
  <c r="J1569" i="1"/>
  <c r="K1569" i="1" s="1"/>
  <c r="J1568" i="1"/>
  <c r="K1568" i="1" s="1"/>
  <c r="J1567" i="1"/>
  <c r="K1567" i="1" s="1"/>
  <c r="J1566" i="1"/>
  <c r="K1566" i="1" s="1"/>
  <c r="J1565" i="1"/>
  <c r="K1565" i="1" s="1"/>
  <c r="J1564" i="1"/>
  <c r="K1564" i="1" s="1"/>
  <c r="J1563" i="1"/>
  <c r="K1563" i="1" s="1"/>
  <c r="J1562" i="1"/>
  <c r="K1562" i="1" s="1"/>
  <c r="J1561" i="1"/>
  <c r="K1561" i="1" s="1"/>
  <c r="J1560" i="1"/>
  <c r="K1560" i="1" s="1"/>
  <c r="J1559" i="1"/>
  <c r="K1559" i="1" s="1"/>
  <c r="J1558" i="1"/>
  <c r="K1558" i="1" s="1"/>
  <c r="J1557" i="1"/>
  <c r="K1557" i="1" s="1"/>
  <c r="J1556" i="1"/>
  <c r="K1556" i="1" s="1"/>
  <c r="J1555" i="1"/>
  <c r="K1555" i="1" s="1"/>
  <c r="J1554" i="1"/>
  <c r="K1554" i="1" s="1"/>
  <c r="J1553" i="1"/>
  <c r="K1553" i="1" s="1"/>
  <c r="J1552" i="1"/>
  <c r="K1552" i="1" s="1"/>
  <c r="J1551" i="1"/>
  <c r="K1551" i="1" s="1"/>
  <c r="J1550" i="1"/>
  <c r="K1550" i="1" s="1"/>
  <c r="J1549" i="1"/>
  <c r="K1549" i="1" s="1"/>
  <c r="J1548" i="1"/>
  <c r="K1548" i="1" s="1"/>
  <c r="J1547" i="1"/>
  <c r="K1547" i="1" s="1"/>
  <c r="J1546" i="1"/>
  <c r="K1546" i="1" s="1"/>
  <c r="J1545" i="1"/>
  <c r="K1545" i="1" s="1"/>
  <c r="J1544" i="1"/>
  <c r="K1544" i="1" s="1"/>
  <c r="J1543" i="1"/>
  <c r="K1543" i="1" s="1"/>
  <c r="J1542" i="1"/>
  <c r="K1542" i="1" s="1"/>
  <c r="J1541" i="1"/>
  <c r="K1541" i="1" s="1"/>
  <c r="J1540" i="1"/>
  <c r="K1540" i="1" s="1"/>
  <c r="J1539" i="1"/>
  <c r="K1539" i="1" s="1"/>
  <c r="J1538" i="1"/>
  <c r="K1538" i="1" s="1"/>
  <c r="J1537" i="1"/>
  <c r="K1537" i="1" s="1"/>
  <c r="J1536" i="1"/>
  <c r="K1536" i="1" s="1"/>
  <c r="J1535" i="1"/>
  <c r="K1535" i="1" s="1"/>
  <c r="J1534" i="1"/>
  <c r="K1534" i="1" s="1"/>
  <c r="J1533" i="1"/>
  <c r="K1533" i="1" s="1"/>
  <c r="J1532" i="1"/>
  <c r="K1532" i="1" s="1"/>
  <c r="J1531" i="1"/>
  <c r="K1531" i="1" s="1"/>
  <c r="J1530" i="1"/>
  <c r="K1530" i="1" s="1"/>
  <c r="J1529" i="1"/>
  <c r="K1529" i="1" s="1"/>
  <c r="J1528" i="1"/>
  <c r="K1528" i="1" s="1"/>
  <c r="J1527" i="1"/>
  <c r="K1527" i="1" s="1"/>
  <c r="J1526" i="1"/>
  <c r="K1526" i="1" s="1"/>
  <c r="J1525" i="1"/>
  <c r="K1525" i="1" s="1"/>
  <c r="J1524" i="1"/>
  <c r="K1524" i="1" s="1"/>
  <c r="J1523" i="1"/>
  <c r="K1523" i="1" s="1"/>
  <c r="J1522" i="1"/>
  <c r="K1522" i="1" s="1"/>
  <c r="J1521" i="1"/>
  <c r="K1521" i="1" s="1"/>
  <c r="J1520" i="1"/>
  <c r="K1520" i="1" s="1"/>
  <c r="J1519" i="1"/>
  <c r="K1519" i="1" s="1"/>
  <c r="J1518" i="1"/>
  <c r="K1518" i="1" s="1"/>
  <c r="J1517" i="1"/>
  <c r="K1517" i="1" s="1"/>
  <c r="J1516" i="1"/>
  <c r="K1516" i="1" s="1"/>
  <c r="J1515" i="1"/>
  <c r="K1515" i="1" s="1"/>
  <c r="J1514" i="1"/>
  <c r="K1514" i="1" s="1"/>
  <c r="J1513" i="1"/>
  <c r="K1513" i="1" s="1"/>
  <c r="J1512" i="1"/>
  <c r="K1512" i="1" s="1"/>
  <c r="J1511" i="1"/>
  <c r="K1511" i="1" s="1"/>
  <c r="J1510" i="1"/>
  <c r="K1510" i="1" s="1"/>
  <c r="J1509" i="1"/>
  <c r="K1509" i="1" s="1"/>
  <c r="J1508" i="1"/>
  <c r="K1508" i="1" s="1"/>
  <c r="J1507" i="1"/>
  <c r="K1507" i="1" s="1"/>
  <c r="J1506" i="1"/>
  <c r="K1506" i="1" s="1"/>
  <c r="J1505" i="1"/>
  <c r="K1505" i="1" s="1"/>
  <c r="J1504" i="1"/>
  <c r="K1504" i="1" s="1"/>
  <c r="J1503" i="1"/>
  <c r="K1503" i="1" s="1"/>
  <c r="J1502" i="1"/>
  <c r="K1502" i="1" s="1"/>
  <c r="J1501" i="1"/>
  <c r="K1501" i="1" s="1"/>
  <c r="J1500" i="1"/>
  <c r="K1500" i="1" s="1"/>
  <c r="J1499" i="1"/>
  <c r="K1499" i="1" s="1"/>
  <c r="J1498" i="1"/>
  <c r="K1498" i="1" s="1"/>
  <c r="M1498" i="1" s="1"/>
  <c r="J1497" i="1"/>
  <c r="K1497" i="1" s="1"/>
  <c r="J1496" i="1"/>
  <c r="K1496" i="1" s="1"/>
  <c r="J1495" i="1"/>
  <c r="K1495" i="1" s="1"/>
  <c r="J1494" i="1"/>
  <c r="K1494" i="1" s="1"/>
  <c r="J1493" i="1"/>
  <c r="K1493" i="1" s="1"/>
  <c r="J1492" i="1"/>
  <c r="K1492" i="1" s="1"/>
  <c r="J1491" i="1"/>
  <c r="K1491" i="1" s="1"/>
  <c r="J1490" i="1"/>
  <c r="K1490" i="1" s="1"/>
  <c r="J1489" i="1"/>
  <c r="K1489" i="1" s="1"/>
  <c r="J1488" i="1"/>
  <c r="K1488" i="1" s="1"/>
  <c r="J1487" i="1"/>
  <c r="K1487" i="1" s="1"/>
  <c r="J1486" i="1"/>
  <c r="K1486" i="1" s="1"/>
  <c r="J1485" i="1"/>
  <c r="K1485" i="1" s="1"/>
  <c r="J1484" i="1"/>
  <c r="K1484" i="1" s="1"/>
  <c r="J1483" i="1"/>
  <c r="K1483" i="1" s="1"/>
  <c r="J1482" i="1"/>
  <c r="K1482" i="1" s="1"/>
  <c r="J1481" i="1"/>
  <c r="K1481" i="1" s="1"/>
  <c r="J1480" i="1"/>
  <c r="K1480" i="1" s="1"/>
  <c r="J1479" i="1"/>
  <c r="K1479" i="1" s="1"/>
  <c r="J1478" i="1"/>
  <c r="K1478" i="1" s="1"/>
  <c r="J1477" i="1"/>
  <c r="K1477" i="1" s="1"/>
  <c r="J1476" i="1"/>
  <c r="K1476" i="1" s="1"/>
  <c r="J1475" i="1"/>
  <c r="K1475" i="1" s="1"/>
  <c r="J1474" i="1"/>
  <c r="K1474" i="1" s="1"/>
  <c r="J1473" i="1"/>
  <c r="K1473" i="1" s="1"/>
  <c r="J1472" i="1"/>
  <c r="K1472" i="1" s="1"/>
  <c r="J1471" i="1"/>
  <c r="K1471" i="1" s="1"/>
  <c r="J1470" i="1"/>
  <c r="K1470" i="1" s="1"/>
  <c r="J1469" i="1"/>
  <c r="K1469" i="1" s="1"/>
  <c r="J1468" i="1"/>
  <c r="K1468" i="1" s="1"/>
  <c r="J1467" i="1"/>
  <c r="K1467" i="1" s="1"/>
  <c r="J1466" i="1"/>
  <c r="K1466" i="1" s="1"/>
  <c r="J1465" i="1"/>
  <c r="K1465" i="1" s="1"/>
  <c r="J1464" i="1"/>
  <c r="K1464" i="1" s="1"/>
  <c r="J1463" i="1"/>
  <c r="K1463" i="1" s="1"/>
  <c r="J1462" i="1"/>
  <c r="K1462" i="1" s="1"/>
  <c r="J1461" i="1"/>
  <c r="K1461" i="1" s="1"/>
  <c r="J1460" i="1"/>
  <c r="K1460" i="1" s="1"/>
  <c r="J1459" i="1"/>
  <c r="K1459" i="1" s="1"/>
  <c r="J1458" i="1"/>
  <c r="K1458" i="1" s="1"/>
  <c r="J1457" i="1"/>
  <c r="K1457" i="1" s="1"/>
  <c r="J1456" i="1"/>
  <c r="K1456" i="1" s="1"/>
  <c r="J1455" i="1"/>
  <c r="K1455" i="1" s="1"/>
  <c r="J1454" i="1"/>
  <c r="K1454" i="1" s="1"/>
  <c r="J1453" i="1"/>
  <c r="K1453" i="1" s="1"/>
  <c r="J1452" i="1"/>
  <c r="K1452" i="1" s="1"/>
  <c r="J1451" i="1"/>
  <c r="K1451" i="1" s="1"/>
  <c r="J1450" i="1"/>
  <c r="K1450" i="1" s="1"/>
  <c r="J1449" i="1"/>
  <c r="K1449" i="1" s="1"/>
  <c r="J1448" i="1"/>
  <c r="K1448" i="1" s="1"/>
  <c r="J1447" i="1"/>
  <c r="K1447" i="1" s="1"/>
  <c r="J1446" i="1"/>
  <c r="K1446" i="1" s="1"/>
  <c r="J1445" i="1"/>
  <c r="K1445" i="1" s="1"/>
  <c r="J1444" i="1"/>
  <c r="K1444" i="1" s="1"/>
  <c r="J1443" i="1"/>
  <c r="K1443" i="1" s="1"/>
  <c r="J1442" i="1"/>
  <c r="K1442" i="1" s="1"/>
  <c r="J1441" i="1"/>
  <c r="K1441" i="1" s="1"/>
  <c r="J1440" i="1"/>
  <c r="K1440" i="1" s="1"/>
  <c r="J1439" i="1"/>
  <c r="K1439" i="1" s="1"/>
  <c r="J1438" i="1"/>
  <c r="K1438" i="1" s="1"/>
  <c r="J1437" i="1"/>
  <c r="K1437" i="1" s="1"/>
  <c r="J1436" i="1"/>
  <c r="K1436" i="1" s="1"/>
  <c r="J1435" i="1"/>
  <c r="K1435" i="1" s="1"/>
  <c r="J1434" i="1"/>
  <c r="K1434" i="1" s="1"/>
  <c r="J1433" i="1"/>
  <c r="K1433" i="1" s="1"/>
  <c r="J1432" i="1"/>
  <c r="K1432" i="1" s="1"/>
  <c r="J1431" i="1"/>
  <c r="K1431" i="1" s="1"/>
  <c r="J1430" i="1"/>
  <c r="K1430" i="1" s="1"/>
  <c r="J1429" i="1"/>
  <c r="K1429" i="1" s="1"/>
  <c r="J1428" i="1"/>
  <c r="K1428" i="1" s="1"/>
  <c r="J1427" i="1"/>
  <c r="K1427" i="1" s="1"/>
  <c r="J1426" i="1"/>
  <c r="K1426" i="1" s="1"/>
  <c r="J1425" i="1"/>
  <c r="K1425" i="1" s="1"/>
  <c r="J1424" i="1"/>
  <c r="K1424" i="1" s="1"/>
  <c r="J1423" i="1"/>
  <c r="K1423" i="1" s="1"/>
  <c r="J1422" i="1"/>
  <c r="K1422" i="1" s="1"/>
  <c r="J1421" i="1"/>
  <c r="K1421" i="1" s="1"/>
  <c r="J1420" i="1"/>
  <c r="K1420" i="1" s="1"/>
  <c r="J1419" i="1"/>
  <c r="K1419" i="1" s="1"/>
  <c r="J1418" i="1"/>
  <c r="K1418" i="1" s="1"/>
  <c r="J1417" i="1"/>
  <c r="K1417" i="1" s="1"/>
  <c r="J1416" i="1"/>
  <c r="K1416" i="1" s="1"/>
  <c r="J1415" i="1"/>
  <c r="K1415" i="1" s="1"/>
  <c r="J1414" i="1"/>
  <c r="K1414" i="1" s="1"/>
  <c r="J1413" i="1"/>
  <c r="K1413" i="1" s="1"/>
  <c r="J1412" i="1"/>
  <c r="K1412" i="1" s="1"/>
  <c r="J1411" i="1"/>
  <c r="K1411" i="1" s="1"/>
  <c r="J1409" i="1"/>
  <c r="K1409" i="1" s="1"/>
  <c r="J1408" i="1"/>
  <c r="K1408" i="1" s="1"/>
  <c r="J1407" i="1"/>
  <c r="K1407" i="1" s="1"/>
  <c r="J1406" i="1"/>
  <c r="K1406" i="1" s="1"/>
  <c r="J1405" i="1"/>
  <c r="K1405" i="1" s="1"/>
  <c r="J1404" i="1"/>
  <c r="K1404" i="1" s="1"/>
  <c r="J1403" i="1"/>
  <c r="K1403" i="1" s="1"/>
  <c r="J1402" i="1"/>
  <c r="K1402" i="1" s="1"/>
  <c r="J1401" i="1"/>
  <c r="K1401" i="1" s="1"/>
  <c r="J1400" i="1"/>
  <c r="K1400" i="1" s="1"/>
  <c r="J1399" i="1"/>
  <c r="K1399" i="1" s="1"/>
  <c r="J1398" i="1"/>
  <c r="K1398" i="1" s="1"/>
  <c r="J1397" i="1"/>
  <c r="K1397" i="1" s="1"/>
  <c r="J1396" i="1"/>
  <c r="K1396" i="1" s="1"/>
  <c r="J1395" i="1"/>
  <c r="K1395" i="1" s="1"/>
  <c r="J1394" i="1"/>
  <c r="K1394" i="1" s="1"/>
  <c r="J1393" i="1"/>
  <c r="K1393" i="1" s="1"/>
  <c r="J1392" i="1"/>
  <c r="K1392" i="1" s="1"/>
  <c r="J1391" i="1"/>
  <c r="K1391" i="1" s="1"/>
  <c r="J1390" i="1"/>
  <c r="K1390" i="1" s="1"/>
  <c r="J1389" i="1"/>
  <c r="K1389" i="1" s="1"/>
  <c r="J1388" i="1"/>
  <c r="K1388" i="1" s="1"/>
  <c r="J1387" i="1"/>
  <c r="K1387" i="1" s="1"/>
  <c r="J1386" i="1"/>
  <c r="K1386" i="1" s="1"/>
  <c r="J1385" i="1"/>
  <c r="K1385" i="1" s="1"/>
  <c r="J1384" i="1"/>
  <c r="K1384" i="1" s="1"/>
  <c r="J1383" i="1"/>
  <c r="K1383" i="1" s="1"/>
  <c r="J1382" i="1"/>
  <c r="K1382" i="1" s="1"/>
  <c r="J1381" i="1"/>
  <c r="K1381" i="1" s="1"/>
  <c r="J1380" i="1"/>
  <c r="K1380" i="1" s="1"/>
  <c r="J1379" i="1"/>
  <c r="K1379" i="1" s="1"/>
  <c r="J1378" i="1"/>
  <c r="K1378" i="1" s="1"/>
  <c r="J1377" i="1"/>
  <c r="K1377" i="1" s="1"/>
  <c r="J1376" i="1"/>
  <c r="K1376" i="1" s="1"/>
  <c r="J1375" i="1"/>
  <c r="K1375" i="1" s="1"/>
  <c r="J1374" i="1"/>
  <c r="K1374" i="1" s="1"/>
  <c r="J1373" i="1"/>
  <c r="K1373" i="1" s="1"/>
  <c r="J1372" i="1"/>
  <c r="K1372" i="1" s="1"/>
  <c r="J1371" i="1"/>
  <c r="K1371" i="1" s="1"/>
  <c r="J1370" i="1"/>
  <c r="K1370" i="1" s="1"/>
  <c r="J1369" i="1"/>
  <c r="K1369" i="1" s="1"/>
  <c r="J1368" i="1"/>
  <c r="K1368" i="1" s="1"/>
  <c r="J1367" i="1"/>
  <c r="K1367" i="1" s="1"/>
  <c r="J1366" i="1"/>
  <c r="K1366" i="1" s="1"/>
  <c r="J1365" i="1"/>
  <c r="K1365" i="1" s="1"/>
  <c r="J1363" i="1"/>
  <c r="K1363" i="1" s="1"/>
  <c r="J1362" i="1"/>
  <c r="K1362" i="1" s="1"/>
  <c r="J1361" i="1"/>
  <c r="K1361" i="1" s="1"/>
  <c r="J1360" i="1"/>
  <c r="K1360" i="1" s="1"/>
  <c r="J1359" i="1"/>
  <c r="K1359" i="1" s="1"/>
  <c r="J1358" i="1"/>
  <c r="K1358" i="1" s="1"/>
  <c r="J1357" i="1"/>
  <c r="K1357" i="1" s="1"/>
  <c r="J1356" i="1"/>
  <c r="K1356" i="1" s="1"/>
  <c r="J1355" i="1"/>
  <c r="K1355" i="1" s="1"/>
  <c r="J1354" i="1"/>
  <c r="K1354" i="1" s="1"/>
  <c r="J1353" i="1"/>
  <c r="K1353" i="1" s="1"/>
  <c r="J1352" i="1"/>
  <c r="K1352" i="1" s="1"/>
  <c r="J1351" i="1"/>
  <c r="K1351" i="1" s="1"/>
  <c r="J1350" i="1"/>
  <c r="K1350" i="1" s="1"/>
  <c r="J1349" i="1"/>
  <c r="K1349" i="1" s="1"/>
  <c r="J1348" i="1"/>
  <c r="K1348" i="1" s="1"/>
  <c r="J1347" i="1"/>
  <c r="K1347" i="1" s="1"/>
  <c r="J1346" i="1"/>
  <c r="K1346" i="1" s="1"/>
  <c r="J1345" i="1"/>
  <c r="K1345" i="1" s="1"/>
  <c r="J1344" i="1"/>
  <c r="K1344" i="1" s="1"/>
  <c r="M1344" i="1" s="1"/>
  <c r="J1343" i="1"/>
  <c r="K1343" i="1" s="1"/>
  <c r="J1342" i="1"/>
  <c r="K1342" i="1" s="1"/>
  <c r="J1341" i="1"/>
  <c r="K1341" i="1" s="1"/>
  <c r="J1340" i="1"/>
  <c r="K1340" i="1" s="1"/>
  <c r="J1339" i="1"/>
  <c r="K1339" i="1" s="1"/>
  <c r="J1338" i="1"/>
  <c r="K1338" i="1" s="1"/>
  <c r="J1337" i="1"/>
  <c r="K1337" i="1" s="1"/>
  <c r="J1336" i="1"/>
  <c r="K1336" i="1" s="1"/>
  <c r="J1335" i="1"/>
  <c r="K1335" i="1" s="1"/>
  <c r="J1334" i="1"/>
  <c r="K1334" i="1" s="1"/>
  <c r="J1333" i="1"/>
  <c r="K1333" i="1" s="1"/>
  <c r="J1332" i="1"/>
  <c r="K1332" i="1" s="1"/>
  <c r="J1331" i="1"/>
  <c r="K1331" i="1" s="1"/>
  <c r="J1330" i="1"/>
  <c r="K1330" i="1" s="1"/>
  <c r="J1329" i="1"/>
  <c r="K1329" i="1" s="1"/>
  <c r="J1328" i="1"/>
  <c r="K1328" i="1" s="1"/>
  <c r="J1327" i="1"/>
  <c r="K1327" i="1" s="1"/>
  <c r="J1326" i="1"/>
  <c r="K1326" i="1" s="1"/>
  <c r="J1325" i="1"/>
  <c r="K1325" i="1" s="1"/>
  <c r="J1324" i="1"/>
  <c r="K1324" i="1" s="1"/>
  <c r="J1323" i="1"/>
  <c r="K1323" i="1" s="1"/>
  <c r="J1322" i="1"/>
  <c r="K1322" i="1" s="1"/>
  <c r="J1321" i="1"/>
  <c r="K1321" i="1" s="1"/>
  <c r="J1320" i="1"/>
  <c r="K1320" i="1" s="1"/>
  <c r="J1319" i="1"/>
  <c r="K1319" i="1" s="1"/>
  <c r="J1318" i="1"/>
  <c r="K1318" i="1" s="1"/>
  <c r="J1317" i="1"/>
  <c r="K1317" i="1" s="1"/>
  <c r="J1316" i="1"/>
  <c r="K1316" i="1" s="1"/>
  <c r="J1315" i="1"/>
  <c r="K1315" i="1" s="1"/>
  <c r="J1314" i="1"/>
  <c r="K1314" i="1" s="1"/>
  <c r="J1313" i="1"/>
  <c r="K1313" i="1" s="1"/>
  <c r="J1312" i="1"/>
  <c r="K1312" i="1" s="1"/>
  <c r="J1311" i="1"/>
  <c r="K1311" i="1" s="1"/>
  <c r="J1310" i="1"/>
  <c r="K1310" i="1" s="1"/>
  <c r="J1309" i="1"/>
  <c r="K1309" i="1" s="1"/>
  <c r="J1308" i="1"/>
  <c r="K1308" i="1" s="1"/>
  <c r="J1307" i="1"/>
  <c r="K1307" i="1" s="1"/>
  <c r="J1306" i="1"/>
  <c r="K1306" i="1" s="1"/>
  <c r="J1305" i="1"/>
  <c r="K1305" i="1" s="1"/>
  <c r="J1304" i="1"/>
  <c r="K1304" i="1" s="1"/>
  <c r="J1303" i="1"/>
  <c r="K1303" i="1" s="1"/>
  <c r="J1302" i="1"/>
  <c r="K1302" i="1" s="1"/>
  <c r="J1301" i="1"/>
  <c r="K1301" i="1" s="1"/>
  <c r="J1300" i="1"/>
  <c r="K1300" i="1" s="1"/>
  <c r="J1299" i="1"/>
  <c r="K1299" i="1" s="1"/>
  <c r="J1298" i="1"/>
  <c r="K1298" i="1" s="1"/>
  <c r="J1297" i="1"/>
  <c r="K1297" i="1" s="1"/>
  <c r="J1296" i="1"/>
  <c r="K1296" i="1" s="1"/>
  <c r="J1295" i="1"/>
  <c r="K1295" i="1" s="1"/>
  <c r="J1294" i="1"/>
  <c r="K1294" i="1" s="1"/>
  <c r="J1293" i="1"/>
  <c r="K1293" i="1" s="1"/>
  <c r="J1292" i="1"/>
  <c r="K1292" i="1" s="1"/>
  <c r="J1291" i="1"/>
  <c r="K1291" i="1" s="1"/>
  <c r="J1290" i="1"/>
  <c r="K1290" i="1" s="1"/>
  <c r="J1289" i="1"/>
  <c r="K1289" i="1" s="1"/>
  <c r="J1288" i="1"/>
  <c r="K1288" i="1" s="1"/>
  <c r="J1287" i="1"/>
  <c r="K1287" i="1" s="1"/>
  <c r="J1286" i="1"/>
  <c r="K1286" i="1" s="1"/>
  <c r="J1285" i="1"/>
  <c r="K1285" i="1" s="1"/>
  <c r="J1284" i="1"/>
  <c r="K1284" i="1" s="1"/>
  <c r="J1283" i="1"/>
  <c r="K1283" i="1" s="1"/>
  <c r="J1282" i="1"/>
  <c r="K1282" i="1" s="1"/>
  <c r="J1281" i="1"/>
  <c r="K1281" i="1" s="1"/>
  <c r="M1281" i="1" s="1"/>
  <c r="J1280" i="1"/>
  <c r="K1280" i="1" s="1"/>
  <c r="J1279" i="1"/>
  <c r="K1279" i="1" s="1"/>
  <c r="J1278" i="1"/>
  <c r="K1278" i="1" s="1"/>
  <c r="J1277" i="1"/>
  <c r="K1277" i="1" s="1"/>
  <c r="J1276" i="1"/>
  <c r="K1276" i="1" s="1"/>
  <c r="J1275" i="1"/>
  <c r="K1275" i="1" s="1"/>
  <c r="J1274" i="1"/>
  <c r="K1274" i="1" s="1"/>
  <c r="J1273" i="1"/>
  <c r="K1273" i="1" s="1"/>
  <c r="J1272" i="1"/>
  <c r="K1272" i="1" s="1"/>
  <c r="J1271" i="1"/>
  <c r="K1271" i="1" s="1"/>
  <c r="J1270" i="1"/>
  <c r="K1270" i="1" s="1"/>
  <c r="J1269" i="1"/>
  <c r="K1269" i="1" s="1"/>
  <c r="J1268" i="1"/>
  <c r="K1268" i="1" s="1"/>
  <c r="J1267" i="1"/>
  <c r="K1267" i="1" s="1"/>
  <c r="J1266" i="1"/>
  <c r="K1266" i="1" s="1"/>
  <c r="J1265" i="1"/>
  <c r="K1265" i="1" s="1"/>
  <c r="J1264" i="1"/>
  <c r="K1264" i="1" s="1"/>
  <c r="J1263" i="1"/>
  <c r="K1263" i="1" s="1"/>
  <c r="M1263" i="1" s="1"/>
  <c r="J1262" i="1"/>
  <c r="K1262" i="1" s="1"/>
  <c r="J1261" i="1"/>
  <c r="K1261" i="1" s="1"/>
  <c r="J1260" i="1"/>
  <c r="K1260" i="1" s="1"/>
  <c r="J1259" i="1"/>
  <c r="K1259" i="1" s="1"/>
  <c r="J1258" i="1"/>
  <c r="K1258" i="1" s="1"/>
  <c r="J1257" i="1"/>
  <c r="K1257" i="1" s="1"/>
  <c r="J1256" i="1"/>
  <c r="K1256" i="1" s="1"/>
  <c r="J1255" i="1"/>
  <c r="K1255" i="1" s="1"/>
  <c r="J1254" i="1"/>
  <c r="K1254" i="1" s="1"/>
  <c r="J1253" i="1"/>
  <c r="K1253" i="1" s="1"/>
  <c r="J1252" i="1"/>
  <c r="K1252" i="1" s="1"/>
  <c r="J1251" i="1"/>
  <c r="K1251" i="1" s="1"/>
  <c r="J1250" i="1"/>
  <c r="K1250" i="1" s="1"/>
  <c r="J1249" i="1"/>
  <c r="K1249" i="1" s="1"/>
  <c r="J1248" i="1"/>
  <c r="K1248" i="1" s="1"/>
  <c r="J1247" i="1"/>
  <c r="K1247" i="1" s="1"/>
  <c r="J1246" i="1"/>
  <c r="K1246" i="1" s="1"/>
  <c r="J1245" i="1"/>
  <c r="K1245" i="1" s="1"/>
  <c r="J1244" i="1"/>
  <c r="K1244" i="1" s="1"/>
  <c r="J1243" i="1"/>
  <c r="K1243" i="1" s="1"/>
  <c r="J1242" i="1"/>
  <c r="K1242" i="1" s="1"/>
  <c r="J1241" i="1"/>
  <c r="K1241" i="1" s="1"/>
  <c r="J1240" i="1"/>
  <c r="K1240" i="1" s="1"/>
  <c r="J1239" i="1"/>
  <c r="K1239" i="1" s="1"/>
  <c r="J1238" i="1"/>
  <c r="K1238" i="1" s="1"/>
  <c r="J1237" i="1"/>
  <c r="K1237" i="1" s="1"/>
  <c r="J1236" i="1"/>
  <c r="K1236" i="1" s="1"/>
  <c r="J1235" i="1"/>
  <c r="K1235" i="1" s="1"/>
  <c r="J1234" i="1"/>
  <c r="K1234" i="1" s="1"/>
  <c r="J1233" i="1"/>
  <c r="K1233" i="1" s="1"/>
  <c r="J1232" i="1"/>
  <c r="K1232" i="1" s="1"/>
  <c r="J1231" i="1"/>
  <c r="K1231" i="1" s="1"/>
  <c r="J1230" i="1"/>
  <c r="K1230" i="1" s="1"/>
  <c r="J1229" i="1"/>
  <c r="K1229" i="1" s="1"/>
  <c r="J1228" i="1"/>
  <c r="K1228" i="1" s="1"/>
  <c r="J1227" i="1"/>
  <c r="K1227" i="1" s="1"/>
  <c r="J1226" i="1"/>
  <c r="K1226" i="1" s="1"/>
  <c r="J1225" i="1"/>
  <c r="K1225" i="1" s="1"/>
  <c r="J1224" i="1"/>
  <c r="K1224" i="1" s="1"/>
  <c r="J1223" i="1"/>
  <c r="K1223" i="1" s="1"/>
  <c r="J1222" i="1"/>
  <c r="K1222" i="1" s="1"/>
  <c r="J1221" i="1"/>
  <c r="K1221" i="1" s="1"/>
  <c r="J1220" i="1"/>
  <c r="K1220" i="1" s="1"/>
  <c r="J1219" i="1"/>
  <c r="K1219" i="1" s="1"/>
  <c r="J1218" i="1"/>
  <c r="K1218" i="1" s="1"/>
  <c r="J1217" i="1"/>
  <c r="K1217" i="1" s="1"/>
  <c r="J1216" i="1"/>
  <c r="K1216" i="1" s="1"/>
  <c r="J1215" i="1"/>
  <c r="K1215" i="1" s="1"/>
  <c r="J1214" i="1"/>
  <c r="K1214" i="1" s="1"/>
  <c r="J1213" i="1"/>
  <c r="K1213" i="1" s="1"/>
  <c r="J1212" i="1"/>
  <c r="K1212" i="1" s="1"/>
  <c r="J1211" i="1"/>
  <c r="K1211" i="1" s="1"/>
  <c r="J1210" i="1"/>
  <c r="K1210" i="1" s="1"/>
  <c r="J1209" i="1"/>
  <c r="K1209" i="1" s="1"/>
  <c r="J1208" i="1"/>
  <c r="K1208" i="1" s="1"/>
  <c r="J1207" i="1"/>
  <c r="K1207" i="1" s="1"/>
  <c r="J1206" i="1"/>
  <c r="K1206" i="1" s="1"/>
  <c r="J1205" i="1"/>
  <c r="K1205" i="1" s="1"/>
  <c r="J1204" i="1"/>
  <c r="K1204" i="1" s="1"/>
  <c r="J1203" i="1"/>
  <c r="K1203" i="1" s="1"/>
  <c r="J1202" i="1"/>
  <c r="K1202" i="1" s="1"/>
  <c r="J1201" i="1"/>
  <c r="K1201" i="1" s="1"/>
  <c r="J1200" i="1"/>
  <c r="K1200" i="1" s="1"/>
  <c r="J1199" i="1"/>
  <c r="K1199" i="1" s="1"/>
  <c r="J1198" i="1"/>
  <c r="K1198" i="1" s="1"/>
  <c r="J1197" i="1"/>
  <c r="K1197" i="1" s="1"/>
  <c r="J1196" i="1"/>
  <c r="K1196" i="1" s="1"/>
  <c r="J1195" i="1"/>
  <c r="K1195" i="1" s="1"/>
  <c r="J1194" i="1"/>
  <c r="K1194" i="1" s="1"/>
  <c r="J1193" i="1"/>
  <c r="K1193" i="1" s="1"/>
  <c r="J1192" i="1"/>
  <c r="K1192" i="1" s="1"/>
  <c r="J1191" i="1"/>
  <c r="K1191" i="1" s="1"/>
  <c r="J1190" i="1"/>
  <c r="K1190" i="1" s="1"/>
  <c r="J1189" i="1"/>
  <c r="K1189" i="1" s="1"/>
  <c r="J1188" i="1"/>
  <c r="K1188" i="1" s="1"/>
  <c r="J1187" i="1"/>
  <c r="K1187" i="1" s="1"/>
  <c r="J1186" i="1"/>
  <c r="K1186" i="1" s="1"/>
  <c r="J1185" i="1"/>
  <c r="K1185" i="1" s="1"/>
  <c r="J1184" i="1"/>
  <c r="K1184" i="1" s="1"/>
  <c r="J1183" i="1"/>
  <c r="K1183" i="1" s="1"/>
  <c r="J1182" i="1"/>
  <c r="K1182" i="1" s="1"/>
  <c r="J1181" i="1"/>
  <c r="K1181" i="1" s="1"/>
  <c r="J1180" i="1"/>
  <c r="K1180" i="1" s="1"/>
  <c r="J1179" i="1"/>
  <c r="K1179" i="1" s="1"/>
  <c r="J1178" i="1"/>
  <c r="K1178" i="1" s="1"/>
  <c r="J1177" i="1"/>
  <c r="K1177" i="1" s="1"/>
  <c r="J1176" i="1"/>
  <c r="K1176" i="1" s="1"/>
  <c r="J1175" i="1"/>
  <c r="K1175" i="1" s="1"/>
  <c r="J1174" i="1"/>
  <c r="K1174" i="1" s="1"/>
  <c r="J1173" i="1"/>
  <c r="K1173" i="1" s="1"/>
  <c r="J1172" i="1"/>
  <c r="K1172" i="1" s="1"/>
  <c r="J1170" i="1"/>
  <c r="K1170" i="1" s="1"/>
  <c r="J1169" i="1"/>
  <c r="K1169" i="1" s="1"/>
  <c r="J1168" i="1"/>
  <c r="K1168" i="1" s="1"/>
  <c r="J1167" i="1"/>
  <c r="K1167" i="1" s="1"/>
  <c r="J1166" i="1"/>
  <c r="K1166" i="1" s="1"/>
  <c r="J1165" i="1"/>
  <c r="K1165" i="1" s="1"/>
  <c r="J1164" i="1"/>
  <c r="K1164" i="1" s="1"/>
  <c r="M1164" i="1" s="1"/>
  <c r="J1163" i="1"/>
  <c r="K1163" i="1" s="1"/>
  <c r="J1162" i="1"/>
  <c r="K1162" i="1" s="1"/>
  <c r="J1161" i="1"/>
  <c r="K1161" i="1" s="1"/>
  <c r="J1160" i="1"/>
  <c r="K1160" i="1" s="1"/>
  <c r="J1159" i="1"/>
  <c r="K1159" i="1" s="1"/>
  <c r="J1158" i="1"/>
  <c r="K1158" i="1" s="1"/>
  <c r="J1157" i="1"/>
  <c r="K1157" i="1" s="1"/>
  <c r="J1156" i="1"/>
  <c r="K1156" i="1" s="1"/>
  <c r="J1155" i="1"/>
  <c r="K1155" i="1" s="1"/>
  <c r="J1154" i="1"/>
  <c r="K1154" i="1" s="1"/>
  <c r="J1153" i="1"/>
  <c r="K1153" i="1" s="1"/>
  <c r="J1152" i="1"/>
  <c r="K1152" i="1" s="1"/>
  <c r="J1151" i="1"/>
  <c r="K1151" i="1" s="1"/>
  <c r="J1150" i="1"/>
  <c r="K1150" i="1" s="1"/>
  <c r="M1150" i="1" s="1"/>
  <c r="J1149" i="1"/>
  <c r="K1149" i="1" s="1"/>
  <c r="J1148" i="1"/>
  <c r="K1148" i="1" s="1"/>
  <c r="J1147" i="1"/>
  <c r="K1147" i="1" s="1"/>
  <c r="J1146" i="1"/>
  <c r="K1146" i="1" s="1"/>
  <c r="J1145" i="1"/>
  <c r="K1145" i="1" s="1"/>
  <c r="J1144" i="1"/>
  <c r="K1144" i="1" s="1"/>
  <c r="J1143" i="1"/>
  <c r="K1143" i="1" s="1"/>
  <c r="J1142" i="1"/>
  <c r="K1142" i="1" s="1"/>
  <c r="J1141" i="1"/>
  <c r="K1141" i="1" s="1"/>
  <c r="J1140" i="1"/>
  <c r="K1140" i="1" s="1"/>
  <c r="J1139" i="1"/>
  <c r="K1139" i="1" s="1"/>
  <c r="J1138" i="1"/>
  <c r="K1138" i="1" s="1"/>
  <c r="J1137" i="1"/>
  <c r="K1137" i="1" s="1"/>
  <c r="J1136" i="1"/>
  <c r="K1136" i="1" s="1"/>
  <c r="J1135" i="1"/>
  <c r="K1135" i="1" s="1"/>
  <c r="J1134" i="1"/>
  <c r="K1134" i="1" s="1"/>
  <c r="J1133" i="1"/>
  <c r="K1133" i="1" s="1"/>
  <c r="J1132" i="1"/>
  <c r="K1132" i="1" s="1"/>
  <c r="J1131" i="1"/>
  <c r="K1131" i="1" s="1"/>
  <c r="J1130" i="1"/>
  <c r="K1130" i="1" s="1"/>
  <c r="J1129" i="1"/>
  <c r="K1129" i="1" s="1"/>
  <c r="J1128" i="1"/>
  <c r="K1128" i="1" s="1"/>
  <c r="J1127" i="1"/>
  <c r="K1127" i="1" s="1"/>
  <c r="J1126" i="1"/>
  <c r="K1126" i="1" s="1"/>
  <c r="J1125" i="1"/>
  <c r="K1125" i="1" s="1"/>
  <c r="J1124" i="1"/>
  <c r="K1124" i="1" s="1"/>
  <c r="J1123" i="1"/>
  <c r="K1123" i="1" s="1"/>
  <c r="J1122" i="1"/>
  <c r="K1122" i="1" s="1"/>
  <c r="J1121" i="1"/>
  <c r="K1121" i="1" s="1"/>
  <c r="J1120" i="1"/>
  <c r="K1120" i="1" s="1"/>
  <c r="J1119" i="1"/>
  <c r="K1119" i="1" s="1"/>
  <c r="J1118" i="1"/>
  <c r="K1118" i="1" s="1"/>
  <c r="J1117" i="1"/>
  <c r="K1117" i="1" s="1"/>
  <c r="J1116" i="1"/>
  <c r="K1116" i="1" s="1"/>
  <c r="J1115" i="1"/>
  <c r="K1115" i="1" s="1"/>
  <c r="J1114" i="1"/>
  <c r="K1114" i="1" s="1"/>
  <c r="J1113" i="1"/>
  <c r="K1113" i="1" s="1"/>
  <c r="J1112" i="1"/>
  <c r="K1112" i="1" s="1"/>
  <c r="J1111" i="1"/>
  <c r="K1111" i="1" s="1"/>
  <c r="J1110" i="1"/>
  <c r="K1110" i="1" s="1"/>
  <c r="J1109" i="1"/>
  <c r="K1109" i="1" s="1"/>
  <c r="J1107" i="1"/>
  <c r="K1107" i="1" s="1"/>
  <c r="J1106" i="1"/>
  <c r="K1106" i="1" s="1"/>
  <c r="J1105" i="1"/>
  <c r="K1105" i="1" s="1"/>
  <c r="M1105" i="1" s="1"/>
  <c r="J1104" i="1"/>
  <c r="K1104" i="1" s="1"/>
  <c r="J1103" i="1"/>
  <c r="K1103" i="1" s="1"/>
  <c r="J1102" i="1"/>
  <c r="K1102" i="1" s="1"/>
  <c r="J1101" i="1"/>
  <c r="K1101" i="1" s="1"/>
  <c r="J1100" i="1"/>
  <c r="K1100" i="1" s="1"/>
  <c r="J1099" i="1"/>
  <c r="K1099" i="1" s="1"/>
  <c r="J1098" i="1"/>
  <c r="K1098" i="1" s="1"/>
  <c r="J1097" i="1"/>
  <c r="K1097" i="1" s="1"/>
  <c r="J1096" i="1"/>
  <c r="K1096" i="1" s="1"/>
  <c r="J1095" i="1"/>
  <c r="K1095" i="1" s="1"/>
  <c r="J1094" i="1"/>
  <c r="K1094" i="1" s="1"/>
  <c r="J1093" i="1"/>
  <c r="K1093" i="1" s="1"/>
  <c r="J1092" i="1"/>
  <c r="K1092" i="1" s="1"/>
  <c r="J1091" i="1"/>
  <c r="K1091" i="1" s="1"/>
  <c r="J1090" i="1"/>
  <c r="K1090" i="1" s="1"/>
  <c r="J1089" i="1"/>
  <c r="K1089" i="1" s="1"/>
  <c r="J1088" i="1"/>
  <c r="K1088" i="1" s="1"/>
  <c r="J1087" i="1"/>
  <c r="K1087" i="1" s="1"/>
  <c r="J1086" i="1"/>
  <c r="K1086" i="1" s="1"/>
  <c r="J1085" i="1"/>
  <c r="K1085" i="1" s="1"/>
  <c r="J1084" i="1"/>
  <c r="K1084" i="1" s="1"/>
  <c r="J1083" i="1"/>
  <c r="K1083" i="1" s="1"/>
  <c r="J1082" i="1"/>
  <c r="K1082" i="1" s="1"/>
  <c r="J1081" i="1"/>
  <c r="K1081" i="1" s="1"/>
  <c r="J1080" i="1"/>
  <c r="K1080" i="1" s="1"/>
  <c r="J1079" i="1"/>
  <c r="K1079" i="1" s="1"/>
  <c r="J1078" i="1"/>
  <c r="K1078" i="1" s="1"/>
  <c r="M1078" i="1" s="1"/>
  <c r="J1077" i="1"/>
  <c r="K1077" i="1" s="1"/>
  <c r="J1076" i="1"/>
  <c r="K1076" i="1" s="1"/>
  <c r="J1075" i="1"/>
  <c r="K1075" i="1" s="1"/>
  <c r="J1074" i="1"/>
  <c r="K1074" i="1" s="1"/>
  <c r="J1073" i="1"/>
  <c r="K1073" i="1" s="1"/>
  <c r="J1072" i="1"/>
  <c r="K1072" i="1" s="1"/>
  <c r="J1071" i="1"/>
  <c r="K1071" i="1" s="1"/>
  <c r="J1070" i="1"/>
  <c r="K1070" i="1" s="1"/>
  <c r="J1069" i="1"/>
  <c r="K1069" i="1" s="1"/>
  <c r="J1068" i="1"/>
  <c r="K1068" i="1" s="1"/>
  <c r="J1067" i="1"/>
  <c r="K1067" i="1" s="1"/>
  <c r="J1066" i="1"/>
  <c r="K1066" i="1" s="1"/>
  <c r="J1065" i="1"/>
  <c r="K1065" i="1" s="1"/>
  <c r="J1064" i="1"/>
  <c r="K1064" i="1" s="1"/>
  <c r="J1063" i="1"/>
  <c r="K1063" i="1" s="1"/>
  <c r="J1062" i="1"/>
  <c r="K1062" i="1" s="1"/>
  <c r="J1061" i="1"/>
  <c r="K1061" i="1" s="1"/>
  <c r="J1060" i="1"/>
  <c r="K1060" i="1" s="1"/>
  <c r="J1059" i="1"/>
  <c r="K1059" i="1" s="1"/>
  <c r="J1058" i="1"/>
  <c r="K1058" i="1" s="1"/>
  <c r="J1057" i="1"/>
  <c r="K1057" i="1" s="1"/>
  <c r="J1056" i="1"/>
  <c r="K1056" i="1" s="1"/>
  <c r="J1055" i="1"/>
  <c r="K1055" i="1" s="1"/>
  <c r="J1054" i="1"/>
  <c r="K1054" i="1" s="1"/>
  <c r="M1054" i="1" s="1"/>
  <c r="J1053" i="1"/>
  <c r="K1053" i="1" s="1"/>
  <c r="J1052" i="1"/>
  <c r="K1052" i="1" s="1"/>
  <c r="J1051" i="1"/>
  <c r="K1051" i="1" s="1"/>
  <c r="J1050" i="1"/>
  <c r="K1050" i="1" s="1"/>
  <c r="J1049" i="1"/>
  <c r="K1049" i="1" s="1"/>
  <c r="J1048" i="1"/>
  <c r="K1048" i="1" s="1"/>
  <c r="J1047" i="1"/>
  <c r="K1047" i="1" s="1"/>
  <c r="J1046" i="1"/>
  <c r="K1046" i="1" s="1"/>
  <c r="J1045" i="1"/>
  <c r="K1045" i="1" s="1"/>
  <c r="J1044" i="1"/>
  <c r="K1044" i="1" s="1"/>
  <c r="J1043" i="1"/>
  <c r="K1043" i="1" s="1"/>
  <c r="J1042" i="1"/>
  <c r="K1042" i="1" s="1"/>
  <c r="J1041" i="1"/>
  <c r="K1041" i="1" s="1"/>
  <c r="J1040" i="1"/>
  <c r="K1040" i="1" s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M976" i="1" s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8" i="1"/>
  <c r="J877" i="1"/>
  <c r="K877" i="1" s="1"/>
  <c r="J876" i="1"/>
  <c r="K876" i="1" s="1"/>
  <c r="J875" i="1"/>
  <c r="K875" i="1" s="1"/>
  <c r="J874" i="1"/>
  <c r="K874" i="1" s="1"/>
  <c r="J873" i="1"/>
  <c r="K873" i="1" s="1"/>
  <c r="J872" i="1"/>
  <c r="K872" i="1" s="1"/>
  <c r="J871" i="1"/>
  <c r="K871" i="1" s="1"/>
  <c r="J870" i="1"/>
  <c r="K870" i="1" s="1"/>
  <c r="J869" i="1"/>
  <c r="K869" i="1" s="1"/>
  <c r="J868" i="1"/>
  <c r="K868" i="1" s="1"/>
  <c r="J867" i="1"/>
  <c r="K867" i="1" s="1"/>
  <c r="J866" i="1"/>
  <c r="K866" i="1" s="1"/>
  <c r="J865" i="1"/>
  <c r="K865" i="1" s="1"/>
  <c r="J864" i="1"/>
  <c r="K864" i="1" s="1"/>
  <c r="J863" i="1"/>
  <c r="K863" i="1" s="1"/>
  <c r="J862" i="1"/>
  <c r="K862" i="1" s="1"/>
  <c r="J861" i="1"/>
  <c r="K861" i="1" s="1"/>
  <c r="J860" i="1"/>
  <c r="K860" i="1" s="1"/>
  <c r="J859" i="1"/>
  <c r="K859" i="1" s="1"/>
  <c r="J858" i="1"/>
  <c r="K858" i="1" s="1"/>
  <c r="J857" i="1"/>
  <c r="K857" i="1" s="1"/>
  <c r="J856" i="1"/>
  <c r="K856" i="1" s="1"/>
  <c r="J855" i="1"/>
  <c r="K855" i="1" s="1"/>
  <c r="J854" i="1"/>
  <c r="K854" i="1" s="1"/>
  <c r="J853" i="1"/>
  <c r="K853" i="1" s="1"/>
  <c r="J852" i="1"/>
  <c r="K852" i="1" s="1"/>
  <c r="K851" i="1"/>
  <c r="M1413" i="1" l="1"/>
  <c r="L1413" i="1"/>
  <c r="M1417" i="1"/>
  <c r="L1417" i="1"/>
  <c r="M2029" i="1"/>
  <c r="L2029" i="1"/>
  <c r="M2517" i="1"/>
  <c r="L2517" i="1"/>
  <c r="M2524" i="1"/>
  <c r="L2524" i="1"/>
  <c r="M2598" i="1"/>
  <c r="L2598" i="1"/>
  <c r="M2617" i="1"/>
  <c r="L2617" i="1"/>
  <c r="M2657" i="1"/>
  <c r="L2657" i="1"/>
  <c r="M2736" i="1"/>
  <c r="L2736" i="1"/>
  <c r="M2780" i="1"/>
  <c r="L2780" i="1"/>
  <c r="M2821" i="1"/>
  <c r="L2821" i="1"/>
  <c r="M2833" i="1"/>
  <c r="L2833" i="1"/>
  <c r="M2856" i="1"/>
  <c r="L2856" i="1"/>
  <c r="M2872" i="1"/>
  <c r="L2872" i="1"/>
  <c r="L2899" i="1"/>
  <c r="M2899" i="1"/>
  <c r="M2930" i="1"/>
  <c r="L2930" i="1"/>
  <c r="M2950" i="1"/>
  <c r="L2950" i="1"/>
  <c r="M2990" i="1"/>
  <c r="L2990" i="1"/>
  <c r="M3008" i="1"/>
  <c r="L3008" i="1"/>
  <c r="M3151" i="1"/>
  <c r="L3151" i="1"/>
  <c r="M3155" i="1"/>
  <c r="L3155" i="1"/>
  <c r="M3166" i="1"/>
  <c r="L3166" i="1"/>
  <c r="M3189" i="1"/>
  <c r="L3189" i="1"/>
  <c r="M3210" i="1"/>
  <c r="L3210" i="1"/>
  <c r="M3245" i="1"/>
  <c r="L3245" i="1"/>
  <c r="M3267" i="1"/>
  <c r="L3267" i="1"/>
  <c r="M3269" i="1"/>
  <c r="L3269" i="1"/>
  <c r="M3297" i="1"/>
  <c r="L3297" i="1"/>
  <c r="M3302" i="1"/>
  <c r="L3302" i="1"/>
  <c r="M3304" i="1"/>
  <c r="L3304" i="1"/>
  <c r="M3305" i="1"/>
  <c r="L3305" i="1"/>
  <c r="M3328" i="1"/>
  <c r="L3328" i="1"/>
  <c r="M3336" i="1"/>
  <c r="L3336" i="1"/>
  <c r="M3339" i="1"/>
  <c r="L3339" i="1"/>
  <c r="L3293" i="1"/>
  <c r="L3172" i="1"/>
  <c r="L2961" i="1"/>
  <c r="L2838" i="1"/>
  <c r="L2591" i="1"/>
  <c r="L2026" i="1"/>
  <c r="L3287" i="1"/>
  <c r="L3171" i="1"/>
  <c r="L2959" i="1"/>
  <c r="L2546" i="1"/>
  <c r="L1748" i="1"/>
  <c r="L2940" i="1"/>
  <c r="L3333" i="1"/>
  <c r="L3265" i="1"/>
  <c r="L2759" i="1"/>
  <c r="L2492" i="1"/>
  <c r="L1344" i="1"/>
  <c r="L3329" i="1"/>
  <c r="L3259" i="1"/>
  <c r="L3150" i="1"/>
  <c r="L2921" i="1"/>
  <c r="L2740" i="1"/>
  <c r="L2475" i="1"/>
  <c r="L1281" i="1"/>
  <c r="L3257" i="1"/>
  <c r="L3132" i="1"/>
  <c r="L2919" i="1"/>
  <c r="L2471" i="1"/>
  <c r="L3322" i="1"/>
  <c r="L3248" i="1"/>
  <c r="L3111" i="1"/>
  <c r="L2912" i="1"/>
  <c r="L2724" i="1"/>
  <c r="L2462" i="1"/>
  <c r="L3318" i="1"/>
  <c r="L3246" i="1"/>
  <c r="L3110" i="1"/>
  <c r="L2901" i="1"/>
  <c r="L2705" i="1"/>
  <c r="L2411" i="1"/>
  <c r="L3317" i="1"/>
  <c r="L3087" i="1"/>
  <c r="L2882" i="1"/>
  <c r="L2682" i="1"/>
  <c r="L2370" i="1"/>
  <c r="L3312" i="1"/>
  <c r="L3235" i="1"/>
  <c r="L3076" i="1"/>
  <c r="L2881" i="1"/>
  <c r="L2665" i="1"/>
  <c r="L2325" i="1"/>
  <c r="L3311" i="1"/>
  <c r="L3230" i="1"/>
  <c r="L3055" i="1"/>
  <c r="L2876" i="1"/>
  <c r="L2659" i="1"/>
  <c r="L2289" i="1"/>
  <c r="L2288" i="1"/>
  <c r="L3209" i="1"/>
  <c r="L2998" i="1"/>
  <c r="L2864" i="1"/>
  <c r="L2619" i="1"/>
  <c r="L2207" i="1"/>
  <c r="L3193" i="1"/>
  <c r="L2993" i="1"/>
  <c r="L2858" i="1"/>
  <c r="L2117" i="1"/>
  <c r="M1564" i="1"/>
  <c r="L1564" i="1"/>
  <c r="M2182" i="1"/>
  <c r="L2182" i="1"/>
  <c r="M2397" i="1"/>
  <c r="L2397" i="1"/>
  <c r="M856" i="1"/>
  <c r="L856" i="1"/>
  <c r="M897" i="1"/>
  <c r="L897" i="1"/>
  <c r="M1003" i="1"/>
  <c r="L1003" i="1"/>
  <c r="M1067" i="1"/>
  <c r="L1067" i="1"/>
  <c r="M1096" i="1"/>
  <c r="L1096" i="1"/>
  <c r="M1109" i="1"/>
  <c r="L1109" i="1"/>
  <c r="M1136" i="1"/>
  <c r="L1136" i="1"/>
  <c r="M1201" i="1"/>
  <c r="L1201" i="1"/>
  <c r="M1353" i="1"/>
  <c r="L1353" i="1"/>
  <c r="M1367" i="1"/>
  <c r="L1367" i="1"/>
  <c r="M1450" i="1"/>
  <c r="L1450" i="1"/>
  <c r="M1475" i="1"/>
  <c r="L1475" i="1"/>
  <c r="M1487" i="1"/>
  <c r="L1487" i="1"/>
  <c r="M1510" i="1"/>
  <c r="L1510" i="1"/>
  <c r="M1534" i="1"/>
  <c r="L1534" i="1"/>
  <c r="M1559" i="1"/>
  <c r="L1559" i="1"/>
  <c r="M1571" i="1"/>
  <c r="L1571" i="1"/>
  <c r="M1595" i="1"/>
  <c r="L1595" i="1"/>
  <c r="M1607" i="1"/>
  <c r="L1607" i="1"/>
  <c r="M1618" i="1"/>
  <c r="L1618" i="1"/>
  <c r="M1655" i="1"/>
  <c r="L1655" i="1"/>
  <c r="M1667" i="1"/>
  <c r="L1667" i="1"/>
  <c r="M1678" i="1"/>
  <c r="L1678" i="1"/>
  <c r="M1691" i="1"/>
  <c r="L1691" i="1"/>
  <c r="M1739" i="1"/>
  <c r="L1739" i="1"/>
  <c r="M1856" i="1"/>
  <c r="L1856" i="1"/>
  <c r="M1901" i="1"/>
  <c r="L1901" i="1"/>
  <c r="M1916" i="1"/>
  <c r="L1916" i="1"/>
  <c r="M1941" i="1"/>
  <c r="L1941" i="1"/>
  <c r="M1967" i="1"/>
  <c r="L1967" i="1"/>
  <c r="M2031" i="1"/>
  <c r="L2031" i="1"/>
  <c r="M2060" i="1"/>
  <c r="L2060" i="1"/>
  <c r="M2112" i="1"/>
  <c r="L2112" i="1"/>
  <c r="M2153" i="1"/>
  <c r="L2153" i="1"/>
  <c r="M2303" i="1"/>
  <c r="L2303" i="1"/>
  <c r="M2331" i="1"/>
  <c r="L2331" i="1"/>
  <c r="M2418" i="1"/>
  <c r="L2418" i="1"/>
  <c r="M2719" i="1"/>
  <c r="L2719" i="1"/>
  <c r="M2732" i="1"/>
  <c r="L2732" i="1"/>
  <c r="M3188" i="1"/>
  <c r="L3188" i="1"/>
  <c r="M3244" i="1"/>
  <c r="L3244" i="1"/>
  <c r="M2225" i="1"/>
  <c r="L2225" i="1"/>
  <c r="M2649" i="1"/>
  <c r="L2649" i="1"/>
  <c r="M870" i="1"/>
  <c r="L870" i="1"/>
  <c r="M991" i="1"/>
  <c r="L991" i="1"/>
  <c r="M1042" i="1"/>
  <c r="L1042" i="1"/>
  <c r="M1056" i="1"/>
  <c r="L1056" i="1"/>
  <c r="M1068" i="1"/>
  <c r="L1068" i="1"/>
  <c r="M1097" i="1"/>
  <c r="L1097" i="1"/>
  <c r="M1110" i="1"/>
  <c r="L1110" i="1"/>
  <c r="M1137" i="1"/>
  <c r="L1137" i="1"/>
  <c r="M1175" i="1"/>
  <c r="L1175" i="1"/>
  <c r="M1189" i="1"/>
  <c r="L1189" i="1"/>
  <c r="M1217" i="1"/>
  <c r="L1217" i="1"/>
  <c r="M1271" i="1"/>
  <c r="L1271" i="1"/>
  <c r="M1299" i="1"/>
  <c r="L1299" i="1"/>
  <c r="M1340" i="1"/>
  <c r="L1340" i="1"/>
  <c r="M1499" i="1"/>
  <c r="L1499" i="1"/>
  <c r="L1511" i="1"/>
  <c r="M1511" i="1"/>
  <c r="M1523" i="1"/>
  <c r="L1523" i="1"/>
  <c r="M1560" i="1"/>
  <c r="L1560" i="1"/>
  <c r="M1572" i="1"/>
  <c r="L1572" i="1"/>
  <c r="M1632" i="1"/>
  <c r="L1632" i="1"/>
  <c r="M1679" i="1"/>
  <c r="L1679" i="1"/>
  <c r="M1692" i="1"/>
  <c r="L1692" i="1"/>
  <c r="M1703" i="1"/>
  <c r="L1703" i="1"/>
  <c r="M1716" i="1"/>
  <c r="L1716" i="1"/>
  <c r="M1830" i="1"/>
  <c r="L1830" i="1"/>
  <c r="M1844" i="1"/>
  <c r="L1844" i="1"/>
  <c r="M1857" i="1"/>
  <c r="L1857" i="1"/>
  <c r="M1889" i="1"/>
  <c r="L1889" i="1"/>
  <c r="M1982" i="1"/>
  <c r="L1982" i="1"/>
  <c r="M2419" i="1"/>
  <c r="L2419" i="1"/>
  <c r="M2474" i="1"/>
  <c r="L2474" i="1"/>
  <c r="M2614" i="1"/>
  <c r="L2614" i="1"/>
  <c r="M2670" i="1"/>
  <c r="L2670" i="1"/>
  <c r="M2758" i="1"/>
  <c r="L2758" i="1"/>
  <c r="M2875" i="1"/>
  <c r="L2875" i="1"/>
  <c r="M2983" i="1"/>
  <c r="L2983" i="1"/>
  <c r="M3098" i="1"/>
  <c r="L3098" i="1"/>
  <c r="M3274" i="1"/>
  <c r="L3274" i="1"/>
  <c r="M1671" i="1"/>
  <c r="L1671" i="1"/>
  <c r="M2209" i="1"/>
  <c r="L2209" i="1"/>
  <c r="M2698" i="1"/>
  <c r="L2698" i="1"/>
  <c r="M871" i="1"/>
  <c r="L871" i="1"/>
  <c r="M899" i="1"/>
  <c r="L899" i="1"/>
  <c r="M924" i="1"/>
  <c r="L924" i="1"/>
  <c r="M938" i="1"/>
  <c r="L938" i="1"/>
  <c r="M965" i="1"/>
  <c r="L965" i="1"/>
  <c r="M992" i="1"/>
  <c r="L992" i="1"/>
  <c r="M1017" i="1"/>
  <c r="L1017" i="1"/>
  <c r="M1031" i="1"/>
  <c r="L1031" i="1"/>
  <c r="M1043" i="1"/>
  <c r="L1043" i="1"/>
  <c r="M1203" i="1"/>
  <c r="L1203" i="1"/>
  <c r="M1218" i="1"/>
  <c r="L1218" i="1"/>
  <c r="M1328" i="1"/>
  <c r="L1328" i="1"/>
  <c r="M1341" i="1"/>
  <c r="L1341" i="1"/>
  <c r="M1399" i="1"/>
  <c r="L1399" i="1"/>
  <c r="M1414" i="1"/>
  <c r="L1414" i="1"/>
  <c r="M1426" i="1"/>
  <c r="L1426" i="1"/>
  <c r="M1500" i="1"/>
  <c r="L1500" i="1"/>
  <c r="M1512" i="1"/>
  <c r="L1512" i="1"/>
  <c r="M1536" i="1"/>
  <c r="L1536" i="1"/>
  <c r="M1548" i="1"/>
  <c r="L1548" i="1"/>
  <c r="M1561" i="1"/>
  <c r="L1561" i="1"/>
  <c r="M1584" i="1"/>
  <c r="L1584" i="1"/>
  <c r="M1620" i="1"/>
  <c r="L1620" i="1"/>
  <c r="M1633" i="1"/>
  <c r="L1633" i="1"/>
  <c r="M1644" i="1"/>
  <c r="L1644" i="1"/>
  <c r="M1680" i="1"/>
  <c r="L1680" i="1"/>
  <c r="M1704" i="1"/>
  <c r="L1704" i="1"/>
  <c r="M1717" i="1"/>
  <c r="L1717" i="1"/>
  <c r="M1751" i="1"/>
  <c r="L1751" i="1"/>
  <c r="M1873" i="1"/>
  <c r="L1873" i="1"/>
  <c r="M1929" i="1"/>
  <c r="L1929" i="1"/>
  <c r="M2048" i="1"/>
  <c r="L2048" i="1"/>
  <c r="M2080" i="1"/>
  <c r="L2080" i="1"/>
  <c r="M2155" i="1"/>
  <c r="L2155" i="1"/>
  <c r="M2191" i="1"/>
  <c r="L2191" i="1"/>
  <c r="M2278" i="1"/>
  <c r="L2278" i="1"/>
  <c r="M2356" i="1"/>
  <c r="L2356" i="1"/>
  <c r="M2407" i="1"/>
  <c r="L2407" i="1"/>
  <c r="M2544" i="1"/>
  <c r="L2544" i="1"/>
  <c r="M3042" i="1"/>
  <c r="L3042" i="1"/>
  <c r="M859" i="1"/>
  <c r="L859" i="1"/>
  <c r="M886" i="1"/>
  <c r="L886" i="1"/>
  <c r="M941" i="1"/>
  <c r="L941" i="1"/>
  <c r="M954" i="1"/>
  <c r="L954" i="1"/>
  <c r="M981" i="1"/>
  <c r="L981" i="1"/>
  <c r="M1032" i="1"/>
  <c r="L1032" i="1"/>
  <c r="L1058" i="1"/>
  <c r="M1058" i="1"/>
  <c r="M1112" i="1"/>
  <c r="L1112" i="1"/>
  <c r="M1205" i="1"/>
  <c r="L1205" i="1"/>
  <c r="M1274" i="1"/>
  <c r="L1274" i="1"/>
  <c r="M1401" i="1"/>
  <c r="L1401" i="1"/>
  <c r="M1416" i="1"/>
  <c r="L1416" i="1"/>
  <c r="M1441" i="1"/>
  <c r="L1441" i="1"/>
  <c r="M1453" i="1"/>
  <c r="L1453" i="1"/>
  <c r="M1466" i="1"/>
  <c r="L1466" i="1"/>
  <c r="M1478" i="1"/>
  <c r="L1478" i="1"/>
  <c r="M1525" i="1"/>
  <c r="L1525" i="1"/>
  <c r="M1538" i="1"/>
  <c r="L1538" i="1"/>
  <c r="M1549" i="1"/>
  <c r="L1549" i="1"/>
  <c r="M1574" i="1"/>
  <c r="L1574" i="1"/>
  <c r="M1646" i="1"/>
  <c r="L1646" i="1"/>
  <c r="M1658" i="1"/>
  <c r="L1658" i="1"/>
  <c r="M1730" i="1"/>
  <c r="L1730" i="1"/>
  <c r="M1764" i="1"/>
  <c r="L1764" i="1"/>
  <c r="M1776" i="1"/>
  <c r="L1776" i="1"/>
  <c r="M1790" i="1"/>
  <c r="L1790" i="1"/>
  <c r="M1847" i="1"/>
  <c r="L1847" i="1"/>
  <c r="M1859" i="1"/>
  <c r="L1859" i="1"/>
  <c r="M1875" i="1"/>
  <c r="L1875" i="1"/>
  <c r="M1956" i="1"/>
  <c r="L1956" i="1"/>
  <c r="M2008" i="1"/>
  <c r="L2008" i="1"/>
  <c r="M2193" i="1"/>
  <c r="L2193" i="1"/>
  <c r="M2223" i="1"/>
  <c r="L2223" i="1"/>
  <c r="M2238" i="1"/>
  <c r="L2238" i="1"/>
  <c r="M2307" i="1"/>
  <c r="L2307" i="1"/>
  <c r="M2409" i="1"/>
  <c r="L2409" i="1"/>
  <c r="M2771" i="1"/>
  <c r="L2771" i="1"/>
  <c r="M3219" i="1"/>
  <c r="L3219" i="1"/>
  <c r="M860" i="1"/>
  <c r="L860" i="1"/>
  <c r="M887" i="1"/>
  <c r="L887" i="1"/>
  <c r="M942" i="1"/>
  <c r="L942" i="1"/>
  <c r="M968" i="1"/>
  <c r="L968" i="1"/>
  <c r="M982" i="1"/>
  <c r="L982" i="1"/>
  <c r="M1033" i="1"/>
  <c r="L1033" i="1"/>
  <c r="M1113" i="1"/>
  <c r="L1113" i="1"/>
  <c r="M1127" i="1"/>
  <c r="L1127" i="1"/>
  <c r="M1152" i="1"/>
  <c r="L1152" i="1"/>
  <c r="M1233" i="1"/>
  <c r="L1233" i="1"/>
  <c r="M1261" i="1"/>
  <c r="L1261" i="1"/>
  <c r="M1303" i="1"/>
  <c r="L1303" i="1"/>
  <c r="M1442" i="1"/>
  <c r="L1442" i="1"/>
  <c r="M1467" i="1"/>
  <c r="L1467" i="1"/>
  <c r="M1479" i="1"/>
  <c r="L1479" i="1"/>
  <c r="M1490" i="1"/>
  <c r="L1490" i="1"/>
  <c r="M1514" i="1"/>
  <c r="L1514" i="1"/>
  <c r="M1550" i="1"/>
  <c r="L1550" i="1"/>
  <c r="M1563" i="1"/>
  <c r="L1563" i="1"/>
  <c r="M1610" i="1"/>
  <c r="L1610" i="1"/>
  <c r="M1623" i="1"/>
  <c r="L1623" i="1"/>
  <c r="M1670" i="1"/>
  <c r="L1670" i="1"/>
  <c r="M1682" i="1"/>
  <c r="L1682" i="1"/>
  <c r="M1706" i="1"/>
  <c r="L1706" i="1"/>
  <c r="M1731" i="1"/>
  <c r="L1731" i="1"/>
  <c r="M1742" i="1"/>
  <c r="L1742" i="1"/>
  <c r="M1753" i="1"/>
  <c r="L1753" i="1"/>
  <c r="M1777" i="1"/>
  <c r="L1777" i="1"/>
  <c r="M1818" i="1"/>
  <c r="L1818" i="1"/>
  <c r="M1834" i="1"/>
  <c r="L1834" i="1"/>
  <c r="M1876" i="1"/>
  <c r="L1876" i="1"/>
  <c r="M1905" i="1"/>
  <c r="L1905" i="1"/>
  <c r="M1945" i="1"/>
  <c r="L1945" i="1"/>
  <c r="M2083" i="1"/>
  <c r="L2083" i="1"/>
  <c r="M2295" i="1"/>
  <c r="L2295" i="1"/>
  <c r="M2737" i="1"/>
  <c r="L2737" i="1"/>
  <c r="M2892" i="1"/>
  <c r="L2892" i="1"/>
  <c r="M2949" i="1"/>
  <c r="L2949" i="1"/>
  <c r="M3102" i="1"/>
  <c r="L3102" i="1"/>
  <c r="M3179" i="1"/>
  <c r="L3179" i="1"/>
  <c r="M3262" i="1"/>
  <c r="L3262" i="1"/>
  <c r="M3307" i="1"/>
  <c r="L3307" i="1"/>
  <c r="M889" i="1"/>
  <c r="L889" i="1"/>
  <c r="M970" i="1"/>
  <c r="L970" i="1"/>
  <c r="M996" i="1"/>
  <c r="L996" i="1"/>
  <c r="M1047" i="1"/>
  <c r="L1047" i="1"/>
  <c r="M1073" i="1"/>
  <c r="L1073" i="1"/>
  <c r="M1088" i="1"/>
  <c r="L1088" i="1"/>
  <c r="M1115" i="1"/>
  <c r="L1115" i="1"/>
  <c r="M1129" i="1"/>
  <c r="L1129" i="1"/>
  <c r="M1222" i="1"/>
  <c r="L1222" i="1"/>
  <c r="M1305" i="1"/>
  <c r="L1305" i="1"/>
  <c r="M1345" i="1"/>
  <c r="L1345" i="1"/>
  <c r="M1389" i="1"/>
  <c r="L1389" i="1"/>
  <c r="M1418" i="1"/>
  <c r="L1418" i="1"/>
  <c r="M1504" i="1"/>
  <c r="L1504" i="1"/>
  <c r="M1515" i="1"/>
  <c r="L1515" i="1"/>
  <c r="M1540" i="1"/>
  <c r="L1540" i="1"/>
  <c r="M1552" i="1"/>
  <c r="L1552" i="1"/>
  <c r="M1576" i="1"/>
  <c r="L1576" i="1"/>
  <c r="M1588" i="1"/>
  <c r="L1588" i="1"/>
  <c r="M1612" i="1"/>
  <c r="L1612" i="1"/>
  <c r="M1636" i="1"/>
  <c r="L1636" i="1"/>
  <c r="M1648" i="1"/>
  <c r="L1648" i="1"/>
  <c r="M1672" i="1"/>
  <c r="L1672" i="1"/>
  <c r="M1696" i="1"/>
  <c r="L1696" i="1"/>
  <c r="M1708" i="1"/>
  <c r="L1708" i="1"/>
  <c r="M1754" i="1"/>
  <c r="L1754" i="1"/>
  <c r="M1947" i="1"/>
  <c r="L1947" i="1"/>
  <c r="M1959" i="1"/>
  <c r="L1959" i="1"/>
  <c r="M1999" i="1"/>
  <c r="L1999" i="1"/>
  <c r="M2011" i="1"/>
  <c r="L2011" i="1"/>
  <c r="M2171" i="1"/>
  <c r="L2171" i="1"/>
  <c r="M2210" i="1"/>
  <c r="L2210" i="1"/>
  <c r="M2398" i="1"/>
  <c r="L2398" i="1"/>
  <c r="M2951" i="1"/>
  <c r="L2951" i="1"/>
  <c r="M3207" i="1"/>
  <c r="L3207" i="1"/>
  <c r="M1018" i="1"/>
  <c r="L1018" i="1"/>
  <c r="M1162" i="1"/>
  <c r="L1162" i="1"/>
  <c r="M1452" i="1"/>
  <c r="L1452" i="1"/>
  <c r="M1489" i="1"/>
  <c r="L1489" i="1"/>
  <c r="M1585" i="1"/>
  <c r="L1585" i="1"/>
  <c r="M1846" i="1"/>
  <c r="L1846" i="1"/>
  <c r="M2293" i="1"/>
  <c r="L2293" i="1"/>
  <c r="M2832" i="1"/>
  <c r="L2832" i="1"/>
  <c r="M1318" i="1"/>
  <c r="L1318" i="1"/>
  <c r="M1695" i="1"/>
  <c r="L1695" i="1"/>
  <c r="M862" i="1"/>
  <c r="L862" i="1"/>
  <c r="M875" i="1"/>
  <c r="L875" i="1"/>
  <c r="M929" i="1"/>
  <c r="L929" i="1"/>
  <c r="M945" i="1"/>
  <c r="L945" i="1"/>
  <c r="M997" i="1"/>
  <c r="L997" i="1"/>
  <c r="M1023" i="1"/>
  <c r="L1023" i="1"/>
  <c r="M1048" i="1"/>
  <c r="L1048" i="1"/>
  <c r="M1074" i="1"/>
  <c r="L1074" i="1"/>
  <c r="M1089" i="1"/>
  <c r="L1089" i="1"/>
  <c r="M1235" i="1"/>
  <c r="L1235" i="1"/>
  <c r="M1278" i="1"/>
  <c r="L1278" i="1"/>
  <c r="M1374" i="1"/>
  <c r="L1374" i="1"/>
  <c r="M1405" i="1"/>
  <c r="L1405" i="1"/>
  <c r="M1419" i="1"/>
  <c r="L1419" i="1"/>
  <c r="M1431" i="1"/>
  <c r="L1431" i="1"/>
  <c r="M1444" i="1"/>
  <c r="L1444" i="1"/>
  <c r="M1481" i="1"/>
  <c r="L1481" i="1"/>
  <c r="M1516" i="1"/>
  <c r="L1516" i="1"/>
  <c r="M1589" i="1"/>
  <c r="L1589" i="1"/>
  <c r="M1637" i="1"/>
  <c r="L1637" i="1"/>
  <c r="M1649" i="1"/>
  <c r="L1649" i="1"/>
  <c r="M1721" i="1"/>
  <c r="L1721" i="1"/>
  <c r="M1755" i="1"/>
  <c r="L1755" i="1"/>
  <c r="M1767" i="1"/>
  <c r="L1767" i="1"/>
  <c r="M1807" i="1"/>
  <c r="L1807" i="1"/>
  <c r="M1881" i="1"/>
  <c r="L1881" i="1"/>
  <c r="M1960" i="1"/>
  <c r="L1960" i="1"/>
  <c r="M1988" i="1"/>
  <c r="L1988" i="1"/>
  <c r="M2000" i="1"/>
  <c r="L2000" i="1"/>
  <c r="M2085" i="1"/>
  <c r="L2085" i="1"/>
  <c r="M2147" i="1"/>
  <c r="L2147" i="1"/>
  <c r="M2197" i="1"/>
  <c r="L2197" i="1"/>
  <c r="M2227" i="1"/>
  <c r="L2227" i="1"/>
  <c r="M2283" i="1"/>
  <c r="L2283" i="1"/>
  <c r="M2311" i="1"/>
  <c r="L2311" i="1"/>
  <c r="M2372" i="1"/>
  <c r="L2372" i="1"/>
  <c r="M2494" i="1"/>
  <c r="L2494" i="1"/>
  <c r="M2687" i="1"/>
  <c r="L2687" i="1"/>
  <c r="M2775" i="1"/>
  <c r="L2775" i="1"/>
  <c r="M3281" i="1"/>
  <c r="L3281" i="1"/>
  <c r="M903" i="1"/>
  <c r="L903" i="1"/>
  <c r="M1491" i="1"/>
  <c r="L1491" i="1"/>
  <c r="M876" i="1"/>
  <c r="L876" i="1"/>
  <c r="M891" i="1"/>
  <c r="L891" i="1"/>
  <c r="M930" i="1"/>
  <c r="L930" i="1"/>
  <c r="M1116" i="1"/>
  <c r="L1116" i="1"/>
  <c r="M1166" i="1"/>
  <c r="L1166" i="1"/>
  <c r="M1210" i="1"/>
  <c r="L1210" i="1"/>
  <c r="M1249" i="1"/>
  <c r="L1249" i="1"/>
  <c r="M1347" i="1"/>
  <c r="L1347" i="1"/>
  <c r="M1432" i="1"/>
  <c r="L1432" i="1"/>
  <c r="M1445" i="1"/>
  <c r="L1445" i="1"/>
  <c r="M1457" i="1"/>
  <c r="L1457" i="1"/>
  <c r="M1470" i="1"/>
  <c r="L1470" i="1"/>
  <c r="M1493" i="1"/>
  <c r="L1493" i="1"/>
  <c r="M1529" i="1"/>
  <c r="L1529" i="1"/>
  <c r="M1541" i="1"/>
  <c r="L1541" i="1"/>
  <c r="M1626" i="1"/>
  <c r="L1626" i="1"/>
  <c r="M1638" i="1"/>
  <c r="L1638" i="1"/>
  <c r="M1661" i="1"/>
  <c r="L1661" i="1"/>
  <c r="M1685" i="1"/>
  <c r="L1685" i="1"/>
  <c r="M1722" i="1"/>
  <c r="L1722" i="1"/>
  <c r="M1734" i="1"/>
  <c r="L1734" i="1"/>
  <c r="M1768" i="1"/>
  <c r="L1768" i="1"/>
  <c r="M1822" i="1"/>
  <c r="L1822" i="1"/>
  <c r="M1882" i="1"/>
  <c r="L1882" i="1"/>
  <c r="M1949" i="1"/>
  <c r="L1949" i="1"/>
  <c r="M2023" i="1"/>
  <c r="L2023" i="1"/>
  <c r="M2070" i="1"/>
  <c r="L2070" i="1"/>
  <c r="M2213" i="1"/>
  <c r="L2213" i="1"/>
  <c r="M2271" i="1"/>
  <c r="L2271" i="1"/>
  <c r="M2439" i="1"/>
  <c r="L2439" i="1"/>
  <c r="M2664" i="1"/>
  <c r="L2664" i="1"/>
  <c r="M2752" i="1"/>
  <c r="L2752" i="1"/>
  <c r="M3169" i="1"/>
  <c r="L3169" i="1"/>
  <c r="M3296" i="1"/>
  <c r="L3296" i="1"/>
  <c r="M1778" i="1"/>
  <c r="L1778" i="1"/>
  <c r="M2101" i="1"/>
  <c r="L2101" i="1"/>
  <c r="M863" i="1"/>
  <c r="L863" i="1"/>
  <c r="M877" i="1"/>
  <c r="L877" i="1"/>
  <c r="M917" i="1"/>
  <c r="L917" i="1"/>
  <c r="M947" i="1"/>
  <c r="L947" i="1"/>
  <c r="M973" i="1"/>
  <c r="L973" i="1"/>
  <c r="M986" i="1"/>
  <c r="L986" i="1"/>
  <c r="M1076" i="1"/>
  <c r="L1076" i="1"/>
  <c r="M1117" i="1"/>
  <c r="L1117" i="1"/>
  <c r="M1132" i="1"/>
  <c r="L1132" i="1"/>
  <c r="M1144" i="1"/>
  <c r="L1144" i="1"/>
  <c r="M1237" i="1"/>
  <c r="L1237" i="1"/>
  <c r="M1250" i="1"/>
  <c r="L1250" i="1"/>
  <c r="M1322" i="1"/>
  <c r="L1322" i="1"/>
  <c r="M1335" i="1"/>
  <c r="L1335" i="1"/>
  <c r="M1433" i="1"/>
  <c r="L1433" i="1"/>
  <c r="M1458" i="1"/>
  <c r="L1458" i="1"/>
  <c r="M1482" i="1"/>
  <c r="L1482" i="1"/>
  <c r="M1506" i="1"/>
  <c r="L1506" i="1"/>
  <c r="M1530" i="1"/>
  <c r="L1530" i="1"/>
  <c r="M1542" i="1"/>
  <c r="L1542" i="1"/>
  <c r="M1554" i="1"/>
  <c r="L1554" i="1"/>
  <c r="M1578" i="1"/>
  <c r="L1578" i="1"/>
  <c r="M1602" i="1"/>
  <c r="L1602" i="1"/>
  <c r="M1614" i="1"/>
  <c r="L1614" i="1"/>
  <c r="M1674" i="1"/>
  <c r="L1674" i="1"/>
  <c r="M1698" i="1"/>
  <c r="L1698" i="1"/>
  <c r="M1723" i="1"/>
  <c r="L1723" i="1"/>
  <c r="M1735" i="1"/>
  <c r="L1735" i="1"/>
  <c r="M1757" i="1"/>
  <c r="L1757" i="1"/>
  <c r="M1769" i="1"/>
  <c r="L1769" i="1"/>
  <c r="M1796" i="1"/>
  <c r="L1796" i="1"/>
  <c r="M1809" i="1"/>
  <c r="L1809" i="1"/>
  <c r="M1935" i="1"/>
  <c r="L1935" i="1"/>
  <c r="M1989" i="1"/>
  <c r="L1989" i="1"/>
  <c r="M2149" i="1"/>
  <c r="L2149" i="1"/>
  <c r="M2214" i="1"/>
  <c r="L2214" i="1"/>
  <c r="M2272" i="1"/>
  <c r="L2272" i="1"/>
  <c r="M2338" i="1"/>
  <c r="L2338" i="1"/>
  <c r="M2413" i="1"/>
  <c r="L2413" i="1"/>
  <c r="M2427" i="1"/>
  <c r="L2427" i="1"/>
  <c r="M2440" i="1"/>
  <c r="L2440" i="1"/>
  <c r="M2727" i="1"/>
  <c r="L2727" i="1"/>
  <c r="M2815" i="1"/>
  <c r="L2815" i="1"/>
  <c r="M2977" i="1"/>
  <c r="L2977" i="1"/>
  <c r="M1084" i="1"/>
  <c r="L1084" i="1"/>
  <c r="M1139" i="1"/>
  <c r="L1139" i="1"/>
  <c r="M1477" i="1"/>
  <c r="L1477" i="1"/>
  <c r="M1524" i="1"/>
  <c r="L1524" i="1"/>
  <c r="M1645" i="1"/>
  <c r="L1645" i="1"/>
  <c r="M1944" i="1"/>
  <c r="L1944" i="1"/>
  <c r="M2049" i="1"/>
  <c r="L2049" i="1"/>
  <c r="M2518" i="1"/>
  <c r="L2518" i="1"/>
  <c r="M1128" i="1"/>
  <c r="L1128" i="1"/>
  <c r="M1289" i="1"/>
  <c r="L1289" i="1"/>
  <c r="M1624" i="1"/>
  <c r="L1624" i="1"/>
  <c r="M1743" i="1"/>
  <c r="L1743" i="1"/>
  <c r="M2309" i="1"/>
  <c r="L2309" i="1"/>
  <c r="M893" i="1"/>
  <c r="L893" i="1"/>
  <c r="M987" i="1"/>
  <c r="L987" i="1"/>
  <c r="M1026" i="1"/>
  <c r="L1026" i="1"/>
  <c r="M1037" i="1"/>
  <c r="L1037" i="1"/>
  <c r="M1050" i="1"/>
  <c r="L1050" i="1"/>
  <c r="M1063" i="1"/>
  <c r="L1063" i="1"/>
  <c r="M1156" i="1"/>
  <c r="L1156" i="1"/>
  <c r="M1168" i="1"/>
  <c r="L1168" i="1"/>
  <c r="M1251" i="1"/>
  <c r="L1251" i="1"/>
  <c r="M1294" i="1"/>
  <c r="L1294" i="1"/>
  <c r="M1309" i="1"/>
  <c r="L1309" i="1"/>
  <c r="M1323" i="1"/>
  <c r="L1323" i="1"/>
  <c r="M1349" i="1"/>
  <c r="L1349" i="1"/>
  <c r="M1362" i="1"/>
  <c r="L1362" i="1"/>
  <c r="M1483" i="1"/>
  <c r="L1483" i="1"/>
  <c r="M1495" i="1"/>
  <c r="L1495" i="1"/>
  <c r="M1567" i="1"/>
  <c r="L1567" i="1"/>
  <c r="M1579" i="1"/>
  <c r="L1579" i="1"/>
  <c r="M1603" i="1"/>
  <c r="L1603" i="1"/>
  <c r="M1627" i="1"/>
  <c r="L1627" i="1"/>
  <c r="M1675" i="1"/>
  <c r="L1675" i="1"/>
  <c r="M1687" i="1"/>
  <c r="L1687" i="1"/>
  <c r="M1699" i="1"/>
  <c r="L1699" i="1"/>
  <c r="M1746" i="1"/>
  <c r="L1746" i="1"/>
  <c r="M1824" i="1"/>
  <c r="L1824" i="1"/>
  <c r="M1936" i="1"/>
  <c r="L1936" i="1"/>
  <c r="M1976" i="1"/>
  <c r="L1976" i="1"/>
  <c r="M1990" i="1"/>
  <c r="L1990" i="1"/>
  <c r="M2055" i="1"/>
  <c r="L2055" i="1"/>
  <c r="M2136" i="1"/>
  <c r="L2136" i="1"/>
  <c r="M2261" i="1"/>
  <c r="L2261" i="1"/>
  <c r="M2313" i="1"/>
  <c r="L2313" i="1"/>
  <c r="M2911" i="1"/>
  <c r="L2911" i="1"/>
  <c r="M3080" i="1"/>
  <c r="L3080" i="1"/>
  <c r="M3145" i="1"/>
  <c r="L3145" i="1"/>
  <c r="M966" i="1"/>
  <c r="L966" i="1"/>
  <c r="M1440" i="1"/>
  <c r="L1440" i="1"/>
  <c r="M1501" i="1"/>
  <c r="L1501" i="1"/>
  <c r="M1657" i="1"/>
  <c r="L1657" i="1"/>
  <c r="M1804" i="1"/>
  <c r="L1804" i="1"/>
  <c r="M2097" i="1"/>
  <c r="L2097" i="1"/>
  <c r="M2447" i="1"/>
  <c r="L2447" i="1"/>
  <c r="M943" i="1"/>
  <c r="L943" i="1"/>
  <c r="M1429" i="1"/>
  <c r="L1429" i="1"/>
  <c r="M1587" i="1"/>
  <c r="L1587" i="1"/>
  <c r="M1732" i="1"/>
  <c r="L1732" i="1"/>
  <c r="M2322" i="1"/>
  <c r="L2322" i="1"/>
  <c r="M907" i="1"/>
  <c r="L907" i="1"/>
  <c r="M933" i="1"/>
  <c r="L933" i="1"/>
  <c r="M960" i="1"/>
  <c r="L960" i="1"/>
  <c r="M1145" i="1"/>
  <c r="L1145" i="1"/>
  <c r="M1157" i="1"/>
  <c r="L1157" i="1"/>
  <c r="M1169" i="1"/>
  <c r="L1169" i="1"/>
  <c r="M1226" i="1"/>
  <c r="L1226" i="1"/>
  <c r="M1266" i="1"/>
  <c r="L1266" i="1"/>
  <c r="M1295" i="1"/>
  <c r="L1295" i="1"/>
  <c r="M1378" i="1"/>
  <c r="L1378" i="1"/>
  <c r="M1460" i="1"/>
  <c r="L1460" i="1"/>
  <c r="M1496" i="1"/>
  <c r="L1496" i="1"/>
  <c r="M1507" i="1"/>
  <c r="L1507" i="1"/>
  <c r="M1568" i="1"/>
  <c r="L1568" i="1"/>
  <c r="M1580" i="1"/>
  <c r="L1580" i="1"/>
  <c r="M1604" i="1"/>
  <c r="L1604" i="1"/>
  <c r="M1628" i="1"/>
  <c r="L1628" i="1"/>
  <c r="M1640" i="1"/>
  <c r="L1640" i="1"/>
  <c r="M1664" i="1"/>
  <c r="L1664" i="1"/>
  <c r="M1688" i="1"/>
  <c r="L1688" i="1"/>
  <c r="M1700" i="1"/>
  <c r="L1700" i="1"/>
  <c r="M1747" i="1"/>
  <c r="L1747" i="1"/>
  <c r="M1782" i="1"/>
  <c r="L1782" i="1"/>
  <c r="M1825" i="1"/>
  <c r="L1825" i="1"/>
  <c r="M1937" i="1"/>
  <c r="L1937" i="1"/>
  <c r="M2246" i="1"/>
  <c r="L2246" i="1"/>
  <c r="M2262" i="1"/>
  <c r="L2262" i="1"/>
  <c r="M2375" i="1"/>
  <c r="L2375" i="1"/>
  <c r="M2625" i="1"/>
  <c r="L2625" i="1"/>
  <c r="M2766" i="1"/>
  <c r="L2766" i="1"/>
  <c r="M2925" i="1"/>
  <c r="L2925" i="1"/>
  <c r="M2979" i="1"/>
  <c r="L2979" i="1"/>
  <c r="M3212" i="1"/>
  <c r="L3212" i="1"/>
  <c r="M858" i="1"/>
  <c r="L858" i="1"/>
  <c r="M953" i="1"/>
  <c r="L953" i="1"/>
  <c r="M1190" i="1"/>
  <c r="L1190" i="1"/>
  <c r="M1415" i="1"/>
  <c r="L1415" i="1"/>
  <c r="M1537" i="1"/>
  <c r="L1537" i="1"/>
  <c r="M1621" i="1"/>
  <c r="L1621" i="1"/>
  <c r="M1832" i="1"/>
  <c r="L1832" i="1"/>
  <c r="M2034" i="1"/>
  <c r="L2034" i="1"/>
  <c r="M2320" i="1"/>
  <c r="L2320" i="1"/>
  <c r="M1207" i="1"/>
  <c r="L1207" i="1"/>
  <c r="M1575" i="1"/>
  <c r="L1575" i="1"/>
  <c r="M1835" i="1"/>
  <c r="L1835" i="1"/>
  <c r="M2281" i="1"/>
  <c r="L2281" i="1"/>
  <c r="M854" i="1"/>
  <c r="L854" i="1"/>
  <c r="M895" i="1"/>
  <c r="L895" i="1"/>
  <c r="M908" i="1"/>
  <c r="L908" i="1"/>
  <c r="M1013" i="1"/>
  <c r="L1013" i="1"/>
  <c r="M1052" i="1"/>
  <c r="L1052" i="1"/>
  <c r="M1079" i="1"/>
  <c r="L1079" i="1"/>
  <c r="M1120" i="1"/>
  <c r="L1120" i="1"/>
  <c r="M1267" i="1"/>
  <c r="L1267" i="1"/>
  <c r="M1325" i="1"/>
  <c r="L1325" i="1"/>
  <c r="M1350" i="1"/>
  <c r="L1350" i="1"/>
  <c r="M1411" i="1"/>
  <c r="L1411" i="1"/>
  <c r="M1422" i="1"/>
  <c r="L1422" i="1"/>
  <c r="M1435" i="1"/>
  <c r="L1435" i="1"/>
  <c r="M1461" i="1"/>
  <c r="L1461" i="1"/>
  <c r="M1473" i="1"/>
  <c r="L1473" i="1"/>
  <c r="M1508" i="1"/>
  <c r="L1508" i="1"/>
  <c r="M1520" i="1"/>
  <c r="L1520" i="1"/>
  <c r="M1544" i="1"/>
  <c r="L1544" i="1"/>
  <c r="M1641" i="1"/>
  <c r="L1641" i="1"/>
  <c r="M1652" i="1"/>
  <c r="L1652" i="1"/>
  <c r="M1689" i="1"/>
  <c r="L1689" i="1"/>
  <c r="M1712" i="1"/>
  <c r="L1712" i="1"/>
  <c r="M1725" i="1"/>
  <c r="L1725" i="1"/>
  <c r="M1771" i="1"/>
  <c r="L1771" i="1"/>
  <c r="M1867" i="1"/>
  <c r="L1867" i="1"/>
  <c r="M1977" i="1"/>
  <c r="L1977" i="1"/>
  <c r="M1992" i="1"/>
  <c r="L1992" i="1"/>
  <c r="M2247" i="1"/>
  <c r="L2247" i="1"/>
  <c r="M2364" i="1"/>
  <c r="L2364" i="1"/>
  <c r="M2403" i="1"/>
  <c r="L2403" i="1"/>
  <c r="M2429" i="1"/>
  <c r="L2429" i="1"/>
  <c r="M2806" i="1"/>
  <c r="L2806" i="1"/>
  <c r="M3256" i="1"/>
  <c r="L3256" i="1"/>
  <c r="M1141" i="1"/>
  <c r="L1141" i="1"/>
  <c r="M1468" i="1"/>
  <c r="L1468" i="1"/>
  <c r="M2936" i="1"/>
  <c r="L2936" i="1"/>
  <c r="M881" i="1"/>
  <c r="L881" i="1"/>
  <c r="M962" i="1"/>
  <c r="L962" i="1"/>
  <c r="M977" i="1"/>
  <c r="L977" i="1"/>
  <c r="M1001" i="1"/>
  <c r="L1001" i="1"/>
  <c r="M1014" i="1"/>
  <c r="L1014" i="1"/>
  <c r="M1028" i="1"/>
  <c r="L1028" i="1"/>
  <c r="M1080" i="1"/>
  <c r="L1080" i="1"/>
  <c r="M1121" i="1"/>
  <c r="L1121" i="1"/>
  <c r="M1135" i="1"/>
  <c r="L1135" i="1"/>
  <c r="M1186" i="1"/>
  <c r="L1186" i="1"/>
  <c r="M1254" i="1"/>
  <c r="L1254" i="1"/>
  <c r="M1282" i="1"/>
  <c r="L1282" i="1"/>
  <c r="M1297" i="1"/>
  <c r="L1297" i="1"/>
  <c r="M1351" i="1"/>
  <c r="L1351" i="1"/>
  <c r="M1423" i="1"/>
  <c r="L1423" i="1"/>
  <c r="M1436" i="1"/>
  <c r="L1436" i="1"/>
  <c r="M1448" i="1"/>
  <c r="L1448" i="1"/>
  <c r="M1485" i="1"/>
  <c r="L1485" i="1"/>
  <c r="M1521" i="1"/>
  <c r="L1521" i="1"/>
  <c r="M1545" i="1"/>
  <c r="L1545" i="1"/>
  <c r="M1557" i="1"/>
  <c r="L1557" i="1"/>
  <c r="M1593" i="1"/>
  <c r="L1593" i="1"/>
  <c r="M1617" i="1"/>
  <c r="L1617" i="1"/>
  <c r="M1653" i="1"/>
  <c r="L1653" i="1"/>
  <c r="M1713" i="1"/>
  <c r="L1713" i="1"/>
  <c r="M1784" i="1"/>
  <c r="L1784" i="1"/>
  <c r="M1813" i="1"/>
  <c r="L1813" i="1"/>
  <c r="M1841" i="1"/>
  <c r="L1841" i="1"/>
  <c r="M1926" i="1"/>
  <c r="L1926" i="1"/>
  <c r="M1939" i="1"/>
  <c r="L1939" i="1"/>
  <c r="M1965" i="1"/>
  <c r="L1965" i="1"/>
  <c r="M2058" i="1"/>
  <c r="L2058" i="1"/>
  <c r="M2076" i="1"/>
  <c r="L2076" i="1"/>
  <c r="M2110" i="1"/>
  <c r="L2110" i="1"/>
  <c r="M2138" i="1"/>
  <c r="L2138" i="1"/>
  <c r="L2301" i="1"/>
  <c r="M2301" i="1"/>
  <c r="M2655" i="1"/>
  <c r="L2655" i="1"/>
  <c r="M912" i="1"/>
  <c r="L912" i="1"/>
  <c r="M1597" i="1"/>
  <c r="L1597" i="1"/>
  <c r="M1955" i="1"/>
  <c r="L1955" i="1"/>
  <c r="M2253" i="1"/>
  <c r="L2253" i="1"/>
  <c r="M1179" i="1"/>
  <c r="L1179" i="1"/>
  <c r="M1527" i="1"/>
  <c r="L1527" i="1"/>
  <c r="M1611" i="1"/>
  <c r="L1611" i="1"/>
  <c r="M1707" i="1"/>
  <c r="L1707" i="1"/>
  <c r="M1998" i="1"/>
  <c r="L1998" i="1"/>
  <c r="M855" i="1"/>
  <c r="L855" i="1"/>
  <c r="M896" i="1"/>
  <c r="L896" i="1"/>
  <c r="L936" i="1"/>
  <c r="M936" i="1"/>
  <c r="M950" i="1"/>
  <c r="L950" i="1"/>
  <c r="M963" i="1"/>
  <c r="L963" i="1"/>
  <c r="M1015" i="1"/>
  <c r="L1015" i="1"/>
  <c r="M1041" i="1"/>
  <c r="L1041" i="1"/>
  <c r="M1066" i="1"/>
  <c r="L1066" i="1"/>
  <c r="M1107" i="1"/>
  <c r="L1107" i="1"/>
  <c r="L1122" i="1"/>
  <c r="M1122" i="1"/>
  <c r="M1187" i="1"/>
  <c r="L1187" i="1"/>
  <c r="M1215" i="1"/>
  <c r="L1215" i="1"/>
  <c r="M1269" i="1"/>
  <c r="L1269" i="1"/>
  <c r="M1283" i="1"/>
  <c r="L1283" i="1"/>
  <c r="M1366" i="1"/>
  <c r="L1366" i="1"/>
  <c r="M1397" i="1"/>
  <c r="L1397" i="1"/>
  <c r="M1424" i="1"/>
  <c r="L1424" i="1"/>
  <c r="M1449" i="1"/>
  <c r="L1449" i="1"/>
  <c r="M1463" i="1"/>
  <c r="L1463" i="1"/>
  <c r="M1474" i="1"/>
  <c r="L1474" i="1"/>
  <c r="M1486" i="1"/>
  <c r="L1486" i="1"/>
  <c r="M1533" i="1"/>
  <c r="L1533" i="1"/>
  <c r="M1546" i="1"/>
  <c r="L1546" i="1"/>
  <c r="M1570" i="1"/>
  <c r="L1570" i="1"/>
  <c r="M1594" i="1"/>
  <c r="L1594" i="1"/>
  <c r="M1606" i="1"/>
  <c r="L1606" i="1"/>
  <c r="M1630" i="1"/>
  <c r="L1630" i="1"/>
  <c r="L1666" i="1"/>
  <c r="M1666" i="1"/>
  <c r="M1702" i="1"/>
  <c r="L1702" i="1"/>
  <c r="M1714" i="1"/>
  <c r="L1714" i="1"/>
  <c r="M1738" i="1"/>
  <c r="L1738" i="1"/>
  <c r="M1761" i="1"/>
  <c r="L1761" i="1"/>
  <c r="M1772" i="1"/>
  <c r="L1772" i="1"/>
  <c r="M1800" i="1"/>
  <c r="L1800" i="1"/>
  <c r="M1814" i="1"/>
  <c r="L1814" i="1"/>
  <c r="M1828" i="1"/>
  <c r="L1828" i="1"/>
  <c r="M1842" i="1"/>
  <c r="L1842" i="1"/>
  <c r="M1855" i="1"/>
  <c r="L1855" i="1"/>
  <c r="M1915" i="1"/>
  <c r="L1915" i="1"/>
  <c r="M1927" i="1"/>
  <c r="L1927" i="1"/>
  <c r="M1940" i="1"/>
  <c r="L1940" i="1"/>
  <c r="M1966" i="1"/>
  <c r="L1966" i="1"/>
  <c r="M1979" i="1"/>
  <c r="L1979" i="1"/>
  <c r="M2043" i="1"/>
  <c r="L2043" i="1"/>
  <c r="M2127" i="1"/>
  <c r="L2127" i="1"/>
  <c r="M2139" i="1"/>
  <c r="L2139" i="1"/>
  <c r="M2203" i="1"/>
  <c r="L2203" i="1"/>
  <c r="M2302" i="1"/>
  <c r="L2302" i="1"/>
  <c r="M2500" i="1"/>
  <c r="L2500" i="1"/>
  <c r="M2554" i="1"/>
  <c r="L2554" i="1"/>
  <c r="M2583" i="1"/>
  <c r="L2583" i="1"/>
  <c r="M2612" i="1"/>
  <c r="L2612" i="1"/>
  <c r="M3229" i="1"/>
  <c r="L3229" i="1"/>
  <c r="M853" i="1"/>
  <c r="L853" i="1"/>
  <c r="M861" i="1"/>
  <c r="L861" i="1"/>
  <c r="M872" i="1"/>
  <c r="L872" i="1"/>
  <c r="M894" i="1"/>
  <c r="L894" i="1"/>
  <c r="M904" i="1"/>
  <c r="L904" i="1"/>
  <c r="M937" i="1"/>
  <c r="L937" i="1"/>
  <c r="M967" i="1"/>
  <c r="L967" i="1"/>
  <c r="M988" i="1"/>
  <c r="L988" i="1"/>
  <c r="M998" i="1"/>
  <c r="L998" i="1"/>
  <c r="M1019" i="1"/>
  <c r="L1019" i="1"/>
  <c r="M1030" i="1"/>
  <c r="L1030" i="1"/>
  <c r="M1040" i="1"/>
  <c r="L1040" i="1"/>
  <c r="M1049" i="1"/>
  <c r="L1049" i="1"/>
  <c r="M1070" i="1"/>
  <c r="L1070" i="1"/>
  <c r="M1081" i="1"/>
  <c r="L1081" i="1"/>
  <c r="M1104" i="1"/>
  <c r="L1104" i="1"/>
  <c r="M1114" i="1"/>
  <c r="L1114" i="1"/>
  <c r="M1134" i="1"/>
  <c r="L1134" i="1"/>
  <c r="M1143" i="1"/>
  <c r="L1143" i="1"/>
  <c r="M1176" i="1"/>
  <c r="L1176" i="1"/>
  <c r="M1188" i="1"/>
  <c r="L1188" i="1"/>
  <c r="M1200" i="1"/>
  <c r="L1200" i="1"/>
  <c r="M1212" i="1"/>
  <c r="L1212" i="1"/>
  <c r="M1223" i="1"/>
  <c r="L1223" i="1"/>
  <c r="M1234" i="1"/>
  <c r="L1234" i="1"/>
  <c r="M1257" i="1"/>
  <c r="L1257" i="1"/>
  <c r="M1268" i="1"/>
  <c r="L1268" i="1"/>
  <c r="M1279" i="1"/>
  <c r="L1279" i="1"/>
  <c r="M1290" i="1"/>
  <c r="L1290" i="1"/>
  <c r="M1302" i="1"/>
  <c r="L1302" i="1"/>
  <c r="M1348" i="1"/>
  <c r="L1348" i="1"/>
  <c r="M1359" i="1"/>
  <c r="L1359" i="1"/>
  <c r="M1370" i="1"/>
  <c r="L1370" i="1"/>
  <c r="M1385" i="1"/>
  <c r="L1385" i="1"/>
  <c r="M1398" i="1"/>
  <c r="L1398" i="1"/>
  <c r="M1428" i="1"/>
  <c r="L1428" i="1"/>
  <c r="M1454" i="1"/>
  <c r="L1454" i="1"/>
  <c r="M1472" i="1"/>
  <c r="L1472" i="1"/>
  <c r="M1480" i="1"/>
  <c r="L1480" i="1"/>
  <c r="M1488" i="1"/>
  <c r="L1488" i="1"/>
  <c r="M1505" i="1"/>
  <c r="L1505" i="1"/>
  <c r="M1513" i="1"/>
  <c r="L1513" i="1"/>
  <c r="M1522" i="1"/>
  <c r="L1522" i="1"/>
  <c r="M1539" i="1"/>
  <c r="L1539" i="1"/>
  <c r="M1547" i="1"/>
  <c r="L1547" i="1"/>
  <c r="M1556" i="1"/>
  <c r="L1556" i="1"/>
  <c r="M1573" i="1"/>
  <c r="L1573" i="1"/>
  <c r="M1581" i="1"/>
  <c r="L1581" i="1"/>
  <c r="M1616" i="1"/>
  <c r="L1616" i="1"/>
  <c r="M1625" i="1"/>
  <c r="L1625" i="1"/>
  <c r="M1684" i="1"/>
  <c r="L1684" i="1"/>
  <c r="M1701" i="1"/>
  <c r="L1701" i="1"/>
  <c r="M1709" i="1"/>
  <c r="L1709" i="1"/>
  <c r="M1752" i="1"/>
  <c r="L1752" i="1"/>
  <c r="M1770" i="1"/>
  <c r="L1770" i="1"/>
  <c r="M1779" i="1"/>
  <c r="L1779" i="1"/>
  <c r="M1792" i="1"/>
  <c r="L1792" i="1"/>
  <c r="M1827" i="1"/>
  <c r="L1827" i="1"/>
  <c r="M1858" i="1"/>
  <c r="L1858" i="1"/>
  <c r="M1872" i="1"/>
  <c r="L1872" i="1"/>
  <c r="M1885" i="1"/>
  <c r="L1885" i="1"/>
  <c r="M1898" i="1"/>
  <c r="L1898" i="1"/>
  <c r="M1912" i="1"/>
  <c r="L1912" i="1"/>
  <c r="M1923" i="1"/>
  <c r="L1923" i="1"/>
  <c r="M1933" i="1"/>
  <c r="L1933" i="1"/>
  <c r="M1943" i="1"/>
  <c r="L1943" i="1"/>
  <c r="M1963" i="1"/>
  <c r="L1963" i="1"/>
  <c r="M1975" i="1"/>
  <c r="L1975" i="1"/>
  <c r="M1987" i="1"/>
  <c r="L1987" i="1"/>
  <c r="M2054" i="1"/>
  <c r="L2054" i="1"/>
  <c r="L2082" i="1"/>
  <c r="M2082" i="1"/>
  <c r="M2096" i="1"/>
  <c r="L2096" i="1"/>
  <c r="M2111" i="1"/>
  <c r="L2111" i="1"/>
  <c r="M2126" i="1"/>
  <c r="L2126" i="1"/>
  <c r="M2148" i="1"/>
  <c r="L2148" i="1"/>
  <c r="M2158" i="1"/>
  <c r="L2158" i="1"/>
  <c r="M2170" i="1"/>
  <c r="L2170" i="1"/>
  <c r="M2181" i="1"/>
  <c r="L2181" i="1"/>
  <c r="M2192" i="1"/>
  <c r="L2192" i="1"/>
  <c r="M2204" i="1"/>
  <c r="L2204" i="1"/>
  <c r="M2216" i="1"/>
  <c r="L2216" i="1"/>
  <c r="M2228" i="1"/>
  <c r="L2228" i="1"/>
  <c r="M2242" i="1"/>
  <c r="L2242" i="1"/>
  <c r="M2254" i="1"/>
  <c r="L2254" i="1"/>
  <c r="M2277" i="1"/>
  <c r="L2277" i="1"/>
  <c r="M2310" i="1"/>
  <c r="L2310" i="1"/>
  <c r="M2332" i="1"/>
  <c r="L2332" i="1"/>
  <c r="M2342" i="1"/>
  <c r="L2342" i="1"/>
  <c r="M2355" i="1"/>
  <c r="L2355" i="1"/>
  <c r="M2365" i="1"/>
  <c r="L2365" i="1"/>
  <c r="M2390" i="1"/>
  <c r="L2390" i="1"/>
  <c r="M2433" i="1"/>
  <c r="L2433" i="1"/>
  <c r="M2460" i="1"/>
  <c r="L2460" i="1"/>
  <c r="M2473" i="1"/>
  <c r="L2473" i="1"/>
  <c r="M2485" i="1"/>
  <c r="L2485" i="1"/>
  <c r="M2550" i="1"/>
  <c r="L2550" i="1"/>
  <c r="M2578" i="1"/>
  <c r="L2578" i="1"/>
  <c r="M2592" i="1"/>
  <c r="L2592" i="1"/>
  <c r="M2606" i="1"/>
  <c r="L2606" i="1"/>
  <c r="M2620" i="1"/>
  <c r="L2620" i="1"/>
  <c r="M2694" i="1"/>
  <c r="L2694" i="1"/>
  <c r="M2730" i="1"/>
  <c r="L2730" i="1"/>
  <c r="M2742" i="1"/>
  <c r="L2742" i="1"/>
  <c r="M2800" i="1"/>
  <c r="L2800" i="1"/>
  <c r="M2848" i="1"/>
  <c r="L2848" i="1"/>
  <c r="M2877" i="1"/>
  <c r="L2877" i="1"/>
  <c r="M2943" i="1"/>
  <c r="L2943" i="1"/>
  <c r="M2991" i="1"/>
  <c r="L2991" i="1"/>
  <c r="M3019" i="1"/>
  <c r="L3019" i="1"/>
  <c r="M3049" i="1"/>
  <c r="L3049" i="1"/>
  <c r="M3063" i="1"/>
  <c r="L3063" i="1"/>
  <c r="M3128" i="1"/>
  <c r="L3128" i="1"/>
  <c r="M3140" i="1"/>
  <c r="L3140" i="1"/>
  <c r="M3178" i="1"/>
  <c r="L3178" i="1"/>
  <c r="M3242" i="1"/>
  <c r="L3242" i="1"/>
  <c r="M3268" i="1"/>
  <c r="L3268" i="1"/>
  <c r="M3337" i="1"/>
  <c r="L3337" i="1"/>
  <c r="L3014" i="1"/>
  <c r="L2917" i="1"/>
  <c r="L2684" i="1"/>
  <c r="L2558" i="1"/>
  <c r="L2388" i="1"/>
  <c r="L2185" i="1"/>
  <c r="L1902" i="1"/>
  <c r="L1582" i="1"/>
  <c r="M873" i="1"/>
  <c r="L873" i="1"/>
  <c r="M883" i="1"/>
  <c r="L883" i="1"/>
  <c r="M905" i="1"/>
  <c r="L905" i="1"/>
  <c r="M915" i="1"/>
  <c r="L915" i="1"/>
  <c r="M926" i="1"/>
  <c r="L926" i="1"/>
  <c r="M948" i="1"/>
  <c r="L948" i="1"/>
  <c r="M958" i="1"/>
  <c r="L958" i="1"/>
  <c r="M979" i="1"/>
  <c r="L979" i="1"/>
  <c r="M989" i="1"/>
  <c r="L989" i="1"/>
  <c r="M999" i="1"/>
  <c r="L999" i="1"/>
  <c r="M1011" i="1"/>
  <c r="L1011" i="1"/>
  <c r="M1020" i="1"/>
  <c r="L1020" i="1"/>
  <c r="M1061" i="1"/>
  <c r="L1061" i="1"/>
  <c r="M1071" i="1"/>
  <c r="L1071" i="1"/>
  <c r="M1082" i="1"/>
  <c r="L1082" i="1"/>
  <c r="M1093" i="1"/>
  <c r="L1093" i="1"/>
  <c r="M1124" i="1"/>
  <c r="L1124" i="1"/>
  <c r="M1154" i="1"/>
  <c r="L1154" i="1"/>
  <c r="M1177" i="1"/>
  <c r="L1177" i="1"/>
  <c r="M1213" i="1"/>
  <c r="L1213" i="1"/>
  <c r="M1224" i="1"/>
  <c r="L1224" i="1"/>
  <c r="M1246" i="1"/>
  <c r="L1246" i="1"/>
  <c r="M1258" i="1"/>
  <c r="L1258" i="1"/>
  <c r="M1280" i="1"/>
  <c r="L1280" i="1"/>
  <c r="M1291" i="1"/>
  <c r="L1291" i="1"/>
  <c r="M1315" i="1"/>
  <c r="L1315" i="1"/>
  <c r="M1326" i="1"/>
  <c r="L1326" i="1"/>
  <c r="M1338" i="1"/>
  <c r="L1338" i="1"/>
  <c r="M1360" i="1"/>
  <c r="L1360" i="1"/>
  <c r="M1371" i="1"/>
  <c r="L1371" i="1"/>
  <c r="M1386" i="1"/>
  <c r="L1386" i="1"/>
  <c r="M1412" i="1"/>
  <c r="L1412" i="1"/>
  <c r="M1420" i="1"/>
  <c r="L1420" i="1"/>
  <c r="M1437" i="1"/>
  <c r="L1437" i="1"/>
  <c r="M1446" i="1"/>
  <c r="L1446" i="1"/>
  <c r="M1455" i="1"/>
  <c r="L1455" i="1"/>
  <c r="M1464" i="1"/>
  <c r="L1464" i="1"/>
  <c r="M1497" i="1"/>
  <c r="L1497" i="1"/>
  <c r="M1531" i="1"/>
  <c r="L1531" i="1"/>
  <c r="M1565" i="1"/>
  <c r="L1565" i="1"/>
  <c r="M1591" i="1"/>
  <c r="L1591" i="1"/>
  <c r="M1608" i="1"/>
  <c r="L1608" i="1"/>
  <c r="M1634" i="1"/>
  <c r="L1634" i="1"/>
  <c r="M1642" i="1"/>
  <c r="L1642" i="1"/>
  <c r="M1650" i="1"/>
  <c r="L1650" i="1"/>
  <c r="M1659" i="1"/>
  <c r="L1659" i="1"/>
  <c r="M1668" i="1"/>
  <c r="L1668" i="1"/>
  <c r="M1676" i="1"/>
  <c r="L1676" i="1"/>
  <c r="M1693" i="1"/>
  <c r="L1693" i="1"/>
  <c r="M1710" i="1"/>
  <c r="L1710" i="1"/>
  <c r="M1719" i="1"/>
  <c r="L1719" i="1"/>
  <c r="M1728" i="1"/>
  <c r="L1728" i="1"/>
  <c r="M1736" i="1"/>
  <c r="L1736" i="1"/>
  <c r="M1744" i="1"/>
  <c r="L1744" i="1"/>
  <c r="M1762" i="1"/>
  <c r="L1762" i="1"/>
  <c r="M1780" i="1"/>
  <c r="L1780" i="1"/>
  <c r="M1793" i="1"/>
  <c r="L1793" i="1"/>
  <c r="M1805" i="1"/>
  <c r="L1805" i="1"/>
  <c r="M1816" i="1"/>
  <c r="L1816" i="1"/>
  <c r="M1839" i="1"/>
  <c r="L1839" i="1"/>
  <c r="M1849" i="1"/>
  <c r="L1849" i="1"/>
  <c r="M1886" i="1"/>
  <c r="L1886" i="1"/>
  <c r="M1953" i="1"/>
  <c r="L1953" i="1"/>
  <c r="M1964" i="1"/>
  <c r="L1964" i="1"/>
  <c r="M1997" i="1"/>
  <c r="L1997" i="1"/>
  <c r="M2007" i="1"/>
  <c r="L2007" i="1"/>
  <c r="M2017" i="1"/>
  <c r="L2017" i="1"/>
  <c r="M2042" i="1"/>
  <c r="L2042" i="1"/>
  <c r="M2068" i="1"/>
  <c r="L2068" i="1"/>
  <c r="M2159" i="1"/>
  <c r="L2159" i="1"/>
  <c r="M2205" i="1"/>
  <c r="L2205" i="1"/>
  <c r="M2217" i="1"/>
  <c r="L2217" i="1"/>
  <c r="M2229" i="1"/>
  <c r="L2229" i="1"/>
  <c r="M2243" i="1"/>
  <c r="L2243" i="1"/>
  <c r="M2267" i="1"/>
  <c r="L2267" i="1"/>
  <c r="M2300" i="1"/>
  <c r="L2300" i="1"/>
  <c r="M2321" i="1"/>
  <c r="L2321" i="1"/>
  <c r="M2333" i="1"/>
  <c r="L2333" i="1"/>
  <c r="M2343" i="1"/>
  <c r="L2343" i="1"/>
  <c r="M2366" i="1"/>
  <c r="L2366" i="1"/>
  <c r="M2376" i="1"/>
  <c r="L2376" i="1"/>
  <c r="M2391" i="1"/>
  <c r="L2391" i="1"/>
  <c r="M2402" i="1"/>
  <c r="L2402" i="1"/>
  <c r="M2412" i="1"/>
  <c r="L2412" i="1"/>
  <c r="M2423" i="1"/>
  <c r="L2423" i="1"/>
  <c r="M2434" i="1"/>
  <c r="L2434" i="1"/>
  <c r="M2446" i="1"/>
  <c r="L2446" i="1"/>
  <c r="L2461" i="1"/>
  <c r="M2461" i="1"/>
  <c r="M2486" i="1"/>
  <c r="L2486" i="1"/>
  <c r="M2514" i="1"/>
  <c r="L2514" i="1"/>
  <c r="M2526" i="1"/>
  <c r="L2526" i="1"/>
  <c r="M2579" i="1"/>
  <c r="L2579" i="1"/>
  <c r="M2607" i="1"/>
  <c r="L2607" i="1"/>
  <c r="M2634" i="1"/>
  <c r="L2634" i="1"/>
  <c r="M2660" i="1"/>
  <c r="L2660" i="1"/>
  <c r="M2671" i="1"/>
  <c r="L2671" i="1"/>
  <c r="M2706" i="1"/>
  <c r="L2706" i="1"/>
  <c r="M2743" i="1"/>
  <c r="L2743" i="1"/>
  <c r="M2790" i="1"/>
  <c r="L2790" i="1"/>
  <c r="M2801" i="1"/>
  <c r="L2801" i="1"/>
  <c r="M2822" i="1"/>
  <c r="L2822" i="1"/>
  <c r="M2834" i="1"/>
  <c r="L2834" i="1"/>
  <c r="M2863" i="1"/>
  <c r="L2863" i="1"/>
  <c r="M2931" i="1"/>
  <c r="L2931" i="1"/>
  <c r="M2956" i="1"/>
  <c r="L2956" i="1"/>
  <c r="M2967" i="1"/>
  <c r="L2967" i="1"/>
  <c r="M2992" i="1"/>
  <c r="L2992" i="1"/>
  <c r="M3020" i="1"/>
  <c r="L3020" i="1"/>
  <c r="M3035" i="1"/>
  <c r="L3035" i="1"/>
  <c r="M3050" i="1"/>
  <c r="L3050" i="1"/>
  <c r="M3079" i="1"/>
  <c r="L3079" i="1"/>
  <c r="M3103" i="1"/>
  <c r="L3103" i="1"/>
  <c r="M3116" i="1"/>
  <c r="L3116" i="1"/>
  <c r="M3141" i="1"/>
  <c r="L3141" i="1"/>
  <c r="M3191" i="1"/>
  <c r="L3191" i="1"/>
  <c r="M3216" i="1"/>
  <c r="L3216" i="1"/>
  <c r="M3243" i="1"/>
  <c r="L3243" i="1"/>
  <c r="M3282" i="1"/>
  <c r="L3282" i="1"/>
  <c r="L3258" i="1"/>
  <c r="L3190" i="1"/>
  <c r="L3093" i="1"/>
  <c r="L3009" i="1"/>
  <c r="L2814" i="1"/>
  <c r="L976" i="1"/>
  <c r="M884" i="1"/>
  <c r="L884" i="1"/>
  <c r="M906" i="1"/>
  <c r="L906" i="1"/>
  <c r="M927" i="1"/>
  <c r="L927" i="1"/>
  <c r="M1021" i="1"/>
  <c r="L1021" i="1"/>
  <c r="M1072" i="1"/>
  <c r="L1072" i="1"/>
  <c r="M1094" i="1"/>
  <c r="L1094" i="1"/>
  <c r="M1125" i="1"/>
  <c r="L1125" i="1"/>
  <c r="M1155" i="1"/>
  <c r="L1155" i="1"/>
  <c r="M1214" i="1"/>
  <c r="L1214" i="1"/>
  <c r="M1247" i="1"/>
  <c r="L1247" i="1"/>
  <c r="M1259" i="1"/>
  <c r="L1259" i="1"/>
  <c r="M1292" i="1"/>
  <c r="L1292" i="1"/>
  <c r="M1316" i="1"/>
  <c r="L1316" i="1"/>
  <c r="M1372" i="1"/>
  <c r="L1372" i="1"/>
  <c r="M1387" i="1"/>
  <c r="L1387" i="1"/>
  <c r="M1438" i="1"/>
  <c r="L1438" i="1"/>
  <c r="M1583" i="1"/>
  <c r="L1583" i="1"/>
  <c r="M1651" i="1"/>
  <c r="L1651" i="1"/>
  <c r="M1794" i="1"/>
  <c r="L1794" i="1"/>
  <c r="M1817" i="1"/>
  <c r="L1817" i="1"/>
  <c r="M1900" i="1"/>
  <c r="L1900" i="1"/>
  <c r="M1913" i="1"/>
  <c r="L1913" i="1"/>
  <c r="M1924" i="1"/>
  <c r="L1924" i="1"/>
  <c r="M1954" i="1"/>
  <c r="L1954" i="1"/>
  <c r="M2160" i="1"/>
  <c r="L2160" i="1"/>
  <c r="M2244" i="1"/>
  <c r="L2244" i="1"/>
  <c r="M2256" i="1"/>
  <c r="L2256" i="1"/>
  <c r="M2268" i="1"/>
  <c r="L2268" i="1"/>
  <c r="M2290" i="1"/>
  <c r="L2290" i="1"/>
  <c r="M2334" i="1"/>
  <c r="L2334" i="1"/>
  <c r="M2344" i="1"/>
  <c r="L2344" i="1"/>
  <c r="M2367" i="1"/>
  <c r="L2367" i="1"/>
  <c r="M2378" i="1"/>
  <c r="L2378" i="1"/>
  <c r="M2424" i="1"/>
  <c r="L2424" i="1"/>
  <c r="M2435" i="1"/>
  <c r="L2435" i="1"/>
  <c r="M2515" i="1"/>
  <c r="L2515" i="1"/>
  <c r="M2552" i="1"/>
  <c r="L2552" i="1"/>
  <c r="M2580" i="1"/>
  <c r="L2580" i="1"/>
  <c r="M2593" i="1"/>
  <c r="L2593" i="1"/>
  <c r="M2622" i="1"/>
  <c r="L2622" i="1"/>
  <c r="M2635" i="1"/>
  <c r="L2635" i="1"/>
  <c r="M2661" i="1"/>
  <c r="L2661" i="1"/>
  <c r="M2683" i="1"/>
  <c r="L2683" i="1"/>
  <c r="M2802" i="1"/>
  <c r="L2802" i="1"/>
  <c r="M2813" i="1"/>
  <c r="L2813" i="1"/>
  <c r="M2823" i="1"/>
  <c r="L2823" i="1"/>
  <c r="L2835" i="1"/>
  <c r="M2835" i="1"/>
  <c r="M2850" i="1"/>
  <c r="L2850" i="1"/>
  <c r="M2904" i="1"/>
  <c r="L2904" i="1"/>
  <c r="M2932" i="1"/>
  <c r="L2932" i="1"/>
  <c r="M2968" i="1"/>
  <c r="L2968" i="1"/>
  <c r="M3006" i="1"/>
  <c r="L3006" i="1"/>
  <c r="M3021" i="1"/>
  <c r="L3021" i="1"/>
  <c r="M3051" i="1"/>
  <c r="L3051" i="1"/>
  <c r="M3104" i="1"/>
  <c r="L3104" i="1"/>
  <c r="L3130" i="1"/>
  <c r="M3130" i="1"/>
  <c r="M3142" i="1"/>
  <c r="L3142" i="1"/>
  <c r="M3167" i="1"/>
  <c r="L3167" i="1"/>
  <c r="M3270" i="1"/>
  <c r="L3270" i="1"/>
  <c r="M3338" i="1"/>
  <c r="L3338" i="1"/>
  <c r="L3092" i="1"/>
  <c r="L2793" i="1"/>
  <c r="L2678" i="1"/>
  <c r="L2540" i="1"/>
  <c r="L2361" i="1"/>
  <c r="L2137" i="1"/>
  <c r="M874" i="1"/>
  <c r="L874" i="1"/>
  <c r="M885" i="1"/>
  <c r="L885" i="1"/>
  <c r="M916" i="1"/>
  <c r="L916" i="1"/>
  <c r="M928" i="1"/>
  <c r="L928" i="1"/>
  <c r="M940" i="1"/>
  <c r="L940" i="1"/>
  <c r="M949" i="1"/>
  <c r="L949" i="1"/>
  <c r="M959" i="1"/>
  <c r="L959" i="1"/>
  <c r="M969" i="1"/>
  <c r="L969" i="1"/>
  <c r="M980" i="1"/>
  <c r="L980" i="1"/>
  <c r="M990" i="1"/>
  <c r="L990" i="1"/>
  <c r="M1000" i="1"/>
  <c r="L1000" i="1"/>
  <c r="M1012" i="1"/>
  <c r="L1012" i="1"/>
  <c r="M1022" i="1"/>
  <c r="L1022" i="1"/>
  <c r="M1051" i="1"/>
  <c r="L1051" i="1"/>
  <c r="M1062" i="1"/>
  <c r="L1062" i="1"/>
  <c r="M1083" i="1"/>
  <c r="L1083" i="1"/>
  <c r="M1095" i="1"/>
  <c r="L1095" i="1"/>
  <c r="M1106" i="1"/>
  <c r="L1106" i="1"/>
  <c r="M1126" i="1"/>
  <c r="L1126" i="1"/>
  <c r="M1165" i="1"/>
  <c r="L1165" i="1"/>
  <c r="M1178" i="1"/>
  <c r="L1178" i="1"/>
  <c r="M1202" i="1"/>
  <c r="L1202" i="1"/>
  <c r="M1225" i="1"/>
  <c r="L1225" i="1"/>
  <c r="M1236" i="1"/>
  <c r="L1236" i="1"/>
  <c r="M1248" i="1"/>
  <c r="L1248" i="1"/>
  <c r="M1260" i="1"/>
  <c r="L1260" i="1"/>
  <c r="M1270" i="1"/>
  <c r="L1270" i="1"/>
  <c r="M1293" i="1"/>
  <c r="L1293" i="1"/>
  <c r="M1304" i="1"/>
  <c r="L1304" i="1"/>
  <c r="M1317" i="1"/>
  <c r="L1317" i="1"/>
  <c r="M1327" i="1"/>
  <c r="L1327" i="1"/>
  <c r="M1339" i="1"/>
  <c r="L1339" i="1"/>
  <c r="M1361" i="1"/>
  <c r="L1361" i="1"/>
  <c r="M1373" i="1"/>
  <c r="L1373" i="1"/>
  <c r="M1388" i="1"/>
  <c r="L1388" i="1"/>
  <c r="M1400" i="1"/>
  <c r="L1400" i="1"/>
  <c r="M1421" i="1"/>
  <c r="L1421" i="1"/>
  <c r="M1430" i="1"/>
  <c r="L1430" i="1"/>
  <c r="M1439" i="1"/>
  <c r="L1439" i="1"/>
  <c r="M1447" i="1"/>
  <c r="L1447" i="1"/>
  <c r="M1456" i="1"/>
  <c r="L1456" i="1"/>
  <c r="M1465" i="1"/>
  <c r="L1465" i="1"/>
  <c r="M1532" i="1"/>
  <c r="L1532" i="1"/>
  <c r="M1558" i="1"/>
  <c r="L1558" i="1"/>
  <c r="M1566" i="1"/>
  <c r="L1566" i="1"/>
  <c r="M1592" i="1"/>
  <c r="L1592" i="1"/>
  <c r="M1601" i="1"/>
  <c r="L1601" i="1"/>
  <c r="M1609" i="1"/>
  <c r="L1609" i="1"/>
  <c r="M1635" i="1"/>
  <c r="L1635" i="1"/>
  <c r="M1643" i="1"/>
  <c r="L1643" i="1"/>
  <c r="M1660" i="1"/>
  <c r="L1660" i="1"/>
  <c r="M1669" i="1"/>
  <c r="L1669" i="1"/>
  <c r="M1677" i="1"/>
  <c r="L1677" i="1"/>
  <c r="M1694" i="1"/>
  <c r="L1694" i="1"/>
  <c r="M1711" i="1"/>
  <c r="L1711" i="1"/>
  <c r="M1720" i="1"/>
  <c r="L1720" i="1"/>
  <c r="M1729" i="1"/>
  <c r="L1729" i="1"/>
  <c r="M1737" i="1"/>
  <c r="L1737" i="1"/>
  <c r="M1745" i="1"/>
  <c r="L1745" i="1"/>
  <c r="M1763" i="1"/>
  <c r="L1763" i="1"/>
  <c r="M1781" i="1"/>
  <c r="L1781" i="1"/>
  <c r="M1795" i="1"/>
  <c r="L1795" i="1"/>
  <c r="M1806" i="1"/>
  <c r="L1806" i="1"/>
  <c r="M1840" i="1"/>
  <c r="L1840" i="1"/>
  <c r="M1850" i="1"/>
  <c r="L1850" i="1"/>
  <c r="M1860" i="1"/>
  <c r="L1860" i="1"/>
  <c r="M1874" i="1"/>
  <c r="L1874" i="1"/>
  <c r="M1888" i="1"/>
  <c r="L1888" i="1"/>
  <c r="M1925" i="1"/>
  <c r="L1925" i="1"/>
  <c r="L2018" i="1"/>
  <c r="M2018" i="1"/>
  <c r="M2032" i="1"/>
  <c r="L2032" i="1"/>
  <c r="M2056" i="1"/>
  <c r="L2056" i="1"/>
  <c r="L2098" i="1"/>
  <c r="M2098" i="1"/>
  <c r="M2172" i="1"/>
  <c r="L2172" i="1"/>
  <c r="M2194" i="1"/>
  <c r="L2194" i="1"/>
  <c r="M2206" i="1"/>
  <c r="L2206" i="1"/>
  <c r="M2218" i="1"/>
  <c r="L2218" i="1"/>
  <c r="M2245" i="1"/>
  <c r="L2245" i="1"/>
  <c r="M2291" i="1"/>
  <c r="L2291" i="1"/>
  <c r="M2345" i="1"/>
  <c r="L2345" i="1"/>
  <c r="M2368" i="1"/>
  <c r="L2368" i="1"/>
  <c r="M2380" i="1"/>
  <c r="L2380" i="1"/>
  <c r="M2425" i="1"/>
  <c r="L2425" i="1"/>
  <c r="M2488" i="1"/>
  <c r="L2488" i="1"/>
  <c r="M2501" i="1"/>
  <c r="L2501" i="1"/>
  <c r="M2528" i="1"/>
  <c r="L2528" i="1"/>
  <c r="M2553" i="1"/>
  <c r="L2553" i="1"/>
  <c r="M2566" i="1"/>
  <c r="L2566" i="1"/>
  <c r="M2594" i="1"/>
  <c r="L2594" i="1"/>
  <c r="M2636" i="1"/>
  <c r="L2636" i="1"/>
  <c r="M2650" i="1"/>
  <c r="L2650" i="1"/>
  <c r="M2662" i="1"/>
  <c r="L2662" i="1"/>
  <c r="M2696" i="1"/>
  <c r="L2696" i="1"/>
  <c r="M2755" i="1"/>
  <c r="L2755" i="1"/>
  <c r="M2777" i="1"/>
  <c r="L2777" i="1"/>
  <c r="M2791" i="1"/>
  <c r="L2791" i="1"/>
  <c r="M2803" i="1"/>
  <c r="L2803" i="1"/>
  <c r="M2879" i="1"/>
  <c r="L2879" i="1"/>
  <c r="M2905" i="1"/>
  <c r="L2905" i="1"/>
  <c r="M2918" i="1"/>
  <c r="L2918" i="1"/>
  <c r="M2933" i="1"/>
  <c r="L2933" i="1"/>
  <c r="M2969" i="1"/>
  <c r="L2969" i="1"/>
  <c r="M2980" i="1"/>
  <c r="L2980" i="1"/>
  <c r="M3007" i="1"/>
  <c r="L3007" i="1"/>
  <c r="M3037" i="1"/>
  <c r="L3037" i="1"/>
  <c r="M3065" i="1"/>
  <c r="L3065" i="1"/>
  <c r="M3168" i="1"/>
  <c r="L3168" i="1"/>
  <c r="M3231" i="1"/>
  <c r="L3231" i="1"/>
  <c r="M3271" i="1"/>
  <c r="L3271" i="1"/>
  <c r="M3325" i="1"/>
  <c r="L3325" i="1"/>
  <c r="L3088" i="1"/>
  <c r="L2900" i="1"/>
  <c r="L2785" i="1"/>
  <c r="L2677" i="1"/>
  <c r="L2130" i="1"/>
  <c r="L1863" i="1"/>
  <c r="L1498" i="1"/>
  <c r="M2357" i="1"/>
  <c r="L2357" i="1"/>
  <c r="M2009" i="1"/>
  <c r="L2009" i="1"/>
  <c r="M2046" i="1"/>
  <c r="L2046" i="1"/>
  <c r="M2072" i="1"/>
  <c r="L2072" i="1"/>
  <c r="M2084" i="1"/>
  <c r="L2084" i="1"/>
  <c r="M2113" i="1"/>
  <c r="L2113" i="1"/>
  <c r="M2128" i="1"/>
  <c r="L2128" i="1"/>
  <c r="M2150" i="1"/>
  <c r="L2150" i="1"/>
  <c r="M2161" i="1"/>
  <c r="L2161" i="1"/>
  <c r="M2195" i="1"/>
  <c r="L2195" i="1"/>
  <c r="M2279" i="1"/>
  <c r="L2279" i="1"/>
  <c r="M2323" i="1"/>
  <c r="L2323" i="1"/>
  <c r="M2346" i="1"/>
  <c r="L2346" i="1"/>
  <c r="M2437" i="1"/>
  <c r="L2437" i="1"/>
  <c r="M2463" i="1"/>
  <c r="L2463" i="1"/>
  <c r="M2476" i="1"/>
  <c r="L2476" i="1"/>
  <c r="M2529" i="1"/>
  <c r="L2529" i="1"/>
  <c r="M2637" i="1"/>
  <c r="L2637" i="1"/>
  <c r="M2685" i="1"/>
  <c r="L2685" i="1"/>
  <c r="M2708" i="1"/>
  <c r="L2708" i="1"/>
  <c r="M2756" i="1"/>
  <c r="L2756" i="1"/>
  <c r="M2804" i="1"/>
  <c r="L2804" i="1"/>
  <c r="M2880" i="1"/>
  <c r="L2880" i="1"/>
  <c r="M2994" i="1"/>
  <c r="L2994" i="1"/>
  <c r="M3094" i="1"/>
  <c r="L3094" i="1"/>
  <c r="M1002" i="1"/>
  <c r="L1002" i="1"/>
  <c r="M1053" i="1"/>
  <c r="L1053" i="1"/>
  <c r="M1180" i="1"/>
  <c r="L1180" i="1"/>
  <c r="M1204" i="1"/>
  <c r="L1204" i="1"/>
  <c r="M1216" i="1"/>
  <c r="L1216" i="1"/>
  <c r="M1329" i="1"/>
  <c r="L1329" i="1"/>
  <c r="M1402" i="1"/>
  <c r="L1402" i="1"/>
  <c r="L1851" i="1"/>
  <c r="M1851" i="1"/>
  <c r="M1946" i="1"/>
  <c r="L1946" i="1"/>
  <c r="M1978" i="1"/>
  <c r="L1978" i="1"/>
  <c r="M2020" i="1"/>
  <c r="L2020" i="1"/>
  <c r="M2129" i="1"/>
  <c r="L2129" i="1"/>
  <c r="M2196" i="1"/>
  <c r="L2196" i="1"/>
  <c r="M2259" i="1"/>
  <c r="L2259" i="1"/>
  <c r="M2280" i="1"/>
  <c r="L2280" i="1"/>
  <c r="M2369" i="1"/>
  <c r="L2369" i="1"/>
  <c r="M2449" i="1"/>
  <c r="L2449" i="1"/>
  <c r="M2503" i="1"/>
  <c r="L2503" i="1"/>
  <c r="M2568" i="1"/>
  <c r="L2568" i="1"/>
  <c r="M2686" i="1"/>
  <c r="L2686" i="1"/>
  <c r="M2747" i="1"/>
  <c r="L2747" i="1"/>
  <c r="M2852" i="1"/>
  <c r="L2852" i="1"/>
  <c r="M2971" i="1"/>
  <c r="L2971" i="1"/>
  <c r="M3039" i="1"/>
  <c r="L3039" i="1"/>
  <c r="M3067" i="1"/>
  <c r="L3067" i="1"/>
  <c r="M3233" i="1"/>
  <c r="L3233" i="1"/>
  <c r="M3327" i="1"/>
  <c r="L3327" i="1"/>
  <c r="M865" i="1"/>
  <c r="L865" i="1"/>
  <c r="M918" i="1"/>
  <c r="L918" i="1"/>
  <c r="M951" i="1"/>
  <c r="L951" i="1"/>
  <c r="M971" i="1"/>
  <c r="L971" i="1"/>
  <c r="M1024" i="1"/>
  <c r="L1024" i="1"/>
  <c r="M1064" i="1"/>
  <c r="L1064" i="1"/>
  <c r="M1085" i="1"/>
  <c r="L1085" i="1"/>
  <c r="M1147" i="1"/>
  <c r="L1147" i="1"/>
  <c r="M1181" i="1"/>
  <c r="L1181" i="1"/>
  <c r="L1192" i="1"/>
  <c r="M1192" i="1"/>
  <c r="M1228" i="1"/>
  <c r="L1228" i="1"/>
  <c r="M1238" i="1"/>
  <c r="L1238" i="1"/>
  <c r="M1262" i="1"/>
  <c r="L1262" i="1"/>
  <c r="M1272" i="1"/>
  <c r="L1272" i="1"/>
  <c r="M1307" i="1"/>
  <c r="L1307" i="1"/>
  <c r="M1319" i="1"/>
  <c r="L1319" i="1"/>
  <c r="M1330" i="1"/>
  <c r="L1330" i="1"/>
  <c r="M1363" i="1"/>
  <c r="L1363" i="1"/>
  <c r="M1376" i="1"/>
  <c r="L1376" i="1"/>
  <c r="M1390" i="1"/>
  <c r="L1390" i="1"/>
  <c r="M1403" i="1"/>
  <c r="L1403" i="1"/>
  <c r="M1662" i="1"/>
  <c r="L1662" i="1"/>
  <c r="M1765" i="1"/>
  <c r="L1765" i="1"/>
  <c r="M1774" i="1"/>
  <c r="L1774" i="1"/>
  <c r="L1797" i="1"/>
  <c r="M1797" i="1"/>
  <c r="M1820" i="1"/>
  <c r="L1820" i="1"/>
  <c r="M1852" i="1"/>
  <c r="L1852" i="1"/>
  <c r="M1890" i="1"/>
  <c r="L1890" i="1"/>
  <c r="M1903" i="1"/>
  <c r="L1903" i="1"/>
  <c r="M2021" i="1"/>
  <c r="L2021" i="1"/>
  <c r="M2074" i="1"/>
  <c r="L2074" i="1"/>
  <c r="M2115" i="1"/>
  <c r="L2115" i="1"/>
  <c r="M2140" i="1"/>
  <c r="L2140" i="1"/>
  <c r="M2151" i="1"/>
  <c r="L2151" i="1"/>
  <c r="M2162" i="1"/>
  <c r="L2162" i="1"/>
  <c r="M2174" i="1"/>
  <c r="L2174" i="1"/>
  <c r="M2221" i="1"/>
  <c r="L2221" i="1"/>
  <c r="M2233" i="1"/>
  <c r="L2233" i="1"/>
  <c r="M2336" i="1"/>
  <c r="L2336" i="1"/>
  <c r="M2348" i="1"/>
  <c r="L2348" i="1"/>
  <c r="M2359" i="1"/>
  <c r="L2359" i="1"/>
  <c r="M2382" i="1"/>
  <c r="L2382" i="1"/>
  <c r="M2395" i="1"/>
  <c r="L2395" i="1"/>
  <c r="M2415" i="1"/>
  <c r="L2415" i="1"/>
  <c r="M2450" i="1"/>
  <c r="L2450" i="1"/>
  <c r="M2464" i="1"/>
  <c r="L2464" i="1"/>
  <c r="M2477" i="1"/>
  <c r="L2477" i="1"/>
  <c r="M2530" i="1"/>
  <c r="L2530" i="1"/>
  <c r="M2639" i="1"/>
  <c r="L2639" i="1"/>
  <c r="M2653" i="1"/>
  <c r="L2653" i="1"/>
  <c r="M2710" i="1"/>
  <c r="L2710" i="1"/>
  <c r="M2722" i="1"/>
  <c r="L2722" i="1"/>
  <c r="M2748" i="1"/>
  <c r="L2748" i="1"/>
  <c r="L2768" i="1"/>
  <c r="M2768" i="1"/>
  <c r="M2794" i="1"/>
  <c r="L2794" i="1"/>
  <c r="M2825" i="1"/>
  <c r="L2825" i="1"/>
  <c r="M2839" i="1"/>
  <c r="L2839" i="1"/>
  <c r="M2853" i="1"/>
  <c r="L2853" i="1"/>
  <c r="M2868" i="1"/>
  <c r="L2868" i="1"/>
  <c r="M3010" i="1"/>
  <c r="L3010" i="1"/>
  <c r="M3026" i="1"/>
  <c r="L3026" i="1"/>
  <c r="M3068" i="1"/>
  <c r="L3068" i="1"/>
  <c r="M3082" i="1"/>
  <c r="L3082" i="1"/>
  <c r="M3095" i="1"/>
  <c r="L3095" i="1"/>
  <c r="M3157" i="1"/>
  <c r="L3157" i="1"/>
  <c r="M3195" i="1"/>
  <c r="L3195" i="1"/>
  <c r="M3234" i="1"/>
  <c r="L3234" i="1"/>
  <c r="M3247" i="1"/>
  <c r="L3247" i="1"/>
  <c r="L3163" i="1"/>
  <c r="L3073" i="1"/>
  <c r="L2974" i="1"/>
  <c r="L2774" i="1"/>
  <c r="L2489" i="1"/>
  <c r="L2315" i="1"/>
  <c r="M2019" i="1"/>
  <c r="L2019" i="1"/>
  <c r="M2033" i="1"/>
  <c r="L2033" i="1"/>
  <c r="M2057" i="1"/>
  <c r="L2057" i="1"/>
  <c r="M2100" i="1"/>
  <c r="L2100" i="1"/>
  <c r="M2173" i="1"/>
  <c r="L2173" i="1"/>
  <c r="M2183" i="1"/>
  <c r="L2183" i="1"/>
  <c r="M2231" i="1"/>
  <c r="L2231" i="1"/>
  <c r="M2257" i="1"/>
  <c r="L2257" i="1"/>
  <c r="M2269" i="1"/>
  <c r="L2269" i="1"/>
  <c r="M2292" i="1"/>
  <c r="L2292" i="1"/>
  <c r="M2312" i="1"/>
  <c r="L2312" i="1"/>
  <c r="M2335" i="1"/>
  <c r="L2335" i="1"/>
  <c r="M2448" i="1"/>
  <c r="L2448" i="1"/>
  <c r="M2516" i="1"/>
  <c r="L2516" i="1"/>
  <c r="M2542" i="1"/>
  <c r="L2542" i="1"/>
  <c r="M2567" i="1"/>
  <c r="L2567" i="1"/>
  <c r="M2595" i="1"/>
  <c r="L2595" i="1"/>
  <c r="M2651" i="1"/>
  <c r="L2651" i="1"/>
  <c r="L2673" i="1"/>
  <c r="M2673" i="1"/>
  <c r="M2697" i="1"/>
  <c r="L2697" i="1"/>
  <c r="M2746" i="1"/>
  <c r="L2746" i="1"/>
  <c r="M2778" i="1"/>
  <c r="L2778" i="1"/>
  <c r="M2792" i="1"/>
  <c r="L2792" i="1"/>
  <c r="M2866" i="1"/>
  <c r="L2866" i="1"/>
  <c r="M3053" i="1"/>
  <c r="L3053" i="1"/>
  <c r="M3066" i="1"/>
  <c r="L3066" i="1"/>
  <c r="M3105" i="1"/>
  <c r="L3105" i="1"/>
  <c r="M3118" i="1"/>
  <c r="L3118" i="1"/>
  <c r="M3232" i="1"/>
  <c r="L3232" i="1"/>
  <c r="M3272" i="1"/>
  <c r="L3272" i="1"/>
  <c r="M3285" i="1"/>
  <c r="L3285" i="1"/>
  <c r="M3326" i="1"/>
  <c r="L3326" i="1"/>
  <c r="M864" i="1"/>
  <c r="L864" i="1"/>
  <c r="M961" i="1"/>
  <c r="L961" i="1"/>
  <c r="M1146" i="1"/>
  <c r="L1146" i="1"/>
  <c r="M1167" i="1"/>
  <c r="L1167" i="1"/>
  <c r="M1191" i="1"/>
  <c r="L1191" i="1"/>
  <c r="M1227" i="1"/>
  <c r="L1227" i="1"/>
  <c r="M1306" i="1"/>
  <c r="L1306" i="1"/>
  <c r="M1375" i="1"/>
  <c r="L1375" i="1"/>
  <c r="M1619" i="1"/>
  <c r="L1619" i="1"/>
  <c r="M1773" i="1"/>
  <c r="L1773" i="1"/>
  <c r="M1862" i="1"/>
  <c r="L1862" i="1"/>
  <c r="M2010" i="1"/>
  <c r="L2010" i="1"/>
  <c r="M2047" i="1"/>
  <c r="L2047" i="1"/>
  <c r="M2073" i="1"/>
  <c r="L2073" i="1"/>
  <c r="M2114" i="1"/>
  <c r="L2114" i="1"/>
  <c r="M2208" i="1"/>
  <c r="L2208" i="1"/>
  <c r="M2220" i="1"/>
  <c r="L2220" i="1"/>
  <c r="M2270" i="1"/>
  <c r="L2270" i="1"/>
  <c r="M2324" i="1"/>
  <c r="L2324" i="1"/>
  <c r="M2394" i="1"/>
  <c r="L2394" i="1"/>
  <c r="M2438" i="1"/>
  <c r="L2438" i="1"/>
  <c r="M2638" i="1"/>
  <c r="L2638" i="1"/>
  <c r="M2674" i="1"/>
  <c r="L2674" i="1"/>
  <c r="M2734" i="1"/>
  <c r="L2734" i="1"/>
  <c r="M2767" i="1"/>
  <c r="L2767" i="1"/>
  <c r="M2805" i="1"/>
  <c r="L2805" i="1"/>
  <c r="M2867" i="1"/>
  <c r="L2867" i="1"/>
  <c r="M2958" i="1"/>
  <c r="L2958" i="1"/>
  <c r="M2995" i="1"/>
  <c r="L2995" i="1"/>
  <c r="M3025" i="1"/>
  <c r="L3025" i="1"/>
  <c r="M3081" i="1"/>
  <c r="L3081" i="1"/>
  <c r="M3156" i="1"/>
  <c r="L3156" i="1"/>
  <c r="M3286" i="1"/>
  <c r="L3286" i="1"/>
  <c r="M3313" i="1"/>
  <c r="L3313" i="1"/>
  <c r="L2779" i="1"/>
  <c r="L2102" i="1"/>
  <c r="M866" i="1"/>
  <c r="L866" i="1"/>
  <c r="M888" i="1"/>
  <c r="L888" i="1"/>
  <c r="M898" i="1"/>
  <c r="L898" i="1"/>
  <c r="M931" i="1"/>
  <c r="L931" i="1"/>
  <c r="M972" i="1"/>
  <c r="L972" i="1"/>
  <c r="M1025" i="1"/>
  <c r="L1025" i="1"/>
  <c r="M1055" i="1"/>
  <c r="L1055" i="1"/>
  <c r="M1075" i="1"/>
  <c r="L1075" i="1"/>
  <c r="M1086" i="1"/>
  <c r="L1086" i="1"/>
  <c r="M1118" i="1"/>
  <c r="L1118" i="1"/>
  <c r="M1138" i="1"/>
  <c r="L1138" i="1"/>
  <c r="M1182" i="1"/>
  <c r="L1182" i="1"/>
  <c r="L1273" i="1"/>
  <c r="M1273" i="1"/>
  <c r="M1296" i="1"/>
  <c r="L1296" i="1"/>
  <c r="M1308" i="1"/>
  <c r="L1308" i="1"/>
  <c r="M1320" i="1"/>
  <c r="L1320" i="1"/>
  <c r="M1331" i="1"/>
  <c r="L1331" i="1"/>
  <c r="M1352" i="1"/>
  <c r="L1352" i="1"/>
  <c r="M1377" i="1"/>
  <c r="L1377" i="1"/>
  <c r="M1391" i="1"/>
  <c r="L1391" i="1"/>
  <c r="M1404" i="1"/>
  <c r="L1404" i="1"/>
  <c r="M1526" i="1"/>
  <c r="L1526" i="1"/>
  <c r="M1551" i="1"/>
  <c r="L1551" i="1"/>
  <c r="M1654" i="1"/>
  <c r="L1654" i="1"/>
  <c r="M1663" i="1"/>
  <c r="L1663" i="1"/>
  <c r="M1756" i="1"/>
  <c r="L1756" i="1"/>
  <c r="M1798" i="1"/>
  <c r="L1798" i="1"/>
  <c r="M1821" i="1"/>
  <c r="L1821" i="1"/>
  <c r="M1843" i="1"/>
  <c r="L1843" i="1"/>
  <c r="M1853" i="1"/>
  <c r="L1853" i="1"/>
  <c r="M1879" i="1"/>
  <c r="L1879" i="1"/>
  <c r="M1968" i="1"/>
  <c r="L1968" i="1"/>
  <c r="M1991" i="1"/>
  <c r="L1991" i="1"/>
  <c r="M2035" i="1"/>
  <c r="L2035" i="1"/>
  <c r="M2059" i="1"/>
  <c r="L2059" i="1"/>
  <c r="M2075" i="1"/>
  <c r="L2075" i="1"/>
  <c r="M2086" i="1"/>
  <c r="L2086" i="1"/>
  <c r="M2116" i="1"/>
  <c r="L2116" i="1"/>
  <c r="M2141" i="1"/>
  <c r="L2141" i="1"/>
  <c r="M2222" i="1"/>
  <c r="L2222" i="1"/>
  <c r="M2234" i="1"/>
  <c r="L2234" i="1"/>
  <c r="M2294" i="1"/>
  <c r="L2294" i="1"/>
  <c r="M2314" i="1"/>
  <c r="L2314" i="1"/>
  <c r="M2326" i="1"/>
  <c r="L2326" i="1"/>
  <c r="M2406" i="1"/>
  <c r="L2406" i="1"/>
  <c r="M2451" i="1"/>
  <c r="L2451" i="1"/>
  <c r="M2478" i="1"/>
  <c r="L2478" i="1"/>
  <c r="M2531" i="1"/>
  <c r="L2531" i="1"/>
  <c r="M2556" i="1"/>
  <c r="L2556" i="1"/>
  <c r="M2723" i="1"/>
  <c r="L2723" i="1"/>
  <c r="M2816" i="1"/>
  <c r="L2816" i="1"/>
  <c r="M2840" i="1"/>
  <c r="L2840" i="1"/>
  <c r="M2960" i="1"/>
  <c r="L2960" i="1"/>
  <c r="M2972" i="1"/>
  <c r="L2972" i="1"/>
  <c r="L3011" i="1"/>
  <c r="M3011" i="1"/>
  <c r="M3069" i="1"/>
  <c r="L3069" i="1"/>
  <c r="M3107" i="1"/>
  <c r="L3107" i="1"/>
  <c r="M3158" i="1"/>
  <c r="L3158" i="1"/>
  <c r="M3196" i="1"/>
  <c r="L3196" i="1"/>
  <c r="M3221" i="1"/>
  <c r="L3221" i="1"/>
  <c r="L3301" i="1"/>
  <c r="L3240" i="1"/>
  <c r="L3072" i="1"/>
  <c r="L2970" i="1"/>
  <c r="L2761" i="1"/>
  <c r="L2629" i="1"/>
  <c r="L1758" i="1"/>
  <c r="M1476" i="1"/>
  <c r="L1476" i="1"/>
  <c r="M857" i="1"/>
  <c r="L857" i="1"/>
  <c r="M919" i="1"/>
  <c r="L919" i="1"/>
  <c r="M1087" i="1"/>
  <c r="L1087" i="1"/>
  <c r="M1183" i="1"/>
  <c r="L1183" i="1"/>
  <c r="M1321" i="1"/>
  <c r="L1321" i="1"/>
  <c r="M1392" i="1"/>
  <c r="L1392" i="1"/>
  <c r="M1535" i="1"/>
  <c r="L1535" i="1"/>
  <c r="M1586" i="1"/>
  <c r="L1586" i="1"/>
  <c r="M1785" i="1"/>
  <c r="L1785" i="1"/>
  <c r="M1880" i="1"/>
  <c r="L1880" i="1"/>
  <c r="M1917" i="1"/>
  <c r="L1917" i="1"/>
  <c r="M1969" i="1"/>
  <c r="L1969" i="1"/>
  <c r="M2012" i="1"/>
  <c r="L2012" i="1"/>
  <c r="M2176" i="1"/>
  <c r="L2176" i="1"/>
  <c r="M2248" i="1"/>
  <c r="L2248" i="1"/>
  <c r="M2360" i="1"/>
  <c r="L2360" i="1"/>
  <c r="M2599" i="1"/>
  <c r="L2599" i="1"/>
  <c r="M2841" i="1"/>
  <c r="L2841" i="1"/>
  <c r="M2973" i="1"/>
  <c r="L2973" i="1"/>
  <c r="M3027" i="1"/>
  <c r="L3027" i="1"/>
  <c r="M3134" i="1"/>
  <c r="L3134" i="1"/>
  <c r="M3249" i="1"/>
  <c r="L3249" i="1"/>
  <c r="M994" i="1"/>
  <c r="L994" i="1"/>
  <c r="L1035" i="1"/>
  <c r="M1035" i="1"/>
  <c r="M1194" i="1"/>
  <c r="L1194" i="1"/>
  <c r="M1333" i="1"/>
  <c r="L1333" i="1"/>
  <c r="M1518" i="1"/>
  <c r="L1518" i="1"/>
  <c r="M2038" i="1"/>
  <c r="L2038" i="1"/>
  <c r="M2118" i="1"/>
  <c r="L2118" i="1"/>
  <c r="M2164" i="1"/>
  <c r="L2164" i="1"/>
  <c r="M2236" i="1"/>
  <c r="L2236" i="1"/>
  <c r="M2350" i="1"/>
  <c r="L2350" i="1"/>
  <c r="M2520" i="1"/>
  <c r="L2520" i="1"/>
  <c r="M2571" i="1"/>
  <c r="L2571" i="1"/>
  <c r="M2725" i="1"/>
  <c r="L2725" i="1"/>
  <c r="M2782" i="1"/>
  <c r="L2782" i="1"/>
  <c r="M3147" i="1"/>
  <c r="L3147" i="1"/>
  <c r="M3276" i="1"/>
  <c r="L3276" i="1"/>
  <c r="M869" i="1"/>
  <c r="L869" i="1"/>
  <c r="M890" i="1"/>
  <c r="L890" i="1"/>
  <c r="M900" i="1"/>
  <c r="L900" i="1"/>
  <c r="M944" i="1"/>
  <c r="L944" i="1"/>
  <c r="M974" i="1"/>
  <c r="L974" i="1"/>
  <c r="M985" i="1"/>
  <c r="L985" i="1"/>
  <c r="M995" i="1"/>
  <c r="L995" i="1"/>
  <c r="M1046" i="1"/>
  <c r="L1046" i="1"/>
  <c r="M1077" i="1"/>
  <c r="L1077" i="1"/>
  <c r="M1130" i="1"/>
  <c r="L1130" i="1"/>
  <c r="M1170" i="1"/>
  <c r="L1170" i="1"/>
  <c r="M1252" i="1"/>
  <c r="L1252" i="1"/>
  <c r="M1275" i="1"/>
  <c r="L1275" i="1"/>
  <c r="M1379" i="1"/>
  <c r="L1379" i="1"/>
  <c r="M1394" i="1"/>
  <c r="L1394" i="1"/>
  <c r="M1406" i="1"/>
  <c r="L1406" i="1"/>
  <c r="M1519" i="1"/>
  <c r="L1519" i="1"/>
  <c r="M1622" i="1"/>
  <c r="L1622" i="1"/>
  <c r="M1715" i="1"/>
  <c r="L1715" i="1"/>
  <c r="M1787" i="1"/>
  <c r="L1787" i="1"/>
  <c r="M1812" i="1"/>
  <c r="L1812" i="1"/>
  <c r="M1823" i="1"/>
  <c r="L1823" i="1"/>
  <c r="M1845" i="1"/>
  <c r="L1845" i="1"/>
  <c r="M1866" i="1"/>
  <c r="L1866" i="1"/>
  <c r="M2061" i="1"/>
  <c r="L2061" i="1"/>
  <c r="M2077" i="1"/>
  <c r="L2077" i="1"/>
  <c r="L2105" i="1"/>
  <c r="M2105" i="1"/>
  <c r="M2119" i="1"/>
  <c r="L2119" i="1"/>
  <c r="M2132" i="1"/>
  <c r="L2132" i="1"/>
  <c r="M2154" i="1"/>
  <c r="L2154" i="1"/>
  <c r="M2165" i="1"/>
  <c r="L2165" i="1"/>
  <c r="M2188" i="1"/>
  <c r="L2188" i="1"/>
  <c r="M2200" i="1"/>
  <c r="L2200" i="1"/>
  <c r="M2212" i="1"/>
  <c r="L2212" i="1"/>
  <c r="M2224" i="1"/>
  <c r="L2224" i="1"/>
  <c r="M2237" i="1"/>
  <c r="L2237" i="1"/>
  <c r="M2250" i="1"/>
  <c r="L2250" i="1"/>
  <c r="M2306" i="1"/>
  <c r="L2306" i="1"/>
  <c r="M2408" i="1"/>
  <c r="L2408" i="1"/>
  <c r="M2441" i="1"/>
  <c r="L2441" i="1"/>
  <c r="M2454" i="1"/>
  <c r="L2454" i="1"/>
  <c r="M2467" i="1"/>
  <c r="L2467" i="1"/>
  <c r="M2481" i="1"/>
  <c r="L2481" i="1"/>
  <c r="M2507" i="1"/>
  <c r="L2507" i="1"/>
  <c r="M2587" i="1"/>
  <c r="L2587" i="1"/>
  <c r="M2601" i="1"/>
  <c r="L2601" i="1"/>
  <c r="L2689" i="1"/>
  <c r="M2689" i="1"/>
  <c r="M2726" i="1"/>
  <c r="L2726" i="1"/>
  <c r="M2750" i="1"/>
  <c r="L2750" i="1"/>
  <c r="M2783" i="1"/>
  <c r="L2783" i="1"/>
  <c r="M2796" i="1"/>
  <c r="L2796" i="1"/>
  <c r="M2828" i="1"/>
  <c r="L2828" i="1"/>
  <c r="M2886" i="1"/>
  <c r="L2886" i="1"/>
  <c r="M2898" i="1"/>
  <c r="L2898" i="1"/>
  <c r="M2924" i="1"/>
  <c r="L2924" i="1"/>
  <c r="M2938" i="1"/>
  <c r="L2938" i="1"/>
  <c r="M3029" i="1"/>
  <c r="L3029" i="1"/>
  <c r="M3059" i="1"/>
  <c r="L3059" i="1"/>
  <c r="M3123" i="1"/>
  <c r="L3123" i="1"/>
  <c r="M3173" i="1"/>
  <c r="L3173" i="1"/>
  <c r="M3211" i="1"/>
  <c r="L3211" i="1"/>
  <c r="M3223" i="1"/>
  <c r="L3223" i="1"/>
  <c r="M3291" i="1"/>
  <c r="L3291" i="1"/>
  <c r="M3316" i="1"/>
  <c r="L3316" i="1"/>
  <c r="L3332" i="1"/>
  <c r="M3332" i="1"/>
  <c r="L3227" i="1"/>
  <c r="L3048" i="1"/>
  <c r="L2955" i="1"/>
  <c r="L2443" i="1"/>
  <c r="L1263" i="1"/>
  <c r="M878" i="1"/>
  <c r="L878" i="1"/>
  <c r="M901" i="1"/>
  <c r="L901" i="1"/>
  <c r="M911" i="1"/>
  <c r="L911" i="1"/>
  <c r="M921" i="1"/>
  <c r="L921" i="1"/>
  <c r="M934" i="1"/>
  <c r="L934" i="1"/>
  <c r="M964" i="1"/>
  <c r="L964" i="1"/>
  <c r="M975" i="1"/>
  <c r="L975" i="1"/>
  <c r="M1006" i="1"/>
  <c r="L1006" i="1"/>
  <c r="M1016" i="1"/>
  <c r="L1016" i="1"/>
  <c r="M1027" i="1"/>
  <c r="L1027" i="1"/>
  <c r="M1036" i="1"/>
  <c r="L1036" i="1"/>
  <c r="M1057" i="1"/>
  <c r="L1057" i="1"/>
  <c r="M1100" i="1"/>
  <c r="L1100" i="1"/>
  <c r="M1111" i="1"/>
  <c r="L1111" i="1"/>
  <c r="M1131" i="1"/>
  <c r="L1131" i="1"/>
  <c r="M1140" i="1"/>
  <c r="L1140" i="1"/>
  <c r="M1160" i="1"/>
  <c r="L1160" i="1"/>
  <c r="M1172" i="1"/>
  <c r="L1172" i="1"/>
  <c r="M1185" i="1"/>
  <c r="L1185" i="1"/>
  <c r="M1195" i="1"/>
  <c r="L1195" i="1"/>
  <c r="M1208" i="1"/>
  <c r="L1208" i="1"/>
  <c r="M1219" i="1"/>
  <c r="L1219" i="1"/>
  <c r="M1231" i="1"/>
  <c r="L1231" i="1"/>
  <c r="M1241" i="1"/>
  <c r="L1241" i="1"/>
  <c r="M1253" i="1"/>
  <c r="L1253" i="1"/>
  <c r="M1265" i="1"/>
  <c r="L1265" i="1"/>
  <c r="M1276" i="1"/>
  <c r="L1276" i="1"/>
  <c r="M1286" i="1"/>
  <c r="L1286" i="1"/>
  <c r="M1298" i="1"/>
  <c r="L1298" i="1"/>
  <c r="M1310" i="1"/>
  <c r="L1310" i="1"/>
  <c r="M1334" i="1"/>
  <c r="L1334" i="1"/>
  <c r="M1354" i="1"/>
  <c r="L1354" i="1"/>
  <c r="M1380" i="1"/>
  <c r="L1380" i="1"/>
  <c r="M1395" i="1"/>
  <c r="L1395" i="1"/>
  <c r="M1407" i="1"/>
  <c r="L1407" i="1"/>
  <c r="M1425" i="1"/>
  <c r="L1425" i="1"/>
  <c r="M1434" i="1"/>
  <c r="L1434" i="1"/>
  <c r="M1443" i="1"/>
  <c r="L1443" i="1"/>
  <c r="M1451" i="1"/>
  <c r="L1451" i="1"/>
  <c r="M1469" i="1"/>
  <c r="L1469" i="1"/>
  <c r="M1494" i="1"/>
  <c r="L1494" i="1"/>
  <c r="M1502" i="1"/>
  <c r="L1502" i="1"/>
  <c r="M1528" i="1"/>
  <c r="L1528" i="1"/>
  <c r="M1553" i="1"/>
  <c r="L1553" i="1"/>
  <c r="M1562" i="1"/>
  <c r="L1562" i="1"/>
  <c r="M1596" i="1"/>
  <c r="L1596" i="1"/>
  <c r="M1605" i="1"/>
  <c r="L1605" i="1"/>
  <c r="M1613" i="1"/>
  <c r="L1613" i="1"/>
  <c r="M1631" i="1"/>
  <c r="L1631" i="1"/>
  <c r="M1639" i="1"/>
  <c r="L1639" i="1"/>
  <c r="M1647" i="1"/>
  <c r="L1647" i="1"/>
  <c r="M1656" i="1"/>
  <c r="L1656" i="1"/>
  <c r="M1665" i="1"/>
  <c r="L1665" i="1"/>
  <c r="M1673" i="1"/>
  <c r="L1673" i="1"/>
  <c r="M1681" i="1"/>
  <c r="L1681" i="1"/>
  <c r="M1690" i="1"/>
  <c r="L1690" i="1"/>
  <c r="M1724" i="1"/>
  <c r="L1724" i="1"/>
  <c r="M1733" i="1"/>
  <c r="L1733" i="1"/>
  <c r="M1741" i="1"/>
  <c r="L1741" i="1"/>
  <c r="M1749" i="1"/>
  <c r="L1749" i="1"/>
  <c r="M1759" i="1"/>
  <c r="L1759" i="1"/>
  <c r="M1788" i="1"/>
  <c r="L1788" i="1"/>
  <c r="M1801" i="1"/>
  <c r="L1801" i="1"/>
  <c r="M1893" i="1"/>
  <c r="L1893" i="1"/>
  <c r="M1906" i="1"/>
  <c r="L1906" i="1"/>
  <c r="M1919" i="1"/>
  <c r="L1919" i="1"/>
  <c r="M1930" i="1"/>
  <c r="L1930" i="1"/>
  <c r="M1950" i="1"/>
  <c r="L1950" i="1"/>
  <c r="M1971" i="1"/>
  <c r="L1971" i="1"/>
  <c r="M1983" i="1"/>
  <c r="L1983" i="1"/>
  <c r="M1993" i="1"/>
  <c r="L1993" i="1"/>
  <c r="M2004" i="1"/>
  <c r="L2004" i="1"/>
  <c r="M2014" i="1"/>
  <c r="L2014" i="1"/>
  <c r="M2039" i="1"/>
  <c r="L2039" i="1"/>
  <c r="M2050" i="1"/>
  <c r="L2050" i="1"/>
  <c r="M2062" i="1"/>
  <c r="L2062" i="1"/>
  <c r="M2078" i="1"/>
  <c r="L2078" i="1"/>
  <c r="M2090" i="1"/>
  <c r="L2090" i="1"/>
  <c r="M2120" i="1"/>
  <c r="L2120" i="1"/>
  <c r="M2133" i="1"/>
  <c r="L2133" i="1"/>
  <c r="M2145" i="1"/>
  <c r="L2145" i="1"/>
  <c r="M2166" i="1"/>
  <c r="L2166" i="1"/>
  <c r="M2178" i="1"/>
  <c r="L2178" i="1"/>
  <c r="M2189" i="1"/>
  <c r="L2189" i="1"/>
  <c r="M2201" i="1"/>
  <c r="L2201" i="1"/>
  <c r="M2251" i="1"/>
  <c r="L2251" i="1"/>
  <c r="M2263" i="1"/>
  <c r="L2263" i="1"/>
  <c r="M2273" i="1"/>
  <c r="L2273" i="1"/>
  <c r="M2284" i="1"/>
  <c r="L2284" i="1"/>
  <c r="M2296" i="1"/>
  <c r="L2296" i="1"/>
  <c r="M2317" i="1"/>
  <c r="L2317" i="1"/>
  <c r="M2329" i="1"/>
  <c r="L2329" i="1"/>
  <c r="M2339" i="1"/>
  <c r="L2339" i="1"/>
  <c r="M2351" i="1"/>
  <c r="L2351" i="1"/>
  <c r="M2362" i="1"/>
  <c r="L2362" i="1"/>
  <c r="M2373" i="1"/>
  <c r="L2373" i="1"/>
  <c r="M2386" i="1"/>
  <c r="L2386" i="1"/>
  <c r="M2430" i="1"/>
  <c r="L2430" i="1"/>
  <c r="M2455" i="1"/>
  <c r="L2455" i="1"/>
  <c r="M2468" i="1"/>
  <c r="L2468" i="1"/>
  <c r="M2508" i="1"/>
  <c r="L2508" i="1"/>
  <c r="M2559" i="1"/>
  <c r="L2559" i="1"/>
  <c r="M2588" i="1"/>
  <c r="L2588" i="1"/>
  <c r="M2602" i="1"/>
  <c r="L2602" i="1"/>
  <c r="M2643" i="1"/>
  <c r="L2643" i="1"/>
  <c r="M2656" i="1"/>
  <c r="L2656" i="1"/>
  <c r="M2667" i="1"/>
  <c r="L2667" i="1"/>
  <c r="M2690" i="1"/>
  <c r="L2690" i="1"/>
  <c r="M2702" i="1"/>
  <c r="L2702" i="1"/>
  <c r="M2714" i="1"/>
  <c r="L2714" i="1"/>
  <c r="M2738" i="1"/>
  <c r="L2738" i="1"/>
  <c r="M2784" i="1"/>
  <c r="L2784" i="1"/>
  <c r="M2797" i="1"/>
  <c r="L2797" i="1"/>
  <c r="M2818" i="1"/>
  <c r="L2818" i="1"/>
  <c r="M2873" i="1"/>
  <c r="L2873" i="1"/>
  <c r="M2887" i="1"/>
  <c r="L2887" i="1"/>
  <c r="M2963" i="1"/>
  <c r="L2963" i="1"/>
  <c r="M2987" i="1"/>
  <c r="L2987" i="1"/>
  <c r="M2999" i="1"/>
  <c r="L2999" i="1"/>
  <c r="M3060" i="1"/>
  <c r="L3060" i="1"/>
  <c r="M3124" i="1"/>
  <c r="L3124" i="1"/>
  <c r="M3136" i="1"/>
  <c r="L3136" i="1"/>
  <c r="M3148" i="1"/>
  <c r="L3148" i="1"/>
  <c r="M3174" i="1"/>
  <c r="L3174" i="1"/>
  <c r="M3224" i="1"/>
  <c r="L3224" i="1"/>
  <c r="M3238" i="1"/>
  <c r="L3238" i="1"/>
  <c r="M3251" i="1"/>
  <c r="L3251" i="1"/>
  <c r="M3292" i="1"/>
  <c r="L3292" i="1"/>
  <c r="L3331" i="1"/>
  <c r="L3278" i="1"/>
  <c r="L3226" i="1"/>
  <c r="L3131" i="1"/>
  <c r="L3047" i="1"/>
  <c r="L2604" i="1"/>
  <c r="L2442" i="1"/>
  <c r="L2239" i="1"/>
  <c r="L1994" i="1"/>
  <c r="L1164" i="1"/>
  <c r="M1264" i="1"/>
  <c r="L1264" i="1"/>
  <c r="M880" i="1"/>
  <c r="L880" i="1"/>
  <c r="M902" i="1"/>
  <c r="L902" i="1"/>
  <c r="M923" i="1"/>
  <c r="L923" i="1"/>
  <c r="M935" i="1"/>
  <c r="L935" i="1"/>
  <c r="M1007" i="1"/>
  <c r="L1007" i="1"/>
  <c r="M1101" i="1"/>
  <c r="L1101" i="1"/>
  <c r="M1151" i="1"/>
  <c r="L1151" i="1"/>
  <c r="M1161" i="1"/>
  <c r="L1161" i="1"/>
  <c r="M1173" i="1"/>
  <c r="L1173" i="1"/>
  <c r="M1196" i="1"/>
  <c r="L1196" i="1"/>
  <c r="M1209" i="1"/>
  <c r="L1209" i="1"/>
  <c r="M1220" i="1"/>
  <c r="L1220" i="1"/>
  <c r="M1232" i="1"/>
  <c r="L1232" i="1"/>
  <c r="M1242" i="1"/>
  <c r="L1242" i="1"/>
  <c r="M1277" i="1"/>
  <c r="L1277" i="1"/>
  <c r="M1287" i="1"/>
  <c r="L1287" i="1"/>
  <c r="M1311" i="1"/>
  <c r="L1311" i="1"/>
  <c r="M1355" i="1"/>
  <c r="L1355" i="1"/>
  <c r="M1381" i="1"/>
  <c r="L1381" i="1"/>
  <c r="M1396" i="1"/>
  <c r="L1396" i="1"/>
  <c r="M1408" i="1"/>
  <c r="L1408" i="1"/>
  <c r="M1503" i="1"/>
  <c r="L1503" i="1"/>
  <c r="M1750" i="1"/>
  <c r="L1750" i="1"/>
  <c r="M1789" i="1"/>
  <c r="L1789" i="1"/>
  <c r="M1802" i="1"/>
  <c r="L1802" i="1"/>
  <c r="M1894" i="1"/>
  <c r="L1894" i="1"/>
  <c r="M1920" i="1"/>
  <c r="L1920" i="1"/>
  <c r="M1972" i="1"/>
  <c r="L1972" i="1"/>
  <c r="M2063" i="1"/>
  <c r="L2063" i="1"/>
  <c r="M2108" i="1"/>
  <c r="L2108" i="1"/>
  <c r="M2122" i="1"/>
  <c r="L2122" i="1"/>
  <c r="M2134" i="1"/>
  <c r="L2134" i="1"/>
  <c r="M2167" i="1"/>
  <c r="L2167" i="1"/>
  <c r="M2252" i="1"/>
  <c r="L2252" i="1"/>
  <c r="M2274" i="1"/>
  <c r="L2274" i="1"/>
  <c r="M2285" i="1"/>
  <c r="L2285" i="1"/>
  <c r="M2318" i="1"/>
  <c r="L2318" i="1"/>
  <c r="M2330" i="1"/>
  <c r="L2330" i="1"/>
  <c r="M2352" i="1"/>
  <c r="L2352" i="1"/>
  <c r="M2363" i="1"/>
  <c r="L2363" i="1"/>
  <c r="M2482" i="1"/>
  <c r="L2482" i="1"/>
  <c r="M2509" i="1"/>
  <c r="L2509" i="1"/>
  <c r="M2522" i="1"/>
  <c r="L2522" i="1"/>
  <c r="M2535" i="1"/>
  <c r="L2535" i="1"/>
  <c r="M2547" i="1"/>
  <c r="L2547" i="1"/>
  <c r="M2560" i="1"/>
  <c r="L2560" i="1"/>
  <c r="M2589" i="1"/>
  <c r="L2589" i="1"/>
  <c r="M2616" i="1"/>
  <c r="L2616" i="1"/>
  <c r="M2644" i="1"/>
  <c r="L2644" i="1"/>
  <c r="M2668" i="1"/>
  <c r="L2668" i="1"/>
  <c r="M2703" i="1"/>
  <c r="L2703" i="1"/>
  <c r="M2739" i="1"/>
  <c r="L2739" i="1"/>
  <c r="M2809" i="1"/>
  <c r="L2809" i="1"/>
  <c r="M2859" i="1"/>
  <c r="L2859" i="1"/>
  <c r="M2913" i="1"/>
  <c r="L2913" i="1"/>
  <c r="M2939" i="1"/>
  <c r="L2939" i="1"/>
  <c r="M2953" i="1"/>
  <c r="L2953" i="1"/>
  <c r="M2964" i="1"/>
  <c r="L2964" i="1"/>
  <c r="M3030" i="1"/>
  <c r="L3030" i="1"/>
  <c r="M3100" i="1"/>
  <c r="L3100" i="1"/>
  <c r="M3137" i="1"/>
  <c r="L3137" i="1"/>
  <c r="M3175" i="1"/>
  <c r="L3175" i="1"/>
  <c r="M3187" i="1"/>
  <c r="L3187" i="1"/>
  <c r="M3200" i="1"/>
  <c r="L3200" i="1"/>
  <c r="M3225" i="1"/>
  <c r="L3225" i="1"/>
  <c r="M3252" i="1"/>
  <c r="L3252" i="1"/>
  <c r="M3264" i="1"/>
  <c r="L3264" i="1"/>
  <c r="M3279" i="1"/>
  <c r="L3279" i="1"/>
  <c r="L3277" i="1"/>
  <c r="L3126" i="1"/>
  <c r="L3038" i="1"/>
  <c r="L2837" i="1"/>
  <c r="L2232" i="1"/>
  <c r="L1686" i="1"/>
  <c r="L1150" i="1"/>
  <c r="M3164" i="1"/>
  <c r="M1098" i="1"/>
  <c r="L1098" i="1"/>
  <c r="M1206" i="1"/>
  <c r="L1206" i="1"/>
  <c r="M1284" i="1"/>
  <c r="L1284" i="1"/>
  <c r="M2142" i="1"/>
  <c r="L2142" i="1"/>
  <c r="M2304" i="1"/>
  <c r="L2304" i="1"/>
  <c r="M2349" i="1"/>
  <c r="L2349" i="1"/>
  <c r="M2383" i="1"/>
  <c r="L2383" i="1"/>
  <c r="M2428" i="1"/>
  <c r="L2428" i="1"/>
  <c r="M2627" i="1"/>
  <c r="L2627" i="1"/>
  <c r="M2769" i="1"/>
  <c r="L2769" i="1"/>
  <c r="M3070" i="1"/>
  <c r="L3070" i="1"/>
  <c r="M868" i="1"/>
  <c r="L868" i="1"/>
  <c r="M910" i="1"/>
  <c r="L910" i="1"/>
  <c r="M1159" i="1"/>
  <c r="L1159" i="1"/>
  <c r="M1230" i="1"/>
  <c r="L1230" i="1"/>
  <c r="M1393" i="1"/>
  <c r="L1393" i="1"/>
  <c r="M1865" i="1"/>
  <c r="L1865" i="1"/>
  <c r="M2144" i="1"/>
  <c r="L2144" i="1"/>
  <c r="M2187" i="1"/>
  <c r="L2187" i="1"/>
  <c r="M2249" i="1"/>
  <c r="L2249" i="1"/>
  <c r="M2466" i="1"/>
  <c r="L2466" i="1"/>
  <c r="M2545" i="1"/>
  <c r="L2545" i="1"/>
  <c r="M2688" i="1"/>
  <c r="L2688" i="1"/>
  <c r="M2807" i="1"/>
  <c r="L2807" i="1"/>
  <c r="M2937" i="1"/>
  <c r="L2937" i="1"/>
  <c r="M3071" i="1"/>
  <c r="L3071" i="1"/>
  <c r="M3237" i="1"/>
  <c r="L3237" i="1"/>
  <c r="M3290" i="1"/>
  <c r="L3290" i="1"/>
  <c r="M851" i="1"/>
  <c r="L851" i="1"/>
  <c r="M892" i="1"/>
  <c r="L892" i="1"/>
  <c r="M946" i="1"/>
  <c r="L946" i="1"/>
  <c r="M955" i="1"/>
  <c r="L955" i="1"/>
  <c r="M1008" i="1"/>
  <c r="L1008" i="1"/>
  <c r="M1090" i="1"/>
  <c r="L1090" i="1"/>
  <c r="M1102" i="1"/>
  <c r="L1102" i="1"/>
  <c r="M1174" i="1"/>
  <c r="L1174" i="1"/>
  <c r="M1197" i="1"/>
  <c r="L1197" i="1"/>
  <c r="M1221" i="1"/>
  <c r="L1221" i="1"/>
  <c r="M1243" i="1"/>
  <c r="L1243" i="1"/>
  <c r="M1288" i="1"/>
  <c r="L1288" i="1"/>
  <c r="M1312" i="1"/>
  <c r="L1312" i="1"/>
  <c r="M1324" i="1"/>
  <c r="L1324" i="1"/>
  <c r="M1346" i="1"/>
  <c r="L1346" i="1"/>
  <c r="M1356" i="1"/>
  <c r="L1356" i="1"/>
  <c r="M1368" i="1"/>
  <c r="L1368" i="1"/>
  <c r="M1382" i="1"/>
  <c r="L1382" i="1"/>
  <c r="M1409" i="1"/>
  <c r="L1409" i="1"/>
  <c r="M1462" i="1"/>
  <c r="L1462" i="1"/>
  <c r="M1760" i="1"/>
  <c r="L1760" i="1"/>
  <c r="M1803" i="1"/>
  <c r="L1803" i="1"/>
  <c r="M1836" i="1"/>
  <c r="L1836" i="1"/>
  <c r="M1868" i="1"/>
  <c r="L1868" i="1"/>
  <c r="M1883" i="1"/>
  <c r="L1883" i="1"/>
  <c r="M1895" i="1"/>
  <c r="L1895" i="1"/>
  <c r="M1907" i="1"/>
  <c r="L1907" i="1"/>
  <c r="M1921" i="1"/>
  <c r="L1921" i="1"/>
  <c r="M1931" i="1"/>
  <c r="L1931" i="1"/>
  <c r="M1951" i="1"/>
  <c r="L1951" i="1"/>
  <c r="M1961" i="1"/>
  <c r="L1961" i="1"/>
  <c r="M1973" i="1"/>
  <c r="L1973" i="1"/>
  <c r="M1985" i="1"/>
  <c r="L1985" i="1"/>
  <c r="M2005" i="1"/>
  <c r="L2005" i="1"/>
  <c r="M2015" i="1"/>
  <c r="L2015" i="1"/>
  <c r="M2027" i="1"/>
  <c r="L2027" i="1"/>
  <c r="M2040" i="1"/>
  <c r="L2040" i="1"/>
  <c r="M2051" i="1"/>
  <c r="L2051" i="1"/>
  <c r="M2092" i="1"/>
  <c r="L2092" i="1"/>
  <c r="M2109" i="1"/>
  <c r="L2109" i="1"/>
  <c r="M2123" i="1"/>
  <c r="L2123" i="1"/>
  <c r="M2135" i="1"/>
  <c r="L2135" i="1"/>
  <c r="M2146" i="1"/>
  <c r="L2146" i="1"/>
  <c r="M2156" i="1"/>
  <c r="L2156" i="1"/>
  <c r="M2168" i="1"/>
  <c r="L2168" i="1"/>
  <c r="M2179" i="1"/>
  <c r="L2179" i="1"/>
  <c r="M2190" i="1"/>
  <c r="L2190" i="1"/>
  <c r="M2202" i="1"/>
  <c r="L2202" i="1"/>
  <c r="M2226" i="1"/>
  <c r="L2226" i="1"/>
  <c r="M2264" i="1"/>
  <c r="L2264" i="1"/>
  <c r="M2286" i="1"/>
  <c r="L2286" i="1"/>
  <c r="M2297" i="1"/>
  <c r="L2297" i="1"/>
  <c r="M2308" i="1"/>
  <c r="L2308" i="1"/>
  <c r="M2319" i="1"/>
  <c r="L2319" i="1"/>
  <c r="M2340" i="1"/>
  <c r="L2340" i="1"/>
  <c r="M2353" i="1"/>
  <c r="L2353" i="1"/>
  <c r="M2374" i="1"/>
  <c r="L2374" i="1"/>
  <c r="M2387" i="1"/>
  <c r="L2387" i="1"/>
  <c r="M2399" i="1"/>
  <c r="L2399" i="1"/>
  <c r="M2431" i="1"/>
  <c r="L2431" i="1"/>
  <c r="M2469" i="1"/>
  <c r="L2469" i="1"/>
  <c r="M2483" i="1"/>
  <c r="L2483" i="1"/>
  <c r="M2496" i="1"/>
  <c r="L2496" i="1"/>
  <c r="M2523" i="1"/>
  <c r="L2523" i="1"/>
  <c r="M2536" i="1"/>
  <c r="L2536" i="1"/>
  <c r="M2548" i="1"/>
  <c r="L2548" i="1"/>
  <c r="M2679" i="1"/>
  <c r="L2679" i="1"/>
  <c r="M2691" i="1"/>
  <c r="L2691" i="1"/>
  <c r="L2704" i="1"/>
  <c r="M2704" i="1"/>
  <c r="M2786" i="1"/>
  <c r="L2786" i="1"/>
  <c r="M2798" i="1"/>
  <c r="L2798" i="1"/>
  <c r="M2810" i="1"/>
  <c r="L2810" i="1"/>
  <c r="M2831" i="1"/>
  <c r="L2831" i="1"/>
  <c r="M2845" i="1"/>
  <c r="L2845" i="1"/>
  <c r="M2888" i="1"/>
  <c r="L2888" i="1"/>
  <c r="M2914" i="1"/>
  <c r="L2914" i="1"/>
  <c r="M2965" i="1"/>
  <c r="L2965" i="1"/>
  <c r="M2988" i="1"/>
  <c r="L2988" i="1"/>
  <c r="M3001" i="1"/>
  <c r="L3001" i="1"/>
  <c r="M3016" i="1"/>
  <c r="L3016" i="1"/>
  <c r="M3031" i="1"/>
  <c r="L3031" i="1"/>
  <c r="M3046" i="1"/>
  <c r="L3046" i="1"/>
  <c r="M3061" i="1"/>
  <c r="L3061" i="1"/>
  <c r="M3075" i="1"/>
  <c r="L3075" i="1"/>
  <c r="M3101" i="1"/>
  <c r="L3101" i="1"/>
  <c r="M3112" i="1"/>
  <c r="L3112" i="1"/>
  <c r="L3138" i="1"/>
  <c r="M3138" i="1"/>
  <c r="M3201" i="1"/>
  <c r="L3201" i="1"/>
  <c r="L3294" i="1"/>
  <c r="M3294" i="1"/>
  <c r="L3125" i="1"/>
  <c r="L3034" i="1"/>
  <c r="L2720" i="1"/>
  <c r="L2410" i="1"/>
  <c r="L2230" i="1"/>
  <c r="L1958" i="1"/>
  <c r="L1105" i="1"/>
  <c r="M867" i="1"/>
  <c r="L867" i="1"/>
  <c r="M932" i="1"/>
  <c r="L932" i="1"/>
  <c r="M983" i="1"/>
  <c r="L983" i="1"/>
  <c r="M993" i="1"/>
  <c r="L993" i="1"/>
  <c r="M1034" i="1"/>
  <c r="L1034" i="1"/>
  <c r="M1065" i="1"/>
  <c r="L1065" i="1"/>
  <c r="M1148" i="1"/>
  <c r="L1148" i="1"/>
  <c r="M1158" i="1"/>
  <c r="L1158" i="1"/>
  <c r="M1193" i="1"/>
  <c r="L1193" i="1"/>
  <c r="M1239" i="1"/>
  <c r="L1239" i="1"/>
  <c r="M1332" i="1"/>
  <c r="L1332" i="1"/>
  <c r="M1365" i="1"/>
  <c r="L1365" i="1"/>
  <c r="M1492" i="1"/>
  <c r="L1492" i="1"/>
  <c r="M1509" i="1"/>
  <c r="L1509" i="1"/>
  <c r="M1543" i="1"/>
  <c r="L1543" i="1"/>
  <c r="M1569" i="1"/>
  <c r="L1569" i="1"/>
  <c r="M1705" i="1"/>
  <c r="L1705" i="1"/>
  <c r="M1766" i="1"/>
  <c r="L1766" i="1"/>
  <c r="M1799" i="1"/>
  <c r="L1799" i="1"/>
  <c r="M1833" i="1"/>
  <c r="L1833" i="1"/>
  <c r="M1864" i="1"/>
  <c r="L1864" i="1"/>
  <c r="M1938" i="1"/>
  <c r="L1938" i="1"/>
  <c r="M1948" i="1"/>
  <c r="L1948" i="1"/>
  <c r="M1981" i="1"/>
  <c r="L1981" i="1"/>
  <c r="M2002" i="1"/>
  <c r="L2002" i="1"/>
  <c r="M2036" i="1"/>
  <c r="L2036" i="1"/>
  <c r="M2131" i="1"/>
  <c r="L2131" i="1"/>
  <c r="M2163" i="1"/>
  <c r="L2163" i="1"/>
  <c r="M2186" i="1"/>
  <c r="L2186" i="1"/>
  <c r="M2282" i="1"/>
  <c r="L2282" i="1"/>
  <c r="M2327" i="1"/>
  <c r="L2327" i="1"/>
  <c r="M2371" i="1"/>
  <c r="L2371" i="1"/>
  <c r="M2452" i="1"/>
  <c r="L2452" i="1"/>
  <c r="M2505" i="1"/>
  <c r="L2505" i="1"/>
  <c r="M2711" i="1"/>
  <c r="L2711" i="1"/>
  <c r="M2749" i="1"/>
  <c r="L2749" i="1"/>
  <c r="M2795" i="1"/>
  <c r="L2795" i="1"/>
  <c r="M3012" i="1"/>
  <c r="L3012" i="1"/>
  <c r="M3084" i="1"/>
  <c r="L3084" i="1"/>
  <c r="M3146" i="1"/>
  <c r="L3146" i="1"/>
  <c r="M3183" i="1"/>
  <c r="L3183" i="1"/>
  <c r="M3289" i="1"/>
  <c r="L3289" i="1"/>
  <c r="M1005" i="1"/>
  <c r="L1005" i="1"/>
  <c r="M1045" i="1"/>
  <c r="L1045" i="1"/>
  <c r="M1149" i="1"/>
  <c r="L1149" i="1"/>
  <c r="M1285" i="1"/>
  <c r="L1285" i="1"/>
  <c r="M1343" i="1"/>
  <c r="L1343" i="1"/>
  <c r="M1740" i="1"/>
  <c r="L1740" i="1"/>
  <c r="M1786" i="1"/>
  <c r="L1786" i="1"/>
  <c r="M1892" i="1"/>
  <c r="L1892" i="1"/>
  <c r="M2003" i="1"/>
  <c r="L2003" i="1"/>
  <c r="M2088" i="1"/>
  <c r="L2088" i="1"/>
  <c r="M2177" i="1"/>
  <c r="L2177" i="1"/>
  <c r="M2305" i="1"/>
  <c r="L2305" i="1"/>
  <c r="M2600" i="1"/>
  <c r="L2600" i="1"/>
  <c r="M2712" i="1"/>
  <c r="L2712" i="1"/>
  <c r="M2897" i="1"/>
  <c r="L2897" i="1"/>
  <c r="M2923" i="1"/>
  <c r="L2923" i="1"/>
  <c r="M3160" i="1"/>
  <c r="L3160" i="1"/>
  <c r="M852" i="1"/>
  <c r="L852" i="1"/>
  <c r="M913" i="1"/>
  <c r="L913" i="1"/>
  <c r="M956" i="1"/>
  <c r="L956" i="1"/>
  <c r="M1009" i="1"/>
  <c r="L1009" i="1"/>
  <c r="M1029" i="1"/>
  <c r="L1029" i="1"/>
  <c r="M1038" i="1"/>
  <c r="L1038" i="1"/>
  <c r="M1059" i="1"/>
  <c r="L1059" i="1"/>
  <c r="M1091" i="1"/>
  <c r="L1091" i="1"/>
  <c r="M1103" i="1"/>
  <c r="L1103" i="1"/>
  <c r="M1133" i="1"/>
  <c r="L1133" i="1"/>
  <c r="M1142" i="1"/>
  <c r="L1142" i="1"/>
  <c r="M1198" i="1"/>
  <c r="L1198" i="1"/>
  <c r="M1244" i="1"/>
  <c r="L1244" i="1"/>
  <c r="M1255" i="1"/>
  <c r="L1255" i="1"/>
  <c r="M1300" i="1"/>
  <c r="L1300" i="1"/>
  <c r="M1313" i="1"/>
  <c r="L1313" i="1"/>
  <c r="M1336" i="1"/>
  <c r="L1336" i="1"/>
  <c r="M1357" i="1"/>
  <c r="L1357" i="1"/>
  <c r="M1369" i="1"/>
  <c r="L1369" i="1"/>
  <c r="M1383" i="1"/>
  <c r="L1383" i="1"/>
  <c r="M1427" i="1"/>
  <c r="L1427" i="1"/>
  <c r="M1471" i="1"/>
  <c r="L1471" i="1"/>
  <c r="M1555" i="1"/>
  <c r="L1555" i="1"/>
  <c r="M1598" i="1"/>
  <c r="L1598" i="1"/>
  <c r="M1615" i="1"/>
  <c r="L1615" i="1"/>
  <c r="M1683" i="1"/>
  <c r="L1683" i="1"/>
  <c r="M1726" i="1"/>
  <c r="L1726" i="1"/>
  <c r="M1837" i="1"/>
  <c r="L1837" i="1"/>
  <c r="M1869" i="1"/>
  <c r="L1869" i="1"/>
  <c r="M1884" i="1"/>
  <c r="L1884" i="1"/>
  <c r="M1896" i="1"/>
  <c r="L1896" i="1"/>
  <c r="M1908" i="1"/>
  <c r="L1908" i="1"/>
  <c r="M1922" i="1"/>
  <c r="L1922" i="1"/>
  <c r="M1932" i="1"/>
  <c r="L1932" i="1"/>
  <c r="M1962" i="1"/>
  <c r="L1962" i="1"/>
  <c r="M2064" i="1"/>
  <c r="L2064" i="1"/>
  <c r="M2093" i="1"/>
  <c r="L2093" i="1"/>
  <c r="M2125" i="1"/>
  <c r="L2125" i="1"/>
  <c r="M2157" i="1"/>
  <c r="L2157" i="1"/>
  <c r="M2169" i="1"/>
  <c r="L2169" i="1"/>
  <c r="M2180" i="1"/>
  <c r="L2180" i="1"/>
  <c r="M2240" i="1"/>
  <c r="L2240" i="1"/>
  <c r="M2265" i="1"/>
  <c r="L2265" i="1"/>
  <c r="M2276" i="1"/>
  <c r="L2276" i="1"/>
  <c r="M2287" i="1"/>
  <c r="L2287" i="1"/>
  <c r="M2298" i="1"/>
  <c r="L2298" i="1"/>
  <c r="M2341" i="1"/>
  <c r="L2341" i="1"/>
  <c r="M2354" i="1"/>
  <c r="L2354" i="1"/>
  <c r="M2421" i="1"/>
  <c r="L2421" i="1"/>
  <c r="M2444" i="1"/>
  <c r="L2444" i="1"/>
  <c r="M2457" i="1"/>
  <c r="L2457" i="1"/>
  <c r="M2511" i="1"/>
  <c r="L2511" i="1"/>
  <c r="M2549" i="1"/>
  <c r="L2549" i="1"/>
  <c r="M2576" i="1"/>
  <c r="L2576" i="1"/>
  <c r="M2590" i="1"/>
  <c r="L2590" i="1"/>
  <c r="M2631" i="1"/>
  <c r="L2631" i="1"/>
  <c r="M2692" i="1"/>
  <c r="L2692" i="1"/>
  <c r="M2717" i="1"/>
  <c r="L2717" i="1"/>
  <c r="M2728" i="1"/>
  <c r="L2728" i="1"/>
  <c r="M2762" i="1"/>
  <c r="L2762" i="1"/>
  <c r="M2773" i="1"/>
  <c r="L2773" i="1"/>
  <c r="M2787" i="1"/>
  <c r="L2787" i="1"/>
  <c r="M2861" i="1"/>
  <c r="L2861" i="1"/>
  <c r="M2928" i="1"/>
  <c r="L2928" i="1"/>
  <c r="M3002" i="1"/>
  <c r="L3002" i="1"/>
  <c r="M3062" i="1"/>
  <c r="L3062" i="1"/>
  <c r="M3090" i="1"/>
  <c r="L3090" i="1"/>
  <c r="M3113" i="1"/>
  <c r="L3113" i="1"/>
  <c r="M3213" i="1"/>
  <c r="L3213" i="1"/>
  <c r="M3320" i="1"/>
  <c r="L3320" i="1"/>
  <c r="L3205" i="1"/>
  <c r="L3115" i="1"/>
  <c r="L3032" i="1"/>
  <c r="L2824" i="1"/>
  <c r="L2707" i="1"/>
  <c r="L2563" i="1"/>
  <c r="L2393" i="1"/>
  <c r="L1957" i="1"/>
  <c r="L1600" i="1"/>
  <c r="L1078" i="1"/>
  <c r="M909" i="1"/>
  <c r="L909" i="1"/>
  <c r="M952" i="1"/>
  <c r="L952" i="1"/>
  <c r="M1004" i="1"/>
  <c r="L1004" i="1"/>
  <c r="M1044" i="1"/>
  <c r="L1044" i="1"/>
  <c r="M1119" i="1"/>
  <c r="L1119" i="1"/>
  <c r="M1229" i="1"/>
  <c r="L1229" i="1"/>
  <c r="M1342" i="1"/>
  <c r="L1342" i="1"/>
  <c r="M1459" i="1"/>
  <c r="L1459" i="1"/>
  <c r="M1484" i="1"/>
  <c r="L1484" i="1"/>
  <c r="M1517" i="1"/>
  <c r="L1517" i="1"/>
  <c r="M1577" i="1"/>
  <c r="L1577" i="1"/>
  <c r="M1629" i="1"/>
  <c r="L1629" i="1"/>
  <c r="M1697" i="1"/>
  <c r="L1697" i="1"/>
  <c r="M1775" i="1"/>
  <c r="L1775" i="1"/>
  <c r="M1810" i="1"/>
  <c r="L1810" i="1"/>
  <c r="M1854" i="1"/>
  <c r="L1854" i="1"/>
  <c r="M1891" i="1"/>
  <c r="L1891" i="1"/>
  <c r="M1928" i="1"/>
  <c r="L1928" i="1"/>
  <c r="M2022" i="1"/>
  <c r="L2022" i="1"/>
  <c r="M2087" i="1"/>
  <c r="L2087" i="1"/>
  <c r="M2235" i="1"/>
  <c r="L2235" i="1"/>
  <c r="M2396" i="1"/>
  <c r="L2396" i="1"/>
  <c r="M2416" i="1"/>
  <c r="L2416" i="1"/>
  <c r="M2570" i="1"/>
  <c r="L2570" i="1"/>
  <c r="M2641" i="1"/>
  <c r="L2641" i="1"/>
  <c r="M2700" i="1"/>
  <c r="L2700" i="1"/>
  <c r="M2781" i="1"/>
  <c r="L2781" i="1"/>
  <c r="M2855" i="1"/>
  <c r="L2855" i="1"/>
  <c r="M3108" i="1"/>
  <c r="L3108" i="1"/>
  <c r="M3159" i="1"/>
  <c r="L3159" i="1"/>
  <c r="M3315" i="1"/>
  <c r="L3315" i="1"/>
  <c r="M920" i="1"/>
  <c r="L920" i="1"/>
  <c r="M984" i="1"/>
  <c r="L984" i="1"/>
  <c r="M1099" i="1"/>
  <c r="L1099" i="1"/>
  <c r="M1184" i="1"/>
  <c r="L1184" i="1"/>
  <c r="M1240" i="1"/>
  <c r="L1240" i="1"/>
  <c r="M1811" i="1"/>
  <c r="L1811" i="1"/>
  <c r="M1918" i="1"/>
  <c r="L1918" i="1"/>
  <c r="M1970" i="1"/>
  <c r="L1970" i="1"/>
  <c r="M2013" i="1"/>
  <c r="L2013" i="1"/>
  <c r="M2103" i="1"/>
  <c r="L2103" i="1"/>
  <c r="M2199" i="1"/>
  <c r="L2199" i="1"/>
  <c r="M2328" i="1"/>
  <c r="L2328" i="1"/>
  <c r="M2384" i="1"/>
  <c r="L2384" i="1"/>
  <c r="M2533" i="1"/>
  <c r="L2533" i="1"/>
  <c r="M2628" i="1"/>
  <c r="L2628" i="1"/>
  <c r="M2827" i="1"/>
  <c r="L2827" i="1"/>
  <c r="M2962" i="1"/>
  <c r="L2962" i="1"/>
  <c r="M3135" i="1"/>
  <c r="L3135" i="1"/>
  <c r="M3198" i="1"/>
  <c r="L3198" i="1"/>
  <c r="M3303" i="1"/>
  <c r="L3303" i="1"/>
  <c r="L3054" i="1"/>
  <c r="M882" i="1"/>
  <c r="L882" i="1"/>
  <c r="M914" i="1"/>
  <c r="L914" i="1"/>
  <c r="M925" i="1"/>
  <c r="L925" i="1"/>
  <c r="M957" i="1"/>
  <c r="L957" i="1"/>
  <c r="M978" i="1"/>
  <c r="L978" i="1"/>
  <c r="M1010" i="1"/>
  <c r="L1010" i="1"/>
  <c r="M1039" i="1"/>
  <c r="L1039" i="1"/>
  <c r="M1060" i="1"/>
  <c r="L1060" i="1"/>
  <c r="M1069" i="1"/>
  <c r="L1069" i="1"/>
  <c r="M1092" i="1"/>
  <c r="L1092" i="1"/>
  <c r="M1123" i="1"/>
  <c r="L1123" i="1"/>
  <c r="L1153" i="1"/>
  <c r="M1153" i="1"/>
  <c r="M1163" i="1"/>
  <c r="L1163" i="1"/>
  <c r="M1199" i="1"/>
  <c r="L1199" i="1"/>
  <c r="M1211" i="1"/>
  <c r="L1211" i="1"/>
  <c r="M1245" i="1"/>
  <c r="L1245" i="1"/>
  <c r="M1256" i="1"/>
  <c r="L1256" i="1"/>
  <c r="M1301" i="1"/>
  <c r="L1301" i="1"/>
  <c r="M1314" i="1"/>
  <c r="L1314" i="1"/>
  <c r="M1337" i="1"/>
  <c r="L1337" i="1"/>
  <c r="M1358" i="1"/>
  <c r="L1358" i="1"/>
  <c r="M1384" i="1"/>
  <c r="L1384" i="1"/>
  <c r="M1590" i="1"/>
  <c r="L1590" i="1"/>
  <c r="M1599" i="1"/>
  <c r="L1599" i="1"/>
  <c r="M1718" i="1"/>
  <c r="L1718" i="1"/>
  <c r="M1727" i="1"/>
  <c r="L1727" i="1"/>
  <c r="M1791" i="1"/>
  <c r="L1791" i="1"/>
  <c r="M1815" i="1"/>
  <c r="L1815" i="1"/>
  <c r="M1826" i="1"/>
  <c r="L1826" i="1"/>
  <c r="M1838" i="1"/>
  <c r="L1838" i="1"/>
  <c r="M1848" i="1"/>
  <c r="L1848" i="1"/>
  <c r="M1897" i="1"/>
  <c r="L1897" i="1"/>
  <c r="L1911" i="1"/>
  <c r="M1911" i="1"/>
  <c r="M1952" i="1"/>
  <c r="L1952" i="1"/>
  <c r="M1986" i="1"/>
  <c r="L1986" i="1"/>
  <c r="M1996" i="1"/>
  <c r="L1996" i="1"/>
  <c r="M2006" i="1"/>
  <c r="L2006" i="1"/>
  <c r="M2016" i="1"/>
  <c r="L2016" i="1"/>
  <c r="M2028" i="1"/>
  <c r="L2028" i="1"/>
  <c r="M2041" i="1"/>
  <c r="L2041" i="1"/>
  <c r="M2065" i="1"/>
  <c r="L2065" i="1"/>
  <c r="M2081" i="1"/>
  <c r="L2081" i="1"/>
  <c r="M2094" i="1"/>
  <c r="L2094" i="1"/>
  <c r="M2215" i="1"/>
  <c r="L2215" i="1"/>
  <c r="M2241" i="1"/>
  <c r="L2241" i="1"/>
  <c r="M2266" i="1"/>
  <c r="L2266" i="1"/>
  <c r="M2299" i="1"/>
  <c r="L2299" i="1"/>
  <c r="M2389" i="1"/>
  <c r="L2389" i="1"/>
  <c r="M2401" i="1"/>
  <c r="L2401" i="1"/>
  <c r="M2484" i="1"/>
  <c r="L2484" i="1"/>
  <c r="M2498" i="1"/>
  <c r="L2498" i="1"/>
  <c r="M2512" i="1"/>
  <c r="L2512" i="1"/>
  <c r="M2577" i="1"/>
  <c r="L2577" i="1"/>
  <c r="M2632" i="1"/>
  <c r="L2632" i="1"/>
  <c r="M2648" i="1"/>
  <c r="L2648" i="1"/>
  <c r="M2658" i="1"/>
  <c r="L2658" i="1"/>
  <c r="M2681" i="1"/>
  <c r="L2681" i="1"/>
  <c r="M2718" i="1"/>
  <c r="L2718" i="1"/>
  <c r="M2729" i="1"/>
  <c r="L2729" i="1"/>
  <c r="M2753" i="1"/>
  <c r="L2753" i="1"/>
  <c r="M2788" i="1"/>
  <c r="L2788" i="1"/>
  <c r="M2847" i="1"/>
  <c r="L2847" i="1"/>
  <c r="M2862" i="1"/>
  <c r="L2862" i="1"/>
  <c r="M2890" i="1"/>
  <c r="L2890" i="1"/>
  <c r="M2915" i="1"/>
  <c r="L2915" i="1"/>
  <c r="M2942" i="1"/>
  <c r="L2942" i="1"/>
  <c r="M3003" i="1"/>
  <c r="L3003" i="1"/>
  <c r="M3033" i="1"/>
  <c r="L3033" i="1"/>
  <c r="M3114" i="1"/>
  <c r="L3114" i="1"/>
  <c r="M3177" i="1"/>
  <c r="L3177" i="1"/>
  <c r="M3214" i="1"/>
  <c r="L3214" i="1"/>
  <c r="M3241" i="1"/>
  <c r="L3241" i="1"/>
  <c r="M3321" i="1"/>
  <c r="L3321" i="1"/>
  <c r="L3319" i="1"/>
  <c r="L3203" i="1"/>
  <c r="L3015" i="1"/>
  <c r="L2562" i="1"/>
  <c r="L2392" i="1"/>
  <c r="L2198" i="1"/>
  <c r="L1904" i="1"/>
  <c r="L1054" i="1"/>
  <c r="M2405" i="1"/>
  <c r="M2513" i="1"/>
  <c r="L2513" i="1"/>
  <c r="M2537" i="1"/>
  <c r="L2537" i="1"/>
  <c r="M2584" i="1"/>
  <c r="L2584" i="1"/>
  <c r="M2621" i="1"/>
  <c r="L2621" i="1"/>
  <c r="M2633" i="1"/>
  <c r="L2633" i="1"/>
  <c r="M2693" i="1"/>
  <c r="L2693" i="1"/>
  <c r="M2713" i="1"/>
  <c r="L2713" i="1"/>
  <c r="M2733" i="1"/>
  <c r="L2733" i="1"/>
  <c r="M2772" i="1"/>
  <c r="L2772" i="1"/>
  <c r="M2854" i="1"/>
  <c r="L2854" i="1"/>
  <c r="M2893" i="1"/>
  <c r="L2893" i="1"/>
  <c r="M2906" i="1"/>
  <c r="L2906" i="1"/>
  <c r="M2944" i="1"/>
  <c r="L2944" i="1"/>
  <c r="M2984" i="1"/>
  <c r="L2984" i="1"/>
  <c r="M3043" i="1"/>
  <c r="L3043" i="1"/>
  <c r="M3089" i="1"/>
  <c r="L3089" i="1"/>
  <c r="M3099" i="1"/>
  <c r="L3099" i="1"/>
  <c r="M3119" i="1"/>
  <c r="L3119" i="1"/>
  <c r="L3197" i="1"/>
  <c r="M3197" i="1"/>
  <c r="M3220" i="1"/>
  <c r="L3220" i="1"/>
  <c r="M3263" i="1"/>
  <c r="L3263" i="1"/>
  <c r="M3275" i="1"/>
  <c r="L3275" i="1"/>
  <c r="M3308" i="1"/>
  <c r="L3308" i="1"/>
  <c r="L3185" i="1"/>
  <c r="L2275" i="1"/>
  <c r="M2404" i="1"/>
  <c r="L2404" i="1"/>
  <c r="M2414" i="1"/>
  <c r="L2414" i="1"/>
  <c r="M2445" i="1"/>
  <c r="L2445" i="1"/>
  <c r="M2456" i="1"/>
  <c r="L2456" i="1"/>
  <c r="M2479" i="1"/>
  <c r="L2479" i="1"/>
  <c r="M2490" i="1"/>
  <c r="L2490" i="1"/>
  <c r="L2525" i="1"/>
  <c r="M2525" i="1"/>
  <c r="M2538" i="1"/>
  <c r="L2538" i="1"/>
  <c r="M2572" i="1"/>
  <c r="L2572" i="1"/>
  <c r="M2585" i="1"/>
  <c r="L2585" i="1"/>
  <c r="M2608" i="1"/>
  <c r="L2608" i="1"/>
  <c r="M2645" i="1"/>
  <c r="L2645" i="1"/>
  <c r="M2675" i="1"/>
  <c r="L2675" i="1"/>
  <c r="M2811" i="1"/>
  <c r="L2811" i="1"/>
  <c r="M2820" i="1"/>
  <c r="L2820" i="1"/>
  <c r="M2829" i="1"/>
  <c r="L2829" i="1"/>
  <c r="M2894" i="1"/>
  <c r="L2894" i="1"/>
  <c r="M2907" i="1"/>
  <c r="L2907" i="1"/>
  <c r="M2946" i="1"/>
  <c r="L2946" i="1"/>
  <c r="M2985" i="1"/>
  <c r="L2985" i="1"/>
  <c r="M2996" i="1"/>
  <c r="L2996" i="1"/>
  <c r="M3044" i="1"/>
  <c r="L3044" i="1"/>
  <c r="M3109" i="1"/>
  <c r="L3109" i="1"/>
  <c r="M3120" i="1"/>
  <c r="L3120" i="1"/>
  <c r="M3153" i="1"/>
  <c r="L3153" i="1"/>
  <c r="M3309" i="1"/>
  <c r="L3309" i="1"/>
  <c r="L3314" i="1"/>
  <c r="L3250" i="1"/>
  <c r="L3222" i="1"/>
  <c r="L3184" i="1"/>
  <c r="L3144" i="1"/>
  <c r="L3106" i="1"/>
  <c r="L2896" i="1"/>
  <c r="L2754" i="1"/>
  <c r="L2582" i="1"/>
  <c r="M2426" i="1"/>
  <c r="L2426" i="1"/>
  <c r="M2436" i="1"/>
  <c r="L2436" i="1"/>
  <c r="M2480" i="1"/>
  <c r="L2480" i="1"/>
  <c r="M2491" i="1"/>
  <c r="L2491" i="1"/>
  <c r="M2502" i="1"/>
  <c r="L2502" i="1"/>
  <c r="M2539" i="1"/>
  <c r="L2539" i="1"/>
  <c r="M2573" i="1"/>
  <c r="L2573" i="1"/>
  <c r="M2586" i="1"/>
  <c r="L2586" i="1"/>
  <c r="M2596" i="1"/>
  <c r="L2596" i="1"/>
  <c r="M2609" i="1"/>
  <c r="L2609" i="1"/>
  <c r="M2646" i="1"/>
  <c r="L2646" i="1"/>
  <c r="M2745" i="1"/>
  <c r="L2745" i="1"/>
  <c r="M2830" i="1"/>
  <c r="L2830" i="1"/>
  <c r="M2869" i="1"/>
  <c r="L2869" i="1"/>
  <c r="M2895" i="1"/>
  <c r="L2895" i="1"/>
  <c r="M2908" i="1"/>
  <c r="L2908" i="1"/>
  <c r="M2986" i="1"/>
  <c r="L2986" i="1"/>
  <c r="M3045" i="1"/>
  <c r="L3045" i="1"/>
  <c r="M3078" i="1"/>
  <c r="L3078" i="1"/>
  <c r="M3121" i="1"/>
  <c r="L3121" i="1"/>
  <c r="M3165" i="1"/>
  <c r="L3165" i="1"/>
  <c r="M3186" i="1"/>
  <c r="L3186" i="1"/>
  <c r="M3253" i="1"/>
  <c r="L3253" i="1"/>
  <c r="M3288" i="1"/>
  <c r="L3288" i="1"/>
  <c r="M3298" i="1"/>
  <c r="L3298" i="1"/>
  <c r="L3283" i="1"/>
  <c r="L3097" i="1"/>
  <c r="L3058" i="1"/>
  <c r="L2843" i="1"/>
  <c r="M2561" i="1"/>
  <c r="L2561" i="1"/>
  <c r="M2575" i="1"/>
  <c r="L2575" i="1"/>
  <c r="M2597" i="1"/>
  <c r="L2597" i="1"/>
  <c r="M2666" i="1"/>
  <c r="L2666" i="1"/>
  <c r="M2676" i="1"/>
  <c r="L2676" i="1"/>
  <c r="M2695" i="1"/>
  <c r="L2695" i="1"/>
  <c r="M2764" i="1"/>
  <c r="L2764" i="1"/>
  <c r="M2812" i="1"/>
  <c r="L2812" i="1"/>
  <c r="M2884" i="1"/>
  <c r="L2884" i="1"/>
  <c r="M2909" i="1"/>
  <c r="L2909" i="1"/>
  <c r="M2922" i="1"/>
  <c r="L2922" i="1"/>
  <c r="M2934" i="1"/>
  <c r="L2934" i="1"/>
  <c r="M2947" i="1"/>
  <c r="L2947" i="1"/>
  <c r="M2957" i="1"/>
  <c r="L2957" i="1"/>
  <c r="M2966" i="1"/>
  <c r="L2966" i="1"/>
  <c r="M3022" i="1"/>
  <c r="L3022" i="1"/>
  <c r="M3122" i="1"/>
  <c r="L3122" i="1"/>
  <c r="M3133" i="1"/>
  <c r="L3133" i="1"/>
  <c r="M3143" i="1"/>
  <c r="L3143" i="1"/>
  <c r="M3176" i="1"/>
  <c r="L3176" i="1"/>
  <c r="M3199" i="1"/>
  <c r="L3199" i="1"/>
  <c r="M3254" i="1"/>
  <c r="L3254" i="1"/>
  <c r="M3310" i="1"/>
  <c r="L3310" i="1"/>
  <c r="L3335" i="1"/>
  <c r="L3057" i="1"/>
  <c r="L3018" i="1"/>
  <c r="L2978" i="1"/>
  <c r="L2935" i="1"/>
  <c r="L2842" i="1"/>
  <c r="L2799" i="1"/>
  <c r="L2744" i="1"/>
  <c r="M2459" i="1"/>
  <c r="L2459" i="1"/>
  <c r="M2470" i="1"/>
  <c r="L2470" i="1"/>
  <c r="M2493" i="1"/>
  <c r="L2493" i="1"/>
  <c r="M2504" i="1"/>
  <c r="L2504" i="1"/>
  <c r="M2541" i="1"/>
  <c r="L2541" i="1"/>
  <c r="M2551" i="1"/>
  <c r="L2551" i="1"/>
  <c r="M2611" i="1"/>
  <c r="L2611" i="1"/>
  <c r="M2624" i="1"/>
  <c r="L2624" i="1"/>
  <c r="M2765" i="1"/>
  <c r="L2765" i="1"/>
  <c r="M2844" i="1"/>
  <c r="L2844" i="1"/>
  <c r="M2857" i="1"/>
  <c r="L2857" i="1"/>
  <c r="M2885" i="1"/>
  <c r="L2885" i="1"/>
  <c r="M2910" i="1"/>
  <c r="L2910" i="1"/>
  <c r="M2948" i="1"/>
  <c r="L2948" i="1"/>
  <c r="M2976" i="1"/>
  <c r="L2976" i="1"/>
  <c r="M3024" i="1"/>
  <c r="L3024" i="1"/>
  <c r="M3255" i="1"/>
  <c r="L3255" i="1"/>
  <c r="L3334" i="1"/>
  <c r="L3056" i="1"/>
  <c r="L3017" i="1"/>
  <c r="L2975" i="1"/>
  <c r="L2883" i="1"/>
  <c r="L2741" i="1"/>
  <c r="L2420" i="1"/>
  <c r="M2495" i="1"/>
  <c r="L2495" i="1"/>
  <c r="M2506" i="1"/>
  <c r="L2506" i="1"/>
  <c r="M2543" i="1"/>
  <c r="L2543" i="1"/>
  <c r="M2564" i="1"/>
  <c r="L2564" i="1"/>
  <c r="M2613" i="1"/>
  <c r="L2613" i="1"/>
  <c r="M2626" i="1"/>
  <c r="L2626" i="1"/>
  <c r="M2669" i="1"/>
  <c r="L2669" i="1"/>
  <c r="M2757" i="1"/>
  <c r="L2757" i="1"/>
  <c r="M2776" i="1"/>
  <c r="L2776" i="1"/>
  <c r="M2846" i="1"/>
  <c r="L2846" i="1"/>
  <c r="M2874" i="1"/>
  <c r="L2874" i="1"/>
  <c r="M2989" i="1"/>
  <c r="L2989" i="1"/>
  <c r="M3202" i="1"/>
  <c r="L3202" i="1"/>
  <c r="M3280" i="1"/>
  <c r="L3280" i="1"/>
  <c r="L3330" i="1"/>
  <c r="L3208" i="1"/>
  <c r="L3129" i="1"/>
  <c r="L3091" i="1"/>
  <c r="L3052" i="1"/>
  <c r="L3013" i="1"/>
  <c r="L2920" i="1"/>
  <c r="L2878" i="1"/>
  <c r="L2735" i="1"/>
  <c r="L2623" i="1"/>
  <c r="M1783" i="1"/>
  <c r="L1783" i="1"/>
  <c r="M1808" i="1"/>
  <c r="L1808" i="1"/>
  <c r="M1819" i="1"/>
  <c r="L1819" i="1"/>
  <c r="M1861" i="1"/>
  <c r="L1861" i="1"/>
  <c r="M1887" i="1"/>
  <c r="L1887" i="1"/>
  <c r="M1899" i="1"/>
  <c r="L1899" i="1"/>
  <c r="M1942" i="1"/>
  <c r="L1942" i="1"/>
  <c r="M2089" i="1"/>
  <c r="L2089" i="1"/>
  <c r="M2184" i="1"/>
  <c r="L2184" i="1"/>
  <c r="M2347" i="1"/>
  <c r="L2347" i="1"/>
  <c r="M2358" i="1"/>
  <c r="L2358" i="1"/>
  <c r="M2400" i="1"/>
  <c r="L2400" i="1"/>
  <c r="M2497" i="1"/>
  <c r="L2497" i="1"/>
  <c r="M2519" i="1"/>
  <c r="L2519" i="1"/>
  <c r="M2555" i="1"/>
  <c r="L2555" i="1"/>
  <c r="M2615" i="1"/>
  <c r="L2615" i="1"/>
  <c r="M2640" i="1"/>
  <c r="L2640" i="1"/>
  <c r="M2652" i="1"/>
  <c r="L2652" i="1"/>
  <c r="M2680" i="1"/>
  <c r="L2680" i="1"/>
  <c r="M2699" i="1"/>
  <c r="L2699" i="1"/>
  <c r="M2709" i="1"/>
  <c r="L2709" i="1"/>
  <c r="M2789" i="1"/>
  <c r="L2789" i="1"/>
  <c r="M2836" i="1"/>
  <c r="L2836" i="1"/>
  <c r="M2849" i="1"/>
  <c r="L2849" i="1"/>
  <c r="M2889" i="1"/>
  <c r="L2889" i="1"/>
  <c r="M2926" i="1"/>
  <c r="L2926" i="1"/>
  <c r="M2952" i="1"/>
  <c r="L2952" i="1"/>
  <c r="M3028" i="1"/>
  <c r="L3028" i="1"/>
  <c r="M3083" i="1"/>
  <c r="L3083" i="1"/>
  <c r="M3127" i="1"/>
  <c r="L3127" i="1"/>
  <c r="M3170" i="1"/>
  <c r="L3170" i="1"/>
  <c r="M3180" i="1"/>
  <c r="L3180" i="1"/>
  <c r="M3204" i="1"/>
  <c r="L3204" i="1"/>
  <c r="L3215" i="1"/>
  <c r="M3215" i="1"/>
  <c r="L3299" i="1"/>
  <c r="L3266" i="1"/>
  <c r="L3194" i="1"/>
  <c r="L3077" i="1"/>
  <c r="L3000" i="1"/>
  <c r="L2916" i="1"/>
  <c r="L2871" i="1"/>
  <c r="L2610" i="1"/>
  <c r="M1934" i="1"/>
  <c r="L1934" i="1"/>
  <c r="M1974" i="1"/>
  <c r="L1974" i="1"/>
  <c r="M1995" i="1"/>
  <c r="L1995" i="1"/>
  <c r="M2052" i="1"/>
  <c r="L2052" i="1"/>
  <c r="M2079" i="1"/>
  <c r="L2079" i="1"/>
  <c r="M2091" i="1"/>
  <c r="L2091" i="1"/>
  <c r="M2152" i="1"/>
  <c r="L2152" i="1"/>
  <c r="M2175" i="1"/>
  <c r="L2175" i="1"/>
  <c r="M2219" i="1"/>
  <c r="L2219" i="1"/>
  <c r="M2255" i="1"/>
  <c r="L2255" i="1"/>
  <c r="M2316" i="1"/>
  <c r="L2316" i="1"/>
  <c r="M2337" i="1"/>
  <c r="L2337" i="1"/>
  <c r="M2422" i="1"/>
  <c r="L2422" i="1"/>
  <c r="M2465" i="1"/>
  <c r="L2465" i="1"/>
  <c r="M2569" i="1"/>
  <c r="L2569" i="1"/>
  <c r="M2581" i="1"/>
  <c r="L2581" i="1"/>
  <c r="M2672" i="1"/>
  <c r="L2672" i="1"/>
  <c r="M2701" i="1"/>
  <c r="L2701" i="1"/>
  <c r="M2721" i="1"/>
  <c r="L2721" i="1"/>
  <c r="M2929" i="1"/>
  <c r="L2929" i="1"/>
  <c r="M2981" i="1"/>
  <c r="L2981" i="1"/>
  <c r="M3004" i="1"/>
  <c r="L3004" i="1"/>
  <c r="M3040" i="1"/>
  <c r="L3040" i="1"/>
  <c r="M3064" i="1"/>
  <c r="L3064" i="1"/>
  <c r="M3085" i="1"/>
  <c r="L3085" i="1"/>
  <c r="M3096" i="1"/>
  <c r="L3096" i="1"/>
  <c r="M3149" i="1"/>
  <c r="L3149" i="1"/>
  <c r="M3161" i="1"/>
  <c r="L3161" i="1"/>
  <c r="M3217" i="1"/>
  <c r="L3217" i="1"/>
  <c r="M3260" i="1"/>
  <c r="L3260" i="1"/>
  <c r="L3192" i="1"/>
  <c r="L3154" i="1"/>
  <c r="L3036" i="1"/>
  <c r="L2997" i="1"/>
  <c r="L2954" i="1"/>
  <c r="L2819" i="1"/>
  <c r="L2716" i="1"/>
  <c r="L2663" i="1"/>
  <c r="L2603" i="1"/>
  <c r="L2534" i="1"/>
  <c r="L1984" i="1"/>
  <c r="M2381" i="1"/>
  <c r="L2381" i="1"/>
  <c r="M2432" i="1"/>
  <c r="L2432" i="1"/>
  <c r="M2453" i="1"/>
  <c r="L2453" i="1"/>
  <c r="M2487" i="1"/>
  <c r="L2487" i="1"/>
  <c r="M2499" i="1"/>
  <c r="L2499" i="1"/>
  <c r="L2510" i="1"/>
  <c r="M2510" i="1"/>
  <c r="M2521" i="1"/>
  <c r="L2521" i="1"/>
  <c r="M2557" i="1"/>
  <c r="L2557" i="1"/>
  <c r="M2605" i="1"/>
  <c r="L2605" i="1"/>
  <c r="M2630" i="1"/>
  <c r="L2630" i="1"/>
  <c r="M2642" i="1"/>
  <c r="L2642" i="1"/>
  <c r="M2654" i="1"/>
  <c r="L2654" i="1"/>
  <c r="M2731" i="1"/>
  <c r="L2731" i="1"/>
  <c r="M2751" i="1"/>
  <c r="L2751" i="1"/>
  <c r="M2760" i="1"/>
  <c r="L2760" i="1"/>
  <c r="M2770" i="1"/>
  <c r="L2770" i="1"/>
  <c r="M2808" i="1"/>
  <c r="L2808" i="1"/>
  <c r="M2817" i="1"/>
  <c r="L2817" i="1"/>
  <c r="M2826" i="1"/>
  <c r="L2826" i="1"/>
  <c r="M2851" i="1"/>
  <c r="L2851" i="1"/>
  <c r="M2865" i="1"/>
  <c r="L2865" i="1"/>
  <c r="M2891" i="1"/>
  <c r="L2891" i="1"/>
  <c r="M2903" i="1"/>
  <c r="L2903" i="1"/>
  <c r="M2941" i="1"/>
  <c r="L2941" i="1"/>
  <c r="M2982" i="1"/>
  <c r="L2982" i="1"/>
  <c r="M3005" i="1"/>
  <c r="L3005" i="1"/>
  <c r="M3041" i="1"/>
  <c r="L3041" i="1"/>
  <c r="M3086" i="1"/>
  <c r="L3086" i="1"/>
  <c r="M3117" i="1"/>
  <c r="L3117" i="1"/>
  <c r="M3139" i="1"/>
  <c r="L3139" i="1"/>
  <c r="M3162" i="1"/>
  <c r="L3162" i="1"/>
  <c r="M3182" i="1"/>
  <c r="L3182" i="1"/>
  <c r="M3206" i="1"/>
  <c r="L3206" i="1"/>
  <c r="M3218" i="1"/>
  <c r="L3218" i="1"/>
  <c r="M3239" i="1"/>
  <c r="L3239" i="1"/>
  <c r="M3261" i="1"/>
  <c r="L3261" i="1"/>
  <c r="M3273" i="1"/>
  <c r="L3273" i="1"/>
  <c r="M3284" i="1"/>
  <c r="L3284" i="1"/>
  <c r="M3295" i="1"/>
  <c r="L3295" i="1"/>
  <c r="M3306" i="1"/>
  <c r="L3306" i="1"/>
  <c r="L3228" i="1"/>
  <c r="L3152" i="1"/>
  <c r="L3074" i="1"/>
  <c r="L2902" i="1"/>
  <c r="L2860" i="1"/>
  <c r="L2763" i="1"/>
  <c r="L2715" i="1"/>
  <c r="L2532" i="1"/>
  <c r="L1831" i="1"/>
  <c r="L3181" i="1"/>
  <c r="M3181" i="1"/>
  <c r="M3300" i="1"/>
  <c r="L3300" i="1"/>
  <c r="L3324" i="1"/>
  <c r="M3236" i="1"/>
  <c r="L3236" i="1"/>
  <c r="L3323" i="1"/>
  <c r="J4" i="1" l="1"/>
  <c r="K4" i="1" s="1"/>
  <c r="J5" i="1" l="1"/>
  <c r="M4" i="1"/>
  <c r="L4" i="1"/>
  <c r="J6" i="1" l="1"/>
  <c r="J7" i="1" l="1"/>
  <c r="J8" i="1" l="1"/>
  <c r="J9" i="1" l="1"/>
  <c r="J10" i="1" l="1"/>
  <c r="J11" i="1" l="1"/>
  <c r="J12" i="1" l="1"/>
  <c r="J13" i="1" l="1"/>
  <c r="J14" i="1" l="1"/>
  <c r="J15" i="1" l="1"/>
  <c r="J16" i="1" l="1"/>
  <c r="J17" i="1" l="1"/>
  <c r="J18" i="1" l="1"/>
  <c r="J19" i="1" s="1"/>
  <c r="J20" i="1" s="1"/>
  <c r="J21" i="1" s="1"/>
  <c r="J22" i="1" s="1"/>
  <c r="J23" i="1" s="1"/>
  <c r="J24" i="1" s="1"/>
  <c r="J25" i="1"/>
  <c r="J26" i="1" l="1"/>
  <c r="J27" i="1" l="1"/>
  <c r="J28" i="1" l="1"/>
  <c r="J29" i="1" l="1"/>
  <c r="J30" i="1" l="1"/>
  <c r="K30" i="1" l="1"/>
  <c r="L30" i="1" s="1"/>
  <c r="J31" i="1"/>
  <c r="M30" i="1" l="1"/>
  <c r="J32" i="1"/>
  <c r="K32" i="1" l="1"/>
  <c r="M32" i="1" s="1"/>
  <c r="J33" i="1"/>
  <c r="K33" i="1" s="1"/>
  <c r="L32" i="1" l="1"/>
  <c r="M33" i="1"/>
  <c r="L33" i="1"/>
  <c r="J34" i="1"/>
  <c r="K34" i="1" s="1"/>
  <c r="J35" i="1" l="1"/>
  <c r="K35" i="1" s="1"/>
  <c r="M34" i="1"/>
  <c r="L34" i="1"/>
  <c r="M35" i="1" l="1"/>
  <c r="L35" i="1"/>
  <c r="J36" i="1"/>
  <c r="K36" i="1" s="1"/>
  <c r="M36" i="1" l="1"/>
  <c r="L36" i="1"/>
  <c r="J37" i="1"/>
  <c r="K37" i="1" s="1"/>
  <c r="M37" i="1" l="1"/>
  <c r="L37" i="1"/>
  <c r="J38" i="1"/>
  <c r="K38" i="1" s="1"/>
  <c r="M38" i="1" l="1"/>
  <c r="L38" i="1"/>
  <c r="J39" i="1"/>
  <c r="K39" i="1" s="1"/>
  <c r="L39" i="1" l="1"/>
  <c r="M39" i="1"/>
  <c r="J40" i="1"/>
  <c r="K40" i="1" s="1"/>
  <c r="L40" i="1" l="1"/>
  <c r="M40" i="1"/>
  <c r="J41" i="1"/>
  <c r="K41" i="1" s="1"/>
  <c r="M41" i="1" l="1"/>
  <c r="L41" i="1"/>
  <c r="J42" i="1"/>
  <c r="K42" i="1" s="1"/>
  <c r="L42" i="1" l="1"/>
  <c r="M42" i="1"/>
  <c r="J43" i="1"/>
  <c r="K43" i="1" s="1"/>
  <c r="J44" i="1" l="1"/>
  <c r="K44" i="1" s="1"/>
  <c r="M43" i="1"/>
  <c r="L43" i="1"/>
  <c r="M44" i="1" l="1"/>
  <c r="L44" i="1"/>
  <c r="J45" i="1"/>
  <c r="K45" i="1" s="1"/>
  <c r="M45" i="1" l="1"/>
  <c r="L45" i="1"/>
  <c r="J46" i="1"/>
  <c r="K46" i="1" s="1"/>
  <c r="L46" i="1" l="1"/>
  <c r="M46" i="1"/>
  <c r="J47" i="1"/>
  <c r="J48" i="1" l="1"/>
  <c r="J49" i="1" l="1"/>
  <c r="J50" i="1" l="1"/>
  <c r="J51" i="1" l="1"/>
  <c r="J52" i="1" l="1"/>
  <c r="J53" i="1" l="1"/>
  <c r="J54" i="1" l="1"/>
  <c r="J55" i="1" l="1"/>
  <c r="J56" i="1" l="1"/>
  <c r="J57" i="1" l="1"/>
  <c r="J58" i="1" l="1"/>
  <c r="J59" i="1" l="1"/>
  <c r="J60" i="1" l="1"/>
  <c r="J61" i="1" l="1"/>
  <c r="J62" i="1" l="1"/>
  <c r="J63" i="1" l="1"/>
  <c r="J64" i="1" l="1"/>
  <c r="J65" i="1" l="1"/>
  <c r="J66" i="1" l="1"/>
  <c r="J67" i="1" l="1"/>
  <c r="J68" i="1" l="1"/>
  <c r="J69" i="1" l="1"/>
  <c r="J70" i="1" l="1"/>
  <c r="J71" i="1" l="1"/>
  <c r="J72" i="1" l="1"/>
  <c r="J73" i="1" l="1"/>
  <c r="J74" i="1" l="1"/>
  <c r="J75" i="1" l="1"/>
  <c r="J76" i="1" l="1"/>
  <c r="J77" i="1" l="1"/>
  <c r="J78" i="1" l="1"/>
  <c r="J79" i="1" l="1"/>
  <c r="J80" i="1" l="1"/>
  <c r="J81" i="1" l="1"/>
  <c r="J82" i="1" l="1"/>
  <c r="J83" i="1" l="1"/>
  <c r="J84" i="1" l="1"/>
  <c r="J85" i="1" l="1"/>
  <c r="J86" i="1" l="1"/>
  <c r="J87" i="1" l="1"/>
  <c r="J88" i="1" l="1"/>
  <c r="J89" i="1" l="1"/>
  <c r="J90" i="1" l="1"/>
  <c r="J91" i="1" l="1"/>
  <c r="J92" i="1" l="1"/>
  <c r="J93" i="1" l="1"/>
  <c r="J94" i="1" l="1"/>
  <c r="J95" i="1" l="1"/>
  <c r="J96" i="1" l="1"/>
  <c r="J97" i="1" l="1"/>
  <c r="J98" i="1" l="1"/>
  <c r="J99" i="1" l="1"/>
  <c r="J100" i="1" l="1"/>
  <c r="K21" i="1"/>
  <c r="K25" i="1"/>
  <c r="K28" i="1"/>
  <c r="K29" i="1"/>
  <c r="K20" i="1"/>
  <c r="K27" i="1"/>
  <c r="K26" i="1"/>
  <c r="K922" i="1"/>
  <c r="K939" i="1"/>
  <c r="K879" i="1"/>
  <c r="K31" i="1"/>
  <c r="J101" i="1" l="1"/>
  <c r="L26" i="1"/>
  <c r="M26" i="1"/>
  <c r="M27" i="1"/>
  <c r="L27" i="1"/>
  <c r="L20" i="1"/>
  <c r="M20" i="1"/>
  <c r="M29" i="1"/>
  <c r="L29" i="1"/>
  <c r="L28" i="1"/>
  <c r="M28" i="1"/>
  <c r="M25" i="1"/>
  <c r="L25" i="1"/>
  <c r="M21" i="1"/>
  <c r="L21" i="1"/>
  <c r="M879" i="1"/>
  <c r="L879" i="1"/>
  <c r="M922" i="1"/>
  <c r="L922" i="1"/>
  <c r="M31" i="1"/>
  <c r="L31" i="1"/>
  <c r="M939" i="1"/>
  <c r="L939" i="1"/>
  <c r="J102" i="1" l="1"/>
  <c r="J103" i="1" l="1"/>
  <c r="J104" i="1" l="1"/>
  <c r="J105" i="1" l="1"/>
  <c r="J106" i="1" l="1"/>
  <c r="J107" i="1" l="1"/>
  <c r="J108" i="1" l="1"/>
  <c r="K108" i="1" l="1"/>
  <c r="M108" i="1" s="1"/>
  <c r="J109" i="1"/>
  <c r="K109" i="1" l="1"/>
  <c r="M109" i="1" s="1"/>
  <c r="L108" i="1"/>
  <c r="J110" i="1"/>
  <c r="K110" i="1" l="1"/>
  <c r="M110" i="1" s="1"/>
  <c r="L109" i="1"/>
  <c r="J111" i="1"/>
  <c r="L110" i="1" l="1"/>
  <c r="J112" i="1"/>
  <c r="J113" i="1" l="1"/>
  <c r="J114" i="1" l="1"/>
  <c r="J115" i="1" l="1"/>
  <c r="J116" i="1" l="1"/>
  <c r="J117" i="1" l="1"/>
  <c r="J118" i="1" l="1"/>
  <c r="J119" i="1" l="1"/>
  <c r="J120" i="1" l="1"/>
  <c r="J121" i="1" l="1"/>
  <c r="J122" i="1" l="1"/>
  <c r="J123" i="1" l="1"/>
  <c r="J124" i="1" l="1"/>
  <c r="J125" i="1" l="1"/>
  <c r="J126" i="1" l="1"/>
  <c r="J127" i="1" l="1"/>
  <c r="J128" i="1" l="1"/>
  <c r="J129" i="1" l="1"/>
  <c r="J130" i="1" l="1"/>
  <c r="J131" i="1" l="1"/>
  <c r="J132" i="1" l="1"/>
  <c r="J133" i="1" l="1"/>
  <c r="J134" i="1" l="1"/>
  <c r="J135" i="1" l="1"/>
  <c r="J136" i="1" l="1"/>
  <c r="J137" i="1" l="1"/>
  <c r="J138" i="1" l="1"/>
  <c r="J139" i="1" l="1"/>
  <c r="J140" i="1" l="1"/>
  <c r="J141" i="1" l="1"/>
  <c r="J142" i="1" l="1"/>
  <c r="J143" i="1" l="1"/>
  <c r="J144" i="1" l="1"/>
  <c r="J145" i="1" l="1"/>
  <c r="J146" i="1" l="1"/>
  <c r="J147" i="1" l="1"/>
  <c r="J148" i="1" l="1"/>
  <c r="J149" i="1" l="1"/>
  <c r="J150" i="1" l="1"/>
  <c r="J151" i="1" l="1"/>
  <c r="J152" i="1" l="1"/>
  <c r="J153" i="1" l="1"/>
  <c r="J154" i="1" l="1"/>
  <c r="J155" i="1" l="1"/>
  <c r="J156" i="1" l="1"/>
  <c r="J157" i="1" l="1"/>
  <c r="J158" i="1" l="1"/>
  <c r="J159" i="1" l="1"/>
  <c r="J160" i="1" l="1"/>
  <c r="J161" i="1" l="1"/>
  <c r="J162" i="1" l="1"/>
  <c r="J163" i="1" l="1"/>
  <c r="J164" i="1" l="1"/>
  <c r="J165" i="1" l="1"/>
  <c r="J166" i="1" l="1"/>
  <c r="J167" i="1" l="1"/>
  <c r="J168" i="1" l="1"/>
  <c r="J169" i="1" l="1"/>
  <c r="J170" i="1" l="1"/>
  <c r="J171" i="1" l="1"/>
  <c r="J172" i="1" l="1"/>
  <c r="J173" i="1" l="1"/>
  <c r="J174" i="1" l="1"/>
  <c r="J175" i="1" l="1"/>
  <c r="J176" i="1" l="1"/>
  <c r="J177" i="1" l="1"/>
  <c r="J178" i="1" l="1"/>
  <c r="J179" i="1" l="1"/>
  <c r="J180" i="1" l="1"/>
  <c r="J181" i="1" l="1"/>
  <c r="J182" i="1" l="1"/>
  <c r="J183" i="1" l="1"/>
  <c r="J184" i="1" l="1"/>
  <c r="J185" i="1" l="1"/>
  <c r="J186" i="1" l="1"/>
  <c r="J187" i="1" l="1"/>
  <c r="J188" i="1" l="1"/>
  <c r="J189" i="1" l="1"/>
  <c r="J190" i="1" l="1"/>
  <c r="J191" i="1" l="1"/>
  <c r="J192" i="1" l="1"/>
  <c r="J193" i="1" l="1"/>
  <c r="J194" i="1" l="1"/>
  <c r="J195" i="1" l="1"/>
  <c r="J196" i="1" l="1"/>
  <c r="J197" i="1" l="1"/>
  <c r="J198" i="1" l="1"/>
  <c r="J199" i="1" l="1"/>
  <c r="J200" i="1" l="1"/>
  <c r="J201" i="1" l="1"/>
  <c r="J202" i="1" l="1"/>
  <c r="J203" i="1" l="1"/>
  <c r="J204" i="1" l="1"/>
  <c r="J205" i="1" l="1"/>
  <c r="J206" i="1" l="1"/>
  <c r="J207" i="1" l="1"/>
  <c r="J208" i="1" l="1"/>
  <c r="J209" i="1" l="1"/>
  <c r="J210" i="1" l="1"/>
  <c r="J211" i="1" l="1"/>
  <c r="J212" i="1" l="1"/>
  <c r="J213" i="1" l="1"/>
  <c r="J214" i="1" l="1"/>
  <c r="J215" i="1" l="1"/>
  <c r="J216" i="1" l="1"/>
  <c r="J217" i="1" l="1"/>
  <c r="J218" i="1" l="1"/>
  <c r="J219" i="1" l="1"/>
  <c r="J220" i="1" l="1"/>
  <c r="J221" i="1" l="1"/>
  <c r="J222" i="1" l="1"/>
  <c r="J223" i="1" l="1"/>
  <c r="J224" i="1" l="1"/>
  <c r="J225" i="1" l="1"/>
  <c r="J226" i="1" l="1"/>
  <c r="J227" i="1" l="1"/>
  <c r="J228" i="1" l="1"/>
  <c r="J229" i="1" l="1"/>
  <c r="J230" i="1" l="1"/>
  <c r="J231" i="1" l="1"/>
  <c r="J232" i="1" l="1"/>
  <c r="J233" i="1" l="1"/>
  <c r="J234" i="1" l="1"/>
  <c r="J235" i="1" l="1"/>
  <c r="J236" i="1" l="1"/>
  <c r="J237" i="1" l="1"/>
  <c r="J238" i="1" l="1"/>
  <c r="J239" i="1" l="1"/>
  <c r="J240" i="1" l="1"/>
  <c r="J241" i="1" l="1"/>
  <c r="J242" i="1" l="1"/>
  <c r="J243" i="1" l="1"/>
  <c r="J244" i="1" l="1"/>
  <c r="J245" i="1" l="1"/>
  <c r="J246" i="1" l="1"/>
  <c r="J247" i="1" l="1"/>
  <c r="J248" i="1" l="1"/>
  <c r="J249" i="1" l="1"/>
  <c r="J250" i="1" l="1"/>
  <c r="J251" i="1" l="1"/>
  <c r="J252" i="1" l="1"/>
  <c r="J253" i="1" l="1"/>
  <c r="J254" i="1" l="1"/>
  <c r="J255" i="1" l="1"/>
  <c r="J256" i="1" l="1"/>
  <c r="J257" i="1" l="1"/>
  <c r="J258" i="1" l="1"/>
  <c r="J259" i="1" l="1"/>
  <c r="J260" i="1" l="1"/>
  <c r="J261" i="1" l="1"/>
  <c r="J262" i="1" l="1"/>
  <c r="J263" i="1" l="1"/>
  <c r="J264" i="1" l="1"/>
  <c r="J265" i="1" l="1"/>
  <c r="J266" i="1" l="1"/>
  <c r="J267" i="1" l="1"/>
  <c r="J268" i="1" l="1"/>
  <c r="J269" i="1" l="1"/>
  <c r="J270" i="1" l="1"/>
  <c r="J271" i="1" l="1"/>
  <c r="J272" i="1" l="1"/>
  <c r="K272" i="1" l="1"/>
  <c r="M272" i="1" s="1"/>
  <c r="J273" i="1"/>
  <c r="L272" i="1" l="1"/>
  <c r="J274" i="1"/>
  <c r="J275" i="1" l="1"/>
  <c r="J276" i="1" l="1"/>
  <c r="J277" i="1" l="1"/>
  <c r="J278" i="1" l="1"/>
  <c r="J279" i="1" l="1"/>
  <c r="J280" i="1" l="1"/>
  <c r="J281" i="1" l="1"/>
  <c r="J282" i="1" l="1"/>
  <c r="J283" i="1" l="1"/>
  <c r="J284" i="1" l="1"/>
  <c r="J285" i="1" l="1"/>
  <c r="J286" i="1" l="1"/>
  <c r="J287" i="1" l="1"/>
  <c r="J288" i="1" l="1"/>
  <c r="J289" i="1" l="1"/>
  <c r="J290" i="1" l="1"/>
  <c r="J291" i="1" l="1"/>
  <c r="J292" i="1" l="1"/>
  <c r="J293" i="1" l="1"/>
  <c r="J294" i="1" l="1"/>
  <c r="J295" i="1" l="1"/>
  <c r="J296" i="1" l="1"/>
  <c r="J297" i="1" l="1"/>
  <c r="J298" i="1" l="1"/>
  <c r="J299" i="1" l="1"/>
  <c r="J300" i="1" l="1"/>
  <c r="J301" i="1" l="1"/>
  <c r="J302" i="1" l="1"/>
  <c r="J303" i="1" l="1"/>
  <c r="J304" i="1" l="1"/>
  <c r="J305" i="1" l="1"/>
  <c r="J306" i="1" l="1"/>
  <c r="J307" i="1" l="1"/>
  <c r="J308" i="1" l="1"/>
  <c r="J309" i="1" l="1"/>
  <c r="J310" i="1" l="1"/>
  <c r="J311" i="1" l="1"/>
  <c r="J312" i="1" l="1"/>
  <c r="J313" i="1" l="1"/>
  <c r="J314" i="1" l="1"/>
  <c r="J315" i="1" l="1"/>
  <c r="J316" i="1" l="1"/>
  <c r="J317" i="1" l="1"/>
  <c r="J318" i="1" l="1"/>
  <c r="J319" i="1" l="1"/>
  <c r="J320" i="1" l="1"/>
  <c r="J321" i="1" l="1"/>
  <c r="J322" i="1" l="1"/>
  <c r="J323" i="1" l="1"/>
  <c r="J324" i="1" l="1"/>
  <c r="J325" i="1" l="1"/>
  <c r="J326" i="1" l="1"/>
  <c r="J327" i="1" l="1"/>
  <c r="J328" i="1" l="1"/>
  <c r="J329" i="1" l="1"/>
  <c r="J330" i="1" l="1"/>
  <c r="J331" i="1" l="1"/>
  <c r="J332" i="1" l="1"/>
  <c r="J333" i="1" l="1"/>
  <c r="J334" i="1" l="1"/>
  <c r="J335" i="1" l="1"/>
  <c r="J336" i="1" l="1"/>
  <c r="J337" i="1" l="1"/>
  <c r="J338" i="1" l="1"/>
  <c r="J339" i="1" l="1"/>
  <c r="J340" i="1" l="1"/>
  <c r="J341" i="1" l="1"/>
  <c r="J342" i="1" l="1"/>
  <c r="J343" i="1" l="1"/>
  <c r="J344" i="1" l="1"/>
  <c r="J345" i="1" l="1"/>
  <c r="J346" i="1" l="1"/>
  <c r="J347" i="1" l="1"/>
  <c r="J348" i="1" l="1"/>
  <c r="J349" i="1" l="1"/>
  <c r="J350" i="1" l="1"/>
  <c r="J351" i="1" l="1"/>
  <c r="J352" i="1" l="1"/>
  <c r="J353" i="1" l="1"/>
  <c r="J354" i="1" l="1"/>
  <c r="J355" i="1" l="1"/>
  <c r="J356" i="1" l="1"/>
  <c r="J357" i="1" l="1"/>
  <c r="J358" i="1" l="1"/>
  <c r="J359" i="1" l="1"/>
  <c r="J360" i="1" l="1"/>
  <c r="J361" i="1" l="1"/>
  <c r="J362" i="1" l="1"/>
  <c r="J363" i="1" l="1"/>
  <c r="J364" i="1" l="1"/>
  <c r="J365" i="1" l="1"/>
  <c r="J366" i="1" l="1"/>
  <c r="J367" i="1" l="1"/>
  <c r="J368" i="1" l="1"/>
  <c r="J369" i="1" l="1"/>
  <c r="J370" i="1" l="1"/>
  <c r="J371" i="1" l="1"/>
  <c r="J372" i="1" l="1"/>
  <c r="J373" i="1" l="1"/>
  <c r="J374" i="1" l="1"/>
  <c r="J375" i="1" l="1"/>
  <c r="J376" i="1" l="1"/>
  <c r="J377" i="1" l="1"/>
  <c r="J378" i="1" l="1"/>
  <c r="J379" i="1" l="1"/>
  <c r="J380" i="1" l="1"/>
  <c r="J381" i="1" l="1"/>
  <c r="J382" i="1" l="1"/>
  <c r="J383" i="1" l="1"/>
  <c r="J384" i="1" l="1"/>
  <c r="J385" i="1" l="1"/>
  <c r="J386" i="1" l="1"/>
  <c r="J387" i="1" l="1"/>
  <c r="J388" i="1" l="1"/>
  <c r="J389" i="1" l="1"/>
  <c r="J390" i="1" l="1"/>
  <c r="J391" i="1" l="1"/>
  <c r="J392" i="1" l="1"/>
  <c r="J393" i="1" l="1"/>
  <c r="J394" i="1" l="1"/>
  <c r="J395" i="1" l="1"/>
  <c r="J396" i="1" l="1"/>
  <c r="J397" i="1" l="1"/>
  <c r="J398" i="1" l="1"/>
  <c r="J399" i="1" l="1"/>
  <c r="J400" i="1" l="1"/>
  <c r="J401" i="1" l="1"/>
  <c r="J402" i="1" l="1"/>
  <c r="J403" i="1" l="1"/>
  <c r="J404" i="1" l="1"/>
  <c r="J405" i="1" l="1"/>
  <c r="J406" i="1" l="1"/>
  <c r="J407" i="1" l="1"/>
  <c r="J408" i="1" l="1"/>
  <c r="J409" i="1" l="1"/>
  <c r="J410" i="1" l="1"/>
  <c r="J411" i="1" l="1"/>
  <c r="J412" i="1" l="1"/>
  <c r="J413" i="1" l="1"/>
  <c r="J414" i="1" l="1"/>
  <c r="J415" i="1" l="1"/>
  <c r="J416" i="1" l="1"/>
  <c r="J417" i="1" l="1"/>
  <c r="J418" i="1" l="1"/>
  <c r="J419" i="1" l="1"/>
  <c r="J420" i="1" l="1"/>
  <c r="J421" i="1" l="1"/>
  <c r="J422" i="1" l="1"/>
  <c r="J423" i="1" l="1"/>
  <c r="J424" i="1" l="1"/>
  <c r="J425" i="1" l="1"/>
  <c r="J426" i="1" l="1"/>
  <c r="J427" i="1" l="1"/>
  <c r="J428" i="1" l="1"/>
  <c r="J429" i="1" l="1"/>
  <c r="J430" i="1" l="1"/>
  <c r="J431" i="1" l="1"/>
  <c r="J432" i="1" l="1"/>
  <c r="J433" i="1" l="1"/>
  <c r="J434" i="1" l="1"/>
  <c r="J435" i="1" l="1"/>
  <c r="J436" i="1" l="1"/>
  <c r="J437" i="1" l="1"/>
  <c r="J438" i="1" l="1"/>
  <c r="J439" i="1" l="1"/>
  <c r="J440" i="1" l="1"/>
  <c r="J441" i="1" l="1"/>
  <c r="J442" i="1" l="1"/>
  <c r="J443" i="1" l="1"/>
  <c r="J444" i="1" l="1"/>
  <c r="J445" i="1" l="1"/>
  <c r="J446" i="1" l="1"/>
  <c r="J447" i="1" l="1"/>
  <c r="J448" i="1" l="1"/>
  <c r="J449" i="1" l="1"/>
  <c r="J450" i="1" l="1"/>
  <c r="J451" i="1" l="1"/>
  <c r="J452" i="1" l="1"/>
  <c r="J453" i="1" l="1"/>
  <c r="J454" i="1" l="1"/>
  <c r="J455" i="1" l="1"/>
  <c r="J456" i="1" l="1"/>
  <c r="J457" i="1" l="1"/>
  <c r="J458" i="1" l="1"/>
  <c r="J459" i="1" l="1"/>
  <c r="J460" i="1" l="1"/>
  <c r="J461" i="1" l="1"/>
  <c r="J462" i="1" l="1"/>
  <c r="J463" i="1" l="1"/>
  <c r="J464" i="1" l="1"/>
  <c r="J465" i="1" l="1"/>
  <c r="J466" i="1" l="1"/>
  <c r="J467" i="1" l="1"/>
  <c r="J468" i="1" l="1"/>
  <c r="J469" i="1" l="1"/>
  <c r="J470" i="1" l="1"/>
  <c r="J471" i="1" l="1"/>
  <c r="J472" i="1" l="1"/>
  <c r="J473" i="1" l="1"/>
  <c r="J474" i="1" l="1"/>
  <c r="J475" i="1" l="1"/>
  <c r="J476" i="1" l="1"/>
  <c r="J477" i="1" l="1"/>
  <c r="J478" i="1" l="1"/>
  <c r="J479" i="1" l="1"/>
  <c r="J480" i="1" l="1"/>
  <c r="J481" i="1" l="1"/>
  <c r="J482" i="1" l="1"/>
  <c r="J483" i="1" l="1"/>
  <c r="J484" i="1" l="1"/>
  <c r="J485" i="1" l="1"/>
  <c r="J486" i="1" l="1"/>
  <c r="J487" i="1" l="1"/>
  <c r="J488" i="1" l="1"/>
  <c r="J489" i="1" l="1"/>
  <c r="J490" i="1" l="1"/>
  <c r="J491" i="1" l="1"/>
  <c r="J492" i="1" l="1"/>
  <c r="J493" i="1" l="1"/>
  <c r="J494" i="1" l="1"/>
  <c r="J495" i="1" l="1"/>
  <c r="J496" i="1" l="1"/>
  <c r="K496" i="1" l="1"/>
  <c r="M496" i="1" s="1"/>
  <c r="J497" i="1"/>
  <c r="L496" i="1" l="1"/>
  <c r="J498" i="1"/>
  <c r="J499" i="1" l="1"/>
  <c r="J500" i="1" l="1"/>
  <c r="J501" i="1" l="1"/>
  <c r="J502" i="1" l="1"/>
  <c r="J503" i="1" l="1"/>
  <c r="J504" i="1" l="1"/>
  <c r="J505" i="1" l="1"/>
  <c r="J506" i="1" l="1"/>
  <c r="J507" i="1" l="1"/>
  <c r="J508" i="1" l="1"/>
  <c r="J509" i="1" l="1"/>
  <c r="J510" i="1" l="1"/>
  <c r="J511" i="1" l="1"/>
  <c r="J512" i="1" l="1"/>
  <c r="J513" i="1" l="1"/>
  <c r="J514" i="1" l="1"/>
  <c r="J515" i="1" l="1"/>
  <c r="J516" i="1" l="1"/>
  <c r="J517" i="1" l="1"/>
  <c r="J518" i="1" l="1"/>
  <c r="J519" i="1" l="1"/>
  <c r="J520" i="1" l="1"/>
  <c r="J521" i="1" l="1"/>
  <c r="J522" i="1" l="1"/>
  <c r="J523" i="1" l="1"/>
  <c r="J524" i="1" l="1"/>
  <c r="J525" i="1" l="1"/>
  <c r="J526" i="1" l="1"/>
  <c r="J527" i="1" l="1"/>
  <c r="J528" i="1" l="1"/>
  <c r="J529" i="1" l="1"/>
  <c r="J530" i="1" l="1"/>
  <c r="J531" i="1" l="1"/>
  <c r="J532" i="1" l="1"/>
  <c r="J533" i="1" l="1"/>
  <c r="J534" i="1" l="1"/>
  <c r="J535" i="1" l="1"/>
  <c r="J536" i="1" l="1"/>
  <c r="J537" i="1" l="1"/>
  <c r="J538" i="1" l="1"/>
  <c r="J539" i="1" l="1"/>
  <c r="J540" i="1" l="1"/>
  <c r="J541" i="1" l="1"/>
  <c r="J542" i="1" l="1"/>
  <c r="J543" i="1" l="1"/>
  <c r="J544" i="1" l="1"/>
  <c r="J545" i="1" l="1"/>
  <c r="J546" i="1" l="1"/>
  <c r="J547" i="1" l="1"/>
  <c r="J548" i="1" l="1"/>
  <c r="J549" i="1" l="1"/>
  <c r="J550" i="1" l="1"/>
  <c r="J551" i="1" l="1"/>
  <c r="J552" i="1" l="1"/>
  <c r="J553" i="1" l="1"/>
  <c r="J554" i="1" l="1"/>
  <c r="J555" i="1" l="1"/>
  <c r="J556" i="1" l="1"/>
  <c r="J557" i="1" l="1"/>
  <c r="J558" i="1" l="1"/>
  <c r="J559" i="1" l="1"/>
  <c r="J560" i="1" l="1"/>
  <c r="J561" i="1" l="1"/>
  <c r="J562" i="1" l="1"/>
  <c r="J563" i="1" l="1"/>
  <c r="J564" i="1" l="1"/>
  <c r="J565" i="1" l="1"/>
  <c r="J566" i="1" l="1"/>
  <c r="J567" i="1" l="1"/>
  <c r="J568" i="1" l="1"/>
  <c r="J569" i="1" l="1"/>
  <c r="J570" i="1" l="1"/>
  <c r="J571" i="1" l="1"/>
  <c r="J572" i="1" l="1"/>
  <c r="J573" i="1" l="1"/>
  <c r="J574" i="1" l="1"/>
  <c r="J575" i="1" l="1"/>
  <c r="J576" i="1" l="1"/>
  <c r="J577" i="1" l="1"/>
  <c r="J578" i="1" l="1"/>
  <c r="J579" i="1" l="1"/>
  <c r="J580" i="1" l="1"/>
  <c r="J581" i="1" l="1"/>
  <c r="J582" i="1" l="1"/>
  <c r="J583" i="1" l="1"/>
  <c r="J584" i="1" l="1"/>
  <c r="J585" i="1" l="1"/>
  <c r="K585" i="1" l="1"/>
  <c r="J586" i="1"/>
  <c r="M585" i="1"/>
  <c r="L585" i="1"/>
  <c r="K586" i="1" l="1"/>
  <c r="M586" i="1" s="1"/>
  <c r="J587" i="1"/>
  <c r="L586" i="1" l="1"/>
  <c r="K587" i="1"/>
  <c r="M587" i="1" s="1"/>
  <c r="L587" i="1"/>
  <c r="J588" i="1"/>
  <c r="J589" i="1" l="1"/>
  <c r="K589" i="1" s="1"/>
  <c r="J590" i="1" l="1"/>
  <c r="M589" i="1"/>
  <c r="L589" i="1"/>
  <c r="J591" i="1" l="1"/>
  <c r="J592" i="1" l="1"/>
  <c r="K592" i="1" l="1"/>
  <c r="M592" i="1" s="1"/>
  <c r="L592" i="1"/>
  <c r="J593" i="1"/>
  <c r="J594" i="1" l="1"/>
  <c r="J595" i="1" l="1"/>
  <c r="J596" i="1" l="1"/>
  <c r="J597" i="1" l="1"/>
  <c r="J598" i="1" l="1"/>
  <c r="J599" i="1" l="1"/>
  <c r="J600" i="1" l="1"/>
  <c r="J601" i="1" l="1"/>
  <c r="J602" i="1" l="1"/>
  <c r="J603" i="1" l="1"/>
  <c r="J604" i="1" l="1"/>
  <c r="J605" i="1" l="1"/>
  <c r="J606" i="1" l="1"/>
  <c r="J607" i="1" l="1"/>
  <c r="J608" i="1" l="1"/>
  <c r="J609" i="1" l="1"/>
  <c r="J610" i="1" l="1"/>
  <c r="J611" i="1" l="1"/>
  <c r="J612" i="1" l="1"/>
  <c r="J613" i="1" l="1"/>
  <c r="J614" i="1" l="1"/>
  <c r="J615" i="1" l="1"/>
  <c r="J616" i="1" l="1"/>
  <c r="J617" i="1" l="1"/>
  <c r="J618" i="1" l="1"/>
  <c r="J619" i="1" l="1"/>
  <c r="J620" i="1" l="1"/>
  <c r="J621" i="1" l="1"/>
  <c r="J622" i="1" l="1"/>
  <c r="J623" i="1" l="1"/>
  <c r="J624" i="1" l="1"/>
  <c r="J625" i="1" l="1"/>
  <c r="J626" i="1" l="1"/>
  <c r="J627" i="1" l="1"/>
  <c r="J628" i="1" l="1"/>
  <c r="J629" i="1" l="1"/>
  <c r="J630" i="1" l="1"/>
  <c r="J631" i="1" l="1"/>
  <c r="J632" i="1" l="1"/>
  <c r="J633" i="1" l="1"/>
  <c r="J634" i="1" l="1"/>
  <c r="J635" i="1" l="1"/>
  <c r="J636" i="1" l="1"/>
  <c r="J637" i="1" l="1"/>
  <c r="K637" i="1" l="1"/>
  <c r="M637" i="1" s="1"/>
  <c r="L637" i="1"/>
  <c r="J638" i="1"/>
  <c r="K638" i="1" l="1"/>
  <c r="J639" i="1"/>
  <c r="L638" i="1"/>
  <c r="M638" i="1"/>
  <c r="J640" i="1" l="1"/>
  <c r="J641" i="1" l="1"/>
  <c r="J642" i="1" l="1"/>
  <c r="J643" i="1" l="1"/>
  <c r="J644" i="1" l="1"/>
  <c r="J645" i="1" l="1"/>
  <c r="J646" i="1" l="1"/>
  <c r="K646" i="1" l="1"/>
  <c r="M646" i="1"/>
  <c r="L646" i="1"/>
  <c r="J647" i="1"/>
  <c r="K647" i="1" l="1"/>
  <c r="M647" i="1" s="1"/>
  <c r="L647" i="1"/>
  <c r="J648" i="1"/>
  <c r="J649" i="1" l="1"/>
  <c r="J650" i="1" l="1"/>
  <c r="J651" i="1" l="1"/>
  <c r="K651" i="1" l="1"/>
  <c r="M651" i="1"/>
  <c r="L651" i="1"/>
  <c r="J652" i="1"/>
  <c r="J653" i="1" l="1"/>
  <c r="J654" i="1" l="1"/>
  <c r="J655" i="1" l="1"/>
  <c r="J656" i="1" l="1"/>
  <c r="J657" i="1" l="1"/>
  <c r="J658" i="1" l="1"/>
  <c r="J659" i="1" l="1"/>
  <c r="J660" i="1" l="1"/>
  <c r="K660" i="1" l="1"/>
  <c r="L660" i="1" s="1"/>
  <c r="J661" i="1"/>
  <c r="M660" i="1" l="1"/>
  <c r="K661" i="1"/>
  <c r="M661" i="1" s="1"/>
  <c r="J662" i="1"/>
  <c r="L661" i="1" l="1"/>
  <c r="K662" i="1"/>
  <c r="J663" i="1"/>
  <c r="L662" i="1"/>
  <c r="M662" i="1"/>
  <c r="J664" i="1" l="1"/>
  <c r="J665" i="1" l="1"/>
  <c r="K665" i="1" l="1"/>
  <c r="L665" i="1" s="1"/>
  <c r="J666" i="1"/>
  <c r="M665" i="1" l="1"/>
  <c r="J667" i="1"/>
  <c r="J668" i="1" l="1"/>
  <c r="J669" i="1" l="1"/>
  <c r="J670" i="1" l="1"/>
  <c r="J671" i="1" l="1"/>
  <c r="J672" i="1" l="1"/>
  <c r="J673" i="1" l="1"/>
  <c r="J674" i="1" l="1"/>
  <c r="J675" i="1" l="1"/>
  <c r="J676" i="1" l="1"/>
  <c r="J677" i="1" l="1"/>
  <c r="J678" i="1" l="1"/>
  <c r="J679" i="1" l="1"/>
  <c r="J680" i="1" l="1"/>
  <c r="J681" i="1" l="1"/>
  <c r="J682" i="1" l="1"/>
  <c r="J683" i="1" l="1"/>
  <c r="J684" i="1" l="1"/>
  <c r="J685" i="1" l="1"/>
  <c r="J686" i="1" l="1"/>
  <c r="J687" i="1" l="1"/>
  <c r="K687" i="1" l="1"/>
  <c r="J688" i="1"/>
  <c r="M687" i="1"/>
  <c r="L687" i="1"/>
  <c r="K688" i="1" l="1"/>
  <c r="L688" i="1" s="1"/>
  <c r="M688" i="1"/>
  <c r="J689" i="1"/>
  <c r="J690" i="1" l="1"/>
  <c r="J691" i="1" l="1"/>
  <c r="J692" i="1" l="1"/>
  <c r="J693" i="1" l="1"/>
  <c r="J694" i="1" l="1"/>
  <c r="J695" i="1" l="1"/>
  <c r="J696" i="1" l="1"/>
  <c r="J697" i="1" l="1"/>
  <c r="J698" i="1" l="1"/>
  <c r="J699" i="1" l="1"/>
  <c r="J700" i="1" l="1"/>
  <c r="J701" i="1" l="1"/>
  <c r="J702" i="1" l="1"/>
  <c r="K702" i="1" l="1"/>
  <c r="L702" i="1" s="1"/>
  <c r="J703" i="1"/>
  <c r="M702" i="1" l="1"/>
  <c r="K703" i="1"/>
  <c r="M703" i="1" s="1"/>
  <c r="J704" i="1"/>
  <c r="L703" i="1" l="1"/>
  <c r="K704" i="1"/>
  <c r="L704" i="1" s="1"/>
  <c r="J705" i="1"/>
  <c r="M704" i="1" l="1"/>
  <c r="K705" i="1"/>
  <c r="M705" i="1"/>
  <c r="L705" i="1"/>
  <c r="J706" i="1"/>
  <c r="J707" i="1" l="1"/>
  <c r="K707" i="1" l="1"/>
  <c r="M707" i="1" s="1"/>
  <c r="J708" i="1"/>
  <c r="L707" i="1" l="1"/>
  <c r="K708" i="1"/>
  <c r="M708" i="1" s="1"/>
  <c r="J709" i="1"/>
  <c r="L708" i="1" l="1"/>
  <c r="K709" i="1"/>
  <c r="M709" i="1" s="1"/>
  <c r="J710" i="1"/>
  <c r="L709" i="1" l="1"/>
  <c r="K710" i="1"/>
  <c r="M710" i="1" s="1"/>
  <c r="J711" i="1"/>
  <c r="L710" i="1" l="1"/>
  <c r="K711" i="1"/>
  <c r="M711" i="1" s="1"/>
  <c r="J712" i="1"/>
  <c r="L711" i="1" l="1"/>
  <c r="K712" i="1"/>
  <c r="M712" i="1" s="1"/>
  <c r="J713" i="1"/>
  <c r="K713" i="1" s="1"/>
  <c r="L712" i="1" l="1"/>
  <c r="M713" i="1"/>
  <c r="L713" i="1"/>
  <c r="J714" i="1"/>
  <c r="J715" i="1" l="1"/>
  <c r="K715" i="1" s="1"/>
  <c r="J716" i="1" l="1"/>
  <c r="M715" i="1"/>
  <c r="L715" i="1"/>
  <c r="K716" i="1" l="1"/>
  <c r="L716" i="1"/>
  <c r="M716" i="1"/>
  <c r="J717" i="1"/>
  <c r="K717" i="1" s="1"/>
  <c r="L717" i="1" l="1"/>
  <c r="M717" i="1"/>
  <c r="J718" i="1"/>
  <c r="K718" i="1" l="1"/>
  <c r="L718" i="1"/>
  <c r="M718" i="1"/>
  <c r="J719" i="1"/>
  <c r="K719" i="1" s="1"/>
  <c r="M719" i="1" l="1"/>
  <c r="L719" i="1"/>
  <c r="J720" i="1"/>
  <c r="K720" i="1" l="1"/>
  <c r="M720" i="1"/>
  <c r="L720" i="1"/>
  <c r="J721" i="1"/>
  <c r="J722" i="1" l="1"/>
  <c r="J723" i="1" l="1"/>
  <c r="J724" i="1" l="1"/>
  <c r="J725" i="1" l="1"/>
  <c r="J726" i="1" l="1"/>
  <c r="J727" i="1" l="1"/>
  <c r="J728" i="1" l="1"/>
  <c r="J729" i="1" l="1"/>
  <c r="J730" i="1" l="1"/>
  <c r="J731" i="1" l="1"/>
  <c r="J732" i="1" l="1"/>
  <c r="J733" i="1" l="1"/>
  <c r="J734" i="1" l="1"/>
  <c r="J735" i="1" l="1"/>
  <c r="J736" i="1" l="1"/>
  <c r="J737" i="1" l="1"/>
  <c r="J738" i="1" l="1"/>
  <c r="J739" i="1" l="1"/>
  <c r="J740" i="1" l="1"/>
  <c r="J741" i="1" l="1"/>
  <c r="J742" i="1" l="1"/>
  <c r="J743" i="1" l="1"/>
  <c r="J744" i="1" l="1"/>
  <c r="J745" i="1" l="1"/>
  <c r="K745" i="1" l="1"/>
  <c r="J746" i="1"/>
  <c r="M745" i="1"/>
  <c r="L745" i="1"/>
  <c r="J747" i="1" l="1"/>
  <c r="J748" i="1" l="1"/>
  <c r="K748" i="1" l="1"/>
  <c r="J749" i="1"/>
  <c r="M748" i="1"/>
  <c r="L748" i="1"/>
  <c r="J750" i="1" l="1"/>
  <c r="K750" i="1" l="1"/>
  <c r="M750" i="1" s="1"/>
  <c r="J751" i="1"/>
  <c r="L750" i="1" l="1"/>
  <c r="K751" i="1"/>
  <c r="L751" i="1" s="1"/>
  <c r="J752" i="1"/>
  <c r="M751" i="1"/>
  <c r="J753" i="1" l="1"/>
  <c r="J754" i="1" l="1"/>
  <c r="J755" i="1" l="1"/>
  <c r="J756" i="1" l="1"/>
  <c r="J757" i="1" l="1"/>
  <c r="J758" i="1" l="1"/>
  <c r="J759" i="1" l="1"/>
  <c r="J760" i="1" l="1"/>
  <c r="J761" i="1" l="1"/>
  <c r="J762" i="1" l="1"/>
  <c r="J763" i="1" l="1"/>
  <c r="J764" i="1" l="1"/>
  <c r="J765" i="1" l="1"/>
  <c r="J766" i="1" l="1"/>
  <c r="J767" i="1" l="1"/>
  <c r="J768" i="1" l="1"/>
  <c r="J769" i="1" l="1"/>
  <c r="J770" i="1" l="1"/>
  <c r="J771" i="1" l="1"/>
  <c r="J772" i="1" l="1"/>
  <c r="J773" i="1" l="1"/>
  <c r="J774" i="1" l="1"/>
  <c r="J775" i="1" l="1"/>
  <c r="J776" i="1" l="1"/>
  <c r="J777" i="1" l="1"/>
  <c r="J778" i="1" l="1"/>
  <c r="J779" i="1" l="1"/>
  <c r="J780" i="1" l="1"/>
  <c r="J781" i="1" l="1"/>
  <c r="J782" i="1" l="1"/>
  <c r="J783" i="1" l="1"/>
  <c r="J784" i="1" l="1"/>
  <c r="J785" i="1" l="1"/>
  <c r="J786" i="1" l="1"/>
  <c r="J787" i="1" l="1"/>
  <c r="J788" i="1" l="1"/>
  <c r="J789" i="1" l="1"/>
  <c r="J790" i="1" l="1"/>
  <c r="J791" i="1" l="1"/>
  <c r="J792" i="1" l="1"/>
  <c r="J793" i="1" l="1"/>
  <c r="J794" i="1" l="1"/>
  <c r="J795" i="1" l="1"/>
  <c r="J796" i="1" l="1"/>
  <c r="J797" i="1" l="1"/>
  <c r="J798" i="1" l="1"/>
  <c r="J799" i="1" l="1"/>
  <c r="J800" i="1" l="1"/>
  <c r="J801" i="1" l="1"/>
  <c r="J802" i="1" l="1"/>
  <c r="J803" i="1" l="1"/>
  <c r="J804" i="1" l="1"/>
  <c r="J805" i="1" l="1"/>
  <c r="J806" i="1" l="1"/>
  <c r="J807" i="1" l="1"/>
  <c r="J808" i="1" l="1"/>
  <c r="J809" i="1" l="1"/>
  <c r="J810" i="1" l="1"/>
  <c r="J811" i="1" l="1"/>
  <c r="J812" i="1" l="1"/>
  <c r="J813" i="1" l="1"/>
  <c r="J814" i="1" l="1"/>
  <c r="J815" i="1" l="1"/>
  <c r="J816" i="1" l="1"/>
  <c r="J817" i="1" l="1"/>
  <c r="J818" i="1" l="1"/>
  <c r="J819" i="1" l="1"/>
  <c r="J820" i="1" l="1"/>
  <c r="J821" i="1" l="1"/>
  <c r="J822" i="1" l="1"/>
  <c r="J823" i="1" l="1"/>
  <c r="J824" i="1" l="1"/>
  <c r="J825" i="1" l="1"/>
  <c r="J826" i="1" l="1"/>
  <c r="J827" i="1" l="1"/>
  <c r="J828" i="1" l="1"/>
  <c r="J829" i="1" l="1"/>
  <c r="J830" i="1" l="1"/>
  <c r="J831" i="1" l="1"/>
  <c r="J832" i="1" l="1"/>
  <c r="J833" i="1" l="1"/>
  <c r="J834" i="1" l="1"/>
  <c r="J835" i="1" l="1"/>
  <c r="K835" i="1" l="1"/>
  <c r="M835" i="1"/>
  <c r="L835" i="1"/>
  <c r="J836" i="1"/>
  <c r="K836" i="1" l="1"/>
  <c r="J837" i="1"/>
  <c r="M836" i="1"/>
  <c r="L836" i="1"/>
  <c r="K837" i="1" l="1"/>
  <c r="M837" i="1" s="1"/>
  <c r="L837" i="1"/>
  <c r="J838" i="1"/>
  <c r="J839" i="1" l="1"/>
  <c r="J840" i="1" l="1"/>
  <c r="J841" i="1" l="1"/>
  <c r="K841" i="1" l="1"/>
  <c r="J842" i="1"/>
  <c r="M841" i="1"/>
  <c r="L841" i="1"/>
  <c r="K842" i="1" l="1"/>
  <c r="J843" i="1"/>
  <c r="M842" i="1"/>
  <c r="L842" i="1"/>
  <c r="K843" i="1" l="1"/>
  <c r="L843" i="1"/>
  <c r="M843" i="1"/>
  <c r="J844" i="1"/>
  <c r="J845" i="1" l="1"/>
  <c r="J846" i="1" l="1"/>
  <c r="J847" i="1" l="1"/>
  <c r="J848" i="1" l="1"/>
  <c r="J849" i="1" l="1"/>
  <c r="K840" i="1" l="1"/>
  <c r="J850" i="1"/>
  <c r="K849" i="1" l="1"/>
  <c r="M849" i="1" s="1"/>
  <c r="K261" i="1"/>
  <c r="K262" i="1"/>
  <c r="K265" i="1"/>
  <c r="K264" i="1"/>
  <c r="K263" i="1"/>
  <c r="K271" i="1"/>
  <c r="K839" i="1"/>
  <c r="K845" i="1"/>
  <c r="K847" i="1"/>
  <c r="K102" i="1"/>
  <c r="K48" i="1"/>
  <c r="K49" i="1"/>
  <c r="K100" i="1"/>
  <c r="K47" i="1"/>
  <c r="K101" i="1"/>
  <c r="K105" i="1"/>
  <c r="K103" i="1"/>
  <c r="K104" i="1"/>
  <c r="K106" i="1"/>
  <c r="K107" i="1"/>
  <c r="K293" i="1"/>
  <c r="K308" i="1"/>
  <c r="K310" i="1"/>
  <c r="K51" i="1"/>
  <c r="K19" i="1"/>
  <c r="K50" i="1"/>
  <c r="K22" i="1"/>
  <c r="K111" i="1"/>
  <c r="K112" i="1"/>
  <c r="K113" i="1"/>
  <c r="K114" i="1"/>
  <c r="K115" i="1"/>
  <c r="K300" i="1"/>
  <c r="K305" i="1"/>
  <c r="K350" i="1"/>
  <c r="K664" i="1"/>
  <c r="K674" i="1"/>
  <c r="K749" i="1"/>
  <c r="K844" i="1"/>
  <c r="L849" i="1"/>
  <c r="K5" i="1"/>
  <c r="K6" i="1"/>
  <c r="K7" i="1"/>
  <c r="K10" i="1"/>
  <c r="K8" i="1"/>
  <c r="K9" i="1"/>
  <c r="K11" i="1"/>
  <c r="K14" i="1"/>
  <c r="K12" i="1"/>
  <c r="K13" i="1"/>
  <c r="K15" i="1"/>
  <c r="K18" i="1"/>
  <c r="K78" i="1"/>
  <c r="K95" i="1"/>
  <c r="K87" i="1"/>
  <c r="K89" i="1"/>
  <c r="K60" i="1"/>
  <c r="K92" i="1"/>
  <c r="K74" i="1"/>
  <c r="K94" i="1"/>
  <c r="K67" i="1"/>
  <c r="K55" i="1"/>
  <c r="K61" i="1"/>
  <c r="K98" i="1"/>
  <c r="K64" i="1"/>
  <c r="K81" i="1"/>
  <c r="K96" i="1"/>
  <c r="K85" i="1"/>
  <c r="K23" i="1"/>
  <c r="K62" i="1"/>
  <c r="K68" i="1"/>
  <c r="K77" i="1"/>
  <c r="K16" i="1"/>
  <c r="K52" i="1"/>
  <c r="K76" i="1"/>
  <c r="K69" i="1"/>
  <c r="K75" i="1"/>
  <c r="K86" i="1"/>
  <c r="K93" i="1"/>
  <c r="K79" i="1"/>
  <c r="K63" i="1"/>
  <c r="K73" i="1"/>
  <c r="K57" i="1"/>
  <c r="K53" i="1"/>
  <c r="K24" i="1"/>
  <c r="K99" i="1"/>
  <c r="K59" i="1"/>
  <c r="K17" i="1"/>
  <c r="K84" i="1"/>
  <c r="K97" i="1"/>
  <c r="K65" i="1"/>
  <c r="K56" i="1"/>
  <c r="K88" i="1"/>
  <c r="K58" i="1"/>
  <c r="K66" i="1"/>
  <c r="K80" i="1"/>
  <c r="K70" i="1"/>
  <c r="K83" i="1"/>
  <c r="K90" i="1"/>
  <c r="K54" i="1"/>
  <c r="K72" i="1"/>
  <c r="K91" i="1"/>
  <c r="K71" i="1"/>
  <c r="K82" i="1"/>
  <c r="K116" i="1"/>
  <c r="K117" i="1"/>
  <c r="K118" i="1"/>
  <c r="K119" i="1"/>
  <c r="K121" i="1"/>
  <c r="K120" i="1"/>
  <c r="K122" i="1"/>
  <c r="K124" i="1"/>
  <c r="K123" i="1"/>
  <c r="K125" i="1"/>
  <c r="K126" i="1"/>
  <c r="K127" i="1"/>
  <c r="K129" i="1"/>
  <c r="K128" i="1"/>
  <c r="K133" i="1"/>
  <c r="K132" i="1"/>
  <c r="K131" i="1"/>
  <c r="K130" i="1"/>
  <c r="K134" i="1"/>
  <c r="K135" i="1"/>
  <c r="K136" i="1"/>
  <c r="K137" i="1"/>
  <c r="K139" i="1"/>
  <c r="K138" i="1"/>
  <c r="K143" i="1"/>
  <c r="K141" i="1"/>
  <c r="K140" i="1"/>
  <c r="K142" i="1"/>
  <c r="K144" i="1"/>
  <c r="K145" i="1"/>
  <c r="K146" i="1"/>
  <c r="K147" i="1"/>
  <c r="K148" i="1"/>
  <c r="K151" i="1"/>
  <c r="K149" i="1"/>
  <c r="K150" i="1"/>
  <c r="K154" i="1"/>
  <c r="K152" i="1"/>
  <c r="K153" i="1"/>
  <c r="K155" i="1"/>
  <c r="K156" i="1"/>
  <c r="K157" i="1"/>
  <c r="K158" i="1"/>
  <c r="K160" i="1"/>
  <c r="K159" i="1"/>
  <c r="K161" i="1"/>
  <c r="K162" i="1"/>
  <c r="K163" i="1"/>
  <c r="K165" i="1"/>
  <c r="K164" i="1"/>
  <c r="K166" i="1"/>
  <c r="K167" i="1"/>
  <c r="K168" i="1"/>
  <c r="K170" i="1"/>
  <c r="K169" i="1"/>
  <c r="K172" i="1"/>
  <c r="K171" i="1"/>
  <c r="K173" i="1"/>
  <c r="K174" i="1"/>
  <c r="K175" i="1"/>
  <c r="K176" i="1"/>
  <c r="K179" i="1"/>
  <c r="K177" i="1"/>
  <c r="K180" i="1"/>
  <c r="K178" i="1"/>
  <c r="K184" i="1"/>
  <c r="K181" i="1"/>
  <c r="K182" i="1"/>
  <c r="K183" i="1"/>
  <c r="K186" i="1"/>
  <c r="K185" i="1"/>
  <c r="K187" i="1"/>
  <c r="K188" i="1"/>
  <c r="K189" i="1"/>
  <c r="K190" i="1"/>
  <c r="K191" i="1"/>
  <c r="K192" i="1"/>
  <c r="K194" i="1"/>
  <c r="K193" i="1"/>
  <c r="K195" i="1"/>
  <c r="K196" i="1"/>
  <c r="K197" i="1"/>
  <c r="K198" i="1"/>
  <c r="K199" i="1"/>
  <c r="K200" i="1"/>
  <c r="K201" i="1"/>
  <c r="K202" i="1"/>
  <c r="K203" i="1"/>
  <c r="K205" i="1"/>
  <c r="K204" i="1"/>
  <c r="K206" i="1"/>
  <c r="K207" i="1"/>
  <c r="K208" i="1"/>
  <c r="K209" i="1"/>
  <c r="K211" i="1"/>
  <c r="K210" i="1"/>
  <c r="K212" i="1"/>
  <c r="K215" i="1"/>
  <c r="K213" i="1"/>
  <c r="K216" i="1"/>
  <c r="K217" i="1"/>
  <c r="K214" i="1"/>
  <c r="K219" i="1"/>
  <c r="K220" i="1"/>
  <c r="K218" i="1"/>
  <c r="K221" i="1"/>
  <c r="K222" i="1"/>
  <c r="K225" i="1"/>
  <c r="K223" i="1"/>
  <c r="K224" i="1"/>
  <c r="K226" i="1"/>
  <c r="K227" i="1"/>
  <c r="K228" i="1"/>
  <c r="K229" i="1"/>
  <c r="K230" i="1"/>
  <c r="K232" i="1"/>
  <c r="K231" i="1"/>
  <c r="K234" i="1"/>
  <c r="K233" i="1"/>
  <c r="K235" i="1"/>
  <c r="K236" i="1"/>
  <c r="K237" i="1"/>
  <c r="K239" i="1"/>
  <c r="K238" i="1"/>
  <c r="K241" i="1"/>
  <c r="K240" i="1"/>
  <c r="K242" i="1"/>
  <c r="K243" i="1"/>
  <c r="K244" i="1"/>
  <c r="K245" i="1"/>
  <c r="K246" i="1"/>
  <c r="K250" i="1"/>
  <c r="K247" i="1"/>
  <c r="K248" i="1"/>
  <c r="K249" i="1"/>
  <c r="K252" i="1"/>
  <c r="K251" i="1"/>
  <c r="K253" i="1"/>
  <c r="K254" i="1"/>
  <c r="K255" i="1"/>
  <c r="K256" i="1"/>
  <c r="K258" i="1"/>
  <c r="K257" i="1"/>
  <c r="K260" i="1"/>
  <c r="K259" i="1"/>
  <c r="K266" i="1"/>
  <c r="K268" i="1"/>
  <c r="K270" i="1"/>
  <c r="K267" i="1"/>
  <c r="K269" i="1"/>
  <c r="K273" i="1"/>
  <c r="K274" i="1"/>
  <c r="K275" i="1"/>
  <c r="K276" i="1"/>
  <c r="K277" i="1"/>
  <c r="K278" i="1"/>
  <c r="K279" i="1"/>
  <c r="K280" i="1"/>
  <c r="K284" i="1"/>
  <c r="K281" i="1"/>
  <c r="K282" i="1"/>
  <c r="K283" i="1"/>
  <c r="K285" i="1"/>
  <c r="K286" i="1"/>
  <c r="K287" i="1"/>
  <c r="K288" i="1"/>
  <c r="K289" i="1"/>
  <c r="K290" i="1"/>
  <c r="K291" i="1"/>
  <c r="K292" i="1"/>
  <c r="K294" i="1"/>
  <c r="K295" i="1"/>
  <c r="K296" i="1"/>
  <c r="K297" i="1"/>
  <c r="K298" i="1"/>
  <c r="K299" i="1"/>
  <c r="K302" i="1"/>
  <c r="K301" i="1"/>
  <c r="K303" i="1"/>
  <c r="K304" i="1"/>
  <c r="K306" i="1"/>
  <c r="K307" i="1"/>
  <c r="K309" i="1"/>
  <c r="K311" i="1"/>
  <c r="K312" i="1"/>
  <c r="K313" i="1"/>
  <c r="K314" i="1"/>
  <c r="K316" i="1"/>
  <c r="K315" i="1"/>
  <c r="K317" i="1"/>
  <c r="K318" i="1"/>
  <c r="K319" i="1"/>
  <c r="K320" i="1"/>
  <c r="K321" i="1"/>
  <c r="K323" i="1"/>
  <c r="K322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40" i="1"/>
  <c r="K338" i="1"/>
  <c r="K339" i="1"/>
  <c r="K343" i="1"/>
  <c r="K341" i="1"/>
  <c r="K342" i="1"/>
  <c r="K344" i="1"/>
  <c r="K345" i="1"/>
  <c r="K346" i="1"/>
  <c r="K347" i="1"/>
  <c r="K348" i="1"/>
  <c r="K349" i="1"/>
  <c r="K352" i="1"/>
  <c r="K351" i="1"/>
  <c r="K354" i="1"/>
  <c r="K353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5" i="1"/>
  <c r="K374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6" i="1"/>
  <c r="K405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7" i="1"/>
  <c r="K425" i="1"/>
  <c r="K426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8" i="1"/>
  <c r="K446" i="1"/>
  <c r="K449" i="1"/>
  <c r="K447" i="1"/>
  <c r="K451" i="1"/>
  <c r="K450" i="1"/>
  <c r="K453" i="1"/>
  <c r="K452" i="1"/>
  <c r="K454" i="1"/>
  <c r="K456" i="1"/>
  <c r="K455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7" i="1"/>
  <c r="K516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6" i="1"/>
  <c r="K544" i="1"/>
  <c r="K545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4" i="1"/>
  <c r="K572" i="1"/>
  <c r="K573" i="1"/>
  <c r="K575" i="1"/>
  <c r="K576" i="1"/>
  <c r="K577" i="1"/>
  <c r="K578" i="1"/>
  <c r="K579" i="1"/>
  <c r="K580" i="1"/>
  <c r="K581" i="1"/>
  <c r="K582" i="1"/>
  <c r="K583" i="1"/>
  <c r="K584" i="1"/>
  <c r="K588" i="1"/>
  <c r="K590" i="1"/>
  <c r="K591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6" i="1"/>
  <c r="K605" i="1"/>
  <c r="K607" i="1"/>
  <c r="K608" i="1"/>
  <c r="K609" i="1"/>
  <c r="K610" i="1"/>
  <c r="K611" i="1"/>
  <c r="K612" i="1"/>
  <c r="K614" i="1"/>
  <c r="K613" i="1"/>
  <c r="K615" i="1"/>
  <c r="K619" i="1"/>
  <c r="K616" i="1"/>
  <c r="K617" i="1"/>
  <c r="K618" i="1"/>
  <c r="K620" i="1"/>
  <c r="K621" i="1"/>
  <c r="K622" i="1"/>
  <c r="K623" i="1"/>
  <c r="K625" i="1"/>
  <c r="K624" i="1"/>
  <c r="K626" i="1"/>
  <c r="K627" i="1"/>
  <c r="K628" i="1"/>
  <c r="K629" i="1"/>
  <c r="K630" i="1"/>
  <c r="K631" i="1"/>
  <c r="K632" i="1"/>
  <c r="K633" i="1"/>
  <c r="K634" i="1"/>
  <c r="K635" i="1"/>
  <c r="K636" i="1"/>
  <c r="K639" i="1"/>
  <c r="K640" i="1"/>
  <c r="K641" i="1"/>
  <c r="K642" i="1"/>
  <c r="K643" i="1"/>
  <c r="K644" i="1"/>
  <c r="K645" i="1"/>
  <c r="K648" i="1"/>
  <c r="K649" i="1"/>
  <c r="K650" i="1"/>
  <c r="K652" i="1"/>
  <c r="K653" i="1"/>
  <c r="K654" i="1"/>
  <c r="K655" i="1"/>
  <c r="K656" i="1"/>
  <c r="K658" i="1"/>
  <c r="K657" i="1"/>
  <c r="K659" i="1"/>
  <c r="K663" i="1"/>
  <c r="K666" i="1"/>
  <c r="K667" i="1"/>
  <c r="K668" i="1"/>
  <c r="K669" i="1"/>
  <c r="K670" i="1"/>
  <c r="K671" i="1"/>
  <c r="K672" i="1"/>
  <c r="K673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6" i="1"/>
  <c r="K714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40" i="1"/>
  <c r="K739" i="1"/>
  <c r="K741" i="1"/>
  <c r="K742" i="1"/>
  <c r="K743" i="1"/>
  <c r="K744" i="1"/>
  <c r="K746" i="1"/>
  <c r="K747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9" i="1"/>
  <c r="K787" i="1"/>
  <c r="K788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48" i="1"/>
  <c r="K846" i="1"/>
  <c r="K838" i="1"/>
  <c r="L840" i="1"/>
  <c r="M840" i="1"/>
  <c r="L839" i="1"/>
  <c r="M839" i="1"/>
  <c r="M845" i="1"/>
  <c r="L845" i="1"/>
  <c r="M847" i="1"/>
  <c r="L847" i="1"/>
  <c r="K850" i="1"/>
  <c r="K2258" i="1"/>
  <c r="K1914" i="1"/>
  <c r="K2565" i="1"/>
  <c r="K2527" i="1"/>
  <c r="K1909" i="1"/>
  <c r="K2044" i="1"/>
  <c r="K2071" i="1"/>
  <c r="K2025" i="1"/>
  <c r="K1108" i="1"/>
  <c r="K2379" i="1"/>
  <c r="K2377" i="1"/>
  <c r="K2143" i="1"/>
  <c r="K2106" i="1"/>
  <c r="K2095" i="1"/>
  <c r="K2458" i="1"/>
  <c r="K2069" i="1"/>
  <c r="K2618" i="1"/>
  <c r="K1878" i="1"/>
  <c r="K1910" i="1"/>
  <c r="K2045" i="1"/>
  <c r="K2945" i="1"/>
  <c r="K2037" i="1"/>
  <c r="K2001" i="1"/>
  <c r="K2417" i="1"/>
  <c r="K2066" i="1"/>
  <c r="K1364" i="1"/>
  <c r="K2647" i="1"/>
  <c r="K2260" i="1"/>
  <c r="K2107" i="1"/>
  <c r="K1870" i="1"/>
  <c r="K1871" i="1"/>
  <c r="K1829" i="1"/>
  <c r="K2067" i="1"/>
  <c r="K2124" i="1"/>
  <c r="K2927" i="1"/>
  <c r="K1171" i="1"/>
  <c r="K1877" i="1"/>
  <c r="K2030" i="1"/>
  <c r="K2211" i="1"/>
  <c r="K2870" i="1"/>
  <c r="K3023" i="1"/>
  <c r="K2121" i="1"/>
  <c r="K2574" i="1"/>
  <c r="K2053" i="1"/>
  <c r="K2385" i="1"/>
  <c r="K2099" i="1"/>
  <c r="K2024" i="1"/>
  <c r="K1410" i="1"/>
  <c r="K2104" i="1"/>
  <c r="K2472" i="1"/>
  <c r="K1980" i="1"/>
  <c r="M264" i="1" l="1"/>
  <c r="L264" i="1"/>
  <c r="M265" i="1"/>
  <c r="L265" i="1"/>
  <c r="M271" i="1"/>
  <c r="L271" i="1"/>
  <c r="M263" i="1"/>
  <c r="L263" i="1"/>
  <c r="M262" i="1"/>
  <c r="L262" i="1"/>
  <c r="M261" i="1"/>
  <c r="L261" i="1"/>
  <c r="M310" i="1"/>
  <c r="L310" i="1"/>
  <c r="L308" i="1"/>
  <c r="M308" i="1"/>
  <c r="M106" i="1"/>
  <c r="L106" i="1"/>
  <c r="L105" i="1"/>
  <c r="M105" i="1"/>
  <c r="L101" i="1"/>
  <c r="M101" i="1"/>
  <c r="L104" i="1"/>
  <c r="M104" i="1"/>
  <c r="L47" i="1"/>
  <c r="M47" i="1"/>
  <c r="M107" i="1"/>
  <c r="L107" i="1"/>
  <c r="L103" i="1"/>
  <c r="M103" i="1"/>
  <c r="M100" i="1"/>
  <c r="L100" i="1"/>
  <c r="M49" i="1"/>
  <c r="L49" i="1"/>
  <c r="L48" i="1"/>
  <c r="M48" i="1"/>
  <c r="M293" i="1"/>
  <c r="L293" i="1"/>
  <c r="L102" i="1"/>
  <c r="M102" i="1"/>
  <c r="M844" i="1"/>
  <c r="L844" i="1"/>
  <c r="M749" i="1"/>
  <c r="L749" i="1"/>
  <c r="M674" i="1"/>
  <c r="L674" i="1"/>
  <c r="M664" i="1"/>
  <c r="L664" i="1"/>
  <c r="L350" i="1"/>
  <c r="M350" i="1"/>
  <c r="M305" i="1"/>
  <c r="L305" i="1"/>
  <c r="M300" i="1"/>
  <c r="L300" i="1"/>
  <c r="M115" i="1"/>
  <c r="L115" i="1"/>
  <c r="M114" i="1"/>
  <c r="L114" i="1"/>
  <c r="M113" i="1"/>
  <c r="L113" i="1"/>
  <c r="M112" i="1"/>
  <c r="L112" i="1"/>
  <c r="L111" i="1"/>
  <c r="M111" i="1"/>
  <c r="M22" i="1"/>
  <c r="L22" i="1"/>
  <c r="L50" i="1"/>
  <c r="M50" i="1"/>
  <c r="L19" i="1"/>
  <c r="M19" i="1"/>
  <c r="L51" i="1"/>
  <c r="M51" i="1"/>
  <c r="L808" i="1"/>
  <c r="M808" i="1"/>
  <c r="M546" i="1"/>
  <c r="L546" i="1"/>
  <c r="M479" i="1"/>
  <c r="L479" i="1"/>
  <c r="M415" i="1"/>
  <c r="L415" i="1"/>
  <c r="M352" i="1"/>
  <c r="L352" i="1"/>
  <c r="L284" i="1"/>
  <c r="M284" i="1"/>
  <c r="L211" i="1"/>
  <c r="M211" i="1"/>
  <c r="L146" i="1"/>
  <c r="M146" i="1"/>
  <c r="M68" i="1"/>
  <c r="L68" i="1"/>
  <c r="M87" i="1"/>
  <c r="L87" i="1"/>
  <c r="M823" i="1"/>
  <c r="L823" i="1"/>
  <c r="L807" i="1"/>
  <c r="M807" i="1"/>
  <c r="L791" i="1"/>
  <c r="M791" i="1"/>
  <c r="M775" i="1"/>
  <c r="L775" i="1"/>
  <c r="M759" i="1"/>
  <c r="L759" i="1"/>
  <c r="L738" i="1"/>
  <c r="M738" i="1"/>
  <c r="M722" i="1"/>
  <c r="L722" i="1"/>
  <c r="M689" i="1"/>
  <c r="L689" i="1"/>
  <c r="L670" i="1"/>
  <c r="M670" i="1"/>
  <c r="L648" i="1"/>
  <c r="M648" i="1"/>
  <c r="M628" i="1"/>
  <c r="L628" i="1"/>
  <c r="M612" i="1"/>
  <c r="L612" i="1"/>
  <c r="M596" i="1"/>
  <c r="L596" i="1"/>
  <c r="M575" i="1"/>
  <c r="L575" i="1"/>
  <c r="M559" i="1"/>
  <c r="L559" i="1"/>
  <c r="L543" i="1"/>
  <c r="M543" i="1"/>
  <c r="L527" i="1"/>
  <c r="M527" i="1"/>
  <c r="L511" i="1"/>
  <c r="M511" i="1"/>
  <c r="M494" i="1"/>
  <c r="L494" i="1"/>
  <c r="L478" i="1"/>
  <c r="M478" i="1"/>
  <c r="M462" i="1"/>
  <c r="L462" i="1"/>
  <c r="M448" i="1"/>
  <c r="L448" i="1"/>
  <c r="L430" i="1"/>
  <c r="M430" i="1"/>
  <c r="M414" i="1"/>
  <c r="L414" i="1"/>
  <c r="L398" i="1"/>
  <c r="M398" i="1"/>
  <c r="M382" i="1"/>
  <c r="L382" i="1"/>
  <c r="L366" i="1"/>
  <c r="M366" i="1"/>
  <c r="L349" i="1"/>
  <c r="M349" i="1"/>
  <c r="M333" i="1"/>
  <c r="L333" i="1"/>
  <c r="L317" i="1"/>
  <c r="M317" i="1"/>
  <c r="L297" i="1"/>
  <c r="M297" i="1"/>
  <c r="L280" i="1"/>
  <c r="M280" i="1"/>
  <c r="M258" i="1"/>
  <c r="L258" i="1"/>
  <c r="M240" i="1"/>
  <c r="L240" i="1"/>
  <c r="M224" i="1"/>
  <c r="L224" i="1"/>
  <c r="M209" i="1"/>
  <c r="L209" i="1"/>
  <c r="M194" i="1"/>
  <c r="L194" i="1"/>
  <c r="M179" i="1"/>
  <c r="L179" i="1"/>
  <c r="L161" i="1"/>
  <c r="M161" i="1"/>
  <c r="M145" i="1"/>
  <c r="L145" i="1"/>
  <c r="M128" i="1"/>
  <c r="L128" i="1"/>
  <c r="M91" i="1"/>
  <c r="L91" i="1"/>
  <c r="M99" i="1"/>
  <c r="L99" i="1"/>
  <c r="M62" i="1"/>
  <c r="L62" i="1"/>
  <c r="M95" i="1"/>
  <c r="L95" i="1"/>
  <c r="M740" i="1"/>
  <c r="L740" i="1"/>
  <c r="M495" i="1"/>
  <c r="L495" i="1"/>
  <c r="L431" i="1"/>
  <c r="M431" i="1"/>
  <c r="L367" i="1"/>
  <c r="M367" i="1"/>
  <c r="M298" i="1"/>
  <c r="L298" i="1"/>
  <c r="M226" i="1"/>
  <c r="L226" i="1"/>
  <c r="L162" i="1"/>
  <c r="M162" i="1"/>
  <c r="M71" i="1"/>
  <c r="L71" i="1"/>
  <c r="M822" i="1"/>
  <c r="L822" i="1"/>
  <c r="M806" i="1"/>
  <c r="L806" i="1"/>
  <c r="L790" i="1"/>
  <c r="M790" i="1"/>
  <c r="M774" i="1"/>
  <c r="L774" i="1"/>
  <c r="M758" i="1"/>
  <c r="L758" i="1"/>
  <c r="M737" i="1"/>
  <c r="L737" i="1"/>
  <c r="M721" i="1"/>
  <c r="L721" i="1"/>
  <c r="L686" i="1"/>
  <c r="M686" i="1"/>
  <c r="L669" i="1"/>
  <c r="M669" i="1"/>
  <c r="M645" i="1"/>
  <c r="L645" i="1"/>
  <c r="M627" i="1"/>
  <c r="L627" i="1"/>
  <c r="M611" i="1"/>
  <c r="L611" i="1"/>
  <c r="M595" i="1"/>
  <c r="L595" i="1"/>
  <c r="M573" i="1"/>
  <c r="L573" i="1"/>
  <c r="M558" i="1"/>
  <c r="L558" i="1"/>
  <c r="M542" i="1"/>
  <c r="L542" i="1"/>
  <c r="M526" i="1"/>
  <c r="L526" i="1"/>
  <c r="M510" i="1"/>
  <c r="L510" i="1"/>
  <c r="M493" i="1"/>
  <c r="L493" i="1"/>
  <c r="M477" i="1"/>
  <c r="L477" i="1"/>
  <c r="M461" i="1"/>
  <c r="L461" i="1"/>
  <c r="M445" i="1"/>
  <c r="L445" i="1"/>
  <c r="M429" i="1"/>
  <c r="L429" i="1"/>
  <c r="L413" i="1"/>
  <c r="M413" i="1"/>
  <c r="L397" i="1"/>
  <c r="M397" i="1"/>
  <c r="M381" i="1"/>
  <c r="L381" i="1"/>
  <c r="M365" i="1"/>
  <c r="L365" i="1"/>
  <c r="M348" i="1"/>
  <c r="L348" i="1"/>
  <c r="M332" i="1"/>
  <c r="L332" i="1"/>
  <c r="M315" i="1"/>
  <c r="L315" i="1"/>
  <c r="M296" i="1"/>
  <c r="L296" i="1"/>
  <c r="M279" i="1"/>
  <c r="L279" i="1"/>
  <c r="L256" i="1"/>
  <c r="M256" i="1"/>
  <c r="M241" i="1"/>
  <c r="L241" i="1"/>
  <c r="M223" i="1"/>
  <c r="L223" i="1"/>
  <c r="M208" i="1"/>
  <c r="L208" i="1"/>
  <c r="L192" i="1"/>
  <c r="M192" i="1"/>
  <c r="L176" i="1"/>
  <c r="M176" i="1"/>
  <c r="M159" i="1"/>
  <c r="L159" i="1"/>
  <c r="M144" i="1"/>
  <c r="L144" i="1"/>
  <c r="L129" i="1"/>
  <c r="M129" i="1"/>
  <c r="M72" i="1"/>
  <c r="L72" i="1"/>
  <c r="M24" i="1"/>
  <c r="L24" i="1"/>
  <c r="M23" i="1"/>
  <c r="L23" i="1"/>
  <c r="M78" i="1"/>
  <c r="L78" i="1"/>
  <c r="L760" i="1"/>
  <c r="M760" i="1"/>
  <c r="L528" i="1"/>
  <c r="M528" i="1"/>
  <c r="L463" i="1"/>
  <c r="M463" i="1"/>
  <c r="M399" i="1"/>
  <c r="L399" i="1"/>
  <c r="M334" i="1"/>
  <c r="L334" i="1"/>
  <c r="M242" i="1"/>
  <c r="L242" i="1"/>
  <c r="L177" i="1"/>
  <c r="M177" i="1"/>
  <c r="M59" i="1"/>
  <c r="L59" i="1"/>
  <c r="M838" i="1"/>
  <c r="L838" i="1"/>
  <c r="L821" i="1"/>
  <c r="M821" i="1"/>
  <c r="M805" i="1"/>
  <c r="L805" i="1"/>
  <c r="L788" i="1"/>
  <c r="M788" i="1"/>
  <c r="L773" i="1"/>
  <c r="M773" i="1"/>
  <c r="M757" i="1"/>
  <c r="L757" i="1"/>
  <c r="M736" i="1"/>
  <c r="L736" i="1"/>
  <c r="M714" i="1"/>
  <c r="L714" i="1"/>
  <c r="L685" i="1"/>
  <c r="M685" i="1"/>
  <c r="M668" i="1"/>
  <c r="L668" i="1"/>
  <c r="L644" i="1"/>
  <c r="M644" i="1"/>
  <c r="M626" i="1"/>
  <c r="L626" i="1"/>
  <c r="M610" i="1"/>
  <c r="L610" i="1"/>
  <c r="M594" i="1"/>
  <c r="L594" i="1"/>
  <c r="M572" i="1"/>
  <c r="L572" i="1"/>
  <c r="M557" i="1"/>
  <c r="L557" i="1"/>
  <c r="M541" i="1"/>
  <c r="L541" i="1"/>
  <c r="M525" i="1"/>
  <c r="L525" i="1"/>
  <c r="M509" i="1"/>
  <c r="L509" i="1"/>
  <c r="L492" i="1"/>
  <c r="M492" i="1"/>
  <c r="M476" i="1"/>
  <c r="L476" i="1"/>
  <c r="L460" i="1"/>
  <c r="M460" i="1"/>
  <c r="L444" i="1"/>
  <c r="M444" i="1"/>
  <c r="M428" i="1"/>
  <c r="L428" i="1"/>
  <c r="M412" i="1"/>
  <c r="L412" i="1"/>
  <c r="M396" i="1"/>
  <c r="L396" i="1"/>
  <c r="M380" i="1"/>
  <c r="L380" i="1"/>
  <c r="M364" i="1"/>
  <c r="L364" i="1"/>
  <c r="L347" i="1"/>
  <c r="M347" i="1"/>
  <c r="M331" i="1"/>
  <c r="L331" i="1"/>
  <c r="M316" i="1"/>
  <c r="L316" i="1"/>
  <c r="M295" i="1"/>
  <c r="L295" i="1"/>
  <c r="L278" i="1"/>
  <c r="M278" i="1"/>
  <c r="L255" i="1"/>
  <c r="M255" i="1"/>
  <c r="M238" i="1"/>
  <c r="L238" i="1"/>
  <c r="M225" i="1"/>
  <c r="L225" i="1"/>
  <c r="L207" i="1"/>
  <c r="M207" i="1"/>
  <c r="L191" i="1"/>
  <c r="M191" i="1"/>
  <c r="L175" i="1"/>
  <c r="M175" i="1"/>
  <c r="M160" i="1"/>
  <c r="L160" i="1"/>
  <c r="M142" i="1"/>
  <c r="L142" i="1"/>
  <c r="L127" i="1"/>
  <c r="M127" i="1"/>
  <c r="M54" i="1"/>
  <c r="L54" i="1"/>
  <c r="M53" i="1"/>
  <c r="L53" i="1"/>
  <c r="M85" i="1"/>
  <c r="L85" i="1"/>
  <c r="L18" i="1"/>
  <c r="M18" i="1"/>
  <c r="M723" i="1"/>
  <c r="L723" i="1"/>
  <c r="M512" i="1"/>
  <c r="L512" i="1"/>
  <c r="M446" i="1"/>
  <c r="L446" i="1"/>
  <c r="M383" i="1"/>
  <c r="L383" i="1"/>
  <c r="M318" i="1"/>
  <c r="L318" i="1"/>
  <c r="L257" i="1"/>
  <c r="M257" i="1"/>
  <c r="M193" i="1"/>
  <c r="L193" i="1"/>
  <c r="M133" i="1"/>
  <c r="L133" i="1"/>
  <c r="M846" i="1"/>
  <c r="L846" i="1"/>
  <c r="L820" i="1"/>
  <c r="M820" i="1"/>
  <c r="L804" i="1"/>
  <c r="M804" i="1"/>
  <c r="M787" i="1"/>
  <c r="L787" i="1"/>
  <c r="M772" i="1"/>
  <c r="L772" i="1"/>
  <c r="M756" i="1"/>
  <c r="L756" i="1"/>
  <c r="M735" i="1"/>
  <c r="L735" i="1"/>
  <c r="L706" i="1"/>
  <c r="M706" i="1"/>
  <c r="M684" i="1"/>
  <c r="L684" i="1"/>
  <c r="L667" i="1"/>
  <c r="M667" i="1"/>
  <c r="L643" i="1"/>
  <c r="M643" i="1"/>
  <c r="M624" i="1"/>
  <c r="L624" i="1"/>
  <c r="L609" i="1"/>
  <c r="M609" i="1"/>
  <c r="M593" i="1"/>
  <c r="L593" i="1"/>
  <c r="L574" i="1"/>
  <c r="M574" i="1"/>
  <c r="M556" i="1"/>
  <c r="L556" i="1"/>
  <c r="M540" i="1"/>
  <c r="L540" i="1"/>
  <c r="M524" i="1"/>
  <c r="L524" i="1"/>
  <c r="M508" i="1"/>
  <c r="L508" i="1"/>
  <c r="M491" i="1"/>
  <c r="L491" i="1"/>
  <c r="M475" i="1"/>
  <c r="L475" i="1"/>
  <c r="M459" i="1"/>
  <c r="L459" i="1"/>
  <c r="M443" i="1"/>
  <c r="L443" i="1"/>
  <c r="L426" i="1"/>
  <c r="M426" i="1"/>
  <c r="M411" i="1"/>
  <c r="L411" i="1"/>
  <c r="L395" i="1"/>
  <c r="M395" i="1"/>
  <c r="M379" i="1"/>
  <c r="L379" i="1"/>
  <c r="L363" i="1"/>
  <c r="M363" i="1"/>
  <c r="M346" i="1"/>
  <c r="L346" i="1"/>
  <c r="M330" i="1"/>
  <c r="L330" i="1"/>
  <c r="L314" i="1"/>
  <c r="M314" i="1"/>
  <c r="L294" i="1"/>
  <c r="M294" i="1"/>
  <c r="L277" i="1"/>
  <c r="M277" i="1"/>
  <c r="M254" i="1"/>
  <c r="L254" i="1"/>
  <c r="L239" i="1"/>
  <c r="M239" i="1"/>
  <c r="L222" i="1"/>
  <c r="M222" i="1"/>
  <c r="M206" i="1"/>
  <c r="L206" i="1"/>
  <c r="L190" i="1"/>
  <c r="M190" i="1"/>
  <c r="L174" i="1"/>
  <c r="M174" i="1"/>
  <c r="M158" i="1"/>
  <c r="L158" i="1"/>
  <c r="M140" i="1"/>
  <c r="L140" i="1"/>
  <c r="L126" i="1"/>
  <c r="M126" i="1"/>
  <c r="L90" i="1"/>
  <c r="M90" i="1"/>
  <c r="M57" i="1"/>
  <c r="L57" i="1"/>
  <c r="L96" i="1"/>
  <c r="M96" i="1"/>
  <c r="L15" i="1"/>
  <c r="M15" i="1"/>
  <c r="M539" i="1"/>
  <c r="L539" i="1"/>
  <c r="L523" i="1"/>
  <c r="M523" i="1"/>
  <c r="L507" i="1"/>
  <c r="M507" i="1"/>
  <c r="M490" i="1"/>
  <c r="L490" i="1"/>
  <c r="M474" i="1"/>
  <c r="L474" i="1"/>
  <c r="M458" i="1"/>
  <c r="L458" i="1"/>
  <c r="L442" i="1"/>
  <c r="M442" i="1"/>
  <c r="L425" i="1"/>
  <c r="M425" i="1"/>
  <c r="M410" i="1"/>
  <c r="L410" i="1"/>
  <c r="M394" i="1"/>
  <c r="L394" i="1"/>
  <c r="M378" i="1"/>
  <c r="L378" i="1"/>
  <c r="M362" i="1"/>
  <c r="L362" i="1"/>
  <c r="M345" i="1"/>
  <c r="L345" i="1"/>
  <c r="M329" i="1"/>
  <c r="L329" i="1"/>
  <c r="L313" i="1"/>
  <c r="M313" i="1"/>
  <c r="L292" i="1"/>
  <c r="M292" i="1"/>
  <c r="M276" i="1"/>
  <c r="L276" i="1"/>
  <c r="L253" i="1"/>
  <c r="M253" i="1"/>
  <c r="M237" i="1"/>
  <c r="L237" i="1"/>
  <c r="L221" i="1"/>
  <c r="M221" i="1"/>
  <c r="L204" i="1"/>
  <c r="M204" i="1"/>
  <c r="L189" i="1"/>
  <c r="M189" i="1"/>
  <c r="M173" i="1"/>
  <c r="L173" i="1"/>
  <c r="M157" i="1"/>
  <c r="L157" i="1"/>
  <c r="M141" i="1"/>
  <c r="L141" i="1"/>
  <c r="M125" i="1"/>
  <c r="L125" i="1"/>
  <c r="L83" i="1"/>
  <c r="M83" i="1"/>
  <c r="M73" i="1"/>
  <c r="L73" i="1"/>
  <c r="M81" i="1"/>
  <c r="L81" i="1"/>
  <c r="L13" i="1"/>
  <c r="M13" i="1"/>
  <c r="M538" i="1"/>
  <c r="L538" i="1"/>
  <c r="L522" i="1"/>
  <c r="M522" i="1"/>
  <c r="M506" i="1"/>
  <c r="L506" i="1"/>
  <c r="M489" i="1"/>
  <c r="L489" i="1"/>
  <c r="M473" i="1"/>
  <c r="L473" i="1"/>
  <c r="L457" i="1"/>
  <c r="M457" i="1"/>
  <c r="L441" i="1"/>
  <c r="M441" i="1"/>
  <c r="M427" i="1"/>
  <c r="L427" i="1"/>
  <c r="M409" i="1"/>
  <c r="L409" i="1"/>
  <c r="M393" i="1"/>
  <c r="L393" i="1"/>
  <c r="M377" i="1"/>
  <c r="L377" i="1"/>
  <c r="L361" i="1"/>
  <c r="M361" i="1"/>
  <c r="M344" i="1"/>
  <c r="L344" i="1"/>
  <c r="L328" i="1"/>
  <c r="M328" i="1"/>
  <c r="M312" i="1"/>
  <c r="L312" i="1"/>
  <c r="M291" i="1"/>
  <c r="L291" i="1"/>
  <c r="M275" i="1"/>
  <c r="L275" i="1"/>
  <c r="M251" i="1"/>
  <c r="L251" i="1"/>
  <c r="L236" i="1"/>
  <c r="M236" i="1"/>
  <c r="M218" i="1"/>
  <c r="L218" i="1"/>
  <c r="M205" i="1"/>
  <c r="L205" i="1"/>
  <c r="L188" i="1"/>
  <c r="M188" i="1"/>
  <c r="M171" i="1"/>
  <c r="L171" i="1"/>
  <c r="M156" i="1"/>
  <c r="L156" i="1"/>
  <c r="L143" i="1"/>
  <c r="M143" i="1"/>
  <c r="M123" i="1"/>
  <c r="L123" i="1"/>
  <c r="M70" i="1"/>
  <c r="L70" i="1"/>
  <c r="M63" i="1"/>
  <c r="L63" i="1"/>
  <c r="L64" i="1"/>
  <c r="M64" i="1"/>
  <c r="L12" i="1"/>
  <c r="M12" i="1"/>
  <c r="L629" i="1"/>
  <c r="M629" i="1"/>
  <c r="M789" i="1"/>
  <c r="L789" i="1"/>
  <c r="L591" i="1"/>
  <c r="M591" i="1"/>
  <c r="M754" i="1"/>
  <c r="L754" i="1"/>
  <c r="L699" i="1"/>
  <c r="M699" i="1"/>
  <c r="L681" i="1"/>
  <c r="M681" i="1"/>
  <c r="M659" i="1"/>
  <c r="L659" i="1"/>
  <c r="L640" i="1"/>
  <c r="M640" i="1"/>
  <c r="M622" i="1"/>
  <c r="L622" i="1"/>
  <c r="L605" i="1"/>
  <c r="M605" i="1"/>
  <c r="L588" i="1"/>
  <c r="M588" i="1"/>
  <c r="L569" i="1"/>
  <c r="M569" i="1"/>
  <c r="M553" i="1"/>
  <c r="L553" i="1"/>
  <c r="M537" i="1"/>
  <c r="L537" i="1"/>
  <c r="M521" i="1"/>
  <c r="L521" i="1"/>
  <c r="M505" i="1"/>
  <c r="L505" i="1"/>
  <c r="M488" i="1"/>
  <c r="L488" i="1"/>
  <c r="L472" i="1"/>
  <c r="M472" i="1"/>
  <c r="L455" i="1"/>
  <c r="M455" i="1"/>
  <c r="M440" i="1"/>
  <c r="L440" i="1"/>
  <c r="M424" i="1"/>
  <c r="L424" i="1"/>
  <c r="L408" i="1"/>
  <c r="M408" i="1"/>
  <c r="M392" i="1"/>
  <c r="L392" i="1"/>
  <c r="M376" i="1"/>
  <c r="L376" i="1"/>
  <c r="M360" i="1"/>
  <c r="L360" i="1"/>
  <c r="M342" i="1"/>
  <c r="L342" i="1"/>
  <c r="M327" i="1"/>
  <c r="L327" i="1"/>
  <c r="M311" i="1"/>
  <c r="L311" i="1"/>
  <c r="M290" i="1"/>
  <c r="L290" i="1"/>
  <c r="L274" i="1"/>
  <c r="M274" i="1"/>
  <c r="M252" i="1"/>
  <c r="L252" i="1"/>
  <c r="L235" i="1"/>
  <c r="M235" i="1"/>
  <c r="M220" i="1"/>
  <c r="L220" i="1"/>
  <c r="L203" i="1"/>
  <c r="M203" i="1"/>
  <c r="L187" i="1"/>
  <c r="M187" i="1"/>
  <c r="M172" i="1"/>
  <c r="L172" i="1"/>
  <c r="M155" i="1"/>
  <c r="L155" i="1"/>
  <c r="M138" i="1"/>
  <c r="L138" i="1"/>
  <c r="M124" i="1"/>
  <c r="L124" i="1"/>
  <c r="M80" i="1"/>
  <c r="L80" i="1"/>
  <c r="M79" i="1"/>
  <c r="L79" i="1"/>
  <c r="M98" i="1"/>
  <c r="L98" i="1"/>
  <c r="M14" i="1"/>
  <c r="L14" i="1"/>
  <c r="M576" i="1"/>
  <c r="L576" i="1"/>
  <c r="M734" i="1"/>
  <c r="L734" i="1"/>
  <c r="L682" i="1"/>
  <c r="M682" i="1"/>
  <c r="M680" i="1"/>
  <c r="L680" i="1"/>
  <c r="M657" i="1"/>
  <c r="L657" i="1"/>
  <c r="M639" i="1"/>
  <c r="L639" i="1"/>
  <c r="M621" i="1"/>
  <c r="L621" i="1"/>
  <c r="M606" i="1"/>
  <c r="L606" i="1"/>
  <c r="M584" i="1"/>
  <c r="L584" i="1"/>
  <c r="L568" i="1"/>
  <c r="M568" i="1"/>
  <c r="M552" i="1"/>
  <c r="L552" i="1"/>
  <c r="M536" i="1"/>
  <c r="L536" i="1"/>
  <c r="M520" i="1"/>
  <c r="L520" i="1"/>
  <c r="M504" i="1"/>
  <c r="L504" i="1"/>
  <c r="M487" i="1"/>
  <c r="L487" i="1"/>
  <c r="L471" i="1"/>
  <c r="M471" i="1"/>
  <c r="M456" i="1"/>
  <c r="L456" i="1"/>
  <c r="M439" i="1"/>
  <c r="L439" i="1"/>
  <c r="L423" i="1"/>
  <c r="M423" i="1"/>
  <c r="M407" i="1"/>
  <c r="L407" i="1"/>
  <c r="L391" i="1"/>
  <c r="M391" i="1"/>
  <c r="L374" i="1"/>
  <c r="M374" i="1"/>
  <c r="M359" i="1"/>
  <c r="L359" i="1"/>
  <c r="M341" i="1"/>
  <c r="L341" i="1"/>
  <c r="M326" i="1"/>
  <c r="L326" i="1"/>
  <c r="M309" i="1"/>
  <c r="L309" i="1"/>
  <c r="M289" i="1"/>
  <c r="L289" i="1"/>
  <c r="M273" i="1"/>
  <c r="L273" i="1"/>
  <c r="M249" i="1"/>
  <c r="L249" i="1"/>
  <c r="L233" i="1"/>
  <c r="M233" i="1"/>
  <c r="M219" i="1"/>
  <c r="L219" i="1"/>
  <c r="L202" i="1"/>
  <c r="M202" i="1"/>
  <c r="M185" i="1"/>
  <c r="L185" i="1"/>
  <c r="M169" i="1"/>
  <c r="L169" i="1"/>
  <c r="L153" i="1"/>
  <c r="M153" i="1"/>
  <c r="M139" i="1"/>
  <c r="L139" i="1"/>
  <c r="L122" i="1"/>
  <c r="M122" i="1"/>
  <c r="M66" i="1"/>
  <c r="L66" i="1"/>
  <c r="M93" i="1"/>
  <c r="L93" i="1"/>
  <c r="M61" i="1"/>
  <c r="L61" i="1"/>
  <c r="M11" i="1"/>
  <c r="L11" i="1"/>
  <c r="L649" i="1"/>
  <c r="M649" i="1"/>
  <c r="M803" i="1"/>
  <c r="L803" i="1"/>
  <c r="L608" i="1"/>
  <c r="M608" i="1"/>
  <c r="M770" i="1"/>
  <c r="L770" i="1"/>
  <c r="M554" i="1"/>
  <c r="L554" i="1"/>
  <c r="M752" i="1"/>
  <c r="L752" i="1"/>
  <c r="M767" i="1"/>
  <c r="L767" i="1"/>
  <c r="L636" i="1"/>
  <c r="M636" i="1"/>
  <c r="M620" i="1"/>
  <c r="L620" i="1"/>
  <c r="L604" i="1"/>
  <c r="M604" i="1"/>
  <c r="M583" i="1"/>
  <c r="L583" i="1"/>
  <c r="M567" i="1"/>
  <c r="L567" i="1"/>
  <c r="L551" i="1"/>
  <c r="M551" i="1"/>
  <c r="M535" i="1"/>
  <c r="L535" i="1"/>
  <c r="M519" i="1"/>
  <c r="L519" i="1"/>
  <c r="M503" i="1"/>
  <c r="L503" i="1"/>
  <c r="M486" i="1"/>
  <c r="L486" i="1"/>
  <c r="M470" i="1"/>
  <c r="L470" i="1"/>
  <c r="M454" i="1"/>
  <c r="L454" i="1"/>
  <c r="M438" i="1"/>
  <c r="L438" i="1"/>
  <c r="L422" i="1"/>
  <c r="M422" i="1"/>
  <c r="M405" i="1"/>
  <c r="L405" i="1"/>
  <c r="L390" i="1"/>
  <c r="M390" i="1"/>
  <c r="M375" i="1"/>
  <c r="L375" i="1"/>
  <c r="L358" i="1"/>
  <c r="M358" i="1"/>
  <c r="L343" i="1"/>
  <c r="M343" i="1"/>
  <c r="M325" i="1"/>
  <c r="L325" i="1"/>
  <c r="M307" i="1"/>
  <c r="L307" i="1"/>
  <c r="L288" i="1"/>
  <c r="M288" i="1"/>
  <c r="M269" i="1"/>
  <c r="L269" i="1"/>
  <c r="M248" i="1"/>
  <c r="L248" i="1"/>
  <c r="M234" i="1"/>
  <c r="L234" i="1"/>
  <c r="M214" i="1"/>
  <c r="L214" i="1"/>
  <c r="M201" i="1"/>
  <c r="L201" i="1"/>
  <c r="M186" i="1"/>
  <c r="L186" i="1"/>
  <c r="M170" i="1"/>
  <c r="L170" i="1"/>
  <c r="M152" i="1"/>
  <c r="L152" i="1"/>
  <c r="L137" i="1"/>
  <c r="M137" i="1"/>
  <c r="M120" i="1"/>
  <c r="L120" i="1"/>
  <c r="M58" i="1"/>
  <c r="L58" i="1"/>
  <c r="M86" i="1"/>
  <c r="L86" i="1"/>
  <c r="M55" i="1"/>
  <c r="L55" i="1"/>
  <c r="M9" i="1"/>
  <c r="L9" i="1"/>
  <c r="M614" i="1"/>
  <c r="L614" i="1"/>
  <c r="M771" i="1"/>
  <c r="L771" i="1"/>
  <c r="M571" i="1"/>
  <c r="L571" i="1"/>
  <c r="M733" i="1"/>
  <c r="L733" i="1"/>
  <c r="M731" i="1"/>
  <c r="L731" i="1"/>
  <c r="L783" i="1"/>
  <c r="M783" i="1"/>
  <c r="M746" i="1"/>
  <c r="L746" i="1"/>
  <c r="L618" i="1"/>
  <c r="M618" i="1"/>
  <c r="M582" i="1"/>
  <c r="L582" i="1"/>
  <c r="M566" i="1"/>
  <c r="L566" i="1"/>
  <c r="M550" i="1"/>
  <c r="L550" i="1"/>
  <c r="M534" i="1"/>
  <c r="L534" i="1"/>
  <c r="L518" i="1"/>
  <c r="M518" i="1"/>
  <c r="L502" i="1"/>
  <c r="M502" i="1"/>
  <c r="M485" i="1"/>
  <c r="L485" i="1"/>
  <c r="M469" i="1"/>
  <c r="L469" i="1"/>
  <c r="M452" i="1"/>
  <c r="L452" i="1"/>
  <c r="L437" i="1"/>
  <c r="M437" i="1"/>
  <c r="L421" i="1"/>
  <c r="M421" i="1"/>
  <c r="M406" i="1"/>
  <c r="L406" i="1"/>
  <c r="M389" i="1"/>
  <c r="L389" i="1"/>
  <c r="M373" i="1"/>
  <c r="L373" i="1"/>
  <c r="L357" i="1"/>
  <c r="M357" i="1"/>
  <c r="L339" i="1"/>
  <c r="M339" i="1"/>
  <c r="M324" i="1"/>
  <c r="L324" i="1"/>
  <c r="M306" i="1"/>
  <c r="L306" i="1"/>
  <c r="L287" i="1"/>
  <c r="M287" i="1"/>
  <c r="L267" i="1"/>
  <c r="M267" i="1"/>
  <c r="M247" i="1"/>
  <c r="L247" i="1"/>
  <c r="M231" i="1"/>
  <c r="L231" i="1"/>
  <c r="M217" i="1"/>
  <c r="L217" i="1"/>
  <c r="L200" i="1"/>
  <c r="M200" i="1"/>
  <c r="M183" i="1"/>
  <c r="L183" i="1"/>
  <c r="M168" i="1"/>
  <c r="L168" i="1"/>
  <c r="M154" i="1"/>
  <c r="L154" i="1"/>
  <c r="M136" i="1"/>
  <c r="L136" i="1"/>
  <c r="M121" i="1"/>
  <c r="L121" i="1"/>
  <c r="M88" i="1"/>
  <c r="L88" i="1"/>
  <c r="M75" i="1"/>
  <c r="L75" i="1"/>
  <c r="M67" i="1"/>
  <c r="L67" i="1"/>
  <c r="M8" i="1"/>
  <c r="L8" i="1"/>
  <c r="L792" i="1"/>
  <c r="M792" i="1"/>
  <c r="L683" i="1"/>
  <c r="M683" i="1"/>
  <c r="M834" i="1"/>
  <c r="L834" i="1"/>
  <c r="M607" i="1"/>
  <c r="L607" i="1"/>
  <c r="L785" i="1"/>
  <c r="M785" i="1"/>
  <c r="L800" i="1"/>
  <c r="M800" i="1"/>
  <c r="M831" i="1"/>
  <c r="L831" i="1"/>
  <c r="L679" i="1"/>
  <c r="M679" i="1"/>
  <c r="M782" i="1"/>
  <c r="L782" i="1"/>
  <c r="L678" i="1"/>
  <c r="M678" i="1"/>
  <c r="M781" i="1"/>
  <c r="L781" i="1"/>
  <c r="L695" i="1"/>
  <c r="M695" i="1"/>
  <c r="M602" i="1"/>
  <c r="L602" i="1"/>
  <c r="L533" i="1"/>
  <c r="M533" i="1"/>
  <c r="M501" i="1"/>
  <c r="L501" i="1"/>
  <c r="M484" i="1"/>
  <c r="L484" i="1"/>
  <c r="M468" i="1"/>
  <c r="L468" i="1"/>
  <c r="M453" i="1"/>
  <c r="L453" i="1"/>
  <c r="L436" i="1"/>
  <c r="M436" i="1"/>
  <c r="M420" i="1"/>
  <c r="L420" i="1"/>
  <c r="L404" i="1"/>
  <c r="M404" i="1"/>
  <c r="M388" i="1"/>
  <c r="L388" i="1"/>
  <c r="L372" i="1"/>
  <c r="M372" i="1"/>
  <c r="L356" i="1"/>
  <c r="M356" i="1"/>
  <c r="M338" i="1"/>
  <c r="L338" i="1"/>
  <c r="M322" i="1"/>
  <c r="L322" i="1"/>
  <c r="M304" i="1"/>
  <c r="L304" i="1"/>
  <c r="M286" i="1"/>
  <c r="L286" i="1"/>
  <c r="L270" i="1"/>
  <c r="M270" i="1"/>
  <c r="M250" i="1"/>
  <c r="L250" i="1"/>
  <c r="L232" i="1"/>
  <c r="M232" i="1"/>
  <c r="M216" i="1"/>
  <c r="L216" i="1"/>
  <c r="M199" i="1"/>
  <c r="L199" i="1"/>
  <c r="M182" i="1"/>
  <c r="L182" i="1"/>
  <c r="M167" i="1"/>
  <c r="L167" i="1"/>
  <c r="L150" i="1"/>
  <c r="M150" i="1"/>
  <c r="L135" i="1"/>
  <c r="M135" i="1"/>
  <c r="M119" i="1"/>
  <c r="L119" i="1"/>
  <c r="L56" i="1"/>
  <c r="M56" i="1"/>
  <c r="L69" i="1"/>
  <c r="M69" i="1"/>
  <c r="L94" i="1"/>
  <c r="M94" i="1"/>
  <c r="M10" i="1"/>
  <c r="L10" i="1"/>
  <c r="M776" i="1"/>
  <c r="L776" i="1"/>
  <c r="L666" i="1"/>
  <c r="M666" i="1"/>
  <c r="L818" i="1"/>
  <c r="M818" i="1"/>
  <c r="M623" i="1"/>
  <c r="L623" i="1"/>
  <c r="M817" i="1"/>
  <c r="L817" i="1"/>
  <c r="L816" i="1"/>
  <c r="M816" i="1"/>
  <c r="M697" i="1"/>
  <c r="L697" i="1"/>
  <c r="M814" i="1"/>
  <c r="L814" i="1"/>
  <c r="L696" i="1"/>
  <c r="M696" i="1"/>
  <c r="L603" i="1"/>
  <c r="M603" i="1"/>
  <c r="L813" i="1"/>
  <c r="M813" i="1"/>
  <c r="M728" i="1"/>
  <c r="L728" i="1"/>
  <c r="M634" i="1"/>
  <c r="L634" i="1"/>
  <c r="L549" i="1"/>
  <c r="M549" i="1"/>
  <c r="M796" i="1"/>
  <c r="L796" i="1"/>
  <c r="M727" i="1"/>
  <c r="L727" i="1"/>
  <c r="M633" i="1"/>
  <c r="L633" i="1"/>
  <c r="M580" i="1"/>
  <c r="L580" i="1"/>
  <c r="M517" i="1"/>
  <c r="L517" i="1"/>
  <c r="M450" i="1"/>
  <c r="L450" i="1"/>
  <c r="M403" i="1"/>
  <c r="L403" i="1"/>
  <c r="M371" i="1"/>
  <c r="L371" i="1"/>
  <c r="M355" i="1"/>
  <c r="L355" i="1"/>
  <c r="L340" i="1"/>
  <c r="M340" i="1"/>
  <c r="L323" i="1"/>
  <c r="M323" i="1"/>
  <c r="M303" i="1"/>
  <c r="L303" i="1"/>
  <c r="M285" i="1"/>
  <c r="L285" i="1"/>
  <c r="L268" i="1"/>
  <c r="M268" i="1"/>
  <c r="M246" i="1"/>
  <c r="L246" i="1"/>
  <c r="M230" i="1"/>
  <c r="L230" i="1"/>
  <c r="L213" i="1"/>
  <c r="M213" i="1"/>
  <c r="L198" i="1"/>
  <c r="M198" i="1"/>
  <c r="L181" i="1"/>
  <c r="M181" i="1"/>
  <c r="L166" i="1"/>
  <c r="M166" i="1"/>
  <c r="L149" i="1"/>
  <c r="M149" i="1"/>
  <c r="M134" i="1"/>
  <c r="L134" i="1"/>
  <c r="L118" i="1"/>
  <c r="M118" i="1"/>
  <c r="M65" i="1"/>
  <c r="L65" i="1"/>
  <c r="M76" i="1"/>
  <c r="L76" i="1"/>
  <c r="M74" i="1"/>
  <c r="L74" i="1"/>
  <c r="L7" i="1"/>
  <c r="M7" i="1"/>
  <c r="L824" i="1"/>
  <c r="M824" i="1"/>
  <c r="L671" i="1"/>
  <c r="M671" i="1"/>
  <c r="L560" i="1"/>
  <c r="M560" i="1"/>
  <c r="M848" i="1"/>
  <c r="L848" i="1"/>
  <c r="M755" i="1"/>
  <c r="L755" i="1"/>
  <c r="M642" i="1"/>
  <c r="L642" i="1"/>
  <c r="M786" i="1"/>
  <c r="L786" i="1"/>
  <c r="M663" i="1"/>
  <c r="L663" i="1"/>
  <c r="M590" i="1"/>
  <c r="L590" i="1"/>
  <c r="M801" i="1"/>
  <c r="L801" i="1"/>
  <c r="L753" i="1"/>
  <c r="M753" i="1"/>
  <c r="L768" i="1"/>
  <c r="M768" i="1"/>
  <c r="L698" i="1"/>
  <c r="M698" i="1"/>
  <c r="L799" i="1"/>
  <c r="M799" i="1"/>
  <c r="M730" i="1"/>
  <c r="L730" i="1"/>
  <c r="M798" i="1"/>
  <c r="L798" i="1"/>
  <c r="M766" i="1"/>
  <c r="L766" i="1"/>
  <c r="M729" i="1"/>
  <c r="L729" i="1"/>
  <c r="M656" i="1"/>
  <c r="L656" i="1"/>
  <c r="L635" i="1"/>
  <c r="M635" i="1"/>
  <c r="L829" i="1"/>
  <c r="M829" i="1"/>
  <c r="M797" i="1"/>
  <c r="L797" i="1"/>
  <c r="M765" i="1"/>
  <c r="L765" i="1"/>
  <c r="M744" i="1"/>
  <c r="L744" i="1"/>
  <c r="M677" i="1"/>
  <c r="L677" i="1"/>
  <c r="M655" i="1"/>
  <c r="L655" i="1"/>
  <c r="L617" i="1"/>
  <c r="M617" i="1"/>
  <c r="M581" i="1"/>
  <c r="L581" i="1"/>
  <c r="M565" i="1"/>
  <c r="L565" i="1"/>
  <c r="L516" i="1"/>
  <c r="M516" i="1"/>
  <c r="M828" i="1"/>
  <c r="L828" i="1"/>
  <c r="M812" i="1"/>
  <c r="L812" i="1"/>
  <c r="M780" i="1"/>
  <c r="L780" i="1"/>
  <c r="M764" i="1"/>
  <c r="L764" i="1"/>
  <c r="M743" i="1"/>
  <c r="L743" i="1"/>
  <c r="M694" i="1"/>
  <c r="L694" i="1"/>
  <c r="L676" i="1"/>
  <c r="M676" i="1"/>
  <c r="M654" i="1"/>
  <c r="L654" i="1"/>
  <c r="L616" i="1"/>
  <c r="M616" i="1"/>
  <c r="L601" i="1"/>
  <c r="M601" i="1"/>
  <c r="M564" i="1"/>
  <c r="L564" i="1"/>
  <c r="M548" i="1"/>
  <c r="L548" i="1"/>
  <c r="L532" i="1"/>
  <c r="M532" i="1"/>
  <c r="M500" i="1"/>
  <c r="L500" i="1"/>
  <c r="M483" i="1"/>
  <c r="L483" i="1"/>
  <c r="M467" i="1"/>
  <c r="L467" i="1"/>
  <c r="M435" i="1"/>
  <c r="L435" i="1"/>
  <c r="L419" i="1"/>
  <c r="M419" i="1"/>
  <c r="L387" i="1"/>
  <c r="M387" i="1"/>
  <c r="M827" i="1"/>
  <c r="L827" i="1"/>
  <c r="M811" i="1"/>
  <c r="L811" i="1"/>
  <c r="M795" i="1"/>
  <c r="L795" i="1"/>
  <c r="M779" i="1"/>
  <c r="L779" i="1"/>
  <c r="M763" i="1"/>
  <c r="L763" i="1"/>
  <c r="M742" i="1"/>
  <c r="L742" i="1"/>
  <c r="L726" i="1"/>
  <c r="M726" i="1"/>
  <c r="M693" i="1"/>
  <c r="L693" i="1"/>
  <c r="M675" i="1"/>
  <c r="L675" i="1"/>
  <c r="L653" i="1"/>
  <c r="M653" i="1"/>
  <c r="M632" i="1"/>
  <c r="L632" i="1"/>
  <c r="M619" i="1"/>
  <c r="L619" i="1"/>
  <c r="M600" i="1"/>
  <c r="L600" i="1"/>
  <c r="M579" i="1"/>
  <c r="L579" i="1"/>
  <c r="M563" i="1"/>
  <c r="L563" i="1"/>
  <c r="M547" i="1"/>
  <c r="L547" i="1"/>
  <c r="M531" i="1"/>
  <c r="L531" i="1"/>
  <c r="M515" i="1"/>
  <c r="L515" i="1"/>
  <c r="L499" i="1"/>
  <c r="M499" i="1"/>
  <c r="M482" i="1"/>
  <c r="L482" i="1"/>
  <c r="M466" i="1"/>
  <c r="L466" i="1"/>
  <c r="M451" i="1"/>
  <c r="L451" i="1"/>
  <c r="M434" i="1"/>
  <c r="L434" i="1"/>
  <c r="M418" i="1"/>
  <c r="L418" i="1"/>
  <c r="L402" i="1"/>
  <c r="M402" i="1"/>
  <c r="M386" i="1"/>
  <c r="L386" i="1"/>
  <c r="M370" i="1"/>
  <c r="L370" i="1"/>
  <c r="M353" i="1"/>
  <c r="L353" i="1"/>
  <c r="L337" i="1"/>
  <c r="M337" i="1"/>
  <c r="L321" i="1"/>
  <c r="M321" i="1"/>
  <c r="M301" i="1"/>
  <c r="L301" i="1"/>
  <c r="M283" i="1"/>
  <c r="L283" i="1"/>
  <c r="M266" i="1"/>
  <c r="L266" i="1"/>
  <c r="M245" i="1"/>
  <c r="L245" i="1"/>
  <c r="M229" i="1"/>
  <c r="L229" i="1"/>
  <c r="L215" i="1"/>
  <c r="M215" i="1"/>
  <c r="L197" i="1"/>
  <c r="M197" i="1"/>
  <c r="L184" i="1"/>
  <c r="M184" i="1"/>
  <c r="M164" i="1"/>
  <c r="L164" i="1"/>
  <c r="M151" i="1"/>
  <c r="L151" i="1"/>
  <c r="M130" i="1"/>
  <c r="L130" i="1"/>
  <c r="M117" i="1"/>
  <c r="L117" i="1"/>
  <c r="M97" i="1"/>
  <c r="L97" i="1"/>
  <c r="M52" i="1"/>
  <c r="L52" i="1"/>
  <c r="M92" i="1"/>
  <c r="L92" i="1"/>
  <c r="M6" i="1"/>
  <c r="L6" i="1"/>
  <c r="M597" i="1"/>
  <c r="L597" i="1"/>
  <c r="L819" i="1"/>
  <c r="M819" i="1"/>
  <c r="L625" i="1"/>
  <c r="M625" i="1"/>
  <c r="L700" i="1"/>
  <c r="M700" i="1"/>
  <c r="M570" i="1"/>
  <c r="L570" i="1"/>
  <c r="M769" i="1"/>
  <c r="L769" i="1"/>
  <c r="L832" i="1"/>
  <c r="M832" i="1"/>
  <c r="M815" i="1"/>
  <c r="L815" i="1"/>
  <c r="M658" i="1"/>
  <c r="L658" i="1"/>
  <c r="M830" i="1"/>
  <c r="L830" i="1"/>
  <c r="M826" i="1"/>
  <c r="L826" i="1"/>
  <c r="M810" i="1"/>
  <c r="L810" i="1"/>
  <c r="M794" i="1"/>
  <c r="L794" i="1"/>
  <c r="M778" i="1"/>
  <c r="L778" i="1"/>
  <c r="M762" i="1"/>
  <c r="L762" i="1"/>
  <c r="M741" i="1"/>
  <c r="L741" i="1"/>
  <c r="M725" i="1"/>
  <c r="L725" i="1"/>
  <c r="M692" i="1"/>
  <c r="L692" i="1"/>
  <c r="L673" i="1"/>
  <c r="M673" i="1"/>
  <c r="M652" i="1"/>
  <c r="L652" i="1"/>
  <c r="L631" i="1"/>
  <c r="M631" i="1"/>
  <c r="L615" i="1"/>
  <c r="M615" i="1"/>
  <c r="M599" i="1"/>
  <c r="L599" i="1"/>
  <c r="M578" i="1"/>
  <c r="L578" i="1"/>
  <c r="M562" i="1"/>
  <c r="L562" i="1"/>
  <c r="M545" i="1"/>
  <c r="L545" i="1"/>
  <c r="M530" i="1"/>
  <c r="L530" i="1"/>
  <c r="L514" i="1"/>
  <c r="M514" i="1"/>
  <c r="L498" i="1"/>
  <c r="M498" i="1"/>
  <c r="M481" i="1"/>
  <c r="L481" i="1"/>
  <c r="L465" i="1"/>
  <c r="M465" i="1"/>
  <c r="L447" i="1"/>
  <c r="M447" i="1"/>
  <c r="L433" i="1"/>
  <c r="M433" i="1"/>
  <c r="L417" i="1"/>
  <c r="M417" i="1"/>
  <c r="L401" i="1"/>
  <c r="M401" i="1"/>
  <c r="M385" i="1"/>
  <c r="L385" i="1"/>
  <c r="L369" i="1"/>
  <c r="M369" i="1"/>
  <c r="L354" i="1"/>
  <c r="M354" i="1"/>
  <c r="M336" i="1"/>
  <c r="L336" i="1"/>
  <c r="L320" i="1"/>
  <c r="M320" i="1"/>
  <c r="L302" i="1"/>
  <c r="M302" i="1"/>
  <c r="M282" i="1"/>
  <c r="L282" i="1"/>
  <c r="M259" i="1"/>
  <c r="L259" i="1"/>
  <c r="L244" i="1"/>
  <c r="M244" i="1"/>
  <c r="L228" i="1"/>
  <c r="M228" i="1"/>
  <c r="M212" i="1"/>
  <c r="L212" i="1"/>
  <c r="M196" i="1"/>
  <c r="L196" i="1"/>
  <c r="L178" i="1"/>
  <c r="M178" i="1"/>
  <c r="M165" i="1"/>
  <c r="L165" i="1"/>
  <c r="L148" i="1"/>
  <c r="M148" i="1"/>
  <c r="L131" i="1"/>
  <c r="M131" i="1"/>
  <c r="M116" i="1"/>
  <c r="L116" i="1"/>
  <c r="M84" i="1"/>
  <c r="L84" i="1"/>
  <c r="M16" i="1"/>
  <c r="L16" i="1"/>
  <c r="M60" i="1"/>
  <c r="L60" i="1"/>
  <c r="M5" i="1"/>
  <c r="L5" i="1"/>
  <c r="M690" i="1"/>
  <c r="L690" i="1"/>
  <c r="L701" i="1"/>
  <c r="M701" i="1"/>
  <c r="L555" i="1"/>
  <c r="M555" i="1"/>
  <c r="L802" i="1"/>
  <c r="M802" i="1"/>
  <c r="M641" i="1"/>
  <c r="L641" i="1"/>
  <c r="L833" i="1"/>
  <c r="M833" i="1"/>
  <c r="M732" i="1"/>
  <c r="L732" i="1"/>
  <c r="M784" i="1"/>
  <c r="L784" i="1"/>
  <c r="M747" i="1"/>
  <c r="L747" i="1"/>
  <c r="M825" i="1"/>
  <c r="L825" i="1"/>
  <c r="M809" i="1"/>
  <c r="L809" i="1"/>
  <c r="M793" i="1"/>
  <c r="L793" i="1"/>
  <c r="M777" i="1"/>
  <c r="L777" i="1"/>
  <c r="M761" i="1"/>
  <c r="L761" i="1"/>
  <c r="M739" i="1"/>
  <c r="L739" i="1"/>
  <c r="M724" i="1"/>
  <c r="L724" i="1"/>
  <c r="L691" i="1"/>
  <c r="M691" i="1"/>
  <c r="L672" i="1"/>
  <c r="M672" i="1"/>
  <c r="M650" i="1"/>
  <c r="L650" i="1"/>
  <c r="M630" i="1"/>
  <c r="L630" i="1"/>
  <c r="M613" i="1"/>
  <c r="L613" i="1"/>
  <c r="L598" i="1"/>
  <c r="M598" i="1"/>
  <c r="M577" i="1"/>
  <c r="L577" i="1"/>
  <c r="L561" i="1"/>
  <c r="M561" i="1"/>
  <c r="M544" i="1"/>
  <c r="L544" i="1"/>
  <c r="M529" i="1"/>
  <c r="L529" i="1"/>
  <c r="L513" i="1"/>
  <c r="M513" i="1"/>
  <c r="M497" i="1"/>
  <c r="L497" i="1"/>
  <c r="M480" i="1"/>
  <c r="L480" i="1"/>
  <c r="M464" i="1"/>
  <c r="L464" i="1"/>
  <c r="M449" i="1"/>
  <c r="L449" i="1"/>
  <c r="L432" i="1"/>
  <c r="M432" i="1"/>
  <c r="M416" i="1"/>
  <c r="L416" i="1"/>
  <c r="L400" i="1"/>
  <c r="M400" i="1"/>
  <c r="M384" i="1"/>
  <c r="L384" i="1"/>
  <c r="M368" i="1"/>
  <c r="L368" i="1"/>
  <c r="M351" i="1"/>
  <c r="L351" i="1"/>
  <c r="M335" i="1"/>
  <c r="L335" i="1"/>
  <c r="M319" i="1"/>
  <c r="L319" i="1"/>
  <c r="L299" i="1"/>
  <c r="M299" i="1"/>
  <c r="M281" i="1"/>
  <c r="L281" i="1"/>
  <c r="L260" i="1"/>
  <c r="M260" i="1"/>
  <c r="M243" i="1"/>
  <c r="L243" i="1"/>
  <c r="M227" i="1"/>
  <c r="L227" i="1"/>
  <c r="M210" i="1"/>
  <c r="L210" i="1"/>
  <c r="L195" i="1"/>
  <c r="M195" i="1"/>
  <c r="L180" i="1"/>
  <c r="M180" i="1"/>
  <c r="L163" i="1"/>
  <c r="M163" i="1"/>
  <c r="L147" i="1"/>
  <c r="M147" i="1"/>
  <c r="L132" i="1"/>
  <c r="M132" i="1"/>
  <c r="M82" i="1"/>
  <c r="L82" i="1"/>
  <c r="M17" i="1"/>
  <c r="L17" i="1"/>
  <c r="M77" i="1"/>
  <c r="L77" i="1"/>
  <c r="M89" i="1"/>
  <c r="L89" i="1"/>
  <c r="L2024" i="1"/>
  <c r="M2024" i="1"/>
  <c r="M2458" i="1"/>
  <c r="L2458" i="1"/>
  <c r="M2095" i="1"/>
  <c r="L2095" i="1"/>
  <c r="M2107" i="1"/>
  <c r="L2107" i="1"/>
  <c r="L2053" i="1"/>
  <c r="M2053" i="1"/>
  <c r="M2260" i="1"/>
  <c r="L2260" i="1"/>
  <c r="M2143" i="1"/>
  <c r="L2143" i="1"/>
  <c r="L1871" i="1"/>
  <c r="M1871" i="1"/>
  <c r="L2099" i="1"/>
  <c r="M2099" i="1"/>
  <c r="M2385" i="1"/>
  <c r="L2385" i="1"/>
  <c r="M2106" i="1"/>
  <c r="L2106" i="1"/>
  <c r="M2574" i="1"/>
  <c r="L2574" i="1"/>
  <c r="M2647" i="1"/>
  <c r="L2647" i="1"/>
  <c r="L2377" i="1"/>
  <c r="M2377" i="1"/>
  <c r="M1870" i="1"/>
  <c r="L1870" i="1"/>
  <c r="M2121" i="1"/>
  <c r="L2121" i="1"/>
  <c r="L1364" i="1"/>
  <c r="M1364" i="1"/>
  <c r="M2379" i="1"/>
  <c r="L2379" i="1"/>
  <c r="M1980" i="1"/>
  <c r="L1980" i="1"/>
  <c r="M3023" i="1"/>
  <c r="L3023" i="1"/>
  <c r="M2066" i="1"/>
  <c r="L2066" i="1"/>
  <c r="L1108" i="1"/>
  <c r="M1108" i="1"/>
  <c r="L2472" i="1"/>
  <c r="M2472" i="1"/>
  <c r="L2870" i="1"/>
  <c r="M2870" i="1"/>
  <c r="L2417" i="1"/>
  <c r="M2417" i="1"/>
  <c r="M2025" i="1"/>
  <c r="L2025" i="1"/>
  <c r="M2211" i="1"/>
  <c r="L2211" i="1"/>
  <c r="M2001" i="1"/>
  <c r="L2001" i="1"/>
  <c r="M2071" i="1"/>
  <c r="L2071" i="1"/>
  <c r="M2030" i="1"/>
  <c r="L2030" i="1"/>
  <c r="L2037" i="1"/>
  <c r="M2037" i="1"/>
  <c r="M2044" i="1"/>
  <c r="L2044" i="1"/>
  <c r="M1877" i="1"/>
  <c r="L1877" i="1"/>
  <c r="M2945" i="1"/>
  <c r="L2945" i="1"/>
  <c r="L1909" i="1"/>
  <c r="M1909" i="1"/>
  <c r="M1171" i="1"/>
  <c r="L1171" i="1"/>
  <c r="M2045" i="1"/>
  <c r="L2045" i="1"/>
  <c r="M2527" i="1"/>
  <c r="L2527" i="1"/>
  <c r="M2927" i="1"/>
  <c r="L2927" i="1"/>
  <c r="M1910" i="1"/>
  <c r="L1910" i="1"/>
  <c r="L2565" i="1"/>
  <c r="M2565" i="1"/>
  <c r="L2124" i="1"/>
  <c r="M2124" i="1"/>
  <c r="M1878" i="1"/>
  <c r="L1878" i="1"/>
  <c r="L1914" i="1"/>
  <c r="M1914" i="1"/>
  <c r="M2104" i="1"/>
  <c r="L2104" i="1"/>
  <c r="M2067" i="1"/>
  <c r="L2067" i="1"/>
  <c r="M2618" i="1"/>
  <c r="L2618" i="1"/>
  <c r="M2258" i="1"/>
  <c r="L2258" i="1"/>
  <c r="L1410" i="1"/>
  <c r="M1410" i="1"/>
  <c r="M1829" i="1"/>
  <c r="L1829" i="1"/>
  <c r="L2069" i="1"/>
  <c r="M2069" i="1"/>
  <c r="M850" i="1"/>
  <c r="L850" i="1"/>
  <c r="D11" i="7" l="1"/>
  <c r="D13" i="7" s="1"/>
</calcChain>
</file>

<file path=xl/sharedStrings.xml><?xml version="1.0" encoding="utf-8"?>
<sst xmlns="http://schemas.openxmlformats.org/spreadsheetml/2006/main" count="12638" uniqueCount="7579">
  <si>
    <t>Habitat Structure</t>
  </si>
  <si>
    <t>Human_Modifiers</t>
  </si>
  <si>
    <t>Extent</t>
  </si>
  <si>
    <t>ID</t>
  </si>
  <si>
    <t>id_10m</t>
  </si>
  <si>
    <t>lon_10m_point</t>
  </si>
  <si>
    <t>lat_10m_point</t>
  </si>
  <si>
    <t>INT_50</t>
  </si>
  <si>
    <t>Hyperlink</t>
  </si>
  <si>
    <t>Section</t>
  </si>
  <si>
    <t>Assessed</t>
  </si>
  <si>
    <t>Mangrpve_Patch</t>
  </si>
  <si>
    <t>Patch_Length</t>
  </si>
  <si>
    <t>Patch_HV</t>
  </si>
  <si>
    <t>PatchContinuityScore</t>
  </si>
  <si>
    <t>Naturalness</t>
  </si>
  <si>
    <t>Structure</t>
  </si>
  <si>
    <t>Bank_Hardening</t>
  </si>
  <si>
    <t>Physical_Damage</t>
  </si>
  <si>
    <t>Litter</t>
  </si>
  <si>
    <t>Debris</t>
  </si>
  <si>
    <t>Abandoned_Pots</t>
  </si>
  <si>
    <t>Weeds</t>
  </si>
  <si>
    <t>Modifier_Impact</t>
  </si>
  <si>
    <t>Example</t>
  </si>
  <si>
    <t>Notes</t>
  </si>
  <si>
    <t>X</t>
  </si>
  <si>
    <t>Minor - present, no damage to veg</t>
  </si>
  <si>
    <t>Moderate - non-lethal damage</t>
  </si>
  <si>
    <t>Major - tree death</t>
  </si>
  <si>
    <t>Habitat loss</t>
  </si>
  <si>
    <t>Report Card</t>
  </si>
  <si>
    <t>Species</t>
  </si>
  <si>
    <t>Condition</t>
  </si>
  <si>
    <t xml:space="preserve">used pixea app on software </t>
  </si>
  <si>
    <t>AM (grey mangrove)</t>
  </si>
  <si>
    <t>RS (red mangrove)</t>
  </si>
  <si>
    <t>SA (apple mangrove)</t>
  </si>
  <si>
    <t>Density24</t>
  </si>
  <si>
    <t>Maturity24</t>
  </si>
  <si>
    <t>Connectivity24</t>
  </si>
  <si>
    <t>Condition_Score24</t>
  </si>
  <si>
    <t>Dieback</t>
  </si>
  <si>
    <t>StDeadP_24</t>
  </si>
  <si>
    <t>FallenTree</t>
  </si>
  <si>
    <t>Retreat</t>
  </si>
  <si>
    <t>Expansion/Seedlings</t>
  </si>
  <si>
    <t>TerrRet</t>
  </si>
  <si>
    <t>Connectivity</t>
  </si>
  <si>
    <t>Tidal connectivity very limited</t>
  </si>
  <si>
    <t>Behind a barrier/swale</t>
  </si>
  <si>
    <t>High intertidal</t>
  </si>
  <si>
    <t>Direct</t>
  </si>
  <si>
    <t>Minor - present</t>
  </si>
  <si>
    <t>Seedlings</t>
  </si>
  <si>
    <t>Minor Habitat loss (&lt;10m approx)</t>
  </si>
  <si>
    <t>Major Habitat loss (&gt;10m approx)</t>
  </si>
  <si>
    <t>Expansion - seedling (&lt;0.5m tall)</t>
  </si>
  <si>
    <t>few</t>
  </si>
  <si>
    <t>some</t>
  </si>
  <si>
    <t>many</t>
  </si>
  <si>
    <t>TerrRet - Terrestrial Retreat (dead land trees behind)</t>
  </si>
  <si>
    <t>E:\CAFNEC_GBRF\2022\BarronRiver\Frames_for_Analysis\1_C0031_L_0020.jpg</t>
  </si>
  <si>
    <t>E:\CAFNEC_GBRF\2022\BarronRiver\Frames_for_Analysis\2_C0031_L_0024.jpg</t>
  </si>
  <si>
    <t>E:\CAFNEC_GBRF\2022\BarronRiver\Frames_for_Analysis\3_C0031_L_0029.jpg</t>
  </si>
  <si>
    <t>E:\CAFNEC_GBRF\2022\BarronRiver\Frames_for_Analysis\4_C0031_L_0035.jpg</t>
  </si>
  <si>
    <t>E:\CAFNEC_GBRF\2022\BarronRiver\Frames_for_Analysis\5_C0031_L_0039.jpg</t>
  </si>
  <si>
    <t>E:\CAFNEC_GBRF\2022\BarronRiver\Frames_for_Analysis\6_C0031_L_0043.jpg</t>
  </si>
  <si>
    <t>E:\CAFNEC_GBRF\2022\BarronRiver\Frames_for_Analysis\7_C0031_L_0047.jpg</t>
  </si>
  <si>
    <t>E:\CAFNEC_GBRF\2022\BarronRiver\Frames_for_Analysis\8_C0031_L_0051.jpg</t>
  </si>
  <si>
    <t>E:\CAFNEC_GBRF\2022\BarronRiver\Frames_for_Analysis\9_C0031_L_0055.jpg</t>
  </si>
  <si>
    <t>E:\CAFNEC_GBRF\2022\BarronRiver\Frames_for_Analysis\10_C0031_L_0059.jpg</t>
  </si>
  <si>
    <t>E:\CAFNEC_GBRF\2022\BarronRiver\Frames_for_Analysis\11_C0031_L_0063.jpg</t>
  </si>
  <si>
    <t>E:\CAFNEC_GBRF\2022\BarronRiver\Frames_for_Analysis\12_C0031_L_0067.jpg</t>
  </si>
  <si>
    <t>E:\CAFNEC_GBRF\2022\BarronRiver\Frames_for_Analysis\13_C0031_L_0071.jpg</t>
  </si>
  <si>
    <t>E:\CAFNEC_GBRF\2022\BarronRiver\Frames_for_Analysis\14_C0031_L_0075.jpg</t>
  </si>
  <si>
    <t>E:\CAFNEC_GBRF\2022\BarronRiver\Frames_for_Analysis\15_C0031_L_0078.jpg</t>
  </si>
  <si>
    <t/>
  </si>
  <si>
    <t>E:\CAFNEC_GBRF\2022\BarronRiver\Frames_for_Analysis\18_C0031_L_0081.jpg</t>
  </si>
  <si>
    <t>E:\CAFNEC_GBRF\2022\BarronRiver\Frames_for_Analysis\19_C0031_L_0084.jpg</t>
  </si>
  <si>
    <t>E:\CAFNEC_GBRF\2022\BarronRiver\Frames_for_Analysis\20_C0031_L_0087.jpg</t>
  </si>
  <si>
    <t>E:\CAFNEC_GBRF\2022\BarronRiver\Frames_for_Analysis\21_C0031_L_0090.jpg</t>
  </si>
  <si>
    <t>E:\CAFNEC_GBRF\2022\BarronRiver\Frames_for_Analysis\22_C0031_L_0094.jpg</t>
  </si>
  <si>
    <t>E:\CAFNEC_GBRF\2022\BarronRiver\Frames_for_Analysis\23_C0031_L_0098.jpg</t>
  </si>
  <si>
    <t>E:\CAFNEC_GBRF\2022\BarronRiver\Frames_for_Analysis\24_C0031_L_0101.jpg</t>
  </si>
  <si>
    <t>E:\CAFNEC_GBRF\2022\BarronRiver\Frames_for_Analysis\25_C0031_L_0105.jpg</t>
  </si>
  <si>
    <t>E:\CAFNEC_GBRF\2022\BarronRiver\Frames_for_Analysis\26_C0031_L_0109.jpg</t>
  </si>
  <si>
    <t>E:\CAFNEC_GBRF\2022\BarronRiver\Frames_for_Analysis\27_C0031_L_0113.jpg</t>
  </si>
  <si>
    <t>E:\CAFNEC_GBRF\2022\BarronRiver\Frames_for_Analysis\28_C0031_L_0116.jpg</t>
  </si>
  <si>
    <t>E:\CAFNEC_GBRF\2022\BarronRiver\Frames_for_Analysis\29_C0031_L_0120.jpg</t>
  </si>
  <si>
    <t>E:\CAFNEC_GBRF\2022\BarronRiver\Frames_for_Analysis\30_C0031_L_0124.jpg</t>
  </si>
  <si>
    <t>E:\CAFNEC_GBRF\2022\BarronRiver\Frames_for_Analysis\31_C0031_L_0127.jpg</t>
  </si>
  <si>
    <t>E:\CAFNEC_GBRF\2022\BarronRiver\Frames_for_Analysis\32_C0031_L_0131.jpg</t>
  </si>
  <si>
    <t>E:\CAFNEC_GBRF\2022\BarronRiver\Frames_for_Analysis\33_C0031_L_0135.jpg</t>
  </si>
  <si>
    <t>E:\CAFNEC_GBRF\2022\BarronRiver\Frames_for_Analysis\34_C0031_L_0139.jpg</t>
  </si>
  <si>
    <t>E:\CAFNEC_GBRF\2022\BarronRiver\Frames_for_Analysis\35_C0031_L_0142.jpg</t>
  </si>
  <si>
    <t>E:\CAFNEC_GBRF\2022\BarronRiver\Frames_for_Analysis\36_C0031_L_0146.jpg</t>
  </si>
  <si>
    <t>E:\CAFNEC_GBRF\2022\BarronRiver\Frames_for_Analysis\37_C0031_L_0149.jpg</t>
  </si>
  <si>
    <t>E:\CAFNEC_GBRF\2022\BarronRiver\Frames_for_Analysis\38_C0031_L_0152.jpg</t>
  </si>
  <si>
    <t>E:\CAFNEC_GBRF\2022\BarronRiver\Frames_for_Analysis\39_C0031_L_0155.jpg</t>
  </si>
  <si>
    <t>E:\CAFNEC_GBRF\2022\BarronRiver\Frames_for_Analysis\40_C0031_L_0158.jpg</t>
  </si>
  <si>
    <t>E:\CAFNEC_GBRF\2022\BarronRiver\Frames_for_Analysis\41_C0031_L_0162.jpg</t>
  </si>
  <si>
    <t>E:\CAFNEC_GBRF\2022\BarronRiver\Frames_for_Analysis\42_C0031_L_0165.jpg</t>
  </si>
  <si>
    <t>E:\CAFNEC_GBRF\2022\BarronRiver\Frames_for_Analysis\43_C0031_L_0168.jpg</t>
  </si>
  <si>
    <t>E:\CAFNEC_GBRF\2022\BarronRiver\Frames_for_Analysis\44_C0031_L_0171.jpg</t>
  </si>
  <si>
    <t>E:\CAFNEC_GBRF\2022\BarronRiver\Frames_for_Analysis\45_C0031_L_0174.jpg</t>
  </si>
  <si>
    <t>E:\CAFNEC_GBRF\2022\BarronRiver\Frames_for_Analysis\46_C0031_L_0177.jpg</t>
  </si>
  <si>
    <t>E:\CAFNEC_GBRF\2022\BarronRiver\Frames_for_Analysis\47_C0031_L_0180.jpg</t>
  </si>
  <si>
    <t>E:\CAFNEC_GBRF\2022\BarronRiver\Frames_for_Analysis\48_C0031_L_0183.jpg</t>
  </si>
  <si>
    <t>E:\CAFNEC_GBRF\2022\BarronRiver\Frames_for_Analysis\49_C0031_L_0187.jpg</t>
  </si>
  <si>
    <t>E:\CAFNEC_GBRF\2022\BarronRiver\Frames_for_Analysis\50_C0031_L_0191.jpg</t>
  </si>
  <si>
    <t>E:\CAFNEC_GBRF\2022\BarronRiver\Frames_for_Analysis\51_C0031_L_0195.jpg</t>
  </si>
  <si>
    <t>E:\CAFNEC_GBRF\2022\BarronRiver\Frames_for_Analysis\52_C0031_L_0199.jpg</t>
  </si>
  <si>
    <t>E:\CAFNEC_GBRF\2022\BarronRiver\Frames_for_Analysis\53_C0031_L_0203.jpg</t>
  </si>
  <si>
    <t>E:\CAFNEC_GBRF\2022\BarronRiver\Frames_for_Analysis\54_C0031_L_0208.jpg</t>
  </si>
  <si>
    <t>E:\CAFNEC_GBRF\2022\BarronRiver\Frames_for_Analysis\55_C0031_L_0213.jpg</t>
  </si>
  <si>
    <t>E:\CAFNEC_GBRF\2022\BarronRiver\Frames_for_Analysis\56_C0031_L_0215.jpg</t>
  </si>
  <si>
    <t>E:\CAFNEC_GBRF\2022\BarronRiver\Frames_for_Analysis\57_C0031_L_0219.jpg</t>
  </si>
  <si>
    <t>E:\CAFNEC_GBRF\2022\BarronRiver\Frames_for_Analysis\58_C0031_L_0226.jpg</t>
  </si>
  <si>
    <t>E:\CAFNEC_GBRF\2022\BarronRiver\Frames_for_Analysis\59_C0031_L_0231.jpg</t>
  </si>
  <si>
    <t>E:\CAFNEC_GBRF\2022\BarronRiver\Frames_for_Analysis\60_C0031_L_0235.jpg</t>
  </si>
  <si>
    <t>E:\CAFNEC_GBRF\2022\BarronRiver\Frames_for_Analysis\61_C0031_L_0238.jpg</t>
  </si>
  <si>
    <t>E:\CAFNEC_GBRF\2022\BarronRiver\Frames_for_Analysis\62_C0031_L_0241.jpg</t>
  </si>
  <si>
    <t>E:\CAFNEC_GBRF\2022\BarronRiver\Frames_for_Analysis\63_C0031_L_0244.jpg</t>
  </si>
  <si>
    <t>E:\CAFNEC_GBRF\2022\BarronRiver\Frames_for_Analysis\64_C0031_L_0246.jpg</t>
  </si>
  <si>
    <t>E:\CAFNEC_GBRF\2022\BarronRiver\Frames_for_Analysis\65_C0031_L_0249.jpg</t>
  </si>
  <si>
    <t>E:\CAFNEC_GBRF\2022\BarronRiver\Frames_for_Analysis\66_C0031_L_0252.jpg</t>
  </si>
  <si>
    <t>E:\CAFNEC_GBRF\2022\BarronRiver\Frames_for_Analysis\67_C0031_L_0258.jpg</t>
  </si>
  <si>
    <t>E:\CAFNEC_GBRF\2022\BarronRiver\Frames_for_Analysis\68_C0031_L_0261.jpg</t>
  </si>
  <si>
    <t>E:\CAFNEC_GBRF\2022\BarronRiver\Frames_for_Analysis\69_C0031_L_0264.jpg</t>
  </si>
  <si>
    <t>E:\CAFNEC_GBRF\2022\BarronRiver\Frames_for_Analysis\70_C0031_L_0268.jpg</t>
  </si>
  <si>
    <t>E:\CAFNEC_GBRF\2022\BarronRiver\Frames_for_Analysis\71_C0031_L_0271.jpg</t>
  </si>
  <si>
    <t>E:\CAFNEC_GBRF\2022\BarronRiver\Frames_for_Analysis\72_C0031_L_0273.jpg</t>
  </si>
  <si>
    <t>E:\CAFNEC_GBRF\2022\BarronRiver\Frames_for_Analysis\73_C0031_L_0275.jpg</t>
  </si>
  <si>
    <t>E:\CAFNEC_GBRF\2022\BarronRiver\Frames_for_Analysis\74_C0031_L_0277.jpg</t>
  </si>
  <si>
    <t>E:\CAFNEC_GBRF\2022\BarronRiver\Frames_for_Analysis\75_C0031_L_0283.jpg</t>
  </si>
  <si>
    <t>E:\CAFNEC_GBRF\2022\BarronRiver\Frames_for_Analysis\76_C0031_L_0288.jpg</t>
  </si>
  <si>
    <t>E:\CAFNEC_GBRF\2022\BarronRiver\Frames_for_Analysis\77_C0031_L_0293.jpg</t>
  </si>
  <si>
    <t>E:\CAFNEC_GBRF\2022\BarronRiver\Frames_for_Analysis\78_C0031_L_0298.jpg</t>
  </si>
  <si>
    <t>E:\CAFNEC_GBRF\2022\BarronRiver\Frames_for_Analysis\79_C0031_L_0303.jpg</t>
  </si>
  <si>
    <t>E:\CAFNEC_GBRF\2022\BarronRiver\Frames_for_Analysis\80_C0031_L_0307.jpg</t>
  </si>
  <si>
    <t>E:\CAFNEC_GBRF\2022\BarronRiver\Frames_for_Analysis\81_C0031_L_0315.jpg</t>
  </si>
  <si>
    <t>E:\CAFNEC_GBRF\2022\BarronRiver\Frames_for_Analysis\82_C0031_L_0321.jpg</t>
  </si>
  <si>
    <t>E:\CAFNEC_GBRF\2022\BarronRiver\Frames_for_Analysis\83_C0031_L_0325.jpg</t>
  </si>
  <si>
    <t>E:\CAFNEC_GBRF\2022\BarronRiver\Frames_for_Analysis\84_C0031_L_0330.jpg</t>
  </si>
  <si>
    <t>E:\CAFNEC_GBRF\2022\BarronRiver\Frames_for_Analysis\85_C0031_L_0334.jpg</t>
  </si>
  <si>
    <t>E:\CAFNEC_GBRF\2022\BarronRiver\Frames_for_Analysis\86_C0031_L_0338.jpg</t>
  </si>
  <si>
    <t>E:\CAFNEC_GBRF\2022\BarronRiver\Frames_for_Analysis\87_C0031_L_0343.jpg</t>
  </si>
  <si>
    <t>E:\CAFNEC_GBRF\2022\BarronRiver\Frames_for_Analysis\88_C0031_L_0346.jpg</t>
  </si>
  <si>
    <t>E:\CAFNEC_GBRF\2022\BarronRiver\Frames_for_Analysis\89_C0031_L_0350.jpg</t>
  </si>
  <si>
    <t>E:\CAFNEC_GBRF\2022\BarronRiver\Frames_for_Analysis\90_C0031_L_0356.jpg</t>
  </si>
  <si>
    <t>E:\CAFNEC_GBRF\2022\BarronRiver\Frames_for_Analysis\91_C0031_L_0359.jpg</t>
  </si>
  <si>
    <t>E:\CAFNEC_GBRF\2022\BarronRiver\Frames_for_Analysis\92_C0031_L_0363.jpg</t>
  </si>
  <si>
    <t>E:\CAFNEC_GBRF\2022\BarronRiver\Frames_for_Analysis\93_C0031_L_0369.jpg</t>
  </si>
  <si>
    <t>E:\CAFNEC_GBRF\2022\BarronRiver\Frames_for_Analysis\94_C0031_L_0373.jpg</t>
  </si>
  <si>
    <t>E:\CAFNEC_GBRF\2022\BarronRiver\Frames_for_Analysis\95_C0031_L_0377.jpg</t>
  </si>
  <si>
    <t>E:\CAFNEC_GBRF\2022\BarronRiver\Frames_for_Analysis\112_C0064_R_0135.jpg</t>
  </si>
  <si>
    <t>E:\CAFNEC_GBRF\2022\BarronRiver\Frames_for_Analysis\113_C0064_R_0133.jpg</t>
  </si>
  <si>
    <t>E:\CAFNEC_GBRF\2022\BarronRiver\Frames_for_Analysis\114_C0064_R_0132.jpg</t>
  </si>
  <si>
    <t>E:\CAFNEC_GBRF\2022\BarronRiver\Frames_for_Analysis\115_C0064_R_0138.jpg</t>
  </si>
  <si>
    <t>E:\CAFNEC_GBRF\2022\BarronRiver\Frames_for_Analysis\116_C0064_R_0128.jpg</t>
  </si>
  <si>
    <t>E:\CAFNEC_GBRF\2022\BarronRiver\Frames_for_Analysis\117_C0022_R_0124.jpg</t>
  </si>
  <si>
    <t>E:\CAFNEC_GBRF\2022\BarronRiver\Frames_for_Analysis\118_C0022_R_0123.jpg</t>
  </si>
  <si>
    <t>E:\CAFNEC_GBRF\2022\BarronRiver\Frames_for_Analysis\119_C0064_R_0119.jpg</t>
  </si>
  <si>
    <t>E:\CAFNEC_GBRF\2022\BarronRiver\Frames_for_Analysis\120_C0064_R_0117.jpg</t>
  </si>
  <si>
    <t>E:\CAFNEC_GBRF\2022\BarronRiver\Frames_for_Analysis\121_C0022_R_0117.jpg</t>
  </si>
  <si>
    <t>E:\CAFNEC_GBRF\2022\BarronRiver\Frames_for_Analysis\122_C0064_R_0115.jpg</t>
  </si>
  <si>
    <t>E:\CAFNEC_GBRF\2022\BarronRiver\Frames_for_Analysis\123_C0064_R_0113.jpg</t>
  </si>
  <si>
    <t>E:\CAFNEC_GBRF\2022\BarronRiver\Frames_for_Analysis\124_C0022_R_0110.jpg</t>
  </si>
  <si>
    <t>E:\CAFNEC_GBRF\2022\BarronRiver\Frames_for_Analysis\125_C0064_R_0097.jpg</t>
  </si>
  <si>
    <t>E:\CAFNEC_GBRF\2022\BarronRiver\Frames_for_Analysis\126_C0022_R_0103.jpg</t>
  </si>
  <si>
    <t>E:\CAFNEC_GBRF\2022\BarronRiver\Frames_for_Analysis\127_C0022_R_0099.jpg</t>
  </si>
  <si>
    <t>E:\CAFNEC_GBRF\2022\BarronRiver\Frames_for_Analysis\128_C0022_R_0077.jpg</t>
  </si>
  <si>
    <t>E:\CAFNEC_GBRF\2022\BarronRiver\Frames_for_Analysis\129_C0064_R_0074.jpg</t>
  </si>
  <si>
    <t>E:\CAFNEC_GBRF\2022\BarronRiver\Frames_for_Analysis\130_C0064_R_0072.jpg</t>
  </si>
  <si>
    <t>E:\CAFNEC_GBRF\2022\BarronRiver\Frames_for_Analysis\131_C0064_R_0069.jpg</t>
  </si>
  <si>
    <t>E:\CAFNEC_GBRF\2022\BarronRiver\Frames_for_Analysis\132_C0022_R_0067.jpg</t>
  </si>
  <si>
    <t>E:\CAFNEC_GBRF\2022\BarronRiver\Frames_for_Analysis\133_C0064_R_0061.jpg</t>
  </si>
  <si>
    <t>E:\CAFNEC_GBRF\2022\BarronRiver\Frames_for_Analysis\134_C0022_R_0056.jpg</t>
  </si>
  <si>
    <t>E:\CAFNEC_GBRF\2022\BarronRiver\Frames_for_Analysis\135_C0022_R_0054.jpg</t>
  </si>
  <si>
    <t>E:\CAFNEC_GBRF\2022\BarronRiver\Frames_for_Analysis\136_C0022_R_0050.jpg</t>
  </si>
  <si>
    <t>E:\CAFNEC_GBRF\2022\BarronRiver\Frames_for_Analysis\137_C0064_R_0048.jpg</t>
  </si>
  <si>
    <t>E:\CAFNEC_GBRF\2022\BarronRiver\Frames_for_Analysis\138_C0022_R_0047.jpg</t>
  </si>
  <si>
    <t>E:\CAFNEC_GBRF\2022\BarronRiver\Frames_for_Analysis\139_C0064_R_0040.jpg</t>
  </si>
  <si>
    <t>E:\CAFNEC_GBRF\2022\BarronRiver\Frames_for_Analysis\140_C0064_R_0037.jpg</t>
  </si>
  <si>
    <t>E:\CAFNEC_GBRF\2022\BarronRiver\Frames_for_Analysis\141_C0064_R_0014.jpg</t>
  </si>
  <si>
    <t>E:\CAFNEC_GBRF\2022\BarronRiver\Frames_for_Analysis\142_C0022_R_0031.jpg</t>
  </si>
  <si>
    <t>E:\CAFNEC_GBRF\2022\BarronRiver\Frames_for_Analysis\143_C0022_R_0027.jpg</t>
  </si>
  <si>
    <t>E:\CAFNEC_GBRF\2022\BarronRiver\Frames_for_Analysis\144_C0064_R_0016.jpg</t>
  </si>
  <si>
    <t>E:\CAFNEC_GBRF\2022\BarronRiver\Frames_for_Analysis\145_C0022_R_0016.jpg</t>
  </si>
  <si>
    <t>E:\CAFNEC_GBRF\2022\BarronRiver\Frames_for_Analysis\146_C0064_R_0024.jpg</t>
  </si>
  <si>
    <t>E:\CAFNEC_GBRF\2022\BarronRiver\Frames_for_Analysis\147_C0022_R_0011.jpg</t>
  </si>
  <si>
    <t>E:\CAFNEC_GBRF\2022\BarronRiver\Frames_for_Analysis\148_C0022_R_0008.jpg</t>
  </si>
  <si>
    <t>E:\CAFNEC_GBRF\2022\BarronRiver\Frames_for_Analysis\149_C0022_R_0007.jpg</t>
  </si>
  <si>
    <t>E:\CAFNEC_GBRF\2022\BarronRiver\Frames_for_Analysis\150_C0022_R_0004.jpg</t>
  </si>
  <si>
    <t>E:\CAFNEC_GBRF\2022\BarronRiver\Frames_for_Analysis\151_C0022_R_0002.jpg</t>
  </si>
  <si>
    <t>E:\CAFNEC_GBRF\2022\BarronRiver\Frames_for_Analysis\152_C0021_R_0561.jpg</t>
  </si>
  <si>
    <t>E:\CAFNEC_GBRF\2022\BarronRiver\Frames_for_Analysis\153_C0021_R_0559.jpg</t>
  </si>
  <si>
    <t>E:\CAFNEC_GBRF\2022\BarronRiver\Frames_for_Analysis\154_C0021_R_0556.jpg</t>
  </si>
  <si>
    <t>E:\CAFNEC_GBRF\2022\BarronRiver\Frames_for_Analysis\155_C0021_R_0553.jpg</t>
  </si>
  <si>
    <t>E:\CAFNEC_GBRF\2022\BarronRiver\Frames_for_Analysis\156_C0021_R_0549.jpg</t>
  </si>
  <si>
    <t>E:\CAFNEC_GBRF\2022\BarronRiver\Frames_for_Analysis\157_C0021_R_0544.jpg</t>
  </si>
  <si>
    <t>E:\CAFNEC_GBRF\2022\BarronRiver\Frames_for_Analysis\158_C0021_R_0540.jpg</t>
  </si>
  <si>
    <t>E:\CAFNEC_GBRF\2022\BarronRiver\Frames_for_Analysis\159_C0021_R_0537.jpg</t>
  </si>
  <si>
    <t>E:\CAFNEC_GBRF\2022\BarronRiver\Frames_for_Analysis\160_C0021_R_0534.jpg</t>
  </si>
  <si>
    <t>E:\CAFNEC_GBRF\2022\BarronRiver\Frames_for_Analysis\161_C0021_R_0530.jpg</t>
  </si>
  <si>
    <t>E:\CAFNEC_GBRF\2022\BarronRiver\Frames_for_Analysis\162_C0021_R_0527.jpg</t>
  </si>
  <si>
    <t>E:\CAFNEC_GBRF\2022\BarronRiver\Frames_for_Analysis\163_C0021_R_0524.jpg</t>
  </si>
  <si>
    <t>E:\CAFNEC_GBRF\2022\BarronRiver\Frames_for_Analysis\164_C0021_R_0521.jpg</t>
  </si>
  <si>
    <t>E:\CAFNEC_GBRF\2022\BarronRiver\Frames_for_Analysis\165_C0021_R_0519.jpg</t>
  </si>
  <si>
    <t>E:\CAFNEC_GBRF\2022\BarronRiver\Frames_for_Analysis\166_C0021_R_0516.jpg</t>
  </si>
  <si>
    <t>E:\CAFNEC_GBRF\2022\BarronRiver\Frames_for_Analysis\167_C0021_R_0513.jpg</t>
  </si>
  <si>
    <t>E:\CAFNEC_GBRF\2022\BarronRiver\Frames_for_Analysis\168_C0021_R_0510.jpg</t>
  </si>
  <si>
    <t>E:\CAFNEC_GBRF\2022\BarronRiver\Frames_for_Analysis\169_C0021_R_0508.jpg</t>
  </si>
  <si>
    <t>E:\CAFNEC_GBRF\2022\BarronRiver\Frames_for_Analysis\170_C0021_R_0505.jpg</t>
  </si>
  <si>
    <t>E:\CAFNEC_GBRF\2022\BarronRiver\Frames_for_Analysis\171_C0021_R_0502.jpg</t>
  </si>
  <si>
    <t>E:\CAFNEC_GBRF\2022\BarronRiver\Frames_for_Analysis\172_C0021_R_0500.jpg</t>
  </si>
  <si>
    <t>E:\CAFNEC_GBRF\2022\BarronRiver\Frames_for_Analysis\173_C0021_R_0497.jpg</t>
  </si>
  <si>
    <t>E:\CAFNEC_GBRF\2022\BarronRiver\Frames_for_Analysis\174_C0021_R_0494.jpg</t>
  </si>
  <si>
    <t>E:\CAFNEC_GBRF\2022\BarronRiver\Frames_for_Analysis\175_C0021_R_0491.jpg</t>
  </si>
  <si>
    <t>E:\CAFNEC_GBRF\2022\BarronRiver\Frames_for_Analysis\176_C0021_R_0489.jpg</t>
  </si>
  <si>
    <t>E:\CAFNEC_GBRF\2022\BarronRiver\Frames_for_Analysis\177_C0021_R_0486.jpg</t>
  </si>
  <si>
    <t>E:\CAFNEC_GBRF\2022\BarronRiver\Frames_for_Analysis\178_C0021_R_0483.jpg</t>
  </si>
  <si>
    <t>E:\CAFNEC_GBRF\2022\BarronRiver\Frames_for_Analysis\179_C0021_R_0480.jpg</t>
  </si>
  <si>
    <t>E:\CAFNEC_GBRF\2022\BarronRiver\Frames_for_Analysis\180_C0021_R_0478.jpg</t>
  </si>
  <si>
    <t>E:\CAFNEC_GBRF\2022\BarronRiver\Frames_for_Analysis\181_C0021_R_0475.jpg</t>
  </si>
  <si>
    <t>E:\CAFNEC_GBRF\2022\BarronRiver\Frames_for_Analysis\182_C0021_R_0473.jpg</t>
  </si>
  <si>
    <t>E:\CAFNEC_GBRF\2022\BarronRiver\Frames_for_Analysis\183_C0021_R_0469.jpg</t>
  </si>
  <si>
    <t>E:\CAFNEC_GBRF\2022\BarronRiver\Frames_for_Analysis\184_C0021_R_0467.jpg</t>
  </si>
  <si>
    <t>E:\CAFNEC_GBRF\2022\BarronRiver\Frames_for_Analysis\185_C0021_R_0463.jpg</t>
  </si>
  <si>
    <t>E:\CAFNEC_GBRF\2022\BarronRiver\Frames_for_Analysis\186_C0021_R_0460.jpg</t>
  </si>
  <si>
    <t>E:\CAFNEC_GBRF\2022\BarronRiver\Frames_for_Analysis\187_C0021_R_0456.jpg</t>
  </si>
  <si>
    <t>E:\CAFNEC_GBRF\2022\BarronRiver\Frames_for_Analysis\188_C0021_R_0453.jpg</t>
  </si>
  <si>
    <t>E:\CAFNEC_GBRF\2022\BarronRiver\Frames_for_Analysis\189_C0021_R_0450.jpg</t>
  </si>
  <si>
    <t>E:\CAFNEC_GBRF\2022\BarronRiver\Frames_for_Analysis\190_C0021_R_0446.jpg</t>
  </si>
  <si>
    <t>E:\CAFNEC_GBRF\2022\BarronRiver\Frames_for_Analysis\191_C0021_R_0442.jpg</t>
  </si>
  <si>
    <t>E:\CAFNEC_GBRF\2022\BarronRiver\Frames_for_Analysis\192_C0021_R_0438.jpg</t>
  </si>
  <si>
    <t>E:\CAFNEC_GBRF\2022\BarronRiver\Frames_for_Analysis\193_C0021_R_0434.jpg</t>
  </si>
  <si>
    <t>E:\CAFNEC_GBRF\2022\BarronRiver\Frames_for_Analysis\194_C0021_R_0430.jpg</t>
  </si>
  <si>
    <t>E:\CAFNEC_GBRF\2022\BarronRiver\Frames_for_Analysis\195_C0021_R_0427.jpg</t>
  </si>
  <si>
    <t>E:\CAFNEC_GBRF\2022\BarronRiver\Frames_for_Analysis\196_C0021_R_0424.jpg</t>
  </si>
  <si>
    <t>E:\CAFNEC_GBRF\2022\BarronRiver\Frames_for_Analysis\197_C0021_R_0420.jpg</t>
  </si>
  <si>
    <t>E:\CAFNEC_GBRF\2022\BarronRiver\Frames_for_Analysis\198_C0059_R_0309.jpg</t>
  </si>
  <si>
    <t>E:\CAFNEC_GBRF\2022\BarronRiver\Frames_for_Analysis\199_C0059_R_0306.jpg</t>
  </si>
  <si>
    <t>E:\CAFNEC_GBRF\2022\BarronRiver\Frames_for_Analysis\200_C0059_R_0302.jpg</t>
  </si>
  <si>
    <t>E:\CAFNEC_GBRF\2022\BarronRiver\Frames_for_Analysis\201_C0021_R_0407.jpg</t>
  </si>
  <si>
    <t>E:\CAFNEC_GBRF\2022\BarronRiver\Frames_for_Analysis\202_C0021_R_0404.jpg</t>
  </si>
  <si>
    <t>E:\CAFNEC_GBRF\2022\BarronRiver\Frames_for_Analysis\203_C0059_R_0290.jpg</t>
  </si>
  <si>
    <t>E:\CAFNEC_GBRF\2022\BarronRiver\Frames_for_Analysis\204_C0059_R_0287.jpg</t>
  </si>
  <si>
    <t>E:\CAFNEC_GBRF\2022\BarronRiver\Frames_for_Analysis\205_C0059_R_0283.jpg</t>
  </si>
  <si>
    <t>E:\CAFNEC_GBRF\2022\BarronRiver\Frames_for_Analysis\206_C0059_R_0280.jpg</t>
  </si>
  <si>
    <t>E:\CAFNEC_GBRF\2022\BarronRiver\Frames_for_Analysis\207_C0021_R_0390.jpg</t>
  </si>
  <si>
    <t>E:\CAFNEC_GBRF\2022\BarronRiver\Frames_for_Analysis\208_C0021_R_0387.jpg</t>
  </si>
  <si>
    <t>E:\CAFNEC_GBRF\2022\BarronRiver\Frames_for_Analysis\209_C0021_R_0384.jpg</t>
  </si>
  <si>
    <t>E:\CAFNEC_GBRF\2022\BarronRiver\Frames_for_Analysis\210_C0059_R_0265.jpg</t>
  </si>
  <si>
    <t>E:\CAFNEC_GBRF\2022\BarronRiver\Frames_for_Analysis\211_C0059_R_0260.jpg</t>
  </si>
  <si>
    <t>E:\CAFNEC_GBRF\2022\BarronRiver\Frames_for_Analysis\212_C0021_R_0376.jpg</t>
  </si>
  <si>
    <t>E:\CAFNEC_GBRF\2022\BarronRiver\Frames_for_Analysis\213_C0021_R_0373.jpg</t>
  </si>
  <si>
    <t>E:\CAFNEC_GBRF\2022\BarronRiver\Frames_for_Analysis\214_C0059_R_0250.jpg</t>
  </si>
  <si>
    <t>E:\CAFNEC_GBRF\2022\BarronRiver\Frames_for_Analysis\215_C0021_R_0368.jpg</t>
  </si>
  <si>
    <t>E:\CAFNEC_GBRF\2022\BarronRiver\Frames_for_Analysis\216_C0059_R_0245.jpg</t>
  </si>
  <si>
    <t>E:\CAFNEC_GBRF\2022\BarronRiver\Frames_for_Analysis\217_C0059_R_0242.jpg</t>
  </si>
  <si>
    <t>E:\CAFNEC_GBRF\2022\BarronRiver\Frames_for_Analysis\218_C0059_R_0239.jpg</t>
  </si>
  <si>
    <t>E:\CAFNEC_GBRF\2022\BarronRiver\Frames_for_Analysis\219_C0059_R_0237.jpg</t>
  </si>
  <si>
    <t>E:\CAFNEC_GBRF\2022\BarronRiver\Frames_for_Analysis\220_C0059_R_0234.jpg</t>
  </si>
  <si>
    <t>E:\CAFNEC_GBRF\2022\BarronRiver\Frames_for_Analysis\221_C0059_R_0231.jpg</t>
  </si>
  <si>
    <t>E:\CAFNEC_GBRF\2022\BarronRiver\Frames_for_Analysis\222_C0059_R_0228.jpg</t>
  </si>
  <si>
    <t>E:\CAFNEC_GBRF\2022\BarronRiver\Frames_for_Analysis\223_C0059_R_0225.jpg</t>
  </si>
  <si>
    <t>E:\CAFNEC_GBRF\2022\BarronRiver\Frames_for_Analysis\224_C0021_R_0341.jpg</t>
  </si>
  <si>
    <t>E:\CAFNEC_GBRF\2022\BarronRiver\Frames_for_Analysis\225_C0021_R_0339.jpg</t>
  </si>
  <si>
    <t>E:\CAFNEC_GBRF\2022\BarronRiver\Frames_for_Analysis\226_C0021_R_0336.jpg</t>
  </si>
  <si>
    <t>E:\CAFNEC_GBRF\2022\BarronRiver\Frames_for_Analysis\227_C0059_R_0214.jpg</t>
  </si>
  <si>
    <t>E:\CAFNEC_GBRF\2022\BarronRiver\Frames_for_Analysis\228_C0021_R_0331.jpg</t>
  </si>
  <si>
    <t>E:\CAFNEC_GBRF\2022\BarronRiver\Frames_for_Analysis\229_C0021_R_0328.jpg</t>
  </si>
  <si>
    <t>E:\CAFNEC_GBRF\2022\BarronRiver\Frames_for_Analysis\230_C0059_R_0206.jpg</t>
  </si>
  <si>
    <t>E:\CAFNEC_GBRF\2022\BarronRiver\Frames_for_Analysis\231_C0021_R_0323.jpg</t>
  </si>
  <si>
    <t>E:\CAFNEC_GBRF\2022\BarronRiver\Frames_for_Analysis\232_C0021_R_0320.jpg</t>
  </si>
  <si>
    <t>E:\CAFNEC_GBRF\2022\BarronRiver\Frames_for_Analysis\233_C0059_R_0197.jpg</t>
  </si>
  <si>
    <t>E:\CAFNEC_GBRF\2022\BarronRiver\Frames_for_Analysis\234_C0021_R_0315.jpg</t>
  </si>
  <si>
    <t>E:\CAFNEC_GBRF\2022\BarronRiver\Frames_for_Analysis\235_C0059_R_0192.jpg</t>
  </si>
  <si>
    <t>E:\CAFNEC_GBRF\2022\BarronRiver\Frames_for_Analysis\236_C0021_R_0310.jpg</t>
  </si>
  <si>
    <t>E:\CAFNEC_GBRF\2022\BarronRiver\Frames_for_Analysis\237_C0021_R_0307.jpg</t>
  </si>
  <si>
    <t>E:\CAFNEC_GBRF\2022\BarronRiver\Frames_for_Analysis\238_C0059_R_0182.jpg</t>
  </si>
  <si>
    <t>E:\CAFNEC_GBRF\2022\BarronRiver\Frames_for_Analysis\239_C0021_R_0302.jpg</t>
  </si>
  <si>
    <t>E:\CAFNEC_GBRF\2022\BarronRiver\Frames_for_Analysis\240_C0021_R_0299.jpg</t>
  </si>
  <si>
    <t>E:\CAFNEC_GBRF\2022\BarronRiver\Frames_for_Analysis\241_C0059_R_0173.jpg</t>
  </si>
  <si>
    <t>E:\CAFNEC_GBRF\2022\BarronRiver\Frames_for_Analysis\242_C0059_R_0171.jpg</t>
  </si>
  <si>
    <t>E:\CAFNEC_GBRF\2022\BarronRiver\Frames_for_Analysis\243_C0021_R_0291.jpg</t>
  </si>
  <si>
    <t>E:\CAFNEC_GBRF\2022\BarronRiver\Frames_for_Analysis\244_C0059_R_0165.jpg</t>
  </si>
  <si>
    <t>E:\CAFNEC_GBRF\2022\BarronRiver\Frames_for_Analysis\245_C0059_R_0162.jpg</t>
  </si>
  <si>
    <t>E:\CAFNEC_GBRF\2022\BarronRiver\Frames_for_Analysis\246_C0021_R_0283.jpg</t>
  </si>
  <si>
    <t>E:\CAFNEC_GBRF\2022\BarronRiver\Frames_for_Analysis\247_C0021_R_0280.jpg</t>
  </si>
  <si>
    <t>E:\CAFNEC_GBRF\2022\BarronRiver\Frames_for_Analysis\248_C0021_R_0278.jpg</t>
  </si>
  <si>
    <t>E:\CAFNEC_GBRF\2022\BarronRiver\Frames_for_Analysis\249_C0021_R_0276.jpg</t>
  </si>
  <si>
    <t>E:\CAFNEC_GBRF\2022\BarronRiver\Frames_for_Analysis\250_C0059_R_0149.jpg</t>
  </si>
  <si>
    <t>E:\CAFNEC_GBRF\2022\BarronRiver\Frames_for_Analysis\251_C0059_R_0146.jpg</t>
  </si>
  <si>
    <t>E:\CAFNEC_GBRF\2022\BarronRiver\Frames_for_Analysis\252_C0059_R_0143.jpg</t>
  </si>
  <si>
    <t>E:\CAFNEC_GBRF\2022\BarronRiver\Frames_for_Analysis\253_C0059_R_0141.jpg</t>
  </si>
  <si>
    <t>E:\CAFNEC_GBRF\2022\BarronRiver\Frames_for_Analysis\254_C0059_R_0138.jpg</t>
  </si>
  <si>
    <t>E:\CAFNEC_GBRF\2022\BarronRiver\Frames_for_Analysis\255_C0021_R_0260.jpg</t>
  </si>
  <si>
    <t>E:\CAFNEC_GBRF\2022\BarronRiver\Frames_for_Analysis\256_C0059_R_0133.jpg</t>
  </si>
  <si>
    <t>E:\CAFNEC_GBRF\2022\BarronRiver\Frames_for_Analysis\257_C0059_R_0132.jpg</t>
  </si>
  <si>
    <t>E:\CAFNEC_GBRF\2022\BarronRiver\Frames_for_Analysis\258_C0059_R_0129.jpg</t>
  </si>
  <si>
    <t>E:\CAFNEC_GBRF\2022\BarronRiver\Frames_for_Analysis\259_C0059_R_0126.jpg</t>
  </si>
  <si>
    <t>E:\CAFNEC_GBRF\2022\BarronRiver\Frames_for_Analysis\260_C0059_R_0123.jpg</t>
  </si>
  <si>
    <t>E:\CAFNEC_GBRF\2022\BarronRiver\Frames_for_Analysis\261_C0021_R_0248.jpg</t>
  </si>
  <si>
    <t>E:\CAFNEC_GBRF\2022\BarronRiver\Frames_for_Analysis\262_C0059_R_0117.jpg</t>
  </si>
  <si>
    <t>E:\CAFNEC_GBRF\2022\BarronRiver\Frames_for_Analysis\263_C0059_R_0114.jpg</t>
  </si>
  <si>
    <t>E:\CAFNEC_GBRF\2022\BarronRiver\Frames_for_Analysis\264_C0059_R_0111.jpg</t>
  </si>
  <si>
    <t>E:\CAFNEC_GBRF\2022\BarronRiver\Frames_for_Analysis\265_C0059_R_0108.jpg</t>
  </si>
  <si>
    <t>E:\CAFNEC_GBRF\2022\BarronRiver\Frames_for_Analysis\266_C0021_R_0234.jpg</t>
  </si>
  <si>
    <t>E:\CAFNEC_GBRF\2022\BarronRiver\Frames_for_Analysis\267_C0021_R_0231.jpg</t>
  </si>
  <si>
    <t>E:\CAFNEC_GBRF\2022\BarronRiver\Frames_for_Analysis\268_C0059_R_0100.jpg</t>
  </si>
  <si>
    <t>E:\CAFNEC_GBRF\2022\BarronRiver\Frames_for_Analysis\269_C0059_R_0097.jpg</t>
  </si>
  <si>
    <t>E:\CAFNEC_GBRF\2022\BarronRiver\Frames_for_Analysis\270_C0059_R_0094.jpg</t>
  </si>
  <si>
    <t>E:\CAFNEC_GBRF\2022\BarronRiver\Frames_for_Analysis\271_C0021_R_0218.jpg</t>
  </si>
  <si>
    <t>E:\CAFNEC_GBRF\2022\BarronRiver\Frames_for_Analysis\272_C0059_R_0089.jpg</t>
  </si>
  <si>
    <t>E:\CAFNEC_GBRF\2022\BarronRiver\Frames_for_Analysis\273_C0059_R_0086.jpg</t>
  </si>
  <si>
    <t>E:\CAFNEC_GBRF\2022\BarronRiver\Frames_for_Analysis\274_C0059_R_0083.jpg</t>
  </si>
  <si>
    <t>E:\CAFNEC_GBRF\2022\BarronRiver\Frames_for_Analysis\275_C0059_R_0080.jpg</t>
  </si>
  <si>
    <t>E:\CAFNEC_GBRF\2022\BarronRiver\Frames_for_Analysis\276_C0021_R_0207.jpg</t>
  </si>
  <si>
    <t>E:\CAFNEC_GBRF\2022\BarronRiver\Frames_for_Analysis\277_C0021_R_0204.jpg</t>
  </si>
  <si>
    <t>E:\CAFNEC_GBRF\2022\BarronRiver\Frames_for_Analysis\278_C0059_R_0072.jpg</t>
  </si>
  <si>
    <t>E:\CAFNEC_GBRF\2022\BarronRiver\Frames_for_Analysis\279_C0059_R_0069.jpg</t>
  </si>
  <si>
    <t>E:\CAFNEC_GBRF\2022\BarronRiver\Frames_for_Analysis\280_C0059_R_0066.jpg</t>
  </si>
  <si>
    <t>E:\CAFNEC_GBRF\2022\BarronRiver\Frames_for_Analysis\281_C0021_R_0194.jpg</t>
  </si>
  <si>
    <t>E:\CAFNEC_GBRF\2022\BarronRiver\Frames_for_Analysis\282_C0059_R_0061.jpg</t>
  </si>
  <si>
    <t>E:\CAFNEC_GBRF\2022\BarronRiver\Frames_for_Analysis\283_C0059_R_0058.jpg</t>
  </si>
  <si>
    <t>E:\CAFNEC_GBRF\2022\BarronRiver\Frames_for_Analysis\284_C0059_R_0054.jpg</t>
  </si>
  <si>
    <t>E:\CAFNEC_GBRF\2022\BarronRiver\Frames_for_Analysis\285_C0021_R_0183.jpg</t>
  </si>
  <si>
    <t>E:\CAFNEC_GBRF\2022\BarronRiver\Frames_for_Analysis\286_C0021_R_0180.jpg</t>
  </si>
  <si>
    <t>E:\CAFNEC_GBRF\2022\BarronRiver\Frames_for_Analysis\287_C0021_R_0178.jpg</t>
  </si>
  <si>
    <t>E:\CAFNEC_GBRF\2022\BarronRiver\Frames_for_Analysis\288_C0021_R_0175.jpg</t>
  </si>
  <si>
    <t>E:\CAFNEC_GBRF\2022\BarronRiver\Frames_for_Analysis\289_C0059_R_0038.jpg</t>
  </si>
  <si>
    <t>E:\CAFNEC_GBRF\2022\BarronRiver\Frames_for_Analysis\290_C0059_R_0035.jpg</t>
  </si>
  <si>
    <t>E:\CAFNEC_GBRF\2022\BarronRiver\Frames_for_Analysis\291_C0021_R_0167.jpg</t>
  </si>
  <si>
    <t>E:\CAFNEC_GBRF\2022\BarronRiver\Frames_for_Analysis\292_C0021_R_0164.jpg</t>
  </si>
  <si>
    <t>E:\CAFNEC_GBRF\2022\BarronRiver\Frames_for_Analysis\293_C0059_R_0026.jpg</t>
  </si>
  <si>
    <t>E:\CAFNEC_GBRF\2022\BarronRiver\Frames_for_Analysis\294_C0021_R_0159.jpg</t>
  </si>
  <si>
    <t>E:\CAFNEC_GBRF\2022\BarronRiver\Frames_for_Analysis\295_C0059_R_0020.jpg</t>
  </si>
  <si>
    <t>E:\CAFNEC_GBRF\2022\BarronRiver\Frames_for_Analysis\296_C0021_R_0154.jpg</t>
  </si>
  <si>
    <t>E:\CAFNEC_GBRF\2022\BarronRiver\Frames_for_Analysis\297_C0059_R_0013.jpg</t>
  </si>
  <si>
    <t>E:\CAFNEC_GBRF\2022\BarronRiver\Frames_for_Analysis\298_C0021_R_0148.jpg</t>
  </si>
  <si>
    <t>E:\CAFNEC_GBRF\2022\BarronRiver\Frames_for_Analysis\299_C0059_R_0007.jpg</t>
  </si>
  <si>
    <t>E:\CAFNEC_GBRF\2022\BarronRiver\Frames_for_Analysis\300_C0059_R_0004.jpg</t>
  </si>
  <si>
    <t>E:\CAFNEC_GBRF\2022\BarronRiver\Frames_for_Analysis\301_C0058_R_0563.jpg</t>
  </si>
  <si>
    <t>E:\CAFNEC_GBRF\2022\BarronRiver\Frames_for_Analysis\302_C0021_R_0136.jpg</t>
  </si>
  <si>
    <t>E:\CAFNEC_GBRF\2022\BarronRiver\Frames_for_Analysis\303_C0021_R_0133.jpg</t>
  </si>
  <si>
    <t>E:\CAFNEC_GBRF\2022\BarronRiver\Frames_for_Analysis\304_C0021_R_0130.jpg</t>
  </si>
  <si>
    <t>E:\CAFNEC_GBRF\2022\BarronRiver\Frames_for_Analysis\305_C0021_R_0128.jpg</t>
  </si>
  <si>
    <t>E:\CAFNEC_GBRF\2022\BarronRiver\Frames_for_Analysis\306_C0021_R_0125.jpg</t>
  </si>
  <si>
    <t>E:\CAFNEC_GBRF\2022\BarronRiver\Frames_for_Analysis\307_C0058_R_0546.jpg</t>
  </si>
  <si>
    <t>E:\CAFNEC_GBRF\2022\BarronRiver\Frames_for_Analysis\308_C0021_R_0120.jpg</t>
  </si>
  <si>
    <t>E:\CAFNEC_GBRF\2022\BarronRiver\Frames_for_Analysis\309_C0021_R_0117.jpg</t>
  </si>
  <si>
    <t>E:\CAFNEC_GBRF\2022\BarronRiver\Frames_for_Analysis\310_C0058_R_0537.jpg</t>
  </si>
  <si>
    <t>E:\CAFNEC_GBRF\2022\BarronRiver\Frames_for_Analysis\311_C0021_R_0112.jpg</t>
  </si>
  <si>
    <t>E:\CAFNEC_GBRF\2022\BarronRiver\Frames_for_Analysis\312_C0021_R_0109.jpg</t>
  </si>
  <si>
    <t>E:\CAFNEC_GBRF\2022\BarronRiver\Frames_for_Analysis\313_C0058_R_0528.jpg</t>
  </si>
  <si>
    <t>E:\CAFNEC_GBRF\2022\BarronRiver\Frames_for_Analysis\314_C0058_R_0525.jpg</t>
  </si>
  <si>
    <t>E:\CAFNEC_GBRF\2022\BarronRiver\Frames_for_Analysis\315_C0021_R_0101.jpg</t>
  </si>
  <si>
    <t>E:\CAFNEC_GBRF\2022\BarronRiver\Frames_for_Analysis\316_C0058_R_0519.jpg</t>
  </si>
  <si>
    <t>E:\CAFNEC_GBRF\2022\BarronRiver\Frames_for_Analysis\317_C0021_R_0095.jpg</t>
  </si>
  <si>
    <t>E:\CAFNEC_GBRF\2022\BarronRiver\Frames_for_Analysis\318_C0021_R_0092.jpg</t>
  </si>
  <si>
    <t>E:\CAFNEC_GBRF\2022\BarronRiver\Frames_for_Analysis\319_C0058_R_0509.jpg</t>
  </si>
  <si>
    <t>E:\CAFNEC_GBRF\2022\BarronRiver\Frames_for_Analysis\320_C0021_R_0087.jpg</t>
  </si>
  <si>
    <t>E:\CAFNEC_GBRF\2022\BarronRiver\Frames_for_Analysis\321_C0058_R_0503.jpg</t>
  </si>
  <si>
    <t>E:\CAFNEC_GBRF\2022\BarronRiver\Frames_for_Analysis\322_C0021_R_0081.jpg</t>
  </si>
  <si>
    <t>E:\CAFNEC_GBRF\2022\BarronRiver\Frames_for_Analysis\323_C0021_R_0078.jpg</t>
  </si>
  <si>
    <t>E:\CAFNEC_GBRF\2022\BarronRiver\Frames_for_Analysis\324_C0058_R_0494.jpg</t>
  </si>
  <si>
    <t>E:\CAFNEC_GBRF\2022\BarronRiver\Frames_for_Analysis\325_C0021_R_0072.jpg</t>
  </si>
  <si>
    <t>E:\CAFNEC_GBRF\2022\BarronRiver\Frames_for_Analysis\326_C0021_R_0069.jpg</t>
  </si>
  <si>
    <t>E:\CAFNEC_GBRF\2022\BarronRiver\Frames_for_Analysis\327_C0021_R_0066.jpg</t>
  </si>
  <si>
    <t>E:\CAFNEC_GBRF\2022\BarronRiver\Frames_for_Analysis\328_C0021_R_0063.jpg</t>
  </si>
  <si>
    <t>E:\CAFNEC_GBRF\2022\BarronRiver\Frames_for_Analysis\329_C0058_R_0479.jpg</t>
  </si>
  <si>
    <t>E:\CAFNEC_GBRF\2022\BarronRiver\Frames_for_Analysis\330_C0058_R_0475.jpg</t>
  </si>
  <si>
    <t>E:\CAFNEC_GBRF\2022\BarronRiver\Frames_for_Analysis\331_C0058_R_0472.jpg</t>
  </si>
  <si>
    <t>E:\CAFNEC_GBRF\2022\BarronRiver\Frames_for_Analysis\332_C0058_R_0469.jpg</t>
  </si>
  <si>
    <t>E:\CAFNEC_GBRF\2022\BarronRiver\Frames_for_Analysis\333_C0021_R_0050.jpg</t>
  </si>
  <si>
    <t>E:\CAFNEC_GBRF\2022\BarronRiver\Frames_for_Analysis\334_C0021_R_0047.jpg</t>
  </si>
  <si>
    <t>E:\CAFNEC_GBRF\2022\BarronRiver\Frames_for_Analysis\335_C0021_R_0044.jpg</t>
  </si>
  <si>
    <t>E:\CAFNEC_GBRF\2022\BarronRiver\Frames_for_Analysis\336_C0021_R_0041.jpg</t>
  </si>
  <si>
    <t>E:\CAFNEC_GBRF\2022\BarronRiver\Frames_for_Analysis\337_C0021_R_0038.jpg</t>
  </si>
  <si>
    <t>E:\CAFNEC_GBRF\2022\BarronRiver\Frames_for_Analysis\338_C0021_R_0034.jpg</t>
  </si>
  <si>
    <t>E:\CAFNEC_GBRF\2022\BarronRiver\Frames_for_Analysis\339_C0021_R_0030.jpg</t>
  </si>
  <si>
    <t>E:\CAFNEC_GBRF\2022\BarronRiver\Frames_for_Analysis\340_C0021_R_0027.jpg</t>
  </si>
  <si>
    <t>E:\CAFNEC_GBRF\2022\BarronRiver\Frames_for_Analysis\341_C0021_R_0024.jpg</t>
  </si>
  <si>
    <t>E:\CAFNEC_GBRF\2022\BarronRiver\Frames_for_Analysis\342_C0021_R_0021.jpg</t>
  </si>
  <si>
    <t>E:\CAFNEC_GBRF\2022\BarronRiver\Frames_for_Analysis\343_C0021_R_0018.jpg</t>
  </si>
  <si>
    <t>E:\CAFNEC_GBRF\2022\BarronRiver\Frames_for_Analysis\344_C0021_R_0016.jpg</t>
  </si>
  <si>
    <t>E:\CAFNEC_GBRF\2022\BarronRiver\Frames_for_Analysis\345_C0021_R_0011.jpg</t>
  </si>
  <si>
    <t>E:\CAFNEC_GBRF\2022\BarronRiver\Frames_for_Analysis\346_C0058_R_0424.jpg</t>
  </si>
  <si>
    <t>E:\CAFNEC_GBRF\2022\BarronRiver\Frames_for_Analysis\347_C0021_R_0004.jpg</t>
  </si>
  <si>
    <t>E:\CAFNEC_GBRF\2022\BarronRiver\Frames_for_Analysis\348_C0058_R_0418.jpg</t>
  </si>
  <si>
    <t>E:\CAFNEC_GBRF\2022\BarronRiver\Frames_for_Analysis\349_C0058_R_0414.jpg</t>
  </si>
  <si>
    <t>E:\CAFNEC_GBRF\2022\BarronRiver\Frames_for_Analysis\350_C0058_R_0411.jpg</t>
  </si>
  <si>
    <t>E:\CAFNEC_GBRF\2022\BarronRiver\Frames_for_Analysis\351_C0058_R_0409.jpg</t>
  </si>
  <si>
    <t>E:\CAFNEC_GBRF\2022\BarronRiver\Frames_for_Analysis\352_C0058_R_0405.jpg</t>
  </si>
  <si>
    <t>E:\CAFNEC_GBRF\2022\BarronRiver\Frames_for_Analysis\353_C0058_R_0402.jpg</t>
  </si>
  <si>
    <t>E:\CAFNEC_GBRF\2022\BarronRiver\Frames_for_Analysis\354_C0058_R_0399.jpg</t>
  </si>
  <si>
    <t>E:\CAFNEC_GBRF\2022\BarronRiver\Frames_for_Analysis\355_C0058_R_0395.jpg</t>
  </si>
  <si>
    <t>E:\CAFNEC_GBRF\2022\BarronRiver\Frames_for_Analysis\356_C0058_R_0392.jpg</t>
  </si>
  <si>
    <t>E:\CAFNEC_GBRF\2022\BarronRiver\Frames_for_Analysis\357_C0058_R_0389.jpg</t>
  </si>
  <si>
    <t>E:\CAFNEC_GBRF\2022\BarronRiver\Frames_for_Analysis\358_C0058_R_0386.jpg</t>
  </si>
  <si>
    <t>E:\CAFNEC_GBRF\2022\BarronRiver\Frames_for_Analysis\359_C0058_R_0382.jpg</t>
  </si>
  <si>
    <t>E:\CAFNEC_GBRF\2022\BarronRiver\Frames_for_Analysis\360_C0058_R_0379.jpg</t>
  </si>
  <si>
    <t>E:\CAFNEC_GBRF\2022\BarronRiver\Frames_for_Analysis\361_C0058_R_0375.jpg</t>
  </si>
  <si>
    <t>E:\CAFNEC_GBRF\2022\BarronRiver\Frames_for_Analysis\362_C0058_R_0373.jpg</t>
  </si>
  <si>
    <t>E:\CAFNEC_GBRF\2022\BarronRiver\Frames_for_Analysis\363_C0058_R_0370.jpg</t>
  </si>
  <si>
    <t>E:\CAFNEC_GBRF\2022\BarronRiver\Frames_for_Analysis\364_C0058_R_0368.jpg</t>
  </si>
  <si>
    <t>E:\CAFNEC_GBRF\2022\BarronRiver\Frames_for_Analysis\365_C0058_R_0365.jpg</t>
  </si>
  <si>
    <t>E:\CAFNEC_GBRF\2022\BarronRiver\Frames_for_Analysis\366_C0058_R_0361.jpg</t>
  </si>
  <si>
    <t>E:\CAFNEC_GBRF\2022\BarronRiver\Frames_for_Analysis\367_C0058_R_0357.jpg</t>
  </si>
  <si>
    <t>E:\CAFNEC_GBRF\2022\BarronRiver\Frames_for_Analysis\368_C0058_R_0353.jpg</t>
  </si>
  <si>
    <t>E:\CAFNEC_GBRF\2022\BarronRiver\Frames_for_Analysis\369_C0058_R_0349.jpg</t>
  </si>
  <si>
    <t>E:\CAFNEC_GBRF\2022\BarronRiver\Frames_for_Analysis\370_C0058_R_0344.jpg</t>
  </si>
  <si>
    <t>E:\CAFNEC_GBRF\2022\BarronRiver\Frames_for_Analysis\371_C0058_R_0341.jpg</t>
  </si>
  <si>
    <t>E:\CAFNEC_GBRF\2022\BarronRiver\Frames_for_Analysis\372_C0058_R_0337.jpg</t>
  </si>
  <si>
    <t>E:\CAFNEC_GBRF\2022\BarronRiver\Frames_for_Analysis\373_C0058_R_0334.jpg</t>
  </si>
  <si>
    <t>E:\CAFNEC_GBRF\2022\BarronRiver\Frames_for_Analysis\374_C0058_R_0328.jpg</t>
  </si>
  <si>
    <t>E:\CAFNEC_GBRF\2022\BarronRiver\Frames_for_Analysis\375_C0058_R_0325.jpg</t>
  </si>
  <si>
    <t>E:\CAFNEC_GBRF\2022\BarronRiver\Frames_for_Analysis\376_C0058_R_0322.jpg</t>
  </si>
  <si>
    <t>E:\CAFNEC_GBRF\2022\BarronRiver\Frames_for_Analysis\377_C0058_R_0318.jpg</t>
  </si>
  <si>
    <t>E:\CAFNEC_GBRF\2022\BarronRiver\Frames_for_Analysis\378_C0058_R_0315.jpg</t>
  </si>
  <si>
    <t>E:\CAFNEC_GBRF\2022\BarronRiver\Frames_for_Analysis\379_C0058_R_0311.jpg</t>
  </si>
  <si>
    <t>E:\CAFNEC_GBRF\2022\BarronRiver\Frames_for_Analysis\380_C0058_R_0307.jpg</t>
  </si>
  <si>
    <t>E:\CAFNEC_GBRF\2022\BarronRiver\Frames_for_Analysis\381_C0058_R_0305.jpg</t>
  </si>
  <si>
    <t>E:\CAFNEC_GBRF\2022\BarronRiver\Frames_for_Analysis\382_C0058_R_0301.jpg</t>
  </si>
  <si>
    <t>E:\CAFNEC_GBRF\2022\BarronRiver\Frames_for_Analysis\383_C0018_R_0125.jpg</t>
  </si>
  <si>
    <t>E:\CAFNEC_GBRF\2022\BarronRiver\Frames_for_Analysis\384_C0058_R_0292.jpg</t>
  </si>
  <si>
    <t>E:\CAFNEC_GBRF\2022\BarronRiver\Frames_for_Analysis\385_C0018_R_0122.jpg</t>
  </si>
  <si>
    <t>E:\CAFNEC_GBRF\2022\BarronRiver\Frames_for_Analysis\386_C0058_R_0281.jpg</t>
  </si>
  <si>
    <t>E:\CAFNEC_GBRF\2022\BarronRiver\Frames_for_Analysis\387_C0018_R_0111.jpg</t>
  </si>
  <si>
    <t>E:\CAFNEC_GBRF\2022\BarronRiver\Frames_for_Analysis\388_C0018_R_0108.jpg</t>
  </si>
  <si>
    <t>E:\CAFNEC_GBRF\2022\BarronRiver\Frames_for_Analysis\389_C0058_R_0248.jpg</t>
  </si>
  <si>
    <t>E:\CAFNEC_GBRF\2022\BarronRiver\Frames_for_Analysis\390_C0058_R_0232.jpg</t>
  </si>
  <si>
    <t>E:\CAFNEC_GBRF\2022\BarronRiver\Frames_for_Analysis\391_C0058_R_0226.jpg</t>
  </si>
  <si>
    <t>E:\CAFNEC_GBRF\2022\BarronRiver\Frames_for_Analysis\392_C0018_R_0097.jpg</t>
  </si>
  <si>
    <t>E:\CAFNEC_GBRF\2022\BarronRiver\Frames_for_Analysis\393_C0018_R_0093.jpg</t>
  </si>
  <si>
    <t>E:\CAFNEC_GBRF\2022\BarronRiver\Frames_for_Analysis\394_C0018_R_0087.jpg</t>
  </si>
  <si>
    <t>E:\CAFNEC_GBRF\2022\BarronRiver\Frames_for_Analysis\395_C0018_R_0083.jpg</t>
  </si>
  <si>
    <t>E:\CAFNEC_GBRF\2022\BarronRiver\Frames_for_Analysis\396_C0058_R_0204.jpg</t>
  </si>
  <si>
    <t>E:\CAFNEC_GBRF\2022\BarronRiver\Frames_for_Analysis\397_C0058_R_0200.jpg</t>
  </si>
  <si>
    <t>E:\CAFNEC_GBRF\2022\BarronRiver\Frames_for_Analysis\398_C0018_R_0065.jpg</t>
  </si>
  <si>
    <t>E:\CAFNEC_GBRF\2022\BarronRiver\Frames_for_Analysis\399_C0018_R_0061.jpg</t>
  </si>
  <si>
    <t>E:\CAFNEC_GBRF\2022\BarronRiver\Frames_for_Analysis\400_C0058_R_0187.jpg</t>
  </si>
  <si>
    <t>E:\CAFNEC_GBRF\2022\BarronRiver\Frames_for_Analysis\401_C0058_R_0183.jpg</t>
  </si>
  <si>
    <t>E:\CAFNEC_GBRF\2022\BarronRiver\Frames_for_Analysis\402_C0018_R_0050.jpg</t>
  </si>
  <si>
    <t>E:\CAFNEC_GBRF\2022\BarronRiver\Frames_for_Analysis\403_C0018_R_0047.jpg</t>
  </si>
  <si>
    <t>E:\CAFNEC_GBRF\2022\BarronRiver\Frames_for_Analysis\404_C0058_R_0169.jpg</t>
  </si>
  <si>
    <t>E:\CAFNEC_GBRF\2022\BarronRiver\Frames_for_Analysis\405_C0058_R_0166.jpg</t>
  </si>
  <si>
    <t>E:\CAFNEC_GBRF\2022\BarronRiver\Frames_for_Analysis\406_C0018_R_0034.jpg</t>
  </si>
  <si>
    <t>E:\CAFNEC_GBRF\2022\BarronRiver\Frames_for_Analysis\407_C0058_R_0156.jpg</t>
  </si>
  <si>
    <t>E:\CAFNEC_GBRF\2022\BarronRiver\Frames_for_Analysis\408_C0018_R_0028.jpg</t>
  </si>
  <si>
    <t>E:\CAFNEC_GBRF\2022\BarronRiver\Frames_for_Analysis\409_C0058_R_0146.jpg</t>
  </si>
  <si>
    <t>E:\CAFNEC_GBRF\2022\BarronRiver\Frames_for_Analysis\410_C0018_R_0018.jpg</t>
  </si>
  <si>
    <t>E:\CAFNEC_GBRF\2022\BarronRiver\Frames_for_Analysis\411_C0058_R_0139.jpg</t>
  </si>
  <si>
    <t>E:\CAFNEC_GBRF\2022\BarronRiver\Frames_for_Analysis\412_C0058_R_0136.jpg</t>
  </si>
  <si>
    <t>E:\CAFNEC_GBRF\2022\BarronRiver\Frames_for_Analysis\413_C0058_R_0133.jpg</t>
  </si>
  <si>
    <t>E:\CAFNEC_GBRF\2022\BarronRiver\Frames_for_Analysis\414_C0058_R_0131.jpg</t>
  </si>
  <si>
    <t>E:\CAFNEC_GBRF\2022\BarronRiver\Frames_for_Analysis\415_C0058_R_0129.jpg</t>
  </si>
  <si>
    <t>E:\CAFNEC_GBRF\2022\BarronRiver\Frames_for_Analysis\416_C0058_R_0125.jpg</t>
  </si>
  <si>
    <t>E:\CAFNEC_GBRF\2022\BarronRiver\Frames_for_Analysis\417_C0058_R_0122.jpg</t>
  </si>
  <si>
    <t>E:\CAFNEC_GBRF\2022\BarronRiver\Frames_for_Analysis\418_C0058_R_0116.jpg</t>
  </si>
  <si>
    <t>E:\CAFNEC_GBRF\2022\BarronRiver\Frames_for_Analysis\419_C0058_R_0112.jpg</t>
  </si>
  <si>
    <t>E:\CAFNEC_GBRF\2022\BarronRiver\Frames_for_Analysis\420_C0058_R_0108.jpg</t>
  </si>
  <si>
    <t>E:\CAFNEC_GBRF\2022\BarronRiver\Frames_for_Analysis\421_C0017_R_0549.jpg</t>
  </si>
  <si>
    <t>E:\CAFNEC_GBRF\2022\BarronRiver\Frames_for_Analysis\422_C0058_R_0100.jpg</t>
  </si>
  <si>
    <t>E:\CAFNEC_GBRF\2022\BarronRiver\Frames_for_Analysis\423_C0058_R_0096.jpg</t>
  </si>
  <si>
    <t>E:\CAFNEC_GBRF\2022\BarronRiver\Frames_for_Analysis\424_C0058_R_0093.jpg</t>
  </si>
  <si>
    <t>E:\CAFNEC_GBRF\2022\BarronRiver\Frames_for_Analysis\425_C0058_R_0089.jpg</t>
  </si>
  <si>
    <t>E:\CAFNEC_GBRF\2022\BarronRiver\Frames_for_Analysis\426_C0058_R_0084.jpg</t>
  </si>
  <si>
    <t>E:\CAFNEC_GBRF\2022\BarronRiver\Frames_for_Analysis\427_C0017_R_0531.jpg</t>
  </si>
  <si>
    <t>E:\CAFNEC_GBRF\2022\BarronRiver\Frames_for_Analysis\428_C0058_R_0076.jpg</t>
  </si>
  <si>
    <t>E:\CAFNEC_GBRF\2022\BarronRiver\Frames_for_Analysis\429_C0058_R_0073.jpg</t>
  </si>
  <si>
    <t>E:\CAFNEC_GBRF\2022\BarronRiver\Frames_for_Analysis\430_C0017_R_0522.jpg</t>
  </si>
  <si>
    <t>E:\CAFNEC_GBRF\2022\BarronRiver\Frames_for_Analysis\431_C0058_R_0066.jpg</t>
  </si>
  <si>
    <t>E:\CAFNEC_GBRF\2022\BarronRiver\Frames_for_Analysis\432_C0058_R_0061.jpg</t>
  </si>
  <si>
    <t>E:\CAFNEC_GBRF\2022\BarronRiver\Frames_for_Analysis\433_C0017_R_0513.jpg</t>
  </si>
  <si>
    <t>E:\CAFNEC_GBRF\2022\BarronRiver\Frames_for_Analysis\434_C0058_R_0050.jpg</t>
  </si>
  <si>
    <t>E:\CAFNEC_GBRF\2022\BarronRiver\Frames_for_Analysis\435_C0017_R_0507.jpg</t>
  </si>
  <si>
    <t>E:\CAFNEC_GBRF\2022\BarronRiver\Frames_for_Analysis\436_C0058_R_0043.jpg</t>
  </si>
  <si>
    <t>E:\CAFNEC_GBRF\2022\BarronRiver\Frames_for_Analysis\437_C0058_R_0038.jpg</t>
  </si>
  <si>
    <t>E:\CAFNEC_GBRF\2022\BarronRiver\Frames_for_Analysis\438_C0058_R_0033.jpg</t>
  </si>
  <si>
    <t>E:\CAFNEC_GBRF\2022\BarronRiver\Frames_for_Analysis\439_C0058_R_0029.jpg</t>
  </si>
  <si>
    <t>E:\CAFNEC_GBRF\2022\BarronRiver\Frames_for_Analysis\440_C0017_R_0493.jpg</t>
  </si>
  <si>
    <t>E:\CAFNEC_GBRF\2022\BarronRiver\Frames_for_Analysis\441_C0017_R_0489.jpg</t>
  </si>
  <si>
    <t>E:\CAFNEC_GBRF\2022\BarronRiver\Frames_for_Analysis\442_C0017_R_0484.jpg</t>
  </si>
  <si>
    <t>E:\CAFNEC_GBRF\2022\BarronRiver\Frames_for_Analysis\443_C0058_R_0011.jpg</t>
  </si>
  <si>
    <t>E:\CAFNEC_GBRF\2022\BarronRiver\Frames_for_Analysis\444_C0017_R_0475.jpg</t>
  </si>
  <si>
    <t>E:\CAFNEC_GBRF\2022\BarronRiver\Frames_for_Analysis\445_C0057_R_0026.jpg</t>
  </si>
  <si>
    <t>E:\CAFNEC_GBRF\2022\BarronRiver\Frames_for_Analysis\446_C0057_R_0018.jpg</t>
  </si>
  <si>
    <t>E:\CAFNEC_GBRF\2022\BarronRiver\Frames_for_Analysis\447_C0017_R_0466.jpg</t>
  </si>
  <si>
    <t>E:\CAFNEC_GBRF\2022\BarronRiver\Frames_for_Analysis\448_C0057_R_0007.jpg</t>
  </si>
  <si>
    <t>E:\CAFNEC_GBRF\2022\BarronRiver\Frames_for_Analysis\449_C0017_R_0460.jpg</t>
  </si>
  <si>
    <t>E:\CAFNEC_GBRF\2022\BarronRiver\Frames_for_Analysis\450_C0017_R_0457.jpg</t>
  </si>
  <si>
    <t>E:\CAFNEC_GBRF\2022\BarronRiver\Frames_for_Analysis\451_C0017_R_0454.jpg</t>
  </si>
  <si>
    <t>E:\CAFNEC_GBRF\2022\BarronRiver\Frames_for_Analysis\452_C0017_R_0452.jpg</t>
  </si>
  <si>
    <t>E:\CAFNEC_GBRF\2022\BarronRiver\Frames_for_Analysis\453_C0017_R_0449.jpg</t>
  </si>
  <si>
    <t>E:\CAFNEC_GBRF\2022\BarronRiver\Frames_for_Analysis\454_C0017_R_0446.jpg</t>
  </si>
  <si>
    <t>E:\CAFNEC_GBRF\2022\BarronRiver\Frames_for_Analysis\455_C0017_R_0442.jpg</t>
  </si>
  <si>
    <t>E:\CAFNEC_GBRF\2022\BarronRiver\Frames_for_Analysis\456_C0017_R_0437.jpg</t>
  </si>
  <si>
    <t>E:\CAFNEC_GBRF\2022\BarronRiver\Frames_for_Analysis\457_C0017_R_0433.jpg</t>
  </si>
  <si>
    <t>E:\CAFNEC_GBRF\2022\BarronRiver\Frames_for_Analysis\458_C0017_R_0431.jpg</t>
  </si>
  <si>
    <t>E:\CAFNEC_GBRF\2022\BarronRiver\Frames_for_Analysis\459_C0017_R_0427.jpg</t>
  </si>
  <si>
    <t>E:\CAFNEC_GBRF\2022\BarronRiver\Frames_for_Analysis\460_C0017_R_0424.jpg</t>
  </si>
  <si>
    <t>E:\CAFNEC_GBRF\2022\BarronRiver\Frames_for_Analysis\461_C0017_R_0421.jpg</t>
  </si>
  <si>
    <t>E:\CAFNEC_GBRF\2022\BarronRiver\Frames_for_Analysis\462_C0017_R_0418.jpg</t>
  </si>
  <si>
    <t>E:\CAFNEC_GBRF\2022\BarronRiver\Frames_for_Analysis\463_C0017_R_0414.jpg</t>
  </si>
  <si>
    <t>E:\CAFNEC_GBRF\2022\BarronRiver\Frames_for_Analysis\464_C0017_R_0411.jpg</t>
  </si>
  <si>
    <t>E:\CAFNEC_GBRF\2022\BarronRiver\Frames_for_Analysis\465_C0017_R_0407.jpg</t>
  </si>
  <si>
    <t>E:\CAFNEC_GBRF\2022\BarronRiver\Frames_for_Analysis\466_C0017_R_0403.jpg</t>
  </si>
  <si>
    <t>E:\CAFNEC_GBRF\2022\BarronRiver\Frames_for_Analysis\467_C0017_R_0401.jpg</t>
  </si>
  <si>
    <t>E:\CAFNEC_GBRF\2022\BarronRiver\Frames_for_Analysis\468_C0017_R_0399.jpg</t>
  </si>
  <si>
    <t>E:\CAFNEC_GBRF\2022\BarronRiver\Frames_for_Analysis\469_C0017_R_0396.jpg</t>
  </si>
  <si>
    <t>E:\CAFNEC_GBRF\2022\BarronRiver\Frames_for_Analysis\470_C0017_R_0393.jpg</t>
  </si>
  <si>
    <t>E:\CAFNEC_GBRF\2022\BarronRiver\Frames_for_Analysis\471_C0017_R_0390.jpg</t>
  </si>
  <si>
    <t>E:\CAFNEC_GBRF\2022\BarronRiver\Frames_for_Analysis\472_C0017_R_0388.jpg</t>
  </si>
  <si>
    <t>E:\CAFNEC_GBRF\2022\BarronRiver\Frames_for_Analysis\473_C0017_R_0385.jpg</t>
  </si>
  <si>
    <t>E:\CAFNEC_GBRF\2022\BarronRiver\Frames_for_Analysis\474_C0017_R_0383.jpg</t>
  </si>
  <si>
    <t>E:\CAFNEC_GBRF\2022\BarronRiver\Frames_for_Analysis\475_C0017_R_0380.jpg</t>
  </si>
  <si>
    <t>E:\CAFNEC_GBRF\2022\BarronRiver\Frames_for_Analysis\476_C0017_R_0377.jpg</t>
  </si>
  <si>
    <t>E:\CAFNEC_GBRF\2022\BarronRiver\Frames_for_Analysis\477_C0017_R_0374.jpg</t>
  </si>
  <si>
    <t>E:\CAFNEC_GBRF\2022\BarronRiver\Frames_for_Analysis\478_C0017_R_0371.jpg</t>
  </si>
  <si>
    <t>E:\CAFNEC_GBRF\2022\BarronRiver\Frames_for_Analysis\479_C0017_R_0368.jpg</t>
  </si>
  <si>
    <t>E:\CAFNEC_GBRF\2022\BarronRiver\Frames_for_Analysis\480_C0017_R_0365.jpg</t>
  </si>
  <si>
    <t>E:\CAFNEC_GBRF\2022\BarronRiver\Frames_for_Analysis\481_C0017_R_0363.jpg</t>
  </si>
  <si>
    <t>E:\CAFNEC_GBRF\2022\BarronRiver\Frames_for_Analysis\482_C0017_R_0360.jpg</t>
  </si>
  <si>
    <t>E:\CAFNEC_GBRF\2022\BarronRiver\Frames_for_Analysis\483_C0017_R_0356.jpg</t>
  </si>
  <si>
    <t>E:\CAFNEC_GBRF\2022\BarronRiver\Frames_for_Analysis\484_C0017_R_0352.jpg</t>
  </si>
  <si>
    <t>E:\CAFNEC_GBRF\2022\BarronRiver\Frames_for_Analysis\485_C0017_R_0350.jpg</t>
  </si>
  <si>
    <t>E:\CAFNEC_GBRF\2022\BarronRiver\Frames_for_Analysis\486_C0017_R_0347.jpg</t>
  </si>
  <si>
    <t>E:\CAFNEC_GBRF\2022\BarronRiver\Frames_for_Analysis\487_C0017_R_0344.jpg</t>
  </si>
  <si>
    <t>E:\CAFNEC_GBRF\2022\BarronRiver\Frames_for_Analysis\488_C0017_R_0341.jpg</t>
  </si>
  <si>
    <t>E:\CAFNEC_GBRF\2022\BarronRiver\Frames_for_Analysis\489_C0017_R_0338.jpg</t>
  </si>
  <si>
    <t>E:\CAFNEC_GBRF\2022\BarronRiver\Frames_for_Analysis\490_C0017_R_0336.jpg</t>
  </si>
  <si>
    <t>E:\CAFNEC_GBRF\2022\BarronRiver\Frames_for_Analysis\491_C0017_R_0334.jpg</t>
  </si>
  <si>
    <t>E:\CAFNEC_GBRF\2022\BarronRiver\Frames_for_Analysis\492_C0017_R_0332.jpg</t>
  </si>
  <si>
    <t>E:\CAFNEC_GBRF\2022\BarronRiver\Frames_for_Analysis\493_C0017_R_0329.jpg</t>
  </si>
  <si>
    <t>E:\CAFNEC_GBRF\2022\BarronRiver\Frames_for_Analysis\494_C0017_R_0326.jpg</t>
  </si>
  <si>
    <t>E:\CAFNEC_GBRF\2022\BarronRiver\Frames_for_Analysis\495_C0017_R_0324.jpg</t>
  </si>
  <si>
    <t>E:\CAFNEC_GBRF\2022\BarronRiver\Frames_for_Analysis\496_C0017_R_0320.jpg</t>
  </si>
  <si>
    <t>E:\CAFNEC_GBRF\2022\BarronRiver\Frames_for_Analysis\497_C0017_R_0317.jpg</t>
  </si>
  <si>
    <t>E:\CAFNEC_GBRF\2022\BarronRiver\Frames_for_Analysis\498_C0017_R_0314.jpg</t>
  </si>
  <si>
    <t>E:\CAFNEC_GBRF\2022\BarronRiver\Frames_for_Analysis\499_C0017_R_0311.jpg</t>
  </si>
  <si>
    <t>E:\CAFNEC_GBRF\2022\BarronRiver\Frames_for_Analysis\500_C0017_R_0309.jpg</t>
  </si>
  <si>
    <t>E:\CAFNEC_GBRF\2022\BarronRiver\Frames_for_Analysis\501_C0017_R_0306.jpg</t>
  </si>
  <si>
    <t>E:\CAFNEC_GBRF\2022\BarronRiver\Frames_for_Analysis\502_C0017_R_0303.jpg</t>
  </si>
  <si>
    <t>E:\CAFNEC_GBRF\2022\BarronRiver\Frames_for_Analysis\503_C0017_R_0301.jpg</t>
  </si>
  <si>
    <t>E:\CAFNEC_GBRF\2022\BarronRiver\Frames_for_Analysis\504_C0017_R_0298.jpg</t>
  </si>
  <si>
    <t>E:\CAFNEC_GBRF\2022\BarronRiver\Frames_for_Analysis\505_C0017_R_0296.jpg</t>
  </si>
  <si>
    <t>E:\CAFNEC_GBRF\2022\BarronRiver\Frames_for_Analysis\506_C0017_R_0293.jpg</t>
  </si>
  <si>
    <t>E:\CAFNEC_GBRF\2022\BarronRiver\Frames_for_Analysis\507_C0017_R_0290.jpg</t>
  </si>
  <si>
    <t>E:\CAFNEC_GBRF\2022\BarronRiver\Frames_for_Analysis\508_C0017_R_0287.jpg</t>
  </si>
  <si>
    <t>E:\CAFNEC_GBRF\2022\BarronRiver\Frames_for_Analysis\509_C0017_R_0284.jpg</t>
  </si>
  <si>
    <t>E:\CAFNEC_GBRF\2022\BarronRiver\Frames_for_Analysis\510_C0017_R_0281.jpg</t>
  </si>
  <si>
    <t>E:\CAFNEC_GBRF\2022\BarronRiver\Frames_for_Analysis\511_C0017_R_0278.jpg</t>
  </si>
  <si>
    <t>E:\CAFNEC_GBRF\2022\BarronRiver\Frames_for_Analysis\512_C0017_R_0276.jpg</t>
  </si>
  <si>
    <t>E:\CAFNEC_GBRF\2022\BarronRiver\Frames_for_Analysis\513_C0017_R_0273.jpg</t>
  </si>
  <si>
    <t>E:\CAFNEC_GBRF\2022\BarronRiver\Frames_for_Analysis\514_C0017_R_0271.jpg</t>
  </si>
  <si>
    <t>E:\CAFNEC_GBRF\2022\BarronRiver\Frames_for_Analysis\515_C0017_R_0268.jpg</t>
  </si>
  <si>
    <t>E:\CAFNEC_GBRF\2022\BarronRiver\Frames_for_Analysis\516_C0017_R_0265.jpg</t>
  </si>
  <si>
    <t>E:\CAFNEC_GBRF\2022\BarronRiver\Frames_for_Analysis\517_C0017_R_0262.jpg</t>
  </si>
  <si>
    <t>E:\CAFNEC_GBRF\2022\BarronRiver\Frames_for_Analysis\518_C0017_R_0259.jpg</t>
  </si>
  <si>
    <t>E:\CAFNEC_GBRF\2022\BarronRiver\Frames_for_Analysis\519_C0017_R_0256.jpg</t>
  </si>
  <si>
    <t>E:\CAFNEC_GBRF\2022\BarronRiver\Frames_for_Analysis\520_C0017_R_0255.jpg</t>
  </si>
  <si>
    <t>E:\CAFNEC_GBRF\2022\BarronRiver\Frames_for_Analysis\521_C0017_R_0251.jpg</t>
  </si>
  <si>
    <t>E:\CAFNEC_GBRF\2022\BarronRiver\Frames_for_Analysis\522_C0017_R_0248.jpg</t>
  </si>
  <si>
    <t>E:\CAFNEC_GBRF\2022\BarronRiver\Frames_for_Analysis\523_C0017_R_0246.jpg</t>
  </si>
  <si>
    <t>E:\CAFNEC_GBRF\2022\BarronRiver\Frames_for_Analysis\524_C0017_R_0243.jpg</t>
  </si>
  <si>
    <t>E:\CAFNEC_GBRF\2022\BarronRiver\Frames_for_Analysis\525_C0017_R_0240.jpg</t>
  </si>
  <si>
    <t>E:\CAFNEC_GBRF\2022\BarronRiver\Frames_for_Analysis\526_C0017_R_0238.jpg</t>
  </si>
  <si>
    <t>E:\CAFNEC_GBRF\2022\BarronRiver\Frames_for_Analysis\527_C0017_R_0235.jpg</t>
  </si>
  <si>
    <t>E:\CAFNEC_GBRF\2022\BarronRiver\Frames_for_Analysis\528_C0017_R_0232.jpg</t>
  </si>
  <si>
    <t>E:\CAFNEC_GBRF\2022\BarronRiver\Frames_for_Analysis\529_C0017_R_0229.jpg</t>
  </si>
  <si>
    <t>E:\CAFNEC_GBRF\2022\BarronRiver\Frames_for_Analysis\530_C0017_R_0226.jpg</t>
  </si>
  <si>
    <t>E:\CAFNEC_GBRF\2022\BarronRiver\Frames_for_Analysis\531_C0017_R_0224.jpg</t>
  </si>
  <si>
    <t>E:\CAFNEC_GBRF\2022\BarronRiver\Frames_for_Analysis\532_C0017_R_0221.jpg</t>
  </si>
  <si>
    <t>E:\CAFNEC_GBRF\2022\BarronRiver\Frames_for_Analysis\533_C0017_R_0218.jpg</t>
  </si>
  <si>
    <t>E:\CAFNEC_GBRF\2022\BarronRiver\Frames_for_Analysis\534_C0017_R_0216.jpg</t>
  </si>
  <si>
    <t>E:\CAFNEC_GBRF\2022\BarronRiver\Frames_for_Analysis\535_C0017_R_0214.jpg</t>
  </si>
  <si>
    <t>E:\CAFNEC_GBRF\2022\BarronRiver\Frames_for_Analysis\536_C0017_R_0210.jpg</t>
  </si>
  <si>
    <t>E:\CAFNEC_GBRF\2022\BarronRiver\Frames_for_Analysis\537_C0017_R_0207.jpg</t>
  </si>
  <si>
    <t>E:\CAFNEC_GBRF\2022\BarronRiver\Frames_for_Analysis\538_C0017_R_0204.jpg</t>
  </si>
  <si>
    <t>E:\CAFNEC_GBRF\2022\BarronRiver\Frames_for_Analysis\539_C0017_R_0202.jpg</t>
  </si>
  <si>
    <t>E:\CAFNEC_GBRF\2022\BarronRiver\Frames_for_Analysis\540_C0017_R_0199.jpg</t>
  </si>
  <si>
    <t>E:\CAFNEC_GBRF\2022\BarronRiver\Frames_for_Analysis\541_C0017_R_0196.jpg</t>
  </si>
  <si>
    <t>E:\CAFNEC_GBRF\2022\BarronRiver\Frames_for_Analysis\542_C0017_R_0193.jpg</t>
  </si>
  <si>
    <t>E:\CAFNEC_GBRF\2022\BarronRiver\Frames_for_Analysis\543_C0017_R_0190.jpg</t>
  </si>
  <si>
    <t>E:\CAFNEC_GBRF\2022\BarronRiver\Frames_for_Analysis\544_C0017_R_0187.jpg</t>
  </si>
  <si>
    <t>E:\CAFNEC_GBRF\2022\BarronRiver\Frames_for_Analysis\545_C0017_R_0185.jpg</t>
  </si>
  <si>
    <t>E:\CAFNEC_GBRF\2022\BarronRiver\Frames_for_Analysis\546_C0017_R_0182.jpg</t>
  </si>
  <si>
    <t>E:\CAFNEC_GBRF\2022\BarronRiver\Frames_for_Analysis\547_C0017_R_0179.jpg</t>
  </si>
  <si>
    <t>E:\CAFNEC_GBRF\2022\BarronRiver\Frames_for_Analysis\548_C0017_R_0176.jpg</t>
  </si>
  <si>
    <t>E:\CAFNEC_GBRF\2022\BarronRiver\Frames_for_Analysis\549_C0017_R_0174.jpg</t>
  </si>
  <si>
    <t>E:\CAFNEC_GBRF\2022\BarronRiver\Frames_for_Analysis\550_C0017_R_0171.jpg</t>
  </si>
  <si>
    <t>E:\CAFNEC_GBRF\2022\BarronRiver\Frames_for_Analysis\551_C0017_R_0168.jpg</t>
  </si>
  <si>
    <t>E:\CAFNEC_GBRF\2022\BarronRiver\Frames_for_Analysis\552_C0017_R_0165.jpg</t>
  </si>
  <si>
    <t>E:\CAFNEC_GBRF\2022\BarronRiver\Frames_for_Analysis\553_C0017_R_0161.jpg</t>
  </si>
  <si>
    <t>E:\CAFNEC_GBRF\2022\BarronRiver\Frames_for_Analysis\554_C0017_R_0158.jpg</t>
  </si>
  <si>
    <t>E:\CAFNEC_GBRF\2022\BarronRiver\Frames_for_Analysis\555_C0017_R_0156.jpg</t>
  </si>
  <si>
    <t>E:\CAFNEC_GBRF\2022\BarronRiver\Frames_for_Analysis\556_C0017_R_0153.jpg</t>
  </si>
  <si>
    <t>E:\CAFNEC_GBRF\2022\BarronRiver\Frames_for_Analysis\557_C0017_R_0150.jpg</t>
  </si>
  <si>
    <t>E:\CAFNEC_GBRF\2022\BarronRiver\Frames_for_Analysis\558_C0017_R_0147.jpg</t>
  </si>
  <si>
    <t>E:\CAFNEC_GBRF\2022\BarronRiver\Frames_for_Analysis\559_C0017_R_0144.jpg</t>
  </si>
  <si>
    <t>E:\CAFNEC_GBRF\2022\BarronRiver\Frames_for_Analysis\560_C0017_R_0139.jpg</t>
  </si>
  <si>
    <t>E:\CAFNEC_GBRF\2022\BarronRiver\Frames_for_Analysis\561_C0017_R_0137.jpg</t>
  </si>
  <si>
    <t>E:\CAFNEC_GBRF\2022\BarronRiver\Frames_for_Analysis\562_C0017_R_0134.jpg</t>
  </si>
  <si>
    <t>E:\CAFNEC_GBRF\2022\BarronRiver\Frames_for_Analysis\563_C0017_R_0132.jpg</t>
  </si>
  <si>
    <t>E:\CAFNEC_GBRF\2022\BarronRiver\Frames_for_Analysis\564_C0017_R_0129.jpg</t>
  </si>
  <si>
    <t>E:\CAFNEC_GBRF\2022\BarronRiver\Frames_for_Analysis\565_C0017_R_0126.jpg</t>
  </si>
  <si>
    <t>E:\CAFNEC_GBRF\2022\BarronRiver\Frames_for_Analysis\566_C0017_R_0123.jpg</t>
  </si>
  <si>
    <t>E:\CAFNEC_GBRF\2022\BarronRiver\Frames_for_Analysis\567_C0017_R_0119.jpg</t>
  </si>
  <si>
    <t>E:\CAFNEC_GBRF\2022\BarronRiver\Frames_for_Analysis\568_C0017_R_0116.jpg</t>
  </si>
  <si>
    <t>E:\CAFNEC_GBRF\2022\BarronRiver\Frames_for_Analysis\569_C0017_R_0113.jpg</t>
  </si>
  <si>
    <t>E:\CAFNEC_GBRF\2022\BarronRiver\Frames_for_Analysis\570_C0017_R_0109.jpg</t>
  </si>
  <si>
    <t>E:\CAFNEC_GBRF\2022\BarronRiver\Frames_for_Analysis\571_C0017_R_0105.jpg</t>
  </si>
  <si>
    <t>E:\CAFNEC_GBRF\2022\BarronRiver\Frames_for_Analysis\572_C0017_R_0102.jpg</t>
  </si>
  <si>
    <t>E:\CAFNEC_GBRF\2022\BarronRiver\Frames_for_Analysis\573_C0017_R_0098.jpg</t>
  </si>
  <si>
    <t>E:\CAFNEC_GBRF\2022\BarronRiver\Frames_for_Analysis\574_C0017_R_0095.jpg</t>
  </si>
  <si>
    <t>E:\CAFNEC_GBRF\2022\BarronRiver\Frames_for_Analysis\575_C0017_R_0092.jpg</t>
  </si>
  <si>
    <t>E:\CAFNEC_GBRF\2022\BarronRiver\Frames_for_Analysis\576_C0017_R_0089.jpg</t>
  </si>
  <si>
    <t>E:\CAFNEC_GBRF\2022\BarronRiver\Frames_for_Analysis\577_C0017_R_0087.jpg</t>
  </si>
  <si>
    <t>E:\CAFNEC_GBRF\2022\BarronRiver\Frames_for_Analysis\578_C0017_R_0084.jpg</t>
  </si>
  <si>
    <t>E:\CAFNEC_GBRF\2022\BarronRiver\Frames_for_Analysis\579_C0017_R_0081.jpg</t>
  </si>
  <si>
    <t>E:\CAFNEC_GBRF\2022\BarronRiver\Frames_for_Analysis\580_C0017_R_0078.jpg</t>
  </si>
  <si>
    <t>E:\CAFNEC_GBRF\2022\BarronRiver\Frames_for_Analysis\581_C0017_R_0075.jpg</t>
  </si>
  <si>
    <t>E:\CAFNEC_GBRF\2022\BarronRiver\Frames_for_Analysis\582_C0017_R_0073.jpg</t>
  </si>
  <si>
    <t>E:\CAFNEC_GBRF\2022\BarronRiver\Frames_for_Analysis\583_C0017_R_0072.jpg</t>
  </si>
  <si>
    <t>E:\CAFNEC_GBRF\2022\BarronRiver\Frames_for_Analysis\584_C0017_R_0066.jpg</t>
  </si>
  <si>
    <t>E:\CAFNEC_GBRF\2022\BarronRiver\Frames_for_Analysis\585_C0017_R_0063.jpg</t>
  </si>
  <si>
    <t>E:\CAFNEC_GBRF\2022\BarronRiver\Frames_for_Analysis\586_C0017_R_0060.jpg</t>
  </si>
  <si>
    <t>E:\CAFNEC_GBRF\2022\BarronRiver\Frames_for_Analysis\587_C0017_R_0056.jpg</t>
  </si>
  <si>
    <t>E:\CAFNEC_GBRF\2022\BarronRiver\Frames_for_Analysis\588_C0017_R_0054.jpg</t>
  </si>
  <si>
    <t>E:\CAFNEC_GBRF\2022\BarronRiver\Frames_for_Analysis\589_C0005_L_0009.jpg</t>
  </si>
  <si>
    <t>E:\CAFNEC_GBRF\2022\BarronRiver\Frames_for_Analysis\590_C0005_L_0021.jpg</t>
  </si>
  <si>
    <t>E:\CAFNEC_GBRF\2022\BarronRiver\Frames_for_Analysis\591_C0017_R_0046.jpg</t>
  </si>
  <si>
    <t>E:\CAFNEC_GBRF\2022\BarronRiver\Frames_for_Analysis\592_C0017_R_0043.jpg</t>
  </si>
  <si>
    <t>E:\CAFNEC_GBRF\2022\BarronRiver\Frames_for_Analysis\593_C0005_L_0030.jpg</t>
  </si>
  <si>
    <t>E:\CAFNEC_GBRF\2022\BarronRiver\Frames_for_Analysis\594_C0017_R_0037.jpg</t>
  </si>
  <si>
    <t>E:\CAFNEC_GBRF\2022\BarronRiver\Frames_for_Analysis\595_C0005_L_0037.jpg</t>
  </si>
  <si>
    <t>E:\CAFNEC_GBRF\2022\BarronRiver\Frames_for_Analysis\596_C0005_L_0041.jpg</t>
  </si>
  <si>
    <t>E:\CAFNEC_GBRF\2022\BarronRiver\Frames_for_Analysis\597_C0005_L_0045.jpg</t>
  </si>
  <si>
    <t>E:\CAFNEC_GBRF\2022\BarronRiver\Frames_for_Analysis\598_C0005_L_0050.jpg</t>
  </si>
  <si>
    <t>E:\CAFNEC_GBRF\2022\BarronRiver\Frames_for_Analysis\599_C0005_L_0054.jpg</t>
  </si>
  <si>
    <t>E:\CAFNEC_GBRF\2022\BarronRiver\Frames_for_Analysis\600_C0017_R_0016.jpg</t>
  </si>
  <si>
    <t>E:\CAFNEC_GBRF\2022\BarronRiver\Frames_for_Analysis\601_C0017_R_0013.jpg</t>
  </si>
  <si>
    <t>E:\CAFNEC_GBRF\2022\BarronRiver\Frames_for_Analysis\602_C0005_L_0067.jpg</t>
  </si>
  <si>
    <t>E:\CAFNEC_GBRF\2022\BarronRiver\Frames_for_Analysis\603_C0005_L_0071.jpg</t>
  </si>
  <si>
    <t>E:\CAFNEC_GBRF\2022\BarronRiver\Frames_for_Analysis\604_C0005_L_0073.jpg</t>
  </si>
  <si>
    <t>E:\CAFNEC_GBRF\2022\BarronRiver\Frames_for_Analysis\605_C0005_L_0075.jpg</t>
  </si>
  <si>
    <t>E:\CAFNEC_GBRF\2022\BarronRiver\Frames_for_Analysis\606_C0005_L_0081.jpg</t>
  </si>
  <si>
    <t>E:\CAFNEC_GBRF\2022\BarronRiver\Frames_for_Analysis\607_C0005_L_0086.jpg</t>
  </si>
  <si>
    <t>E:\CAFNEC_GBRF\2022\BarronRiver\Frames_for_Analysis\608_C0005_L_0089.jpg</t>
  </si>
  <si>
    <t>E:\CAFNEC_GBRF\2022\BarronRiver\Frames_for_Analysis\609_C0005_L_0094.jpg</t>
  </si>
  <si>
    <t>E:\CAFNEC_GBRF\2022\BarronRiver\Frames_for_Analysis\610_C0005_L_0097.jpg</t>
  </si>
  <si>
    <t>E:\CAFNEC_GBRF\2022\BarronRiver\Frames_for_Analysis\611_C0005_L_0101.jpg</t>
  </si>
  <si>
    <t>E:\CAFNEC_GBRF\2022\BarronRiver\Frames_for_Analysis\612_C0005_L_0106.jpg</t>
  </si>
  <si>
    <t>E:\CAFNEC_GBRF\2022\BarronRiver\Frames_for_Analysis\613_C0005_L_0109.jpg</t>
  </si>
  <si>
    <t>E:\CAFNEC_GBRF\2022\BarronRiver\Frames_for_Analysis\614_C0005_L_0113.jpg</t>
  </si>
  <si>
    <t>E:\CAFNEC_GBRF\2022\BarronRiver\Frames_for_Analysis\615_C0005_L_0116.jpg</t>
  </si>
  <si>
    <t>E:\CAFNEC_GBRF\2022\BarronRiver\Frames_for_Analysis\616_C0005_L_0120.jpg</t>
  </si>
  <si>
    <t>E:\CAFNEC_GBRF\2022\BarronRiver\Frames_for_Analysis\617_C0005_L_0124.jpg</t>
  </si>
  <si>
    <t>E:\CAFNEC_GBRF\2022\BarronRiver\Frames_for_Analysis\618_C0005_L_0125.jpg</t>
  </si>
  <si>
    <t>E:\CAFNEC_GBRF\2022\BarronRiver\Frames_for_Analysis\619_C0005_L_0129.jpg</t>
  </si>
  <si>
    <t>E:\CAFNEC_GBRF\2022\BarronRiver\Frames_for_Analysis\620_C0005_L_0133.jpg</t>
  </si>
  <si>
    <t>E:\CAFNEC_GBRF\2022\BarronRiver\Frames_for_Analysis\621_C0005_L_0136.jpg</t>
  </si>
  <si>
    <t>E:\CAFNEC_GBRF\2022\BarronRiver\Frames_for_Analysis\622_C0005_L_0139.jpg</t>
  </si>
  <si>
    <t>E:\CAFNEC_GBRF\2022\BarronRiver\Frames_for_Analysis\623_C0005_L_0141.jpg</t>
  </si>
  <si>
    <t>E:\CAFNEC_GBRF\2022\BarronRiver\Frames_for_Analysis\624_C0005_L_0145.jpg</t>
  </si>
  <si>
    <t>E:\CAFNEC_GBRF\2022\BarronRiver\Frames_for_Analysis\625_C0005_L_0147.jpg</t>
  </si>
  <si>
    <t>E:\CAFNEC_GBRF\2022\BarronRiver\Frames_for_Analysis\626_C0005_L_0150.jpg</t>
  </si>
  <si>
    <t>E:\CAFNEC_GBRF\2022\BarronRiver\Frames_for_Analysis\627_C0005_L_0156.jpg</t>
  </si>
  <si>
    <t>E:\CAFNEC_GBRF\2022\BarronRiver\Frames_for_Analysis\628_C0005_L_0161.jpg</t>
  </si>
  <si>
    <t>E:\CAFNEC_GBRF\2022\BarronRiver\Frames_for_Analysis\629_C0005_L_0163.jpg</t>
  </si>
  <si>
    <t>E:\CAFNEC_GBRF\2022\BarronRiver\Frames_for_Analysis\630_C0005_L_0167.jpg</t>
  </si>
  <si>
    <t>E:\CAFNEC_GBRF\2022\BarronRiver\Frames_for_Analysis\631_C0005_L_0169.jpg</t>
  </si>
  <si>
    <t>E:\CAFNEC_GBRF\2022\BarronRiver\Frames_for_Analysis\632_C0005_L_0175.jpg</t>
  </si>
  <si>
    <t>E:\CAFNEC_GBRF\2022\BarronRiver\Frames_for_Analysis\633_C0005_L_0177.jpg</t>
  </si>
  <si>
    <t>E:\CAFNEC_GBRF\2022\BarronRiver\Frames_for_Analysis\634_C0005_L_0180.jpg</t>
  </si>
  <si>
    <t>E:\CAFNEC_GBRF\2022\BarronRiver\Frames_for_Analysis\635_C0005_L_0185.jpg</t>
  </si>
  <si>
    <t>E:\CAFNEC_GBRF\2022\BarronRiver\Frames_for_Analysis\636_C0005_L_0189.jpg</t>
  </si>
  <si>
    <t>E:\CAFNEC_GBRF\2022\BarronRiver\Frames_for_Analysis\637_C0005_L_0191.jpg</t>
  </si>
  <si>
    <t>E:\CAFNEC_GBRF\2022\BarronRiver\Frames_for_Analysis\638_C0005_L_0194.jpg</t>
  </si>
  <si>
    <t>E:\CAFNEC_GBRF\2022\BarronRiver\Frames_for_Analysis\639_C0005_L_0198.jpg</t>
  </si>
  <si>
    <t>E:\CAFNEC_GBRF\2022\BarronRiver\Frames_for_Analysis\640_C0005_L_0202.jpg</t>
  </si>
  <si>
    <t>E:\CAFNEC_GBRF\2022\BarronRiver\Frames_for_Analysis\641_C0005_L_0204.jpg</t>
  </si>
  <si>
    <t>E:\CAFNEC_GBRF\2022\BarronRiver\Frames_for_Analysis\642_C0005_L_0208.jpg</t>
  </si>
  <si>
    <t>E:\CAFNEC_GBRF\2022\BarronRiver\Frames_for_Analysis\643_C0005_L_0211.jpg</t>
  </si>
  <si>
    <t>E:\CAFNEC_GBRF\2022\BarronRiver\Frames_for_Analysis\644_C0005_L_0213.jpg</t>
  </si>
  <si>
    <t>E:\CAFNEC_GBRF\2022\BarronRiver\Frames_for_Analysis\645_C0005_L_0217.jpg</t>
  </si>
  <si>
    <t>E:\CAFNEC_GBRF\2022\BarronRiver\Frames_for_Analysis\646_C0005_L_0219.jpg</t>
  </si>
  <si>
    <t>E:\CAFNEC_GBRF\2022\BarronRiver\Frames_for_Analysis\647_C0005_L_0222.jpg</t>
  </si>
  <si>
    <t>E:\CAFNEC_GBRF\2022\BarronRiver\Frames_for_Analysis\648_C0005_L_0226.jpg</t>
  </si>
  <si>
    <t>E:\CAFNEC_GBRF\2022\BarronRiver\Frames_for_Analysis\649_C0005_L_0229.jpg</t>
  </si>
  <si>
    <t>E:\CAFNEC_GBRF\2022\BarronRiver\Frames_for_Analysis\650_C0005_L_0233.jpg</t>
  </si>
  <si>
    <t>E:\CAFNEC_GBRF\2022\BarronRiver\Frames_for_Analysis\651_C0005_L_0236.jpg</t>
  </si>
  <si>
    <t>E:\CAFNEC_GBRF\2022\BarronRiver\Frames_for_Analysis\652_C0005_L_0239.jpg</t>
  </si>
  <si>
    <t>E:\CAFNEC_GBRF\2022\BarronRiver\Frames_for_Analysis\653_C0005_L_0241.jpg</t>
  </si>
  <si>
    <t>E:\CAFNEC_GBRF\2022\BarronRiver\Frames_for_Analysis\654_C0005_L_0245.jpg</t>
  </si>
  <si>
    <t>E:\CAFNEC_GBRF\2022\BarronRiver\Frames_for_Analysis\655_C0005_L_0248.jpg</t>
  </si>
  <si>
    <t>E:\CAFNEC_GBRF\2022\BarronRiver\Frames_for_Analysis\656_C0005_L_0252.jpg</t>
  </si>
  <si>
    <t>E:\CAFNEC_GBRF\2022\BarronRiver\Frames_for_Analysis\657_C0005_L_0255.jpg</t>
  </si>
  <si>
    <t>E:\CAFNEC_GBRF\2022\BarronRiver\Frames_for_Analysis\658_C0005_L_0259.jpg</t>
  </si>
  <si>
    <t>E:\CAFNEC_GBRF\2022\BarronRiver\Frames_for_Analysis\659_C0005_L_0261.jpg</t>
  </si>
  <si>
    <t>E:\CAFNEC_GBRF\2022\BarronRiver\Frames_for_Analysis\660_C0005_L_0263.jpg</t>
  </si>
  <si>
    <t>E:\CAFNEC_GBRF\2022\BarronRiver\Frames_for_Analysis\661_C0005_L_0267.jpg</t>
  </si>
  <si>
    <t>E:\CAFNEC_GBRF\2022\BarronRiver\Frames_for_Analysis\662_C0005_L_0270.jpg</t>
  </si>
  <si>
    <t>E:\CAFNEC_GBRF\2022\BarronRiver\Frames_for_Analysis\663_C0005_L_0273.jpg</t>
  </si>
  <si>
    <t>E:\CAFNEC_GBRF\2022\BarronRiver\Frames_for_Analysis\664_C0005_L_0276.jpg</t>
  </si>
  <si>
    <t>E:\CAFNEC_GBRF\2022\BarronRiver\Frames_for_Analysis\665_C0005_L_0278.jpg</t>
  </si>
  <si>
    <t>E:\CAFNEC_GBRF\2022\BarronRiver\Frames_for_Analysis\666_C0005_L_0282.jpg</t>
  </si>
  <si>
    <t>E:\CAFNEC_GBRF\2022\BarronRiver\Frames_for_Analysis\667_C0005_L_0285.jpg</t>
  </si>
  <si>
    <t>E:\CAFNEC_GBRF\2022\BarronRiver\Frames_for_Analysis\668_C0005_L_0290.jpg</t>
  </si>
  <si>
    <t>E:\CAFNEC_GBRF\2022\BarronRiver\Frames_for_Analysis\669_C0005_L_0293.jpg</t>
  </si>
  <si>
    <t>E:\CAFNEC_GBRF\2022\BarronRiver\Frames_for_Analysis\670_C0005_L_0296.jpg</t>
  </si>
  <si>
    <t>E:\CAFNEC_GBRF\2022\BarronRiver\Frames_for_Analysis\671_C0005_L_0299.jpg</t>
  </si>
  <si>
    <t>E:\CAFNEC_GBRF\2022\BarronRiver\Frames_for_Analysis\672_C0005_L_0302.jpg</t>
  </si>
  <si>
    <t>E:\CAFNEC_GBRF\2022\BarronRiver\Frames_for_Analysis\673_C0005_L_0307.jpg</t>
  </si>
  <si>
    <t>E:\CAFNEC_GBRF\2022\BarronRiver\Frames_for_Analysis\674_C0005_L_0310.jpg</t>
  </si>
  <si>
    <t>E:\CAFNEC_GBRF\2022\BarronRiver\Frames_for_Analysis\675_C0005_L_0314.jpg</t>
  </si>
  <si>
    <t>E:\CAFNEC_GBRF\2022\BarronRiver\Frames_for_Analysis\676_C0005_L_0317.jpg</t>
  </si>
  <si>
    <t>E:\CAFNEC_GBRF\2022\BarronRiver\Frames_for_Analysis\677_C0005_L_0319.jpg</t>
  </si>
  <si>
    <t>E:\CAFNEC_GBRF\2022\BarronRiver\Frames_for_Analysis\678_C0005_L_0321.jpg</t>
  </si>
  <si>
    <t>E:\CAFNEC_GBRF\2022\BarronRiver\Frames_for_Analysis\679_C0005_L_0325.jpg</t>
  </si>
  <si>
    <t>E:\CAFNEC_GBRF\2022\BarronRiver\Frames_for_Analysis\680_C0005_L_0328.jpg</t>
  </si>
  <si>
    <t>E:\CAFNEC_GBRF\2022\BarronRiver\Frames_for_Analysis\681_C0005_L_0331.jpg</t>
  </si>
  <si>
    <t>E:\CAFNEC_GBRF\2022\BarronRiver\Frames_for_Analysis\682_C0005_L_0335.jpg</t>
  </si>
  <si>
    <t>E:\CAFNEC_GBRF\2022\BarronRiver\Frames_for_Analysis\683_C0005_L_0339.jpg</t>
  </si>
  <si>
    <t>E:\CAFNEC_GBRF\2022\BarronRiver\Frames_for_Analysis\684_C0005_L_0343.jpg</t>
  </si>
  <si>
    <t>E:\CAFNEC_GBRF\2022\BarronRiver\Frames_for_Analysis\685_C0005_L_0346.jpg</t>
  </si>
  <si>
    <t>E:\CAFNEC_GBRF\2022\BarronRiver\Frames_for_Analysis\686_C0005_L_0349.jpg</t>
  </si>
  <si>
    <t>E:\CAFNEC_GBRF\2022\BarronRiver\Frames_for_Analysis\687_C0005_L_0353.jpg</t>
  </si>
  <si>
    <t>E:\CAFNEC_GBRF\2022\BarronRiver\Frames_for_Analysis\688_C0005_L_0356.jpg</t>
  </si>
  <si>
    <t>E:\CAFNEC_GBRF\2022\BarronRiver\Frames_for_Analysis\689_C0005_L_0359.jpg</t>
  </si>
  <si>
    <t>E:\CAFNEC_GBRF\2022\BarronRiver\Frames_for_Analysis\690_C0005_L_0362.jpg</t>
  </si>
  <si>
    <t>E:\CAFNEC_GBRF\2022\BarronRiver\Frames_for_Analysis\691_C0005_L_0365.jpg</t>
  </si>
  <si>
    <t>E:\CAFNEC_GBRF\2022\BarronRiver\Frames_for_Analysis\692_C0005_L_0367.jpg</t>
  </si>
  <si>
    <t>E:\CAFNEC_GBRF\2022\BarronRiver\Frames_for_Analysis\693_C0005_L_0372.jpg</t>
  </si>
  <si>
    <t>E:\CAFNEC_GBRF\2022\BarronRiver\Frames_for_Analysis\694_C0005_L_0376.jpg</t>
  </si>
  <si>
    <t>E:\CAFNEC_GBRF\2022\BarronRiver\Frames_for_Analysis\695_C0005_L_0381.jpg</t>
  </si>
  <si>
    <t>E:\CAFNEC_GBRF\2022\BarronRiver\Frames_for_Analysis\696_C0005_L_0385.jpg</t>
  </si>
  <si>
    <t>E:\CAFNEC_GBRF\2022\BarronRiver\Frames_for_Analysis\697_C0005_L_0388.jpg</t>
  </si>
  <si>
    <t>E:\CAFNEC_GBRF\2022\BarronRiver\Frames_for_Analysis\698_C0005_L_0392.jpg</t>
  </si>
  <si>
    <t>E:\CAFNEC_GBRF\2022\BarronRiver\Frames_for_Analysis\699_C0005_L_0395.jpg</t>
  </si>
  <si>
    <t>E:\CAFNEC_GBRF\2022\BarronRiver\Frames_for_Analysis\700_C0005_L_0398.jpg</t>
  </si>
  <si>
    <t>E:\CAFNEC_GBRF\2022\BarronRiver\Frames_for_Analysis\701_C0005_L_0401.jpg</t>
  </si>
  <si>
    <t>E:\CAFNEC_GBRF\2022\BarronRiver\Frames_for_Analysis\702_C0005_L_0404.jpg</t>
  </si>
  <si>
    <t>E:\CAFNEC_GBRF\2022\BarronRiver\Frames_for_Analysis\703_C0005_L_0407.jpg</t>
  </si>
  <si>
    <t>E:\CAFNEC_GBRF\2022\BarronRiver\Frames_for_Analysis\704_C0005_L_0410.jpg</t>
  </si>
  <si>
    <t>E:\CAFNEC_GBRF\2022\BarronRiver\Frames_for_Analysis\705_C0005_L_0413.jpg</t>
  </si>
  <si>
    <t>E:\CAFNEC_GBRF\2022\BarronRiver\Frames_for_Analysis\706_C0005_L_0417.jpg</t>
  </si>
  <si>
    <t>E:\CAFNEC_GBRF\2022\BarronRiver\Frames_for_Analysis\707_C0005_L_0420.jpg</t>
  </si>
  <si>
    <t>E:\CAFNEC_GBRF\2022\BarronRiver\Frames_for_Analysis\708_C0005_L_0423.jpg</t>
  </si>
  <si>
    <t>E:\CAFNEC_GBRF\2022\BarronRiver\Frames_for_Analysis\709_C0005_L_0426.jpg</t>
  </si>
  <si>
    <t>E:\CAFNEC_GBRF\2022\BarronRiver\Frames_for_Analysis\710_C0005_L_0429.jpg</t>
  </si>
  <si>
    <t>E:\CAFNEC_GBRF\2022\BarronRiver\Frames_for_Analysis\711_C0005_L_0432.jpg</t>
  </si>
  <si>
    <t>E:\CAFNEC_GBRF\2022\BarronRiver\Frames_for_Analysis\712_C0005_L_0435.jpg</t>
  </si>
  <si>
    <t>E:\CAFNEC_GBRF\2022\BarronRiver\Frames_for_Analysis\713_C0005_L_0439.jpg</t>
  </si>
  <si>
    <t>E:\CAFNEC_GBRF\2022\BarronRiver\Frames_for_Analysis\714_C0005_L_0441.jpg</t>
  </si>
  <si>
    <t>E:\CAFNEC_GBRF\2022\BarronRiver\Frames_for_Analysis\715_C0005_L_0446.jpg</t>
  </si>
  <si>
    <t>E:\CAFNEC_GBRF\2022\BarronRiver\Frames_for_Analysis\716_C0005_L_0447.jpg</t>
  </si>
  <si>
    <t>E:\CAFNEC_GBRF\2022\BarronRiver\Frames_for_Analysis\717_C0005_L_0449.jpg</t>
  </si>
  <si>
    <t>E:\CAFNEC_GBRF\2022\BarronRiver\Frames_for_Analysis\718_C0005_L_0453.jpg</t>
  </si>
  <si>
    <t>E:\CAFNEC_GBRF\2022\BarronRiver\Frames_for_Analysis\719_C0005_L_0454.jpg</t>
  </si>
  <si>
    <t>E:\CAFNEC_GBRF\2022\BarronRiver\Frames_for_Analysis\720_C0005_L_0460.jpg</t>
  </si>
  <si>
    <t>E:\CAFNEC_GBRF\2022\BarronRiver\Frames_for_Analysis\721_C0005_L_0462.jpg</t>
  </si>
  <si>
    <t>E:\CAFNEC_GBRF\2022\BarronRiver\Frames_for_Analysis\722_C0005_L_0464.jpg</t>
  </si>
  <si>
    <t>E:\CAFNEC_GBRF\2022\BarronRiver\Frames_for_Analysis\723_C0005_L_0465.jpg</t>
  </si>
  <si>
    <t>E:\CAFNEC_GBRF\2022\BarronRiver\Frames_for_Analysis\724_C0005_L_0467.jpg</t>
  </si>
  <si>
    <t>E:\CAFNEC_GBRF\2022\BarronRiver\Frames_for_Analysis\725_C0005_L_0468.jpg</t>
  </si>
  <si>
    <t>E:\CAFNEC_GBRF\2022\BarronRiver\Frames_for_Analysis\726_C0005_L_0469.jpg</t>
  </si>
  <si>
    <t>E:\CAFNEC_GBRF\2022\BarronRiver\Frames_for_Analysis\727_C0005_L_0470.jpg</t>
  </si>
  <si>
    <t>E:\CAFNEC_GBRF\2022\BarronRiver\Frames_for_Analysis\728_C0005_L_0472.jpg</t>
  </si>
  <si>
    <t>E:\CAFNEC_GBRF\2022\BarronRiver\Frames_for_Analysis\729_C0005_L_0473.jpg</t>
  </si>
  <si>
    <t>E:\CAFNEC_GBRF\2022\BarronRiver\Frames_for_Analysis\730_C0005_L_0475.jpg</t>
  </si>
  <si>
    <t>E:\CAFNEC_GBRF\2022\BarronRiver\Frames_for_Analysis\731_C0005_L_0476.jpg</t>
  </si>
  <si>
    <t>E:\CAFNEC_GBRF\2022\BarronRiver\Frames_for_Analysis\732_C0005_L_0477.jpg</t>
  </si>
  <si>
    <t>E:\CAFNEC_GBRF\2022\BarronRiver\Frames_for_Analysis\733_C0005_L_0481.jpg</t>
  </si>
  <si>
    <t>E:\CAFNEC_GBRF\2022\BarronRiver\Frames_for_Analysis\734_C0005_L_0482.jpg</t>
  </si>
  <si>
    <t>E:\CAFNEC_GBRF\2022\BarronRiver\Frames_for_Analysis\735_C0005_L_0485.jpg</t>
  </si>
  <si>
    <t>E:\CAFNEC_GBRF\2022\BarronRiver\Frames_for_Analysis\736_C0005_L_0488.jpg</t>
  </si>
  <si>
    <t>E:\CAFNEC_GBRF\2022\BarronRiver\Frames_for_Analysis\737_C0005_L_0491.jpg</t>
  </si>
  <si>
    <t>E:\CAFNEC_GBRF\2022\BarronRiver\Frames_for_Analysis\738_C0005_L_0503.jpg</t>
  </si>
  <si>
    <t>E:\CAFNEC_GBRF\2022\BarronRiver\Frames_for_Analysis\739_C0005_L_0497.jpg</t>
  </si>
  <si>
    <t>E:\CAFNEC_GBRF\2022\BarronRiver\Frames_for_Analysis\740_C0005_L_0507.jpg</t>
  </si>
  <si>
    <t>E:\CAFNEC_GBRF\2022\BarronRiver\Frames_for_Analysis\741_C0005_L_0508.jpg</t>
  </si>
  <si>
    <t>E:\CAFNEC_GBRF\2022\BarronRiver\Frames_for_Analysis\742_C0005_L_0510.jpg</t>
  </si>
  <si>
    <t>E:\CAFNEC_GBRF\2022\BarronRiver\Frames_for_Analysis\743_C0005_L_0515.jpg</t>
  </si>
  <si>
    <t>E:\CAFNEC_GBRF\2022\BarronRiver\Frames_for_Analysis\744_C0005_L_0517.jpg</t>
  </si>
  <si>
    <t>E:\CAFNEC_GBRF\2022\BarronRiver\Frames_for_Analysis\745_C0005_L_0519.jpg</t>
  </si>
  <si>
    <t>E:\CAFNEC_GBRF\2022\BarronRiver\Frames_for_Analysis\746_C0005_L_0520.jpg</t>
  </si>
  <si>
    <t>E:\CAFNEC_GBRF\2022\BarronRiver\Frames_for_Analysis\747_C0005_L_0522.jpg</t>
  </si>
  <si>
    <t>E:\CAFNEC_GBRF\2022\BarronRiver\Frames_for_Analysis\748_C0005_L_0524.jpg</t>
  </si>
  <si>
    <t>E:\CAFNEC_GBRF\2022\BarronRiver\Frames_for_Analysis\749_C0005_L_0526.jpg</t>
  </si>
  <si>
    <t>E:\CAFNEC_GBRF\2022\BarronRiver\Frames_for_Analysis\750_C0005_L_0529.jpg</t>
  </si>
  <si>
    <t>E:\CAFNEC_GBRF\2022\BarronRiver\Frames_for_Analysis\751_C0005_L_0531.jpg</t>
  </si>
  <si>
    <t>E:\CAFNEC_GBRF\2022\BarronRiver\Frames_for_Analysis\752_C0005_L_0534.jpg</t>
  </si>
  <si>
    <t>E:\CAFNEC_GBRF\2022\BarronRiver\Frames_for_Analysis\753_C0005_L_0537.jpg</t>
  </si>
  <si>
    <t>E:\CAFNEC_GBRF\2022\BarronRiver\Frames_for_Analysis\754_C0005_L_0539.jpg</t>
  </si>
  <si>
    <t>E:\CAFNEC_GBRF\2022\BarronRiver\Frames_for_Analysis\755_C0005_L_0541.jpg</t>
  </si>
  <si>
    <t>E:\CAFNEC_GBRF\2022\BarronRiver\Frames_for_Analysis\756_C0005_L_0544.jpg</t>
  </si>
  <si>
    <t>E:\CAFNEC_GBRF\2022\BarronRiver\Frames_for_Analysis\757_C0005_L_0547.jpg</t>
  </si>
  <si>
    <t>E:\CAFNEC_GBRF\2022\BarronRiver\Frames_for_Analysis\758_C0005_L_0551.jpg</t>
  </si>
  <si>
    <t>E:\CAFNEC_GBRF\2022\BarronRiver\Frames_for_Analysis\759_C0005_L_0552.jpg</t>
  </si>
  <si>
    <t>E:\CAFNEC_GBRF\2022\BarronRiver\Frames_for_Analysis\760_C0005_L_0555.jpg</t>
  </si>
  <si>
    <t>E:\CAFNEC_GBRF\2022\BarronRiver\Frames_for_Analysis\761_C0005_L_0558.jpg</t>
  </si>
  <si>
    <t>E:\CAFNEC_GBRF\2022\BarronRiver\Frames_for_Analysis\762_C0005_L_0560.jpg</t>
  </si>
  <si>
    <t>E:\CAFNEC_GBRF\2022\BarronRiver\Frames_for_Analysis\763_C0005_L_0562.jpg</t>
  </si>
  <si>
    <t>E:\CAFNEC_GBRF\2022\BarronRiver\Frames_for_Analysis\764_C0005_L_0564.jpg</t>
  </si>
  <si>
    <t>E:\CAFNEC_GBRF\2022\BarronRiver\Frames_for_Analysis\765_C0006_L_0004.jpg</t>
  </si>
  <si>
    <t>E:\CAFNEC_GBRF\2022\BarronRiver\Frames_for_Analysis\766_C0006_L_0006.jpg</t>
  </si>
  <si>
    <t>E:\CAFNEC_GBRF\2022\BarronRiver\Frames_for_Analysis\767_C0006_L_0009.jpg</t>
  </si>
  <si>
    <t>E:\CAFNEC_GBRF\2022\BarronRiver\Frames_for_Analysis\768_C0006_L_0012.jpg</t>
  </si>
  <si>
    <t>E:\CAFNEC_GBRF\2022\BarronRiver\Frames_for_Analysis\769_C0006_L_0016.jpg</t>
  </si>
  <si>
    <t>E:\CAFNEC_GBRF\2022\BarronRiver\Frames_for_Analysis\770_C0006_L_0019.jpg</t>
  </si>
  <si>
    <t>E:\CAFNEC_GBRF\2022\BarronRiver\Frames_for_Analysis\771_C0006_L_0020.jpg</t>
  </si>
  <si>
    <t>E:\CAFNEC_GBRF\2022\BarronRiver\Frames_for_Analysis\772_C0006_L_0022.jpg</t>
  </si>
  <si>
    <t>E:\CAFNEC_GBRF\2022\BarronRiver\Frames_for_Analysis\773_C0006_L_0025.jpg</t>
  </si>
  <si>
    <t>E:\CAFNEC_GBRF\2022\BarronRiver\Frames_for_Analysis\774_C0006_L_0027.jpg</t>
  </si>
  <si>
    <t>E:\CAFNEC_GBRF\2022\BarronRiver\Frames_for_Analysis\775_C0006_L_0029.jpg</t>
  </si>
  <si>
    <t>E:\CAFNEC_GBRF\2022\BarronRiver\Frames_for_Analysis\776_C0006_L_0031.jpg</t>
  </si>
  <si>
    <t>E:\CAFNEC_GBRF\2022\BarronRiver\Frames_for_Analysis\777_C0006_L_0034.jpg</t>
  </si>
  <si>
    <t>E:\CAFNEC_GBRF\2022\BarronRiver\Frames_for_Analysis\778_C0006_L_0037.jpg</t>
  </si>
  <si>
    <t>E:\CAFNEC_GBRF\2022\BarronRiver\Frames_for_Analysis\779_C0006_L_0039.jpg</t>
  </si>
  <si>
    <t>E:\CAFNEC_GBRF\2022\BarronRiver\Frames_for_Analysis\780_C0006_L_0041.jpg</t>
  </si>
  <si>
    <t>E:\CAFNEC_GBRF\2022\BarronRiver\Frames_for_Analysis\781_C0006_L_0043.jpg</t>
  </si>
  <si>
    <t>E:\CAFNEC_GBRF\2022\BarronRiver\Frames_for_Analysis\782_C0006_L_0048.jpg</t>
  </si>
  <si>
    <t>E:\CAFNEC_GBRF\2022\BarronRiver\Frames_for_Analysis\783_C0006_L_0052.jpg</t>
  </si>
  <si>
    <t>E:\CAFNEC_GBRF\2022\BarronRiver\Frames_for_Analysis\784_C0006_L_0054.jpg</t>
  </si>
  <si>
    <t>E:\CAFNEC_GBRF\2022\BarronRiver\Frames_for_Analysis\785_C0006_L_0057.jpg</t>
  </si>
  <si>
    <t>E:\CAFNEC_GBRF\2022\BarronRiver\Frames_for_Analysis\786_C0006_L_0060.jpg</t>
  </si>
  <si>
    <t>E:\CAFNEC_GBRF\2022\BarronRiver\Frames_for_Analysis\787_C0006_L_0065.jpg</t>
  </si>
  <si>
    <t>E:\CAFNEC_GBRF\2022\BarronRiver\Frames_for_Analysis\788_C0006_L_0067.jpg</t>
  </si>
  <si>
    <t>E:\CAFNEC_GBRF\2022\BarronRiver\Frames_for_Analysis\789_C0006_L_0071.jpg</t>
  </si>
  <si>
    <t>E:\CAFNEC_GBRF\2022\BarronRiver\Frames_for_Analysis\790_C0006_L_0073.jpg</t>
  </si>
  <si>
    <t>E:\CAFNEC_GBRF\2022\BarronRiver\Frames_for_Analysis\791_C0006_L_0076.jpg</t>
  </si>
  <si>
    <t>E:\CAFNEC_GBRF\2022\BarronRiver\Frames_for_Analysis\792_C0006_L_0079.jpg</t>
  </si>
  <si>
    <t>E:\CAFNEC_GBRF\2022\BarronRiver\Frames_for_Analysis\793_C0006_L_0082.jpg</t>
  </si>
  <si>
    <t>E:\CAFNEC_GBRF\2022\BarronRiver\Frames_for_Analysis\794_C0006_L_0085.jpg</t>
  </si>
  <si>
    <t>E:\CAFNEC_GBRF\2022\BarronRiver\Frames_for_Analysis\795_C0006_L_0089.jpg</t>
  </si>
  <si>
    <t>E:\CAFNEC_GBRF\2022\BarronRiver\Frames_for_Analysis\796_C0006_L_0093.jpg</t>
  </si>
  <si>
    <t>E:\CAFNEC_GBRF\2022\BarronRiver\Frames_for_Analysis\797_C0006_L_0096.jpg</t>
  </si>
  <si>
    <t>E:\CAFNEC_GBRF\2022\BarronRiver\Frames_for_Analysis\798_C0006_L_0100.jpg</t>
  </si>
  <si>
    <t>E:\CAFNEC_GBRF\2022\BarronRiver\Frames_for_Analysis\799_C0006_L_0104.jpg</t>
  </si>
  <si>
    <t>E:\CAFNEC_GBRF\2022\BarronRiver\Frames_for_Analysis\800_C0006_L_0111.jpg</t>
  </si>
  <si>
    <t>E:\CAFNEC_GBRF\2022\BarronRiver\Frames_for_Analysis\801_C0006_L_0116.jpg</t>
  </si>
  <si>
    <t>E:\CAFNEC_GBRF\2022\BarronRiver\Frames_for_Analysis\802_C0006_L_0119.jpg</t>
  </si>
  <si>
    <t>E:\CAFNEC_GBRF\2022\BarronRiver\Frames_for_Analysis\803_C0006_L_0123.jpg</t>
  </si>
  <si>
    <t>E:\CAFNEC_GBRF\2022\BarronRiver\Frames_for_Analysis\804_C0006_L_0127.jpg</t>
  </si>
  <si>
    <t>E:\CAFNEC_GBRF\2022\BarronRiver\Frames_for_Analysis\805_C0006_L_0130.jpg</t>
  </si>
  <si>
    <t>E:\CAFNEC_GBRF\2022\BarronRiver\Frames_for_Analysis\806_C0006_L_0134.jpg</t>
  </si>
  <si>
    <t>E:\CAFNEC_GBRF\2022\BarronRiver\Frames_for_Analysis\807_C0006_L_0138.jpg</t>
  </si>
  <si>
    <t>E:\CAFNEC_GBRF\2022\BarronRiver\Frames_for_Analysis\808_C0006_L_0141.jpg</t>
  </si>
  <si>
    <t>E:\CAFNEC_GBRF\2022\BarronRiver\Frames_for_Analysis\809_C0006_L_0142.jpg</t>
  </si>
  <si>
    <t>E:\CAFNEC_GBRF\2022\BarronRiver\Frames_for_Analysis\810_C0006_L_0147.jpg</t>
  </si>
  <si>
    <t>E:\CAFNEC_GBRF\2022\BarronRiver\Frames_for_Analysis\811_C0006_L_0150.jpg</t>
  </si>
  <si>
    <t>E:\CAFNEC_GBRF\2022\BarronRiver\Frames_for_Analysis\812_C0006_L_0155.jpg</t>
  </si>
  <si>
    <t>E:\CAFNEC_GBRF\2022\BarronRiver\Frames_for_Analysis\813_C0006_L_0159.jpg</t>
  </si>
  <si>
    <t>E:\CAFNEC_GBRF\2022\BarronRiver\Frames_for_Analysis\814_C0006_L_0163.jpg</t>
  </si>
  <si>
    <t>E:\CAFNEC_GBRF\2022\BarronRiver\Frames_for_Analysis\815_C0006_L_0167.jpg</t>
  </si>
  <si>
    <t>E:\CAFNEC_GBRF\2022\BarronRiver\Frames_for_Analysis\816_C0006_L_0170.jpg</t>
  </si>
  <si>
    <t>E:\CAFNEC_GBRF\2022\BarronRiver\Frames_for_Analysis\817_C0006_L_0174.jpg</t>
  </si>
  <si>
    <t>E:\CAFNEC_GBRF\2022\BarronRiver\Frames_for_Analysis\818_C0006_L_0178.jpg</t>
  </si>
  <si>
    <t>E:\CAFNEC_GBRF\2022\BarronRiver\Frames_for_Analysis\819_C0006_L_0180.jpg</t>
  </si>
  <si>
    <t>E:\CAFNEC_GBRF\2022\BarronRiver\Frames_for_Analysis\820_C0006_L_0183.jpg</t>
  </si>
  <si>
    <t>E:\CAFNEC_GBRF\2022\BarronRiver\Frames_for_Analysis\821_C0006_L_0186.jpg</t>
  </si>
  <si>
    <t>E:\CAFNEC_GBRF\2022\BarronRiver\Frames_for_Analysis\822_C0006_L_0191.jpg</t>
  </si>
  <si>
    <t>E:\CAFNEC_GBRF\2022\BarronRiver\Frames_for_Analysis\823_C0006_L_0194.jpg</t>
  </si>
  <si>
    <t>E:\CAFNEC_GBRF\2022\BarronRiver\Frames_for_Analysis\824_C0006_L_0197.jpg</t>
  </si>
  <si>
    <t>E:\CAFNEC_GBRF\2022\BarronRiver\Frames_for_Analysis\825_C0006_L_0203.jpg</t>
  </si>
  <si>
    <t>E:\CAFNEC_GBRF\2022\BarronRiver\Frames_for_Analysis\826_C0006_L_0204.jpg</t>
  </si>
  <si>
    <t>E:\CAFNEC_GBRF\2022\BarronRiver\Frames_for_Analysis\827_C0006_L_0207.jpg</t>
  </si>
  <si>
    <t>E:\CAFNEC_GBRF\2022\BarronRiver\Frames_for_Analysis\828_C0006_L_0210.jpg</t>
  </si>
  <si>
    <t>E:\CAFNEC_GBRF\2022\BarronRiver\Frames_for_Analysis\829_C0006_L_0214.jpg</t>
  </si>
  <si>
    <t>E:\CAFNEC_GBRF\2022\BarronRiver\Frames_for_Analysis\830_C0006_L_0218.jpg</t>
  </si>
  <si>
    <t>E:\CAFNEC_GBRF\2022\BarronRiver\Frames_for_Analysis\831_C0006_L_0223.jpg</t>
  </si>
  <si>
    <t>E:\CAFNEC_GBRF\2022\BarronRiver\Frames_for_Analysis\832_C0006_L_0228.jpg</t>
  </si>
  <si>
    <t>E:\CAFNEC_GBRF\2022\BarronRiver\Frames_for_Analysis\833_C0006_L_0232.jpg</t>
  </si>
  <si>
    <t>E:\CAFNEC_GBRF\2022\BarronRiver\Frames_for_Analysis\834_C0006_L_0235.jpg</t>
  </si>
  <si>
    <t>E:\CAFNEC_GBRF\2022\BarronRiver\Frames_for_Analysis\835_C0006_L_0238.jpg</t>
  </si>
  <si>
    <t>E:\CAFNEC_GBRF\2022\BarronRiver\Frames_for_Analysis\836_C0006_L_0242.jpg</t>
  </si>
  <si>
    <t>E:\CAFNEC_GBRF\2022\BarronRiver\Frames_for_Analysis\837_C0006_L_0245.jpg</t>
  </si>
  <si>
    <t>E:\CAFNEC_GBRF\2022\BarronRiver\Frames_for_Analysis\838_C0006_L_0248.jpg</t>
  </si>
  <si>
    <t>E:\CAFNEC_GBRF\2022\BarronRiver\Frames_for_Analysis\839_C0006_L_0252.jpg</t>
  </si>
  <si>
    <t>E:\CAFNEC_GBRF\2022\BarronRiver\Frames_for_Analysis\840_C0006_L_0255.jpg</t>
  </si>
  <si>
    <t>E:\CAFNEC_GBRF\2022\BarronRiver\Frames_for_Analysis\841_C0006_L_0259.jpg</t>
  </si>
  <si>
    <t>E:\CAFNEC_GBRF\2022\BarronRiver\Frames_for_Analysis\842_C0006_L_0263.jpg</t>
  </si>
  <si>
    <t>E:\CAFNEC_GBRF\2022\BarronRiver\Frames_for_Analysis\843_C0006_L_0267.jpg</t>
  </si>
  <si>
    <t>E:\CAFNEC_GBRF\2022\BarronRiver\Frames_for_Analysis\844_C0006_L_0271.jpg</t>
  </si>
  <si>
    <t>E:\CAFNEC_GBRF\2022\BarronRiver\Frames_for_Analysis\845_C0006_L_0274.jpg</t>
  </si>
  <si>
    <t>E:\CAFNEC_GBRF\2022\BarronRiver\Frames_for_Analysis\846_C0006_L_0277.jpg</t>
  </si>
  <si>
    <t>E:\CAFNEC_GBRF\2022\BarronRiver\Frames_for_Analysis\847_C0006_L_0281.jpg</t>
  </si>
  <si>
    <t>E:\CAFNEC_GBRF\2022\BarronRiver\Frames_for_Analysis\848_C0006_L_0283.jpg</t>
  </si>
  <si>
    <t>E:\CAFNEC_GBRF\2022\BarronRiver\Frames_for_Analysis\849_C0006_L_0286.jpg</t>
  </si>
  <si>
    <t>E:\CAFNEC_GBRF\2022\BarronRiver\Frames_for_Analysis\850_C0006_L_0289.jpg</t>
  </si>
  <si>
    <t>E:\CAFNEC_GBRF\2022\BarronRiver\Frames_for_Analysis\851_C0006_L_0293.jpg</t>
  </si>
  <si>
    <t>E:\CAFNEC_GBRF\2022\BarronRiver\Frames_for_Analysis\852_C0006_L_0296.jpg</t>
  </si>
  <si>
    <t>E:\CAFNEC_GBRF\2022\BarronRiver\Frames_for_Analysis\853_C0006_L_0301.jpg</t>
  </si>
  <si>
    <t>E:\CAFNEC_GBRF\2022\BarronRiver\Frames_for_Analysis\854_C0006_L_0303.jpg</t>
  </si>
  <si>
    <t>E:\CAFNEC_GBRF\2022\BarronRiver\Frames_for_Analysis\855_C0006_L_0306.jpg</t>
  </si>
  <si>
    <t>E:\CAFNEC_GBRF\2022\BarronRiver\Frames_for_Analysis\856_C0006_L_0309.jpg</t>
  </si>
  <si>
    <t>E:\CAFNEC_GBRF\2022\BarronRiver\Frames_for_Analysis\857_C0006_L_0314.jpg</t>
  </si>
  <si>
    <t>E:\CAFNEC_GBRF\2022\BarronRiver\Frames_for_Analysis\858_C0006_L_0321.jpg</t>
  </si>
  <si>
    <t>E:\CAFNEC_GBRF\2022\BarronRiver\Frames_for_Analysis\859_C0006_L_0327.jpg</t>
  </si>
  <si>
    <t>E:\CAFNEC_GBRF\2022\BarronRiver\Frames_for_Analysis\860_C0006_L_0334.jpg</t>
  </si>
  <si>
    <t>E:\CAFNEC_GBRF\2022\BarronRiver\Frames_for_Analysis\861_C0006_L_0343.jpg</t>
  </si>
  <si>
    <t>E:\CAFNEC_GBRF\2022\BarronRiver\Frames_for_Analysis\862_C0006_L_0348.jpg</t>
  </si>
  <si>
    <t>E:\CAFNEC_GBRF\2022\BarronRiver\Frames_for_Analysis\863_C0006_L_0351.jpg</t>
  </si>
  <si>
    <t>E:\CAFNEC_GBRF\2022\BarronRiver\Frames_for_Analysis\864_C0006_L_0354.jpg</t>
  </si>
  <si>
    <t>E:\CAFNEC_GBRF\2022\BarronRiver\Frames_for_Analysis\865_C0006_L_0359.jpg</t>
  </si>
  <si>
    <t>E:\CAFNEC_GBRF\2022\BarronRiver\Frames_for_Analysis\866_C0006_L_0361.jpg</t>
  </si>
  <si>
    <t>E:\CAFNEC_GBRF\2022\BarronRiver\Frames_for_Analysis\867_C0006_L_0364.jpg</t>
  </si>
  <si>
    <t>E:\CAFNEC_GBRF\2022\BarronRiver\Frames_for_Analysis\868_C0006_L_0367.jpg</t>
  </si>
  <si>
    <t>E:\CAFNEC_GBRF\2022\BarronRiver\Frames_for_Analysis\869_C0006_L_0369.jpg</t>
  </si>
  <si>
    <t>E:\CAFNEC_GBRF\2022\BarronRiver\Frames_for_Analysis\870_C0006_L_0372.jpg</t>
  </si>
  <si>
    <t>E:\CAFNEC_GBRF\2022\BarronRiver\Frames_for_Analysis\871_C0006_L_0375.jpg</t>
  </si>
  <si>
    <t>E:\CAFNEC_GBRF\2022\BarronRiver\Frames_for_Analysis\872_C0006_L_0376.jpg</t>
  </si>
  <si>
    <t>E:\CAFNEC_GBRF\2022\BarronRiver\Frames_for_Analysis\873_C0006_L_0381.jpg</t>
  </si>
  <si>
    <t>E:\CAFNEC_GBRF\2022\BarronRiver\Frames_for_Analysis\874_C0006_L_0383.jpg</t>
  </si>
  <si>
    <t>E:\CAFNEC_GBRF\2022\BarronRiver\Frames_for_Analysis\875_C0006_L_0387.jpg</t>
  </si>
  <si>
    <t>E:\CAFNEC_GBRF\2022\BarronRiver\Frames_for_Analysis\876_C0006_L_0391.jpg</t>
  </si>
  <si>
    <t>E:\CAFNEC_GBRF\2022\BarronRiver\Frames_for_Analysis\877_C0006_L_0394.jpg</t>
  </si>
  <si>
    <t>E:\CAFNEC_GBRF\2022\BarronRiver\Frames_for_Analysis\878_C0006_L_0398.jpg</t>
  </si>
  <si>
    <t>E:\CAFNEC_GBRF\2022\BarronRiver\Frames_for_Analysis\879_C0006_L_0401.jpg</t>
  </si>
  <si>
    <t>E:\CAFNEC_GBRF\2022\BarronRiver\Frames_for_Analysis\880_C0006_L_0404.jpg</t>
  </si>
  <si>
    <t>E:\CAFNEC_GBRF\2022\BarronRiver\Frames_for_Analysis\881_C0006_L_0407.jpg</t>
  </si>
  <si>
    <t>E:\CAFNEC_GBRF\2022\BarronRiver\Frames_for_Analysis\882_C0006_L_0409.jpg</t>
  </si>
  <si>
    <t>E:\CAFNEC_GBRF\2022\BarronRiver\Frames_for_Analysis\883_C0006_L_0412.jpg</t>
  </si>
  <si>
    <t>E:\CAFNEC_GBRF\2022\BarronRiver\Frames_for_Analysis\884_C0006_L_0414.jpg</t>
  </si>
  <si>
    <t>E:\CAFNEC_GBRF\2022\BarronRiver\Frames_for_Analysis\885_C0006_L_0416.jpg</t>
  </si>
  <si>
    <t>E:\CAFNEC_GBRF\2022\BarronRiver\Frames_for_Analysis\886_C0006_L_0420.jpg</t>
  </si>
  <si>
    <t>E:\CAFNEC_GBRF\2022\BarronRiver\Frames_for_Analysis\887_C0006_L_0423.jpg</t>
  </si>
  <si>
    <t>E:\CAFNEC_GBRF\2022\BarronRiver\Frames_for_Analysis\888_C0006_L_0425.jpg</t>
  </si>
  <si>
    <t>E:\CAFNEC_GBRF\2022\BarronRiver\Frames_for_Analysis\889_C0006_L_0429.jpg</t>
  </si>
  <si>
    <t>E:\CAFNEC_GBRF\2022\BarronRiver\Frames_for_Analysis\890_C0006_L_0432.jpg</t>
  </si>
  <si>
    <t>E:\CAFNEC_GBRF\2022\BarronRiver\Frames_for_Analysis\891_C0006_L_0434.jpg</t>
  </si>
  <si>
    <t>E:\CAFNEC_GBRF\2022\BarronRiver\Frames_for_Analysis\892_C0006_L_0438.jpg</t>
  </si>
  <si>
    <t>E:\CAFNEC_GBRF\2022\BarronRiver\Frames_for_Analysis\893_C0006_L_0441.jpg</t>
  </si>
  <si>
    <t>E:\CAFNEC_GBRF\2022\BarronRiver\Frames_for_Analysis\894_C0006_L_0444.jpg</t>
  </si>
  <si>
    <t>E:\CAFNEC_GBRF\2022\BarronRiver\Frames_for_Analysis\895_C0006_L_0447.jpg</t>
  </si>
  <si>
    <t>E:\CAFNEC_GBRF\2022\BarronRiver\Frames_for_Analysis\896_C0006_L_0450.jpg</t>
  </si>
  <si>
    <t>E:\CAFNEC_GBRF\2022\BarronRiver\Frames_for_Analysis\897_C0006_L_0453.jpg</t>
  </si>
  <si>
    <t>E:\CAFNEC_GBRF\2022\BarronRiver\Frames_for_Analysis\898_C0006_L_0456.jpg</t>
  </si>
  <si>
    <t>E:\CAFNEC_GBRF\2022\BarronRiver\Frames_for_Analysis\899_C0006_L_0458.jpg</t>
  </si>
  <si>
    <t>E:\CAFNEC_GBRF\2022\BarronRiver\Frames_for_Analysis\900_C0006_L_0461.jpg</t>
  </si>
  <si>
    <t>E:\CAFNEC_GBRF\2022\BarronRiver\Frames_for_Analysis\901_C0006_L_0463.jpg</t>
  </si>
  <si>
    <t>E:\CAFNEC_GBRF\2022\BarronRiver\Frames_for_Analysis\902_C0006_L_0466.jpg</t>
  </si>
  <si>
    <t>E:\CAFNEC_GBRF\2022\BarronRiver\Frames_for_Analysis\903_C0006_L_0469.jpg</t>
  </si>
  <si>
    <t>E:\CAFNEC_GBRF\2022\BarronRiver\Frames_for_Analysis\904_C0006_L_0472.jpg</t>
  </si>
  <si>
    <t>E:\CAFNEC_GBRF\2022\BarronRiver\Frames_for_Analysis\905_C0006_L_0475.jpg</t>
  </si>
  <si>
    <t>E:\CAFNEC_GBRF\2022\BarronRiver\Frames_for_Analysis\906_C0006_L_0477.jpg</t>
  </si>
  <si>
    <t>E:\CAFNEC_GBRF\2022\BarronRiver\Frames_for_Analysis\907_C0006_L_0480.jpg</t>
  </si>
  <si>
    <t>E:\CAFNEC_GBRF\2022\BarronRiver\Frames_for_Analysis\908_C0006_L_0484.jpg</t>
  </si>
  <si>
    <t>E:\CAFNEC_GBRF\2022\BarronRiver\Frames_for_Analysis\909_C0006_L_0486.jpg</t>
  </si>
  <si>
    <t>E:\CAFNEC_GBRF\2022\BarronRiver\Frames_for_Analysis\910_C0006_L_0489.jpg</t>
  </si>
  <si>
    <t>E:\CAFNEC_GBRF\2022\BarronRiver\Frames_for_Analysis\911_C0006_L_0490.jpg</t>
  </si>
  <si>
    <t>E:\CAFNEC_GBRF\2022\BarronRiver\Frames_for_Analysis\912_C0006_L_0494.jpg</t>
  </si>
  <si>
    <t>E:\CAFNEC_GBRF\2022\BarronRiver\Frames_for_Analysis\913_C0006_L_0495.jpg</t>
  </si>
  <si>
    <t>E:\CAFNEC_GBRF\2022\BarronRiver\Frames_for_Analysis\914_C0006_L_0497.jpg</t>
  </si>
  <si>
    <t>E:\CAFNEC_GBRF\2022\BarronRiver\Frames_for_Analysis\915_C0006_L_0499.jpg</t>
  </si>
  <si>
    <t>E:\CAFNEC_GBRF\2022\BarronRiver\Frames_for_Analysis\916_C0006_L_0502.jpg</t>
  </si>
  <si>
    <t>E:\CAFNEC_GBRF\2022\BarronRiver\Frames_for_Analysis\917_C0006_L_0504.jpg</t>
  </si>
  <si>
    <t>E:\CAFNEC_GBRF\2022\BarronRiver\Frames_for_Analysis\918_C0006_L_0507.jpg</t>
  </si>
  <si>
    <t>E:\CAFNEC_GBRF\2022\BarronRiver\Frames_for_Analysis\919_C0006_L_0509.jpg</t>
  </si>
  <si>
    <t>E:\CAFNEC_GBRF\2022\BarronRiver\Frames_for_Analysis\920_C0006_L_0511.jpg</t>
  </si>
  <si>
    <t>E:\CAFNEC_GBRF\2022\BarronRiver\Frames_for_Analysis\921_C0006_L_0514.jpg</t>
  </si>
  <si>
    <t>E:\CAFNEC_GBRF\2022\BarronRiver\Frames_for_Analysis\922_C0006_L_0516.jpg</t>
  </si>
  <si>
    <t>E:\CAFNEC_GBRF\2022\BarronRiver\Frames_for_Analysis\923_C0006_L_0518.jpg</t>
  </si>
  <si>
    <t>E:\CAFNEC_GBRF\2022\BarronRiver\Frames_for_Analysis\924_C0006_L_0521.jpg</t>
  </si>
  <si>
    <t>E:\CAFNEC_GBRF\2022\BarronRiver\Frames_for_Analysis\925_C0006_L_0523.jpg</t>
  </si>
  <si>
    <t>E:\CAFNEC_GBRF\2022\BarronRiver\Frames_for_Analysis\926_C0006_L_0526.jpg</t>
  </si>
  <si>
    <t>E:\CAFNEC_GBRF\2022\BarronRiver\Frames_for_Analysis\927_C0006_L_0529.jpg</t>
  </si>
  <si>
    <t>E:\CAFNEC_GBRF\2022\BarronRiver\Frames_for_Analysis\928_C0006_L_0532.jpg</t>
  </si>
  <si>
    <t>E:\CAFNEC_GBRF\2022\BarronRiver\Frames_for_Analysis\929_C0006_L_0534.jpg</t>
  </si>
  <si>
    <t>E:\CAFNEC_GBRF\2022\BarronRiver\Frames_for_Analysis\930_C0006_L_0535.jpg</t>
  </si>
  <si>
    <t>E:\CAFNEC_GBRF\2022\BarronRiver\Frames_for_Analysis\931_C0006_L_0539.jpg</t>
  </si>
  <si>
    <t>E:\CAFNEC_GBRF\2022\BarronRiver\Frames_for_Analysis\932_C0006_L_0541.jpg</t>
  </si>
  <si>
    <t>E:\CAFNEC_GBRF\2022\BarronRiver\Frames_for_Analysis\933_C0006_L_0544.jpg</t>
  </si>
  <si>
    <t>E:\CAFNEC_GBRF\2022\BarronRiver\Frames_for_Analysis\934_C0006_L_0546.jpg</t>
  </si>
  <si>
    <t>E:\CAFNEC_GBRF\2022\BarronRiver\Frames_for_Analysis\935_C0006_L_0548.jpg</t>
  </si>
  <si>
    <t>E:\CAFNEC_GBRF\2022\BarronRiver\Frames_for_Analysis\936_C0006_L_0551.jpg</t>
  </si>
  <si>
    <t>E:\CAFNEC_GBRF\2022\BarronRiver\Frames_for_Analysis\937_C0006_L_0552.jpg</t>
  </si>
  <si>
    <t>E:\CAFNEC_GBRF\2022\BarronRiver\Frames_for_Analysis\938_C0006_L_0555.jpg</t>
  </si>
  <si>
    <t>E:\CAFNEC_GBRF\2022\BarronRiver\Frames_for_Analysis\939_C0006_L_0557.jpg</t>
  </si>
  <si>
    <t>E:\CAFNEC_GBRF\2022\BarronRiver\Frames_for_Analysis\940_C0007_L_0001.jpg</t>
  </si>
  <si>
    <t>E:\CAFNEC_GBRF\2022\BarronRiver\Frames_for_Analysis\941_C0007_L_0008.jpg</t>
  </si>
  <si>
    <t>E:\CAFNEC_GBRF\2022\BarronRiver\Frames_for_Analysis\942_C0007_L_0010.jpg</t>
  </si>
  <si>
    <t>E:\CAFNEC_GBRF\2022\BarronRiver\Frames_for_Analysis\943_C0007_L_0011.jpg</t>
  </si>
  <si>
    <t>E:\CAFNEC_GBRF\2022\BarronRiver\Frames_for_Analysis\944_C0007_L_0013.jpg</t>
  </si>
  <si>
    <t>E:\CAFNEC_GBRF\2022\BarronRiver\Frames_for_Analysis\945_C0007_L_0015.jpg</t>
  </si>
  <si>
    <t>E:\CAFNEC_GBRF\2022\BarronRiver\Frames_for_Analysis\946_C0007_L_0017.jpg</t>
  </si>
  <si>
    <t>E:\CAFNEC_GBRF\2022\BarronRiver\Frames_for_Analysis\947_C0007_L_0022.jpg</t>
  </si>
  <si>
    <t>E:\CAFNEC_GBRF\2022\BarronRiver\Frames_for_Analysis\948_C0007_L_0024.jpg</t>
  </si>
  <si>
    <t>E:\CAFNEC_GBRF\2022\BarronRiver\Frames_for_Analysis\949_C0007_L_0025.jpg</t>
  </si>
  <si>
    <t>E:\CAFNEC_GBRF\2022\BarronRiver\Frames_for_Analysis\950_C0007_L_0029.jpg</t>
  </si>
  <si>
    <t>E:\CAFNEC_GBRF\2022\BarronRiver\Frames_for_Analysis\951_C0007_L_0030.jpg</t>
  </si>
  <si>
    <t>E:\CAFNEC_GBRF\2022\BarronRiver\Frames_for_Analysis\952_C0007_L_0033.jpg</t>
  </si>
  <si>
    <t>E:\CAFNEC_GBRF\2022\BarronRiver\Frames_for_Analysis\953_C0007_L_0035.jpg</t>
  </si>
  <si>
    <t>E:\CAFNEC_GBRF\2022\BarronRiver\Frames_for_Analysis\954_C0007_L_0039.jpg</t>
  </si>
  <si>
    <t>E:\CAFNEC_GBRF\2022\BarronRiver\Frames_for_Analysis\955_C0007_L_0041.jpg</t>
  </si>
  <si>
    <t>E:\CAFNEC_GBRF\2022\BarronRiver\Frames_for_Analysis\956_C0007_L_0042.jpg</t>
  </si>
  <si>
    <t>E:\CAFNEC_GBRF\2022\BarronRiver\Frames_for_Analysis\957_C0007_L_0044.jpg</t>
  </si>
  <si>
    <t>E:\CAFNEC_GBRF\2022\BarronRiver\Frames_for_Analysis\958_C0007_L_0047.jpg</t>
  </si>
  <si>
    <t>E:\CAFNEC_GBRF\2022\BarronRiver\Frames_for_Analysis\959_C0007_L_0051.jpg</t>
  </si>
  <si>
    <t>E:\CAFNEC_GBRF\2022\BarronRiver\Frames_for_Analysis\960_C0007_L_0054.jpg</t>
  </si>
  <si>
    <t>E:\CAFNEC_GBRF\2022\BarronRiver\Frames_for_Analysis\961_C0007_L_0058.jpg</t>
  </si>
  <si>
    <t>E:\CAFNEC_GBRF\2022\BarronRiver\Frames_for_Analysis\962_C0007_L_0060.jpg</t>
  </si>
  <si>
    <t>E:\CAFNEC_GBRF\2022\BarronRiver\Frames_for_Analysis\963_C0007_L_0063.jpg</t>
  </si>
  <si>
    <t>E:\CAFNEC_GBRF\2022\BarronRiver\Frames_for_Analysis\965_C0007_L_0064.jpg</t>
  </si>
  <si>
    <t>E:\CAFNEC_GBRF\2022\BarronRiver\Frames_for_Analysis\966_C0007_L_0065.jpg</t>
  </si>
  <si>
    <t>E:\CAFNEC_GBRF\2022\BarronRiver\Frames_for_Analysis\967_C0007_L_0066.jpg</t>
  </si>
  <si>
    <t>E:\CAFNEC_GBRF\2022\BarronRiver\Frames_for_Analysis\968_C0007_L_0068.jpg</t>
  </si>
  <si>
    <t>E:\CAFNEC_GBRF\2022\BarronRiver\Frames_for_Analysis\969_C0007_L_0073.jpg</t>
  </si>
  <si>
    <t>E:\CAFNEC_GBRF\2022\BarronRiver\Frames_for_Analysis\970_C0007_L_0075.jpg</t>
  </si>
  <si>
    <t>E:\CAFNEC_GBRF\2022\BarronRiver\Frames_for_Analysis\971_C0007_L_0080.jpg</t>
  </si>
  <si>
    <t>E:\CAFNEC_GBRF\2022\BarronRiver\Frames_for_Analysis\972_C0007_L_0082.jpg</t>
  </si>
  <si>
    <t>E:\CAFNEC_GBRF\2022\BarronRiver\Frames_for_Analysis\973_C0007_L_0085.jpg</t>
  </si>
  <si>
    <t>E:\CAFNEC_GBRF\2022\BarronRiver\Frames_for_Analysis\974_C0007_L_0088.jpg</t>
  </si>
  <si>
    <t>E:\CAFNEC_GBRF\2022\BarronRiver\Frames_for_Analysis\975_C0007_L_0091.jpg</t>
  </si>
  <si>
    <t>E:\CAFNEC_GBRF\2022\BarronRiver\Frames_for_Analysis\976_C0007_L_0092.jpg</t>
  </si>
  <si>
    <t>E:\CAFNEC_GBRF\2022\BarronRiver\Frames_for_Analysis\977_C0007_L_0094.jpg</t>
  </si>
  <si>
    <t>E:\CAFNEC_GBRF\2022\BarronRiver\Frames_for_Analysis\978_C0007_L_0096.jpg</t>
  </si>
  <si>
    <t>E:\CAFNEC_GBRF\2022\BarronRiver\Frames_for_Analysis\979_C0007_L_0100.jpg</t>
  </si>
  <si>
    <t>E:\CAFNEC_GBRF\2022\BarronRiver\Frames_for_Analysis\980_C0007_L_0103.jpg</t>
  </si>
  <si>
    <t>E:\CAFNEC_GBRF\2022\BarronRiver\Frames_for_Analysis\981_C0007_L_0107.jpg</t>
  </si>
  <si>
    <t>E:\CAFNEC_GBRF\2022\BarronRiver\Frames_for_Analysis\982_C0007_L_0110.jpg</t>
  </si>
  <si>
    <t>E:\CAFNEC_GBRF\2022\BarronRiver\Frames_for_Analysis\983_C0007_L_0114.jpg</t>
  </si>
  <si>
    <t>E:\CAFNEC_GBRF\2022\BarronRiver\Frames_for_Analysis\984_C0007_L_0117.jpg</t>
  </si>
  <si>
    <t>E:\CAFNEC_GBRF\2022\BarronRiver\Frames_for_Analysis\985_C0007_L_0120.jpg</t>
  </si>
  <si>
    <t>E:\CAFNEC_GBRF\2022\BarronRiver\Frames_for_Analysis\986_C0007_L_0124.jpg</t>
  </si>
  <si>
    <t>E:\CAFNEC_GBRF\2022\BarronRiver\Frames_for_Analysis\987_C0007_L_0128.jpg</t>
  </si>
  <si>
    <t>E:\CAFNEC_GBRF\2022\BarronRiver\Frames_for_Analysis\988_C0007_L_0131.jpg</t>
  </si>
  <si>
    <t>E:\CAFNEC_GBRF\2022\BarronRiver\Frames_for_Analysis\989_C0007_L_0134.jpg</t>
  </si>
  <si>
    <t>E:\CAFNEC_GBRF\2022\BarronRiver\Frames_for_Analysis\990_C0007_L_0136.jpg</t>
  </si>
  <si>
    <t>E:\CAFNEC_GBRF\2022\BarronRiver\Frames_for_Analysis\991_C0007_L_0141.jpg</t>
  </si>
  <si>
    <t>E:\CAFNEC_GBRF\2022\BarronRiver\Frames_for_Analysis\992_C0007_L_0145.jpg</t>
  </si>
  <si>
    <t>E:\CAFNEC_GBRF\2022\BarronRiver\Frames_for_Analysis\993_C0007_L_0149.jpg</t>
  </si>
  <si>
    <t>E:\CAFNEC_GBRF\2022\BarronRiver\Frames_for_Analysis\994_C0007_L_0153.jpg</t>
  </si>
  <si>
    <t>E:\CAFNEC_GBRF\2022\BarronRiver\Frames_for_Analysis\995_C0007_L_0155.jpg</t>
  </si>
  <si>
    <t>E:\CAFNEC_GBRF\2022\BarronRiver\Frames_for_Analysis\996_C0007_L_0159.jpg</t>
  </si>
  <si>
    <t>E:\CAFNEC_GBRF\2022\BarronRiver\Frames_for_Analysis\997_C0007_L_0163.jpg</t>
  </si>
  <si>
    <t>E:\CAFNEC_GBRF\2022\BarronRiver\Frames_for_Analysis\998_C0007_L_0165.jpg</t>
  </si>
  <si>
    <t>E:\CAFNEC_GBRF\2022\BarronRiver\Frames_for_Analysis\999_C0007_L_0168.jpg</t>
  </si>
  <si>
    <t>E:\CAFNEC_GBRF\2022\BarronRiver\Frames_for_Analysis\1000_C0007_L_0173.jpg</t>
  </si>
  <si>
    <t>E:\CAFNEC_GBRF\2022\BarronRiver\Frames_for_Analysis\1001_C0007_L_0174.jpg</t>
  </si>
  <si>
    <t>E:\CAFNEC_GBRF\2022\BarronRiver\Frames_for_Analysis\1002_C0007_L_0180.jpg</t>
  </si>
  <si>
    <t>E:\CAFNEC_GBRF\2022\BarronRiver\Frames_for_Analysis\1003_C0007_L_0182.jpg</t>
  </si>
  <si>
    <t>E:\CAFNEC_GBRF\2022\BarronRiver\Frames_for_Analysis\1004_C0007_L_0184.jpg</t>
  </si>
  <si>
    <t>E:\CAFNEC_GBRF\2022\BarronRiver\Frames_for_Analysis\1005_C0007_L_0189.jpg</t>
  </si>
  <si>
    <t>E:\CAFNEC_GBRF\2022\BarronRiver\Frames_for_Analysis\1006_C0007_L_0192.jpg</t>
  </si>
  <si>
    <t>E:\CAFNEC_GBRF\2022\BarronRiver\Frames_for_Analysis\1007_C0007_L_0193.jpg</t>
  </si>
  <si>
    <t>E:\CAFNEC_GBRF\2022\BarronRiver\Frames_for_Analysis\1008_C0007_L_0197.jpg</t>
  </si>
  <si>
    <t>E:\CAFNEC_GBRF\2022\BarronRiver\Frames_for_Analysis\1009_C0007_L_0199.jpg</t>
  </si>
  <si>
    <t>E:\CAFNEC_GBRF\2022\BarronRiver\Frames_for_Analysis\1010_C0007_L_0202.jpg</t>
  </si>
  <si>
    <t>E:\CAFNEC_GBRF\2022\BarronRiver\Frames_for_Analysis\1011_C0007_L_0204.jpg</t>
  </si>
  <si>
    <t>E:\CAFNEC_GBRF\2022\BarronRiver\Frames_for_Analysis\1012_C0007_L_0208.jpg</t>
  </si>
  <si>
    <t>E:\CAFNEC_GBRF\2022\BarronRiver\Frames_for_Analysis\1013_C0007_L_0211.jpg</t>
  </si>
  <si>
    <t>E:\CAFNEC_GBRF\2022\BarronRiver\Frames_for_Analysis\1014_C0007_L_0214.jpg</t>
  </si>
  <si>
    <t>E:\CAFNEC_GBRF\2022\BarronRiver\Frames_for_Analysis\1015_C0007_L_0217.jpg</t>
  </si>
  <si>
    <t>E:\CAFNEC_GBRF\2022\BarronRiver\Frames_for_Analysis\1016_C0007_L_0221.jpg</t>
  </si>
  <si>
    <t>E:\CAFNEC_GBRF\2022\BarronRiver\Frames_for_Analysis\1017_C0007_L_0224.jpg</t>
  </si>
  <si>
    <t>E:\CAFNEC_GBRF\2022\BarronRiver\Frames_for_Analysis\1018_C0007_L_0229.jpg</t>
  </si>
  <si>
    <t>E:\CAFNEC_GBRF\2022\BarronRiver\Frames_for_Analysis\1019_C0007_L_0231.jpg</t>
  </si>
  <si>
    <t>E:\CAFNEC_GBRF\2022\BarronRiver\Frames_for_Analysis\1020_C0007_L_0234.jpg</t>
  </si>
  <si>
    <t>E:\CAFNEC_GBRF\2022\BarronRiver\Frames_for_Analysis\1021_C0007_L_0237.jpg</t>
  </si>
  <si>
    <t>E:\CAFNEC_GBRF\2022\BarronRiver\Frames_for_Analysis\1022_C0007_L_0240.jpg</t>
  </si>
  <si>
    <t>E:\CAFNEC_GBRF\2022\BarronRiver\Frames_for_Analysis\1023_C0007_L_0243.jpg</t>
  </si>
  <si>
    <t>E:\CAFNEC_GBRF\2022\BarronRiver\Frames_for_Analysis\1024_C0007_L_0247.jpg</t>
  </si>
  <si>
    <t>E:\CAFNEC_GBRF\2022\BarronRiver\Frames_for_Analysis\1025_C0007_L_0250.jpg</t>
  </si>
  <si>
    <t>E:\CAFNEC_GBRF\2022\BarronRiver\Frames_for_Analysis\1026_C0007_L_0254.jpg</t>
  </si>
  <si>
    <t>E:\CAFNEC_GBRF\2022\BarronRiver\Frames_for_Analysis\1027_C0007_L_0257.jpg</t>
  </si>
  <si>
    <t>E:\CAFNEC_GBRF\2022\BarronRiver\Frames_for_Analysis\1028_C0007_L_0259.jpg</t>
  </si>
  <si>
    <t>E:\CAFNEC_GBRF\2022\BarronRiver\Frames_for_Analysis\1029_C0007_L_0262.jpg</t>
  </si>
  <si>
    <t>E:\CAFNEC_GBRF\2022\BarronRiver\Frames_for_Analysis\1030_C0007_L_0266.jpg</t>
  </si>
  <si>
    <t>E:\CAFNEC_GBRF\2022\BarronRiver\Frames_for_Analysis\1031_C0007_L_0269.jpg</t>
  </si>
  <si>
    <t>E:\CAFNEC_GBRF\2022\BarronRiver\Frames_for_Analysis\1032_C0007_L_0271.jpg</t>
  </si>
  <si>
    <t>E:\CAFNEC_GBRF\2022\BarronRiver\Frames_for_Analysis\1033_C0007_L_0275.jpg</t>
  </si>
  <si>
    <t>E:\CAFNEC_GBRF\2022\BarronRiver\Frames_for_Analysis\1034_C0007_L_0278.jpg</t>
  </si>
  <si>
    <t>E:\CAFNEC_GBRF\2022\BarronRiver\Frames_for_Analysis\1035_C0007_L_0282.jpg</t>
  </si>
  <si>
    <t>E:\CAFNEC_GBRF\2022\BarronRiver\Frames_for_Analysis\1036_C0007_L_0284.jpg</t>
  </si>
  <si>
    <t>E:\CAFNEC_GBRF\2022\BarronRiver\Frames_for_Analysis\1037_C0007_L_0287.jpg</t>
  </si>
  <si>
    <t>E:\CAFNEC_GBRF\2022\BarronRiver\Frames_for_Analysis\1038_C0007_L_0290.jpg</t>
  </si>
  <si>
    <t>E:\CAFNEC_GBRF\2022\BarronRiver\Frames_for_Analysis\1039_C0007_L_0293.jpg</t>
  </si>
  <si>
    <t>E:\CAFNEC_GBRF\2022\BarronRiver\Frames_for_Analysis\1040_C0007_L_0297.jpg</t>
  </si>
  <si>
    <t>E:\CAFNEC_GBRF\2022\BarronRiver\Frames_for_Analysis\1041_C0007_L_0299.jpg</t>
  </si>
  <si>
    <t>E:\CAFNEC_GBRF\2022\BarronRiver\Frames_for_Analysis\1042_C0007_L_0304.jpg</t>
  </si>
  <si>
    <t>E:\CAFNEC_GBRF\2022\BarronRiver\Frames_for_Analysis\1043_C0007_L_0308.jpg</t>
  </si>
  <si>
    <t>E:\CAFNEC_GBRF\2022\BarronRiver\Frames_for_Analysis\1044_C0007_L_0312.jpg</t>
  </si>
  <si>
    <t>E:\CAFNEC_GBRF\2022\BarronRiver\Frames_for_Analysis\1045_C0007_L_0316.jpg</t>
  </si>
  <si>
    <t>E:\CAFNEC_GBRF\2022\BarronRiver\Frames_for_Analysis\1046_C0007_L_0321.jpg</t>
  </si>
  <si>
    <t>E:\CAFNEC_GBRF\2022\BarronRiver\Frames_for_Analysis\1047_C0007_L_0323.jpg</t>
  </si>
  <si>
    <t>E:\CAFNEC_GBRF\2022\BarronRiver\Frames_for_Analysis\1048_C0007_L_0329.jpg</t>
  </si>
  <si>
    <t>E:\CAFNEC_GBRF\2022\BarronRiver\Frames_for_Analysis\1049_C0007_L_0333.jpg</t>
  </si>
  <si>
    <t>E:\CAFNEC_GBRF\2022\BarronRiver\Frames_for_Analysis\1050_C0007_L_0337.jpg</t>
  </si>
  <si>
    <t>E:\CAFNEC_GBRF\2022\BarronRiver\Frames_for_Analysis\1051_C0007_L_0340.jpg</t>
  </si>
  <si>
    <t>E:\CAFNEC_GBRF\2022\BarronRiver\Frames_for_Analysis\1052_C0007_L_0343.jpg</t>
  </si>
  <si>
    <t>E:\CAFNEC_GBRF\2022\BarronRiver\Frames_for_Analysis\1053_C0007_L_0348.jpg</t>
  </si>
  <si>
    <t>E:\CAFNEC_GBRF\2022\BarronRiver\Frames_for_Analysis\1054_C0007_L_0352.jpg</t>
  </si>
  <si>
    <t>E:\CAFNEC_GBRF\2022\BarronRiver\Frames_for_Analysis\1055_C0007_L_0356.jpg</t>
  </si>
  <si>
    <t>E:\CAFNEC_GBRF\2022\BarronRiver\Frames_for_Analysis\1056_C0007_L_0361.jpg</t>
  </si>
  <si>
    <t>E:\CAFNEC_GBRF\2022\BarronRiver\Frames_for_Analysis\1057_C0007_L_0365.jpg</t>
  </si>
  <si>
    <t>E:\CAFNEC_GBRF\2022\BarronRiver\Frames_for_Analysis\1058_C0007_L_0368.jpg</t>
  </si>
  <si>
    <t>E:\CAFNEC_GBRF\2022\BarronRiver\Frames_for_Analysis\1059_C0007_L_0373.jpg</t>
  </si>
  <si>
    <t>E:\CAFNEC_GBRF\2022\BarronRiver\Frames_for_Analysis\1060_C0007_L_0376.jpg</t>
  </si>
  <si>
    <t>E:\CAFNEC_GBRF\2022\BarronRiver\Frames_for_Analysis\1061_C0007_L_0379.jpg</t>
  </si>
  <si>
    <t>E:\CAFNEC_GBRF\2022\BarronRiver\Frames_for_Analysis\1062_C0007_L_0383.jpg</t>
  </si>
  <si>
    <t>E:\CAFNEC_GBRF\2022\BarronRiver\Frames_for_Analysis\1063_C0007_L_0387.jpg</t>
  </si>
  <si>
    <t>E:\CAFNEC_GBRF\2022\BarronRiver\Frames_for_Analysis\1064_C0007_L_0389.jpg</t>
  </si>
  <si>
    <t>E:\CAFNEC_GBRF\2022\BarronRiver\Frames_for_Analysis\1065_C0007_L_0393.jpg</t>
  </si>
  <si>
    <t>E:\CAFNEC_GBRF\2022\BarronRiver\Frames_for_Analysis\1066_C0007_L_0397.jpg</t>
  </si>
  <si>
    <t>E:\CAFNEC_GBRF\2022\BarronRiver\Frames_for_Analysis\1067_C0007_L_0401.jpg</t>
  </si>
  <si>
    <t>E:\CAFNEC_GBRF\2022\BarronRiver\Frames_for_Analysis\1068_C0007_L_0404.jpg</t>
  </si>
  <si>
    <t>E:\CAFNEC_GBRF\2022\BarronRiver\Frames_for_Analysis\1069_C0007_L_0408.jpg</t>
  </si>
  <si>
    <t>E:\CAFNEC_GBRF\2022\BarronRiver\Frames_for_Analysis\1070_C0007_L_0411.jpg</t>
  </si>
  <si>
    <t>E:\CAFNEC_GBRF\2022\BarronRiver\Frames_for_Analysis\1071_C0007_L_0415.jpg</t>
  </si>
  <si>
    <t>E:\CAFNEC_GBRF\2022\BarronRiver\Frames_for_Analysis\1072_C0007_L_0418.jpg</t>
  </si>
  <si>
    <t>E:\CAFNEC_GBRF\2022\BarronRiver\Frames_for_Analysis\1073_C0007_L_0422.jpg</t>
  </si>
  <si>
    <t>E:\CAFNEC_GBRF\2022\BarronRiver\Frames_for_Analysis\1074_C0007_L_0426.jpg</t>
  </si>
  <si>
    <t>E:\CAFNEC_GBRF\2022\BarronRiver\Frames_for_Analysis\1075_C0007_L_0429.jpg</t>
  </si>
  <si>
    <t>E:\CAFNEC_GBRF\2022\BarronRiver\Frames_for_Analysis\1076_C0007_L_0432.jpg</t>
  </si>
  <si>
    <t>E:\CAFNEC_GBRF\2022\BarronRiver\Frames_for_Analysis\1077_C0007_L_0435.jpg</t>
  </si>
  <si>
    <t>E:\CAFNEC_GBRF\2022\BarronRiver\Frames_for_Analysis\1078_C0007_L_0438.jpg</t>
  </si>
  <si>
    <t>E:\CAFNEC_GBRF\2022\BarronRiver\Frames_for_Analysis\1079_C0007_L_0443.jpg</t>
  </si>
  <si>
    <t>E:\CAFNEC_GBRF\2022\BarronRiver\Frames_for_Analysis\1080_C0007_L_0447.jpg</t>
  </si>
  <si>
    <t>E:\CAFNEC_GBRF\2022\BarronRiver\Frames_for_Analysis\1081_C0007_L_0453.jpg</t>
  </si>
  <si>
    <t>E:\CAFNEC_GBRF\2022\BarronRiver\Frames_for_Analysis\1082_C0007_L_0455.jpg</t>
  </si>
  <si>
    <t>E:\CAFNEC_GBRF\2022\BarronRiver\Frames_for_Analysis\1083_C0007_L_0458.jpg</t>
  </si>
  <si>
    <t>E:\CAFNEC_GBRF\2022\BarronRiver\Frames_for_Analysis\1084_C0007_L_0462.jpg</t>
  </si>
  <si>
    <t>E:\CAFNEC_GBRF\2022\BarronRiver\Frames_for_Analysis\1085_C0007_L_0465.jpg</t>
  </si>
  <si>
    <t>E:\CAFNEC_GBRF\2022\BarronRiver\Frames_for_Analysis\1086_C0007_L_0470.jpg</t>
  </si>
  <si>
    <t>E:\CAFNEC_GBRF\2022\BarronRiver\Frames_for_Analysis\1087_C0007_L_0474.jpg</t>
  </si>
  <si>
    <t>E:\CAFNEC_GBRF\2022\BarronRiver\Frames_for_Analysis\1088_C0007_L_0477.jpg</t>
  </si>
  <si>
    <t>E:\CAFNEC_GBRF\2022\BarronRiver\Frames_for_Analysis\1089_C0007_L_0478.jpg</t>
  </si>
  <si>
    <t>E:\CAFNEC_GBRF\2022\BarronRiver\Frames_for_Analysis\1090_C0007_L_0482.jpg</t>
  </si>
  <si>
    <t>E:\CAFNEC_GBRF\2022\BarronRiver\Frames_for_Analysis\1091_C0007_L_0489.jpg</t>
  </si>
  <si>
    <t>E:\CAFNEC_GBRF\2022\BarronRiver\Frames_for_Analysis\1092_C0007_L_0493.jpg</t>
  </si>
  <si>
    <t>E:\CAFNEC_GBRF\2022\BarronRiver\Frames_for_Analysis\1093_C0007_L_0499.jpg</t>
  </si>
  <si>
    <t>E:\CAFNEC_GBRF\2022\BarronRiver\Frames_for_Analysis\1094_C0007_L_0501.jpg</t>
  </si>
  <si>
    <t>E:\CAFNEC_GBRF\2022\BarronRiver\Frames_for_Analysis\1095_C0007_L_0503.jpg</t>
  </si>
  <si>
    <t>E:\CAFNEC_GBRF\2022\BarronRiver\Frames_for_Analysis\1096_C0007_L_0506.jpg</t>
  </si>
  <si>
    <t>E:\CAFNEC_GBRF\2022\BarronRiver\Frames_for_Analysis\1097_C0007_L_0508.jpg</t>
  </si>
  <si>
    <t>E:\CAFNEC_GBRF\2022\BarronRiver\Frames_for_Analysis\1098_C0007_L_0511.jpg</t>
  </si>
  <si>
    <t>E:\CAFNEC_GBRF\2022\BarronRiver\Frames_for_Analysis\1099_C0007_L_0513.jpg</t>
  </si>
  <si>
    <t>E:\CAFNEC_GBRF\2022\BarronRiver\Frames_for_Analysis\1100_C0007_L_0517.jpg</t>
  </si>
  <si>
    <t>E:\CAFNEC_GBRF\2022\BarronRiver\Frames_for_Analysis\1101_C0007_L_0520.jpg</t>
  </si>
  <si>
    <t>E:\CAFNEC_GBRF\2022\BarronRiver\Frames_for_Analysis\1102_C0007_L_0522.jpg</t>
  </si>
  <si>
    <t>E:\CAFNEC_GBRF\2022\BarronRiver\Frames_for_Analysis\1103_C0007_L_0524.jpg</t>
  </si>
  <si>
    <t>E:\CAFNEC_GBRF\2022\BarronRiver\Frames_for_Analysis\1104_C0007_L_0530.jpg</t>
  </si>
  <si>
    <t>E:\CAFNEC_GBRF\2022\BarronRiver\Frames_for_Analysis\1105_C0007_L_0534.jpg</t>
  </si>
  <si>
    <t>E:\CAFNEC_GBRF\2022\BarronRiver\Frames_for_Analysis\1106_C0007_L_0537.jpg</t>
  </si>
  <si>
    <t>E:\CAFNEC_GBRF\2022\BarronRiver\Frames_for_Analysis\1107_C0007_L_0543.jpg</t>
  </si>
  <si>
    <t>E:\CAFNEC_GBRF\2022\BarronRiver\Frames_for_Analysis\1108_C0007_L_0544.jpg</t>
  </si>
  <si>
    <t>E:\CAFNEC_GBRF\2022\BarronRiver\Frames_for_Analysis\1109_C0007_L_0547.jpg</t>
  </si>
  <si>
    <t>E:\CAFNEC_GBRF\2022\BarronRiver\Frames_for_Analysis\1110_C0007_L_0551.jpg</t>
  </si>
  <si>
    <t>E:\CAFNEC_GBRF\2022\BarronRiver\Frames_for_Analysis\1111_C0007_L_0555.jpg</t>
  </si>
  <si>
    <t>E:\CAFNEC_GBRF\2022\BarronRiver\Frames_for_Analysis\1112_C0007_L_0556.jpg</t>
  </si>
  <si>
    <t>E:\CAFNEC_GBRF\2022\BarronRiver\Frames_for_Analysis\1113_C0007_L_0560.jpg</t>
  </si>
  <si>
    <t>E:\CAFNEC_GBRF\2022\BarronRiver\Frames_for_Analysis\1114_C0007_L_0567.jpg</t>
  </si>
  <si>
    <t>E:\CAFNEC_GBRF\2022\BarronRiver\Frames_for_Analysis\1115_C0007_L_0570.jpg</t>
  </si>
  <si>
    <t>E:\CAFNEC_GBRF\2022\BarronRiver\Frames_for_Analysis\1116_C0008_L_0005.jpg</t>
  </si>
  <si>
    <t>E:\CAFNEC_GBRF\2022\BarronRiver\Frames_for_Analysis\1117_C0008_L_0007.jpg</t>
  </si>
  <si>
    <t>E:\CAFNEC_GBRF\2022\BarronRiver\Frames_for_Analysis\1118_C0008_L_0010.jpg</t>
  </si>
  <si>
    <t>E:\CAFNEC_GBRF\2022\BarronRiver\Frames_for_Analysis\1119_C0008_L_0012.jpg</t>
  </si>
  <si>
    <t>E:\CAFNEC_GBRF\2022\BarronRiver\Frames_for_Analysis\1120_C0008_L_0014.jpg</t>
  </si>
  <si>
    <t>E:\CAFNEC_GBRF\2022\BarronRiver\Frames_for_Analysis\1121_C0008_L_0016.jpg</t>
  </si>
  <si>
    <t>E:\CAFNEC_GBRF\2022\BarronRiver\Frames_for_Analysis\1122_C0008_L_0021.jpg</t>
  </si>
  <si>
    <t>E:\CAFNEC_GBRF\2022\BarronRiver\Frames_for_Analysis\1123_C0008_L_0022.jpg</t>
  </si>
  <si>
    <t>E:\CAFNEC_GBRF\2022\BarronRiver\Frames_for_Analysis\1124_C0008_L_0027.jpg</t>
  </si>
  <si>
    <t>E:\CAFNEC_GBRF\2022\BarronRiver\Frames_for_Analysis\1125_C0008_L_0031.jpg</t>
  </si>
  <si>
    <t>E:\CAFNEC_GBRF\2022\BarronRiver\Frames_for_Analysis\1126_C0008_L_0033.jpg</t>
  </si>
  <si>
    <t>E:\CAFNEC_GBRF\2022\BarronRiver\Frames_for_Analysis\1127_C0008_L_0037.jpg</t>
  </si>
  <si>
    <t>E:\CAFNEC_GBRF\2022\BarronRiver\Frames_for_Analysis\1128_C0008_L_0039.jpg</t>
  </si>
  <si>
    <t>E:\CAFNEC_GBRF\2022\BarronRiver\Frames_for_Analysis\1129_C0008_L_0042.jpg</t>
  </si>
  <si>
    <t>E:\CAFNEC_GBRF\2022\BarronRiver\Frames_for_Analysis\1130_C0008_L_0044.jpg</t>
  </si>
  <si>
    <t>E:\CAFNEC_GBRF\2022\BarronRiver\Frames_for_Analysis\1131_C0008_L_0049.jpg</t>
  </si>
  <si>
    <t>E:\CAFNEC_GBRF\2022\BarronRiver\Frames_for_Analysis\1132_C0008_L_0052.jpg</t>
  </si>
  <si>
    <t>E:\CAFNEC_GBRF\2022\BarronRiver\Frames_for_Analysis\1133_C0008_L_0054.jpg</t>
  </si>
  <si>
    <t>E:\CAFNEC_GBRF\2022\BarronRiver\Frames_for_Analysis\1134_C0008_L_0058.jpg</t>
  </si>
  <si>
    <t>E:\CAFNEC_GBRF\2022\BarronRiver\Frames_for_Analysis\1135_C0069_L_0003.jpg</t>
  </si>
  <si>
    <t>E:\CAFNEC_GBRF\2022\BarronRiver\Frames_for_Analysis\1136_C0069_L_0012.jpg</t>
  </si>
  <si>
    <t>E:\CAFNEC_GBRF\2022\BarronRiver\Frames_for_Analysis\1137_C0008_L_0069.jpg</t>
  </si>
  <si>
    <t>E:\CAFNEC_GBRF\2022\BarronRiver\Frames_for_Analysis\1138_C0008_L_0071.jpg</t>
  </si>
  <si>
    <t>E:\CAFNEC_GBRF\2022\BarronRiver\Frames_for_Analysis\1139_C0069_L_0023.jpg</t>
  </si>
  <si>
    <t>E:\CAFNEC_GBRF\2022\BarronRiver\Frames_for_Analysis\1140_C0069_L_0028.jpg</t>
  </si>
  <si>
    <t>E:\CAFNEC_GBRF\2022\BarronRiver\Frames_for_Analysis\1141_C0069_L_0032.jpg</t>
  </si>
  <si>
    <t>E:\CAFNEC_GBRF\2022\BarronRiver\Frames_for_Analysis\1142_C0069_L_0036.jpg</t>
  </si>
  <si>
    <t>E:\CAFNEC_GBRF\2022\BarronRiver\Frames_for_Analysis\1143_C0069_L_0040.jpg</t>
  </si>
  <si>
    <t>E:\CAFNEC_GBRF\2022\BarronRiver\Frames_for_Analysis\1144_C0069_L_0044.jpg</t>
  </si>
  <si>
    <t>E:\CAFNEC_GBRF\2022\BarronRiver\Frames_for_Analysis\1145_C0069_L_0048.jpg</t>
  </si>
  <si>
    <t>E:\CAFNEC_GBRF\2022\BarronRiver\Frames_for_Analysis\1146_C0069_L_0052.jpg</t>
  </si>
  <si>
    <t>E:\CAFNEC_GBRF\2022\BarronRiver\Frames_for_Analysis\1147_C0069_L_0056.jpg</t>
  </si>
  <si>
    <t>E:\CAFNEC_GBRF\2022\BarronRiver\Frames_for_Analysis\1148_C0069_L_0060.jpg</t>
  </si>
  <si>
    <t>E:\CAFNEC_GBRF\2022\BarronRiver\Frames_for_Analysis\1149_C0069_L_0063.jpg</t>
  </si>
  <si>
    <t>E:\CAFNEC_GBRF\2022\BarronRiver\Frames_for_Analysis\1150_C0069_L_0067.jpg</t>
  </si>
  <si>
    <t>E:\CAFNEC_GBRF\2022\BarronRiver\Frames_for_Analysis\1151_C0069_L_0070.jpg</t>
  </si>
  <si>
    <t>E:\CAFNEC_GBRF\2022\BarronRiver\Frames_for_Analysis\1152_C0069_L_0074.jpg</t>
  </si>
  <si>
    <t>E:\CAFNEC_GBRF\2022\BarronRiver\Frames_for_Analysis\1153_C0069_L_0077.jpg</t>
  </si>
  <si>
    <t>E:\CAFNEC_GBRF\2022\BarronRiver\Frames_for_Analysis\1154_C0069_L_0081.jpg</t>
  </si>
  <si>
    <t>E:\CAFNEC_GBRF\2022\BarronRiver\Frames_for_Analysis\1155_C0069_L_0084.jpg</t>
  </si>
  <si>
    <t>E:\CAFNEC_GBRF\2022\BarronRiver\Frames_for_Analysis\1156_C0069_L_0086.jpg</t>
  </si>
  <si>
    <t>E:\CAFNEC_GBRF\2022\BarronRiver\Frames_for_Analysis\1157_C0069_L_0089.jpg</t>
  </si>
  <si>
    <t>E:\CAFNEC_GBRF\2022\BarronRiver\Frames_for_Analysis\1158_C0069_L_0093.jpg</t>
  </si>
  <si>
    <t>E:\CAFNEC_GBRF\2022\BarronRiver\Frames_for_Analysis\1159_C0069_L_0097.jpg</t>
  </si>
  <si>
    <t>E:\CAFNEC_GBRF\2022\BarronRiver\Frames_for_Analysis\1160_C0069_L_0101.jpg</t>
  </si>
  <si>
    <t>E:\CAFNEC_GBRF\2022\BarronRiver\Frames_for_Analysis\1161_C0069_L_0104.jpg</t>
  </si>
  <si>
    <t>E:\CAFNEC_GBRF\2022\BarronRiver\Frames_for_Analysis\1162_C0069_L_0107.jpg</t>
  </si>
  <si>
    <t>E:\CAFNEC_GBRF\2022\BarronRiver\Frames_for_Analysis\1163_C0069_L_0110.jpg</t>
  </si>
  <si>
    <t>E:\CAFNEC_GBRF\2022\BarronRiver\Frames_for_Analysis\1164_C0069_L_0114.jpg</t>
  </si>
  <si>
    <t>E:\CAFNEC_GBRF\2022\BarronRiver\Frames_for_Analysis\1165_C0069_L_0117.jpg</t>
  </si>
  <si>
    <t>E:\CAFNEC_GBRF\2022\BarronRiver\Frames_for_Analysis\1166_C0069_L_0121.jpg</t>
  </si>
  <si>
    <t>E:\CAFNEC_GBRF\2022\BarronRiver\Frames_for_Analysis\1167_C0069_L_0124.jpg</t>
  </si>
  <si>
    <t>E:\CAFNEC_GBRF\2022\BarronRiver\Frames_for_Analysis\1168_C0069_L_0126.jpg</t>
  </si>
  <si>
    <t>E:\CAFNEC_GBRF\2022\BarronRiver\Frames_for_Analysis\1169_C0069_L_0129.jpg</t>
  </si>
  <si>
    <t>E:\CAFNEC_GBRF\2022\BarronRiver\Frames_for_Analysis\1170_C0069_L_0132.jpg</t>
  </si>
  <si>
    <t>E:\CAFNEC_GBRF\2022\BarronRiver\Frames_for_Analysis\1171_C0069_L_0135.jpg</t>
  </si>
  <si>
    <t>E:\CAFNEC_GBRF\2022\BarronRiver\Frames_for_Analysis\1172_C0069_L_0138.jpg</t>
  </si>
  <si>
    <t>E:\CAFNEC_GBRF\2022\BarronRiver\Frames_for_Analysis\1173_C0069_L_0141.jpg</t>
  </si>
  <si>
    <t>E:\CAFNEC_GBRF\2022\BarronRiver\Frames_for_Analysis\1174_C0069_L_0144.jpg</t>
  </si>
  <si>
    <t>E:\CAFNEC_GBRF\2022\BarronRiver\Frames_for_Analysis\1175_C0069_L_0147.jpg</t>
  </si>
  <si>
    <t>E:\CAFNEC_GBRF\2022\BarronRiver\Frames_for_Analysis\1176_C0069_L_0151.jpg</t>
  </si>
  <si>
    <t>E:\CAFNEC_GBRF\2022\BarronRiver\Frames_for_Analysis\1177_C0069_L_0153.jpg</t>
  </si>
  <si>
    <t>E:\CAFNEC_GBRF\2022\BarronRiver\Frames_for_Analysis\1178_C0069_L_0157.jpg</t>
  </si>
  <si>
    <t>E:\CAFNEC_GBRF\2022\BarronRiver\Frames_for_Analysis\1179_C0069_L_0160.jpg</t>
  </si>
  <si>
    <t>E:\CAFNEC_GBRF\2022\BarronRiver\Frames_for_Analysis\1180_C0069_L_0163.jpg</t>
  </si>
  <si>
    <t>E:\CAFNEC_GBRF\2022\BarronRiver\Frames_for_Analysis\1181_C0069_L_0166.jpg</t>
  </si>
  <si>
    <t>E:\CAFNEC_GBRF\2022\BarronRiver\Frames_for_Analysis\1182_C0069_L_0169.jpg</t>
  </si>
  <si>
    <t>E:\CAFNEC_GBRF\2022\BarronRiver\Frames_for_Analysis\1183_C0069_L_0172.jpg</t>
  </si>
  <si>
    <t>E:\CAFNEC_GBRF\2022\BarronRiver\Frames_for_Analysis\1184_C0069_L_0175.jpg</t>
  </si>
  <si>
    <t>E:\CAFNEC_GBRF\2022\BarronRiver\Frames_for_Analysis\1185_C0069_L_0178.jpg</t>
  </si>
  <si>
    <t>E:\CAFNEC_GBRF\2022\BarronRiver\Frames_for_Analysis\1186_C0069_L_0184.jpg</t>
  </si>
  <si>
    <t>E:\CAFNEC_GBRF\2022\BarronRiver\Frames_for_Analysis\1187_C0069_L_0188.jpg</t>
  </si>
  <si>
    <t>E:\CAFNEC_GBRF\2022\BarronRiver\Frames_for_Analysis\1188_C0069_L_0192.jpg</t>
  </si>
  <si>
    <t>E:\CAFNEC_GBRF\2022\BarronRiver\Frames_for_Analysis\1189_C0069_L_0194.jpg</t>
  </si>
  <si>
    <t>E:\CAFNEC_GBRF\2022\BarronRiver\Frames_for_Analysis\1190_C0069_L_0198.jpg</t>
  </si>
  <si>
    <t>E:\CAFNEC_GBRF\2022\BarronRiver\Frames_for_Analysis\1191_C0069_L_0201.jpg</t>
  </si>
  <si>
    <t>E:\CAFNEC_GBRF\2022\BarronRiver\Frames_for_Analysis\1192_C0069_L_0205.jpg</t>
  </si>
  <si>
    <t>E:\CAFNEC_GBRF\2022\BarronRiver\Frames_for_Analysis\1193_C0069_L_0207.jpg</t>
  </si>
  <si>
    <t>E:\CAFNEC_GBRF\2022\BarronRiver\Frames_for_Analysis\1194_C0069_L_0213.jpg</t>
  </si>
  <si>
    <t>E:\CAFNEC_GBRF\2022\BarronRiver\Frames_for_Analysis\1195_C0069_L_0217.jpg</t>
  </si>
  <si>
    <t>E:\CAFNEC_GBRF\2022\BarronRiver\Frames_for_Analysis\1196_C0069_L_0224.jpg</t>
  </si>
  <si>
    <t>E:\CAFNEC_GBRF\2022\BarronRiver\Frames_for_Analysis\1197_C0069_L_0228.jpg</t>
  </si>
  <si>
    <t>E:\CAFNEC_GBRF\2022\BarronRiver\Frames_for_Analysis\1198_C0069_L_0238.jpg</t>
  </si>
  <si>
    <t>E:\CAFNEC_GBRF\2022\BarronRiver\Frames_for_Analysis\1199_C0069_L_0243.jpg</t>
  </si>
  <si>
    <t>E:\CAFNEC_GBRF\2022\BarronRiver\Frames_for_Analysis\1200_C0069_L_0247.jpg</t>
  </si>
  <si>
    <t>E:\CAFNEC_GBRF\2022\BarronRiver\Frames_for_Analysis\1201_C0069_L_0250.jpg</t>
  </si>
  <si>
    <t>E:\CAFNEC_GBRF\2022\BarronRiver\Frames_for_Analysis\1202_C0069_L_0253.jpg</t>
  </si>
  <si>
    <t>E:\CAFNEC_GBRF\2022\BarronRiver\Frames_for_Analysis\1203_C0069_L_0257.jpg</t>
  </si>
  <si>
    <t>E:\CAFNEC_GBRF\2022\BarronRiver\Frames_for_Analysis\1204_C0069_L_0260.jpg</t>
  </si>
  <si>
    <t>E:\CAFNEC_GBRF\2022\BarronRiver\Frames_for_Analysis\1205_C0069_L_0264.jpg</t>
  </si>
  <si>
    <t>E:\CAFNEC_GBRF\2022\BarronRiver\Frames_for_Analysis\1206_C0069_L_0268.jpg</t>
  </si>
  <si>
    <t>E:\CAFNEC_GBRF\2022\BarronRiver\Frames_for_Analysis\1207_C0069_L_0272.jpg</t>
  </si>
  <si>
    <t>E:\CAFNEC_GBRF\2022\BarronRiver\Frames_for_Analysis\1208_C0069_L_0276.jpg</t>
  </si>
  <si>
    <t>E:\CAFNEC_GBRF\2022\BarronRiver\Frames_for_Analysis\1209_C0069_L_0279.jpg</t>
  </si>
  <si>
    <t>E:\CAFNEC_GBRF\2022\BarronRiver\Frames_for_Analysis\1210_C0069_L_0284.jpg</t>
  </si>
  <si>
    <t>E:\CAFNEC_GBRF\2022\BarronRiver\Frames_for_Analysis\1211_C0069_L_0287.jpg</t>
  </si>
  <si>
    <t>E:\CAFNEC_GBRF\2022\BarronRiver\Frames_for_Analysis\1212_C0069_L_0292.jpg</t>
  </si>
  <si>
    <t>E:\CAFNEC_GBRF\2022\BarronRiver\Frames_for_Analysis\1213_C0069_L_0298.jpg</t>
  </si>
  <si>
    <t>E:\CAFNEC_GBRF\2022\BarronRiver\Frames_for_Analysis\1214_C0069_L_0305.jpg</t>
  </si>
  <si>
    <t>E:\CAFNEC_GBRF\2022\BarronRiver\Frames_for_Analysis\1215_C0069_L_0309.jpg</t>
  </si>
  <si>
    <t>E:\CAFNEC_GBRF\2022\BarronRiver\Frames_for_Analysis\1216_C0069_L_0313.jpg</t>
  </si>
  <si>
    <t>E:\CAFNEC_GBRF\2022\BarronRiver\Frames_for_Analysis\1217_C0069_L_0318.jpg</t>
  </si>
  <si>
    <t>E:\CAFNEC_GBRF\2022\BarronRiver\Frames_for_Analysis\1218_C0069_L_0321.jpg</t>
  </si>
  <si>
    <t>E:\CAFNEC_GBRF\2022\BarronRiver\Frames_for_Analysis\1219_C0069_L_0325.jpg</t>
  </si>
  <si>
    <t>E:\CAFNEC_GBRF\2022\BarronRiver\Frames_for_Analysis\1220_C0069_L_0329.jpg</t>
  </si>
  <si>
    <t>E:\CAFNEC_GBRF\2022\BarronRiver\Frames_for_Analysis\1221_C0069_L_0334.jpg</t>
  </si>
  <si>
    <t>E:\CAFNEC_GBRF\2022\BarronRiver\Frames_for_Analysis\1222_C0069_L_0338.jpg</t>
  </si>
  <si>
    <t>E:\CAFNEC_GBRF\2022\BarronRiver\Frames_for_Analysis\1223_C0069_L_0342.jpg</t>
  </si>
  <si>
    <t>E:\CAFNEC_GBRF\2022\BarronRiver\Frames_for_Analysis\1224_C0069_L_0345.jpg</t>
  </si>
  <si>
    <t>E:\CAFNEC_GBRF\2022\BarronRiver\Frames_for_Analysis\1225_C0069_L_0350.jpg</t>
  </si>
  <si>
    <t>E:\CAFNEC_GBRF\2022\BarronRiver\Frames_for_Analysis\1226_C0069_L_0354.jpg</t>
  </si>
  <si>
    <t>E:\CAFNEC_GBRF\2022\BarronRiver\Frames_for_Analysis\1227_C0069_L_0358.jpg</t>
  </si>
  <si>
    <t>E:\CAFNEC_GBRF\2022\BarronRiver\Frames_for_Analysis\1228_C0069_L_0363.jpg</t>
  </si>
  <si>
    <t>E:\CAFNEC_GBRF\2022\BarronRiver\Frames_for_Analysis\1229_C0069_L_0366.jpg</t>
  </si>
  <si>
    <t>E:\CAFNEC_GBRF\2022\BarronRiver\Frames_for_Analysis\1230_C0069_L_0370.jpg</t>
  </si>
  <si>
    <t>E:\CAFNEC_GBRF\2022\BarronRiver\Frames_for_Analysis\1231_C0069_L_0374.jpg</t>
  </si>
  <si>
    <t>E:\CAFNEC_GBRF\2022\BarronRiver\Frames_for_Analysis\1232_C0069_L_0378.jpg</t>
  </si>
  <si>
    <t>E:\CAFNEC_GBRF\2022\BarronRiver\Frames_for_Analysis\1233_C0069_L_0382.jpg</t>
  </si>
  <si>
    <t>E:\CAFNEC_GBRF\2022\BarronRiver\Frames_for_Analysis\1234_C0069_L_0386.jpg</t>
  </si>
  <si>
    <t>E:\CAFNEC_GBRF\2022\BarronRiver\Frames_for_Analysis\1235_C0069_L_0391.jpg</t>
  </si>
  <si>
    <t>E:\CAFNEC_GBRF\2022\BarronRiver\Frames_for_Analysis\1236_C0069_L_0394.jpg</t>
  </si>
  <si>
    <t>E:\CAFNEC_GBRF\2022\BarronRiver\Frames_for_Analysis\1237_C0069_L_0398.jpg</t>
  </si>
  <si>
    <t>E:\CAFNEC_GBRF\2022\BarronRiver\Frames_for_Analysis\1238_C0069_L_0401.jpg</t>
  </si>
  <si>
    <t>E:\CAFNEC_GBRF\2022\BarronRiver\Frames_for_Analysis\1239_C0069_L_0404.jpg</t>
  </si>
  <si>
    <t>E:\CAFNEC_GBRF\2022\BarronRiver\Frames_for_Analysis\1240_C0069_L_0407.jpg</t>
  </si>
  <si>
    <t>E:\CAFNEC_GBRF\2022\BarronRiver\Frames_for_Analysis\1241_C0069_L_0410.jpg</t>
  </si>
  <si>
    <t>E:\CAFNEC_GBRF\2022\BarronRiver\Frames_for_Analysis\1242_C0069_L_0414.jpg</t>
  </si>
  <si>
    <t>E:\CAFNEC_GBRF\2022\BarronRiver\Frames_for_Analysis\1243_C0069_L_0418.jpg</t>
  </si>
  <si>
    <t>E:\CAFNEC_GBRF\2022\BarronRiver\Frames_for_Analysis\1244_C0069_L_0422.jpg</t>
  </si>
  <si>
    <t>E:\CAFNEC_GBRF\2022\BarronRiver\Frames_for_Analysis\1245_C0069_L_0426.jpg</t>
  </si>
  <si>
    <t>E:\CAFNEC_GBRF\2022\BarronRiver\Frames_for_Analysis\1246_C0069_L_0431.jpg</t>
  </si>
  <si>
    <t>E:\CAFNEC_GBRF\2022\BarronRiver\Frames_for_Analysis\1247_C0069_L_0434.jpg</t>
  </si>
  <si>
    <t>E:\CAFNEC_GBRF\2022\BarronRiver\Frames_for_Analysis\1248_C0069_L_0438.jpg</t>
  </si>
  <si>
    <t>E:\CAFNEC_GBRF\2022\BarronRiver\Frames_for_Analysis\1249_C0069_L_0441.jpg</t>
  </si>
  <si>
    <t>E:\CAFNEC_GBRF\2022\BarronRiver\Frames_for_Analysis\1250_C0069_L_0444.jpg</t>
  </si>
  <si>
    <t>E:\CAFNEC_GBRF\2022\BarronRiver\Frames_for_Analysis\1251_C0069_L_0447.jpg</t>
  </si>
  <si>
    <t>E:\CAFNEC_GBRF\2022\BarronRiver\Frames_for_Analysis\1252_C0069_L_0450.jpg</t>
  </si>
  <si>
    <t>E:\CAFNEC_GBRF\2022\BarronRiver\Frames_for_Analysis\1253_C0069_L_0453.jpg</t>
  </si>
  <si>
    <t>E:\CAFNEC_GBRF\2022\BarronRiver\Frames_for_Analysis\1254_C0069_L_0456.jpg</t>
  </si>
  <si>
    <t>E:\CAFNEC_GBRF\2022\BarronRiver\Frames_for_Analysis\1255_C0069_L_0461.jpg</t>
  </si>
  <si>
    <t>E:\CAFNEC_GBRF\2022\BarronRiver\Frames_for_Analysis\1256_C0069_L_0463.jpg</t>
  </si>
  <si>
    <t>E:\CAFNEC_GBRF\2022\BarronRiver\Frames_for_Analysis\1257_C0069_L_0469.jpg</t>
  </si>
  <si>
    <t>E:\CAFNEC_GBRF\2022\BarronRiver\Frames_for_Analysis\1258_C0069_L_0474.jpg</t>
  </si>
  <si>
    <t>E:\CAFNEC_GBRF\2022\BarronRiver\Frames_for_Analysis\1259_C0069_L_0477.jpg</t>
  </si>
  <si>
    <t>E:\CAFNEC_GBRF\2022\BarronRiver\Frames_for_Analysis\1260_C0069_L_0481.jpg</t>
  </si>
  <si>
    <t>E:\CAFNEC_GBRF\2022\BarronRiver\Frames_for_Analysis\1261_C0069_L_0484.jpg</t>
  </si>
  <si>
    <t>E:\CAFNEC_GBRF\2022\BarronRiver\Frames_for_Analysis\1262_C0069_L_0486.jpg</t>
  </si>
  <si>
    <t>E:\CAFNEC_GBRF\2022\BarronRiver\Frames_for_Analysis\1263_C0069_L_0491.jpg</t>
  </si>
  <si>
    <t>E:\CAFNEC_GBRF\2022\BarronRiver\Frames_for_Analysis\1264_C0069_L_0494.jpg</t>
  </si>
  <si>
    <t>E:\CAFNEC_GBRF\2022\BarronRiver\Frames_for_Analysis\1265_C0069_L_0496.jpg</t>
  </si>
  <si>
    <t>E:\CAFNEC_GBRF\2022\BarronRiver\Frames_for_Analysis\1266_C0069_L_0499.jpg</t>
  </si>
  <si>
    <t>E:\CAFNEC_GBRF\2022\BarronRiver\Frames_for_Analysis\1267_C0069_L_0501.jpg</t>
  </si>
  <si>
    <t>E:\CAFNEC_GBRF\2022\BarronRiver\Frames_for_Analysis\1268_C0069_L_0504.jpg</t>
  </si>
  <si>
    <t>E:\CAFNEC_GBRF\2022\BarronRiver\Frames_for_Analysis\1269_C0069_L_0508.jpg</t>
  </si>
  <si>
    <t>E:\CAFNEC_GBRF\2022\BarronRiver\Frames_for_Analysis\1270_C0069_L_0512.jpg</t>
  </si>
  <si>
    <t>E:\CAFNEC_GBRF\2022\BarronRiver\Frames_for_Analysis\1271_C0069_L_0514.jpg</t>
  </si>
  <si>
    <t>E:\CAFNEC_GBRF\2022\BarronRiver\Frames_for_Analysis\1272_C0069_L_0518.jpg</t>
  </si>
  <si>
    <t>E:\CAFNEC_GBRF\2022\BarronRiver\Frames_for_Analysis\1273_C0069_L_0520.jpg</t>
  </si>
  <si>
    <t>E:\CAFNEC_GBRF\2022\BarronRiver\Frames_for_Analysis\1274_C0069_L_0524.jpg</t>
  </si>
  <si>
    <t>E:\CAFNEC_GBRF\2022\BarronRiver\Frames_for_Analysis\1275_C0069_L_0528.jpg</t>
  </si>
  <si>
    <t>E:\CAFNEC_GBRF\2022\BarronRiver\Frames_for_Analysis\1276_C0069_L_0531.jpg</t>
  </si>
  <si>
    <t>E:\CAFNEC_GBRF\2022\BarronRiver\Frames_for_Analysis\1277_C0069_L_0535.jpg</t>
  </si>
  <si>
    <t>E:\CAFNEC_GBRF\2022\BarronRiver\Frames_for_Analysis\1278_C0069_L_0537.jpg</t>
  </si>
  <si>
    <t>E:\CAFNEC_GBRF\2022\BarronRiver\Frames_for_Analysis\1279_C0069_L_0541.jpg</t>
  </si>
  <si>
    <t>E:\CAFNEC_GBRF\2022\BarronRiver\Frames_for_Analysis\1280_C0069_L_0543.jpg</t>
  </si>
  <si>
    <t>E:\CAFNEC_GBRF\2022\BarronRiver\Frames_for_Analysis\1282_C0069_L_0544.jpg</t>
  </si>
  <si>
    <t>E:\CAFNEC_GBRF\2022\BarronRiver\Frames_for_Analysis\1283_C0069_L_0547.jpg</t>
  </si>
  <si>
    <t>E:\CAFNEC_GBRF\2022\BarronRiver\Frames_for_Analysis\1284_C0069_L_0550.jpg</t>
  </si>
  <si>
    <t>E:\CAFNEC_GBRF\2022\BarronRiver\Frames_for_Analysis\1285_C0069_L_0552.jpg</t>
  </si>
  <si>
    <t>E:\CAFNEC_GBRF\2022\BarronRiver\Frames_for_Analysis\1286_C0069_L_0555.jpg</t>
  </si>
  <si>
    <t>E:\CAFNEC_GBRF\2022\BarronRiver\Frames_for_Analysis\1287_C0069_L_0558.jpg</t>
  </si>
  <si>
    <t>E:\CAFNEC_GBRF\2022\BarronRiver\Frames_for_Analysis\1288_C0070_L_0002.jpg</t>
  </si>
  <si>
    <t>E:\CAFNEC_GBRF\2022\BarronRiver\Frames_for_Analysis\1289_C0070_L_0006.jpg</t>
  </si>
  <si>
    <t>E:\CAFNEC_GBRF\2022\BarronRiver\Frames_for_Analysis\1290_C0070_L_0009.jpg</t>
  </si>
  <si>
    <t>E:\CAFNEC_GBRF\2022\BarronRiver\Frames_for_Analysis\1291_C0070_L_0012.jpg</t>
  </si>
  <si>
    <t>E:\CAFNEC_GBRF\2022\BarronRiver\Frames_for_Analysis\1292_C0070_L_0016.jpg</t>
  </si>
  <si>
    <t>E:\CAFNEC_GBRF\2022\BarronRiver\Frames_for_Analysis\1293_C0070_L_0019.jpg</t>
  </si>
  <si>
    <t>E:\CAFNEC_GBRF\2022\BarronRiver\Frames_for_Analysis\1294_C0070_L_0023.jpg</t>
  </si>
  <si>
    <t>E:\CAFNEC_GBRF\2022\BarronRiver\Frames_for_Analysis\1295_C0070_L_0025.jpg</t>
  </si>
  <si>
    <t>E:\CAFNEC_GBRF\2022\BarronRiver\Frames_for_Analysis\1296_C0070_L_0028.jpg</t>
  </si>
  <si>
    <t>E:\CAFNEC_GBRF\2022\BarronRiver\Frames_for_Analysis\1297_C0070_L_0031.jpg</t>
  </si>
  <si>
    <t>E:\CAFNEC_GBRF\2022\BarronRiver\Frames_for_Analysis\1298_C0070_L_0034.jpg</t>
  </si>
  <si>
    <t>E:\CAFNEC_GBRF\2022\BarronRiver\Frames_for_Analysis\1299_C0070_L_0036.jpg</t>
  </si>
  <si>
    <t>E:\CAFNEC_GBRF\2022\BarronRiver\Frames_for_Analysis\1300_C0070_L_0040.jpg</t>
  </si>
  <si>
    <t>E:\CAFNEC_GBRF\2022\BarronRiver\Frames_for_Analysis\1301_C0070_L_0043.jpg</t>
  </si>
  <si>
    <t>E:\CAFNEC_GBRF\2022\BarronRiver\Frames_for_Analysis\1302_C0070_L_0046.jpg</t>
  </si>
  <si>
    <t>E:\CAFNEC_GBRF\2022\BarronRiver\Frames_for_Analysis\1303_C0070_L_0049.jpg</t>
  </si>
  <si>
    <t>E:\CAFNEC_GBRF\2022\BarronRiver\Frames_for_Analysis\1304_C0070_L_0052.jpg</t>
  </si>
  <si>
    <t>E:\CAFNEC_GBRF\2022\BarronRiver\Frames_for_Analysis\1305_C0070_L_0056.jpg</t>
  </si>
  <si>
    <t>E:\CAFNEC_GBRF\2022\BarronRiver\Frames_for_Analysis\1306_C0070_L_0058.jpg</t>
  </si>
  <si>
    <t>E:\CAFNEC_GBRF\2022\BarronRiver\Frames_for_Analysis\1307_C0070_L_0061.jpg</t>
  </si>
  <si>
    <t>E:\CAFNEC_GBRF\2022\BarronRiver\Frames_for_Analysis\1308_C0070_L_0064.jpg</t>
  </si>
  <si>
    <t>E:\CAFNEC_GBRF\2022\BarronRiver\Frames_for_Analysis\1309_C0070_L_0067.jpg</t>
  </si>
  <si>
    <t>E:\CAFNEC_GBRF\2022\BarronRiver\Frames_for_Analysis\1310_C0070_L_0071.jpg</t>
  </si>
  <si>
    <t>E:\CAFNEC_GBRF\2022\BarronRiver\Frames_for_Analysis\1311_C0070_L_0074.jpg</t>
  </si>
  <si>
    <t>E:\CAFNEC_GBRF\2022\BarronRiver\Frames_for_Analysis\1312_C0070_L_0076.jpg</t>
  </si>
  <si>
    <t>E:\CAFNEC_GBRF\2022\BarronRiver\Frames_for_Analysis\1313_C0070_L_0079.jpg</t>
  </si>
  <si>
    <t>E:\CAFNEC_GBRF\2022\BarronRiver\Frames_for_Analysis\1314_C0070_L_0083.jpg</t>
  </si>
  <si>
    <t>E:\CAFNEC_GBRF\2022\BarronRiver\Frames_for_Analysis\1315_C0070_L_0086.jpg</t>
  </si>
  <si>
    <t>E:\CAFNEC_GBRF\2022\BarronRiver\Frames_for_Analysis\1316_C0070_L_0090.jpg</t>
  </si>
  <si>
    <t>E:\CAFNEC_GBRF\2022\BarronRiver\Frames_for_Analysis\1317_C0070_L_0093.jpg</t>
  </si>
  <si>
    <t>E:\CAFNEC_GBRF\2022\BarronRiver\Frames_for_Analysis\1318_C0070_L_0097.jpg</t>
  </si>
  <si>
    <t>E:\CAFNEC_GBRF\2022\BarronRiver\Frames_for_Analysis\1319_C0070_L_0100.jpg</t>
  </si>
  <si>
    <t>E:\CAFNEC_GBRF\2022\BarronRiver\Frames_for_Analysis\1320_C0070_L_0103.jpg</t>
  </si>
  <si>
    <t>E:\CAFNEC_GBRF\2022\BarronRiver\Frames_for_Analysis\1321_C0070_L_0107.jpg</t>
  </si>
  <si>
    <t>E:\CAFNEC_GBRF\2022\BarronRiver\Frames_for_Analysis\1322_C0070_L_0109.jpg</t>
  </si>
  <si>
    <t>E:\CAFNEC_GBRF\2022\BarronRiver\Frames_for_Analysis\1323_C0070_L_0113.jpg</t>
  </si>
  <si>
    <t>E:\CAFNEC_GBRF\2022\BarronRiver\Frames_for_Analysis\1324_C0070_L_0115.jpg</t>
  </si>
  <si>
    <t>E:\CAFNEC_GBRF\2022\BarronRiver\Frames_for_Analysis\1325_C0070_L_0118.jpg</t>
  </si>
  <si>
    <t>E:\CAFNEC_GBRF\2022\BarronRiver\Frames_for_Analysis\1326_C0070_L_0121.jpg</t>
  </si>
  <si>
    <t>E:\CAFNEC_GBRF\2022\BarronRiver\Frames_for_Analysis\1327_C0070_L_0123.jpg</t>
  </si>
  <si>
    <t>E:\CAFNEC_GBRF\2022\BarronRiver\Frames_for_Analysis\1328_C0070_L_0125.jpg</t>
  </si>
  <si>
    <t>E:\CAFNEC_GBRF\2022\BarronRiver\Frames_for_Analysis\1329_C0070_L_0129.jpg</t>
  </si>
  <si>
    <t>E:\CAFNEC_GBRF\2022\BarronRiver\Frames_for_Analysis\1330_C0070_L_0133.jpg</t>
  </si>
  <si>
    <t>E:\CAFNEC_GBRF\2022\BarronRiver\Frames_for_Analysis\1331_C0070_L_0136.jpg</t>
  </si>
  <si>
    <t>E:\CAFNEC_GBRF\2022\BarronRiver\Frames_for_Analysis\1332_C0070_L_0139.jpg</t>
  </si>
  <si>
    <t>E:\CAFNEC_GBRF\2022\BarronRiver\Frames_for_Analysis\1333_C0070_L_0142.jpg</t>
  </si>
  <si>
    <t>E:\CAFNEC_GBRF\2022\BarronRiver\Frames_for_Analysis\1334_C0070_L_0146.jpg</t>
  </si>
  <si>
    <t>E:\CAFNEC_GBRF\2022\BarronRiver\Frames_for_Analysis\1335_C0070_L_0148.jpg</t>
  </si>
  <si>
    <t>E:\CAFNEC_GBRF\2022\BarronRiver\Frames_for_Analysis\1336_C0070_L_0150.jpg</t>
  </si>
  <si>
    <t>E:\CAFNEC_GBRF\2022\BarronRiver\Frames_for_Analysis\1337_C0070_L_0153.jpg</t>
  </si>
  <si>
    <t>E:\CAFNEC_GBRF\2022\BarronRiver\Frames_for_Analysis\1338_C0070_L_0154.jpg</t>
  </si>
  <si>
    <t>E:\CAFNEC_GBRF\2022\BarronRiver\Frames_for_Analysis\1339_C0070_L_0158.jpg</t>
  </si>
  <si>
    <t>E:\CAFNEC_GBRF\2022\BarronRiver\Frames_for_Analysis\1340_C0070_L_0160.jpg</t>
  </si>
  <si>
    <t>E:\CAFNEC_GBRF\2022\BarronRiver\Frames_for_Analysis\1341_C0070_L_0164.jpg</t>
  </si>
  <si>
    <t>E:\CAFNEC_GBRF\2022\BarronRiver\Frames_for_Analysis\1342_C0070_L_0167.jpg</t>
  </si>
  <si>
    <t>E:\CAFNEC_GBRF\2022\BarronRiver\Frames_for_Analysis\1343_C0070_L_0170.jpg</t>
  </si>
  <si>
    <t>E:\CAFNEC_GBRF\2022\BarronRiver\Frames_for_Analysis\1344_C0070_L_0172.jpg</t>
  </si>
  <si>
    <t>E:\CAFNEC_GBRF\2022\BarronRiver\Frames_for_Analysis\1345_C0070_L_0175.jpg</t>
  </si>
  <si>
    <t>E:\CAFNEC_GBRF\2022\BarronRiver\Frames_for_Analysis\1346_C0070_L_0179.jpg</t>
  </si>
  <si>
    <t>E:\CAFNEC_GBRF\2022\BarronRiver\Frames_for_Analysis\1347_C0070_L_0181.jpg</t>
  </si>
  <si>
    <t>E:\CAFNEC_GBRF\2022\BarronRiver\Frames_for_Analysis\1348_C0070_L_0184.jpg</t>
  </si>
  <si>
    <t>E:\CAFNEC_GBRF\2022\BarronRiver\Frames_for_Analysis\1349_C0070_L_0186.jpg</t>
  </si>
  <si>
    <t>E:\CAFNEC_GBRF\2022\BarronRiver\Frames_for_Analysis\1350_C0070_L_0189.jpg</t>
  </si>
  <si>
    <t>E:\CAFNEC_GBRF\2022\BarronRiver\Frames_for_Analysis\1351_C0070_L_0192.jpg</t>
  </si>
  <si>
    <t>E:\CAFNEC_GBRF\2022\BarronRiver\Frames_for_Analysis\1352_C0070_L_0197.jpg</t>
  </si>
  <si>
    <t>E:\CAFNEC_GBRF\2022\BarronRiver\Frames_for_Analysis\1353_C0070_L_0221.jpg</t>
  </si>
  <si>
    <t>E:\CAFNEC_GBRF\2022\BarronRiver\Frames_for_Analysis\1354_C0070_L_0228.jpg</t>
  </si>
  <si>
    <t>E:\CAFNEC_GBRF\2022\BarronRiver\Frames_for_Analysis\1358_C0074_L_0002.jpg</t>
  </si>
  <si>
    <t>E:\CAFNEC_GBRF\2022\BarronRiver\Frames_for_Analysis\1365_C0074_L_0007.jpg</t>
  </si>
  <si>
    <t>E:\CAFNEC_GBRF\2022\BarronRiver\Frames_for_Analysis\1664_C0074_L_0004.jpg</t>
  </si>
  <si>
    <t>E:\CAFNEC_GBRF\2022\BarronRiver\Frames_for_Analysis\1667_C0074_L_0003.jpg</t>
  </si>
  <si>
    <t>E:\CAFNEC_GBRF\2022\BarronRiver\Frames_for_Analysis\1671_C0074_L_0010.jpg</t>
  </si>
  <si>
    <t>E:\CAFNEC_GBRF\2022\BarronRiver\Frames_for_Analysis\1673_C0074_L_0008.jpg</t>
  </si>
  <si>
    <t>E:\CAFNEC_GBRF\2022\BarronRiver\Frames_for_Analysis\1677_C0074_L_0009.jpg</t>
  </si>
  <si>
    <t>E:\CAFNEC_GBRF\2022\BarronRiver\Frames_for_Analysis\1678_C0074_L_0011.jpg</t>
  </si>
  <si>
    <t>E:\CAFNEC_GBRF\2022\BarronRiver\Frames_for_Analysis\1680_C0074_L_0013.jpg</t>
  </si>
  <si>
    <t>E:\CAFNEC_GBRF\2022\BarronRiver\Frames_for_Analysis\1681_C0074_L_0023.jpg</t>
  </si>
  <si>
    <t>E:\CAFNEC_GBRF\2022\BarronRiver\Frames_for_Analysis\1682_C0074_L_0029.jpg</t>
  </si>
  <si>
    <t>E:\CAFNEC_GBRF\2022\BarronRiver\Frames_for_Analysis\1683_C0074_L_0035.jpg</t>
  </si>
  <si>
    <t>E:\CAFNEC_GBRF\2022\BarronRiver\Frames_for_Analysis\1684_C0074_L_0039.jpg</t>
  </si>
  <si>
    <t>E:\CAFNEC_GBRF\2022\BarronRiver\Frames_for_Analysis\1685_C0074_L_0042.jpg</t>
  </si>
  <si>
    <t>E:\CAFNEC_GBRF\2022\BarronRiver\Frames_for_Analysis\1686_C0074_L_0045.jpg</t>
  </si>
  <si>
    <t>E:\CAFNEC_GBRF\2022\BarronRiver\Frames_for_Analysis\1687_C0074_L_0051.jpg</t>
  </si>
  <si>
    <t>E:\CAFNEC_GBRF\2022\BarronRiver\Frames_for_Analysis\1688_C0074_L_0055.jpg</t>
  </si>
  <si>
    <t>E:\CAFNEC_GBRF\2022\BarronRiver\Frames_for_Analysis\1689_C0074_L_0058.jpg</t>
  </si>
  <si>
    <t>E:\CAFNEC_GBRF\2022\BarronRiver\Frames_for_Analysis\1690_C0074_L_0062.jpg</t>
  </si>
  <si>
    <t>E:\CAFNEC_GBRF\2022\BarronRiver\Frames_for_Analysis\1691_C0074_L_0065.jpg</t>
  </si>
  <si>
    <t>E:\CAFNEC_GBRF\2022\BarronRiver\Frames_for_Analysis\1692_C0074_L_0069.jpg</t>
  </si>
  <si>
    <t>E:\CAFNEC_GBRF\2022\BarronRiver\Frames_for_Analysis\1693_C0074_L_0074.jpg</t>
  </si>
  <si>
    <t>E:\CAFNEC_GBRF\2022\BarronRiver\Frames_for_Analysis\1694_C0074_L_0078.jpg</t>
  </si>
  <si>
    <t>E:\CAFNEC_GBRF\2022\BarronRiver\Frames_for_Analysis\1695_C0074_L_0087.jpg</t>
  </si>
  <si>
    <t>E:\CAFNEC_GBRF\2022\BarronRiver\Frames_for_Analysis\1696_C0074_L_0092.jpg</t>
  </si>
  <si>
    <t>E:\CAFNEC_GBRF\2022\BarronRiver\Frames_for_Analysis\1697_C0074_L_0098.jpg</t>
  </si>
  <si>
    <t>E:\CAFNEC_GBRF\2022\BarronRiver\Frames_for_Analysis\1698_C0074_L_0105.jpg</t>
  </si>
  <si>
    <t>E:\CAFNEC_GBRF\2022\BarronRiver\Frames_for_Analysis\1699_C0074_L_0107.jpg</t>
  </si>
  <si>
    <t>E:\CAFNEC_GBRF\2022\BarronRiver\Frames_for_Analysis\1700_C0074_L_0110.jpg</t>
  </si>
  <si>
    <t>E:\CAFNEC_GBRF\2022\BarronRiver\Frames_for_Analysis\1701_C0074_L_0113.jpg</t>
  </si>
  <si>
    <t>E:\CAFNEC_GBRF\2022\BarronRiver\Frames_for_Analysis\1702_C0074_L_0117.jpg</t>
  </si>
  <si>
    <t>E:\CAFNEC_GBRF\2022\BarronRiver\Frames_for_Analysis\1703_C0074_L_0119.jpg</t>
  </si>
  <si>
    <t>E:\CAFNEC_GBRF\2022\BarronRiver\Frames_for_Analysis\1704_C0074_L_0127.jpg</t>
  </si>
  <si>
    <t>E:\CAFNEC_GBRF\2022\BarronRiver\Frames_for_Analysis\1705_C0074_L_0132.jpg</t>
  </si>
  <si>
    <t>E:\CAFNEC_GBRF\2022\BarronRiver\Frames_for_Analysis\1706_C0074_L_0135.jpg</t>
  </si>
  <si>
    <t>E:\CAFNEC_GBRF\2022\BarronRiver\Frames_for_Analysis\1707_C0074_L_0138.jpg</t>
  </si>
  <si>
    <t>E:\CAFNEC_GBRF\2022\BarronRiver\Frames_for_Analysis\1708_C0074_L_0141.jpg</t>
  </si>
  <si>
    <t>E:\CAFNEC_GBRF\2022\BarronRiver\Frames_for_Analysis\1709_C0074_L_0144.jpg</t>
  </si>
  <si>
    <t>E:\CAFNEC_GBRF\2022\BarronRiver\Frames_for_Analysis\1710_C0074_L_0149.jpg</t>
  </si>
  <si>
    <t>E:\CAFNEC_GBRF\2022\BarronRiver\Frames_for_Analysis\1711_C0074_L_0153.jpg</t>
  </si>
  <si>
    <t>E:\CAFNEC_GBRF\2022\BarronRiver\Frames_for_Analysis\1712_C0074_L_0158.jpg</t>
  </si>
  <si>
    <t>E:\CAFNEC_GBRF\2022\BarronRiver\Frames_for_Analysis\1713_C0074_L_0162.jpg</t>
  </si>
  <si>
    <t>E:\CAFNEC_GBRF\2022\BarronRiver\Frames_for_Analysis\1714_C0074_L_0165.jpg</t>
  </si>
  <si>
    <t>E:\CAFNEC_GBRF\2022\BarronRiver\Frames_for_Analysis\1715_C0074_L_0169.jpg</t>
  </si>
  <si>
    <t>E:\CAFNEC_GBRF\2022\BarronRiver\Frames_for_Analysis\1716_C0074_L_0173.jpg</t>
  </si>
  <si>
    <t>E:\CAFNEC_GBRF\2022\BarronRiver\Frames_for_Analysis\1717_C0074_L_0176.jpg</t>
  </si>
  <si>
    <t>E:\CAFNEC_GBRF\2022\BarronRiver\Frames_for_Analysis\1718_C0074_L_0181.jpg</t>
  </si>
  <si>
    <t>E:\CAFNEC_GBRF\2022\BarronRiver\Frames_for_Analysis\1719_C0074_L_0184.jpg</t>
  </si>
  <si>
    <t>E:\CAFNEC_GBRF\2022\BarronRiver\Frames_for_Analysis\1720_C0074_L_0187.jpg</t>
  </si>
  <si>
    <t>E:\CAFNEC_GBRF\2022\BarronRiver\Frames_for_Analysis\1721_C0074_L_0190.jpg</t>
  </si>
  <si>
    <t>E:\CAFNEC_GBRF\2022\BarronRiver\Frames_for_Analysis\1722_C0074_L_0194.jpg</t>
  </si>
  <si>
    <t>E:\CAFNEC_GBRF\2022\BarronRiver\Frames_for_Analysis\1723_C0074_L_0198.jpg</t>
  </si>
  <si>
    <t>E:\CAFNEC_GBRF\2022\BarronRiver\Frames_for_Analysis\1724_C0074_L_0201.jpg</t>
  </si>
  <si>
    <t>E:\CAFNEC_GBRF\2022\BarronRiver\Frames_for_Analysis\1725_C0074_L_0205.jpg</t>
  </si>
  <si>
    <t>E:\CAFNEC_GBRF\2022\BarronRiver\Frames_for_Analysis\1726_C0074_L_0209.jpg</t>
  </si>
  <si>
    <t>E:\CAFNEC_GBRF\2022\BarronRiver\Frames_for_Analysis\1727_C0074_L_0213.jpg</t>
  </si>
  <si>
    <t>E:\CAFNEC_GBRF\2022\BarronRiver\Frames_for_Analysis\1728_C0074_L_0217.jpg</t>
  </si>
  <si>
    <t>E:\CAFNEC_GBRF\2022\BarronRiver\Frames_for_Analysis\1729_C0074_L_0220.jpg</t>
  </si>
  <si>
    <t>E:\CAFNEC_GBRF\2022\BarronRiver\Frames_for_Analysis\1730_C0074_L_0224.jpg</t>
  </si>
  <si>
    <t>E:\CAFNEC_GBRF\2022\BarronRiver\Frames_for_Analysis\1731_C0074_L_0227.jpg</t>
  </si>
  <si>
    <t>E:\CAFNEC_GBRF\2022\BarronRiver\Frames_for_Analysis\1732_C0074_L_0231.jpg</t>
  </si>
  <si>
    <t>E:\CAFNEC_GBRF\2022\BarronRiver\Frames_for_Analysis\1733_C0074_L_0234.jpg</t>
  </si>
  <si>
    <t>E:\CAFNEC_GBRF\2022\BarronRiver\Frames_for_Analysis\1734_C0074_L_0238.jpg</t>
  </si>
  <si>
    <t>E:\CAFNEC_GBRF\2022\BarronRiver\Frames_for_Analysis\1735_C0074_L_0241.jpg</t>
  </si>
  <si>
    <t>E:\CAFNEC_GBRF\2022\BarronRiver\Frames_for_Analysis\1736_C0074_L_0244.jpg</t>
  </si>
  <si>
    <t>E:\CAFNEC_GBRF\2022\BarronRiver\Frames_for_Analysis\1737_C0074_L_0249.jpg</t>
  </si>
  <si>
    <t>E:\CAFNEC_GBRF\2022\BarronRiver\Frames_for_Analysis\1738_C0074_L_0252.jpg</t>
  </si>
  <si>
    <t>E:\CAFNEC_GBRF\2022\BarronRiver\Frames_for_Analysis\1739_C0074_L_0256.jpg</t>
  </si>
  <si>
    <t>E:\CAFNEC_GBRF\2022\BarronRiver\Frames_for_Analysis\1740_C0074_L_0260.jpg</t>
  </si>
  <si>
    <t>E:\CAFNEC_GBRF\2022\BarronRiver\Frames_for_Analysis\1741_C0074_L_0264.jpg</t>
  </si>
  <si>
    <t>E:\CAFNEC_GBRF\2022\BarronRiver\Frames_for_Analysis\1742_C0074_L_0268.jpg</t>
  </si>
  <si>
    <t>E:\CAFNEC_GBRF\2022\BarronRiver\Frames_for_Analysis\1743_C0074_L_0271.jpg</t>
  </si>
  <si>
    <t>E:\CAFNEC_GBRF\2022\BarronRiver\Frames_for_Analysis\1744_C0074_L_0274.jpg</t>
  </si>
  <si>
    <t>E:\CAFNEC_GBRF\2022\BarronRiver\Frames_for_Analysis\1745_C0074_L_0277.jpg</t>
  </si>
  <si>
    <t>E:\CAFNEC_GBRF\2022\BarronRiver\Frames_for_Analysis\1746_C0074_L_0281.jpg</t>
  </si>
  <si>
    <t>E:\CAFNEC_GBRF\2022\BarronRiver\Frames_for_Analysis\1747_C0074_L_0285.jpg</t>
  </si>
  <si>
    <t>E:\CAFNEC_GBRF\2022\BarronRiver\Frames_for_Analysis\1748_C0074_L_0289.jpg</t>
  </si>
  <si>
    <t>E:\CAFNEC_GBRF\2022\BarronRiver\Frames_for_Analysis\1749_C0074_L_0293.jpg</t>
  </si>
  <si>
    <t>E:\CAFNEC_GBRF\2022\BarronRiver\Frames_for_Analysis\1750_C0074_L_0296.jpg</t>
  </si>
  <si>
    <t>E:\CAFNEC_GBRF\2022\BarronRiver\Frames_for_Analysis\1751_C0074_L_0300.jpg</t>
  </si>
  <si>
    <t>E:\CAFNEC_GBRF\2022\BarronRiver\Frames_for_Analysis\1752_C0074_L_0303.jpg</t>
  </si>
  <si>
    <t>E:\CAFNEC_GBRF\2022\BarronRiver\Frames_for_Analysis\1753_C0074_L_0307.jpg</t>
  </si>
  <si>
    <t>E:\CAFNEC_GBRF\2022\BarronRiver\Frames_for_Analysis\1754_C0074_L_0310.jpg</t>
  </si>
  <si>
    <t>E:\CAFNEC_GBRF\2022\BarronRiver\Frames_for_Analysis\1755_C0074_L_0313.jpg</t>
  </si>
  <si>
    <t>E:\CAFNEC_GBRF\2022\BarronRiver\Frames_for_Analysis\1756_C0074_L_0316.jpg</t>
  </si>
  <si>
    <t>E:\CAFNEC_GBRF\2022\BarronRiver\Frames_for_Analysis\1757_C0074_L_0320.jpg</t>
  </si>
  <si>
    <t>E:\CAFNEC_GBRF\2022\BarronRiver\Frames_for_Analysis\1758_C0074_L_0324.jpg</t>
  </si>
  <si>
    <t>E:\CAFNEC_GBRF\2022\BarronRiver\Frames_for_Analysis\1759_C0074_L_0327.jpg</t>
  </si>
  <si>
    <t>E:\CAFNEC_GBRF\2022\BarronRiver\Frames_for_Analysis\1760_C0074_L_0330.jpg</t>
  </si>
  <si>
    <t>E:\CAFNEC_GBRF\2022\BarronRiver\Frames_for_Analysis\1761_C0074_L_0333.jpg</t>
  </si>
  <si>
    <t>E:\CAFNEC_GBRF\2022\BarronRiver\Frames_for_Analysis\1762_C0074_L_0335.jpg</t>
  </si>
  <si>
    <t>E:\CAFNEC_GBRF\2022\BarronRiver\Frames_for_Analysis\1763_C0074_L_0339.jpg</t>
  </si>
  <si>
    <t>E:\CAFNEC_GBRF\2022\BarronRiver\Frames_for_Analysis\1764_C0074_L_0343.jpg</t>
  </si>
  <si>
    <t>E:\CAFNEC_GBRF\2022\BarronRiver\Frames_for_Analysis\1765_C0074_L_0346.jpg</t>
  </si>
  <si>
    <t>E:\CAFNEC_GBRF\2022\BarronRiver\Frames_for_Analysis\1766_C0074_L_0350.jpg</t>
  </si>
  <si>
    <t>E:\CAFNEC_GBRF\2022\BarronRiver\Frames_for_Analysis\1767_C0074_L_0355.jpg</t>
  </si>
  <si>
    <t>E:\CAFNEC_GBRF\2022\BarronRiver\Frames_for_Analysis\1768_C0074_L_0356.jpg</t>
  </si>
  <si>
    <t>E:\CAFNEC_GBRF\2022\BarronRiver\Frames_for_Analysis\1769_C0074_L_0361.jpg</t>
  </si>
  <si>
    <t>E:\CAFNEC_GBRF\2022\BarronRiver\Frames_for_Analysis\1770_C0074_L_0364.jpg</t>
  </si>
  <si>
    <t>E:\CAFNEC_GBRF\2022\BarronRiver\Frames_for_Analysis\1771_C0074_L_0367.jpg</t>
  </si>
  <si>
    <t>E:\CAFNEC_GBRF\2022\BarronRiver\Frames_for_Analysis\1772_C0074_L_0370.jpg</t>
  </si>
  <si>
    <t>E:\CAFNEC_GBRF\2022\BarronRiver\Frames_for_Analysis\1773_C0074_L_0374.jpg</t>
  </si>
  <si>
    <t>E:\CAFNEC_GBRF\2022\BarronRiver\Frames_for_Analysis\1774_C0074_L_0378.jpg</t>
  </si>
  <si>
    <t>E:\CAFNEC_GBRF\2022\BarronRiver\Frames_for_Analysis\1775_C0074_L_0382.jpg</t>
  </si>
  <si>
    <t>E:\CAFNEC_GBRF\2022\BarronRiver\Frames_for_Analysis\1776_C0074_L_0386.jpg</t>
  </si>
  <si>
    <t>E:\CAFNEC_GBRF\2022\BarronRiver\Frames_for_Analysis\1777_C0074_L_0389.jpg</t>
  </si>
  <si>
    <t>E:\CAFNEC_GBRF\2022\BarronRiver\Frames_for_Analysis\1778_C0074_L_0392.jpg</t>
  </si>
  <si>
    <t>E:\CAFNEC_GBRF\2022\BarronRiver\Frames_for_Analysis\1779_C0074_L_0395.jpg</t>
  </si>
  <si>
    <t>E:\CAFNEC_GBRF\2022\BarronRiver\Frames_for_Analysis\1780_C0074_L_0398.jpg</t>
  </si>
  <si>
    <t>E:\CAFNEC_GBRF\2022\BarronRiver\Frames_for_Analysis\1781_C0074_L_0401.jpg</t>
  </si>
  <si>
    <t>E:\CAFNEC_GBRF\2022\BarronRiver\Frames_for_Analysis\1782_C0074_L_0404.jpg</t>
  </si>
  <si>
    <t>E:\CAFNEC_GBRF\2022\BarronRiver\Frames_for_Analysis\1783_C0074_L_0407.jpg</t>
  </si>
  <si>
    <t>E:\CAFNEC_GBRF\2022\BarronRiver\Frames_for_Analysis\1784_C0074_L_0409.jpg</t>
  </si>
  <si>
    <t>E:\CAFNEC_GBRF\2022\BarronRiver\Frames_for_Analysis\1785_C0074_L_0413.jpg</t>
  </si>
  <si>
    <t>E:\CAFNEC_GBRF\2022\BarronRiver\Frames_for_Analysis\1786_C0074_L_0416.jpg</t>
  </si>
  <si>
    <t>E:\CAFNEC_GBRF\2022\BarronRiver\Frames_for_Analysis\1787_C0074_L_0419.jpg</t>
  </si>
  <si>
    <t>E:\CAFNEC_GBRF\2022\BarronRiver\Frames_for_Analysis\1788_C0074_L_0422.jpg</t>
  </si>
  <si>
    <t>E:\CAFNEC_GBRF\2022\BarronRiver\Frames_for_Analysis\1789_C0074_L_0426.jpg</t>
  </si>
  <si>
    <t>E:\CAFNEC_GBRF\2022\BarronRiver\Frames_for_Analysis\1790_C0074_L_0429.jpg</t>
  </si>
  <si>
    <t>E:\CAFNEC_GBRF\2022\BarronRiver\Frames_for_Analysis\1791_C0074_L_0432.jpg</t>
  </si>
  <si>
    <t>E:\CAFNEC_GBRF\2022\BarronRiver\Frames_for_Analysis\1792_C0074_L_0435.jpg</t>
  </si>
  <si>
    <t>E:\CAFNEC_GBRF\2022\BarronRiver\Frames_for_Analysis\1793_C0074_L_0438.jpg</t>
  </si>
  <si>
    <t>E:\CAFNEC_GBRF\2022\BarronRiver\Frames_for_Analysis\1794_C0074_L_0442.jpg</t>
  </si>
  <si>
    <t>E:\CAFNEC_GBRF\2022\BarronRiver\Frames_for_Analysis\1795_C0074_L_0446.jpg</t>
  </si>
  <si>
    <t>E:\CAFNEC_GBRF\2022\BarronRiver\Frames_for_Analysis\1796_C0074_L_0449.jpg</t>
  </si>
  <si>
    <t>E:\CAFNEC_GBRF\2022\BarronRiver\Frames_for_Analysis\1797_C0074_L_0452.jpg</t>
  </si>
  <si>
    <t>E:\CAFNEC_GBRF\2022\BarronRiver\Frames_for_Analysis\1798_C0074_L_0454.jpg</t>
  </si>
  <si>
    <t>E:\CAFNEC_GBRF\2022\BarronRiver\Frames_for_Analysis\1799_C0074_L_0457.jpg</t>
  </si>
  <si>
    <t>E:\CAFNEC_GBRF\2022\BarronRiver\Frames_for_Analysis\1800_C0074_L_0460.jpg</t>
  </si>
  <si>
    <t>E:\CAFNEC_GBRF\2022\BarronRiver\Frames_for_Analysis\1801_C0074_L_0463.jpg</t>
  </si>
  <si>
    <t>E:\CAFNEC_GBRF\2022\BarronRiver\Frames_for_Analysis\1802_C0074_L_0465.jpg</t>
  </si>
  <si>
    <t>E:\CAFNEC_GBRF\2022\BarronRiver\Frames_for_Analysis\1803_C0074_L_0468.jpg</t>
  </si>
  <si>
    <t>E:\CAFNEC_GBRF\2022\BarronRiver\Frames_for_Analysis\1804_C0074_L_0474.jpg</t>
  </si>
  <si>
    <t>E:\CAFNEC_GBRF\2022\BarronRiver\Frames_for_Analysis\1805_C0074_L_0478.jpg</t>
  </si>
  <si>
    <t>E:\CAFNEC_GBRF\2022\BarronRiver\Frames_for_Analysis\1806_C0074_L_0480.jpg</t>
  </si>
  <si>
    <t>E:\CAFNEC_GBRF\2022\BarronRiver\Frames_for_Analysis\1807_C0074_L_0484.jpg</t>
  </si>
  <si>
    <t>E:\CAFNEC_GBRF\2022\BarronRiver\Frames_for_Analysis\1808_C0074_L_0487.jpg</t>
  </si>
  <si>
    <t>E:\CAFNEC_GBRF\2022\BarronRiver\Frames_for_Analysis\1809_C0074_L_0490.jpg</t>
  </si>
  <si>
    <t>E:\CAFNEC_GBRF\2022\BarronRiver\Frames_for_Analysis\1810_C0074_L_0493.jpg</t>
  </si>
  <si>
    <t>E:\CAFNEC_GBRF\2022\BarronRiver\Frames_for_Analysis\1811_C0074_L_0496.jpg</t>
  </si>
  <si>
    <t>E:\CAFNEC_GBRF\2022\BarronRiver\Frames_for_Analysis\1812_C0074_L_0499.jpg</t>
  </si>
  <si>
    <t>E:\CAFNEC_GBRF\2022\BarronRiver\Frames_for_Analysis\1813_C0074_L_0505.jpg</t>
  </si>
  <si>
    <t>E:\CAFNEC_GBRF\2022\BarronRiver\Frames_for_Analysis\1814_C0074_L_0509.jpg</t>
  </si>
  <si>
    <t>E:\CAFNEC_GBRF\2022\BarronRiver\Frames_for_Analysis\1815_C0074_L_0512.jpg</t>
  </si>
  <si>
    <t>E:\CAFNEC_GBRF\2022\BarronRiver\Frames_for_Analysis\1816_C0074_L_0515.jpg</t>
  </si>
  <si>
    <t>E:\CAFNEC_GBRF\2022\BarronRiver\Frames_for_Analysis\1817_C0074_L_0518.jpg</t>
  </si>
  <si>
    <t>E:\CAFNEC_GBRF\2022\BarronRiver\Frames_for_Analysis\1818_C0074_L_0521.jpg</t>
  </si>
  <si>
    <t>E:\CAFNEC_GBRF\2022\BarronRiver\Frames_for_Analysis\1819_C0074_L_0523.jpg</t>
  </si>
  <si>
    <t>E:\CAFNEC_GBRF\2022\BarronRiver\Frames_for_Analysis\1820_C0074_L_0526.jpg</t>
  </si>
  <si>
    <t>E:\CAFNEC_GBRF\2022\BarronRiver\Frames_for_Analysis\1821_C0074_L_0531.jpg</t>
  </si>
  <si>
    <t>E:\CAFNEC_GBRF\2022\BarronRiver\Frames_for_Analysis\1822_C0074_L_0535.jpg</t>
  </si>
  <si>
    <t>E:\CAFNEC_GBRF\2022\BarronRiver\Frames_for_Analysis\1823_C0074_L_0539.jpg</t>
  </si>
  <si>
    <t>E:\CAFNEC_GBRF\2022\BarronRiver\Frames_for_Analysis\1824_C0074_L_0542.jpg</t>
  </si>
  <si>
    <t>E:\CAFNEC_GBRF\2022\BarronRiver\Frames_for_Analysis\1825_C0074_L_0545.jpg</t>
  </si>
  <si>
    <t>E:\CAFNEC_GBRF\2022\BarronRiver\Frames_for_Analysis\1826_C0074_L_0548.jpg</t>
  </si>
  <si>
    <t>E:\CAFNEC_GBRF\2022\BarronRiver\Frames_for_Analysis\1827_C0074_L_0550.jpg</t>
  </si>
  <si>
    <t>E:\CAFNEC_GBRF\2022\BarronRiver\Frames_for_Analysis\1828_C0074_L_0553.jpg</t>
  </si>
  <si>
    <t>E:\CAFNEC_GBRF\2022\BarronRiver\Frames_for_Analysis\1829_C0074_L_0556.jpg</t>
  </si>
  <si>
    <t>E:\CAFNEC_GBRF\2022\BarronRiver\Frames_for_Analysis\1830_C0074_L_0559.jpg</t>
  </si>
  <si>
    <t>E:\CAFNEC_GBRF\2022\BarronRiver\Frames_for_Analysis\1831_C0074_L_0562.jpg</t>
  </si>
  <si>
    <t>E:\CAFNEC_GBRF\2022\BarronRiver\Frames_for_Analysis\1832_C0075_L_0002.jpg</t>
  </si>
  <si>
    <t>E:\CAFNEC_GBRF\2022\BarronRiver\Frames_for_Analysis\1833_C0075_L_0006.jpg</t>
  </si>
  <si>
    <t>E:\CAFNEC_GBRF\2022\BarronRiver\Frames_for_Analysis\1834_C0075_L_0010.jpg</t>
  </si>
  <si>
    <t>E:\CAFNEC_GBRF\2022\BarronRiver\Frames_for_Analysis\1835_C0075_L_0013.jpg</t>
  </si>
  <si>
    <t>E:\CAFNEC_GBRF\2022\BarronRiver\Frames_for_Analysis\1836_C0075_L_0017.jpg</t>
  </si>
  <si>
    <t>E:\CAFNEC_GBRF\2022\BarronRiver\Frames_for_Analysis\1837_C0075_L_0022.jpg</t>
  </si>
  <si>
    <t>E:\CAFNEC_GBRF\2022\BarronRiver\Frames_for_Analysis\1838_C0075_L_0024.jpg</t>
  </si>
  <si>
    <t>E:\CAFNEC_GBRF\2022\BarronRiver\Frames_for_Analysis\1839_C0075_L_0027.jpg</t>
  </si>
  <si>
    <t>E:\CAFNEC_GBRF\2022\BarronRiver\Frames_for_Analysis\1840_C0075_L_0030.jpg</t>
  </si>
  <si>
    <t>E:\CAFNEC_GBRF\2022\BarronRiver\Frames_for_Analysis\1841_C0075_L_0032.jpg</t>
  </si>
  <si>
    <t>E:\CAFNEC_GBRF\2022\BarronRiver\Frames_for_Analysis\1842_C0075_L_0035.jpg</t>
  </si>
  <si>
    <t>E:\CAFNEC_GBRF\2022\BarronRiver\Frames_for_Analysis\1843_C0075_L_0040.jpg</t>
  </si>
  <si>
    <t>E:\CAFNEC_GBRF\2022\BarronRiver\Frames_for_Analysis\1844_C0075_L_0044.jpg</t>
  </si>
  <si>
    <t>E:\CAFNEC_GBRF\2022\BarronRiver\Frames_for_Analysis\1845_C0075_L_0048.jpg</t>
  </si>
  <si>
    <t>E:\CAFNEC_GBRF\2022\BarronRiver\Frames_for_Analysis\1846_C0075_L_0052.jpg</t>
  </si>
  <si>
    <t>E:\CAFNEC_GBRF\2022\BarronRiver\Frames_for_Analysis\1847_C0075_L_0059.jpg</t>
  </si>
  <si>
    <t>E:\CAFNEC_GBRF\2022\BarronRiver\Frames_for_Analysis\1848_C0075_L_0063.jpg</t>
  </si>
  <si>
    <t>E:\CAFNEC_GBRF\2022\BarronRiver\Frames_for_Analysis\1849_C0075_L_0066.jpg</t>
  </si>
  <si>
    <t>E:\CAFNEC_GBRF\2022\BarronRiver\Frames_for_Analysis\1850_C0075_L_0070.jpg</t>
  </si>
  <si>
    <t>E:\CAFNEC_GBRF\2022\BarronRiver\Frames_for_Analysis\1851_C0075_L_0073.jpg</t>
  </si>
  <si>
    <t>E:\CAFNEC_GBRF\2022\BarronRiver\Frames_for_Analysis\1852_C0075_L_0076.jpg</t>
  </si>
  <si>
    <t>E:\CAFNEC_GBRF\2022\BarronRiver\Frames_for_Analysis\1853_C0075_L_0080.jpg</t>
  </si>
  <si>
    <t>E:\CAFNEC_GBRF\2022\BarronRiver\Frames_for_Analysis\1854_C0075_L_0083.jpg</t>
  </si>
  <si>
    <t>E:\CAFNEC_GBRF\2022\BarronRiver\Frames_for_Analysis\1855_C0075_L_0086.jpg</t>
  </si>
  <si>
    <t>E:\CAFNEC_GBRF\2022\BarronRiver\Frames_for_Analysis\1856_C0075_L_0090.jpg</t>
  </si>
  <si>
    <t>E:\CAFNEC_GBRF\2022\BarronRiver\Frames_for_Analysis\1857_C0075_L_0094.jpg</t>
  </si>
  <si>
    <t>E:\CAFNEC_GBRF\2022\BarronRiver\Frames_for_Analysis\1858_C0075_L_0098.jpg</t>
  </si>
  <si>
    <t>E:\CAFNEC_GBRF\2022\BarronRiver\Frames_for_Analysis\1859_C0075_L_0101.jpg</t>
  </si>
  <si>
    <t>E:\CAFNEC_GBRF\2022\BarronRiver\Frames_for_Analysis\1860_C0075_L_0105.jpg</t>
  </si>
  <si>
    <t>E:\CAFNEC_GBRF\2022\BarronRiver\Frames_for_Analysis\1861_C0075_L_0110.jpg</t>
  </si>
  <si>
    <t>E:\CAFNEC_GBRF\2022\BarronRiver\Frames_for_Analysis\1862_C0075_L_0113.jpg</t>
  </si>
  <si>
    <t>E:\CAFNEC_GBRF\2022\BarronRiver\Frames_for_Analysis\1863_C0075_L_0115.jpg</t>
  </si>
  <si>
    <t>E:\CAFNEC_GBRF\2022\BarronRiver\Frames_for_Analysis\1864_C0075_L_0118.jpg</t>
  </si>
  <si>
    <t>E:\CAFNEC_GBRF\2022\BarronRiver\Frames_for_Analysis\1865_C0075_L_0122.jpg</t>
  </si>
  <si>
    <t>E:\CAFNEC_GBRF\2022\BarronRiver\Frames_for_Analysis\1866_C0075_L_0126.jpg</t>
  </si>
  <si>
    <t>E:\CAFNEC_GBRF\2022\BarronRiver\Frames_for_Analysis\1867_C0075_L_0129.jpg</t>
  </si>
  <si>
    <t>E:\CAFNEC_GBRF\2022\BarronRiver\Frames_for_Analysis\1868_C0075_L_0133.jpg</t>
  </si>
  <si>
    <t>E:\CAFNEC_GBRF\2022\BarronRiver\Frames_for_Analysis\1869_C0075_L_0137.jpg</t>
  </si>
  <si>
    <t>E:\CAFNEC_GBRF\2022\BarronRiver\Frames_for_Analysis\1870_C0075_L_0140.jpg</t>
  </si>
  <si>
    <t>E:\CAFNEC_GBRF\2022\BarronRiver\Frames_for_Analysis\1871_C0075_L_0143.jpg</t>
  </si>
  <si>
    <t>E:\CAFNEC_GBRF\2022\BarronRiver\Frames_for_Analysis\1872_C0075_L_0150.jpg</t>
  </si>
  <si>
    <t>E:\CAFNEC_GBRF\2022\BarronRiver\Frames_for_Analysis\1873_C0075_L_0154.jpg</t>
  </si>
  <si>
    <t>E:\CAFNEC_GBRF\2022\BarronRiver\Frames_for_Analysis\1874_C0075_L_0160.jpg</t>
  </si>
  <si>
    <t>E:\CAFNEC_GBRF\2022\BarronRiver\Frames_for_Analysis\1875_C0075_L_0161.jpg</t>
  </si>
  <si>
    <t>E:\CAFNEC_GBRF\2022\BarronRiver\Frames_for_Analysis\1876_C0075_L_0162.jpg</t>
  </si>
  <si>
    <t>E:\CAFNEC_GBRF\2022\BarronRiver\Frames_for_Analysis\1877_C0075_L_0164.jpg</t>
  </si>
  <si>
    <t>E:\CAFNEC_GBRF\2022\BarronRiver\Frames_for_Analysis\1878_C0075_L_0165.jpg</t>
  </si>
  <si>
    <t>E:\CAFNEC_GBRF\2022\BarronRiver\Frames_for_Analysis\1880_C0075_L_0168.jpg</t>
  </si>
  <si>
    <t>E:\CAFNEC_GBRF\2022\BarronRiver\Frames_for_Analysis\1881_C0075_L_0205.jpg</t>
  </si>
  <si>
    <t>E:\CAFNEC_GBRF\2022\BarronRiver\Frames_for_Analysis\1882_C0075_L_0196.jpg</t>
  </si>
  <si>
    <t>E:\CAFNEC_GBRF\2022\BarronRiver\Frames_for_Analysis\1883_C0075_L_0212.jpg</t>
  </si>
  <si>
    <t>E:\CAFNEC_GBRF\2022\BarronRiver\Frames_for_Analysis\1884_C0075_L_0216.jpg</t>
  </si>
  <si>
    <t>E:\CAFNEC_GBRF\2022\BarronRiver\Frames_for_Analysis\1885_C0075_L_0219.jpg</t>
  </si>
  <si>
    <t>E:\CAFNEC_GBRF\2022\BarronRiver\Frames_for_Analysis\1886_C0075_L_0225.jpg</t>
  </si>
  <si>
    <t>E:\CAFNEC_GBRF\2022\BarronRiver\Frames_for_Analysis\1887_C0075_L_0233.jpg</t>
  </si>
  <si>
    <t>E:\CAFNEC_GBRF\2022\BarronRiver\Frames_for_Analysis\1888_C0075_L_0236.jpg</t>
  </si>
  <si>
    <t>E:\CAFNEC_GBRF\2022\BarronRiver\Frames_for_Analysis\1889_C0075_L_0242.jpg</t>
  </si>
  <si>
    <t>E:\CAFNEC_GBRF\2022\BarronRiver\Frames_for_Analysis\1890_C0075_L_0249.jpg</t>
  </si>
  <si>
    <t>E:\CAFNEC_GBRF\2022\BarronRiver\Frames_for_Analysis\1891_C0075_L_0251.jpg</t>
  </si>
  <si>
    <t>E:\CAFNEC_GBRF\2022\BarronRiver\Frames_for_Analysis\1892_C0075_L_0260.jpg</t>
  </si>
  <si>
    <t>E:\CAFNEC_GBRF\2022\BarronRiver\Frames_for_Analysis\1893_C0075_L_0256.jpg</t>
  </si>
  <si>
    <t>E:\CAFNEC_GBRF\2022\BarronRiver\Frames_for_Analysis\1894_C0075_L_0263.jpg</t>
  </si>
  <si>
    <t>E:\CAFNEC_GBRF\2022\BarronRiver\Frames_for_Analysis\1895_C0075_L_0185.jpg</t>
  </si>
  <si>
    <t>E:\CAFNEC_GBRF\2022\BarronRiver\Frames_for_Analysis\1896_C0075_L_0266.jpg</t>
  </si>
  <si>
    <t>E:\CAFNEC_GBRF\2022\BarronRiver\Frames_for_Analysis\1897_C0075_L_0267.jpg</t>
  </si>
  <si>
    <t>E:\CAFNEC_GBRF\2022\BarronRiver\Frames_for_Analysis\1898_C0075_L_0268.jpg</t>
  </si>
  <si>
    <t>E:\CAFNEC_GBRF\2022\BarronRiver\Frames_for_Analysis\1899_C0075_L_0269.jpg</t>
  </si>
  <si>
    <t>E:\CAFNEC_GBRF\2022\BarronRiver\Frames_for_Analysis\1900_C0075_L_0270.jpg</t>
  </si>
  <si>
    <t>E:\CAFNEC_GBRF\2022\BarronRiver\Frames_for_Analysis\1902_C0075_L_0271.jpg</t>
  </si>
  <si>
    <t>E:\CAFNEC_GBRF\2022\BarronRiver\Frames_for_Analysis\1903_C0075_L_0272.jpg</t>
  </si>
  <si>
    <t>E:\CAFNEC_GBRF\2022\BarronRiver\Frames_for_Analysis\1905_C0075_L_0273.jpg</t>
  </si>
  <si>
    <t>E:\CAFNEC_GBRF\2022\BarronRiver\Frames_for_Analysis\1906_C0075_L_0294.jpg</t>
  </si>
  <si>
    <t>E:\CAFNEC_GBRF\2022\BarronRiver\Frames_for_Analysis\1907_C0075_L_0292.jpg</t>
  </si>
  <si>
    <t>E:\CAFNEC_GBRF\2022\BarronRiver\Frames_for_Analysis\1908_C0075_L_0291.jpg</t>
  </si>
  <si>
    <t>E:\CAFNEC_GBRF\2022\BarronRiver\Frames_for_Analysis\1909_C0075_L_0327.jpg</t>
  </si>
  <si>
    <t>E:\CAFNEC_GBRF\2022\BarronRiver\Frames_for_Analysis\1910_C0027_R_1_0281.jpg</t>
  </si>
  <si>
    <t>E:\CAFNEC_GBRF\2022\BarronRiver\Frames_for_Analysis\1911_C0075_L_0275.jpg</t>
  </si>
  <si>
    <t>E:\CAFNEC_GBRF\2022\BarronRiver\Frames_for_Analysis\1912_C0027_R_1_0269.jpg</t>
  </si>
  <si>
    <t>E:\CAFNEC_GBRF\2022\BarronRiver\Frames_for_Analysis\1913_C0075_L_0341.jpg</t>
  </si>
  <si>
    <t>E:\CAFNEC_GBRF\2022\BarronRiver\Frames_for_Analysis\1914_C0027_R_1_0259.jpg</t>
  </si>
  <si>
    <t>E:\CAFNEC_GBRF\2022\BarronRiver\Frames_for_Analysis\1915_C0075_L_0352.jpg</t>
  </si>
  <si>
    <t>E:\CAFNEC_GBRF\2022\BarronRiver\Frames_for_Analysis\1916_C0027_R_1_0250.jpg</t>
  </si>
  <si>
    <t>E:\CAFNEC_GBRF\2022\BarronRiver\Frames_for_Analysis\1917_C0027_R_1_0245.jpg</t>
  </si>
  <si>
    <t>E:\CAFNEC_GBRF\2022\BarronRiver\Frames_for_Analysis\1918_C0027_R_1_0240.jpg</t>
  </si>
  <si>
    <t>E:\CAFNEC_GBRF\2022\BarronRiver\Frames_for_Analysis\1919_C0027_R_1_0236.jpg</t>
  </si>
  <si>
    <t>E:\CAFNEC_GBRF\2022\BarronRiver\Frames_for_Analysis\1920_C0027_R_1_0231.jpg</t>
  </si>
  <si>
    <t>E:\CAFNEC_GBRF\2022\BarronRiver\Frames_for_Analysis\1921_C0027_R_1_0227.jpg</t>
  </si>
  <si>
    <t>E:\CAFNEC_GBRF\2022\BarronRiver\Frames_for_Analysis\1922_C0075_L_0379.jpg</t>
  </si>
  <si>
    <t>E:\CAFNEC_GBRF\2022\BarronRiver\Frames_for_Analysis\1923_C0075_L_0384.jpg</t>
  </si>
  <si>
    <t>E:\CAFNEC_GBRF\2022\BarronRiver\Frames_for_Analysis\1924_C0075_L_0387.jpg</t>
  </si>
  <si>
    <t>E:\CAFNEC_GBRF\2022\BarronRiver\Frames_for_Analysis\1925_C0027_R_1_0207.jpg</t>
  </si>
  <si>
    <t>E:\CAFNEC_GBRF\2022\BarronRiver\Frames_for_Analysis\1926_C0027_R_1_0202.jpg</t>
  </si>
  <si>
    <t>E:\CAFNEC_GBRF\2022\BarronRiver\Frames_for_Analysis\1927_C0075_L_0412.jpg</t>
  </si>
  <si>
    <t>E:\CAFNEC_GBRF\2022\BarronRiver\Frames_for_Analysis\1928_C0027_R_1_0193.jpg</t>
  </si>
  <si>
    <t>E:\CAFNEC_GBRF\2022\BarronRiver\Frames_for_Analysis\1929_C0027_R_1_0190.jpg</t>
  </si>
  <si>
    <t>E:\CAFNEC_GBRF\2022\BarronRiver\Frames_for_Analysis\1930_C0027_R_1_0185.jpg</t>
  </si>
  <si>
    <t>E:\CAFNEC_GBRF\2022\BarronRiver\Frames_for_Analysis\1931_C0075_L_0423.jpg</t>
  </si>
  <si>
    <t>E:\CAFNEC_GBRF\2022\BarronRiver\Frames_for_Analysis\1932_C0027_R_1_0179.jpg</t>
  </si>
  <si>
    <t>E:\CAFNEC_GBRF\2022\BarronRiver\Frames_for_Analysis\1933_C0027_R_1_0174.jpg</t>
  </si>
  <si>
    <t>E:\CAFNEC_GBRF\2022\BarronRiver\Frames_for_Analysis\1934_C0027_R_1_0167.jpg</t>
  </si>
  <si>
    <t>E:\CAFNEC_GBRF\2022\BarronRiver\Frames_for_Analysis\1935_C0027_R_1_0164.jpg</t>
  </si>
  <si>
    <t>E:\CAFNEC_GBRF\2022\BarronRiver\Frames_for_Analysis\1936_C0027_R_1_0159.jpg</t>
  </si>
  <si>
    <t>E:\CAFNEC_GBRF\2022\BarronRiver\Frames_for_Analysis\1937_C0027_R_1_0155.jpg</t>
  </si>
  <si>
    <t>E:\CAFNEC_GBRF\2022\BarronRiver\Frames_for_Analysis\1938_C0075_L_0450.jpg</t>
  </si>
  <si>
    <t>E:\CAFNEC_GBRF\2022\BarronRiver\Frames_for_Analysis\1939_C0075_L_0452.jpg</t>
  </si>
  <si>
    <t>E:\CAFNEC_GBRF\2022\BarronRiver\Frames_for_Analysis\1940_C0075_L_0455.jpg</t>
  </si>
  <si>
    <t>E:\CAFNEC_GBRF\2022\BarronRiver\Frames_for_Analysis\1941_C0027_R_1_0136.jpg</t>
  </si>
  <si>
    <t>E:\CAFNEC_GBRF\2022\BarronRiver\Frames_for_Analysis\1942_C0075_L_0461.jpg</t>
  </si>
  <si>
    <t>E:\CAFNEC_GBRF\2022\BarronRiver\Frames_for_Analysis\1943_C0027_R_1_0127.jpg</t>
  </si>
  <si>
    <t>E:\CAFNEC_GBRF\2022\BarronRiver\Frames_for_Analysis\1944_C0027_R_1_0123.jpg</t>
  </si>
  <si>
    <t>E:\CAFNEC_GBRF\2022\BarronRiver\Frames_for_Analysis\1945_C0075_L_0468.jpg</t>
  </si>
  <si>
    <t>E:\CAFNEC_GBRF\2022\BarronRiver\Frames_for_Analysis\1946_C0027_R_1_0113.jpg</t>
  </si>
  <si>
    <t>E:\CAFNEC_GBRF\2022\BarronRiver\Frames_for_Analysis\1947_C0075_L_0474.jpg</t>
  </si>
  <si>
    <t>E:\CAFNEC_GBRF\2022\BarronRiver\Frames_for_Analysis\1948_C0027_R_1_0105.jpg</t>
  </si>
  <si>
    <t>E:\CAFNEC_GBRF\2022\BarronRiver\Frames_for_Analysis\1949_C0075_L_0479.jpg</t>
  </si>
  <si>
    <t>E:\CAFNEC_GBRF\2022\BarronRiver\Frames_for_Analysis\1950_C0075_L_0481.jpg</t>
  </si>
  <si>
    <t>E:\CAFNEC_GBRF\2022\BarronRiver\Frames_for_Analysis\1951_C0075_L_0483.jpg</t>
  </si>
  <si>
    <t>E:\CAFNEC_GBRF\2022\BarronRiver\Frames_for_Analysis\1952_C0027_R_1_0094.jpg</t>
  </si>
  <si>
    <t>E:\CAFNEC_GBRF\2022\BarronRiver\Frames_for_Analysis\1953_C0075_L_0490.jpg</t>
  </si>
  <si>
    <t>E:\CAFNEC_GBRF\2022\BarronRiver\Frames_for_Analysis\1954_C0075_L_0494.jpg</t>
  </si>
  <si>
    <t>E:\CAFNEC_GBRF\2022\BarronRiver\Frames_for_Analysis\1955_C0075_L_0496.jpg</t>
  </si>
  <si>
    <t>E:\CAFNEC_GBRF\2022\BarronRiver\Frames_for_Analysis\1956_C0075_L_0499.jpg</t>
  </si>
  <si>
    <t>E:\CAFNEC_GBRF\2022\BarronRiver\Frames_for_Analysis\1957_C0027_R_1_0078.jpg</t>
  </si>
  <si>
    <t>E:\CAFNEC_GBRF\2022\BarronRiver\Frames_for_Analysis\1958_C0027_R_1_0075.jpg</t>
  </si>
  <si>
    <t>E:\CAFNEC_GBRF\2022\BarronRiver\Frames_for_Analysis\1959_C0027_R_1_0072.jpg</t>
  </si>
  <si>
    <t>E:\CAFNEC_GBRF\2022\BarronRiver\Frames_for_Analysis\1960_C0075_L_0512.jpg</t>
  </si>
  <si>
    <t>E:\CAFNEC_GBRF\2022\BarronRiver\Frames_for_Analysis\1961_C0027_R_1_0066.jpg</t>
  </si>
  <si>
    <t>E:\CAFNEC_GBRF\2022\BarronRiver\Frames_for_Analysis\1962_C0027_R_1_0063.jpg</t>
  </si>
  <si>
    <t>E:\CAFNEC_GBRF\2022\BarronRiver\Frames_for_Analysis\1963_C0027_R_1_0061.jpg</t>
  </si>
  <si>
    <t>E:\CAFNEC_GBRF\2022\BarronRiver\Frames_for_Analysis\1964_C0027_R_1_0058.jpg</t>
  </si>
  <si>
    <t>E:\CAFNEC_GBRF\2022\BarronRiver\Frames_for_Analysis\1965_C0027_R_1_0055.jpg</t>
  </si>
  <si>
    <t>E:\CAFNEC_GBRF\2022\BarronRiver\Frames_for_Analysis\1966_C0027_R_1_0052.jpg</t>
  </si>
  <si>
    <t>E:\CAFNEC_GBRF\2022\BarronRiver\Frames_for_Analysis\1967_C0027_R_1_0048.jpg</t>
  </si>
  <si>
    <t>E:\CAFNEC_GBRF\2022\BarronRiver\Frames_for_Analysis\1968_C0027_R_1_0044.jpg</t>
  </si>
  <si>
    <t>E:\CAFNEC_GBRF\2022\BarronRiver\Frames_for_Analysis\1969_C0027_R_1_0041.jpg</t>
  </si>
  <si>
    <t>E:\CAFNEC_GBRF\2022\BarronRiver\Frames_for_Analysis\1970_C0027_R_1_0039.jpg</t>
  </si>
  <si>
    <t>E:\CAFNEC_GBRF\2022\BarronRiver\Frames_for_Analysis\1971_C0027_R_1_0036.jpg</t>
  </si>
  <si>
    <t>E:\CAFNEC_GBRF\2022\BarronRiver\Frames_for_Analysis\1972_C0027_R_1_0034.jpg</t>
  </si>
  <si>
    <t>E:\CAFNEC_GBRF\2022\BarronRiver\Frames_for_Analysis\1973_C0027_R_1_0031.jpg</t>
  </si>
  <si>
    <t>E:\CAFNEC_GBRF\2022\BarronRiver\Frames_for_Analysis\1974_C0027_R_1_0027.jpg</t>
  </si>
  <si>
    <t>E:\CAFNEC_GBRF\2022\BarronRiver\Frames_for_Analysis\1975_C0027_R_1_0025.jpg</t>
  </si>
  <si>
    <t>E:\CAFNEC_GBRF\2022\BarronRiver\Frames_for_Analysis\1976_C0027_R_1_0021.jpg</t>
  </si>
  <si>
    <t>E:\CAFNEC_GBRF\2022\BarronRiver\Frames_for_Analysis\1977_C0027_R_1_0019.jpg</t>
  </si>
  <si>
    <t>E:\CAFNEC_GBRF\2022\BarronRiver\Frames_for_Analysis\1978_C0027_R_1_0015.jpg</t>
  </si>
  <si>
    <t>E:\CAFNEC_GBRF\2022\BarronRiver\Frames_for_Analysis\1979_C0027_R_1_0013.jpg</t>
  </si>
  <si>
    <t>E:\CAFNEC_GBRF\2022\BarronRiver\Frames_for_Analysis\1980_C0027_R_1_0010.jpg</t>
  </si>
  <si>
    <t>E:\CAFNEC_GBRF\2022\BarronRiver\Frames_for_Analysis\1981_C0027_R_1_0007.jpg</t>
  </si>
  <si>
    <t>E:\CAFNEC_GBRF\2022\BarronRiver\Frames_for_Analysis\1982_C0027_R_1_0004.jpg</t>
  </si>
  <si>
    <t>E:\CAFNEC_GBRF\2022\BarronRiver\Frames_for_Analysis\1983_C0027_R_0055.jpg</t>
  </si>
  <si>
    <t>E:\CAFNEC_GBRF\2022\BarronRiver\Frames_for_Analysis\1984_C0027_R_0052.jpg</t>
  </si>
  <si>
    <t>E:\CAFNEC_GBRF\2022\BarronRiver\Frames_for_Analysis\1985_C0027_R_0048.jpg</t>
  </si>
  <si>
    <t>E:\CAFNEC_GBRF\2022\BarronRiver\Frames_for_Analysis\1986_C0027_R_0045.jpg</t>
  </si>
  <si>
    <t>E:\CAFNEC_GBRF\2022\BarronRiver\Frames_for_Analysis\1987_C0027_R_0042.jpg</t>
  </si>
  <si>
    <t>E:\CAFNEC_GBRF\2022\BarronRiver\Frames_for_Analysis\1988_C0027_R_0040.jpg</t>
  </si>
  <si>
    <t>E:\CAFNEC_GBRF\2022\BarronRiver\Frames_for_Analysis\1989_C0027_R_0037.jpg</t>
  </si>
  <si>
    <t>E:\CAFNEC_GBRF\2022\BarronRiver\Frames_for_Analysis\1990_C0027_R_0035.jpg</t>
  </si>
  <si>
    <t>E:\CAFNEC_GBRF\2022\BarronRiver\Frames_for_Analysis\1991_C0027_R_0034.jpg</t>
  </si>
  <si>
    <t>E:\CAFNEC_GBRF\2022\BarronRiver\Frames_for_Analysis\1992_C0027_R_0032.jpg</t>
  </si>
  <si>
    <t>E:\CAFNEC_GBRF\2022\BarronRiver\Frames_for_Analysis\1993_C0027_R_0029.jpg</t>
  </si>
  <si>
    <t>E:\CAFNEC_GBRF\2022\BarronRiver\Frames_for_Analysis\1994_C0027_R_0027.jpg</t>
  </si>
  <si>
    <t>E:\CAFNEC_GBRF\2022\BarronRiver\Frames_for_Analysis\1995_C0027_R_0025.jpg</t>
  </si>
  <si>
    <t>E:\CAFNEC_GBRF\2022\BarronRiver\Frames_for_Analysis\1996_C0027_R_0022.jpg</t>
  </si>
  <si>
    <t>E:\CAFNEC_GBRF\2022\BarronRiver\Frames_for_Analysis\1997_C0027_R_0020.jpg</t>
  </si>
  <si>
    <t>E:\CAFNEC_GBRF\2022\BarronRiver\Frames_for_Analysis\1998_C0022 (2)_R_0041.jpg</t>
  </si>
  <si>
    <t>E:\CAFNEC_GBRF\2022\BarronRiver\Frames_for_Analysis\1999_C0022 (2)_R_0037.jpg</t>
  </si>
  <si>
    <t>E:\CAFNEC_GBRF\2022\BarronRiver\Frames_for_Analysis\2000_C0022 (2)_R_0034.jpg</t>
  </si>
  <si>
    <t>E:\CAFNEC_GBRF\2022\BarronRiver\Frames_for_Analysis\2001_C0022 (2)_R_0031.jpg</t>
  </si>
  <si>
    <t>E:\CAFNEC_GBRF\2022\BarronRiver\Frames_for_Analysis\2002_C0022 (2)_R_0028.jpg</t>
  </si>
  <si>
    <t>E:\CAFNEC_GBRF\2022\BarronRiver\Frames_for_Analysis\2003_C0022 (2)_R_0023.jpg</t>
  </si>
  <si>
    <t>E:\CAFNEC_GBRF\2022\BarronRiver\Frames_for_Analysis\2004_C0022 (2)_R_0019.jpg</t>
  </si>
  <si>
    <t>E:\CAFNEC_GBRF\2022\BarronRiver\Frames_for_Analysis\2005_C0022 (2)_R_0014.jpg</t>
  </si>
  <si>
    <t>E:\CAFNEC_GBRF\2022\BarronRiver\Frames_for_Analysis\2006_C0022 (2)_R_0010.jpg</t>
  </si>
  <si>
    <t>E:\CAFNEC_GBRF\2022\BarronRiver\Frames_for_Analysis\2007_C0022 (2)_R_0007.jpg</t>
  </si>
  <si>
    <t>E:\CAFNEC_GBRF\2022\BarronRiver\Frames_for_Analysis\2008_C0022 (2)_R_0003.jpg</t>
  </si>
  <si>
    <t>E:\CAFNEC_GBRF\2022\BarronRiver\Frames_for_Analysis\2009_C0021 (2)_R_0574.jpg</t>
  </si>
  <si>
    <t>E:\CAFNEC_GBRF\2022\BarronRiver\Frames_for_Analysis\2010_C0021 (2)_R_0569.jpg</t>
  </si>
  <si>
    <t>E:\CAFNEC_GBRF\2022\BarronRiver\Frames_for_Analysis\2011_C0021 (2)_R_0566.jpg</t>
  </si>
  <si>
    <t>E:\CAFNEC_GBRF\2022\BarronRiver\Frames_for_Analysis\2012_C0021 (2)_R_0563.jpg</t>
  </si>
  <si>
    <t>E:\CAFNEC_GBRF\2022\BarronRiver\Frames_for_Analysis\2013_C0021 (2)_R_0561.jpg</t>
  </si>
  <si>
    <t>E:\CAFNEC_GBRF\2022\BarronRiver\Frames_for_Analysis\2014_C0021 (2)_R_0559.jpg</t>
  </si>
  <si>
    <t>E:\CAFNEC_GBRF\2022\BarronRiver\Frames_for_Analysis\2015_C0021 (2)_R_0558.jpg</t>
  </si>
  <si>
    <t>E:\CAFNEC_GBRF\2022\BarronRiver\Frames_for_Analysis\2016_C0021 (2)_R_0557.jpg</t>
  </si>
  <si>
    <t>E:\CAFNEC_GBRF\2022\BarronRiver\Frames_for_Analysis\2017_C0021 (2)_R_0555.jpg</t>
  </si>
  <si>
    <t>E:\CAFNEC_GBRF\2022\BarronRiver\Frames_for_Analysis\2018_C0021 (2)_R_0554.jpg</t>
  </si>
  <si>
    <t>E:\CAFNEC_GBRF\2022\BarronRiver\Frames_for_Analysis\2019_C0021 (2)_R_0552.jpg</t>
  </si>
  <si>
    <t>E:\CAFNEC_GBRF\2022\BarronRiver\Frames_for_Analysis\2020_C0021 (2)_R_0550.jpg</t>
  </si>
  <si>
    <t>E:\CAFNEC_GBRF\2022\BarronRiver\Frames_for_Analysis\2021_C0021 (2)_R_0548.jpg</t>
  </si>
  <si>
    <t>E:\CAFNEC_GBRF\2022\BarronRiver\Frames_for_Analysis\2022_C0021 (2)_R_0547.jpg</t>
  </si>
  <si>
    <t>E:\CAFNEC_GBRF\2022\BarronRiver\Frames_for_Analysis\2023_C0021 (2)_R_0546.jpg</t>
  </si>
  <si>
    <t>E:\CAFNEC_GBRF\2022\BarronRiver\Frames_for_Analysis\2024_C0021 (2)_R_0544.jpg</t>
  </si>
  <si>
    <t>E:\CAFNEC_GBRF\2022\BarronRiver\Frames_for_Analysis\2025_C0021 (2)_R_0543.jpg</t>
  </si>
  <si>
    <t>E:\CAFNEC_GBRF\2022\BarronRiver\Frames_for_Analysis\2026_C0021 (2)_R_0541.jpg</t>
  </si>
  <si>
    <t>E:\CAFNEC_GBRF\2022\BarronRiver\Frames_for_Analysis\2027_C0021 (2)_R_0540.jpg</t>
  </si>
  <si>
    <t>E:\CAFNEC_GBRF\2022\BarronRiver\Frames_for_Analysis\2028_C0021 (2)_R_0537.jpg</t>
  </si>
  <si>
    <t>E:\CAFNEC_GBRF\2022\BarronRiver\Frames_for_Analysis\2029_C0021 (2)_R_0534.jpg</t>
  </si>
  <si>
    <t>E:\CAFNEC_GBRF\2022\BarronRiver\Frames_for_Analysis\2030_C0021 (2)_R_0532.jpg</t>
  </si>
  <si>
    <t>E:\CAFNEC_GBRF\2022\BarronRiver\Frames_for_Analysis\2031_C0021 (2)_R_0529.jpg</t>
  </si>
  <si>
    <t>E:\CAFNEC_GBRF\2022\BarronRiver\Frames_for_Analysis\2032_C0021 (2)_R_0526.jpg</t>
  </si>
  <si>
    <t>E:\CAFNEC_GBRF\2022\BarronRiver\Frames_for_Analysis\2033_C0021 (2)_R_0524.jpg</t>
  </si>
  <si>
    <t>E:\CAFNEC_GBRF\2022\BarronRiver\Frames_for_Analysis\2034_C0021 (2)_R_0521.jpg</t>
  </si>
  <si>
    <t>E:\CAFNEC_GBRF\2022\BarronRiver\Frames_for_Analysis\2035_C0021 (2)_R_0518.jpg</t>
  </si>
  <si>
    <t>E:\CAFNEC_GBRF\2022\BarronRiver\Frames_for_Analysis\2036_C0021 (2)_R_0514.jpg</t>
  </si>
  <si>
    <t>E:\CAFNEC_GBRF\2022\BarronRiver\Frames_for_Analysis\2037_C0021 (2)_R_0509.jpg</t>
  </si>
  <si>
    <t>E:\CAFNEC_GBRF\2022\BarronRiver\Frames_for_Analysis\2038_C0021 (2)_R_0505.jpg</t>
  </si>
  <si>
    <t>E:\CAFNEC_GBRF\2022\BarronRiver\Frames_for_Analysis\2039_C0021 (2)_R_0501.jpg</t>
  </si>
  <si>
    <t>E:\CAFNEC_GBRF\2022\BarronRiver\Frames_for_Analysis\2040_C0021 (2)_R_0497.jpg</t>
  </si>
  <si>
    <t>E:\CAFNEC_GBRF\2022\BarronRiver\Frames_for_Analysis\2041_C0021 (2)_R_0494.jpg</t>
  </si>
  <si>
    <t>E:\CAFNEC_GBRF\2022\BarronRiver\Frames_for_Analysis\2042_C0021 (2)_R_0491.jpg</t>
  </si>
  <si>
    <t>E:\CAFNEC_GBRF\2022\BarronRiver\Frames_for_Analysis\2043_C0021 (2)_R_0487.jpg</t>
  </si>
  <si>
    <t>E:\CAFNEC_GBRF\2022\BarronRiver\Frames_for_Analysis\2044_C0021 (2)_R_0483.jpg</t>
  </si>
  <si>
    <t>E:\CAFNEC_GBRF\2022\BarronRiver\Frames_for_Analysis\2045_C0021 (2)_R_0479.jpg</t>
  </si>
  <si>
    <t>E:\CAFNEC_GBRF\2022\BarronRiver\Frames_for_Analysis\2046_C0021 (2)_R_0475.jpg</t>
  </si>
  <si>
    <t>E:\CAFNEC_GBRF\2022\BarronRiver\Frames_for_Analysis\2047_C0021 (2)_R_0472.jpg</t>
  </si>
  <si>
    <t>E:\CAFNEC_GBRF\2022\BarronRiver\Frames_for_Analysis\2048_C0021 (2)_R_0468.jpg</t>
  </si>
  <si>
    <t>E:\CAFNEC_GBRF\2022\BarronRiver\Frames_for_Analysis\2049_C0021 (2)_R_0465.jpg</t>
  </si>
  <si>
    <t>E:\CAFNEC_GBRF\2022\BarronRiver\Frames_for_Analysis\2050_C0021 (2)_R_0460.jpg</t>
  </si>
  <si>
    <t>E:\CAFNEC_GBRF\2022\BarronRiver\Frames_for_Analysis\2051_C0021 (2)_R_0455.jpg</t>
  </si>
  <si>
    <t>E:\CAFNEC_GBRF\2022\BarronRiver\Frames_for_Analysis\2052_C0021 (2)_R_0451.jpg</t>
  </si>
  <si>
    <t>E:\CAFNEC_GBRF\2022\BarronRiver\Frames_for_Analysis\2053_C0021 (2)_R_0448.jpg</t>
  </si>
  <si>
    <t>E:\CAFNEC_GBRF\2022\BarronRiver\Frames_for_Analysis\2054_C0021 (2)_R_0444.jpg</t>
  </si>
  <si>
    <t>E:\CAFNEC_GBRF\2022\BarronRiver\Frames_for_Analysis\2055_C0021 (2)_R_0441.jpg</t>
  </si>
  <si>
    <t>E:\CAFNEC_GBRF\2022\BarronRiver\Frames_for_Analysis\2056_C0021 (2)_R_0437.jpg</t>
  </si>
  <si>
    <t>E:\CAFNEC_GBRF\2022\BarronRiver\Frames_for_Analysis\2057_C0021 (2)_R_0435.jpg</t>
  </si>
  <si>
    <t>E:\CAFNEC_GBRF\2022\BarronRiver\Frames_for_Analysis\2058_C0021 (2)_R_0432.jpg</t>
  </si>
  <si>
    <t>E:\CAFNEC_GBRF\2022\BarronRiver\Frames_for_Analysis\2059_C0021 (2)_R_0428.jpg</t>
  </si>
  <si>
    <t>E:\CAFNEC_GBRF\2022\BarronRiver\Frames_for_Analysis\2060_C0021 (2)_R_0425.jpg</t>
  </si>
  <si>
    <t>E:\CAFNEC_GBRF\2022\BarronRiver\Frames_for_Analysis\2061_C0021 (2)_R_0421.jpg</t>
  </si>
  <si>
    <t>E:\CAFNEC_GBRF\2022\BarronRiver\Frames_for_Analysis\2062_C0021 (2)_R_0417.jpg</t>
  </si>
  <si>
    <t>E:\CAFNEC_GBRF\2022\BarronRiver\Frames_for_Analysis\2063_C0021 (2)_R_0413.jpg</t>
  </si>
  <si>
    <t>E:\CAFNEC_GBRF\2022\BarronRiver\Frames_for_Analysis\2064_C0021 (2)_R_0409.jpg</t>
  </si>
  <si>
    <t>E:\CAFNEC_GBRF\2022\BarronRiver\Frames_for_Analysis\2065_C0021 (2)_R_0406.jpg</t>
  </si>
  <si>
    <t>E:\CAFNEC_GBRF\2022\BarronRiver\Frames_for_Analysis\2066_C0021 (2)_R_0403.jpg</t>
  </si>
  <si>
    <t>E:\CAFNEC_GBRF\2022\BarronRiver\Frames_for_Analysis\2067_C0021 (2)_R_0400.jpg</t>
  </si>
  <si>
    <t>E:\CAFNEC_GBRF\2022\BarronRiver\Frames_for_Analysis\2068_C0021 (2)_R_0397.jpg</t>
  </si>
  <si>
    <t>E:\CAFNEC_GBRF\2022\BarronRiver\Frames_for_Analysis\2069_C0021 (2)_R_0392.jpg</t>
  </si>
  <si>
    <t>E:\CAFNEC_GBRF\2022\BarronRiver\Frames_for_Analysis\2070_C0021 (2)_R_0389.jpg</t>
  </si>
  <si>
    <t>E:\CAFNEC_GBRF\2022\BarronRiver\Frames_for_Analysis\2071_C0021 (2)_R_0386.jpg</t>
  </si>
  <si>
    <t>E:\CAFNEC_GBRF\2022\BarronRiver\Frames_for_Analysis\2072_C0021 (2)_R_0383.jpg</t>
  </si>
  <si>
    <t>E:\CAFNEC_GBRF\2022\BarronRiver\Frames_for_Analysis\2073_C0021 (2)_R_0380.jpg</t>
  </si>
  <si>
    <t>E:\CAFNEC_GBRF\2022\BarronRiver\Frames_for_Analysis\2074_C0021 (2)_R_0378.jpg</t>
  </si>
  <si>
    <t>E:\CAFNEC_GBRF\2022\BarronRiver\Frames_for_Analysis\2075_C0021 (2)_R_0375.jpg</t>
  </si>
  <si>
    <t>E:\CAFNEC_GBRF\2022\BarronRiver\Frames_for_Analysis\2076_C0021 (2)_R_0373.jpg</t>
  </si>
  <si>
    <t>E:\CAFNEC_GBRF\2022\BarronRiver\Frames_for_Analysis\2077_C0021 (2)_R_0370.jpg</t>
  </si>
  <si>
    <t>E:\CAFNEC_GBRF\2022\BarronRiver\Frames_for_Analysis\2078_C0021 (2)_R_0368.jpg</t>
  </si>
  <si>
    <t>E:\CAFNEC_GBRF\2022\BarronRiver\Frames_for_Analysis\2079_C0021 (2)_R_0365.jpg</t>
  </si>
  <si>
    <t>E:\CAFNEC_GBRF\2022\BarronRiver\Frames_for_Analysis\2080_C0021 (2)_R_0362.jpg</t>
  </si>
  <si>
    <t>E:\CAFNEC_GBRF\2022\BarronRiver\Frames_for_Analysis\2081_C0021 (2)_R_0359.jpg</t>
  </si>
  <si>
    <t>E:\CAFNEC_GBRF\2022\BarronRiver\Frames_for_Analysis\2082_C0021 (2)_R_0356.jpg</t>
  </si>
  <si>
    <t>E:\CAFNEC_GBRF\2022\BarronRiver\Frames_for_Analysis\2083_C0021 (2)_R_0354.jpg</t>
  </si>
  <si>
    <t>E:\CAFNEC_GBRF\2022\BarronRiver\Frames_for_Analysis\2084_C0021 (2)_R_0351.jpg</t>
  </si>
  <si>
    <t>E:\CAFNEC_GBRF\2022\BarronRiver\Frames_for_Analysis\2085_C0021 (2)_R_0348.jpg</t>
  </si>
  <si>
    <t>E:\CAFNEC_GBRF\2022\BarronRiver\Frames_for_Analysis\2086_C0021 (2)_R_0345.jpg</t>
  </si>
  <si>
    <t>E:\CAFNEC_GBRF\2022\BarronRiver\Frames_for_Analysis\2087_C0021 (2)_R_0343.jpg</t>
  </si>
  <si>
    <t>E:\CAFNEC_GBRF\2022\BarronRiver\Frames_for_Analysis\2088_C0021 (2)_R_0340.jpg</t>
  </si>
  <si>
    <t>E:\CAFNEC_GBRF\2022\BarronRiver\Frames_for_Analysis\2089_C0021 (2)_R_0337.jpg</t>
  </si>
  <si>
    <t>E:\CAFNEC_GBRF\2022\BarronRiver\Frames_for_Analysis\2090_C0021 (2)_R_0335.jpg</t>
  </si>
  <si>
    <t>E:\CAFNEC_GBRF\2022\BarronRiver\Frames_for_Analysis\2091_C0021 (2)_R_0333.jpg</t>
  </si>
  <si>
    <t>E:\CAFNEC_GBRF\2022\BarronRiver\Frames_for_Analysis\2092_C0021 (2)_R_0330.jpg</t>
  </si>
  <si>
    <t>E:\CAFNEC_GBRF\2022\BarronRiver\Frames_for_Analysis\2093_C0021 (2)_R_0328.jpg</t>
  </si>
  <si>
    <t>E:\CAFNEC_GBRF\2022\BarronRiver\Frames_for_Analysis\2094_C0021 (2)_R_0326.jpg</t>
  </si>
  <si>
    <t>E:\CAFNEC_GBRF\2022\BarronRiver\Frames_for_Analysis\2095_C0021 (2)_R_0324.jpg</t>
  </si>
  <si>
    <t>E:\CAFNEC_GBRF\2022\BarronRiver\Frames_for_Analysis\2096_C0021 (2)_R_0322.jpg</t>
  </si>
  <si>
    <t>E:\CAFNEC_GBRF\2022\BarronRiver\Frames_for_Analysis\2097_C0021 (2)_R_0320.jpg</t>
  </si>
  <si>
    <t>E:\CAFNEC_GBRF\2022\BarronRiver\Frames_for_Analysis\2098_C0021 (2)_R_0317.jpg</t>
  </si>
  <si>
    <t>E:\CAFNEC_GBRF\2022\BarronRiver\Frames_for_Analysis\2099_C0021 (2)_R_0315.jpg</t>
  </si>
  <si>
    <t>E:\CAFNEC_GBRF\2022\BarronRiver\Frames_for_Analysis\2100_C0021 (2)_R_0312.jpg</t>
  </si>
  <si>
    <t>E:\CAFNEC_GBRF\2022\BarronRiver\Frames_for_Analysis\2101_C0021 (2)_R_0310.jpg</t>
  </si>
  <si>
    <t>E:\CAFNEC_GBRF\2022\BarronRiver\Frames_for_Analysis\2102_C0021 (2)_R_0306.jpg</t>
  </si>
  <si>
    <t>E:\CAFNEC_GBRF\2022\BarronRiver\Frames_for_Analysis\2103_C0021 (2)_R_0302.jpg</t>
  </si>
  <si>
    <t>E:\CAFNEC_GBRF\2022\BarronRiver\Frames_for_Analysis\2104_C0021 (2)_R_0299.jpg</t>
  </si>
  <si>
    <t>E:\CAFNEC_GBRF\2022\BarronRiver\Frames_for_Analysis\2105_C0021 (2)_R_0296.jpg</t>
  </si>
  <si>
    <t>E:\CAFNEC_GBRF\2022\BarronRiver\Frames_for_Analysis\2106_C0021 (2)_R_0294.jpg</t>
  </si>
  <si>
    <t>E:\CAFNEC_GBRF\2022\BarronRiver\Frames_for_Analysis\2107_C0021 (2)_R_0291.jpg</t>
  </si>
  <si>
    <t>E:\CAFNEC_GBRF\2022\BarronRiver\Frames_for_Analysis\2108_C0021 (2)_R_0288.jpg</t>
  </si>
  <si>
    <t>E:\CAFNEC_GBRF\2022\BarronRiver\Frames_for_Analysis\2109_C0021 (2)_R_0286.jpg</t>
  </si>
  <si>
    <t>E:\CAFNEC_GBRF\2022\BarronRiver\Frames_for_Analysis\2110_C0021 (2)_R_0283.jpg</t>
  </si>
  <si>
    <t>E:\CAFNEC_GBRF\2022\BarronRiver\Frames_for_Analysis\2111_C0021 (2)_R_0280.jpg</t>
  </si>
  <si>
    <t>E:\CAFNEC_GBRF\2022\BarronRiver\Frames_for_Analysis\2112_C0021 (2)_R_0277.jpg</t>
  </si>
  <si>
    <t>E:\CAFNEC_GBRF\2022\BarronRiver\Frames_for_Analysis\2113_C0021 (2)_R_0273.jpg</t>
  </si>
  <si>
    <t>E:\CAFNEC_GBRF\2022\BarronRiver\Frames_for_Analysis\2114_C0021 (2)_R_0269.jpg</t>
  </si>
  <si>
    <t>E:\CAFNEC_GBRF\2022\BarronRiver\Frames_for_Analysis\2115_C0021 (2)_R_0265.jpg</t>
  </si>
  <si>
    <t>E:\CAFNEC_GBRF\2022\BarronRiver\Frames_for_Analysis\2116_C0021 (2)_R_0261.jpg</t>
  </si>
  <si>
    <t>E:\CAFNEC_GBRF\2022\BarronRiver\Frames_for_Analysis\2117_C0021 (2)_R_0257.jpg</t>
  </si>
  <si>
    <t>E:\CAFNEC_GBRF\2022\BarronRiver\Frames_for_Analysis\2118_C0021 (2)_R_0253.jpg</t>
  </si>
  <si>
    <t>E:\CAFNEC_GBRF\2022\BarronRiver\Frames_for_Analysis\2119_C0021 (2)_R_0250.jpg</t>
  </si>
  <si>
    <t>E:\CAFNEC_GBRF\2022\BarronRiver\Frames_for_Analysis\2120_C0021 (2)_R_0247.jpg</t>
  </si>
  <si>
    <t>E:\CAFNEC_GBRF\2022\BarronRiver\Frames_for_Analysis\2121_C0021 (2)_R_0243.jpg</t>
  </si>
  <si>
    <t>E:\CAFNEC_GBRF\2022\BarronRiver\Frames_for_Analysis\2122_C0021 (2)_R_0239.jpg</t>
  </si>
  <si>
    <t>E:\CAFNEC_GBRF\2022\BarronRiver\Frames_for_Analysis\2123_C0021 (2)_R_0237.jpg</t>
  </si>
  <si>
    <t>E:\CAFNEC_GBRF\2022\BarronRiver\Frames_for_Analysis\2124_C0021 (2)_R_0234.jpg</t>
  </si>
  <si>
    <t>E:\CAFNEC_GBRF\2022\BarronRiver\Frames_for_Analysis\2125_C0021 (2)_R_0231.jpg</t>
  </si>
  <si>
    <t>E:\CAFNEC_GBRF\2022\BarronRiver\Frames_for_Analysis\2126_C0021 (2)_R_0228.jpg</t>
  </si>
  <si>
    <t>E:\CAFNEC_GBRF\2022\BarronRiver\Frames_for_Analysis\2127_C0021 (2)_R_0226.jpg</t>
  </si>
  <si>
    <t>E:\CAFNEC_GBRF\2022\BarronRiver\Frames_for_Analysis\2128_C0021 (2)_R_0223.jpg</t>
  </si>
  <si>
    <t>E:\CAFNEC_GBRF\2022\BarronRiver\Frames_for_Analysis\2129_C0021 (2)_R_0221.jpg</t>
  </si>
  <si>
    <t>E:\CAFNEC_GBRF\2022\BarronRiver\Frames_for_Analysis\2130_C0021 (2)_R_0218.jpg</t>
  </si>
  <si>
    <t>E:\CAFNEC_GBRF\2022\BarronRiver\Frames_for_Analysis\2131_C0021 (2)_R_0215.jpg</t>
  </si>
  <si>
    <t>E:\CAFNEC_GBRF\2022\BarronRiver\Frames_for_Analysis\2132_C0021 (2)_R_0212.jpg</t>
  </si>
  <si>
    <t>E:\CAFNEC_GBRF\2022\BarronRiver\Frames_for_Analysis\2133_C0021 (2)_R_0209.jpg</t>
  </si>
  <si>
    <t>E:\CAFNEC_GBRF\2022\BarronRiver\Frames_for_Analysis\2134_C0021 (2)_R_0206.jpg</t>
  </si>
  <si>
    <t>E:\CAFNEC_GBRF\2022\BarronRiver\Frames_for_Analysis\2135_C0021 (2)_R_0203.jpg</t>
  </si>
  <si>
    <t>E:\CAFNEC_GBRF\2022\BarronRiver\Frames_for_Analysis\2136_C0021 (2)_R_0200.jpg</t>
  </si>
  <si>
    <t>E:\CAFNEC_GBRF\2022\BarronRiver\Frames_for_Analysis\2137_C0021 (2)_R_0197.jpg</t>
  </si>
  <si>
    <t>E:\CAFNEC_GBRF\2022\BarronRiver\Frames_for_Analysis\2138_C0021 (2)_R_0193.jpg</t>
  </si>
  <si>
    <t>E:\CAFNEC_GBRF\2022\BarronRiver\Frames_for_Analysis\2139_C0021 (2)_R_0191.jpg</t>
  </si>
  <si>
    <t>E:\CAFNEC_GBRF\2022\BarronRiver\Frames_for_Analysis\2140_C0021 (2)_R_0187.jpg</t>
  </si>
  <si>
    <t>E:\CAFNEC_GBRF\2022\BarronRiver\Frames_for_Analysis\2141_C0021 (2)_R_0183.jpg</t>
  </si>
  <si>
    <t>E:\CAFNEC_GBRF\2022\BarronRiver\Frames_for_Analysis\2142_C0021 (2)_R_0180.jpg</t>
  </si>
  <si>
    <t>E:\CAFNEC_GBRF\2022\BarronRiver\Frames_for_Analysis\2143_C0021 (2)_R_0178.jpg</t>
  </si>
  <si>
    <t>E:\CAFNEC_GBRF\2022\BarronRiver\Frames_for_Analysis\2144_C0021 (2)_R_0174.jpg</t>
  </si>
  <si>
    <t>E:\CAFNEC_GBRF\2022\BarronRiver\Frames_for_Analysis\2145_C0021 (2)_R_0170.jpg</t>
  </si>
  <si>
    <t>E:\CAFNEC_GBRF\2022\BarronRiver\Frames_for_Analysis\2146_C0021 (2)_R_0167.jpg</t>
  </si>
  <si>
    <t>E:\CAFNEC_GBRF\2022\BarronRiver\Frames_for_Analysis\2147_C0021 (2)_R_0164.jpg</t>
  </si>
  <si>
    <t>E:\CAFNEC_GBRF\2022\BarronRiver\Frames_for_Analysis\2148_C0021 (2)_R_0160.jpg</t>
  </si>
  <si>
    <t>E:\CAFNEC_GBRF\2022\BarronRiver\Frames_for_Analysis\2149_C0021 (2)_R_0158.jpg</t>
  </si>
  <si>
    <t>E:\CAFNEC_GBRF\2022\BarronRiver\Frames_for_Analysis\2150_C0021 (2)_R_0154.jpg</t>
  </si>
  <si>
    <t>E:\CAFNEC_GBRF\2022\BarronRiver\Frames_for_Analysis\2151_C0021 (2)_R_0151.jpg</t>
  </si>
  <si>
    <t>E:\CAFNEC_GBRF\2022\BarronRiver\Frames_for_Analysis\2152_C0021 (2)_R_0148.jpg</t>
  </si>
  <si>
    <t>E:\CAFNEC_GBRF\2022\BarronRiver\Frames_for_Analysis\2153_C0021 (2)_R_0143.jpg</t>
  </si>
  <si>
    <t>E:\CAFNEC_GBRF\2022\BarronRiver\Frames_for_Analysis\2154_C0021 (2)_R_0140.jpg</t>
  </si>
  <si>
    <t>E:\CAFNEC_GBRF\2022\BarronRiver\Frames_for_Analysis\2155_C0021 (2)_R_0136.jpg</t>
  </si>
  <si>
    <t>E:\CAFNEC_GBRF\2022\BarronRiver\Frames_for_Analysis\2156_C0021 (2)_R_0133.jpg</t>
  </si>
  <si>
    <t>E:\CAFNEC_GBRF\2022\BarronRiver\Frames_for_Analysis\2157_C0021 (2)_R_0129.jpg</t>
  </si>
  <si>
    <t>E:\CAFNEC_GBRF\2022\BarronRiver\Frames_for_Analysis\2158_C0021 (2)_R_0127.jpg</t>
  </si>
  <si>
    <t>E:\CAFNEC_GBRF\2022\BarronRiver\Frames_for_Analysis\2159_C0021 (2)_R_0124.jpg</t>
  </si>
  <si>
    <t>E:\CAFNEC_GBRF\2022\BarronRiver\Frames_for_Analysis\2160_C0021 (2)_R_0121.jpg</t>
  </si>
  <si>
    <t>E:\CAFNEC_GBRF\2022\BarronRiver\Frames_for_Analysis\2161_C0021 (2)_R_0119.jpg</t>
  </si>
  <si>
    <t>E:\CAFNEC_GBRF\2022\BarronRiver\Frames_for_Analysis\2162_C0021 (2)_R_0116.jpg</t>
  </si>
  <si>
    <t>E:\CAFNEC_GBRF\2022\BarronRiver\Frames_for_Analysis\2163_C0021 (2)_R_0114.jpg</t>
  </si>
  <si>
    <t>E:\CAFNEC_GBRF\2022\BarronRiver\Frames_for_Analysis\2164_C0021 (2)_R_0111.jpg</t>
  </si>
  <si>
    <t>E:\CAFNEC_GBRF\2022\BarronRiver\Frames_for_Analysis\2165_C0021 (2)_R_0109.jpg</t>
  </si>
  <si>
    <t>E:\CAFNEC_GBRF\2022\BarronRiver\Frames_for_Analysis\2166_C0021 (2)_R_0107.jpg</t>
  </si>
  <si>
    <t>E:\CAFNEC_GBRF\2022\BarronRiver\Frames_for_Analysis\2167_C0021 (2)_R_0105.jpg</t>
  </si>
  <si>
    <t>E:\CAFNEC_GBRF\2022\BarronRiver\Frames_for_Analysis\2168_C0021 (2)_R_0102.jpg</t>
  </si>
  <si>
    <t>E:\CAFNEC_GBRF\2022\BarronRiver\Frames_for_Analysis\2169_C0021 (2)_R_0099.jpg</t>
  </si>
  <si>
    <t>E:\CAFNEC_GBRF\2022\BarronRiver\Frames_for_Analysis\2170_C0021 (2)_R_0097.jpg</t>
  </si>
  <si>
    <t>E:\CAFNEC_GBRF\2022\BarronRiver\Frames_for_Analysis\2171_C0021 (2)_R_0094.jpg</t>
  </si>
  <si>
    <t>E:\CAFNEC_GBRF\2022\BarronRiver\Frames_for_Analysis\2172_C0021 (2)_R_0092.jpg</t>
  </si>
  <si>
    <t>E:\CAFNEC_GBRF\2022\BarronRiver\Frames_for_Analysis\2173_C0021 (2)_R_0089.jpg</t>
  </si>
  <si>
    <t>E:\CAFNEC_GBRF\2022\BarronRiver\Frames_for_Analysis\2174_C0021 (2)_R_0086.jpg</t>
  </si>
  <si>
    <t>E:\CAFNEC_GBRF\2022\BarronRiver\Frames_for_Analysis\2175_C0021 (2)_R_0083.jpg</t>
  </si>
  <si>
    <t>E:\CAFNEC_GBRF\2022\BarronRiver\Frames_for_Analysis\2176_C0021 (2)_R_0080.jpg</t>
  </si>
  <si>
    <t>E:\CAFNEC_GBRF\2022\BarronRiver\Frames_for_Analysis\2177_C0021 (2)_R_0077.jpg</t>
  </si>
  <si>
    <t>E:\CAFNEC_GBRF\2022\BarronRiver\Frames_for_Analysis\2178_C0021 (2)_R_0075.jpg</t>
  </si>
  <si>
    <t>E:\CAFNEC_GBRF\2022\BarronRiver\Frames_for_Analysis\2179_C0021 (2)_R_0072.jpg</t>
  </si>
  <si>
    <t>E:\CAFNEC_GBRF\2022\BarronRiver\Frames_for_Analysis\2180_C0021 (2)_R_0069.jpg</t>
  </si>
  <si>
    <t>E:\CAFNEC_GBRF\2022\BarronRiver\Frames_for_Analysis\2181_C0021 (2)_R_0067.jpg</t>
  </si>
  <si>
    <t>E:\CAFNEC_GBRF\2022\BarronRiver\Frames_for_Analysis\2182_C0021 (2)_R_0063.jpg</t>
  </si>
  <si>
    <t>E:\CAFNEC_GBRF\2022\BarronRiver\Frames_for_Analysis\2183_C0021 (2)_R_0059.jpg</t>
  </si>
  <si>
    <t>E:\CAFNEC_GBRF\2022\BarronRiver\Frames_for_Analysis\2184_C0021 (2)_R_0055.jpg</t>
  </si>
  <si>
    <t>E:\CAFNEC_GBRF\2022\BarronRiver\Frames_for_Analysis\2185_C0021 (2)_R_0051.jpg</t>
  </si>
  <si>
    <t>E:\CAFNEC_GBRF\2022\BarronRiver\Frames_for_Analysis\2186_C0021 (2)_R_0047.jpg</t>
  </si>
  <si>
    <t>E:\CAFNEC_GBRF\2022\BarronRiver\Frames_for_Analysis\2187_C0021 (2)_R_0043.jpg</t>
  </si>
  <si>
    <t>E:\CAFNEC_GBRF\2022\BarronRiver\Frames_for_Analysis\2188_C0021 (2)_R_0039.jpg</t>
  </si>
  <si>
    <t>E:\CAFNEC_GBRF\2022\BarronRiver\Frames_for_Analysis\2189_C0021 (2)_R_0037.jpg</t>
  </si>
  <si>
    <t>E:\CAFNEC_GBRF\2022\BarronRiver\Frames_for_Analysis\2190_C0021 (2)_R_0033.jpg</t>
  </si>
  <si>
    <t>E:\CAFNEC_GBRF\2022\BarronRiver\Frames_for_Analysis\2191_C0021 (2)_R_0029.jpg</t>
  </si>
  <si>
    <t>E:\CAFNEC_GBRF\2022\BarronRiver\Frames_for_Analysis\2192_C0021 (2)_R_0026.jpg</t>
  </si>
  <si>
    <t>E:\CAFNEC_GBRF\2022\BarronRiver\Frames_for_Analysis\2193_C0021 (2)_R_0023.jpg</t>
  </si>
  <si>
    <t>E:\CAFNEC_GBRF\2022\BarronRiver\Frames_for_Analysis\2194_C0021 (2)_R_0021.jpg</t>
  </si>
  <si>
    <t>E:\CAFNEC_GBRF\2022\BarronRiver\Frames_for_Analysis\2195_C0021 (2)_R_0018.jpg</t>
  </si>
  <si>
    <t>E:\CAFNEC_GBRF\2022\BarronRiver\Frames_for_Analysis\2196_C0021 (2)_R_0014.jpg</t>
  </si>
  <si>
    <t>E:\CAFNEC_GBRF\2022\BarronRiver\Frames_for_Analysis\2197_C0021 (2)_R_0011.jpg</t>
  </si>
  <si>
    <t>E:\CAFNEC_GBRF\2022\BarronRiver\Frames_for_Analysis\2198_C0021 (2)_R_0008.jpg</t>
  </si>
  <si>
    <t>E:\CAFNEC_GBRF\2022\BarronRiver\Frames_for_Analysis\2199_C0021 (2)_R_0005.jpg</t>
  </si>
  <si>
    <t>E:\CAFNEC_GBRF\2022\BarronRiver\Frames_for_Analysis\2200_C0020 (2)_R_1_0505.jpg</t>
  </si>
  <si>
    <t>E:\CAFNEC_GBRF\2022\BarronRiver\Frames_for_Analysis\2201_C0020 (2)_R_1_0502.jpg</t>
  </si>
  <si>
    <t>E:\CAFNEC_GBRF\2022\BarronRiver\Frames_for_Analysis\2202_C0020 (2)_R_1_0499.jpg</t>
  </si>
  <si>
    <t>E:\CAFNEC_GBRF\2022\BarronRiver\Frames_for_Analysis\2203_C0020 (2)_R_1_0496.jpg</t>
  </si>
  <si>
    <t>E:\CAFNEC_GBRF\2022\BarronRiver\Frames_for_Analysis\2204_C0020 (2)_R_1_0493.jpg</t>
  </si>
  <si>
    <t>E:\CAFNEC_GBRF\2022\BarronRiver\Frames_for_Analysis\2205_C0020 (2)_R_1_0490.jpg</t>
  </si>
  <si>
    <t>E:\CAFNEC_GBRF\2022\BarronRiver\Frames_for_Analysis\2206_C0020 (2)_R_1_0487.jpg</t>
  </si>
  <si>
    <t>E:\CAFNEC_GBRF\2022\BarronRiver\Frames_for_Analysis\2207_C0020 (2)_R_1_0483.jpg</t>
  </si>
  <si>
    <t>E:\CAFNEC_GBRF\2022\BarronRiver\Frames_for_Analysis\2208_C0020 (2)_R_1_0480.jpg</t>
  </si>
  <si>
    <t>E:\CAFNEC_GBRF\2022\BarronRiver\Frames_for_Analysis\2209_C0020 (2)_R_1_0476.jpg</t>
  </si>
  <si>
    <t>E:\CAFNEC_GBRF\2022\BarronRiver\Frames_for_Analysis\2210_C0020 (2)_R_1_0472.jpg</t>
  </si>
  <si>
    <t>E:\CAFNEC_GBRF\2022\BarronRiver\Frames_for_Analysis\2211_C0020 (2)_R_1_0467.jpg</t>
  </si>
  <si>
    <t>E:\CAFNEC_GBRF\2022\BarronRiver\Frames_for_Analysis\2212_C0020 (2)_R_1_0462.jpg</t>
  </si>
  <si>
    <t>E:\CAFNEC_GBRF\2022\BarronRiver\Frames_for_Analysis\2213_C0020 (2)_R_1_0457.jpg</t>
  </si>
  <si>
    <t>E:\CAFNEC_GBRF\2022\BarronRiver\Frames_for_Analysis\2214_C0020 (2)_R_1_0454.jpg</t>
  </si>
  <si>
    <t>E:\CAFNEC_GBRF\2022\BarronRiver\Frames_for_Analysis\2215_C0020 (2)_R_1_0451.jpg</t>
  </si>
  <si>
    <t>E:\CAFNEC_GBRF\2022\BarronRiver\Frames_for_Analysis\2216_C0020 (2)_R_1_0444.jpg</t>
  </si>
  <si>
    <t>E:\CAFNEC_GBRF\2022\BarronRiver\Frames_for_Analysis\2217_C0020 (2)_R_1_0441.jpg</t>
  </si>
  <si>
    <t>E:\CAFNEC_GBRF\2022\BarronRiver\Frames_for_Analysis\2218_C0020 (2)_R_1_0440.jpg</t>
  </si>
  <si>
    <t>E:\CAFNEC_GBRF\2022\BarronRiver\Frames_for_Analysis\2219_C0020 (2)_R_1_0436.jpg</t>
  </si>
  <si>
    <t>E:\CAFNEC_GBRF\2022\BarronRiver\Frames_for_Analysis\2220_C0020 (2)_R_1_0433.jpg</t>
  </si>
  <si>
    <t>E:\CAFNEC_GBRF\2022\BarronRiver\Frames_for_Analysis\2221_C0020 (2)_R_1_0430.jpg</t>
  </si>
  <si>
    <t>E:\CAFNEC_GBRF\2022\BarronRiver\Frames_for_Analysis\2222_C0020 (2)_R_1_0428.jpg</t>
  </si>
  <si>
    <t>E:\CAFNEC_GBRF\2022\BarronRiver\Frames_for_Analysis\2223_C0020 (2)_R_1_0425.jpg</t>
  </si>
  <si>
    <t>E:\CAFNEC_GBRF\2022\BarronRiver\Frames_for_Analysis\2224_C0020 (2)_R_1_0423.jpg</t>
  </si>
  <si>
    <t>E:\CAFNEC_GBRF\2022\BarronRiver\Frames_for_Analysis\2225_C0020 (2)_R_1_0420.jpg</t>
  </si>
  <si>
    <t>E:\CAFNEC_GBRF\2022\BarronRiver\Frames_for_Analysis\2226_C0020 (2)_R_1_0418.jpg</t>
  </si>
  <si>
    <t>E:\CAFNEC_GBRF\2022\BarronRiver\Frames_for_Analysis\2227_C0020 (2)_R_1_0416.jpg</t>
  </si>
  <si>
    <t>E:\CAFNEC_GBRF\2022\BarronRiver\Frames_for_Analysis\2228_C0020 (2)_R_1_0414.jpg</t>
  </si>
  <si>
    <t>E:\CAFNEC_GBRF\2022\BarronRiver\Frames_for_Analysis\2229_C0020 (2)_R_1_0412.jpg</t>
  </si>
  <si>
    <t>E:\CAFNEC_GBRF\2022\BarronRiver\Frames_for_Analysis\2230_C0020 (2)_R_1_0409.jpg</t>
  </si>
  <si>
    <t>E:\CAFNEC_GBRF\2022\BarronRiver\Frames_for_Analysis\2231_C0020 (2)_R_1_0407.jpg</t>
  </si>
  <si>
    <t>E:\CAFNEC_GBRF\2022\BarronRiver\Frames_for_Analysis\2232_C0020 (2)_R_1_0405.jpg</t>
  </si>
  <si>
    <t>E:\CAFNEC_GBRF\2022\BarronRiver\Frames_for_Analysis\2233_C0020 (2)_R_1_0402.jpg</t>
  </si>
  <si>
    <t>E:\CAFNEC_GBRF\2022\BarronRiver\Frames_for_Analysis\2234_C0020 (2)_R_1_0400.jpg</t>
  </si>
  <si>
    <t>E:\CAFNEC_GBRF\2022\BarronRiver\Frames_for_Analysis\2235_C0020 (2)_R_1_0397.jpg</t>
  </si>
  <si>
    <t>E:\CAFNEC_GBRF\2022\BarronRiver\Frames_for_Analysis\2236_C0020 (2)_R_1_0394.jpg</t>
  </si>
  <si>
    <t>E:\CAFNEC_GBRF\2022\BarronRiver\Frames_for_Analysis\2237_C0020 (2)_R_1_0391.jpg</t>
  </si>
  <si>
    <t>E:\CAFNEC_GBRF\2022\BarronRiver\Frames_for_Analysis\2238_C0020 (2)_R_1_0389.jpg</t>
  </si>
  <si>
    <t>E:\CAFNEC_GBRF\2022\BarronRiver\Frames_for_Analysis\2239_C0020 (2)_R_1_0386.jpg</t>
  </si>
  <si>
    <t>E:\CAFNEC_GBRF\2022\BarronRiver\Frames_for_Analysis\2240_C0020 (2)_R_1_0383.jpg</t>
  </si>
  <si>
    <t>E:\CAFNEC_GBRF\2022\BarronRiver\Frames_for_Analysis\2241_C0020 (2)_R_1_0380.jpg</t>
  </si>
  <si>
    <t>E:\CAFNEC_GBRF\2022\BarronRiver\Frames_for_Analysis\2242_C0020 (2)_R_1_0377.jpg</t>
  </si>
  <si>
    <t>E:\CAFNEC_GBRF\2022\BarronRiver\Frames_for_Analysis\2243_C0020 (2)_R_1_0375.jpg</t>
  </si>
  <si>
    <t>E:\CAFNEC_GBRF\2022\BarronRiver\Frames_for_Analysis\2244_C0020 (2)_R_1_0372.jpg</t>
  </si>
  <si>
    <t>E:\CAFNEC_GBRF\2022\BarronRiver\Frames_for_Analysis\2245_C0020 (2)_R_1_0369.jpg</t>
  </si>
  <si>
    <t>E:\CAFNEC_GBRF\2022\BarronRiver\Frames_for_Analysis\2246_C0020 (2)_R_1_0366.jpg</t>
  </si>
  <si>
    <t>E:\CAFNEC_GBRF\2022\BarronRiver\Frames_for_Analysis\2247_C0020 (2)_R_1_0363.jpg</t>
  </si>
  <si>
    <t>E:\CAFNEC_GBRF\2022\BarronRiver\Frames_for_Analysis\2248_C0020 (2)_R_1_0359.jpg</t>
  </si>
  <si>
    <t>E:\CAFNEC_GBRF\2022\BarronRiver\Frames_for_Analysis\2249_C0020 (2)_R_1_0356.jpg</t>
  </si>
  <si>
    <t>E:\CAFNEC_GBRF\2022\BarronRiver\Frames_for_Analysis\2250_C0020 (2)_R_1_0352.jpg</t>
  </si>
  <si>
    <t>E:\CAFNEC_GBRF\2022\BarronRiver\Frames_for_Analysis\2251_C0020 (2)_R_1_0349.jpg</t>
  </si>
  <si>
    <t>E:\CAFNEC_GBRF\2022\BarronRiver\Frames_for_Analysis\2252_C0020 (2)_R_1_0345.jpg</t>
  </si>
  <si>
    <t>E:\CAFNEC_GBRF\2022\BarronRiver\Frames_for_Analysis\2253_C0020 (2)_R_1_0342.jpg</t>
  </si>
  <si>
    <t>E:\CAFNEC_GBRF\2022\BarronRiver\Frames_for_Analysis\2254_C0020 (2)_R_1_0339.jpg</t>
  </si>
  <si>
    <t>E:\CAFNEC_GBRF\2022\BarronRiver\Frames_for_Analysis\2255_C0020 (2)_R_1_0335.jpg</t>
  </si>
  <si>
    <t>E:\CAFNEC_GBRF\2022\BarronRiver\Frames_for_Analysis\2256_C0020 (2)_R_1_0331.jpg</t>
  </si>
  <si>
    <t>E:\CAFNEC_GBRF\2022\BarronRiver\Frames_for_Analysis\2257_C0020 (2)_R_1_0327.jpg</t>
  </si>
  <si>
    <t>E:\CAFNEC_GBRF\2022\BarronRiver\Frames_for_Analysis\2258_C0020 (2)_R_1_0323.jpg</t>
  </si>
  <si>
    <t>E:\CAFNEC_GBRF\2022\BarronRiver\Frames_for_Analysis\2259_C0020 (2)_R_1_0319.jpg</t>
  </si>
  <si>
    <t>E:\CAFNEC_GBRF\2022\BarronRiver\Frames_for_Analysis\2260_C0020 (2)_R_1_0316.jpg</t>
  </si>
  <si>
    <t>E:\CAFNEC_GBRF\2022\BarronRiver\Frames_for_Analysis\2261_C0020 (2)_R_1_0313.jpg</t>
  </si>
  <si>
    <t>E:\CAFNEC_GBRF\2022\BarronRiver\Frames_for_Analysis\2262_C0020 (2)_R_1_0309.jpg</t>
  </si>
  <si>
    <t>E:\CAFNEC_GBRF\2022\BarronRiver\Frames_for_Analysis\2263_C0020 (2)_R_1_0306.jpg</t>
  </si>
  <si>
    <t>E:\CAFNEC_GBRF\2022\BarronRiver\Frames_for_Analysis\2264_C0020 (2)_R_1_0303.jpg</t>
  </si>
  <si>
    <t>E:\CAFNEC_GBRF\2022\BarronRiver\Frames_for_Analysis\2265_C0020 (2)_R_1_0301.jpg</t>
  </si>
  <si>
    <t>E:\CAFNEC_GBRF\2022\BarronRiver\Frames_for_Analysis\2266_C0020 (2)_R_1_0298.jpg</t>
  </si>
  <si>
    <t>E:\CAFNEC_GBRF\2022\BarronRiver\Frames_for_Analysis\2267_C0020 (2)_R_1_0295.jpg</t>
  </si>
  <si>
    <t>E:\CAFNEC_GBRF\2022\BarronRiver\Frames_for_Analysis\2268_C0020 (2)_R_1_0293.jpg</t>
  </si>
  <si>
    <t>E:\CAFNEC_GBRF\2022\BarronRiver\Frames_for_Analysis\2269_C0020 (2)_R_1_0290.jpg</t>
  </si>
  <si>
    <t>E:\CAFNEC_GBRF\2022\BarronRiver\Frames_for_Analysis\2270_C0020 (2)_R_1_0287.jpg</t>
  </si>
  <si>
    <t>E:\CAFNEC_GBRF\2022\BarronRiver\Frames_for_Analysis\2271_C0020 (2)_R_1_0284.jpg</t>
  </si>
  <si>
    <t>E:\CAFNEC_GBRF\2022\BarronRiver\Frames_for_Analysis\2272_C0020 (2)_R_1_0281.jpg</t>
  </si>
  <si>
    <t>E:\CAFNEC_GBRF\2022\BarronRiver\Frames_for_Analysis\2273_C0020 (2)_R_1_0278.jpg</t>
  </si>
  <si>
    <t>E:\CAFNEC_GBRF\2022\BarronRiver\Frames_for_Analysis\2274_C0020 (2)_R_1_0275.jpg</t>
  </si>
  <si>
    <t>E:\CAFNEC_GBRF\2022\BarronRiver\Frames_for_Analysis\2275_C0020 (2)_R_1_0271.jpg</t>
  </si>
  <si>
    <t>E:\CAFNEC_GBRF\2022\BarronRiver\Frames_for_Analysis\2276_C0020 (2)_R_1_0268.jpg</t>
  </si>
  <si>
    <t>E:\CAFNEC_GBRF\2022\BarronRiver\Frames_for_Analysis\2277_C0020 (2)_R_1_0265.jpg</t>
  </si>
  <si>
    <t>E:\CAFNEC_GBRF\2022\BarronRiver\Frames_for_Analysis\2278_C0020 (2)_R_1_0262.jpg</t>
  </si>
  <si>
    <t>E:\CAFNEC_GBRF\2022\BarronRiver\Frames_for_Analysis\2279_C0020 (2)_R_1_0259.jpg</t>
  </si>
  <si>
    <t>E:\CAFNEC_GBRF\2022\BarronRiver\Frames_for_Analysis\2280_C0020 (2)_R_1_0257.jpg</t>
  </si>
  <si>
    <t>E:\CAFNEC_GBRF\2022\BarronRiver\Frames_for_Analysis\2281_C0020 (2)_R_1_0254.jpg</t>
  </si>
  <si>
    <t>E:\CAFNEC_GBRF\2022\BarronRiver\Frames_for_Analysis\2282_C0020 (2)_R_1_0253.jpg</t>
  </si>
  <si>
    <t>E:\CAFNEC_GBRF\2022\BarronRiver\Frames_for_Analysis\2283_C0020 (2)_R_1_0251.jpg</t>
  </si>
  <si>
    <t>E:\CAFNEC_GBRF\2022\BarronRiver\Frames_for_Analysis\2284_C0020 (2)_R_1_0250.jpg</t>
  </si>
  <si>
    <t>E:\CAFNEC_GBRF\2022\BarronRiver\Frames_for_Analysis\2285_C0020 (2)_R_1_0249.jpg</t>
  </si>
  <si>
    <t>E:\CAFNEC_GBRF\2022\BarronRiver\Frames_for_Analysis\2286_C0020 (2)_R_1_0248.jpg</t>
  </si>
  <si>
    <t>E:\CAFNEC_GBRF\2022\BarronRiver\Frames_for_Analysis\2287_C0020 (2)_R_1_0247.jpg</t>
  </si>
  <si>
    <t>E:\CAFNEC_GBRF\2022\BarronRiver\Frames_for_Analysis\2288_C0020 (2)_R_1_0245.jpg</t>
  </si>
  <si>
    <t>E:\CAFNEC_GBRF\2022\BarronRiver\Frames_for_Analysis\2289_C0020 (2)_R_1_0243.jpg</t>
  </si>
  <si>
    <t>E:\CAFNEC_GBRF\2022\BarronRiver\Frames_for_Analysis\2290_C0020 (2)_R_1_0240.jpg</t>
  </si>
  <si>
    <t>E:\CAFNEC_GBRF\2022\BarronRiver\Frames_for_Analysis\2291_C0020 (2)_R_1_0238.jpg</t>
  </si>
  <si>
    <t>E:\CAFNEC_GBRF\2022\BarronRiver\Frames_for_Analysis\2292_C0020 (2)_R_1_0235.jpg</t>
  </si>
  <si>
    <t>E:\CAFNEC_GBRF\2022\BarronRiver\Frames_for_Analysis\2293_C0020 (2)_R_1_0232.jpg</t>
  </si>
  <si>
    <t>E:\CAFNEC_GBRF\2022\BarronRiver\Frames_for_Analysis\2294_C0020 (2)_R_1_0230.jpg</t>
  </si>
  <si>
    <t>E:\CAFNEC_GBRF\2022\BarronRiver\Frames_for_Analysis\2295_C0020 (2)_R_1_0227.jpg</t>
  </si>
  <si>
    <t>E:\CAFNEC_GBRF\2022\BarronRiver\Frames_for_Analysis\2296_C0020 (2)_R_1_0224.jpg</t>
  </si>
  <si>
    <t>E:\CAFNEC_GBRF\2022\BarronRiver\Frames_for_Analysis\2297_C0020 (2)_R_1_0221.jpg</t>
  </si>
  <si>
    <t>E:\CAFNEC_GBRF\2022\BarronRiver\Frames_for_Analysis\2298_C0020 (2)_R_1_0219.jpg</t>
  </si>
  <si>
    <t>E:\CAFNEC_GBRF\2022\BarronRiver\Frames_for_Analysis\2299_C0020 (2)_R_1_0216.jpg</t>
  </si>
  <si>
    <t>E:\CAFNEC_GBRF\2022\BarronRiver\Frames_for_Analysis\2300_C0020 (2)_R_1_0213.jpg</t>
  </si>
  <si>
    <t>E:\CAFNEC_GBRF\2022\BarronRiver\Frames_for_Analysis\2301_C0020 (2)_R_1_0210.jpg</t>
  </si>
  <si>
    <t>E:\CAFNEC_GBRF\2022\BarronRiver\Frames_for_Analysis\2302_C0020 (2)_R_1_0208.jpg</t>
  </si>
  <si>
    <t>E:\CAFNEC_GBRF\2022\BarronRiver\Frames_for_Analysis\2303_C0020 (2)_R_1_0205.jpg</t>
  </si>
  <si>
    <t>E:\CAFNEC_GBRF\2022\BarronRiver\Frames_for_Analysis\2304_C0020 (2)_R_1_0202.jpg</t>
  </si>
  <si>
    <t>E:\CAFNEC_GBRF\2022\BarronRiver\Frames_for_Analysis\2305_C0020 (2)_R_1_0199.jpg</t>
  </si>
  <si>
    <t>E:\CAFNEC_GBRF\2022\BarronRiver\Frames_for_Analysis\2306_C0020 (2)_R_1_0196.jpg</t>
  </si>
  <si>
    <t>E:\CAFNEC_GBRF\2022\BarronRiver\Frames_for_Analysis\2307_C0020 (2)_R_1_0193.jpg</t>
  </si>
  <si>
    <t>E:\CAFNEC_GBRF\2022\BarronRiver\Frames_for_Analysis\2308_C0020 (2)_R_1_0191.jpg</t>
  </si>
  <si>
    <t>E:\CAFNEC_GBRF\2022\BarronRiver\Frames_for_Analysis\2309_C0020 (2)_R_1_0188.jpg</t>
  </si>
  <si>
    <t>E:\CAFNEC_GBRF\2022\BarronRiver\Frames_for_Analysis\2310_C0020 (2)_R_1_0185.jpg</t>
  </si>
  <si>
    <t>E:\CAFNEC_GBRF\2022\BarronRiver\Frames_for_Analysis\2311_C0020 (2)_R_1_0182.jpg</t>
  </si>
  <si>
    <t>E:\CAFNEC_GBRF\2022\BarronRiver\Frames_for_Analysis\2312_C0020 (2)_R_1_0179.jpg</t>
  </si>
  <si>
    <t>E:\CAFNEC_GBRF\2022\BarronRiver\Frames_for_Analysis\2313_C0020 (2)_R_1_0177.jpg</t>
  </si>
  <si>
    <t>E:\CAFNEC_GBRF\2022\BarronRiver\Frames_for_Analysis\2314_C0020 (2)_R_1_0174.jpg</t>
  </si>
  <si>
    <t>E:\CAFNEC_GBRF\2022\BarronRiver\Frames_for_Analysis\2315_C0020 (2)_R_1_0171.jpg</t>
  </si>
  <si>
    <t>E:\CAFNEC_GBRF\2022\BarronRiver\Frames_for_Analysis\2316_C0020 (2)_R_1_0168.jpg</t>
  </si>
  <si>
    <t>E:\CAFNEC_GBRF\2022\BarronRiver\Frames_for_Analysis\2317_C0020 (2)_R_1_0165.jpg</t>
  </si>
  <si>
    <t>E:\CAFNEC_GBRF\2022\BarronRiver\Frames_for_Analysis\2318_C0020 (2)_R_1_0161.jpg</t>
  </si>
  <si>
    <t>E:\CAFNEC_GBRF\2022\BarronRiver\Frames_for_Analysis\2319_C0020 (2)_R_1_0158.jpg</t>
  </si>
  <si>
    <t>E:\CAFNEC_GBRF\2022\BarronRiver\Frames_for_Analysis\2320_C0020 (2)_R_1_0155.jpg</t>
  </si>
  <si>
    <t>E:\CAFNEC_GBRF\2022\BarronRiver\Frames_for_Analysis\2321_C0020 (2)_R_1_0152.jpg</t>
  </si>
  <si>
    <t>E:\CAFNEC_GBRF\2022\BarronRiver\Frames_for_Analysis\2322_C0020 (2)_R_1_0149.jpg</t>
  </si>
  <si>
    <t>E:\CAFNEC_GBRF\2022\BarronRiver\Frames_for_Analysis\2323_C0020 (2)_R_1_0145.jpg</t>
  </si>
  <si>
    <t>E:\CAFNEC_GBRF\2022\BarronRiver\Frames_for_Analysis\2324_C0020 (2)_R_1_0142.jpg</t>
  </si>
  <si>
    <t>E:\CAFNEC_GBRF\2022\BarronRiver\Frames_for_Analysis\2325_C0020 (2)_R_1_0138.jpg</t>
  </si>
  <si>
    <t>E:\CAFNEC_GBRF\2022\BarronRiver\Frames_for_Analysis\2326_C0020 (2)_R_1_0133.jpg</t>
  </si>
  <si>
    <t>E:\CAFNEC_GBRF\2022\BarronRiver\Frames_for_Analysis\2327_C0020 (2)_R_1_0128.jpg</t>
  </si>
  <si>
    <t>E:\CAFNEC_GBRF\2022\BarronRiver\Frames_for_Analysis\2328_C0020 (2)_R_1_0122.jpg</t>
  </si>
  <si>
    <t>E:\CAFNEC_GBRF\2022\BarronRiver\Frames_for_Analysis\2329_C0020 (2)_R_1_0112.jpg</t>
  </si>
  <si>
    <t>E:\CAFNEC_GBRF\2022\BarronRiver\Frames_for_Analysis\2330_C0020 (2)_R_1_0105.jpg</t>
  </si>
  <si>
    <t>E:\CAFNEC_GBRF\2022\BarronRiver\Frames_for_Analysis\2331_C0020 (2)_R_1_0099.jpg</t>
  </si>
  <si>
    <t>E:\CAFNEC_GBRF\2022\BarronRiver\Frames_for_Analysis\2332_C0020 (2)_R_1_0095.jpg</t>
  </si>
  <si>
    <t>E:\CAFNEC_GBRF\2022\BarronRiver\Frames_for_Analysis\2333_C0020 (2)_R_1_0090.jpg</t>
  </si>
  <si>
    <t>E:\CAFNEC_GBRF\2022\BarronRiver\Frames_for_Analysis\2334_C0020 (2)_R_1_0086.jpg</t>
  </si>
  <si>
    <t>E:\CAFNEC_GBRF\2022\BarronRiver\Frames_for_Analysis\2335_C0020 (2)_R_1_0083.jpg</t>
  </si>
  <si>
    <t>E:\CAFNEC_GBRF\2022\BarronRiver\Frames_for_Analysis\2336_C0020 (2)_R_1_0079.jpg</t>
  </si>
  <si>
    <t>E:\CAFNEC_GBRF\2022\BarronRiver\Frames_for_Analysis\2337_C0020 (2)_R_1_0076.jpg</t>
  </si>
  <si>
    <t>E:\CAFNEC_GBRF\2022\BarronRiver\Frames_for_Analysis\2338_C0020 (2)_R_1_0073.jpg</t>
  </si>
  <si>
    <t>E:\CAFNEC_GBRF\2022\BarronRiver\Frames_for_Analysis\2339_C0020 (2)_R_1_0069.jpg</t>
  </si>
  <si>
    <t>E:\CAFNEC_GBRF\2022\BarronRiver\Frames_for_Analysis\2340_C0020 (2)_R_1_0066.jpg</t>
  </si>
  <si>
    <t>E:\CAFNEC_GBRF\2022\BarronRiver\Frames_for_Analysis\2341_C0020 (2)_R_1_0063.jpg</t>
  </si>
  <si>
    <t>E:\CAFNEC_GBRF\2022\BarronRiver\Frames_for_Analysis\2342_C0020 (2)_R_1_0059.jpg</t>
  </si>
  <si>
    <t>E:\CAFNEC_GBRF\2022\BarronRiver\Frames_for_Analysis\2343_C0020 (2)_R_1_0056.jpg</t>
  </si>
  <si>
    <t>E:\CAFNEC_GBRF\2022\BarronRiver\Frames_for_Analysis\2344_C0020 (2)_R_1_0053.jpg</t>
  </si>
  <si>
    <t>E:\CAFNEC_GBRF\2022\BarronRiver\Frames_for_Analysis\2345_C0020 (2)_R_1_0050.jpg</t>
  </si>
  <si>
    <t>E:\CAFNEC_GBRF\2022\BarronRiver\Frames_for_Analysis\2346_C0020 (2)_R_1_0047.jpg</t>
  </si>
  <si>
    <t>E:\CAFNEC_GBRF\2022\BarronRiver\Frames_for_Analysis\2347_C0020 (2)_R_1_0044.jpg</t>
  </si>
  <si>
    <t>E:\CAFNEC_GBRF\2022\BarronRiver\Frames_for_Analysis\2348_C0020 (2)_R_1_0040.jpg</t>
  </si>
  <si>
    <t>E:\CAFNEC_GBRF\2022\BarronRiver\Frames_for_Analysis\2349_C0020 (2)_R_1_0037.jpg</t>
  </si>
  <si>
    <t>E:\CAFNEC_GBRF\2022\BarronRiver\Frames_for_Analysis\2350_C0020 (2)_R_1_0034.jpg</t>
  </si>
  <si>
    <t>E:\CAFNEC_GBRF\2022\BarronRiver\Frames_for_Analysis\2351_C0020 (2)_R_1_0031.jpg</t>
  </si>
  <si>
    <t>E:\CAFNEC_GBRF\2022\BarronRiver\Frames_for_Analysis\2352_C0020 (2)_R_1_0028.jpg</t>
  </si>
  <si>
    <t>E:\CAFNEC_GBRF\2022\BarronRiver\Frames_for_Analysis\2353_C0020 (2)_R_1_0025.jpg</t>
  </si>
  <si>
    <t>E:\CAFNEC_GBRF\2022\BarronRiver\Frames_for_Analysis\2354_C0020 (2)_R_1_0022.jpg</t>
  </si>
  <si>
    <t>E:\CAFNEC_GBRF\2022\BarronRiver\Frames_for_Analysis\2355_C0020 (2)_R_1_0019.jpg</t>
  </si>
  <si>
    <t>E:\CAFNEC_GBRF\2022\BarronRiver\Frames_for_Analysis\2356_C0020 (2)_R_1_0016.jpg</t>
  </si>
  <si>
    <t>E:\CAFNEC_GBRF\2022\BarronRiver\Frames_for_Analysis\2357_C0020 (2)_R_1_0013.jpg</t>
  </si>
  <si>
    <t>E:\CAFNEC_GBRF\2022\BarronRiver\Frames_for_Analysis\2358_C0020 (2)_R_1_0010.jpg</t>
  </si>
  <si>
    <t>E:\CAFNEC_GBRF\2022\BarronRiver\Frames_for_Analysis\2359_C0020 (2)_R_1_0007.jpg</t>
  </si>
  <si>
    <t>E:\CAFNEC_GBRF\2022\BarronRiver\Frames_for_Analysis\2360_C0020 (2)_R_1_0003.jpg</t>
  </si>
  <si>
    <t>E:\CAFNEC_GBRF\2022\BarronRiver\Frames_for_Analysis\2361_C0020 (2)_R_0060.jpg</t>
  </si>
  <si>
    <t>E:\CAFNEC_GBRF\2022\BarronRiver\Frames_for_Analysis\2362_C0020 (2)_R_0057.jpg</t>
  </si>
  <si>
    <t>E:\CAFNEC_GBRF\2022\BarronRiver\Frames_for_Analysis\2363_C0020 (2)_R_0054.jpg</t>
  </si>
  <si>
    <t>E:\CAFNEC_GBRF\2022\BarronRiver\Frames_for_Analysis\2364_C0048_L_0017.jpg</t>
  </si>
  <si>
    <t>E:\CAFNEC_GBRF\2022\BarronRiver\Frames_for_Analysis\2365_C0020 (2)_R_0048.jpg</t>
  </si>
  <si>
    <t>E:\CAFNEC_GBRF\2022\BarronRiver\Frames_for_Analysis\2366_C0020 (2)_R_0045.jpg</t>
  </si>
  <si>
    <t>E:\CAFNEC_GBRF\2022\BarronRiver\Frames_for_Analysis\2367_C0048_L_0028.jpg</t>
  </si>
  <si>
    <t>E:\CAFNEC_GBRF\2022\BarronRiver\Frames_for_Analysis\2368_C0048_L_0031.jpg</t>
  </si>
  <si>
    <t>E:\CAFNEC_GBRF\2022\BarronRiver\Frames_for_Analysis\2369_C0020 (2)_R_0035.jpg</t>
  </si>
  <si>
    <t>E:\CAFNEC_GBRF\2022\BarronRiver\Frames_for_Analysis\2370_C0048_L_0037.jpg</t>
  </si>
  <si>
    <t>E:\CAFNEC_GBRF\2022\BarronRiver\Frames_for_Analysis\2371_C0048_L_0040.jpg</t>
  </si>
  <si>
    <t>E:\CAFNEC_GBRF\2022\BarronRiver\Frames_for_Analysis\2372_C0020 (2)_R_0026.jpg</t>
  </si>
  <si>
    <t>E:\CAFNEC_GBRF\2022\BarronRiver\Frames_for_Analysis\2373_C0020 (2)_R_0022.jpg</t>
  </si>
  <si>
    <t>E:\CAFNEC_GBRF\2022\BarronRiver\Frames_for_Analysis\2374_C0020 (2)_R_0018.jpg</t>
  </si>
  <si>
    <t>E:\CAFNEC_GBRF\2022\BarronRiver\Frames_for_Analysis\2375_C0020 (2)_R_0015.jpg</t>
  </si>
  <si>
    <t>E:\CAFNEC_GBRF\2022\BarronRiver\Frames_for_Analysis\2376_C0020 (2)_R_0010.jpg</t>
  </si>
  <si>
    <t>E:\CAFNEC_GBRF\2022\BarronRiver\Frames_for_Analysis\2377_C0048_L_0057.jpg</t>
  </si>
  <si>
    <t>E:\CAFNEC_GBRF\2022\BarronRiver\Frames_for_Analysis\2378_C0048_L_0060.jpg</t>
  </si>
  <si>
    <t>E:\CAFNEC_GBRF\2022\BarronRiver\Frames_for_Analysis\2379_C0048_L_0064.jpg</t>
  </si>
  <si>
    <t>E:\CAFNEC_GBRF\2022\BarronRiver\Frames_for_Analysis\2380_C0048_L_0067.jpg</t>
  </si>
  <si>
    <t>E:\CAFNEC_GBRF\2022\BarronRiver\Frames_for_Analysis\2381_C0048_L_0069.jpg</t>
  </si>
  <si>
    <t>E:\CAFNEC_GBRF\2022\BarronRiver\Frames_for_Analysis\2382_C0048_L_0072.jpg</t>
  </si>
  <si>
    <t>E:\CAFNEC_GBRF\2022\BarronRiver\Frames_for_Analysis\2383_C0048_L_0073.jpg</t>
  </si>
  <si>
    <t>E:\CAFNEC_GBRF\2022\BarronRiver\Frames_for_Analysis\2384_C0048_L_0076.jpg</t>
  </si>
  <si>
    <t>E:\CAFNEC_GBRF\2022\BarronRiver\Frames_for_Analysis\2385_C0048_L_0078.jpg</t>
  </si>
  <si>
    <t>E:\CAFNEC_GBRF\2022\BarronRiver\Frames_for_Analysis\2386_C0048_L_0080.jpg</t>
  </si>
  <si>
    <t>E:\CAFNEC_GBRF\2022\BarronRiver\Frames_for_Analysis\2387_C0048_L_0082.jpg</t>
  </si>
  <si>
    <t>E:\CAFNEC_GBRF\2022\BarronRiver\Frames_for_Analysis\2388_C0048_L_0084.jpg</t>
  </si>
  <si>
    <t>E:\CAFNEC_GBRF\2022\BarronRiver\Frames_for_Analysis\2389_C0048_L_0087.jpg</t>
  </si>
  <si>
    <t>E:\CAFNEC_GBRF\2022\BarronRiver\Frames_for_Analysis\2390_C0048_L_0089.jpg</t>
  </si>
  <si>
    <t>E:\CAFNEC_GBRF\2022\BarronRiver\Frames_for_Analysis\2391_C0048_L_0091.jpg</t>
  </si>
  <si>
    <t>E:\CAFNEC_GBRF\2022\BarronRiver\Frames_for_Analysis\2392_C0048_L_0093.jpg</t>
  </si>
  <si>
    <t>E:\CAFNEC_GBRF\2022\BarronRiver\Frames_for_Analysis\2393_C0048_L_0096.jpg</t>
  </si>
  <si>
    <t>E:\CAFNEC_GBRF\2022\BarronRiver\Frames_for_Analysis\2394_C0048_L_0098.jpg</t>
  </si>
  <si>
    <t>E:\CAFNEC_GBRF\2022\BarronRiver\Frames_for_Analysis\2395_C0048_L_0100.jpg</t>
  </si>
  <si>
    <t>E:\CAFNEC_GBRF\2022\BarronRiver\Frames_for_Analysis\2396_C0048_L_0103.jpg</t>
  </si>
  <si>
    <t>E:\CAFNEC_GBRF\2022\BarronRiver\Frames_for_Analysis\2397_C0048_L_0107.jpg</t>
  </si>
  <si>
    <t>E:\CAFNEC_GBRF\2022\BarronRiver\Frames_for_Analysis\2398_C0048_L_0109.jpg</t>
  </si>
  <si>
    <t>E:\CAFNEC_GBRF\2022\BarronRiver\Frames_for_Analysis\2399_C0048_L_0112.jpg</t>
  </si>
  <si>
    <t>E:\CAFNEC_GBRF\2022\BarronRiver\Frames_for_Analysis\2400_C0048_L_0115.jpg</t>
  </si>
  <si>
    <t>E:\CAFNEC_GBRF\2022\BarronRiver\Frames_for_Analysis\2401_C0048_L_0119.jpg</t>
  </si>
  <si>
    <t>E:\CAFNEC_GBRF\2022\BarronRiver\Frames_for_Analysis\2402_C0048_L_0122.jpg</t>
  </si>
  <si>
    <t>E:\CAFNEC_GBRF\2022\BarronRiver\Frames_for_Analysis\2403_C0048_L_0125.jpg</t>
  </si>
  <si>
    <t>E:\CAFNEC_GBRF\2022\BarronRiver\Frames_for_Analysis\2404_C0048_L_0128.jpg</t>
  </si>
  <si>
    <t>E:\CAFNEC_GBRF\2022\BarronRiver\Frames_for_Analysis\2405_C0048_L_0132.jpg</t>
  </si>
  <si>
    <t>E:\CAFNEC_GBRF\2022\BarronRiver\Frames_for_Analysis\2406_C0048_L_0136.jpg</t>
  </si>
  <si>
    <t>E:\CAFNEC_GBRF\2022\BarronRiver\Frames_for_Analysis\2407_C0048_L_0140.jpg</t>
  </si>
  <si>
    <t>E:\CAFNEC_GBRF\2022\BarronRiver\Frames_for_Analysis\2408_C0048_L_0144.jpg</t>
  </si>
  <si>
    <t>E:\CAFNEC_GBRF\2022\BarronRiver\Frames_for_Analysis\2409_C0048_L_0148.jpg</t>
  </si>
  <si>
    <t>E:\CAFNEC_GBRF\2022\BarronRiver\Frames_for_Analysis\2410_C0048_L_0155.jpg</t>
  </si>
  <si>
    <t>E:\CAFNEC_GBRF\2022\BarronRiver\Frames_for_Analysis\2411_C0048_L_0161.jpg</t>
  </si>
  <si>
    <t>E:\CAFNEC_GBRF\2022\BarronRiver\Frames_for_Analysis\2412_C0048_L_0167.jpg</t>
  </si>
  <si>
    <t>E:\CAFNEC_GBRF\2022\BarronRiver\Frames_for_Analysis\2413_C0048_L_0175.jpg</t>
  </si>
  <si>
    <t>E:\CAFNEC_GBRF\2022\BarronRiver\Frames_for_Analysis\2414_C0048_L_0182.jpg</t>
  </si>
  <si>
    <t>E:\CAFNEC_GBRF\2022\BarronRiver\Frames_for_Analysis\2415_C0048_L_0187.jpg</t>
  </si>
  <si>
    <t>E:\CAFNEC_GBRF\2022\BarronRiver\Frames_for_Analysis\2416_C0048_L_0193.jpg</t>
  </si>
  <si>
    <t>E:\CAFNEC_GBRF\2022\BarronRiver\Frames_for_Analysis\2417_C0048_L_0200.jpg</t>
  </si>
  <si>
    <t>E:\CAFNEC_GBRF\2022\BarronRiver\Frames_for_Analysis\2418_C0048_L_0208.jpg</t>
  </si>
  <si>
    <t>E:\CAFNEC_GBRF\2022\BarronRiver\Frames_for_Analysis\2419_C0048_L_0216.jpg</t>
  </si>
  <si>
    <t>E:\CAFNEC_GBRF\2022\BarronRiver\Frames_for_Analysis\2420_C0048_L_0221.jpg</t>
  </si>
  <si>
    <t>E:\CAFNEC_GBRF\2022\BarronRiver\Frames_for_Analysis\2421_C0048_L_0225.jpg</t>
  </si>
  <si>
    <t>E:\CAFNEC_GBRF\2022\BarronRiver\Frames_for_Analysis\2422_C0048_L_0231.jpg</t>
  </si>
  <si>
    <t>E:\CAFNEC_GBRF\2022\BarronRiver\Frames_for_Analysis\2423_C0048_L_0238.jpg</t>
  </si>
  <si>
    <t>E:\CAFNEC_GBRF\2022\BarronRiver\Frames_for_Analysis\2424_C0048_L_0243.jpg</t>
  </si>
  <si>
    <t>E:\CAFNEC_GBRF\2022\BarronRiver\Frames_for_Analysis\2425_C0048_L_0251.jpg</t>
  </si>
  <si>
    <t>E:\CAFNEC_GBRF\2022\BarronRiver\Frames_for_Analysis\2426_C0048_L_0257.jpg</t>
  </si>
  <si>
    <t>E:\CAFNEC_GBRF\2022\BarronRiver\Frames_for_Analysis\2427_C0048_L_0262.jpg</t>
  </si>
  <si>
    <t>E:\CAFNEC_GBRF\2022\BarronRiver\Frames_for_Analysis\2428_C0048_L_0269.jpg</t>
  </si>
  <si>
    <t>E:\CAFNEC_GBRF\2022\BarronRiver\Frames_for_Analysis\2429_C0048_L_0272.jpg</t>
  </si>
  <si>
    <t>E:\CAFNEC_GBRF\2022\BarronRiver\Frames_for_Analysis\2430_C0048_L_0277.jpg</t>
  </si>
  <si>
    <t>E:\CAFNEC_GBRF\2022\BarronRiver\Frames_for_Analysis\2431_C0048_L_0283.jpg</t>
  </si>
  <si>
    <t>E:\CAFNEC_GBRF\2022\BarronRiver\Frames_for_Analysis\2432_C0048_L_0290.jpg</t>
  </si>
  <si>
    <t>E:\CAFNEC_GBRF\2022\BarronRiver\Frames_for_Analysis\2433_C0006 (2)_R_0109.jpg</t>
  </si>
  <si>
    <t>E:\CAFNEC_GBRF\2022\BarronRiver\Frames_for_Analysis\2434_C0048_L_0302.jpg</t>
  </si>
  <si>
    <t>E:\CAFNEC_GBRF\2022\BarronRiver\Frames_for_Analysis\2435_C0048_L_0308.jpg</t>
  </si>
  <si>
    <t>E:\CAFNEC_GBRF\2022\BarronRiver\Frames_for_Analysis\2436_C0006 (2)_R_0122.jpg</t>
  </si>
  <si>
    <t>E:\CAFNEC_GBRF\2022\BarronRiver\Frames_for_Analysis\2437_C0006 (2)_R_0096.jpg</t>
  </si>
  <si>
    <t>E:\CAFNEC_GBRF\2022\BarronRiver\Frames_for_Analysis\2438_C0048_L_0340.jpg</t>
  </si>
  <si>
    <t>E:\CAFNEC_GBRF\2022\BarronRiver\Frames_for_Analysis\2439_C0048_L_0345.jpg</t>
  </si>
  <si>
    <t>E:\CAFNEC_GBRF\2022\BarronRiver\Frames_for_Analysis\2440_C0048_L_0351.jpg</t>
  </si>
  <si>
    <t>E:\CAFNEC_GBRF\2022\BarronRiver\Frames_for_Analysis\2441_C0048_L_0355.jpg</t>
  </si>
  <si>
    <t>E:\CAFNEC_GBRF\2022\BarronRiver\Frames_for_Analysis\2442_C0048_L_0359.jpg</t>
  </si>
  <si>
    <t>E:\CAFNEC_GBRF\2022\BarronRiver\Frames_for_Analysis\2443_C0006 (2)_R_0073.jpg</t>
  </si>
  <si>
    <t>E:\CAFNEC_GBRF\2022\BarronRiver\Frames_for_Analysis\2444_C0006 (2)_R_0070.jpg</t>
  </si>
  <si>
    <t>E:\CAFNEC_GBRF\2022\BarronRiver\Frames_for_Analysis\2445_C0006 (2)_R_0066.jpg</t>
  </si>
  <si>
    <t>E:\CAFNEC_GBRF\2022\BarronRiver\Frames_for_Analysis\2446_C0006 (2)_R_0063.jpg</t>
  </si>
  <si>
    <t>E:\CAFNEC_GBRF\2022\BarronRiver\Frames_for_Analysis\2447_C0006 (2)_R_0060.jpg</t>
  </si>
  <si>
    <t>E:\CAFNEC_GBRF\2022\BarronRiver\Frames_for_Analysis\2448_C0006 (2)_R_0057.jpg</t>
  </si>
  <si>
    <t>E:\CAFNEC_GBRF\2022\BarronRiver\Frames_for_Analysis\2449_C0006 (2)_R_0054.jpg</t>
  </si>
  <si>
    <t>E:\CAFNEC_GBRF\2022\BarronRiver\Frames_for_Analysis\2450_C0006 (2)_R_0050.jpg</t>
  </si>
  <si>
    <t>E:\CAFNEC_GBRF\2022\BarronRiver\Frames_for_Analysis\2451_C0006 (2)_R_0047.jpg</t>
  </si>
  <si>
    <t>E:\CAFNEC_GBRF\2022\BarronRiver\Frames_for_Analysis\2452_C0006 (2)_R_0044.jpg</t>
  </si>
  <si>
    <t>E:\CAFNEC_GBRF\2022\BarronRiver\Frames_for_Analysis\2453_C0006 (2)_R_0040.jpg</t>
  </si>
  <si>
    <t>E:\CAFNEC_GBRF\2022\BarronRiver\Frames_for_Analysis\2454_C0006 (2)_R_0038.jpg</t>
  </si>
  <si>
    <t>E:\CAFNEC_GBRF\2022\BarronRiver\Frames_for_Analysis\2455_C0006 (2)_R_0035.jpg</t>
  </si>
  <si>
    <t>E:\CAFNEC_GBRF\2022\BarronRiver\Frames_for_Analysis\2456_C0006 (2)_R_0031.jpg</t>
  </si>
  <si>
    <t>E:\CAFNEC_GBRF\2022\BarronRiver\Frames_for_Analysis\2457_C0006 (2)_R_0028.jpg</t>
  </si>
  <si>
    <t>E:\CAFNEC_GBRF\2022\BarronRiver\Frames_for_Analysis\2458_C0006 (2)_R_0025.jpg</t>
  </si>
  <si>
    <t>E:\CAFNEC_GBRF\2022\BarronRiver\Frames_for_Analysis\2459_C0006 (2)_R_0022.jpg</t>
  </si>
  <si>
    <t>E:\CAFNEC_GBRF\2022\BarronRiver\Frames_for_Analysis\2460_C0006 (2)_R_0018.jpg</t>
  </si>
  <si>
    <t>E:\CAFNEC_GBRF\2022\BarronRiver\Frames_for_Analysis\2461_C0006 (2)_R_0015.jpg</t>
  </si>
  <si>
    <t>E:\CAFNEC_GBRF\2022\BarronRiver\Frames_for_Analysis\2462_C0006 (2)_R_0011.jpg</t>
  </si>
  <si>
    <t>E:\CAFNEC_GBRF\2022\BarronRiver\Frames_for_Analysis\2463_C0006 (2)_R_0008.jpg</t>
  </si>
  <si>
    <t>E:\CAFNEC_GBRF\2022\BarronRiver\Frames_for_Analysis\2464_C0006 (2)_R_0005.jpg</t>
  </si>
  <si>
    <t>E:\CAFNEC_GBRF\2022\BarronRiver\Frames_for_Analysis\2465_C0005 (2)_R_0557.jpg</t>
  </si>
  <si>
    <t>E:\CAFNEC_GBRF\2022\BarronRiver\Frames_for_Analysis\2466_C0005 (2)_R_0554.jpg</t>
  </si>
  <si>
    <t>E:\CAFNEC_GBRF\2022\BarronRiver\Frames_for_Analysis\2467_C0005 (2)_R_0551.jpg</t>
  </si>
  <si>
    <t>E:\CAFNEC_GBRF\2022\BarronRiver\Frames_for_Analysis\2468_C0005 (2)_R_0547.jpg</t>
  </si>
  <si>
    <t>E:\CAFNEC_GBRF\2022\BarronRiver\Frames_for_Analysis\2469_C0005 (2)_R_0544.jpg</t>
  </si>
  <si>
    <t>E:\CAFNEC_GBRF\2022\BarronRiver\Frames_for_Analysis\2470_C0005 (2)_R_0541.jpg</t>
  </si>
  <si>
    <t>E:\CAFNEC_GBRF\2022\BarronRiver\Frames_for_Analysis\2471_C0005 (2)_R_0538.jpg</t>
  </si>
  <si>
    <t>E:\CAFNEC_GBRF\2022\BarronRiver\Frames_for_Analysis\2472_C0005 (2)_R_0535.jpg</t>
  </si>
  <si>
    <t>E:\CAFNEC_GBRF\2022\BarronRiver\Frames_for_Analysis\2473_C0005 (2)_R_0531.jpg</t>
  </si>
  <si>
    <t>E:\CAFNEC_GBRF\2022\BarronRiver\Frames_for_Analysis\2474_C0005 (2)_R_0528.jpg</t>
  </si>
  <si>
    <t>E:\CAFNEC_GBRF\2022\BarronRiver\Frames_for_Analysis\2475_C0005 (2)_R_0524.jpg</t>
  </si>
  <si>
    <t>E:\CAFNEC_GBRF\2022\BarronRiver\Frames_for_Analysis\2476_C0005 (2)_R_0520.jpg</t>
  </si>
  <si>
    <t>E:\CAFNEC_GBRF\2022\BarronRiver\Frames_for_Analysis\2477_C0005 (2)_R_0517.jpg</t>
  </si>
  <si>
    <t>E:\CAFNEC_GBRF\2022\BarronRiver\Frames_for_Analysis\2478_C0005 (2)_R_0514.jpg</t>
  </si>
  <si>
    <t>E:\CAFNEC_GBRF\2022\BarronRiver\Frames_for_Analysis\2479_C0005 (2)_R_0511.jpg</t>
  </si>
  <si>
    <t>E:\CAFNEC_GBRF\2022\BarronRiver\Frames_for_Analysis\2480_C0005 (2)_R_0508.jpg</t>
  </si>
  <si>
    <t>E:\CAFNEC_GBRF\2022\BarronRiver\Frames_for_Analysis\2481_C0005 (2)_R_0505.jpg</t>
  </si>
  <si>
    <t>E:\CAFNEC_GBRF\2022\BarronRiver\Frames_for_Analysis\2482_C0005 (2)_R_0502.jpg</t>
  </si>
  <si>
    <t>E:\CAFNEC_GBRF\2022\BarronRiver\Frames_for_Analysis\2483_C0005 (2)_R_0498.jpg</t>
  </si>
  <si>
    <t>E:\CAFNEC_GBRF\2022\BarronRiver\Frames_for_Analysis\2484_C0005 (2)_R_0495.jpg</t>
  </si>
  <si>
    <t>E:\CAFNEC_GBRF\2022\BarronRiver\Frames_for_Analysis\2485_C0005 (2)_R_0492.jpg</t>
  </si>
  <si>
    <t>E:\CAFNEC_GBRF\2022\BarronRiver\Frames_for_Analysis\2486_C0005 (2)_R_0488.jpg</t>
  </si>
  <si>
    <t>E:\CAFNEC_GBRF\2022\BarronRiver\Frames_for_Analysis\2487_C0005 (2)_R_0485.jpg</t>
  </si>
  <si>
    <t>E:\CAFNEC_GBRF\2022\BarronRiver\Frames_for_Analysis\2488_C0005 (2)_R_0482.jpg</t>
  </si>
  <si>
    <t>E:\CAFNEC_GBRF\2022\BarronRiver\Frames_for_Analysis\2489_C0005 (2)_R_0479.jpg</t>
  </si>
  <si>
    <t>E:\CAFNEC_GBRF\2022\BarronRiver\Frames_for_Analysis\2490_C0005 (2)_R_0475.jpg</t>
  </si>
  <si>
    <t>E:\CAFNEC_GBRF\2022\BarronRiver\Frames_for_Analysis\2491_C0005 (2)_R_0472.jpg</t>
  </si>
  <si>
    <t>E:\CAFNEC_GBRF\2022\BarronRiver\Frames_for_Analysis\2492_C0005 (2)_R_0469.jpg</t>
  </si>
  <si>
    <t>E:\CAFNEC_GBRF\2022\BarronRiver\Frames_for_Analysis\2493_C0005 (2)_R_0466.jpg</t>
  </si>
  <si>
    <t>E:\CAFNEC_GBRF\2022\BarronRiver\Frames_for_Analysis\2494_C0005 (2)_R_0462.jpg</t>
  </si>
  <si>
    <t>E:\CAFNEC_GBRF\2022\BarronRiver\Frames_for_Analysis\2495_C0005 (2)_R_0459.jpg</t>
  </si>
  <si>
    <t>E:\CAFNEC_GBRF\2022\BarronRiver\Frames_for_Analysis\2496_C0005 (2)_R_0455.jpg</t>
  </si>
  <si>
    <t>E:\CAFNEC_GBRF\2022\BarronRiver\Frames_for_Analysis\2497_C0005 (2)_R_0452.jpg</t>
  </si>
  <si>
    <t>E:\CAFNEC_GBRF\2022\BarronRiver\Frames_for_Analysis\2498_C0005 (2)_R_0449.jpg</t>
  </si>
  <si>
    <t>E:\CAFNEC_GBRF\2022\BarronRiver\Frames_for_Analysis\2499_C0005 (2)_R_0445.jpg</t>
  </si>
  <si>
    <t>E:\CAFNEC_GBRF\2022\BarronRiver\Frames_for_Analysis\2500_C0005 (2)_R_0441.jpg</t>
  </si>
  <si>
    <t>E:\CAFNEC_GBRF\2022\BarronRiver\Frames_for_Analysis\2501_C0005 (2)_R_0438.jpg</t>
  </si>
  <si>
    <t>E:\CAFNEC_GBRF\2022\BarronRiver\Frames_for_Analysis\2502_C0005 (2)_R_0435.jpg</t>
  </si>
  <si>
    <t>E:\CAFNEC_GBRF\2022\BarronRiver\Frames_for_Analysis\2503_C0005 (2)_R_0431.jpg</t>
  </si>
  <si>
    <t>E:\CAFNEC_GBRF\2022\BarronRiver\Frames_for_Analysis\2504_C0005 (2)_R_0427.jpg</t>
  </si>
  <si>
    <t>E:\CAFNEC_GBRF\2022\BarronRiver\Frames_for_Analysis\2505_C0005 (2)_R_0424.jpg</t>
  </si>
  <si>
    <t>E:\CAFNEC_GBRF\2022\BarronRiver\Frames_for_Analysis\2506_C0005 (2)_R_0421.jpg</t>
  </si>
  <si>
    <t>E:\CAFNEC_GBRF\2022\BarronRiver\Frames_for_Analysis\2507_C0005 (2)_R_0417.jpg</t>
  </si>
  <si>
    <t>E:\CAFNEC_GBRF\2022\BarronRiver\Frames_for_Analysis\2508_C0005 (2)_R_0413.jpg</t>
  </si>
  <si>
    <t>E:\CAFNEC_GBRF\2022\BarronRiver\Frames_for_Analysis\2509_C0005 (2)_R_0409.jpg</t>
  </si>
  <si>
    <t>E:\CAFNEC_GBRF\2022\BarronRiver\Frames_for_Analysis\2510_C0005 (2)_R_0406.jpg</t>
  </si>
  <si>
    <t>E:\CAFNEC_GBRF\2022\BarronRiver\Frames_for_Analysis\2511_C0005 (2)_R_0402.jpg</t>
  </si>
  <si>
    <t>E:\CAFNEC_GBRF\2022\BarronRiver\Frames_for_Analysis\2512_C0005 (2)_R_0399.jpg</t>
  </si>
  <si>
    <t>E:\CAFNEC_GBRF\2022\BarronRiver\Frames_for_Analysis\2513_C0005 (2)_R_0395.jpg</t>
  </si>
  <si>
    <t>E:\CAFNEC_GBRF\2022\BarronRiver\Frames_for_Analysis\2514_C0005 (2)_R_0392.jpg</t>
  </si>
  <si>
    <t>E:\CAFNEC_GBRF\2022\BarronRiver\Frames_for_Analysis\2515_C0005 (2)_R_0389.jpg</t>
  </si>
  <si>
    <t>E:\CAFNEC_GBRF\2022\BarronRiver\Frames_for_Analysis\2516_C0005 (2)_R_0385.jpg</t>
  </si>
  <si>
    <t>E:\CAFNEC_GBRF\2022\BarronRiver\Frames_for_Analysis\2517_C0005 (2)_R_0381.jpg</t>
  </si>
  <si>
    <t>E:\CAFNEC_GBRF\2022\BarronRiver\Frames_for_Analysis\2518_C0005 (2)_R_0378.jpg</t>
  </si>
  <si>
    <t>E:\CAFNEC_GBRF\2022\BarronRiver\Frames_for_Analysis\2519_C0005 (2)_R_0374.jpg</t>
  </si>
  <si>
    <t>E:\CAFNEC_GBRF\2022\BarronRiver\Frames_for_Analysis\2520_C0005 (2)_R_0370.jpg</t>
  </si>
  <si>
    <t>E:\CAFNEC_GBRF\2022\BarronRiver\Frames_for_Analysis\2521_C0005 (2)_R_0367.jpg</t>
  </si>
  <si>
    <t>E:\CAFNEC_GBRF\2022\BarronRiver\Frames_for_Analysis\2522_C0005 (2)_R_0363.jpg</t>
  </si>
  <si>
    <t>E:\CAFNEC_GBRF\2022\BarronRiver\Frames_for_Analysis\2523_C0005 (2)_R_0360.jpg</t>
  </si>
  <si>
    <t>E:\CAFNEC_GBRF\2022\BarronRiver\Frames_for_Analysis\2524_C0005 (2)_R_0356.jpg</t>
  </si>
  <si>
    <t>E:\CAFNEC_GBRF\2022\BarronRiver\Frames_for_Analysis\2525_C0005 (2)_R_0352.jpg</t>
  </si>
  <si>
    <t>E:\CAFNEC_GBRF\2022\BarronRiver\Frames_for_Analysis\2526_C0005 (2)_R_0348.jpg</t>
  </si>
  <si>
    <t>E:\CAFNEC_GBRF\2022\BarronRiver\Frames_for_Analysis\2527_C0005 (2)_R_0344.jpg</t>
  </si>
  <si>
    <t>E:\CAFNEC_GBRF\2022\BarronRiver\Frames_for_Analysis\2528_C0005 (2)_R_0341.jpg</t>
  </si>
  <si>
    <t>E:\CAFNEC_GBRF\2022\BarronRiver\Frames_for_Analysis\2529_C0005 (2)_R_0337.jpg</t>
  </si>
  <si>
    <t>E:\CAFNEC_GBRF\2022\BarronRiver\Frames_for_Analysis\2530_C0005 (2)_R_0334.jpg</t>
  </si>
  <si>
    <t>E:\CAFNEC_GBRF\2022\BarronRiver\Frames_for_Analysis\2531_C0005 (2)_R_0331.jpg</t>
  </si>
  <si>
    <t>E:\CAFNEC_GBRF\2022\BarronRiver\Frames_for_Analysis\2532_C0005 (2)_R_0325.jpg</t>
  </si>
  <si>
    <t>E:\CAFNEC_GBRF\2022\BarronRiver\Frames_for_Analysis\2533_C0005 (2)_R_0317.jpg</t>
  </si>
  <si>
    <t>E:\CAFNEC_GBRF\2022\BarronRiver\Frames_for_Analysis\2534_C0005 (2)_R_0315.jpg</t>
  </si>
  <si>
    <t>E:\CAFNEC_GBRF\2022\BarronRiver\Frames_for_Analysis\2535_C0005 (2)_R_0311.jpg</t>
  </si>
  <si>
    <t>E:\CAFNEC_GBRF\2022\BarronRiver\Frames_for_Analysis\2536_C0005 (2)_R_0308.jpg</t>
  </si>
  <si>
    <t>E:\CAFNEC_GBRF\2022\BarronRiver\Frames_for_Analysis\2537_C0005 (2)_R_0300.jpg</t>
  </si>
  <si>
    <t>E:\CAFNEC_GBRF\2022\BarronRiver\Frames_for_Analysis\2538_C0005 (2)_R_0297.jpg</t>
  </si>
  <si>
    <t>E:\CAFNEC_GBRF\2022\BarronRiver\Frames_for_Analysis\2539_C0005 (2)_R_0292.jpg</t>
  </si>
  <si>
    <t>E:\CAFNEC_GBRF\2022\BarronRiver\Frames_for_Analysis\2540_C0005 (2)_R_0288.jpg</t>
  </si>
  <si>
    <t>E:\CAFNEC_GBRF\2022\BarronRiver\Frames_for_Analysis\2541_C0005 (2)_R_0284.jpg</t>
  </si>
  <si>
    <t>E:\CAFNEC_GBRF\2022\BarronRiver\Frames_for_Analysis\2542_C0005 (2)_R_0281.jpg</t>
  </si>
  <si>
    <t>E:\CAFNEC_GBRF\2022\BarronRiver\Frames_for_Analysis\2543_C0005 (2)_R_0277.jpg</t>
  </si>
  <si>
    <t>E:\CAFNEC_GBRF\2022\BarronRiver\Frames_for_Analysis\2544_C0005 (2)_R_0272.jpg</t>
  </si>
  <si>
    <t>E:\CAFNEC_GBRF\2022\BarronRiver\Frames_for_Analysis\2545_C0005 (2)_R_0268.jpg</t>
  </si>
  <si>
    <t>E:\CAFNEC_GBRF\2022\BarronRiver\Frames_for_Analysis\2546_C0005 (2)_R_0265.jpg</t>
  </si>
  <si>
    <t>E:\CAFNEC_GBRF\2022\BarronRiver\Frames_for_Analysis\2547_C0005 (2)_R_0260.jpg</t>
  </si>
  <si>
    <t>E:\CAFNEC_GBRF\2022\BarronRiver\Frames_for_Analysis\2548_C0005 (2)_R_0256.jpg</t>
  </si>
  <si>
    <t>E:\CAFNEC_GBRF\2022\BarronRiver\Frames_for_Analysis\2549_C0005 (2)_R_0253.jpg</t>
  </si>
  <si>
    <t>E:\CAFNEC_GBRF\2022\BarronRiver\Frames_for_Analysis\2550_C0005 (2)_R_0248.jpg</t>
  </si>
  <si>
    <t>E:\CAFNEC_GBRF\2022\BarronRiver\Frames_for_Analysis\2551_C0005 (2)_R_0243.jpg</t>
  </si>
  <si>
    <t>E:\CAFNEC_GBRF\2022\BarronRiver\Frames_for_Analysis\2552_C0005 (2)_R_0239.jpg</t>
  </si>
  <si>
    <t>E:\CAFNEC_GBRF\2022\BarronRiver\Frames_for_Analysis\2553_C0005 (2)_R_0236.jpg</t>
  </si>
  <si>
    <t>E:\CAFNEC_GBRF\2022\BarronRiver\Frames_for_Analysis\2554_C0005 (2)_R_0232.jpg</t>
  </si>
  <si>
    <t>E:\CAFNEC_GBRF\2022\BarronRiver\Frames_for_Analysis\2555_C0005 (2)_R_0227.jpg</t>
  </si>
  <si>
    <t>E:\CAFNEC_GBRF\2022\BarronRiver\Frames_for_Analysis\2556_C0005 (2)_R_0221.jpg</t>
  </si>
  <si>
    <t>E:\CAFNEC_GBRF\2022\BarronRiver\Frames_for_Analysis\2557_C0005 (2)_R_0218.jpg</t>
  </si>
  <si>
    <t>E:\CAFNEC_GBRF\2022\BarronRiver\Frames_for_Analysis\2558_C0005 (2)_R_0214.jpg</t>
  </si>
  <si>
    <t>E:\CAFNEC_GBRF\2022\BarronRiver\Frames_for_Analysis\2559_C0005 (2)_R_0210.jpg</t>
  </si>
  <si>
    <t>E:\CAFNEC_GBRF\2022\BarronRiver\Frames_for_Analysis\2560_C0005 (2)_R_0206.jpg</t>
  </si>
  <si>
    <t>E:\CAFNEC_GBRF\2022\BarronRiver\Frames_for_Analysis\2561_C0005 (2)_R_0201.jpg</t>
  </si>
  <si>
    <t>E:\CAFNEC_GBRF\2022\BarronRiver\Frames_for_Analysis\2562_C0005 (2)_R_0198.jpg</t>
  </si>
  <si>
    <t>E:\CAFNEC_GBRF\2022\BarronRiver\Frames_for_Analysis\2563_C0005 (2)_R_0194.jpg</t>
  </si>
  <si>
    <t>E:\CAFNEC_GBRF\2022\BarronRiver\Frames_for_Analysis\2564_C0005 (2)_R_0189.jpg</t>
  </si>
  <si>
    <t>E:\CAFNEC_GBRF\2022\BarronRiver\Frames_for_Analysis\2565_C0005 (2)_R_0185.jpg</t>
  </si>
  <si>
    <t>E:\CAFNEC_GBRF\2022\BarronRiver\Frames_for_Analysis\2566_C0005 (2)_R_0181.jpg</t>
  </si>
  <si>
    <t>E:\CAFNEC_GBRF\2022\BarronRiver\Frames_for_Analysis\2567_C0005 (2)_R_0176.jpg</t>
  </si>
  <si>
    <t>E:\CAFNEC_GBRF\2022\BarronRiver\Frames_for_Analysis\2568_C0005 (2)_R_0172.jpg</t>
  </si>
  <si>
    <t>E:\CAFNEC_GBRF\2022\BarronRiver\Frames_for_Analysis\2569_C0005 (2)_R_0168.jpg</t>
  </si>
  <si>
    <t>E:\CAFNEC_GBRF\2022\BarronRiver\Frames_for_Analysis\2570_C0005 (2)_R_0164.jpg</t>
  </si>
  <si>
    <t>E:\CAFNEC_GBRF\2022\BarronRiver\Frames_for_Analysis\2571_C0005 (2)_R_0160.jpg</t>
  </si>
  <si>
    <t>E:\CAFNEC_GBRF\2022\BarronRiver\Frames_for_Analysis\2572_C0005 (2)_R_0156.jpg</t>
  </si>
  <si>
    <t>E:\CAFNEC_GBRF\2022\BarronRiver\Frames_for_Analysis\2573_C0005 (2)_R_0151.jpg</t>
  </si>
  <si>
    <t>E:\CAFNEC_GBRF\2022\BarronRiver\Frames_for_Analysis\2574_C0005 (2)_R_0147.jpg</t>
  </si>
  <si>
    <t>E:\CAFNEC_GBRF\2022\BarronRiver\Frames_for_Analysis\2575_C0005 (2)_R_0143.jpg</t>
  </si>
  <si>
    <t>E:\CAFNEC_GBRF\2022\BarronRiver\Frames_for_Analysis\2576_C0005 (2)_R_0138.jpg</t>
  </si>
  <si>
    <t>E:\CAFNEC_GBRF\2022\BarronRiver\Frames_for_Analysis\2577_C0005 (2)_R_0133.jpg</t>
  </si>
  <si>
    <t>E:\CAFNEC_GBRF\2022\BarronRiver\Frames_for_Analysis\2578_C0005 (2)_R_0128.jpg</t>
  </si>
  <si>
    <t>E:\CAFNEC_GBRF\2022\BarronRiver\Frames_for_Analysis\2579_C0005 (2)_R_0122.jpg</t>
  </si>
  <si>
    <t>E:\CAFNEC_GBRF\2022\BarronRiver\Frames_for_Analysis\2580_C0005 (2)_R_0116.jpg</t>
  </si>
  <si>
    <t>E:\CAFNEC_GBRF\2022\BarronRiver\Frames_for_Analysis\2581_C0005 (2)_R_0112.jpg</t>
  </si>
  <si>
    <t>E:\CAFNEC_GBRF\2022\BarronRiver\Frames_for_Analysis\2582_C0005 (2)_R_0106.jpg</t>
  </si>
  <si>
    <t>E:\CAFNEC_GBRF\2022\BarronRiver\Frames_for_Analysis\2583_C0005 (2)_R_0101.jpg</t>
  </si>
  <si>
    <t>E:\CAFNEC_GBRF\2022\BarronRiver\Frames_for_Analysis\2584_C0005 (2)_R_0097.jpg</t>
  </si>
  <si>
    <t>E:\CAFNEC_GBRF\2022\BarronRiver\Frames_for_Analysis\2585_C0005 (2)_R_0092.jpg</t>
  </si>
  <si>
    <t>E:\CAFNEC_GBRF\2022\BarronRiver\Frames_for_Analysis\2586_C0005 (2)_R_0086.jpg</t>
  </si>
  <si>
    <t>E:\CAFNEC_GBRF\2022\BarronRiver\Frames_for_Analysis\2587_C0005 (2)_R_0081.jpg</t>
  </si>
  <si>
    <t>E:\CAFNEC_GBRF\2022\BarronRiver\Frames_for_Analysis\2588_C0005 (2)_R_0076.jpg</t>
  </si>
  <si>
    <t>E:\CAFNEC_GBRF\2022\BarronRiver\Frames_for_Analysis\2589_C0005 (2)_R_0070.jpg</t>
  </si>
  <si>
    <t>E:\CAFNEC_GBRF\2022\BarronRiver\Frames_for_Analysis\2590_C0005 (2)_R_0066.jpg</t>
  </si>
  <si>
    <t>E:\CAFNEC_GBRF\2022\BarronRiver\Frames_for_Analysis\2591_C0005 (2)_R_0061.jpg</t>
  </si>
  <si>
    <t>E:\CAFNEC_GBRF\2022\BarronRiver\Frames_for_Analysis\2592_C0005 (2)_R_0055.jpg</t>
  </si>
  <si>
    <t>E:\CAFNEC_GBRF\2022\BarronRiver\Frames_for_Analysis\2593_C0005 (2)_R_0047.jpg</t>
  </si>
  <si>
    <t>E:\CAFNEC_GBRF\2022\BarronRiver\Frames_for_Analysis\2594_C0005 (2)_R_0039.jpg</t>
  </si>
  <si>
    <t>E:\CAFNEC_GBRF\2022\BarronRiver\Frames_for_Analysis\2595_C0005 (2)_R_0033.jpg</t>
  </si>
  <si>
    <t>E:\CAFNEC_GBRF\2022\BarronRiver\Frames_for_Analysis\2596_C0005 (2)_R_0027.jpg</t>
  </si>
  <si>
    <t>E:\CAFNEC_GBRF\2022\BarronRiver\Frames_for_Analysis\2597_C0005 (2)_R_0018.jpg</t>
  </si>
  <si>
    <t>E:\CAFNEC_GBRF\2022\BarronRiver\Frames_for_Analysis\2598_C0005 (2)_R_0008.jpg</t>
  </si>
  <si>
    <t>E:\CAFNEC_GBRF\2022\BarronRiver\Frames_for_Analysis\2599_C0004 (2)_R_0006.jpg</t>
  </si>
  <si>
    <t>E:\CAFNEC_GBRF\2022\BarronRiver\Frames_for_Analysis\2600_C0004 (2)_R_0055.jpg</t>
  </si>
  <si>
    <t>E:\CAFNEC_GBRF\2022\BarronRiver\Frames_for_Analysis\2601_C0053_R_0429.jpg</t>
  </si>
  <si>
    <t>E:\CAFNEC_GBRF\2022\BarronRiver\Frames_for_Analysis\2602_C0004 (2)_R_0015.jpg</t>
  </si>
  <si>
    <t>E:\CAFNEC_GBRF\2022\BarronRiver\Frames_for_Analysis\2603_C0053_R_0415.jpg</t>
  </si>
  <si>
    <t>E:\CAFNEC_GBRF\2022\BarronRiver\Frames_for_Analysis\2604_C0053_R_0408.jpg</t>
  </si>
  <si>
    <t>E:\CAFNEC_GBRF\2022\BarronRiver\Frames_for_Analysis\2605_C0053_R_0403.jpg</t>
  </si>
  <si>
    <t>E:\CAFNEC_GBRF\2022\BarronRiver\Frames_for_Analysis\2606_C0053_R_0396.jpg</t>
  </si>
  <si>
    <t>E:\CAFNEC_GBRF\2022\BarronRiver\Frames_for_Analysis\2607_C0053_R_0388.jpg</t>
  </si>
  <si>
    <t>E:\CAFNEC_GBRF\2022\BarronRiver\Frames_for_Analysis\2608_C0053_R_0381.jpg</t>
  </si>
  <si>
    <t>E:\CAFNEC_GBRF\2022\BarronRiver\Frames_for_Analysis\2609_C0053_R_0374.jpg</t>
  </si>
  <si>
    <t>E:\CAFNEC_GBRF\2022\BarronRiver\Frames_for_Analysis\2610_C0053_R_0362.jpg</t>
  </si>
  <si>
    <t>E:\CAFNEC_GBRF\2022\BarronRiver\Frames_for_Analysis\2611_C0053_R_0353.jpg</t>
  </si>
  <si>
    <t>E:\CAFNEC_GBRF\2022\BarronRiver\Frames_for_Analysis\2612_C0053_R_0346.jpg</t>
  </si>
  <si>
    <t>E:\CAFNEC_GBRF\2022\BarronRiver\Frames_for_Analysis\2613_C0053_R_0336.jpg</t>
  </si>
  <si>
    <t>E:\CAFNEC_GBRF\2022\BarronRiver\Frames_for_Analysis\2614_C0053_R_0332.jpg</t>
  </si>
  <si>
    <t>E:\CAFNEC_GBRF\2022\BarronRiver\Frames_for_Analysis\2615_C0053_R_0327.jpg</t>
  </si>
  <si>
    <t>E:\CAFNEC_GBRF\2022\BarronRiver\Frames_for_Analysis\2616_C0053_R_0318.jpg</t>
  </si>
  <si>
    <t>E:\CAFNEC_GBRF\2022\BarronRiver\Frames_for_Analysis\2617_C0053_R_0302.jpg</t>
  </si>
  <si>
    <t>E:\CAFNEC_GBRF\2022\BarronRiver\Frames_for_Analysis\2618_C0053_R_0294.jpg</t>
  </si>
  <si>
    <t>E:\CAFNEC_GBRF\2022\BarronRiver\Frames_for_Analysis\2619_C0053_R_0280.jpg</t>
  </si>
  <si>
    <t>E:\CAFNEC_GBRF\2022\BarronRiver\Frames_for_Analysis\2620_C0053_R_0272.jpg</t>
  </si>
  <si>
    <t>E:\CAFNEC_GBRF\2022\BarronRiver\Frames_for_Analysis\2621_C0053_R_0261.jpg</t>
  </si>
  <si>
    <t>E:\CAFNEC_GBRF\2022\BarronRiver\Frames_for_Analysis\2622_C0053_R_0252.jpg</t>
  </si>
  <si>
    <t>E:\CAFNEC_GBRF\2022\BarronRiver\Frames_for_Analysis\2623_C0053_R_0248.jpg</t>
  </si>
  <si>
    <t>E:\CAFNEC_GBRF\2022\BarronRiver\Frames_for_Analysis\2624_C0053_R_0239.jpg</t>
  </si>
  <si>
    <t>E:\CAFNEC_GBRF\2022\BarronRiver\Frames_for_Analysis\2625_C0053_R_0231.jpg</t>
  </si>
  <si>
    <t>E:\CAFNEC_GBRF\2022\BarronRiver\Frames_for_Analysis\2626_C0053_R_0225.jpg</t>
  </si>
  <si>
    <t>E:\CAFNEC_GBRF\2022\BarronRiver\Frames_for_Analysis\2627_C0053_R_0219.jpg</t>
  </si>
  <si>
    <t>E:\CAFNEC_GBRF\2022\BarronRiver\Frames_for_Analysis\2628_C0053_R_0213.jpg</t>
  </si>
  <si>
    <t>E:\CAFNEC_GBRF\2022\BarronRiver\Frames_for_Analysis\2629_C0053_R_0206.jpg</t>
  </si>
  <si>
    <t>E:\CAFNEC_GBRF\2022\BarronRiver\Frames_for_Analysis\2630_C0053_R_0197.jpg</t>
  </si>
  <si>
    <t>E:\CAFNEC_GBRF\2022\BarronRiver\Frames_for_Analysis\2631_C0053_R_0191.jpg</t>
  </si>
  <si>
    <t>E:\CAFNEC_GBRF\2022\BarronRiver\Frames_for_Analysis\2632_C0053_R_0185.jpg</t>
  </si>
  <si>
    <t>E:\CAFNEC_GBRF\2022\BarronRiver\Frames_for_Analysis\2633_C0053_R_0178.jpg</t>
  </si>
  <si>
    <t>E:\CAFNEC_GBRF\2022\BarronRiver\Frames_for_Analysis\2634_C0053_R_0171.jpg</t>
  </si>
  <si>
    <t>E:\CAFNEC_GBRF\2022\BarronRiver\Frames_for_Analysis\2635_C0053_R_0166.jpg</t>
  </si>
  <si>
    <t>E:\CAFNEC_GBRF\2022\BarronRiver\Frames_for_Analysis\2636_C0053_R_0164.jpg</t>
  </si>
  <si>
    <t>E:\CAFNEC_GBRF\2022\BarronRiver\Frames_for_Analysis\2637_C0053_R_0062.jpg</t>
  </si>
  <si>
    <t>E:\CAFNEC_GBRF\2022\BarronRiver\Frames_for_Analysis\2638_C0053_R_0065.jpg</t>
  </si>
  <si>
    <t>E:\CAFNEC_GBRF\2022\BarronRiver\Frames_for_Analysis\2639_C0053_R_0070.jpg</t>
  </si>
  <si>
    <t>E:\CAFNEC_GBRF\2022\BarronRiver\Frames_for_Analysis\2640_C0053_R_0075.jpg</t>
  </si>
  <si>
    <t>E:\CAFNEC_GBRF\2022\BarronRiver\Frames_for_Analysis\2641_C0053_R_0080.jpg</t>
  </si>
  <si>
    <t>E:\CAFNEC_GBRF\2022\BarronRiver\Frames_for_Analysis\2642_C0053_R_0085.jpg</t>
  </si>
  <si>
    <t>E:\CAFNEC_GBRF\2022\BarronRiver\Frames_for_Analysis\2643_C0053_R_0089.jpg</t>
  </si>
  <si>
    <t>E:\CAFNEC_GBRF\2022\BarronRiver\Frames_for_Analysis\2644_C0053_R_0092.jpg</t>
  </si>
  <si>
    <t>E:\CAFNEC_GBRF\2022\BarronRiver\Frames_for_Analysis\2645_C0053_R_0094.jpg</t>
  </si>
  <si>
    <t>E:\CAFNEC_GBRF\2022\BarronRiver\Frames_for_Analysis\2646_C0053_R_0095.jpg</t>
  </si>
  <si>
    <t>E:\CAFNEC_GBRF\2022\BarronRiver\Frames_for_Analysis\2650_C0053_R_0035.jpg</t>
  </si>
  <si>
    <t>E:\CAFNEC_GBRF\2022\BarronRiver\Frames_for_Analysis\2651_C0053_R_0038.jpg</t>
  </si>
  <si>
    <t>E:\CAFNEC_GBRF\2022\BarronRiver\Frames_for_Analysis\2652_C0053_R_0044.jpg</t>
  </si>
  <si>
    <t>E:\CAFNEC_GBRF\2022\BarronRiver\Frames_for_Analysis\2658_C0053_R_0011.jpg</t>
  </si>
  <si>
    <t>E:\CAFNEC_GBRF\2022\BarronRiver\Frames_for_Analysis\2659_C0053_R_0008.jpg</t>
  </si>
  <si>
    <t>E:\CAFNEC_GBRF\2022\BarronRiver\Frames_for_Analysis\2660_C0053_R_0004.jpg</t>
  </si>
  <si>
    <t>E:\CAFNEC_GBRF\2022\BarronRiver\Frames_for_Analysis\2661_C0052_R_0564.jpg</t>
  </si>
  <si>
    <t>E:\CAFNEC_GBRF\2022\BarronRiver\Frames_for_Analysis\2662_C0052_R_0561.jpg</t>
  </si>
  <si>
    <t>E:\CAFNEC_GBRF\2022\BarronRiver\Frames_for_Analysis\2663_C0052_R_0559.jpg</t>
  </si>
  <si>
    <t>E:\CAFNEC_GBRF\2022\BarronRiver\Frames_for_Analysis\2664_C0052_R_0557.jpg</t>
  </si>
  <si>
    <t>E:\CAFNEC_GBRF\2022\BarronRiver\Frames_for_Analysis\2665_C0052_R_0555.jpg</t>
  </si>
  <si>
    <t>E:\CAFNEC_GBRF\2022\BarronRiver\Frames_for_Analysis\2666_C0052_R_0553.jpg</t>
  </si>
  <si>
    <t>E:\CAFNEC_GBRF\2022\BarronRiver\Frames_for_Analysis\2667_C0052_R_0551.jpg</t>
  </si>
  <si>
    <t>E:\CAFNEC_GBRF\2022\BarronRiver\Frames_for_Analysis\2668_C0052_R_0549.jpg</t>
  </si>
  <si>
    <t>E:\CAFNEC_GBRF\2022\BarronRiver\Frames_for_Analysis\2669_C0052_R_0546.jpg</t>
  </si>
  <si>
    <t>E:\CAFNEC_GBRF\2022\BarronRiver\Frames_for_Analysis\2670_C0052_R_0544.jpg</t>
  </si>
  <si>
    <t>E:\CAFNEC_GBRF\2022\BarronRiver\Frames_for_Analysis\2671_C0052_R_0541.jpg</t>
  </si>
  <si>
    <t>E:\CAFNEC_GBRF\2022\BarronRiver\Frames_for_Analysis\2672_C0052_R_0538.jpg</t>
  </si>
  <si>
    <t>E:\CAFNEC_GBRF\2022\BarronRiver\Frames_for_Analysis\2673_C0052_R_0537.jpg</t>
  </si>
  <si>
    <t>E:\CAFNEC_GBRF\2022\BarronRiver\Frames_for_Analysis\2674_C0052_R_0535.jpg</t>
  </si>
  <si>
    <t>E:\CAFNEC_GBRF\2022\BarronRiver\Frames_for_Analysis\2675_C0052_R_0534.jpg</t>
  </si>
  <si>
    <t>E:\CAFNEC_GBRF\2022\BarronRiver\Frames_for_Analysis\2676_C0052_R_0531.jpg</t>
  </si>
  <si>
    <t>E:\CAFNEC_GBRF\2022\BarronRiver\Frames_for_Analysis\2677_C0052_R_0527.jpg</t>
  </si>
  <si>
    <t>E:\CAFNEC_GBRF\2022\BarronRiver\Frames_for_Analysis\2678_C0052_R_0525.jpg</t>
  </si>
  <si>
    <t>E:\CAFNEC_GBRF\2022\BarronRiver\Frames_for_Analysis\2679_C0052_R_0522.jpg</t>
  </si>
  <si>
    <t>E:\CAFNEC_GBRF\2022\BarronRiver\Frames_for_Analysis\2680_C0052_R_0518.jpg</t>
  </si>
  <si>
    <t>E:\CAFNEC_GBRF\2022\BarronRiver\Frames_for_Analysis\2681_C0052_R_0516.jpg</t>
  </si>
  <si>
    <t>E:\CAFNEC_GBRF\2022\BarronRiver\Frames_for_Analysis\2682_C0052_R_0513.jpg</t>
  </si>
  <si>
    <t>E:\CAFNEC_GBRF\2022\BarronRiver\Frames_for_Analysis\2683_C0052_R_0509.jpg</t>
  </si>
  <si>
    <t>E:\CAFNEC_GBRF\2022\BarronRiver\Frames_for_Analysis\2684_C0052_R_0506.jpg</t>
  </si>
  <si>
    <t>E:\CAFNEC_GBRF\2022\BarronRiver\Frames_for_Analysis\2685_C0052_R_0503.jpg</t>
  </si>
  <si>
    <t>E:\CAFNEC_GBRF\2022\BarronRiver\Frames_for_Analysis\2686_C0052_R_0501.jpg</t>
  </si>
  <si>
    <t>E:\CAFNEC_GBRF\2022\BarronRiver\Frames_for_Analysis\2687_C0052_R_0499.jpg</t>
  </si>
  <si>
    <t>E:\CAFNEC_GBRF\2022\BarronRiver\Frames_for_Analysis\2688_C0052_R_0497.jpg</t>
  </si>
  <si>
    <t>E:\CAFNEC_GBRF\2022\BarronRiver\Frames_for_Analysis\2689_C0052_R_0494.jpg</t>
  </si>
  <si>
    <t>E:\CAFNEC_GBRF\2022\BarronRiver\Frames_for_Analysis\2690_C0052_R_0491.jpg</t>
  </si>
  <si>
    <t>E:\CAFNEC_GBRF\2022\BarronRiver\Frames_for_Analysis\2691_C0052_R_0489.jpg</t>
  </si>
  <si>
    <t>E:\CAFNEC_GBRF\2022\BarronRiver\Frames_for_Analysis\2692_C0052_R_0486.jpg</t>
  </si>
  <si>
    <t>E:\CAFNEC_GBRF\2022\BarronRiver\Frames_for_Analysis\2693_C0052_R_0483.jpg</t>
  </si>
  <si>
    <t>E:\CAFNEC_GBRF\2022\BarronRiver\Frames_for_Analysis\2694_C0052_R_0481.jpg</t>
  </si>
  <si>
    <t>E:\CAFNEC_GBRF\2022\BarronRiver\Frames_for_Analysis\2695_C0052_R_0479.jpg</t>
  </si>
  <si>
    <t>E:\CAFNEC_GBRF\2022\BarronRiver\Frames_for_Analysis\2696_C0052_R_0476.jpg</t>
  </si>
  <si>
    <t>E:\CAFNEC_GBRF\2022\BarronRiver\Frames_for_Analysis\2697_C0052_R_0474.jpg</t>
  </si>
  <si>
    <t>E:\CAFNEC_GBRF\2022\BarronRiver\Frames_for_Analysis\2698_C0052_R_0471.jpg</t>
  </si>
  <si>
    <t>E:\CAFNEC_GBRF\2022\BarronRiver\Frames_for_Analysis\2699_C0052_R_0469.jpg</t>
  </si>
  <si>
    <t>E:\CAFNEC_GBRF\2022\BarronRiver\Frames_for_Analysis\2700_C0052_R_0466.jpg</t>
  </si>
  <si>
    <t>E:\CAFNEC_GBRF\2022\BarronRiver\Frames_for_Analysis\2701_C0052_R_0463.jpg</t>
  </si>
  <si>
    <t>E:\CAFNEC_GBRF\2022\BarronRiver\Frames_for_Analysis\2702_C0052_R_0460.jpg</t>
  </si>
  <si>
    <t>E:\CAFNEC_GBRF\2022\BarronRiver\Frames_for_Analysis\2703_C0052_R_0458.jpg</t>
  </si>
  <si>
    <t>E:\CAFNEC_GBRF\2022\BarronRiver\Frames_for_Analysis\2704_C0052_R_0455.jpg</t>
  </si>
  <si>
    <t>E:\CAFNEC_GBRF\2022\BarronRiver\Frames_for_Analysis\2705_C0052_R_0452.jpg</t>
  </si>
  <si>
    <t>E:\CAFNEC_GBRF\2022\BarronRiver\Frames_for_Analysis\2706_C0052_R_0450.jpg</t>
  </si>
  <si>
    <t>E:\CAFNEC_GBRF\2022\BarronRiver\Frames_for_Analysis\2707_C0052_R_0447.jpg</t>
  </si>
  <si>
    <t>E:\CAFNEC_GBRF\2022\BarronRiver\Frames_for_Analysis\2708_C0052_R_0445.jpg</t>
  </si>
  <si>
    <t>E:\CAFNEC_GBRF\2022\BarronRiver\Frames_for_Analysis\2709_C0052_R_0442.jpg</t>
  </si>
  <si>
    <t>E:\CAFNEC_GBRF\2022\BarronRiver\Frames_for_Analysis\2710_C0052_R_0440.jpg</t>
  </si>
  <si>
    <t>E:\CAFNEC_GBRF\2022\BarronRiver\Frames_for_Analysis\2711_C0052_R_0437.jpg</t>
  </si>
  <si>
    <t>E:\CAFNEC_GBRF\2022\BarronRiver\Frames_for_Analysis\2712_C0052_R_0435.jpg</t>
  </si>
  <si>
    <t>E:\CAFNEC_GBRF\2022\BarronRiver\Frames_for_Analysis\2713_C0052_R_0432.jpg</t>
  </si>
  <si>
    <t>E:\CAFNEC_GBRF\2022\BarronRiver\Frames_for_Analysis\2714_C0052_R_0429.jpg</t>
  </si>
  <si>
    <t>E:\CAFNEC_GBRF\2022\BarronRiver\Frames_for_Analysis\2715_C0052_R_0426.jpg</t>
  </si>
  <si>
    <t>E:\CAFNEC_GBRF\2022\BarronRiver\Frames_for_Analysis\2716_C0052_R_0423.jpg</t>
  </si>
  <si>
    <t>E:\CAFNEC_GBRF\2022\BarronRiver\Frames_for_Analysis\2717_C0052_R_0421.jpg</t>
  </si>
  <si>
    <t>E:\CAFNEC_GBRF\2022\BarronRiver\Frames_for_Analysis\2718_C0052_R_0418.jpg</t>
  </si>
  <si>
    <t>E:\CAFNEC_GBRF\2022\BarronRiver\Frames_for_Analysis\2719_C0052_R_0415.jpg</t>
  </si>
  <si>
    <t>E:\CAFNEC_GBRF\2022\BarronRiver\Frames_for_Analysis\2720_C0052_R_0413.jpg</t>
  </si>
  <si>
    <t>E:\CAFNEC_GBRF\2022\BarronRiver\Frames_for_Analysis\2721_C0052_R_0410.jpg</t>
  </si>
  <si>
    <t>E:\CAFNEC_GBRF\2022\BarronRiver\Frames_for_Analysis\2722_C0052_R_0407.jpg</t>
  </si>
  <si>
    <t>E:\CAFNEC_GBRF\2022\BarronRiver\Frames_for_Analysis\2723_C0052_R_0405.jpg</t>
  </si>
  <si>
    <t>E:\CAFNEC_GBRF\2022\BarronRiver\Frames_for_Analysis\2724_C0052_R_0402.jpg</t>
  </si>
  <si>
    <t>E:\CAFNEC_GBRF\2022\BarronRiver\Frames_for_Analysis\2725_C0052_R_0400.jpg</t>
  </si>
  <si>
    <t>E:\CAFNEC_GBRF\2022\BarronRiver\Frames_for_Analysis\2726_C0052_R_0398.jpg</t>
  </si>
  <si>
    <t>E:\CAFNEC_GBRF\2022\BarronRiver\Frames_for_Analysis\2727_C0052_R_0395.jpg</t>
  </si>
  <si>
    <t>E:\CAFNEC_GBRF\2022\BarronRiver\Frames_for_Analysis\2728_C0052_R_0392.jpg</t>
  </si>
  <si>
    <t>E:\CAFNEC_GBRF\2022\BarronRiver\Frames_for_Analysis\2729_C0052_R_0389.jpg</t>
  </si>
  <si>
    <t>E:\CAFNEC_GBRF\2022\BarronRiver\Frames_for_Analysis\2730_C0052_R_0387.jpg</t>
  </si>
  <si>
    <t>E:\CAFNEC_GBRF\2022\BarronRiver\Frames_for_Analysis\2731_C0052_R_0384.jpg</t>
  </si>
  <si>
    <t>E:\CAFNEC_GBRF\2022\BarronRiver\Frames_for_Analysis\2732_C0052_R_0381.jpg</t>
  </si>
  <si>
    <t>E:\CAFNEC_GBRF\2022\BarronRiver\Frames_for_Analysis\2733_C0052_R_0379.jpg</t>
  </si>
  <si>
    <t>E:\CAFNEC_GBRF\2022\BarronRiver\Frames_for_Analysis\2734_C0052_R_0376.jpg</t>
  </si>
  <si>
    <t>E:\CAFNEC_GBRF\2022\BarronRiver\Frames_for_Analysis\2735_C0052_R_0372.jpg</t>
  </si>
  <si>
    <t>E:\CAFNEC_GBRF\2022\BarronRiver\Frames_for_Analysis\2736_C0052_R_0370.jpg</t>
  </si>
  <si>
    <t>E:\CAFNEC_GBRF\2022\BarronRiver\Frames_for_Analysis\2737_C0052_R_0367.jpg</t>
  </si>
  <si>
    <t>E:\CAFNEC_GBRF\2022\BarronRiver\Frames_for_Analysis\2738_C0052_R_0364.jpg</t>
  </si>
  <si>
    <t>E:\CAFNEC_GBRF\2022\BarronRiver\Frames_for_Analysis\2739_C0052_R_0362.jpg</t>
  </si>
  <si>
    <t>E:\CAFNEC_GBRF\2022\BarronRiver\Frames_for_Analysis\2740_C0052_R_0359.jpg</t>
  </si>
  <si>
    <t>E:\CAFNEC_GBRF\2022\BarronRiver\Frames_for_Analysis\2741_C0052_R_0357.jpg</t>
  </si>
  <si>
    <t>E:\CAFNEC_GBRF\2022\BarronRiver\Frames_for_Analysis\2742_C0052_R_0353.jpg</t>
  </si>
  <si>
    <t>E:\CAFNEC_GBRF\2022\BarronRiver\Frames_for_Analysis\2743_C0052_R_0351.jpg</t>
  </si>
  <si>
    <t>E:\CAFNEC_GBRF\2022\BarronRiver\Frames_for_Analysis\2744_C0052_R_0348.jpg</t>
  </si>
  <si>
    <t>E:\CAFNEC_GBRF\2022\BarronRiver\Frames_for_Analysis\2745_C0052_R_0345.jpg</t>
  </si>
  <si>
    <t>E:\CAFNEC_GBRF\2022\BarronRiver\Frames_for_Analysis\2746_C0052_R_0343.jpg</t>
  </si>
  <si>
    <t>E:\CAFNEC_GBRF\2022\BarronRiver\Frames_for_Analysis\2747_C0052_R_0340.jpg</t>
  </si>
  <si>
    <t>E:\CAFNEC_GBRF\2022\BarronRiver\Frames_for_Analysis\2748_C0052_R_0337.jpg</t>
  </si>
  <si>
    <t>E:\CAFNEC_GBRF\2022\BarronRiver\Frames_for_Analysis\2749_C0052_R_0334.jpg</t>
  </si>
  <si>
    <t>E:\CAFNEC_GBRF\2022\BarronRiver\Frames_for_Analysis\2750_C0052_R_0332.jpg</t>
  </si>
  <si>
    <t>E:\CAFNEC_GBRF\2022\BarronRiver\Frames_for_Analysis\2751_C0052_R_0329.jpg</t>
  </si>
  <si>
    <t>E:\CAFNEC_GBRF\2022\BarronRiver\Frames_for_Analysis\2752_C0052_R_0327.jpg</t>
  </si>
  <si>
    <t>E:\CAFNEC_GBRF\2022\BarronRiver\Frames_for_Analysis\2753_C0052_R_0324.jpg</t>
  </si>
  <si>
    <t>E:\CAFNEC_GBRF\2022\BarronRiver\Frames_for_Analysis\2754_C0052_R_0321.jpg</t>
  </si>
  <si>
    <t>E:\CAFNEC_GBRF\2022\BarronRiver\Frames_for_Analysis\2755_C0052_R_0319.jpg</t>
  </si>
  <si>
    <t>E:\CAFNEC_GBRF\2022\BarronRiver\Frames_for_Analysis\2756_C0052_R_0317.jpg</t>
  </si>
  <si>
    <t>E:\CAFNEC_GBRF\2022\BarronRiver\Frames_for_Analysis\2757_C0052_R_0314.jpg</t>
  </si>
  <si>
    <t>E:\CAFNEC_GBRF\2022\BarronRiver\Frames_for_Analysis\2758_C0052_R_0312.jpg</t>
  </si>
  <si>
    <t>E:\CAFNEC_GBRF\2022\BarronRiver\Frames_for_Analysis\2759_C0052_R_0310.jpg</t>
  </si>
  <si>
    <t>E:\CAFNEC_GBRF\2022\BarronRiver\Frames_for_Analysis\2760_C0052_R_0307.jpg</t>
  </si>
  <si>
    <t>E:\CAFNEC_GBRF\2022\BarronRiver\Frames_for_Analysis\2761_C0052_R_0305.jpg</t>
  </si>
  <si>
    <t>E:\CAFNEC_GBRF\2022\BarronRiver\Frames_for_Analysis\2762_C0052_R_0303.jpg</t>
  </si>
  <si>
    <t>E:\CAFNEC_GBRF\2022\BarronRiver\Frames_for_Analysis\2763_C0052_R_0300.jpg</t>
  </si>
  <si>
    <t>E:\CAFNEC_GBRF\2022\BarronRiver\Frames_for_Analysis\2764_C0052_R_0298.jpg</t>
  </si>
  <si>
    <t>E:\CAFNEC_GBRF\2022\BarronRiver\Frames_for_Analysis\2765_C0052_R_0296.jpg</t>
  </si>
  <si>
    <t>E:\CAFNEC_GBRF\2022\BarronRiver\Frames_for_Analysis\2766_C0052_R_0293.jpg</t>
  </si>
  <si>
    <t>E:\CAFNEC_GBRF\2022\BarronRiver\Frames_for_Analysis\2767_C0052_R_0291.jpg</t>
  </si>
  <si>
    <t>E:\CAFNEC_GBRF\2022\BarronRiver\Frames_for_Analysis\2768_C0052_R_0289.jpg</t>
  </si>
  <si>
    <t>E:\CAFNEC_GBRF\2022\BarronRiver\Frames_for_Analysis\2769_C0052_R_0286.jpg</t>
  </si>
  <si>
    <t>E:\CAFNEC_GBRF\2022\BarronRiver\Frames_for_Analysis\2770_C0052_R_0284.jpg</t>
  </si>
  <si>
    <t>E:\CAFNEC_GBRF\2022\BarronRiver\Frames_for_Analysis\2771_C0052_R_0281.jpg</t>
  </si>
  <si>
    <t>E:\CAFNEC_GBRF\2022\BarronRiver\Frames_for_Analysis\2772_C0052_R_0279.jpg</t>
  </si>
  <si>
    <t>E:\CAFNEC_GBRF\2022\BarronRiver\Frames_for_Analysis\2773_C0052_R_0276.jpg</t>
  </si>
  <si>
    <t>E:\CAFNEC_GBRF\2022\BarronRiver\Frames_for_Analysis\2774_C0052_R_0274.jpg</t>
  </si>
  <si>
    <t>E:\CAFNEC_GBRF\2022\BarronRiver\Frames_for_Analysis\2775_C0052_R_0271.jpg</t>
  </si>
  <si>
    <t>E:\CAFNEC_GBRF\2022\BarronRiver\Frames_for_Analysis\2776_C0052_R_0268.jpg</t>
  </si>
  <si>
    <t>E:\CAFNEC_GBRF\2022\BarronRiver\Frames_for_Analysis\2777_C0052_R_0266.jpg</t>
  </si>
  <si>
    <t>E:\CAFNEC_GBRF\2022\BarronRiver\Frames_for_Analysis\2778_C0052_R_0263.jpg</t>
  </si>
  <si>
    <t>E:\CAFNEC_GBRF\2022\BarronRiver\Frames_for_Analysis\2779_C0052_R_0261.jpg</t>
  </si>
  <si>
    <t>E:\CAFNEC_GBRF\2022\BarronRiver\Frames_for_Analysis\2780_C0052_R_0258.jpg</t>
  </si>
  <si>
    <t>E:\CAFNEC_GBRF\2022\BarronRiver\Frames_for_Analysis\2781_C0052_R_0256.jpg</t>
  </si>
  <si>
    <t>E:\CAFNEC_GBRF\2022\BarronRiver\Frames_for_Analysis\2782_C0052_R_0253.jpg</t>
  </si>
  <si>
    <t>E:\CAFNEC_GBRF\2022\BarronRiver\Frames_for_Analysis\2783_C0052_R_0251.jpg</t>
  </si>
  <si>
    <t>E:\CAFNEC_GBRF\2022\BarronRiver\Frames_for_Analysis\2784_C0052_R_0248.jpg</t>
  </si>
  <si>
    <t>E:\CAFNEC_GBRF\2022\BarronRiver\Frames_for_Analysis\2785_C0052_R_0246.jpg</t>
  </si>
  <si>
    <t>E:\CAFNEC_GBRF\2022\BarronRiver\Frames_for_Analysis\2786_C0052_R_0243.jpg</t>
  </si>
  <si>
    <t>E:\CAFNEC_GBRF\2022\BarronRiver\Frames_for_Analysis\2787_C0052_R_0241.jpg</t>
  </si>
  <si>
    <t>E:\CAFNEC_GBRF\2022\BarronRiver\Frames_for_Analysis\2788_C0052_R_0239.jpg</t>
  </si>
  <si>
    <t>E:\CAFNEC_GBRF\2022\BarronRiver\Frames_for_Analysis\2789_C0052_R_0236.jpg</t>
  </si>
  <si>
    <t>E:\CAFNEC_GBRF\2022\BarronRiver\Frames_for_Analysis\2790_C0052_R_0234.jpg</t>
  </si>
  <si>
    <t>E:\CAFNEC_GBRF\2022\BarronRiver\Frames_for_Analysis\2791_C0052_R_0231.jpg</t>
  </si>
  <si>
    <t>E:\CAFNEC_GBRF\2022\BarronRiver\Frames_for_Analysis\2792_C0052_R_0228.jpg</t>
  </si>
  <si>
    <t>E:\CAFNEC_GBRF\2022\BarronRiver\Frames_for_Analysis\2793_C0052_R_0226.jpg</t>
  </si>
  <si>
    <t>E:\CAFNEC_GBRF\2022\BarronRiver\Frames_for_Analysis\2794_C0052_R_0223.jpg</t>
  </si>
  <si>
    <t>E:\CAFNEC_GBRF\2022\BarronRiver\Frames_for_Analysis\2795_C0052_R_0220.jpg</t>
  </si>
  <si>
    <t>E:\CAFNEC_GBRF\2022\BarronRiver\Frames_for_Analysis\2796_C0052_R_0217.jpg</t>
  </si>
  <si>
    <t>E:\CAFNEC_GBRF\2022\BarronRiver\Frames_for_Analysis\2797_C0052_R_0214.jpg</t>
  </si>
  <si>
    <t>E:\CAFNEC_GBRF\2022\BarronRiver\Frames_for_Analysis\2798_C0052_R_0212.jpg</t>
  </si>
  <si>
    <t>E:\CAFNEC_GBRF\2022\BarronRiver\Frames_for_Analysis\2799_C0052_R_0209.jpg</t>
  </si>
  <si>
    <t>E:\CAFNEC_GBRF\2022\BarronRiver\Frames_for_Analysis\2800_C0052_R_0206.jpg</t>
  </si>
  <si>
    <t>E:\CAFNEC_GBRF\2022\BarronRiver\Frames_for_Analysis\2801_C0052_R_0203.jpg</t>
  </si>
  <si>
    <t>E:\CAFNEC_GBRF\2022\BarronRiver\Frames_for_Analysis\2802_C0052_R_0200.jpg</t>
  </si>
  <si>
    <t>E:\CAFNEC_GBRF\2022\BarronRiver\Frames_for_Analysis\2803_C0052_R_0197.jpg</t>
  </si>
  <si>
    <t>E:\CAFNEC_GBRF\2022\BarronRiver\Frames_for_Analysis\2804_C0052_R_0193.jpg</t>
  </si>
  <si>
    <t>E:\CAFNEC_GBRF\2022\BarronRiver\Frames_for_Analysis\2805_C0052_R_0190.jpg</t>
  </si>
  <si>
    <t>E:\CAFNEC_GBRF\2022\BarronRiver\Frames_for_Analysis\2806_C0052_R_0187.jpg</t>
  </si>
  <si>
    <t>E:\CAFNEC_GBRF\2022\BarronRiver\Frames_for_Analysis\2807_C0052_R_0184.jpg</t>
  </si>
  <si>
    <t>E:\CAFNEC_GBRF\2022\BarronRiver\Frames_for_Analysis\2808_C0052_R_0181.jpg</t>
  </si>
  <si>
    <t>E:\CAFNEC_GBRF\2022\BarronRiver\Frames_for_Analysis\2809_C0052_R_0179.jpg</t>
  </si>
  <si>
    <t>E:\CAFNEC_GBRF\2022\BarronRiver\Frames_for_Analysis\2810_C0052_R_0175.jpg</t>
  </si>
  <si>
    <t>E:\CAFNEC_GBRF\2022\BarronRiver\Frames_for_Analysis\2811_C0052_R_0172.jpg</t>
  </si>
  <si>
    <t>E:\CAFNEC_GBRF\2022\BarronRiver\Frames_for_Analysis\2812_C0052_R_0170.jpg</t>
  </si>
  <si>
    <t>E:\CAFNEC_GBRF\2022\BarronRiver\Frames_for_Analysis\2813_C0052_R_0167.jpg</t>
  </si>
  <si>
    <t>E:\CAFNEC_GBRF\2022\BarronRiver\Frames_for_Analysis\2814_C0052_R_0164.jpg</t>
  </si>
  <si>
    <t>E:\CAFNEC_GBRF\2022\BarronRiver\Frames_for_Analysis\2815_C0052_R_0161.jpg</t>
  </si>
  <si>
    <t>E:\CAFNEC_GBRF\2022\BarronRiver\Frames_for_Analysis\2816_C0052_R_0159.jpg</t>
  </si>
  <si>
    <t>E:\CAFNEC_GBRF\2022\BarronRiver\Frames_for_Analysis\2817_C0052_R_0155.jpg</t>
  </si>
  <si>
    <t>E:\CAFNEC_GBRF\2022\BarronRiver\Frames_for_Analysis\2818_C0052_R_0153.jpg</t>
  </si>
  <si>
    <t>E:\CAFNEC_GBRF\2022\BarronRiver\Frames_for_Analysis\2819_C0052_R_0151.jpg</t>
  </si>
  <si>
    <t>E:\CAFNEC_GBRF\2022\BarronRiver\Frames_for_Analysis\2820_C0052_R_0147.jpg</t>
  </si>
  <si>
    <t>E:\CAFNEC_GBRF\2022\BarronRiver\Frames_for_Analysis\2821_C0052_R_0145.jpg</t>
  </si>
  <si>
    <t>E:\CAFNEC_GBRF\2022\BarronRiver\Frames_for_Analysis\2822_C0052_R_0142.jpg</t>
  </si>
  <si>
    <t>E:\CAFNEC_GBRF\2022\BarronRiver\Frames_for_Analysis\2823_C0052_R_0139.jpg</t>
  </si>
  <si>
    <t>E:\CAFNEC_GBRF\2022\BarronRiver\Frames_for_Analysis\2824_C0052_R_0136.jpg</t>
  </si>
  <si>
    <t>E:\CAFNEC_GBRF\2022\BarronRiver\Frames_for_Analysis\2825_C0052_R_0133.jpg</t>
  </si>
  <si>
    <t>E:\CAFNEC_GBRF\2022\BarronRiver\Frames_for_Analysis\2826_C0052_R_0130.jpg</t>
  </si>
  <si>
    <t>E:\CAFNEC_GBRF\2022\BarronRiver\Frames_for_Analysis\2827_C0052_R_0126.jpg</t>
  </si>
  <si>
    <t>E:\CAFNEC_GBRF\2022\BarronRiver\Frames_for_Analysis\2828_C0052_R_0124.jpg</t>
  </si>
  <si>
    <t>E:\CAFNEC_GBRF\2022\BarronRiver\Frames_for_Analysis\2829_C0052_R_0120.jpg</t>
  </si>
  <si>
    <t>E:\CAFNEC_GBRF\2022\BarronRiver\Frames_for_Analysis\2830_C0052_R_0117.jpg</t>
  </si>
  <si>
    <t>E:\CAFNEC_GBRF\2022\BarronRiver\Frames_for_Analysis\2831_C0052_R_0114.jpg</t>
  </si>
  <si>
    <t>E:\CAFNEC_GBRF\2022\BarronRiver\Frames_for_Analysis\2832_C0052_R_0111.jpg</t>
  </si>
  <si>
    <t>E:\CAFNEC_GBRF\2022\BarronRiver\Frames_for_Analysis\2833_C0052_R_0108.jpg</t>
  </si>
  <si>
    <t>E:\CAFNEC_GBRF\2022\BarronRiver\Frames_for_Analysis\2834_C0052_R_0105.jpg</t>
  </si>
  <si>
    <t>E:\CAFNEC_GBRF\2022\BarronRiver\Frames_for_Analysis\2835_C0052_R_0102.jpg</t>
  </si>
  <si>
    <t>E:\CAFNEC_GBRF\2022\BarronRiver\Frames_for_Analysis\2836_C0052_R_0098.jpg</t>
  </si>
  <si>
    <t>E:\CAFNEC_GBRF\2022\BarronRiver\Frames_for_Analysis\2837_C0052_R_0095.jpg</t>
  </si>
  <si>
    <t>E:\CAFNEC_GBRF\2022\BarronRiver\Frames_for_Analysis\2838_C0052_R_0092.jpg</t>
  </si>
  <si>
    <t>E:\CAFNEC_GBRF\2022\BarronRiver\Frames_for_Analysis\2839_C0052_R_0089.jpg</t>
  </si>
  <si>
    <t>E:\CAFNEC_GBRF\2022\BarronRiver\Frames_for_Analysis\2840_C0052_R_0085.jpg</t>
  </si>
  <si>
    <t>E:\CAFNEC_GBRF\2022\BarronRiver\Frames_for_Analysis\2841_C0052_R_0082.jpg</t>
  </si>
  <si>
    <t>E:\CAFNEC_GBRF\2022\BarronRiver\Frames_for_Analysis\2842_C0052_R_0079.jpg</t>
  </si>
  <si>
    <t>E:\CAFNEC_GBRF\2022\BarronRiver\Frames_for_Analysis\2843_C0052_R_0075.jpg</t>
  </si>
  <si>
    <t>E:\CAFNEC_GBRF\2022\BarronRiver\Frames_for_Analysis\2844_C0052_R_0072.jpg</t>
  </si>
  <si>
    <t>E:\CAFNEC_GBRF\2022\BarronRiver\Frames_for_Analysis\2845_C0052_R_0068.jpg</t>
  </si>
  <si>
    <t>E:\CAFNEC_GBRF\2022\BarronRiver\Frames_for_Analysis\2846_C0052_R_0065.jpg</t>
  </si>
  <si>
    <t>E:\CAFNEC_GBRF\2022\BarronRiver\Frames_for_Analysis\2847_C0052_R_0062.jpg</t>
  </si>
  <si>
    <t>E:\CAFNEC_GBRF\2022\BarronRiver\Frames_for_Analysis\2848_C0052_R_0058.jpg</t>
  </si>
  <si>
    <t>E:\CAFNEC_GBRF\2022\BarronRiver\Frames_for_Analysis\2849_C0052_R_0055.jpg</t>
  </si>
  <si>
    <t>E:\CAFNEC_GBRF\2022\BarronRiver\Frames_for_Analysis\2850_C0052_R_0052.jpg</t>
  </si>
  <si>
    <t>E:\CAFNEC_GBRF\2022\BarronRiver\Frames_for_Analysis\2851_C0052_R_0049.jpg</t>
  </si>
  <si>
    <t>E:\CAFNEC_GBRF\2022\BarronRiver\Frames_for_Analysis\2852_C0052_R_0046.jpg</t>
  </si>
  <si>
    <t>E:\CAFNEC_GBRF\2022\BarronRiver\Frames_for_Analysis\2853_C0011 (2)_L_0010.jpg</t>
  </si>
  <si>
    <t>E:\CAFNEC_GBRF\2022\BarronRiver\Frames_for_Analysis\2854_C0052_R_0040.jpg</t>
  </si>
  <si>
    <t>E:\CAFNEC_GBRF\2022\BarronRiver\Frames_for_Analysis\2855_C0052_R_0036.jpg</t>
  </si>
  <si>
    <t>E:\CAFNEC_GBRF\2022\BarronRiver\Frames_for_Analysis\2856_C0052_R_0033.jpg</t>
  </si>
  <si>
    <t>E:\CAFNEC_GBRF\2022\BarronRiver\Frames_for_Analysis\2857_C0052_R_0030.jpg</t>
  </si>
  <si>
    <t>E:\CAFNEC_GBRF\2022\BarronRiver\Frames_for_Analysis\2858_C0052_R_0026.jpg</t>
  </si>
  <si>
    <t>E:\CAFNEC_GBRF\2022\BarronRiver\Frames_for_Analysis\2859_C0052_R_0023.jpg</t>
  </si>
  <si>
    <t>E:\CAFNEC_GBRF\2022\BarronRiver\Frames_for_Analysis\2860_C0052_R_0019.jpg</t>
  </si>
  <si>
    <t>E:\CAFNEC_GBRF\2022\BarronRiver\Frames_for_Analysis\2861_C0052_R_0015.jpg</t>
  </si>
  <si>
    <t>E:\CAFNEC_GBRF\2022\BarronRiver\Frames_for_Analysis\2862_C0052_R_0012.jpg</t>
  </si>
  <si>
    <t>E:\CAFNEC_GBRF\2022\BarronRiver\Frames_for_Analysis\2863_C0052_R_0008.jpg</t>
  </si>
  <si>
    <t>E:\CAFNEC_GBRF\2022\BarronRiver\Frames_for_Analysis\2864_C0012 (2)_L_0012.jpg</t>
  </si>
  <si>
    <t>E:\CAFNEC_GBRF\2022\BarronRiver\Frames_for_Analysis\2865_C0012 (2)_L_0016.jpg</t>
  </si>
  <si>
    <t>E:\CAFNEC_GBRF\2022\BarronRiver\Frames_for_Analysis\2866_C0012 (2)_L_0019.jpg</t>
  </si>
  <si>
    <t>E:\CAFNEC_GBRF\2022\BarronRiver\Frames_for_Analysis\2867_C0012 (2)_L_0023.jpg</t>
  </si>
  <si>
    <t>E:\CAFNEC_GBRF\2022\BarronRiver\Frames_for_Analysis\2868_C0012 (2)_L_0025.jpg</t>
  </si>
  <si>
    <t>E:\CAFNEC_GBRF\2022\BarronRiver\Frames_for_Analysis\2869_C0012 (2)_L_0028.jpg</t>
  </si>
  <si>
    <t>E:\CAFNEC_GBRF\2022\BarronRiver\Frames_for_Analysis\2870_C0012 (2)_L_0031.jpg</t>
  </si>
  <si>
    <t>E:\CAFNEC_GBRF\2022\BarronRiver\Frames_for_Analysis\2871_C0012 (2)_L_0034.jpg</t>
  </si>
  <si>
    <t>E:\CAFNEC_GBRF\2022\BarronRiver\Frames_for_Analysis\2872_C0012 (2)_L_0037.jpg</t>
  </si>
  <si>
    <t>E:\CAFNEC_GBRF\2022\BarronRiver\Frames_for_Analysis\2873_C0012 (2)_L_0040.jpg</t>
  </si>
  <si>
    <t>E:\CAFNEC_GBRF\2022\BarronRiver\Frames_for_Analysis\2874_C0012 (2)_L_0044.jpg</t>
  </si>
  <si>
    <t>E:\CAFNEC_GBRF\2022\BarronRiver\Frames_for_Analysis\2875_C0012 (2)_L_0047.jpg</t>
  </si>
  <si>
    <t>E:\CAFNEC_GBRF\2022\BarronRiver\Frames_for_Analysis\2876_C0012 (2)_L_0050.jpg</t>
  </si>
  <si>
    <t>E:\CAFNEC_GBRF\2022\BarronRiver\Frames_for_Analysis\2877_C0012 (2)_L_0053.jpg</t>
  </si>
  <si>
    <t>E:\CAFNEC_GBRF\2022\BarronRiver\Frames_for_Analysis\2878_C0012 (2)_L_0055.jpg</t>
  </si>
  <si>
    <t>E:\CAFNEC_GBRF\2022\BarronRiver\Frames_for_Analysis\2879_C0012 (2)_L_0058.jpg</t>
  </si>
  <si>
    <t>E:\CAFNEC_GBRF\2022\BarronRiver\Frames_for_Analysis\2880_C0012 (2)_L_0060.jpg</t>
  </si>
  <si>
    <t>E:\CAFNEC_GBRF\2022\BarronRiver\Frames_for_Analysis\2881_C0012 (2)_L_0063.jpg</t>
  </si>
  <si>
    <t>E:\CAFNEC_GBRF\2022\BarronRiver\Frames_for_Analysis\2882_C0012 (2)_L_0065.jpg</t>
  </si>
  <si>
    <t>E:\CAFNEC_GBRF\2022\BarronRiver\Frames_for_Analysis\2883_C0012 (2)_L_0068.jpg</t>
  </si>
  <si>
    <t>E:\CAFNEC_GBRF\2022\BarronRiver\Frames_for_Analysis\2884_C0012 (2)_L_0070.jpg</t>
  </si>
  <si>
    <t>E:\CAFNEC_GBRF\2022\BarronRiver\Frames_for_Analysis\2885_C0012 (2)_L_0073.jpg</t>
  </si>
  <si>
    <t>E:\CAFNEC_GBRF\2022\BarronRiver\Frames_for_Analysis\2886_C0012 (2)_L_0076.jpg</t>
  </si>
  <si>
    <t>E:\CAFNEC_GBRF\2022\BarronRiver\Frames_for_Analysis\2887_C0012 (2)_L_0079.jpg</t>
  </si>
  <si>
    <t>E:\CAFNEC_GBRF\2022\BarronRiver\Frames_for_Analysis\2888_C0012 (2)_L_0083.jpg</t>
  </si>
  <si>
    <t>E:\CAFNEC_GBRF\2022\BarronRiver\Frames_for_Analysis\2889_C0012 (2)_L_0085.jpg</t>
  </si>
  <si>
    <t>E:\CAFNEC_GBRF\2022\BarronRiver\Frames_for_Analysis\2890_C0012 (2)_L_0088.jpg</t>
  </si>
  <si>
    <t>E:\CAFNEC_GBRF\2022\BarronRiver\Frames_for_Analysis\2891_C0012 (2)_L_0091.jpg</t>
  </si>
  <si>
    <t>E:\CAFNEC_GBRF\2022\BarronRiver\Frames_for_Analysis\2892_C0012 (2)_L_0093.jpg</t>
  </si>
  <si>
    <t>E:\CAFNEC_GBRF\2022\BarronRiver\Frames_for_Analysis\2893_C0012 (2)_L_0096.jpg</t>
  </si>
  <si>
    <t>E:\CAFNEC_GBRF\2022\BarronRiver\Frames_for_Analysis\2894_C0012 (2)_L_0098.jpg</t>
  </si>
  <si>
    <t>E:\CAFNEC_GBRF\2022\BarronRiver\Frames_for_Analysis\2895_C0012 (2)_L_0101.jpg</t>
  </si>
  <si>
    <t>E:\CAFNEC_GBRF\2022\BarronRiver\Frames_for_Analysis\2896_C0012 (2)_L_0104.jpg</t>
  </si>
  <si>
    <t>E:\CAFNEC_GBRF\2022\BarronRiver\Frames_for_Analysis\2897_C0012 (2)_L_0106.jpg</t>
  </si>
  <si>
    <t>E:\CAFNEC_GBRF\2022\BarronRiver\Frames_for_Analysis\2898_C0012 (2)_L_0109.jpg</t>
  </si>
  <si>
    <t>E:\CAFNEC_GBRF\2022\BarronRiver\Frames_for_Analysis\2899_C0012 (2)_L_0112.jpg</t>
  </si>
  <si>
    <t>E:\CAFNEC_GBRF\2022\BarronRiver\Frames_for_Analysis\2900_C0012 (2)_L_0115.jpg</t>
  </si>
  <si>
    <t>E:\CAFNEC_GBRF\2022\BarronRiver\Frames_for_Analysis\2901_C0012 (2)_L_0118.jpg</t>
  </si>
  <si>
    <t>E:\CAFNEC_GBRF\2022\BarronRiver\Frames_for_Analysis\2902_C0012 (2)_L_0121.jpg</t>
  </si>
  <si>
    <t>E:\CAFNEC_GBRF\2022\BarronRiver\Frames_for_Analysis\2903_C0012 (2)_L_0123.jpg</t>
  </si>
  <si>
    <t>E:\CAFNEC_GBRF\2022\BarronRiver\Frames_for_Analysis\2904_C0012 (2)_L_0126.jpg</t>
  </si>
  <si>
    <t>E:\CAFNEC_GBRF\2022\BarronRiver\Frames_for_Analysis\2905_C0012 (2)_L_0129.jpg</t>
  </si>
  <si>
    <t>E:\CAFNEC_GBRF\2022\BarronRiver\Frames_for_Analysis\2906_C0012 (2)_L_0131.jpg</t>
  </si>
  <si>
    <t>E:\CAFNEC_GBRF\2022\BarronRiver\Frames_for_Analysis\2907_C0012 (2)_L_0134.jpg</t>
  </si>
  <si>
    <t>E:\CAFNEC_GBRF\2022\BarronRiver\Frames_for_Analysis\2908_C0012 (2)_L_0137.jpg</t>
  </si>
  <si>
    <t>E:\CAFNEC_GBRF\2022\BarronRiver\Frames_for_Analysis\2909_C0012 (2)_L_0140.jpg</t>
  </si>
  <si>
    <t>E:\CAFNEC_GBRF\2022\BarronRiver\Frames_for_Analysis\2910_C0012 (2)_L_0142.jpg</t>
  </si>
  <si>
    <t>E:\CAFNEC_GBRF\2022\BarronRiver\Frames_for_Analysis\2911_C0012 (2)_L_0145.jpg</t>
  </si>
  <si>
    <t>E:\CAFNEC_GBRF\2022\BarronRiver\Frames_for_Analysis\2912_C0012 (2)_L_0147.jpg</t>
  </si>
  <si>
    <t>E:\CAFNEC_GBRF\2022\BarronRiver\Frames_for_Analysis\2913_C0012 (2)_L_0150.jpg</t>
  </si>
  <si>
    <t>E:\CAFNEC_GBRF\2022\BarronRiver\Frames_for_Analysis\2914_C0012 (2)_L_0153.jpg</t>
  </si>
  <si>
    <t>E:\CAFNEC_GBRF\2022\BarronRiver\Frames_for_Analysis\2915_C0012 (2)_L_0156.jpg</t>
  </si>
  <si>
    <t>E:\CAFNEC_GBRF\2022\BarronRiver\Frames_for_Analysis\2916_C0012 (2)_L_0159.jpg</t>
  </si>
  <si>
    <t>E:\CAFNEC_GBRF\2022\BarronRiver\Frames_for_Analysis\2917_C0012 (2)_L_0162.jpg</t>
  </si>
  <si>
    <t>E:\CAFNEC_GBRF\2022\BarronRiver\Frames_for_Analysis\2918_C0012 (2)_L_0166.jpg</t>
  </si>
  <si>
    <t>E:\CAFNEC_GBRF\2022\BarronRiver\Frames_for_Analysis\2919_C0012 (2)_L_0168.jpg</t>
  </si>
  <si>
    <t>E:\CAFNEC_GBRF\2022\BarronRiver\Frames_for_Analysis\2920_C0012 (2)_L_0172.jpg</t>
  </si>
  <si>
    <t>E:\CAFNEC_GBRF\2022\BarronRiver\Frames_for_Analysis\2921_C0012 (2)_L_0177.jpg</t>
  </si>
  <si>
    <t>E:\CAFNEC_GBRF\2022\BarronRiver\Frames_for_Analysis\2922_C0012 (2)_L_0185.jpg</t>
  </si>
  <si>
    <t>E:\CAFNEC_GBRF\2022\BarronRiver\Frames_for_Analysis\2923_C0012 (2)_L_0188.jpg</t>
  </si>
  <si>
    <t>E:\CAFNEC_GBRF\2022\BarronRiver\Frames_for_Analysis\2924_C0012 (2)_L_0192.jpg</t>
  </si>
  <si>
    <t>E:\CAFNEC_GBRF\2022\BarronRiver\Frames_for_Analysis\2925_C0012 (2)_L_0198.jpg</t>
  </si>
  <si>
    <t>E:\CAFNEC_GBRF\2022\BarronRiver\Frames_for_Analysis\2926_C0012 (2)_L_0205.jpg</t>
  </si>
  <si>
    <t>E:\CAFNEC_GBRF\2022\BarronRiver\Frames_for_Analysis\2927_C0012 (2)_L_0210.jpg</t>
  </si>
  <si>
    <t>E:\CAFNEC_GBRF\2022\BarronRiver\Frames_for_Analysis\2928_C0012 (2)_L_0215.jpg</t>
  </si>
  <si>
    <t>E:\CAFNEC_GBRF\2022\BarronRiver\Frames_for_Analysis\2929_C0012 (2)_L_0219.jpg</t>
  </si>
  <si>
    <t>E:\CAFNEC_GBRF\2022\BarronRiver\Frames_for_Analysis\2930_C0045_R_0543.jpg</t>
  </si>
  <si>
    <t>E:\CAFNEC_GBRF\2022\BarronRiver\Frames_for_Analysis\2931_C0012 (2)_L_0226.jpg</t>
  </si>
  <si>
    <t>E:\CAFNEC_GBRF\2022\BarronRiver\Frames_for_Analysis\2932_C0045_R_0536.jpg</t>
  </si>
  <si>
    <t>E:\CAFNEC_GBRF\2022\BarronRiver\Frames_for_Analysis\2933_C0045_R_0532.jpg</t>
  </si>
  <si>
    <t>E:\CAFNEC_GBRF\2022\BarronRiver\Frames_for_Analysis\2934_C0012 (2)_L_0238.jpg</t>
  </si>
  <si>
    <t>E:\CAFNEC_GBRF\2022\BarronRiver\Frames_for_Analysis\2935_C0045_R_0523.jpg</t>
  </si>
  <si>
    <t>E:\CAFNEC_GBRF\2022\BarronRiver\Frames_for_Analysis\2936_C0045_R_0519.jpg</t>
  </si>
  <si>
    <t>E:\CAFNEC_GBRF\2022\BarronRiver\Frames_for_Analysis\2937_C0045_R_0515.jpg</t>
  </si>
  <si>
    <t>E:\CAFNEC_GBRF\2022\BarronRiver\Frames_for_Analysis\2938_C0045_R_0512.jpg</t>
  </si>
  <si>
    <t>E:\CAFNEC_GBRF\2022\BarronRiver\Frames_for_Analysis\2939_C0045_R_0508.jpg</t>
  </si>
  <si>
    <t>E:\CAFNEC_GBRF\2022\BarronRiver\Frames_for_Analysis\2940_C0045_R_0504.jpg</t>
  </si>
  <si>
    <t>E:\CAFNEC_GBRF\2022\BarronRiver\Frames_for_Analysis\2941_C0012 (2)_L_0262.jpg</t>
  </si>
  <si>
    <t>E:\CAFNEC_GBRF\2022\BarronRiver\Frames_for_Analysis\2942_C0012 (2)_L_0265.jpg</t>
  </si>
  <si>
    <t>E:\CAFNEC_GBRF\2022\BarronRiver\Frames_for_Analysis\2943_C0045_R_0494.jpg</t>
  </si>
  <si>
    <t>E:\CAFNEC_GBRF\2022\BarronRiver\Frames_for_Analysis\2944_C0045_R_0490.jpg</t>
  </si>
  <si>
    <t>E:\CAFNEC_GBRF\2022\BarronRiver\Frames_for_Analysis\2945_C0045_R_0487.jpg</t>
  </si>
  <si>
    <t>E:\CAFNEC_GBRF\2022\BarronRiver\Frames_for_Analysis\2946_C0045_R_0484.jpg</t>
  </si>
  <si>
    <t>E:\CAFNEC_GBRF\2022\BarronRiver\Frames_for_Analysis\2947_C0045_R_0481.jpg</t>
  </si>
  <si>
    <t>E:\CAFNEC_GBRF\2022\BarronRiver\Frames_for_Analysis\2948_C0045_R_0477.jpg</t>
  </si>
  <si>
    <t>E:\CAFNEC_GBRF\2022\BarronRiver\Frames_for_Analysis\2949_C0045_R_0474.jpg</t>
  </si>
  <si>
    <t>E:\CAFNEC_GBRF\2022\BarronRiver\Frames_for_Analysis\2950_C0045_R_0471.jpg</t>
  </si>
  <si>
    <t>E:\CAFNEC_GBRF\2022\BarronRiver\Frames_for_Analysis\2951_C0045_R_0468.jpg</t>
  </si>
  <si>
    <t>E:\CAFNEC_GBRF\2022\BarronRiver\Frames_for_Analysis\2952_C0045_R_0465.jpg</t>
  </si>
  <si>
    <t>E:\CAFNEC_GBRF\2022\BarronRiver\Frames_for_Analysis\2953_C0045_R_0462.jpg</t>
  </si>
  <si>
    <t>E:\CAFNEC_GBRF\2022\BarronRiver\Frames_for_Analysis\2954_C0045_R_0459.jpg</t>
  </si>
  <si>
    <t>E:\CAFNEC_GBRF\2022\BarronRiver\Frames_for_Analysis\2955_C0045_R_0456.jpg</t>
  </si>
  <si>
    <t>E:\CAFNEC_GBRF\2022\BarronRiver\Frames_for_Analysis\2956_C0045_R_0453.jpg</t>
  </si>
  <si>
    <t>E:\CAFNEC_GBRF\2022\BarronRiver\Frames_for_Analysis\2957_C0045_R_0449.jpg</t>
  </si>
  <si>
    <t>E:\CAFNEC_GBRF\2022\BarronRiver\Frames_for_Analysis\2958_C0045_R_0446.jpg</t>
  </si>
  <si>
    <t>E:\CAFNEC_GBRF\2022\BarronRiver\Frames_for_Analysis\2959_C0045_R_0444.jpg</t>
  </si>
  <si>
    <t>E:\CAFNEC_GBRF\2022\BarronRiver\Frames_for_Analysis\2960_C0045_R_0441.jpg</t>
  </si>
  <si>
    <t>E:\CAFNEC_GBRF\2022\BarronRiver\Frames_for_Analysis\2961_C0045_R_0437.jpg</t>
  </si>
  <si>
    <t>E:\CAFNEC_GBRF\2022\BarronRiver\Frames_for_Analysis\2962_C0045_R_0434.jpg</t>
  </si>
  <si>
    <t>E:\CAFNEC_GBRF\2022\BarronRiver\Frames_for_Analysis\2963_C0045_R_0431.jpg</t>
  </si>
  <si>
    <t>E:\CAFNEC_GBRF\2022\BarronRiver\Frames_for_Analysis\2964_C0045_R_0429.jpg</t>
  </si>
  <si>
    <t>E:\CAFNEC_GBRF\2022\BarronRiver\Frames_for_Analysis\2965_C0045_R_0425.jpg</t>
  </si>
  <si>
    <t>E:\CAFNEC_GBRF\2022\BarronRiver\Frames_for_Analysis\2966_C0045_R_0422.jpg</t>
  </si>
  <si>
    <t>E:\CAFNEC_GBRF\2022\BarronRiver\Frames_for_Analysis\2967_C0045_R_0419.jpg</t>
  </si>
  <si>
    <t>E:\CAFNEC_GBRF\2022\BarronRiver\Frames_for_Analysis\2968_C0045_R_0415.jpg</t>
  </si>
  <si>
    <t>E:\CAFNEC_GBRF\2022\BarronRiver\Frames_for_Analysis\2969_C0045_R_0411.jpg</t>
  </si>
  <si>
    <t>E:\CAFNEC_GBRF\2022\BarronRiver\Frames_for_Analysis\2970_C0045_R_0405.jpg</t>
  </si>
  <si>
    <t>E:\CAFNEC_GBRF\2022\BarronRiver\Frames_for_Analysis\2971_C0045_R_0401.jpg</t>
  </si>
  <si>
    <t>E:\CAFNEC_GBRF\2022\BarronRiver\Frames_for_Analysis\2972_C0045_R_0397.jpg</t>
  </si>
  <si>
    <t>E:\CAFNEC_GBRF\2022\BarronRiver\Frames_for_Analysis\2973_C0045_R_0393.jpg</t>
  </si>
  <si>
    <t>E:\CAFNEC_GBRF\2022\BarronRiver\Frames_for_Analysis\2974_C0045_R_0390.jpg</t>
  </si>
  <si>
    <t>E:\CAFNEC_GBRF\2022\BarronRiver\Frames_for_Analysis\2975_C0045_R_0387.jpg</t>
  </si>
  <si>
    <t>E:\CAFNEC_GBRF\2022\BarronRiver\Frames_for_Analysis\2976_C0045_R_0385.jpg</t>
  </si>
  <si>
    <t>E:\CAFNEC_GBRF\2022\BarronRiver\Frames_for_Analysis\2977_C0045_R_0383.jpg</t>
  </si>
  <si>
    <t>E:\CAFNEC_GBRF\2022\BarronRiver\Frames_for_Analysis\2978_C0045_R_0380.jpg</t>
  </si>
  <si>
    <t>E:\CAFNEC_GBRF\2022\BarronRiver\Frames_for_Analysis\2979_C0045_R_0378.jpg</t>
  </si>
  <si>
    <t>E:\CAFNEC_GBRF\2022\BarronRiver\Frames_for_Analysis\2980_C0045_R_0376.jpg</t>
  </si>
  <si>
    <t>E:\CAFNEC_GBRF\2022\BarronRiver\Frames_for_Analysis\2981_C0045_R_0374.jpg</t>
  </si>
  <si>
    <t>E:\CAFNEC_GBRF\2022\BarronRiver\Frames_for_Analysis\2982_C0045_R_0371.jpg</t>
  </si>
  <si>
    <t>E:\CAFNEC_GBRF\2022\BarronRiver\Frames_for_Analysis\2983_C0045_R_0369.jpg</t>
  </si>
  <si>
    <t>E:\CAFNEC_GBRF\2022\BarronRiver\Frames_for_Analysis\2984_C0045_R_0366.jpg</t>
  </si>
  <si>
    <t>E:\CAFNEC_GBRF\2022\BarronRiver\Frames_for_Analysis\2985_C0045_R_0363.jpg</t>
  </si>
  <si>
    <t>E:\CAFNEC_GBRF\2022\BarronRiver\Frames_for_Analysis\2986_C0045_R_0361.jpg</t>
  </si>
  <si>
    <t>E:\CAFNEC_GBRF\2022\BarronRiver\Frames_for_Analysis\2987_C0045_R_0357.jpg</t>
  </si>
  <si>
    <t>E:\CAFNEC_GBRF\2022\BarronRiver\Frames_for_Analysis\2988_C0045_R_0354.jpg</t>
  </si>
  <si>
    <t>E:\CAFNEC_GBRF\2022\BarronRiver\Frames_for_Analysis\2989_C0045_R_0352.jpg</t>
  </si>
  <si>
    <t>E:\CAFNEC_GBRF\2022\BarronRiver\Frames_for_Analysis\2990_C0045_R_0349.jpg</t>
  </si>
  <si>
    <t>E:\CAFNEC_GBRF\2022\BarronRiver\Frames_for_Analysis\2991_C0045_R_0346.jpg</t>
  </si>
  <si>
    <t>E:\CAFNEC_GBRF\2022\BarronRiver\Frames_for_Analysis\2992_C0045_R_0344.jpg</t>
  </si>
  <si>
    <t>E:\CAFNEC_GBRF\2022\BarronRiver\Frames_for_Analysis\2993_C0045_R_0341.jpg</t>
  </si>
  <si>
    <t>E:\CAFNEC_GBRF\2022\BarronRiver\Frames_for_Analysis\2994_C0045_R_0339.jpg</t>
  </si>
  <si>
    <t>E:\CAFNEC_GBRF\2022\BarronRiver\Frames_for_Analysis\2995_C0045_R_0336.jpg</t>
  </si>
  <si>
    <t>E:\CAFNEC_GBRF\2022\BarronRiver\Frames_for_Analysis\2996_C0045_R_0332.jpg</t>
  </si>
  <si>
    <t>E:\CAFNEC_GBRF\2022\BarronRiver\Frames_for_Analysis\2997_C0045_R_0329.jpg</t>
  </si>
  <si>
    <t>E:\CAFNEC_GBRF\2022\BarronRiver\Frames_for_Analysis\2998_C0045_R_0326.jpg</t>
  </si>
  <si>
    <t>E:\CAFNEC_GBRF\2022\BarronRiver\Frames_for_Analysis\2999_C0045_R_0323.jpg</t>
  </si>
  <si>
    <t>E:\CAFNEC_GBRF\2022\BarronRiver\Frames_for_Analysis\3000_C0045_R_0320.jpg</t>
  </si>
  <si>
    <t>E:\CAFNEC_GBRF\2022\BarronRiver\Frames_for_Analysis\3001_C0045_R_0316.jpg</t>
  </si>
  <si>
    <t>E:\CAFNEC_GBRF\2022\BarronRiver\Frames_for_Analysis\3002_C0045_R_0313.jpg</t>
  </si>
  <si>
    <t>E:\CAFNEC_GBRF\2022\BarronRiver\Frames_for_Analysis\3003_C0045_R_0309.jpg</t>
  </si>
  <si>
    <t>E:\CAFNEC_GBRF\2022\BarronRiver\Frames_for_Analysis\3004_C0045_R_0307.jpg</t>
  </si>
  <si>
    <t>E:\CAFNEC_GBRF\2022\BarronRiver\Frames_for_Analysis\3005_C0045_R_0303.jpg</t>
  </si>
  <si>
    <t>E:\CAFNEC_GBRF\2022\BarronRiver\Frames_for_Analysis\3006_C0045_R_0299.jpg</t>
  </si>
  <si>
    <t>E:\CAFNEC_GBRF\2022\BarronRiver\Frames_for_Analysis\3007_C0045_R_0295.jpg</t>
  </si>
  <si>
    <t>E:\CAFNEC_GBRF\2022\BarronRiver\Frames_for_Analysis\3008_C0045_R_0289.jpg</t>
  </si>
  <si>
    <t>E:\CAFNEC_GBRF\2022\BarronRiver\Frames_for_Analysis\3009_C0045_R_0284.jpg</t>
  </si>
  <si>
    <t>E:\CAFNEC_GBRF\2022\BarronRiver\Frames_for_Analysis\3010_C0045_R_0278.jpg</t>
  </si>
  <si>
    <t>E:\CAFNEC_GBRF\2022\BarronRiver\Frames_for_Analysis\3011_C0045_R_0275.jpg</t>
  </si>
  <si>
    <t>E:\CAFNEC_GBRF\2022\BarronRiver\Frames_for_Analysis\3012_C0045_R_0272.jpg</t>
  </si>
  <si>
    <t>E:\CAFNEC_GBRF\2022\BarronRiver\Frames_for_Analysis\3013_C0045_R_0270.jpg</t>
  </si>
  <si>
    <t>E:\CAFNEC_GBRF\2022\BarronRiver\Frames_for_Analysis\3014_C0045_R_0267.jpg</t>
  </si>
  <si>
    <t>E:\CAFNEC_GBRF\2022\BarronRiver\Frames_for_Analysis\3015_C0045_R_0265.jpg</t>
  </si>
  <si>
    <t>E:\CAFNEC_GBRF\2022\BarronRiver\Frames_for_Analysis\3016_C0045_R_0262.jpg</t>
  </si>
  <si>
    <t>E:\CAFNEC_GBRF\2022\BarronRiver\Frames_for_Analysis\3017_C0045_R_0260.jpg</t>
  </si>
  <si>
    <t>E:\CAFNEC_GBRF\2022\BarronRiver\Frames_for_Analysis\3018_C0045_R_0257.jpg</t>
  </si>
  <si>
    <t>E:\CAFNEC_GBRF\2022\BarronRiver\Frames_for_Analysis\3019_C0045_R_0255.jpg</t>
  </si>
  <si>
    <t>E:\CAFNEC_GBRF\2022\BarronRiver\Frames_for_Analysis\3020_C0045_R_0252.jpg</t>
  </si>
  <si>
    <t>E:\CAFNEC_GBRF\2022\BarronRiver\Frames_for_Analysis\3021_C0045_R_0249.jpg</t>
  </si>
  <si>
    <t>E:\CAFNEC_GBRF\2022\BarronRiver\Frames_for_Analysis\3022_C0045_R_0247.jpg</t>
  </si>
  <si>
    <t>E:\CAFNEC_GBRF\2022\BarronRiver\Frames_for_Analysis\3023_C0045_R_0244.jpg</t>
  </si>
  <si>
    <t>E:\CAFNEC_GBRF\2022\BarronRiver\Frames_for_Analysis\3024_C0045_R_0241.jpg</t>
  </si>
  <si>
    <t>E:\CAFNEC_GBRF\2022\BarronRiver\Frames_for_Analysis\3025_C0045_R_0238.jpg</t>
  </si>
  <si>
    <t>E:\CAFNEC_GBRF\2022\BarronRiver\Frames_for_Analysis\3026_C0045_R_0235.jpg</t>
  </si>
  <si>
    <t>E:\CAFNEC_GBRF\2022\BarronRiver\Frames_for_Analysis\3027_C0045_R_0233.jpg</t>
  </si>
  <si>
    <t>E:\CAFNEC_GBRF\2022\BarronRiver\Frames_for_Analysis\3028_C0045_R_0230.jpg</t>
  </si>
  <si>
    <t>E:\CAFNEC_GBRF\2022\BarronRiver\Frames_for_Analysis\3029_C0045_R_0227.jpg</t>
  </si>
  <si>
    <t>E:\CAFNEC_GBRF\2022\BarronRiver\Frames_for_Analysis\3030_C0045_R_0225.jpg</t>
  </si>
  <si>
    <t>E:\CAFNEC_GBRF\2022\BarronRiver\Frames_for_Analysis\3031_C0045_R_0223.jpg</t>
  </si>
  <si>
    <t>E:\CAFNEC_GBRF\2022\BarronRiver\Frames_for_Analysis\3032_C0045_R_0220.jpg</t>
  </si>
  <si>
    <t>E:\CAFNEC_GBRF\2022\BarronRiver\Frames_for_Analysis\3033_C0045_R_0218.jpg</t>
  </si>
  <si>
    <t>E:\CAFNEC_GBRF\2022\BarronRiver\Frames_for_Analysis\3034_C0045_R_0216.jpg</t>
  </si>
  <si>
    <t>E:\CAFNEC_GBRF\2022\BarronRiver\Frames_for_Analysis\3035_C0045_R_0214.jpg</t>
  </si>
  <si>
    <t>E:\CAFNEC_GBRF\2022\BarronRiver\Frames_for_Analysis\3036_C0045_R_0212.jpg</t>
  </si>
  <si>
    <t>E:\CAFNEC_GBRF\2022\BarronRiver\Frames_for_Analysis\3037_C0045_R_0210.jpg</t>
  </si>
  <si>
    <t>E:\CAFNEC_GBRF\2022\BarronRiver\Frames_for_Analysis\3038_C0045_R_0208.jpg</t>
  </si>
  <si>
    <t>E:\CAFNEC_GBRF\2022\BarronRiver\Frames_for_Analysis\3039_C0045_R_0206.jpg</t>
  </si>
  <si>
    <t>E:\CAFNEC_GBRF\2022\BarronRiver\Frames_for_Analysis\3040_C0045_R_0203.jpg</t>
  </si>
  <si>
    <t>E:\CAFNEC_GBRF\2022\BarronRiver\Frames_for_Analysis\3041_C0045_R_0201.jpg</t>
  </si>
  <si>
    <t>E:\CAFNEC_GBRF\2022\BarronRiver\Frames_for_Analysis\3042_C0045_R_0199.jpg</t>
  </si>
  <si>
    <t>E:\CAFNEC_GBRF\2022\BarronRiver\Frames_for_Analysis\3043_C0045_R_0197.jpg</t>
  </si>
  <si>
    <t>E:\CAFNEC_GBRF\2022\BarronRiver\Frames_for_Analysis\3044_C0045_R_0195.jpg</t>
  </si>
  <si>
    <t>E:\CAFNEC_GBRF\2022\BarronRiver\Frames_for_Analysis\3045_C0045_R_0193.jpg</t>
  </si>
  <si>
    <t>E:\CAFNEC_GBRF\2022\BarronRiver\Frames_for_Analysis\3046_C0045_R_0191.jpg</t>
  </si>
  <si>
    <t>E:\CAFNEC_GBRF\2022\BarronRiver\Frames_for_Analysis\3047_C0045_R_0189.jpg</t>
  </si>
  <si>
    <t>E:\CAFNEC_GBRF\2022\BarronRiver\Frames_for_Analysis\3048_C0045_R_0187.jpg</t>
  </si>
  <si>
    <t>E:\CAFNEC_GBRF\2022\BarronRiver\Frames_for_Analysis\3049_C0045_R_0185.jpg</t>
  </si>
  <si>
    <t>E:\CAFNEC_GBRF\2022\BarronRiver\Frames_for_Analysis\3050_C0045_R_0182.jpg</t>
  </si>
  <si>
    <t>E:\CAFNEC_GBRF\2022\BarronRiver\Frames_for_Analysis\3051_C0045_R_0180.jpg</t>
  </si>
  <si>
    <t>E:\CAFNEC_GBRF\2022\BarronRiver\Frames_for_Analysis\3052_C0045_R_0176.jpg</t>
  </si>
  <si>
    <t>E:\CAFNEC_GBRF\2022\BarronRiver\Frames_for_Analysis\3053_C0045_R_0174.jpg</t>
  </si>
  <si>
    <t>E:\CAFNEC_GBRF\2022\BarronRiver\Frames_for_Analysis\3054_C0045_R_0172.jpg</t>
  </si>
  <si>
    <t>E:\CAFNEC_GBRF\2022\BarronRiver\Frames_for_Analysis\3055_C0045_R_0169.jpg</t>
  </si>
  <si>
    <t>E:\CAFNEC_GBRF\2022\BarronRiver\Frames_for_Analysis\3056_C0045_R_0167.jpg</t>
  </si>
  <si>
    <t>E:\CAFNEC_GBRF\2022\BarronRiver\Frames_for_Analysis\3057_C0045_R_0165.jpg</t>
  </si>
  <si>
    <t>E:\CAFNEC_GBRF\2022\BarronRiver\Frames_for_Analysis\3058_C0045_R_0163.jpg</t>
  </si>
  <si>
    <t>E:\CAFNEC_GBRF\2022\BarronRiver\Frames_for_Analysis\3059_C0045_R_0161.jpg</t>
  </si>
  <si>
    <t>E:\CAFNEC_GBRF\2022\BarronRiver\Frames_for_Analysis\3060_C0045_R_0158.jpg</t>
  </si>
  <si>
    <t>E:\CAFNEC_GBRF\2022\BarronRiver\Frames_for_Analysis\3061_C0045_R_0155.jpg</t>
  </si>
  <si>
    <t>E:\CAFNEC_GBRF\2022\BarronRiver\Frames_for_Analysis\3062_C0045_R_0152.jpg</t>
  </si>
  <si>
    <t>E:\CAFNEC_GBRF\2022\BarronRiver\Frames_for_Analysis\3063_C0045_R_0147.jpg</t>
  </si>
  <si>
    <t>E:\CAFNEC_GBRF\2022\BarronRiver\Frames_for_Analysis\3064_C0045_R_0144.jpg</t>
  </si>
  <si>
    <t>E:\CAFNEC_GBRF\2022\BarronRiver\Frames_for_Analysis\3065_C0045_R_0139.jpg</t>
  </si>
  <si>
    <t>E:\CAFNEC_GBRF\2022\BarronRiver\Frames_for_Analysis\3066_C0045_R_0135.jpg</t>
  </si>
  <si>
    <t>E:\CAFNEC_GBRF\2022\BarronRiver\Frames_for_Analysis\3067_C0045_R_0130.jpg</t>
  </si>
  <si>
    <t>E:\CAFNEC_GBRF\2022\BarronRiver\Frames_for_Analysis\3068_C0045_R_0123.jpg</t>
  </si>
  <si>
    <t>E:\CAFNEC_GBRF\2022\BarronRiver\Frames_for_Analysis\3069_C0045_R_0119.jpg</t>
  </si>
  <si>
    <t>E:\CAFNEC_GBRF\2022\BarronRiver\Frames_for_Analysis\3070_C0045_R_0117.jpg</t>
  </si>
  <si>
    <t>E:\CAFNEC_GBRF\2022\BarronRiver\Frames_for_Analysis\3071_C0045_R_0114.jpg</t>
  </si>
  <si>
    <t>E:\CAFNEC_GBRF\2022\BarronRiver\Frames_for_Analysis\3072_C0045_R_0111.jpg</t>
  </si>
  <si>
    <t>E:\CAFNEC_GBRF\2022\BarronRiver\Frames_for_Analysis\3073_C0045_R_0109.jpg</t>
  </si>
  <si>
    <t>E:\CAFNEC_GBRF\2022\BarronRiver\Frames_for_Analysis\3074_C0045_R_0106.jpg</t>
  </si>
  <si>
    <t>E:\CAFNEC_GBRF\2022\BarronRiver\Frames_for_Analysis\3075_C0045_R_0104.jpg</t>
  </si>
  <si>
    <t>E:\CAFNEC_GBRF\2022\BarronRiver\Frames_for_Analysis\3076_C0045_R_0102.jpg</t>
  </si>
  <si>
    <t>E:\CAFNEC_GBRF\2022\BarronRiver\Frames_for_Analysis\3077_C0045_R_0100.jpg</t>
  </si>
  <si>
    <t>E:\CAFNEC_GBRF\2022\BarronRiver\Frames_for_Analysis\3078_C0045_R_0098.jpg</t>
  </si>
  <si>
    <t>E:\CAFNEC_GBRF\2022\BarronRiver\Frames_for_Analysis\3079_C0045_R_0096.jpg</t>
  </si>
  <si>
    <t>E:\CAFNEC_GBRF\2022\BarronRiver\Frames_for_Analysis\3080_C0045_R_0095.jpg</t>
  </si>
  <si>
    <t>E:\CAFNEC_GBRF\2022\BarronRiver\Frames_for_Analysis\3081_C0045_R_0093.jpg</t>
  </si>
  <si>
    <t>E:\CAFNEC_GBRF\2022\BarronRiver\Frames_for_Analysis\3082_C0045_R_0091.jpg</t>
  </si>
  <si>
    <t>E:\CAFNEC_GBRF\2022\BarronRiver\Frames_for_Analysis\3083_C0045_R_0089.jpg</t>
  </si>
  <si>
    <t>E:\CAFNEC_GBRF\2022\BarronRiver\Frames_for_Analysis\3084_C0045_R_0087.jpg</t>
  </si>
  <si>
    <t>E:\CAFNEC_GBRF\2022\BarronRiver\Frames_for_Analysis\3085_C0045_R_0085.jpg</t>
  </si>
  <si>
    <t>E:\CAFNEC_GBRF\2022\BarronRiver\Frames_for_Analysis\3086_C0045_R_0083.jpg</t>
  </si>
  <si>
    <t>E:\CAFNEC_GBRF\2022\BarronRiver\Frames_for_Analysis\3087_C0045_R_0081.jpg</t>
  </si>
  <si>
    <t>E:\CAFNEC_GBRF\2022\BarronRiver\Frames_for_Analysis\3088_C0045_R_0079.jpg</t>
  </si>
  <si>
    <t>E:\CAFNEC_GBRF\2022\BarronRiver\Frames_for_Analysis\3089_C0045_R_0077.jpg</t>
  </si>
  <si>
    <t>E:\CAFNEC_GBRF\2022\BarronRiver\Frames_for_Analysis\3090_C0045_R_0075.jpg</t>
  </si>
  <si>
    <t>E:\CAFNEC_GBRF\2022\BarronRiver\Frames_for_Analysis\3091_C0045_R_0072.jpg</t>
  </si>
  <si>
    <t>E:\CAFNEC_GBRF\2022\BarronRiver\Frames_for_Analysis\3092_C0045_R_0069.jpg</t>
  </si>
  <si>
    <t>E:\CAFNEC_GBRF\2022\BarronRiver\Frames_for_Analysis\3093_C0045_R_0067.jpg</t>
  </si>
  <si>
    <t>E:\CAFNEC_GBRF\2022\BarronRiver\Frames_for_Analysis\3094_C0045_R_0065.jpg</t>
  </si>
  <si>
    <t>E:\CAFNEC_GBRF\2022\BarronRiver\Frames_for_Analysis\3095_C0045_R_0062.jpg</t>
  </si>
  <si>
    <t>E:\CAFNEC_GBRF\2022\BarronRiver\Frames_for_Analysis\3096_C0045_R_0060.jpg</t>
  </si>
  <si>
    <t>E:\CAFNEC_GBRF\2022\BarronRiver\Frames_for_Analysis\3097_C0045_R_0058.jpg</t>
  </si>
  <si>
    <t>E:\CAFNEC_GBRF\2022\BarronRiver\Frames_for_Analysis\3098_C0045_R_0055.jpg</t>
  </si>
  <si>
    <t>E:\CAFNEC_GBRF\2022\BarronRiver\Frames_for_Analysis\3099_C0045_R_0053.jpg</t>
  </si>
  <si>
    <t>E:\CAFNEC_GBRF\2022\BarronRiver\Frames_for_Analysis\3100_C0045_R_0050.jpg</t>
  </si>
  <si>
    <t>E:\CAFNEC_GBRF\2022\BarronRiver\Frames_for_Analysis\3101_C0045_R_0047.jpg</t>
  </si>
  <si>
    <t>E:\CAFNEC_GBRF\2022\BarronRiver\Frames_for_Analysis\3102_C0045_R_0045.jpg</t>
  </si>
  <si>
    <t>E:\CAFNEC_GBRF\2022\BarronRiver\Frames_for_Analysis\3103_C0045_R_0043.jpg</t>
  </si>
  <si>
    <t>E:\CAFNEC_GBRF\2022\BarronRiver\Frames_for_Analysis\3104_C0045_R_0040.jpg</t>
  </si>
  <si>
    <t>E:\CAFNEC_GBRF\2022\BarronRiver\Frames_for_Analysis\3105_C0045_R_0037.jpg</t>
  </si>
  <si>
    <t>E:\CAFNEC_GBRF\2022\BarronRiver\Frames_for_Analysis\3106_C0045_R_0034.jpg</t>
  </si>
  <si>
    <t>E:\CAFNEC_GBRF\2022\BarronRiver\Frames_for_Analysis\3107_C0045_R_0032.jpg</t>
  </si>
  <si>
    <t>E:\CAFNEC_GBRF\2022\BarronRiver\Frames_for_Analysis\3108_C0045_R_0030.jpg</t>
  </si>
  <si>
    <t>E:\CAFNEC_GBRF\2022\BarronRiver\Frames_for_Analysis\3109_C0045_R_0027.jpg</t>
  </si>
  <si>
    <t>E:\CAFNEC_GBRF\2022\BarronRiver\Frames_for_Analysis\3110_C0045_R_0025.jpg</t>
  </si>
  <si>
    <t>E:\CAFNEC_GBRF\2022\BarronRiver\Frames_for_Analysis\3111_C0045_R_0022.jpg</t>
  </si>
  <si>
    <t>E:\CAFNEC_GBRF\2022\BarronRiver\Frames_for_Analysis\3112_C0045_R_0020.jpg</t>
  </si>
  <si>
    <t>E:\CAFNEC_GBRF\2022\BarronRiver\Frames_for_Analysis\3113_C0045_R_0018.jpg</t>
  </si>
  <si>
    <t>E:\CAFNEC_GBRF\2022\BarronRiver\Frames_for_Analysis\3114_C0045_R_0016.jpg</t>
  </si>
  <si>
    <t>E:\CAFNEC_GBRF\2022\BarronRiver\Frames_for_Analysis\3115_C0045_R_0014.jpg</t>
  </si>
  <si>
    <t>E:\CAFNEC_GBRF\2022\BarronRiver\Frames_for_Analysis\3116_C0045_R_0012.jpg</t>
  </si>
  <si>
    <t>E:\CAFNEC_GBRF\2022\BarronRiver\Frames_for_Analysis\3117_C0045_R_0010.jpg</t>
  </si>
  <si>
    <t>E:\CAFNEC_GBRF\2022\BarronRiver\Frames_for_Analysis\3118_C0045_R_0009.jpg</t>
  </si>
  <si>
    <t>E:\CAFNEC_GBRF\2022\BarronRiver\Frames_for_Analysis\3119_C0045_R_0007.jpg</t>
  </si>
  <si>
    <t>E:\CAFNEC_GBRF\2022\BarronRiver\Frames_for_Analysis\3120_C0045_R_0004.jpg</t>
  </si>
  <si>
    <t>E:\CAFNEC_GBRF\2022\BarronRiver\Frames_for_Analysis\3121_C0045_R_0002.jpg</t>
  </si>
  <si>
    <t>E:\CAFNEC_GBRF\2022\BarronRiver\Frames_for_Analysis\3122_C0044_R_0564.jpg</t>
  </si>
  <si>
    <t>E:\CAFNEC_GBRF\2022\BarronRiver\Frames_for_Analysis\3123_C0044_R_0562.jpg</t>
  </si>
  <si>
    <t>E:\CAFNEC_GBRF\2022\BarronRiver\Frames_for_Analysis\3124_C0044_R_0559.jpg</t>
  </si>
  <si>
    <t>E:\CAFNEC_GBRF\2022\BarronRiver\Frames_for_Analysis\3125_C0044_R_0556.jpg</t>
  </si>
  <si>
    <t>E:\CAFNEC_GBRF\2022\BarronRiver\Frames_for_Analysis\3126_C0044_R_0553.jpg</t>
  </si>
  <si>
    <t>E:\CAFNEC_GBRF\2022\BarronRiver\Frames_for_Analysis\3127_C0044_R_0550.jpg</t>
  </si>
  <si>
    <t>E:\CAFNEC_GBRF\2022\BarronRiver\Frames_for_Analysis\3128_C0044_R_0548.jpg</t>
  </si>
  <si>
    <t>E:\CAFNEC_GBRF\2022\BarronRiver\Frames_for_Analysis\3129_C0044_R_0545.jpg</t>
  </si>
  <si>
    <t>E:\CAFNEC_GBRF\2022\BarronRiver\Frames_for_Analysis\3130_C0044_R_0542.jpg</t>
  </si>
  <si>
    <t>E:\CAFNEC_GBRF\2022\BarronRiver\Frames_for_Analysis\3131_C0044_R_0540.jpg</t>
  </si>
  <si>
    <t>E:\CAFNEC_GBRF\2022\BarronRiver\Frames_for_Analysis\3132_C0044_R_0537.jpg</t>
  </si>
  <si>
    <t>E:\CAFNEC_GBRF\2022\BarronRiver\Frames_for_Analysis\3133_C0044_R_0533.jpg</t>
  </si>
  <si>
    <t>E:\CAFNEC_GBRF\2022\BarronRiver\Frames_for_Analysis\3134_C0044_R_0528.jpg</t>
  </si>
  <si>
    <t>E:\CAFNEC_GBRF\2022\BarronRiver\Frames_for_Analysis\3135_C0044_R_0523.jpg</t>
  </si>
  <si>
    <t>E:\CAFNEC_GBRF\2022\BarronRiver\Frames_for_Analysis\3136_C0044_R_0519.jpg</t>
  </si>
  <si>
    <t>E:\CAFNEC_GBRF\2022\BarronRiver\Frames_for_Analysis\3137_C0044_R_0516.jpg</t>
  </si>
  <si>
    <t>E:\CAFNEC_GBRF\2022\BarronRiver\Frames_for_Analysis\3138_C0044_R_0512.jpg</t>
  </si>
  <si>
    <t>E:\CAFNEC_GBRF\2022\BarronRiver\Frames_for_Analysis\3139_C0044_R_0509.jpg</t>
  </si>
  <si>
    <t>E:\CAFNEC_GBRF\2022\BarronRiver\Frames_for_Analysis\3140_C0044_R_0506.jpg</t>
  </si>
  <si>
    <t>E:\CAFNEC_GBRF\2022\BarronRiver\Frames_for_Analysis\3141_C0044_R_0504.jpg</t>
  </si>
  <si>
    <t>E:\CAFNEC_GBRF\2022\BarronRiver\Frames_for_Analysis\3142_C0044_R_0501.jpg</t>
  </si>
  <si>
    <t>E:\CAFNEC_GBRF\2022\BarronRiver\Frames_for_Analysis\3143_C0044_R_0499.jpg</t>
  </si>
  <si>
    <t>E:\CAFNEC_GBRF\2022\BarronRiver\Frames_for_Analysis\3144_C0044_R_0497.jpg</t>
  </si>
  <si>
    <t>E:\CAFNEC_GBRF\2022\BarronRiver\Frames_for_Analysis\3145_C0044_R_0495.jpg</t>
  </si>
  <si>
    <t>E:\CAFNEC_GBRF\2022\BarronRiver\Frames_for_Analysis\3146_C0044_R_0493.jpg</t>
  </si>
  <si>
    <t>E:\CAFNEC_GBRF\2022\BarronRiver\Frames_for_Analysis\3147_C0044_R_0491.jpg</t>
  </si>
  <si>
    <t>E:\CAFNEC_GBRF\2022\BarronRiver\Frames_for_Analysis\3148_C0044_R_0489.jpg</t>
  </si>
  <si>
    <t>E:\CAFNEC_GBRF\2022\BarronRiver\Frames_for_Analysis\3149_C0044_R_0488.jpg</t>
  </si>
  <si>
    <t>E:\CAFNEC_GBRF\2022\BarronRiver\Frames_for_Analysis\3150_C0044_R_0486.jpg</t>
  </si>
  <si>
    <t>E:\CAFNEC_GBRF\2022\BarronRiver\Frames_for_Analysis\3151_C0044_R_0484.jpg</t>
  </si>
  <si>
    <t>E:\CAFNEC_GBRF\2022\BarronRiver\Frames_for_Analysis\3152_C0044_R_0482.jpg</t>
  </si>
  <si>
    <t>E:\CAFNEC_GBRF\2022\BarronRiver\Frames_for_Analysis\3153_C0044_R_0480.jpg</t>
  </si>
  <si>
    <t>E:\CAFNEC_GBRF\2022\BarronRiver\Frames_for_Analysis\3154_C0044_R_0479.jpg</t>
  </si>
  <si>
    <t>E:\CAFNEC_GBRF\2022\BarronRiver\Frames_for_Analysis\3155_C0044_R_0477.jpg</t>
  </si>
  <si>
    <t>E:\CAFNEC_GBRF\2022\BarronRiver\Frames_for_Analysis\3156_C0044_R_0475.jpg</t>
  </si>
  <si>
    <t>E:\CAFNEC_GBRF\2022\BarronRiver\Frames_for_Analysis\3157_C0044_R_0473.jpg</t>
  </si>
  <si>
    <t>E:\CAFNEC_GBRF\2022\BarronRiver\Frames_for_Analysis\3158_C0044_R_0471.jpg</t>
  </si>
  <si>
    <t>E:\CAFNEC_GBRF\2022\BarronRiver\Frames_for_Analysis\3159_C0044_R_0469.jpg</t>
  </si>
  <si>
    <t>E:\CAFNEC_GBRF\2022\BarronRiver\Frames_for_Analysis\3160_C0044_R_0467.jpg</t>
  </si>
  <si>
    <t>E:\CAFNEC_GBRF\2022\BarronRiver\Frames_for_Analysis\3161_C0044_R_0465.jpg</t>
  </si>
  <si>
    <t>E:\CAFNEC_GBRF\2022\BarronRiver\Frames_for_Analysis\3162_C0044_R_0463.jpg</t>
  </si>
  <si>
    <t>E:\CAFNEC_GBRF\2022\BarronRiver\Frames_for_Analysis\3163_C0044_R_0460.jpg</t>
  </si>
  <si>
    <t>E:\CAFNEC_GBRF\2022\BarronRiver\Frames_for_Analysis\3164_C0044_R_0458.jpg</t>
  </si>
  <si>
    <t>E:\CAFNEC_GBRF\2022\BarronRiver\Frames_for_Analysis\3165_C0044_R_0456.jpg</t>
  </si>
  <si>
    <t>E:\CAFNEC_GBRF\2022\BarronRiver\Frames_for_Analysis\3166_C0044_R_0454.jpg</t>
  </si>
  <si>
    <t>E:\CAFNEC_GBRF\2022\BarronRiver\Frames_for_Analysis\3167_C0044_R_0452.jpg</t>
  </si>
  <si>
    <t>E:\CAFNEC_GBRF\2022\BarronRiver\Frames_for_Analysis\3168_C0044_R_0450.jpg</t>
  </si>
  <si>
    <t>E:\CAFNEC_GBRF\2022\BarronRiver\Frames_for_Analysis\3169_C0044_R_0447.jpg</t>
  </si>
  <si>
    <t>E:\CAFNEC_GBRF\2022\BarronRiver\Frames_for_Analysis\3170_C0044_R_0444.jpg</t>
  </si>
  <si>
    <t>E:\CAFNEC_GBRF\2022\BarronRiver\Frames_for_Analysis\3171_C0044_R_0441.jpg</t>
  </si>
  <si>
    <t>E:\CAFNEC_GBRF\2022\BarronRiver\Frames_for_Analysis\3172_C0044_R_0439.jpg</t>
  </si>
  <si>
    <t>E:\CAFNEC_GBRF\2022\BarronRiver\Frames_for_Analysis\3173_C0044_R_0435.jpg</t>
  </si>
  <si>
    <t>E:\CAFNEC_GBRF\2022\BarronRiver\Frames_for_Analysis\3174_C0044_R_0432.jpg</t>
  </si>
  <si>
    <t>E:\CAFNEC_GBRF\2022\BarronRiver\Frames_for_Analysis\3175_C0044_R_0429.jpg</t>
  </si>
  <si>
    <t>E:\CAFNEC_GBRF\2022\BarronRiver\Frames_for_Analysis\3176_C0044_R_0426.jpg</t>
  </si>
  <si>
    <t>E:\CAFNEC_GBRF\2022\BarronRiver\Frames_for_Analysis\3177_C0044_R_0424.jpg</t>
  </si>
  <si>
    <t>E:\CAFNEC_GBRF\2022\BarronRiver\Frames_for_Analysis\3178_C0044_R_0421.jpg</t>
  </si>
  <si>
    <t>E:\CAFNEC_GBRF\2022\BarronRiver\Frames_for_Analysis\3179_C0044_R_0418.jpg</t>
  </si>
  <si>
    <t>E:\CAFNEC_GBRF\2022\BarronRiver\Frames_for_Analysis\3180_C0044_R_0415.jpg</t>
  </si>
  <si>
    <t>E:\CAFNEC_GBRF\2022\BarronRiver\Frames_for_Analysis\3181_C0044_R_0412.jpg</t>
  </si>
  <si>
    <t>E:\CAFNEC_GBRF\2022\BarronRiver\Frames_for_Analysis\3182_C0044_R_0410.jpg</t>
  </si>
  <si>
    <t>E:\CAFNEC_GBRF\2022\BarronRiver\Frames_for_Analysis\3183_C0044_R_0407.jpg</t>
  </si>
  <si>
    <t>E:\CAFNEC_GBRF\2022\BarronRiver\Frames_for_Analysis\3184_C0044_R_0405.jpg</t>
  </si>
  <si>
    <t>E:\CAFNEC_GBRF\2022\BarronRiver\Frames_for_Analysis\3185_C0044_R_0402.jpg</t>
  </si>
  <si>
    <t>E:\CAFNEC_GBRF\2022\BarronRiver\Frames_for_Analysis\3186_C0044_R_0400.jpg</t>
  </si>
  <si>
    <t>E:\CAFNEC_GBRF\2022\BarronRiver\Frames_for_Analysis\3187_C0044_R_0397.jpg</t>
  </si>
  <si>
    <t>E:\CAFNEC_GBRF\2022\BarronRiver\Frames_for_Analysis\3188_C0044_R_0394.jpg</t>
  </si>
  <si>
    <t>E:\CAFNEC_GBRF\2022\BarronRiver\Frames_for_Analysis\3189_C0044_R_0392.jpg</t>
  </si>
  <si>
    <t>E:\CAFNEC_GBRF\2022\BarronRiver\Frames_for_Analysis\3190_C0044_R_0390.jpg</t>
  </si>
  <si>
    <t>E:\CAFNEC_GBRF\2022\BarronRiver\Frames_for_Analysis\3191_C0044_R_0387.jpg</t>
  </si>
  <si>
    <t>E:\CAFNEC_GBRF\2022\BarronRiver\Frames_for_Analysis\3192_C0044_R_0385.jpg</t>
  </si>
  <si>
    <t>E:\CAFNEC_GBRF\2022\BarronRiver\Frames_for_Analysis\3193_C0044_R_0382.jpg</t>
  </si>
  <si>
    <t>E:\CAFNEC_GBRF\2022\BarronRiver\Frames_for_Analysis\3194_C0044_R_0380.jpg</t>
  </si>
  <si>
    <t>E:\CAFNEC_GBRF\2022\BarronRiver\Frames_for_Analysis\3195_C0044_R_0377.jpg</t>
  </si>
  <si>
    <t>E:\CAFNEC_GBRF\2022\BarronRiver\Frames_for_Analysis\3196_C0044_R_0374.jpg</t>
  </si>
  <si>
    <t>E:\CAFNEC_GBRF\2022\BarronRiver\Frames_for_Analysis\3197_C0044_R_0372.jpg</t>
  </si>
  <si>
    <t>E:\CAFNEC_GBRF\2022\BarronRiver\Frames_for_Analysis\3198_C0044_R_0369.jpg</t>
  </si>
  <si>
    <t>E:\CAFNEC_GBRF\2022\BarronRiver\Frames_for_Analysis\3199_C0044_R_0367.jpg</t>
  </si>
  <si>
    <t>E:\CAFNEC_GBRF\2022\BarronRiver\Frames_for_Analysis\3200_C0044_R_0363.jpg</t>
  </si>
  <si>
    <t>E:\CAFNEC_GBRF\2022\BarronRiver\Frames_for_Analysis\3201_C0044_R_0356.jpg</t>
  </si>
  <si>
    <t>E:\CAFNEC_GBRF\2022\BarronRiver\Frames_for_Analysis\3202_C0044_R_0351.jpg</t>
  </si>
  <si>
    <t>E:\CAFNEC_GBRF\2022\BarronRiver\Frames_for_Analysis\3203_C0044_R_0348.jpg</t>
  </si>
  <si>
    <t>E:\CAFNEC_GBRF\2022\BarronRiver\Frames_for_Analysis\3204_C0044_R_0344.jpg</t>
  </si>
  <si>
    <t>E:\CAFNEC_GBRF\2022\BarronRiver\Frames_for_Analysis\3205_C0044_R_0339.jpg</t>
  </si>
  <si>
    <t>E:\CAFNEC_GBRF\2022\BarronRiver\Frames_for_Analysis\3206_C0044_R_0336.jpg</t>
  </si>
  <si>
    <t>E:\CAFNEC_GBRF\2022\BarronRiver\Frames_for_Analysis\3207_C0044_R_0333.jpg</t>
  </si>
  <si>
    <t>E:\CAFNEC_GBRF\2022\BarronRiver\Frames_for_Analysis\3208_C0044_R_0330.jpg</t>
  </si>
  <si>
    <t>E:\CAFNEC_GBRF\2022\BarronRiver\Frames_for_Analysis\3209_C0044_R_0328.jpg</t>
  </si>
  <si>
    <t>E:\CAFNEC_GBRF\2022\BarronRiver\Frames_for_Analysis\3210_C0044_R_0324.jpg</t>
  </si>
  <si>
    <t>E:\CAFNEC_GBRF\2022\BarronRiver\Frames_for_Analysis\3211_C0044_R_0322.jpg</t>
  </si>
  <si>
    <t>E:\CAFNEC_GBRF\2022\BarronRiver\Frames_for_Analysis\3212_C0044_R_0319.jpg</t>
  </si>
  <si>
    <t>E:\CAFNEC_GBRF\2022\BarronRiver\Frames_for_Analysis\3213_C0044_R_0316.jpg</t>
  </si>
  <si>
    <t>E:\CAFNEC_GBRF\2022\BarronRiver\Frames_for_Analysis\3214_C0044_R_0313.jpg</t>
  </si>
  <si>
    <t>E:\CAFNEC_GBRF\2022\BarronRiver\Frames_for_Analysis\3215_C0044_R_0311.jpg</t>
  </si>
  <si>
    <t>E:\CAFNEC_GBRF\2022\BarronRiver\Frames_for_Analysis\3216_C0044_R_0308.jpg</t>
  </si>
  <si>
    <t>E:\CAFNEC_GBRF\2022\BarronRiver\Frames_for_Analysis\3217_C0044_R_0304.jpg</t>
  </si>
  <si>
    <t>E:\CAFNEC_GBRF\2022\BarronRiver\Frames_for_Analysis\3218_C0044_R_0301.jpg</t>
  </si>
  <si>
    <t>E:\CAFNEC_GBRF\2022\BarronRiver\Frames_for_Analysis\3219_C0044_R_0298.jpg</t>
  </si>
  <si>
    <t>E:\CAFNEC_GBRF\2022\BarronRiver\Frames_for_Analysis\3220_C0044_R_0296.jpg</t>
  </si>
  <si>
    <t>E:\CAFNEC_GBRF\2022\BarronRiver\Frames_for_Analysis\3221_C0044_R_0294.jpg</t>
  </si>
  <si>
    <t>E:\CAFNEC_GBRF\2022\BarronRiver\Frames_for_Analysis\3222_C0044_R_0291.jpg</t>
  </si>
  <si>
    <t>E:\CAFNEC_GBRF\2022\BarronRiver\Frames_for_Analysis\3223_C0044_R_0289.jpg</t>
  </si>
  <si>
    <t>E:\CAFNEC_GBRF\2022\BarronRiver\Frames_for_Analysis\3224_C0044_R_0287.jpg</t>
  </si>
  <si>
    <t>E:\CAFNEC_GBRF\2022\BarronRiver\Frames_for_Analysis\3225_C0044_R_0284.jpg</t>
  </si>
  <si>
    <t>E:\CAFNEC_GBRF\2022\BarronRiver\Frames_for_Analysis\3226_C0044_R_0282.jpg</t>
  </si>
  <si>
    <t>E:\CAFNEC_GBRF\2022\BarronRiver\Frames_for_Analysis\3227_C0044_R_0279.jpg</t>
  </si>
  <si>
    <t>E:\CAFNEC_GBRF\2022\BarronRiver\Frames_for_Analysis\3228_C0044_R_0277.jpg</t>
  </si>
  <si>
    <t>E:\CAFNEC_GBRF\2022\BarronRiver\Frames_for_Analysis\3229_C0044_R_0275.jpg</t>
  </si>
  <si>
    <t>E:\CAFNEC_GBRF\2022\BarronRiver\Frames_for_Analysis\3230_C0044_R_0273.jpg</t>
  </si>
  <si>
    <t>E:\CAFNEC_GBRF\2022\BarronRiver\Frames_for_Analysis\3231_C0044_R_0272.jpg</t>
  </si>
  <si>
    <t>E:\CAFNEC_GBRF\2022\BarronRiver\Frames_for_Analysis\3232_C0044_R_0270.jpg</t>
  </si>
  <si>
    <t>E:\CAFNEC_GBRF\2022\BarronRiver\Frames_for_Analysis\3233_C0044_R_0267.jpg</t>
  </si>
  <si>
    <t>E:\CAFNEC_GBRF\2022\BarronRiver\Frames_for_Analysis\3234_C0044_R_0265.jpg</t>
  </si>
  <si>
    <t>E:\CAFNEC_GBRF\2022\BarronRiver\Frames_for_Analysis\3235_C0044_R_0263.jpg</t>
  </si>
  <si>
    <t>E:\CAFNEC_GBRF\2022\BarronRiver\Frames_for_Analysis\3236_C0044_R_0260.jpg</t>
  </si>
  <si>
    <t>E:\CAFNEC_GBRF\2022\BarronRiver\Frames_for_Analysis\3237_C0044_R_0258.jpg</t>
  </si>
  <si>
    <t>E:\CAFNEC_GBRF\2022\BarronRiver\Frames_for_Analysis\3238_C0044_R_0255.jpg</t>
  </si>
  <si>
    <t>E:\CAFNEC_GBRF\2022\BarronRiver\Frames_for_Analysis\3239_C0044_R_0253.jpg</t>
  </si>
  <si>
    <t>E:\CAFNEC_GBRF\2022\BarronRiver\Frames_for_Analysis\3240_C0044_R_0250.jpg</t>
  </si>
  <si>
    <t>E:\CAFNEC_GBRF\2022\BarronRiver\Frames_for_Analysis\3241_C0044_R_0248.jpg</t>
  </si>
  <si>
    <t>E:\CAFNEC_GBRF\2022\BarronRiver\Frames_for_Analysis\3242_C0044_R_0245.jpg</t>
  </si>
  <si>
    <t>E:\CAFNEC_GBRF\2022\BarronRiver\Frames_for_Analysis\3243_C0044_R_0243.jpg</t>
  </si>
  <si>
    <t>E:\CAFNEC_GBRF\2022\BarronRiver\Frames_for_Analysis\3244_C0044_R_0241.jpg</t>
  </si>
  <si>
    <t>E:\CAFNEC_GBRF\2022\BarronRiver\Frames_for_Analysis\3245_C0044_R_0238.jpg</t>
  </si>
  <si>
    <t>E:\CAFNEC_GBRF\2022\BarronRiver\Frames_for_Analysis\3246_C0044_R_0236.jpg</t>
  </si>
  <si>
    <t>E:\CAFNEC_GBRF\2022\BarronRiver\Frames_for_Analysis\3247_C0044_R_0233.jpg</t>
  </si>
  <si>
    <t>E:\CAFNEC_GBRF\2022\BarronRiver\Frames_for_Analysis\3248_C0044_R_0231.jpg</t>
  </si>
  <si>
    <t>E:\CAFNEC_GBRF\2022\BarronRiver\Frames_for_Analysis\3249_C0044_R_0228.jpg</t>
  </si>
  <si>
    <t>E:\CAFNEC_GBRF\2022\BarronRiver\Frames_for_Analysis\3250_C0044_R_0225.jpg</t>
  </si>
  <si>
    <t>E:\CAFNEC_GBRF\2022\BarronRiver\Frames_for_Analysis\3251_C0044_R_0221.jpg</t>
  </si>
  <si>
    <t>E:\CAFNEC_GBRF\2022\BarronRiver\Frames_for_Analysis\3252_C0044_R_0217.jpg</t>
  </si>
  <si>
    <t>E:\CAFNEC_GBRF\2022\BarronRiver\Frames_for_Analysis\3253_C0044_R_0213.jpg</t>
  </si>
  <si>
    <t>E:\CAFNEC_GBRF\2022\BarronRiver\Frames_for_Analysis\3254_C0044_R_0209.jpg</t>
  </si>
  <si>
    <t>E:\CAFNEC_GBRF\2022\BarronRiver\Frames_for_Analysis\3255_C0044_R_0204.jpg</t>
  </si>
  <si>
    <t>E:\CAFNEC_GBRF\2022\BarronRiver\Frames_for_Analysis\3256_C0044_R_0200.jpg</t>
  </si>
  <si>
    <t>E:\CAFNEC_GBRF\2022\BarronRiver\Frames_for_Analysis\3257_C0044_R_0193.jpg</t>
  </si>
  <si>
    <t>E:\CAFNEC_GBRF\2022\BarronRiver\Frames_for_Analysis\3258_C0044_R_0186.jpg</t>
  </si>
  <si>
    <t>E:\CAFNEC_GBRF\2022\BarronRiver\Frames_for_Analysis\3259_C0044_R_0181.jpg</t>
  </si>
  <si>
    <t>E:\CAFNEC_GBRF\2022\BarronRiver\Frames_for_Analysis\3260_C0044_R_0175.jpg</t>
  </si>
  <si>
    <t>E:\CAFNEC_GBRF\2022\BarronRiver\Frames_for_Analysis\3261_C0044_R_0170.jpg</t>
  </si>
  <si>
    <t>E:\CAFNEC_GBRF\2022\BarronRiver\Frames_for_Analysis\3262_C0044_R_0164.jpg</t>
  </si>
  <si>
    <t>E:\CAFNEC_GBRF\2022\BarronRiver\Frames_for_Analysis\3263_C0044_R_0160.jpg</t>
  </si>
  <si>
    <t>E:\CAFNEC_GBRF\2022\BarronRiver\Frames_for_Analysis\3264_C0044_R_0154.jpg</t>
  </si>
  <si>
    <t>E:\CAFNEC_GBRF\2022\BarronRiver\Frames_for_Analysis\3265_C0044_R_0149.jpg</t>
  </si>
  <si>
    <t>E:\CAFNEC_GBRF\2022\BarronRiver\Frames_for_Analysis\3266_C0044_R_0144.jpg</t>
  </si>
  <si>
    <t>E:\CAFNEC_GBRF\2022\BarronRiver\Frames_for_Analysis\3267_C0044_R_0140.jpg</t>
  </si>
  <si>
    <t>E:\CAFNEC_GBRF\2022\BarronRiver\Frames_for_Analysis\3268_C0044_R_0135.jpg</t>
  </si>
  <si>
    <t>E:\CAFNEC_GBRF\2022\BarronRiver\Frames_for_Analysis\3269_C0044_R_0130.jpg</t>
  </si>
  <si>
    <t>E:\CAFNEC_GBRF\2022\BarronRiver\Frames_for_Analysis\3270_C0044_R_0125.jpg</t>
  </si>
  <si>
    <t>E:\CAFNEC_GBRF\2022\BarronRiver\Frames_for_Analysis\3271_C0044_R_0121.jpg</t>
  </si>
  <si>
    <t>E:\CAFNEC_GBRF\2022\BarronRiver\Frames_for_Analysis\3272_C0044_R_0115.jpg</t>
  </si>
  <si>
    <t>E:\CAFNEC_GBRF\2022\BarronRiver\Frames_for_Analysis\3273_C0044_R_0110.jpg</t>
  </si>
  <si>
    <t>E:\CAFNEC_GBRF\2022\BarronRiver\Frames_for_Analysis\3274_C0044_R_0104.jpg</t>
  </si>
  <si>
    <t>E:\CAFNEC_GBRF\2022\BarronRiver\Frames_for_Analysis\3275_C0044_R_0099.jpg</t>
  </si>
  <si>
    <t>E:\CAFNEC_GBRF\2022\BarronRiver\Frames_for_Analysis\3276_C0044_R_0095.jpg</t>
  </si>
  <si>
    <t>E:\CAFNEC_GBRF\2022\BarronRiver\Frames_for_Analysis\3277_C0044_R_0092.jpg</t>
  </si>
  <si>
    <t>E:\CAFNEC_GBRF\2022\BarronRiver\Frames_for_Analysis\3278_C0044_R_0089.jpg</t>
  </si>
  <si>
    <t>E:\CAFNEC_GBRF\2022\BarronRiver\Frames_for_Analysis\3279_C0044_R_0086.jpg</t>
  </si>
  <si>
    <t>E:\CAFNEC_GBRF\2022\BarronRiver\Frames_for_Analysis\3280_C0044_R_0084.jpg</t>
  </si>
  <si>
    <t>E:\CAFNEC_GBRF\2022\BarronRiver\Frames_for_Analysis\3281_C0044_R_0081.jpg</t>
  </si>
  <si>
    <t>E:\CAFNEC_GBRF\2022\BarronRiver\Frames_for_Analysis\3282_C0044_R_0078.jpg</t>
  </si>
  <si>
    <t>E:\CAFNEC_GBRF\2022\BarronRiver\Frames_for_Analysis\3283_C0044_R_0075.jpg</t>
  </si>
  <si>
    <t>E:\CAFNEC_GBRF\2022\BarronRiver\Frames_for_Analysis\3284_C0044_R_0072.jpg</t>
  </si>
  <si>
    <t>E:\CAFNEC_GBRF\2022\BarronRiver\Frames_for_Analysis\3285_C0044_R_0070.jpg</t>
  </si>
  <si>
    <t>E:\CAFNEC_GBRF\2022\BarronRiver\Frames_for_Analysis\3286_C0044_R_0067.jpg</t>
  </si>
  <si>
    <t>E:\CAFNEC_GBRF\2022\BarronRiver\Frames_for_Analysis\3287_C0027_R_0016.jpg</t>
  </si>
  <si>
    <t>E:\CAFNEC_GBRF\2022\BarronRiver\Frames_for_Analysis\3288_C0044_R_0061.jpg</t>
  </si>
  <si>
    <t>E:\CAFNEC_GBRF\2022\BarronRiver\Frames_for_Analysis\3289_C0044_R_0058.jpg</t>
  </si>
  <si>
    <t>E:\CAFNEC_GBRF\2022\BarronRiver\Frames_for_Analysis\3290_C0027_R_0013.jpg</t>
  </si>
  <si>
    <t>E:\CAFNEC_GBRF\2022\BarronRiver\Frames_for_Analysis\3291_C0027_R_0012.jpg</t>
  </si>
  <si>
    <t>E:\CAFNEC_GBRF\2022\BarronRiver\Frames_for_Analysis\3292_C0044_R_0048.jpg</t>
  </si>
  <si>
    <t>E:\CAFNEC_GBRF\2022\BarronRiver\Frames_for_Analysis\3293_C0044_R_0045.jpg</t>
  </si>
  <si>
    <t>E:\CAFNEC_GBRF\2022\BarronRiver\Frames_for_Analysis\3294_C0044_R_0042.jpg</t>
  </si>
  <si>
    <t>E:\CAFNEC_GBRF\2022\BarronRiver\Frames_for_Analysis\3295_C0044_R_0039.jpg</t>
  </si>
  <si>
    <t>E:\CAFNEC_GBRF\2022\BarronRiver\Frames_for_Analysis\3296_C0027_R_0009.jpg</t>
  </si>
  <si>
    <t>E:\CAFNEC_GBRF\2022\BarronRiver\Frames_for_Analysis\3297_C0044_R_0031.jpg</t>
  </si>
  <si>
    <t>E:\CAFNEC_GBRF\2022\BarronRiver\Frames_for_Analysis\3298_C0044_R_0027.jpg</t>
  </si>
  <si>
    <t>E:\CAFNEC_GBRF\2022\BarronRiver\Frames_for_Analysis\3299_C0012_L_0009.jpg</t>
  </si>
  <si>
    <t>E:\CAFNEC_GBRF\2022\BarronRiver\Frames_for_Analysis\3300_C0044_R_0018.jpg</t>
  </si>
  <si>
    <t>E:\CAFNEC_GBRF\2022\BarronRiver\Frames_for_Analysis\3301_C0012_L_0015.jpg</t>
  </si>
  <si>
    <t>E:\CAFNEC_GBRF\2022\BarronRiver\Frames_for_Analysis\3302_C0044_R_0009.jpg</t>
  </si>
  <si>
    <t>E:\CAFNEC_GBRF\2022\BarronRiver\Frames_for_Analysis\3303_C0044_R_0003.jpg</t>
  </si>
  <si>
    <t>E:\CAFNEC_GBRF\2022\BarronRiver\Frames_for_Analysis\3304_C0012_L_0024.jpg</t>
  </si>
  <si>
    <t>E:\CAFNEC_GBRF\2022\BarronRiver\Frames_for_Analysis\3305_C0012_L_0026.jpg</t>
  </si>
  <si>
    <t>E:\CAFNEC_GBRF\2022\BarronRiver\Frames_for_Analysis\3306_C0012_L_0029.jpg</t>
  </si>
  <si>
    <t>E:\CAFNEC_GBRF\2022\BarronRiver\Frames_for_Analysis\3307_C0012_L_0032.jpg</t>
  </si>
  <si>
    <t>E:\CAFNEC_GBRF\2022\BarronRiver\Frames_for_Analysis\3308_C0012_L_0034.jpg</t>
  </si>
  <si>
    <t>E:\CAFNEC_GBRF\2022\BarronRiver\Frames_for_Analysis\3309_C0012_L_0037.jpg</t>
  </si>
  <si>
    <t>E:\CAFNEC_GBRF\2022\BarronRiver\Frames_for_Analysis\3310_C0012_L_0040.jpg</t>
  </si>
  <si>
    <t>E:\CAFNEC_GBRF\2022\BarronRiver\Frames_for_Analysis\3311_C0012_L_0043.jpg</t>
  </si>
  <si>
    <t>E:\CAFNEC_GBRF\2022\BarronRiver\Frames_for_Analysis\3312_C0012_L_0045.jpg</t>
  </si>
  <si>
    <t>E:\CAFNEC_GBRF\2022\BarronRiver\Frames_for_Analysis\3313_C0012_L_0049.jpg</t>
  </si>
  <si>
    <t>E:\CAFNEC_GBRF\2022\BarronRiver\Frames_for_Analysis\3314_C0012_L_0052.jpg</t>
  </si>
  <si>
    <t>E:\CAFNEC_GBRF\2022\BarronRiver\Frames_for_Analysis\3315_C0012_L_0055.jpg</t>
  </si>
  <si>
    <t>E:\CAFNEC_GBRF\2022\BarronRiver\Frames_for_Analysis\3316_C0012_L_0058.jpg</t>
  </si>
  <si>
    <t>E:\CAFNEC_GBRF\2022\BarronRiver\Frames_for_Analysis\3317_C0012_L_0060.jpg</t>
  </si>
  <si>
    <t>E:\CAFNEC_GBRF\2022\BarronRiver\Frames_for_Analysis\3318_C0012_L_0063.jpg</t>
  </si>
  <si>
    <t>E:\CAFNEC_GBRF\2022\BarronRiver\Frames_for_Analysis\3319_C0012_L_0066.jpg</t>
  </si>
  <si>
    <t>E:\CAFNEC_GBRF\2022\BarronRiver\Frames_for_Analysis\3320_C0012_L_0069.jpg</t>
  </si>
  <si>
    <t>E:\CAFNEC_GBRF\2022\BarronRiver\Frames_for_Analysis\3321_C0012_L_0073.jpg</t>
  </si>
  <si>
    <t>E:\CAFNEC_GBRF\2022\BarronRiver\Frames_for_Analysis\3322_C0012_L_0076.jpg</t>
  </si>
  <si>
    <t>E:\CAFNEC_GBRF\2022\BarronRiver\Frames_for_Analysis\3323_C0012_L_0078.jpg</t>
  </si>
  <si>
    <t>E:\CAFNEC_GBRF\2022\BarronRiver\Frames_for_Analysis\3324_C0012_L_0080.jpg</t>
  </si>
  <si>
    <t>E:\CAFNEC_GBRF\2022\BarronRiver\Frames_for_Analysis\3325_C0012_L_0083.jpg</t>
  </si>
  <si>
    <t>E:\CAFNEC_GBRF\2022\BarronRiver\Frames_for_Analysis\3326_C0012_L_0086.jpg</t>
  </si>
  <si>
    <t>E:\CAFNEC_GBRF\2022\BarronRiver\Frames_for_Analysis\3327_C0012_L_0089.jpg</t>
  </si>
  <si>
    <t>E:\CAFNEC_GBRF\2022\BarronRiver\Frames_for_Analysis\3328_C0012_L_0092.jpg</t>
  </si>
  <si>
    <t>E:\CAFNEC_GBRF\2022\BarronRiver\Frames_for_Analysis\3329_C0012_L_0094.jpg</t>
  </si>
  <si>
    <t>E:\CAFNEC_GBRF\2022\BarronRiver\Frames_for_Analysis\3330_C0012_L_0098.jpg</t>
  </si>
  <si>
    <t>E:\CAFNEC_GBRF\2022\BarronRiver\Frames_for_Analysis\3331_C0012_L_0100.jpg</t>
  </si>
  <si>
    <t>E:\CAFNEC_GBRF\2022\BarronRiver\Frames_for_Analysis\3332_C0012_L_0103.jpg</t>
  </si>
  <si>
    <t>E:\CAFNEC_GBRF\2022\BarronRiver\Frames_for_Analysis\3333_C0012_L_0105.jpg</t>
  </si>
  <si>
    <t>E:\CAFNEC_GBRF\2022\BarronRiver\Frames_for_Analysis\3334_C0012_L_0108.jpg</t>
  </si>
  <si>
    <t>E:\CAFNEC_GBRF\2022\BarronRiver\Frames_for_Analysis\3335_C0012_L_0111.jpg</t>
  </si>
  <si>
    <t>E:\CAFNEC_GBRF\2022\BarronRiver\Frames_for_Analysis\3336_C0012_L_0114.jpg</t>
  </si>
  <si>
    <t>E:\CAFNEC_GBRF\2022\BarronRiver\Frames_for_Analysis\3337_C0012_L_0117.jpg</t>
  </si>
  <si>
    <t>E:\CAFNEC_GBRF\2022\BarronRiver\Frames_for_Analysis\3338_C0012_L_0121.jpg</t>
  </si>
  <si>
    <t>E:\CAFNEC_GBRF\2022\BarronRiver\Frames_for_Analysis\3339_C0012_L_0123.jpg</t>
  </si>
  <si>
    <t>E:\CAFNEC_GBRF\2022\BarronRiver\Frames_for_Analysis\3340_C0012_L_0127.jpg</t>
  </si>
  <si>
    <t>E:\CAFNEC_GBRF\2022\BarronRiver\Frames_for_Analysis\3341_C0012_L_0129.jpg</t>
  </si>
  <si>
    <t>E:\CAFNEC_GBRF\2022\BarronRiver\Frames_for_Analysis\3342_C0012_L_0133.jpg</t>
  </si>
  <si>
    <t>E:\CAFNEC_GBRF\2022\BarronRiver\Frames_for_Analysis\3343_C0012_L_0135.jpg</t>
  </si>
  <si>
    <t>E:\CAFNEC_GBRF\2022\BarronRiver\Frames_for_Analysis\3344_C0012_L_0139.jpg</t>
  </si>
  <si>
    <t>E:\CAFNEC_GBRF\2022\BarronRiver\Frames_for_Analysis\3345_C0012_L_0142.jpg</t>
  </si>
  <si>
    <t>E:\CAFNEC_GBRF\2022\BarronRiver\Frames_for_Analysis\3346_C0012_L_0145.jpg</t>
  </si>
  <si>
    <t>E:\CAFNEC_GBRF\2022\BarronRiver\Frames_for_Analysis\3347_C0012_L_0148.jpg</t>
  </si>
  <si>
    <t>E:\CAFNEC_GBRF\2022\BarronRiver\Frames_for_Analysis\3348_C0012_L_0150.jpg</t>
  </si>
  <si>
    <t>E:\CAFNEC_GBRF\2022\BarronRiver\Frames_for_Analysis\3349_C0012_L_0153.jpg</t>
  </si>
  <si>
    <t>E:\CAFNEC_GBRF\2022\BarronRiver\Frames_for_Analysis\3350_C0012_L_0156.jpg</t>
  </si>
  <si>
    <t>E:\CAFNEC_GBRF\2022\BarronRiver\Frames_for_Analysis\3351_C0012_L_0159.jpg</t>
  </si>
  <si>
    <t>E:\CAFNEC_GBRF\2022\BarronRiver\Frames_for_Analysis\3352_C0012_L_0162.jpg</t>
  </si>
  <si>
    <t>E:\CAFNEC_GBRF\2022\BarronRiver\Frames_for_Analysis\3353_C0012_L_0165.jpg</t>
  </si>
  <si>
    <t>E:\CAFNEC_GBRF\2022\BarronRiver\Frames_for_Analysis\3354_C0012_L_0168.jpg</t>
  </si>
  <si>
    <t>E:\CAFNEC_GBRF\2022\BarronRiver\Frames_for_Analysis\3355_C0012_L_0171.jpg</t>
  </si>
  <si>
    <t>E:\CAFNEC_GBRF\2022\BarronRiver\Frames_for_Analysis\3356_C0012_L_0175.jpg</t>
  </si>
  <si>
    <t>E:\CAFNEC_GBRF\2022\BarronRiver\Frames_for_Analysis\3357_C0012_L_0178.jpg</t>
  </si>
  <si>
    <t>E:\CAFNEC_GBRF\2022\BarronRiver\Frames_for_Analysis\3358_C0012_L_0181.jpg</t>
  </si>
  <si>
    <t>E:\CAFNEC_GBRF\2022\BarronRiver\Frames_for_Analysis\3359_C0012_L_0184.jpg</t>
  </si>
  <si>
    <t>E:\CAFNEC_GBRF\2022\BarronRiver\Frames_for_Analysis\3360_C0012_L_0187.jpg</t>
  </si>
  <si>
    <t>E:\CAFNEC_GBRF\2022\BarronRiver\Frames_for_Analysis\3361_C0012_L_0189.jpg</t>
  </si>
  <si>
    <t>E:\CAFNEC_GBRF\2022\BarronRiver\Frames_for_Analysis\3362_C0012_L_0192.jpg</t>
  </si>
  <si>
    <t>E:\CAFNEC_GBRF\2022\BarronRiver\Frames_for_Analysis\3363_C0012_L_0195.jpg</t>
  </si>
  <si>
    <t>E:\CAFNEC_GBRF\2022\BarronRiver\Frames_for_Analysis\3364_C0012_L_0199.jpg</t>
  </si>
  <si>
    <t>E:\CAFNEC_GBRF\2022\BarronRiver\Frames_for_Analysis\3365_C0012_L_0202.jpg</t>
  </si>
  <si>
    <t>E:\CAFNEC_GBRF\2022\BarronRiver\Frames_for_Analysis\3366_C0012_L_0206.jpg</t>
  </si>
  <si>
    <t>E:\CAFNEC_GBRF\2022\BarronRiver\Frames_for_Analysis\3367_C0012_L_0208.jpg</t>
  </si>
  <si>
    <t>E:\CAFNEC_GBRF\2022\BarronRiver\Frames_for_Analysis\3368_C0012_L_0211.jpg</t>
  </si>
  <si>
    <t>E:\CAFNEC_GBRF\2022\BarronRiver\Frames_for_Analysis\3369_C0012_L_0215.jpg</t>
  </si>
  <si>
    <t>E:\CAFNEC_GBRF\2022\BarronRiver\Frames_for_Analysis\3370_C0012_L_0220.jpg</t>
  </si>
  <si>
    <t>E:\CAFNEC_GBRF\2022\BarronRiver\Frames_for_Analysis\3371_C0012_L_0224.jpg</t>
  </si>
  <si>
    <t>E:\CAFNEC_GBRF\2022\BarronRiver\Frames_for_Analysis\3372_C0012_L_0227.jpg</t>
  </si>
  <si>
    <t>E:\CAFNEC_GBRF\2022\BarronRiver\Frames_for_Analysis\3373_C0012_L_0229.jpg</t>
  </si>
  <si>
    <t>E:\CAFNEC_GBRF\2022\BarronRiver\Frames_for_Analysis\3374_C0012_L_0232.jpg</t>
  </si>
  <si>
    <t>E:\CAFNEC_GBRF\2022\BarronRiver\Frames_for_Analysis\3375_C0012_L_0235.jpg</t>
  </si>
  <si>
    <t>E:\CAFNEC_GBRF\2022\BarronRiver\Frames_for_Analysis\3376_C0012_L_0239.jpg</t>
  </si>
  <si>
    <t>E:\CAFNEC_GBRF\2022\BarronRiver\Frames_for_Analysis\3377_C0012_L_0242.jpg</t>
  </si>
  <si>
    <t>E:\CAFNEC_GBRF\2022\BarronRiver\Frames_for_Analysis\3378_C0012_L_0245.jpg</t>
  </si>
  <si>
    <t>E:\CAFNEC_GBRF\2022\BarronRiver\Frames_for_Analysis\3379_C0012_L_0248.jpg</t>
  </si>
  <si>
    <t>E:\CAFNEC_GBRF\2022\BarronRiver\Frames_for_Analysis\3380_C0012_L_0252.jpg</t>
  </si>
  <si>
    <t>E:\CAFNEC_GBRF\2022\BarronRiver\Frames_for_Analysis\3381_C0012_L_0255.jpg</t>
  </si>
  <si>
    <t>E:\CAFNEC_GBRF\2022\BarronRiver\Frames_for_Analysis\3382_C0012_L_0258.jpg</t>
  </si>
  <si>
    <t>E:\CAFNEC_GBRF\2022\BarronRiver\Frames_for_Analysis\3383_C0012_L_0261.jpg</t>
  </si>
  <si>
    <t>E:\CAFNEC_GBRF\2022\BarronRiver\Frames_for_Analysis\3384_C0012_L_0264.jpg</t>
  </si>
  <si>
    <t>E:\CAFNEC_GBRF\2022\BarronRiver\Frames_for_Analysis\3385_C0012_L_0267.jpg</t>
  </si>
  <si>
    <t>E:\CAFNEC_GBRF\2022\BarronRiver\Frames_for_Analysis\3386_C0012_L_0272.jpg</t>
  </si>
  <si>
    <t>E:\CAFNEC_GBRF\2022\BarronRiver\Frames_for_Analysis\3387_C0012_L_0276.jpg</t>
  </si>
  <si>
    <t>E:\CAFNEC_GBRF\2022\BarronRiver\Frames_for_Analysis\3388_C0012_L_0281.jpg</t>
  </si>
  <si>
    <t>E:\CAFNEC_GBRF\2022\BarronRiver\Frames_for_Analysis\3389_C0012_L_0284.jpg</t>
  </si>
  <si>
    <t>E:\CAFNEC_GBRF\2022\BarronRiver\Frames_for_Analysis\3390_C0012_L_0288.jpg</t>
  </si>
  <si>
    <t>E:\CAFNEC_GBRF\2022\BarronRiver\Frames_for_Analysis\3391_C0012_L_0290.jpg</t>
  </si>
  <si>
    <t>E:\CAFNEC_GBRF\2022\BarronRiver\Frames_for_Analysis\3392_C0012_L_0298.jpg</t>
  </si>
  <si>
    <t>E:\CAFNEC_GBRF\2022\BarronRiver\Frames_for_Analysis\3393_C0012_L_0302.jpg</t>
  </si>
  <si>
    <t>E:\CAFNEC_GBRF\2022\BarronRiver\Frames_for_Analysis\3394_C0012_L_0306.jpg</t>
  </si>
  <si>
    <t>E:\CAFNEC_GBRF\2022\BarronRiver\Frames_for_Analysis\3395_C0012_L_0309.jpg</t>
  </si>
  <si>
    <t>E:\CAFNEC_GBRF\2022\BarronRiver\Frames_for_Analysis\3396_C0012_L_0313.jpg</t>
  </si>
  <si>
    <t>E:\CAFNEC_GBRF\2022\BarronRiver\Frames_for_Analysis\3397_C0012_L_0316.jpg</t>
  </si>
  <si>
    <t>E:\CAFNEC_GBRF\2022\BarronRiver\Frames_for_Analysis\3398_C0012_L_0322.jpg</t>
  </si>
  <si>
    <t>E:\CAFNEC_GBRF\2022\BarronRiver\Frames_for_Analysis\3399_C0012_L_0324.jpg</t>
  </si>
  <si>
    <t>E:\CAFNEC_GBRF\2022\BarronRiver\Frames_for_Analysis\3400_C0012_L_0330.jpg</t>
  </si>
  <si>
    <t>E:\CAFNEC_GBRF\2022\BarronRiver\Frames_for_Analysis\3401_C0012_L_0334.jpg</t>
  </si>
  <si>
    <t>E:\CAFNEC_GBRF\2022\BarronRiver\Frames_for_Analysis\3402_C0012_L_0336.jpg</t>
  </si>
  <si>
    <t>E:\CAFNEC_GBRF\2022\BarronRiver\Frames_for_Analysis\3403_C0012_L_0339.jpg</t>
  </si>
  <si>
    <t>E:\CAFNEC_GBRF\2022\BarronRiver\Frames_for_Analysis\3404_C0012_L_0345.jpg</t>
  </si>
  <si>
    <t>E:\CAFNEC_GBRF\2022\BarronRiver\Frames_for_Analysis\3405_C0012_L_0351.jpg</t>
  </si>
  <si>
    <t>E:\CAFNEC_GBRF\2022\BarronRiver\Frames_for_Analysis\3406_C0012_L_0354.jpg</t>
  </si>
  <si>
    <t>E:\CAFNEC_GBRF\2022\BarronRiver\Frames_for_Analysis\3407_C0012_L_0357.jpg</t>
  </si>
  <si>
    <t>E:\CAFNEC_GBRF\2022\BarronRiver\Frames_for_Analysis\3408_C0012_L_0361.jpg</t>
  </si>
  <si>
    <t>E:\CAFNEC_GBRF\2022\BarronRiver\Frames_for_Analysis\3409_C0012_L_0364.jpg</t>
  </si>
  <si>
    <t>E:\CAFNEC_GBRF\2022\BarronRiver\Frames_for_Analysis\3410_C0012_L_0367.jpg</t>
  </si>
  <si>
    <t>E:\CAFNEC_GBRF\2022\BarronRiver\Frames_for_Analysis\3411_C0012_L_0370.jpg</t>
  </si>
  <si>
    <t>E:\CAFNEC_GBRF\2022\BarronRiver\Frames_for_Analysis\3412_C0012_L_0373.jpg</t>
  </si>
  <si>
    <t>E:\CAFNEC_GBRF\2022\BarronRiver\Frames_for_Analysis\3413_C0012_L_0377.jpg</t>
  </si>
  <si>
    <t>E:\CAFNEC_GBRF\2022\BarronRiver\Frames_for_Analysis\3414_C0012_L_0380.jpg</t>
  </si>
  <si>
    <t>E:\CAFNEC_GBRF\2022\BarronRiver\Frames_for_Analysis\3415_C0012_L_0383.jpg</t>
  </si>
  <si>
    <t>E:\CAFNEC_GBRF\2022\BarronRiver\Frames_for_Analysis\3416_C0012_L_0388.jpg</t>
  </si>
  <si>
    <t>E:\CAFNEC_GBRF\2022\BarronRiver\Frames_for_Analysis\3417_C0012_L_0392.jpg</t>
  </si>
  <si>
    <t>E:\CAFNEC_GBRF\2022\BarronRiver\Frames_for_Analysis\3418_C0012_L_0394.jpg</t>
  </si>
  <si>
    <t>E:\CAFNEC_GBRF\2022\BarronRiver\Frames_for_Analysis\3419_C0012_L_0399.jpg</t>
  </si>
  <si>
    <t>E:\CAFNEC_GBRF\2022\BarronRiver\Frames_for_Analysis\3420_C0012_L_0403.jpg</t>
  </si>
  <si>
    <t>E:\CAFNEC_GBRF\2022\BarronRiver\Frames_for_Analysis\3421_C0012_L_0406.jpg</t>
  </si>
  <si>
    <t>E:\CAFNEC_GBRF\2022\BarronRiver\Frames_for_Analysis\3422_C0012_L_0409.jpg</t>
  </si>
  <si>
    <t>E:\CAFNEC_GBRF\2022\BarronRiver\Frames_for_Analysis\3423_C0012_L_0413.jpg</t>
  </si>
  <si>
    <t>E:\CAFNEC_GBRF\2022\BarronRiver\Frames_for_Analysis\3424_C0012_L_0416.jpg</t>
  </si>
  <si>
    <t>E:\CAFNEC_GBRF\2022\BarronRiver\Frames_for_Analysis\3425_C0012_L_0420.jpg</t>
  </si>
  <si>
    <t>E:\CAFNEC_GBRF\2022\BarronRiver\Frames_for_Analysis\3426_C0012_L_0424.jpg</t>
  </si>
  <si>
    <t>E:\CAFNEC_GBRF\2022\BarronRiver\Frames_for_Analysis\3427_C0012_L_0427.jpg</t>
  </si>
  <si>
    <t>E:\CAFNEC_GBRF\2022\BarronRiver\Frames_for_Analysis\3428_C0012_L_0431.jpg</t>
  </si>
  <si>
    <t>E:\CAFNEC_GBRF\2022\BarronRiver\Frames_for_Analysis\3429_C0012_L_0436.jpg</t>
  </si>
  <si>
    <t>E:\CAFNEC_GBRF\2022\BarronRiver\Frames_for_Analysis\3430_C0012_L_0438.jpg</t>
  </si>
  <si>
    <t>E:\CAFNEC_GBRF\2022\BarronRiver\Frames_for_Analysis\3431_C0012_L_0442.jpg</t>
  </si>
  <si>
    <t>E:\CAFNEC_GBRF\2022\BarronRiver\Frames_for_Analysis\3432_C0012_L_0444.jpg</t>
  </si>
  <si>
    <t>E:\CAFNEC_GBRF\2022\BarronRiver\Frames_for_Analysis\3433_C0012_L_0447.jpg</t>
  </si>
  <si>
    <t>E:\CAFNEC_GBRF\2022\BarronRiver\Frames_for_Analysis\3434_C0012_L_0451.jpg</t>
  </si>
  <si>
    <t>E:\CAFNEC_GBRF\2022\BarronRiver\Frames_for_Analysis\3435_C0012_L_0453.jpg</t>
  </si>
  <si>
    <t>E:\CAFNEC_GBRF\2022\BarronRiver\Frames_for_Analysis\3436_C0012_L_0457.jpg</t>
  </si>
  <si>
    <t>E:\CAFNEC_GBRF\2022\BarronRiver\Frames_for_Analysis\3437_C0012_L_0459.jpg</t>
  </si>
  <si>
    <t>E:\CAFNEC_GBRF\2022\BarronRiver\Frames_for_Analysis\3438_C0012_L_0463.jpg</t>
  </si>
  <si>
    <t>E:\CAFNEC_GBRF\2022\BarronRiver\Frames_for_Analysis\3439_C0012_L_0466.jpg</t>
  </si>
  <si>
    <t>E:\CAFNEC_GBRF\2022\BarronRiver\Frames_for_Analysis\3440_C0012_L_0468.jpg</t>
  </si>
  <si>
    <t>E:\CAFNEC_GBRF\2022\BarronRiver\Frames_for_Analysis\3441_C0012_L_0472.jpg</t>
  </si>
  <si>
    <t>E:\CAFNEC_GBRF\2022\BarronRiver\Frames_for_Analysis\3442_C0012_L_0474.jpg</t>
  </si>
  <si>
    <t>E:\CAFNEC_GBRF\2022\BarronRiver\Frames_for_Analysis\3443_C0012_L_0477.jpg</t>
  </si>
  <si>
    <t>E:\CAFNEC_GBRF\2022\BarronRiver\Frames_for_Analysis\3444_C0012_L_0480.jpg</t>
  </si>
  <si>
    <t>E:\CAFNEC_GBRF\2022\BarronRiver\Frames_for_Analysis\3445_C0012_L_0483.jpg</t>
  </si>
  <si>
    <t>E:\CAFNEC_GBRF\2022\BarronRiver\Frames_for_Analysis\3446_C0012_L_0489.jpg</t>
  </si>
  <si>
    <t>E:\CAFNEC_GBRF\2022\BarronRiver\Frames_for_Analysis\3447_C0012_L_0496.jpg</t>
  </si>
  <si>
    <t>E:\CAFNEC_GBRF\2022\BarronRiver\Frames_for_Analysis\3448_C0012_L_0498.jpg</t>
  </si>
  <si>
    <t>E:\CAFNEC_GBRF\2022\BarronRiver\Frames_for_Analysis\3449_C0012_L_0501.jpg</t>
  </si>
  <si>
    <t>E:\CAFNEC_GBRF\2022\BarronRiver\Frames_for_Analysis\3450_C0012_L_0504.jpg</t>
  </si>
  <si>
    <t>E:\CAFNEC_GBRF\2022\BarronRiver\Frames_for_Analysis\3451_C0012_L_0507.jpg</t>
  </si>
  <si>
    <t>E:\CAFNEC_GBRF\2022\BarronRiver\Frames_for_Analysis\3452_C0012_L_0510.jpg</t>
  </si>
  <si>
    <t>E:\CAFNEC_GBRF\2022\BarronRiver\Frames_for_Analysis\3453_C0012_L_0512.jpg</t>
  </si>
  <si>
    <t>E:\CAFNEC_GBRF\2022\BarronRiver\Frames_for_Analysis\3454_C0012_L_0515.jpg</t>
  </si>
  <si>
    <t>E:\CAFNEC_GBRF\2022\BarronRiver\Frames_for_Analysis\3455_C0012_L_0518.jpg</t>
  </si>
  <si>
    <t>E:\CAFNEC_GBRF\2022\BarronRiver\Frames_for_Analysis\3456_C0012_L_0520.jpg</t>
  </si>
  <si>
    <t>E:\CAFNEC_GBRF\2022\BarronRiver\Frames_for_Analysis\3457_C0012_L_0523.jpg</t>
  </si>
  <si>
    <t>E:\CAFNEC_GBRF\2022\BarronRiver\Frames_for_Analysis\3458_C0012_L_0528.jpg</t>
  </si>
  <si>
    <t>E:\CAFNEC_GBRF\2022\BarronRiver\Frames_for_Analysis\3459_C0012_L_0533.jpg</t>
  </si>
  <si>
    <t>E:\CAFNEC_GBRF\2022\BarronRiver\Frames_for_Analysis\3460_C0012_L_0536.jpg</t>
  </si>
  <si>
    <t>E:\CAFNEC_GBRF\2022\BarronRiver\Frames_for_Analysis\3461_C0012_L_0551.jpg</t>
  </si>
  <si>
    <t>E:\CAFNEC_GBRF\2022\BarronRiver\Frames_for_Analysis\3462_C0013_L_0005.jpg</t>
  </si>
  <si>
    <t>E:\CAFNEC_GBRF\2022\BarronRiver\Frames_for_Analysis\3463_C0013_L_0007.jpg</t>
  </si>
  <si>
    <t>E:\CAFNEC_GBRF\2022\BarronRiver\Frames_for_Analysis\3464_C0013_L_0010.jpg</t>
  </si>
  <si>
    <t>E:\CAFNEC_GBRF\2022\BarronRiver\Frames_for_Analysis\3465_C0013_L_0013.jpg</t>
  </si>
  <si>
    <t>E:\CAFNEC_GBRF\2022\BarronRiver\Frames_for_Analysis\3466_C0013_L_0014.jpg</t>
  </si>
  <si>
    <t>E:\CAFNEC_GBRF\2022\BarronRiver\Frames_for_Analysis\3467_C0013_L_0017.jpg</t>
  </si>
  <si>
    <t>E:\CAFNEC_GBRF\2022\BarronRiver\Frames_for_Analysis\3468_C0013_L_0021.jpg</t>
  </si>
  <si>
    <t>E:\CAFNEC_GBRF\2022\BarronRiver\Frames_for_Analysis\3469_C0013_L_0023.jpg</t>
  </si>
  <si>
    <t>E:\CAFNEC_GBRF\2022\BarronRiver\Frames_for_Analysis\3470_C0013_L_0026.jpg</t>
  </si>
  <si>
    <t>E:\CAFNEC_GBRF\2022\BarronRiver\Frames_for_Analysis\3471_C0013_L_0028.jpg</t>
  </si>
  <si>
    <t>E:\CAFNEC_GBRF\2022\BarronRiver\Frames_for_Analysis\3472_C0013_L_0033.jpg</t>
  </si>
  <si>
    <t>E:\CAFNEC_GBRF\2022\BarronRiver\Frames_for_Analysis\3473_C0013_L_0037.jpg</t>
  </si>
  <si>
    <t>E:\CAFNEC_GBRF\2022\BarronRiver\Frames_for_Analysis\3474_C0013_L_0039.jpg</t>
  </si>
  <si>
    <t>E:\CAFNEC_GBRF\2022\BarronRiver\Frames_for_Analysis\3475_C0013_L_0042.jpg</t>
  </si>
  <si>
    <t>E:\CAFNEC_GBRF\2022\BarronRiver\Frames_for_Analysis\3476_C0013_L_0057.jpg</t>
  </si>
  <si>
    <t>E:\CAFNEC_GBRF\2022\BarronRiver\Frames_for_Analysis\3477_C0013_L_0059.jpg</t>
  </si>
  <si>
    <t>E:\CAFNEC_GBRF\2022\BarronRiver\Frames_for_Analysis\3478_C0013_L_0061.jpg</t>
  </si>
  <si>
    <t>E:\CAFNEC_GBRF\2022\BarronRiver\Frames_for_Analysis\3479_C0013_L_0063.jpg</t>
  </si>
  <si>
    <t>E:\CAFNEC_GBRF\2022\BarronRiver\Frames_for_Analysis\3480_C0013_L_0067.jpg</t>
  </si>
  <si>
    <t>E:\CAFNEC_GBRF\2022\BarronRiver\Frames_for_Analysis\3481_C0013_L_0069.jpg</t>
  </si>
  <si>
    <t>E:\CAFNEC_GBRF\2022\BarronRiver\Frames_for_Analysis\3482_C0013_L_0072.jpg</t>
  </si>
  <si>
    <t>E:\CAFNEC_GBRF\2022\BarronRiver\Frames_for_Analysis\3483_C0013_L_0074.jpg</t>
  </si>
  <si>
    <t>E:\CAFNEC_GBRF\2022\BarronRiver\Frames_for_Analysis\3484_C0013_L_0077.jpg</t>
  </si>
  <si>
    <t>E:\CAFNEC_GBRF\2022\BarronRiver\Frames_for_Analysis\3485_C0013_L_0079.jpg</t>
  </si>
  <si>
    <t>E:\CAFNEC_GBRF\2022\BarronRiver\Frames_for_Analysis\3486_C0013_L_0082.jpg</t>
  </si>
  <si>
    <t>E:\CAFNEC_GBRF\2022\BarronRiver\Frames_for_Analysis\3487_C0013_L_0085.jpg</t>
  </si>
  <si>
    <t>E:\CAFNEC_GBRF\2022\BarronRiver\Frames_for_Analysis\3488_C0013_L_0087.jpg</t>
  </si>
  <si>
    <t>E:\CAFNEC_GBRF\2022\BarronRiver\Frames_for_Analysis\3489_C0013_L_0090.jpg</t>
  </si>
  <si>
    <t>E:\CAFNEC_GBRF\2022\BarronRiver\Frames_for_Analysis\3490_C0013_L_0092.jpg</t>
  </si>
  <si>
    <t>E:\CAFNEC_GBRF\2022\BarronRiver\Frames_for_Analysis\3491_C0013_L_0096.jpg</t>
  </si>
  <si>
    <t>E:\CAFNEC_GBRF\2022\BarronRiver\Frames_for_Analysis\3492_C0013_L_0098.jpg</t>
  </si>
  <si>
    <t>E:\CAFNEC_GBRF\2022\BarronRiver\Frames_for_Analysis\3493_C0013_L_0101.jpg</t>
  </si>
  <si>
    <t>E:\CAFNEC_GBRF\2022\BarronRiver\Frames_for_Analysis\3494_C0013_L_0103.jpg</t>
  </si>
  <si>
    <t>E:\CAFNEC_GBRF\2022\BarronRiver\Frames_for_Analysis\3495_C0013_L_0106.jpg</t>
  </si>
  <si>
    <t>E:\CAFNEC_GBRF\2022\BarronRiver\Frames_for_Analysis\3496_C0013_L_0109.jpg</t>
  </si>
  <si>
    <t>E:\CAFNEC_GBRF\2022\BarronRiver\Frames_for_Analysis\3497_C0013_L_0111.jpg</t>
  </si>
  <si>
    <t>E:\CAFNEC_GBRF\2022\BarronRiver\Frames_for_Analysis\3498_C0013_L_0114.jpg</t>
  </si>
  <si>
    <t>E:\CAFNEC_GBRF\2022\BarronRiver\Frames_for_Analysis\3499_C0013_L_0117.jpg</t>
  </si>
  <si>
    <t>E:\CAFNEC_GBRF\2022\BarronRiver\Frames_for_Analysis\3500_C0013_L_0120.jpg</t>
  </si>
  <si>
    <t>E:\CAFNEC_GBRF\2022\BarronRiver\Frames_for_Analysis\3501_C0013_L_0122.jpg</t>
  </si>
  <si>
    <t>E:\CAFNEC_GBRF\2022\BarronRiver\Frames_for_Analysis\3502_C0013_L_0125.jpg</t>
  </si>
  <si>
    <t>E:\CAFNEC_GBRF\2022\BarronRiver\Frames_for_Analysis\3503_C0013_L_0128.jpg</t>
  </si>
  <si>
    <t>E:\CAFNEC_GBRF\2022\BarronRiver\Frames_for_Analysis\3504_C0013_L_0132.jpg</t>
  </si>
  <si>
    <t>E:\CAFNEC_GBRF\2022\BarronRiver\Frames_for_Analysis\3505_C0013_L_0135.jpg</t>
  </si>
  <si>
    <t>E:\CAFNEC_GBRF\2022\BarronRiver\Frames_for_Analysis\3506_C0013_L_0139.jpg</t>
  </si>
  <si>
    <t>E:\CAFNEC_GBRF\2022\BarronRiver\Frames_for_Analysis\3507_C0013_L_0142.jpg</t>
  </si>
  <si>
    <t>E:\CAFNEC_GBRF\2022\BarronRiver\Frames_for_Analysis\3508_C0013_L_0144.jpg</t>
  </si>
  <si>
    <t>E:\CAFNEC_GBRF\2022\BarronRiver\Frames_for_Analysis\3509_C0013_L_0146.jpg</t>
  </si>
  <si>
    <t>E:\CAFNEC_GBRF\2022\BarronRiver\Frames_for_Analysis\3510_C0013_L_0148.jpg</t>
  </si>
  <si>
    <t>E:\CAFNEC_GBRF\2022\BarronRiver\Frames_for_Analysis\3511_C0013_L_0151.jpg</t>
  </si>
  <si>
    <t>E:\CAFNEC_GBRF\2022\BarronRiver\Frames_for_Analysis\3512_C0013_L_0153.jpg</t>
  </si>
  <si>
    <t>E:\CAFNEC_GBRF\2022\BarronRiver\Frames_for_Analysis\3513_C0013_L_0156.jpg</t>
  </si>
  <si>
    <t>E:\CAFNEC_GBRF\2022\BarronRiver\Frames_for_Analysis\3514_C0013_L_0158.jpg</t>
  </si>
  <si>
    <t>E:\CAFNEC_GBRF\2022\BarronRiver\Frames_for_Analysis\3515_C0013_L_0160.jpg</t>
  </si>
  <si>
    <t>E:\CAFNEC_GBRF\2022\BarronRiver\Frames_for_Analysis\3516_C0013_L_0163.jpg</t>
  </si>
  <si>
    <t>E:\CAFNEC_GBRF\2022\BarronRiver\Frames_for_Analysis\3517_C0013_L_0166.jpg</t>
  </si>
  <si>
    <t>E:\CAFNEC_GBRF\2022\BarronRiver\Frames_for_Analysis\3518_C0013_L_0169.jpg</t>
  </si>
  <si>
    <t>E:\CAFNEC_GBRF\2022\BarronRiver\Frames_for_Analysis\3519_C0013_L_0173.jpg</t>
  </si>
  <si>
    <t>E:\CAFNEC_GBRF\2022\BarronRiver\Frames_for_Analysis\3520_C0013_L_0175.jpg</t>
  </si>
  <si>
    <t>E:\CAFNEC_GBRF\2022\BarronRiver\Frames_for_Analysis\3521_C0013_L_0179.jpg</t>
  </si>
  <si>
    <t>E:\CAFNEC_GBRF\2022\BarronRiver\Frames_for_Analysis\3522_C0013_L_0182.jpg</t>
  </si>
  <si>
    <t>E:\CAFNEC_GBRF\2022\BarronRiver\Frames_for_Analysis\3523_C0013_L_0184.jpg</t>
  </si>
  <si>
    <t>E:\CAFNEC_GBRF\2022\BarronRiver\Frames_for_Analysis\3524_C0013_L_0187.jpg</t>
  </si>
  <si>
    <t>E:\CAFNEC_GBRF\2022\BarronRiver\Frames_for_Analysis\3525_C0013_L_0189.jpg</t>
  </si>
  <si>
    <t>E:\CAFNEC_GBRF\2022\BarronRiver\Frames_for_Analysis\3526_C0013_L_0191.jpg</t>
  </si>
  <si>
    <t>E:\CAFNEC_GBRF\2022\BarronRiver\Frames_for_Analysis\3527_C0013_L_0193.jpg</t>
  </si>
  <si>
    <t>E:\CAFNEC_GBRF\2022\BarronRiver\Frames_for_Analysis\3528_C0013_L_0196.jpg</t>
  </si>
  <si>
    <t>E:\CAFNEC_GBRF\2022\BarronRiver\Frames_for_Analysis\3529_C0013_L_0199.jpg</t>
  </si>
  <si>
    <t>E:\CAFNEC_GBRF\2022\BarronRiver\Frames_for_Analysis\3530_C0013_L_0201.jpg</t>
  </si>
  <si>
    <t>E:\CAFNEC_GBRF\2022\BarronRiver\Frames_for_Analysis\3531_C0013_L_0203.jpg</t>
  </si>
  <si>
    <t>E:\CAFNEC_GBRF\2022\BarronRiver\Frames_for_Analysis\3532_C0013_L_0205.jpg</t>
  </si>
  <si>
    <t>E:\CAFNEC_GBRF\2022\BarronRiver\Frames_for_Analysis\3533_C0013_L_0208.jpg</t>
  </si>
  <si>
    <t>E:\CAFNEC_GBRF\2022\BarronRiver\Frames_for_Analysis\3534_C0013_L_0211.jpg</t>
  </si>
  <si>
    <t>E:\CAFNEC_GBRF\2022\BarronRiver\Frames_for_Analysis\3535_C0013_L_0214.jpg</t>
  </si>
  <si>
    <t>E:\CAFNEC_GBRF\2022\BarronRiver\Frames_for_Analysis\3536_C0013_L_0216.jpg</t>
  </si>
  <si>
    <t>E:\CAFNEC_GBRF\2022\BarronRiver\Frames_for_Analysis\3537_C0013_L_0219.jpg</t>
  </si>
  <si>
    <t>E:\CAFNEC_GBRF\2022\BarronRiver\Frames_for_Analysis\3538_C0013_L_0221.jpg</t>
  </si>
  <si>
    <t>E:\CAFNEC_GBRF\2022\BarronRiver\Frames_for_Analysis\3539_C0013_L_0223.jpg</t>
  </si>
  <si>
    <t>E:\CAFNEC_GBRF\2022\BarronRiver\Frames_for_Analysis\3540_C0013_L_0227.jpg</t>
  </si>
  <si>
    <t>E:\CAFNEC_GBRF\2022\BarronRiver\Frames_for_Analysis\3541_C0013_L_0229.jpg</t>
  </si>
  <si>
    <t>E:\CAFNEC_GBRF\2022\BarronRiver\Frames_for_Analysis\3542_C0013_L_0231.jpg</t>
  </si>
  <si>
    <t>E:\CAFNEC_GBRF\2022\BarronRiver\Frames_for_Analysis\3543_C0013_L_0234.jpg</t>
  </si>
  <si>
    <t>E:\CAFNEC_GBRF\2022\BarronRiver\Frames_for_Analysis\3544_C0013_L_0236.jpg</t>
  </si>
  <si>
    <t>E:\CAFNEC_GBRF\2022\BarronRiver\Frames_for_Analysis\3545_C0013_L_0239.jpg</t>
  </si>
  <si>
    <t>E:\CAFNEC_GBRF\2022\BarronRiver\Frames_for_Analysis\3546_C0013_L_0242.jpg</t>
  </si>
  <si>
    <t>E:\CAFNEC_GBRF\2022\BarronRiver\Frames_for_Analysis\3547_C0013_L_0245.jpg</t>
  </si>
  <si>
    <t>E:\CAFNEC_GBRF\2022\BarronRiver\Frames_for_Analysis\3548_C0013_L_0247.jpg</t>
  </si>
  <si>
    <t>E:\CAFNEC_GBRF\2022\BarronRiver\Frames_for_Analysis\3549_C0013_L_0249.jpg</t>
  </si>
  <si>
    <t>E:\CAFNEC_GBRF\2022\BarronRiver\Frames_for_Analysis\3550_C0013_L_0252.jpg</t>
  </si>
  <si>
    <t>E:\CAFNEC_GBRF\2022\BarronRiver\Frames_for_Analysis\3551_C0013_L_0255.jpg</t>
  </si>
  <si>
    <t>E:\CAFNEC_GBRF\2022\BarronRiver\Frames_for_Analysis\3552_C0013_L_0257.jpg</t>
  </si>
  <si>
    <t>E:\CAFNEC_GBRF\2022\BarronRiver\Frames_for_Analysis\3553_C0013_L_0259.jpg</t>
  </si>
  <si>
    <t>E:\CAFNEC_GBRF\2022\BarronRiver\Frames_for_Analysis\3554_C0013_L_0262.jpg</t>
  </si>
  <si>
    <t>E:\CAFNEC_GBRF\2022\BarronRiver\Frames_for_Analysis\3555_C0013_L_0263.jpg</t>
  </si>
  <si>
    <t>E:\CAFNEC_GBRF\2022\BarronRiver\Frames_for_Analysis\3556_C0013_L_0267.jpg</t>
  </si>
  <si>
    <t>E:\CAFNEC_GBRF\2022\BarronRiver\Frames_for_Analysis\3557_C0013_L_0272.jpg</t>
  </si>
  <si>
    <t>E:\CAFNEC_GBRF\2022\BarronRiver\Frames_for_Analysis\3558_C0013_L_0275.jpg</t>
  </si>
  <si>
    <t>E:\CAFNEC_GBRF\2022\BarronRiver\Frames_for_Analysis\3559_C0013_L_0278.jpg</t>
  </si>
  <si>
    <t>E:\CAFNEC_GBRF\2022\BarronRiver\Frames_for_Analysis\3560_C0013_L_0281.jpg</t>
  </si>
  <si>
    <t>E:\CAFNEC_GBRF\2022\BarronRiver\Frames_for_Analysis\3561_C0040_R_0505.jpg</t>
  </si>
  <si>
    <t>E:\CAFNEC_GBRF\2022\BarronRiver\Frames_for_Analysis\3562_C0040_R_0503.jpg</t>
  </si>
  <si>
    <t>E:\CAFNEC_GBRF\2022\BarronRiver\Frames_for_Analysis\3563_C0040_R_0500.jpg</t>
  </si>
  <si>
    <t>E:\CAFNEC_GBRF\2022\BarronRiver\Frames_for_Analysis\3564_C0040_R_0497.jpg</t>
  </si>
  <si>
    <t>E:\CAFNEC_GBRF\2022\BarronRiver\Frames_for_Analysis\3565_C0040_R_0494.jpg</t>
  </si>
  <si>
    <t>E:\CAFNEC_GBRF\2022\BarronRiver\Frames_for_Analysis\3566_C0013_L_0300.jpg</t>
  </si>
  <si>
    <t>E:\CAFNEC_GBRF\2022\BarronRiver\Frames_for_Analysis\3567_C0040_R_0489.jpg</t>
  </si>
  <si>
    <t>E:\CAFNEC_GBRF\2022\BarronRiver\Frames_for_Analysis\3568_C0013_L_0305.jpg</t>
  </si>
  <si>
    <t>E:\CAFNEC_GBRF\2022\BarronRiver\Frames_for_Analysis\3569_C0040_R_0484.jpg</t>
  </si>
  <si>
    <t>E:\CAFNEC_GBRF\2022\BarronRiver\Frames_for_Analysis\3570_C0013_L_0309.jpg</t>
  </si>
  <si>
    <t>E:\CAFNEC_GBRF\2022\BarronRiver\Frames_for_Analysis\3571_C0040_R_0479.jpg</t>
  </si>
  <si>
    <t>E:\CAFNEC_GBRF\2022\BarronRiver\Frames_for_Analysis\3572_C0013_L_0315.jpg</t>
  </si>
  <si>
    <t>E:\CAFNEC_GBRF\2022\BarronRiver\Frames_for_Analysis\3573_C0013_L_0319.jpg</t>
  </si>
  <si>
    <t>E:\CAFNEC_GBRF\2022\BarronRiver\Frames_for_Analysis\3574_C0040_R_0469.jpg</t>
  </si>
  <si>
    <t>E:\CAFNEC_GBRF\2022\BarronRiver\Frames_for_Analysis\3575_C0013_L_0325.jpg</t>
  </si>
  <si>
    <t>E:\CAFNEC_GBRF\2022\BarronRiver\Frames_for_Analysis\3576_C0013_L_0329.jpg</t>
  </si>
  <si>
    <t>E:\CAFNEC_GBRF\2022\BarronRiver\Frames_for_Analysis\3577_C0013_L_0332.jpg</t>
  </si>
  <si>
    <t>E:\CAFNEC_GBRF\2022\BarronRiver\Frames_for_Analysis\3578_C0013_L_0336.jpg</t>
  </si>
  <si>
    <t>E:\CAFNEC_GBRF\2022\BarronRiver\Frames_for_Analysis\3579_C0040_R_0454.jpg</t>
  </si>
  <si>
    <t>E:\CAFNEC_GBRF\2022\BarronRiver\Frames_for_Analysis\3580_C0040_R_0451.jpg</t>
  </si>
  <si>
    <t>E:\CAFNEC_GBRF\2022\BarronRiver\Frames_for_Analysis\3581_C0040_R_0448.jpg</t>
  </si>
  <si>
    <t>E:\CAFNEC_GBRF\2022\BarronRiver\Frames_for_Analysis\3582_C0013_L_0346.jpg</t>
  </si>
  <si>
    <t>E:\CAFNEC_GBRF\2022\BarronRiver\Frames_for_Analysis\3583_C0013_L_0350.jpg</t>
  </si>
  <si>
    <t>E:\CAFNEC_GBRF\2022\BarronRiver\Frames_for_Analysis\3584_C0013_L_0352.jpg</t>
  </si>
  <si>
    <t>E:\CAFNEC_GBRF\2022\BarronRiver\Frames_for_Analysis\3585_C0040_R_0436.jpg</t>
  </si>
  <si>
    <t>E:\CAFNEC_GBRF\2022\BarronRiver\Frames_for_Analysis\3586_C0013_L_0359.jpg</t>
  </si>
  <si>
    <t>E:\CAFNEC_GBRF\2022\BarronRiver\Frames_for_Analysis\3587_C0040_R_0428.jpg</t>
  </si>
  <si>
    <t>E:\CAFNEC_GBRF\2022\BarronRiver\Frames_for_Analysis\3588_C0013_L_0368.jpg</t>
  </si>
  <si>
    <t>E:\CAFNEC_GBRF\2022\BarronRiver\Frames_for_Analysis\3589_C0013_L_0372.jpg</t>
  </si>
  <si>
    <t>E:\CAFNEC_GBRF\2022\BarronRiver\Frames_for_Analysis\3590_C0040_R_0419.jpg</t>
  </si>
  <si>
    <t>E:\CAFNEC_GBRF\2022\BarronRiver\Frames_for_Analysis\3591_C0013_L_0377.jpg</t>
  </si>
  <si>
    <t>E:\CAFNEC_GBRF\2022\BarronRiver\Frames_for_Analysis\3592_C0040_R_0413.jpg</t>
  </si>
  <si>
    <t>E:\CAFNEC_GBRF\2022\BarronRiver\Frames_for_Analysis\3593_C0040_R_0409.jpg</t>
  </si>
  <si>
    <t>E:\CAFNEC_GBRF\2022\BarronRiver\Frames_for_Analysis\3594_C0040_R_0406.jpg</t>
  </si>
  <si>
    <t>E:\CAFNEC_GBRF\2022\BarronRiver\Frames_for_Analysis\3595_C0040_R_0402.jpg</t>
  </si>
  <si>
    <t>E:\CAFNEC_GBRF\2022\BarronRiver\Frames_for_Analysis\3596_C0013_L_0400.jpg</t>
  </si>
  <si>
    <t>E:\CAFNEC_GBRF\2022\BarronRiver\Frames_for_Analysis\3597_C0040_R_0396.jpg</t>
  </si>
  <si>
    <t>E:\CAFNEC_GBRF\2022\BarronRiver\Frames_for_Analysis\3598_C0013_L_0408.jpg</t>
  </si>
  <si>
    <t>E:\CAFNEC_GBRF\2022\BarronRiver\Frames_for_Analysis\3599_C0013_L_0411.jpg</t>
  </si>
  <si>
    <t>E:\CAFNEC_GBRF\2022\BarronRiver\Frames_for_Analysis\3600_C0013_L_0414.jpg</t>
  </si>
  <si>
    <t>E:\CAFNEC_GBRF\2022\BarronRiver\Frames_for_Analysis\3601_C0040_R_0382.jpg</t>
  </si>
  <si>
    <t>E:\CAFNEC_GBRF\2022\BarronRiver\Frames_for_Analysis\3602_C0013_L_0418.jpg</t>
  </si>
  <si>
    <t>E:\CAFNEC_GBRF\2022\BarronRiver\Frames_for_Analysis\3603_C0040_R_0377.jpg</t>
  </si>
  <si>
    <t>E:\CAFNEC_GBRF\2022\BarronRiver\Frames_for_Analysis\3604_C0013_L_0427.jpg</t>
  </si>
  <si>
    <t>E:\CAFNEC_GBRF\2022\BarronRiver\Frames_for_Analysis\3605_C0040_R_0368.jpg</t>
  </si>
  <si>
    <t>E:\CAFNEC_GBRF\2022\BarronRiver\Frames_for_Analysis\3606_C0040_R_0363.jpg</t>
  </si>
  <si>
    <t>E:\CAFNEC_GBRF\2022\BarronRiver\Frames_for_Analysis\3607_C0040_R_0360.jpg</t>
  </si>
  <si>
    <t>E:\CAFNEC_GBRF\2022\BarronRiver\Frames_for_Analysis\3608_C0013_L_0445.jpg</t>
  </si>
  <si>
    <t>E:\CAFNEC_GBRF\2022\BarronRiver\Frames_for_Analysis\3609_C0040_R_0354.jpg</t>
  </si>
  <si>
    <t>E:\CAFNEC_GBRF\2022\BarronRiver\Frames_for_Analysis\3610_C0040_R_0351.jpg</t>
  </si>
  <si>
    <t>E:\CAFNEC_GBRF\2022\BarronRiver\Frames_for_Analysis\3611_C0013_L_0455.jpg</t>
  </si>
  <si>
    <t>E:\CAFNEC_GBRF\2022\BarronRiver\Frames_for_Analysis\3612_C0040_R_0345.jpg</t>
  </si>
  <si>
    <t>E:\CAFNEC_GBRF\2022\BarronRiver\Frames_for_Analysis\3613_C0040_R_0342.jpg</t>
  </si>
  <si>
    <t>E:\CAFNEC_GBRF\2022\BarronRiver\Frames_for_Analysis\3614_C0013_L_0463.jpg</t>
  </si>
  <si>
    <t>E:\CAFNEC_GBRF\2022\BarronRiver\Frames_for_Analysis\3615_C0013_L_0467.jpg</t>
  </si>
  <si>
    <t>E:\CAFNEC_GBRF\2022\BarronRiver\Frames_for_Analysis\3616_C0040_R_0334.jpg</t>
  </si>
  <si>
    <t>E:\CAFNEC_GBRF\2022\BarronRiver\Frames_for_Analysis\3617_C0013_L_0472.jpg</t>
  </si>
  <si>
    <t>E:\CAFNEC_GBRF\2022\BarronRiver\Frames_for_Analysis\3618_C0040_R_0328.jpg</t>
  </si>
  <si>
    <t>E:\CAFNEC_GBRF\2022\BarronRiver\Frames_for_Analysis\3619_C0040_R_0326.jpg</t>
  </si>
  <si>
    <t>E:\CAFNEC_GBRF\2022\BarronRiver\Frames_for_Analysis\3620_C0013_L_0481.jpg</t>
  </si>
  <si>
    <t>E:\CAFNEC_GBRF\2022\BarronRiver\Frames_for_Analysis\3621_C0040_R_0321.jpg</t>
  </si>
  <si>
    <t>E:\CAFNEC_GBRF\2022\BarronRiver\Frames_for_Analysis\3622_C0013_L_0486.jpg</t>
  </si>
  <si>
    <t>E:\CAFNEC_GBRF\2022\BarronRiver\Frames_for_Analysis\3623_C0040_R_0316.jpg</t>
  </si>
  <si>
    <t>E:\CAFNEC_GBRF\2022\BarronRiver\Frames_for_Analysis\3624_C0040_R_0314.jpg</t>
  </si>
  <si>
    <t>E:\CAFNEC_GBRF\2022\BarronRiver\Frames_for_Analysis\3625_C0013_L_0495.jpg</t>
  </si>
  <si>
    <t>E:\CAFNEC_GBRF\2022\BarronRiver\Frames_for_Analysis\3626_C0013_L_0497.jpg</t>
  </si>
  <si>
    <t>E:\CAFNEC_GBRF\2022\BarronRiver\Frames_for_Analysis\3627_C0040_R_0306.jpg</t>
  </si>
  <si>
    <t>E:\CAFNEC_GBRF\2022\BarronRiver\Frames_for_Analysis\3628_C0040_R_0303.jpg</t>
  </si>
  <si>
    <t>E:\CAFNEC_GBRF\2022\BarronRiver\Frames_for_Analysis\3629_C0040_R_0301.jpg</t>
  </si>
  <si>
    <t>E:\CAFNEC_GBRF\2022\BarronRiver\Frames_for_Analysis\3630_C0040_R_0298.jpg</t>
  </si>
  <si>
    <t>E:\CAFNEC_GBRF\2022\BarronRiver\Frames_for_Analysis\3631_C0040_R_0296.jpg</t>
  </si>
  <si>
    <t>E:\CAFNEC_GBRF\2022\BarronRiver\Frames_for_Analysis\3632_C0040_R_0293.jpg</t>
  </si>
  <si>
    <t>E:\CAFNEC_GBRF\2022\BarronRiver\Frames_for_Analysis\3633_C0040_R_0291.jpg</t>
  </si>
  <si>
    <t>E:\CAFNEC_GBRF\2022\BarronRiver\Frames_for_Analysis\3634_C0040_R_0288.jpg</t>
  </si>
  <si>
    <t>E:\CAFNEC_GBRF\2022\BarronRiver\Frames_for_Analysis\3635_C0040_R_0286.jpg</t>
  </si>
  <si>
    <t>E:\CAFNEC_GBRF\2022\BarronRiver\Frames_for_Analysis\3636_C0040_R_0284.jpg</t>
  </si>
  <si>
    <t>E:\CAFNEC_GBRF\2022\BarronRiver\Frames_for_Analysis\3637_C0040_R_0281.jpg</t>
  </si>
  <si>
    <t>E:\CAFNEC_GBRF\2022\BarronRiver\Frames_for_Analysis\3638_C0040_R_0279.jpg</t>
  </si>
  <si>
    <t>E:\CAFNEC_GBRF\2022\BarronRiver\Frames_for_Analysis\3639_C0040_R_0276.jpg</t>
  </si>
  <si>
    <t>E:\CAFNEC_GBRF\2022\BarronRiver\Frames_for_Analysis\3640_C0040_R_0273.jpg</t>
  </si>
  <si>
    <t>E:\CAFNEC_GBRF\2022\BarronRiver\Frames_for_Analysis\3641_C0040_R_0271.jpg</t>
  </si>
  <si>
    <t>E:\CAFNEC_GBRF\2022\BarronRiver\Frames_for_Analysis\3642_C0040_R_0268.jpg</t>
  </si>
  <si>
    <t>E:\CAFNEC_GBRF\2022\BarronRiver\Frames_for_Analysis\3643_C0040_R_0266.jpg</t>
  </si>
  <si>
    <t>E:\CAFNEC_GBRF\2022\BarronRiver\Frames_for_Analysis\3644_C0040_R_0263.jpg</t>
  </si>
  <si>
    <t>E:\CAFNEC_GBRF\2022\BarronRiver\Frames_for_Analysis\3645_C0040_R_0261.jpg</t>
  </si>
  <si>
    <t>E:\CAFNEC_GBRF\2022\BarronRiver\Frames_for_Analysis\3646_C0040_R_0258.jpg</t>
  </si>
  <si>
    <t>E:\CAFNEC_GBRF\2022\BarronRiver\Frames_for_Analysis\3647_C0040_R_0256.jpg</t>
  </si>
  <si>
    <t>E:\CAFNEC_GBRF\2022\BarronRiver\Frames_for_Analysis\3648_C0040_R_0254.jpg</t>
  </si>
  <si>
    <t>E:\CAFNEC_GBRF\2022\BarronRiver\Frames_for_Analysis\3649_C0040_R_0251.jpg</t>
  </si>
  <si>
    <t>E:\CAFNEC_GBRF\2022\BarronRiver\Frames_for_Analysis\3650_C0040_R_0248.jpg</t>
  </si>
  <si>
    <t>E:\CAFNEC_GBRF\2022\BarronRiver\Frames_for_Analysis\3651_C0040_R_0246.jpg</t>
  </si>
  <si>
    <t>E:\CAFNEC_GBRF\2022\BarronRiver\Frames_for_Analysis\3652_C0040_R_0243.jpg</t>
  </si>
  <si>
    <t>E:\CAFNEC_GBRF\2022\BarronRiver\Frames_for_Analysis\3653_C0040_R_0240.jpg</t>
  </si>
  <si>
    <t>E:\CAFNEC_GBRF\2022\BarronRiver\Frames_for_Analysis\3654_C0040_R_0238.jpg</t>
  </si>
  <si>
    <t>E:\CAFNEC_GBRF\2022\BarronRiver\Frames_for_Analysis\3655_C0040_R_0235.jpg</t>
  </si>
  <si>
    <t>E:\CAFNEC_GBRF\2022\BarronRiver\Frames_for_Analysis\3656_C0040_R_0232.jpg</t>
  </si>
  <si>
    <t>E:\CAFNEC_GBRF\2022\BarronRiver\Frames_for_Analysis\3657_C0040_R_0230.jpg</t>
  </si>
  <si>
    <t>E:\CAFNEC_GBRF\2022\BarronRiver\Frames_for_Analysis\3658_C0040_R_0227.jpg</t>
  </si>
  <si>
    <t>E:\CAFNEC_GBRF\2022\BarronRiver\Frames_for_Analysis\3659_C0040_R_0224.jpg</t>
  </si>
  <si>
    <t>E:\CAFNEC_GBRF\2022\BarronRiver\Frames_for_Analysis\3660_C0040_R_0221.jpg</t>
  </si>
  <si>
    <t>E:\CAFNEC_GBRF\2022\BarronRiver\Frames_for_Analysis\3661_C0040_R_0219.jpg</t>
  </si>
  <si>
    <t>E:\CAFNEC_GBRF\2022\BarronRiver\Frames_for_Analysis\3662_C0040_R_0216.jpg</t>
  </si>
  <si>
    <t>E:\CAFNEC_GBRF\2022\BarronRiver\Frames_for_Analysis\3663_C0040_R_0213.jpg</t>
  </si>
  <si>
    <t>E:\CAFNEC_GBRF\2022\BarronRiver\Frames_for_Analysis\3664_C0040_R_0211.jpg</t>
  </si>
  <si>
    <t>E:\CAFNEC_GBRF\2022\BarronRiver\Frames_for_Analysis\3665_C0040_R_0208.jpg</t>
  </si>
  <si>
    <t>E:\CAFNEC_GBRF\2022\BarronRiver\Frames_for_Analysis\3666_C0040_R_0204.jpg</t>
  </si>
  <si>
    <t>E:\CAFNEC_GBRF\2022\BarronRiver\Frames_for_Analysis\3667_C0040_R_0202.jpg</t>
  </si>
  <si>
    <t>E:\CAFNEC_GBRF\2022\BarronRiver\Frames_for_Analysis\3668_C0040_R_0199.jpg</t>
  </si>
  <si>
    <t>E:\CAFNEC_GBRF\2022\BarronRiver\Frames_for_Analysis\3669_C0040_R_0197.jpg</t>
  </si>
  <si>
    <t>E:\CAFNEC_GBRF\2022\BarronRiver\Frames_for_Analysis\3670_C0040_R_0194.jpg</t>
  </si>
  <si>
    <t>E:\CAFNEC_GBRF\2022\BarronRiver\Frames_for_Analysis\3671_C0040_R_0192.jpg</t>
  </si>
  <si>
    <t>E:\CAFNEC_GBRF\2022\BarronRiver\Frames_for_Analysis\3672_C0040_R_0189.jpg</t>
  </si>
  <si>
    <t>E:\CAFNEC_GBRF\2022\BarronRiver\Frames_for_Analysis\3673_C0040_R_0186.jpg</t>
  </si>
  <si>
    <t>E:\CAFNEC_GBRF\2022\BarronRiver\Frames_for_Analysis\3674_C0040_R_0182.jpg</t>
  </si>
  <si>
    <t>E:\CAFNEC_GBRF\2022\BarronRiver\Frames_for_Analysis\3675_C0040_R_0179.jpg</t>
  </si>
  <si>
    <t>E:\CAFNEC_GBRF\2022\BarronRiver\Frames_for_Analysis\3676_C0040_R_0176.jpg</t>
  </si>
  <si>
    <t>E:\CAFNEC_GBRF\2022\BarronRiver\Frames_for_Analysis\3677_C0040_R_0173.jpg</t>
  </si>
  <si>
    <t>E:\CAFNEC_GBRF\2022\BarronRiver\Frames_for_Analysis\3678_C0040_R_0170.jpg</t>
  </si>
  <si>
    <t>E:\CAFNEC_GBRF\2022\BarronRiver\Frames_for_Analysis\3679_C0040_R_0168.jpg</t>
  </si>
  <si>
    <t>E:\CAFNEC_GBRF\2022\BarronRiver\Frames_for_Analysis\3680_C0040_R_0165.jpg</t>
  </si>
  <si>
    <t>E:\CAFNEC_GBRF\2022\BarronRiver\Frames_for_Analysis\3681_C0040_R_0162.jpg</t>
  </si>
  <si>
    <t>E:\CAFNEC_GBRF\2022\BarronRiver\Frames_for_Analysis\3682_C0040_R_0160.jpg</t>
  </si>
  <si>
    <t>E:\CAFNEC_GBRF\2022\BarronRiver\Frames_for_Analysis\3683_C0040_R_0157.jpg</t>
  </si>
  <si>
    <t>E:\CAFNEC_GBRF\2022\BarronRiver\Frames_for_Analysis\3684_C0040_R_0154.jpg</t>
  </si>
  <si>
    <t>E:\CAFNEC_GBRF\2022\BarronRiver\Frames_for_Analysis\3685_C0040_R_0151.jpg</t>
  </si>
  <si>
    <t>E:\CAFNEC_GBRF\2022\BarronRiver\Frames_for_Analysis\3686_C0040_R_0148.jpg</t>
  </si>
  <si>
    <t>E:\CAFNEC_GBRF\2022\BarronRiver\Frames_for_Analysis\3687_C0040_R_0146.jpg</t>
  </si>
  <si>
    <t>E:\CAFNEC_GBRF\2022\BarronRiver\Frames_for_Analysis\3688_C0040_R_0143.jpg</t>
  </si>
  <si>
    <t>E:\CAFNEC_GBRF\2022\BarronRiver\Frames_for_Analysis\3689_C0040_R_0139.jpg</t>
  </si>
  <si>
    <t>E:\CAFNEC_GBRF\2022\BarronRiver\Frames_for_Analysis\3690_C0040_R_0136.jpg</t>
  </si>
  <si>
    <t>E:\CAFNEC_GBRF\2022\BarronRiver\Frames_for_Analysis\3691_C0040_R_0133.jpg</t>
  </si>
  <si>
    <t>E:\CAFNEC_GBRF\2022\BarronRiver\Frames_for_Analysis\3692_C0040_R_0130.jpg</t>
  </si>
  <si>
    <t>E:\CAFNEC_GBRF\2022\BarronRiver\Frames_for_Analysis\3693_C0040_R_0128.jpg</t>
  </si>
  <si>
    <t>E:\CAFNEC_GBRF\2022\BarronRiver\Frames_for_Analysis\3694_C0040_R_0125.jpg</t>
  </si>
  <si>
    <t>E:\CAFNEC_GBRF\2022\BarronRiver\Frames_for_Analysis\3695_C0040_R_0122.jpg</t>
  </si>
  <si>
    <t>E:\CAFNEC_GBRF\2022\BarronRiver\Frames_for_Analysis\3696_C0040_R_0120.jpg</t>
  </si>
  <si>
    <t>E:\CAFNEC_GBRF\2022\BarronRiver\Frames_for_Analysis\3697_C0040_R_0117.jpg</t>
  </si>
  <si>
    <t>E:\CAFNEC_GBRF\2022\BarronRiver\Frames_for_Analysis\3698_C0040_R_0113.jpg</t>
  </si>
  <si>
    <t>E:\CAFNEC_GBRF\2022\BarronRiver\Frames_for_Analysis\3699_C0040_R_0110.jpg</t>
  </si>
  <si>
    <t>E:\CAFNEC_GBRF\2022\BarronRiver\Frames_for_Analysis\3700_C0040_R_0107.jpg</t>
  </si>
  <si>
    <t>E:\CAFNEC_GBRF\2022\BarronRiver\Frames_for_Analysis\3701_C0040_R_0104.jpg</t>
  </si>
  <si>
    <t>E:\CAFNEC_GBRF\2022\BarronRiver\Frames_for_Analysis\3702_C0040_R_0102.jpg</t>
  </si>
  <si>
    <t>E:\CAFNEC_GBRF\2022\BarronRiver\Frames_for_Analysis\3703_C0040_R_0099.jpg</t>
  </si>
  <si>
    <t>E:\CAFNEC_GBRF\2022\BarronRiver\Frames_for_Analysis\3704_C0040_R_0096.jpg</t>
  </si>
  <si>
    <t>E:\CAFNEC_GBRF\2022\BarronRiver\Frames_for_Analysis\3705_C0040_R_0093.jpg</t>
  </si>
  <si>
    <t>E:\CAFNEC_GBRF\2022\BarronRiver\Frames_for_Analysis\3706_C0040_R_0090.jpg</t>
  </si>
  <si>
    <t>E:\CAFNEC_GBRF\2022\BarronRiver\Frames_for_Analysis\3707_C0040_R_0087.jpg</t>
  </si>
  <si>
    <t>E:\CAFNEC_GBRF\2022\BarronRiver\Frames_for_Analysis\3708_C0040_R_0084.jpg</t>
  </si>
  <si>
    <t>E:\CAFNEC_GBRF\2022\BarronRiver\Frames_for_Analysis\3709_C0040_R_0081.jpg</t>
  </si>
  <si>
    <t>E:\CAFNEC_GBRF\2022\BarronRiver\Frames_for_Analysis\3710_C0040_R_0078.jpg</t>
  </si>
  <si>
    <t>E:\CAFNEC_GBRF\2022\BarronRiver\Frames_for_Analysis\3711_C0040_R_0075.jpg</t>
  </si>
  <si>
    <t>E:\CAFNEC_GBRF\2022\BarronRiver\Frames_for_Analysis\3712_C0040_R_0072.jpg</t>
  </si>
  <si>
    <t>E:\CAFNEC_GBRF\2022\BarronRiver\Frames_for_Analysis\3713_C0040_R_0069.jpg</t>
  </si>
  <si>
    <t>E:\CAFNEC_GBRF\2022\BarronRiver\Frames_for_Analysis\3714_C0040_R_0065.jpg</t>
  </si>
  <si>
    <t>E:\CAFNEC_GBRF\2022\BarronRiver\Frames_for_Analysis\3715_C0040_R_0063.jpg</t>
  </si>
  <si>
    <t>E:\CAFNEC_GBRF\2022\BarronRiver\Frames_for_Analysis\3716_C0040_R_0059.jpg</t>
  </si>
  <si>
    <t>E:\CAFNEC_GBRF\2022\BarronRiver\Frames_for_Analysis\3717_C0040_R_0056.jpg</t>
  </si>
  <si>
    <t>E:\CAFNEC_GBRF\2022\BarronRiver\Frames_for_Analysis\3718_C0040_R_0053.jpg</t>
  </si>
  <si>
    <t>E:\CAFNEC_GBRF\2022\BarronRiver\Frames_for_Analysis\3719_C0040_R_0049.jpg</t>
  </si>
  <si>
    <t>E:\CAFNEC_GBRF\2022\BarronRiver\Frames_for_Analysis\3720_C0040_R_0044.jpg</t>
  </si>
  <si>
    <t>E:\CAFNEC_GBRF\2022\BarronRiver\Frames_for_Analysis\3721_C0040_R_0040.jpg</t>
  </si>
  <si>
    <t>E:\CAFNEC_GBRF\2022\BarronRiver\Frames_for_Analysis\3722_C0040_R_0036.jpg</t>
  </si>
  <si>
    <t>E:\CAFNEC_GBRF\2022\BarronRiver\Frames_for_Analysis\3723_C0040_R_0032.jpg</t>
  </si>
  <si>
    <t>E:\CAFNEC_GBRF\2022\BarronRiver\Frames_for_Analysis\3724_C0040_R_0028.jpg</t>
  </si>
  <si>
    <t>E:\CAFNEC_GBRF\2022\BarronRiver\Frames_for_Analysis\3725_C0040_R_0022.jpg</t>
  </si>
  <si>
    <t>E:\CAFNEC_GBRF\2022\BarronRiver\Frames_for_Analysis\3726_C0040_R_0016.jpg</t>
  </si>
  <si>
    <t>E:\CAFNEC_GBRF\2022\BarronRiver\Frames_for_Analysis\3731_C0036_R_1_0345.jpg</t>
  </si>
  <si>
    <t>E:\CAFNEC_GBRF\2022\BarronRiver\Frames_for_Analysis\3732_C0036_R_1_0341.jpg</t>
  </si>
  <si>
    <t>E:\CAFNEC_GBRF\2022\BarronRiver\Frames_for_Analysis\3733_C0036_R_1_0334.jpg</t>
  </si>
  <si>
    <t>E:\CAFNEC_GBRF\2022\BarronRiver\Frames_for_Analysis\3734_C0036_R_1_0333.jpg</t>
  </si>
  <si>
    <t>E:\CAFNEC_GBRF\2022\BarronRiver\Frames_for_Analysis\3735_C0036_R_1_0330.jpg</t>
  </si>
  <si>
    <t>E:\CAFNEC_GBRF\2022\BarronRiver\Frames_for_Analysis\3736_C0036_R_1_0322.jpg</t>
  </si>
  <si>
    <t>E:\CAFNEC_GBRF\2022\BarronRiver\Frames_for_Analysis\3737_C0036_R_1_0316.jpg</t>
  </si>
  <si>
    <t>E:\CAFNEC_GBRF\2022\BarronRiver\Frames_for_Analysis\3738_C0036_R_1_0311.jpg</t>
  </si>
  <si>
    <t>E:\CAFNEC_GBRF\2022\BarronRiver\Frames_for_Analysis\3739_C0036_R_1_0308.jpg</t>
  </si>
  <si>
    <t>E:\CAFNEC_GBRF\2022\BarronRiver\Frames_for_Analysis\3740_C0036_R_1_0305.jpg</t>
  </si>
  <si>
    <t>E:\CAFNEC_GBRF\2022\BarronRiver\Frames_for_Analysis\3741_C0036_R_1_0300.jpg</t>
  </si>
  <si>
    <t>E:\CAFNEC_GBRF\2022\BarronRiver\Frames_for_Analysis\3742_C0036_R_1_0297.jpg</t>
  </si>
  <si>
    <t>E:\CAFNEC_GBRF\2022\BarronRiver\Frames_for_Analysis\3743_C0036_R_1_0293.jpg</t>
  </si>
  <si>
    <t>E:\CAFNEC_GBRF\2022\BarronRiver\Frames_for_Analysis\3744_C0036_R_1_0289.jpg</t>
  </si>
  <si>
    <t>E:\CAFNEC_GBRF\2022\BarronRiver\Frames_for_Analysis\3745_C0036_R_1_0287.jpg</t>
  </si>
  <si>
    <t>E:\CAFNEC_GBRF\2022\BarronRiver\Frames_for_Analysis\3746_C0036_R_1_0284.jpg</t>
  </si>
  <si>
    <t>E:\CAFNEC_GBRF\2022\BarronRiver\Frames_for_Analysis\3747_C0036_R_1_0281.jpg</t>
  </si>
  <si>
    <t>E:\CAFNEC_GBRF\2022\BarronRiver\Frames_for_Analysis\3748_C0036_R_1_0278.jpg</t>
  </si>
  <si>
    <t>E:\CAFNEC_GBRF\2022\BarronRiver\Frames_for_Analysis\3749_C0036_R_1_0275.jpg</t>
  </si>
  <si>
    <t>E:\CAFNEC_GBRF\2022\BarronRiver\Frames_for_Analysis\3750_C0036_R_1_0271.jpg</t>
  </si>
  <si>
    <t>E:\CAFNEC_GBRF\2022\BarronRiver\Frames_for_Analysis\3751_C0036_R_1_0268.jpg</t>
  </si>
  <si>
    <t>E:\CAFNEC_GBRF\2022\BarronRiver\Frames_for_Analysis\3752_C0036_R_1_0265.jpg</t>
  </si>
  <si>
    <t>E:\CAFNEC_GBRF\2022\BarronRiver\Frames_for_Analysis\3753_C0036_R_1_0262.jpg</t>
  </si>
  <si>
    <t>E:\CAFNEC_GBRF\2022\BarronRiver\Frames_for_Analysis\3754_C0036_R_1_0259.jpg</t>
  </si>
  <si>
    <t>E:\CAFNEC_GBRF\2022\BarronRiver\Frames_for_Analysis\3755_C0036_R_1_0256.jpg</t>
  </si>
  <si>
    <t>E:\CAFNEC_GBRF\2022\BarronRiver\Frames_for_Analysis\3756_C0036_R_1_0254.jpg</t>
  </si>
  <si>
    <t>E:\CAFNEC_GBRF\2022\BarronRiver\Frames_for_Analysis\3757_C0036_R_1_0250.jpg</t>
  </si>
  <si>
    <t>E:\CAFNEC_GBRF\2022\BarronRiver\Frames_for_Analysis\3758_C0036_R_1_0247.jpg</t>
  </si>
  <si>
    <t>E:\CAFNEC_GBRF\2022\BarronRiver\Frames_for_Analysis\3759_C0036_R_1_0244.jpg</t>
  </si>
  <si>
    <t>E:\CAFNEC_GBRF\2022\BarronRiver\Frames_for_Analysis\3760_C0036_R_1_0241.jpg</t>
  </si>
  <si>
    <t>E:\CAFNEC_GBRF\2022\BarronRiver\Frames_for_Analysis\3761_C0036_R_1_0239.jpg</t>
  </si>
  <si>
    <t>E:\CAFNEC_GBRF\2022\BarronRiver\Frames_for_Analysis\3762_C0036_R_1_0236.jpg</t>
  </si>
  <si>
    <t>E:\CAFNEC_GBRF\2022\BarronRiver\Frames_for_Analysis\3763_C0036_R_1_0233.jpg</t>
  </si>
  <si>
    <t>E:\CAFNEC_GBRF\2022\BarronRiver\Frames_for_Analysis\3764_C0036_R_1_0229.jpg</t>
  </si>
  <si>
    <t>E:\CAFNEC_GBRF\2022\BarronRiver\Frames_for_Analysis\3765_C0036_R_1_0226.jpg</t>
  </si>
  <si>
    <t>E:\CAFNEC_GBRF\2022\BarronRiver\Frames_for_Analysis\3766_C0036_R_1_0223.jpg</t>
  </si>
  <si>
    <t>E:\CAFNEC_GBRF\2022\BarronRiver\Frames_for_Analysis\3767_C0036_R_1_0220.jpg</t>
  </si>
  <si>
    <t>E:\CAFNEC_GBRF\2022\BarronRiver\Frames_for_Analysis\3768_C0036_R_1_0217.jpg</t>
  </si>
  <si>
    <t>E:\CAFNEC_GBRF\2022\BarronRiver\Frames_for_Analysis\3769_C0036_R_1_0214.jpg</t>
  </si>
  <si>
    <t>E:\CAFNEC_GBRF\2022\BarronRiver\Frames_for_Analysis\3770_C0036_R_1_0211.jpg</t>
  </si>
  <si>
    <t>E:\CAFNEC_GBRF\2022\BarronRiver\Frames_for_Analysis\3771_C0036_R_1_0208.jpg</t>
  </si>
  <si>
    <t>E:\CAFNEC_GBRF\2022\BarronRiver\Frames_for_Analysis\3772_C0036_R_1_0205.jpg</t>
  </si>
  <si>
    <t>E:\CAFNEC_GBRF\2022\BarronRiver\Frames_for_Analysis\3773_C0036_R_1_0202.jpg</t>
  </si>
  <si>
    <t>E:\CAFNEC_GBRF\2022\BarronRiver\Frames_for_Analysis\3774_C0036_R_1_0198.jpg</t>
  </si>
  <si>
    <t>E:\CAFNEC_GBRF\2022\BarronRiver\Frames_for_Analysis\3775_C0036_R_1_0195.jpg</t>
  </si>
  <si>
    <t>E:\CAFNEC_GBRF\2022\BarronRiver\Frames_for_Analysis\3776_C0036_R_1_0192.jpg</t>
  </si>
  <si>
    <t>E:\CAFNEC_GBRF\2022\BarronRiver\Frames_for_Analysis\3777_C0036_R_1_0189.jpg</t>
  </si>
  <si>
    <t>E:\CAFNEC_GBRF\2022\BarronRiver\Frames_for_Analysis\3778_C0036_R_1_0186.jpg</t>
  </si>
  <si>
    <t>E:\CAFNEC_GBRF\2022\BarronRiver\Frames_for_Analysis\3779_C0036_R_1_0183.jpg</t>
  </si>
  <si>
    <t>E:\CAFNEC_GBRF\2022\BarronRiver\Frames_for_Analysis\3780_C0036_R_1_0179.jpg</t>
  </si>
  <si>
    <t>E:\CAFNEC_GBRF\2022\BarronRiver\Frames_for_Analysis\3781_C0036_R_1_0176.jpg</t>
  </si>
  <si>
    <t>E:\CAFNEC_GBRF\2022\BarronRiver\Frames_for_Analysis\3782_C0036_R_1_0173.jpg</t>
  </si>
  <si>
    <t>E:\CAFNEC_GBRF\2022\BarronRiver\Frames_for_Analysis\3783_C0036_R_1_0169.jpg</t>
  </si>
  <si>
    <t>E:\CAFNEC_GBRF\2022\BarronRiver\Frames_for_Analysis\3784_C0036_R_1_0166.jpg</t>
  </si>
  <si>
    <t>E:\CAFNEC_GBRF\2022\BarronRiver\Frames_for_Analysis\3785_C0036_R_1_0163.jpg</t>
  </si>
  <si>
    <t>E:\CAFNEC_GBRF\2022\BarronRiver\Frames_for_Analysis\3786_C0036_R_1_0160.jpg</t>
  </si>
  <si>
    <t>E:\CAFNEC_GBRF\2022\BarronRiver\Frames_for_Analysis\3787_C0036_R_1_0157.jpg</t>
  </si>
  <si>
    <t>E:\CAFNEC_GBRF\2022\BarronRiver\Frames_for_Analysis\3788_C0036_R_1_0154.jpg</t>
  </si>
  <si>
    <t>E:\CAFNEC_GBRF\2022\BarronRiver\Frames_for_Analysis\3789_C0036_R_1_0151.jpg</t>
  </si>
  <si>
    <t>E:\CAFNEC_GBRF\2022\BarronRiver\Frames_for_Analysis\3790_C0036_R_1_0147.jpg</t>
  </si>
  <si>
    <t>E:\CAFNEC_GBRF\2022\BarronRiver\Frames_for_Analysis\3791_C0036_R_1_0144.jpg</t>
  </si>
  <si>
    <t>E:\CAFNEC_GBRF\2022\BarronRiver\Frames_for_Analysis\3792_C0036_R_1_0140.jpg</t>
  </si>
  <si>
    <t>E:\CAFNEC_GBRF\2022\BarronRiver\Frames_for_Analysis\3793_C0036_R_1_0137.jpg</t>
  </si>
  <si>
    <t>E:\CAFNEC_GBRF\2022\BarronRiver\Frames_for_Analysis\3794_C0036_R_1_0134.jpg</t>
  </si>
  <si>
    <t>E:\CAFNEC_GBRF\2022\BarronRiver\Frames_for_Analysis\3795_C0036_R_1_0130.jpg</t>
  </si>
  <si>
    <t>E:\CAFNEC_GBRF\2022\BarronRiver\Frames_for_Analysis\3796_C0036_R_1_0126.jpg</t>
  </si>
  <si>
    <t>E:\CAFNEC_GBRF\2022\BarronRiver\Frames_for_Analysis\3797_C0036_R_1_0123.jpg</t>
  </si>
  <si>
    <t>E:\CAFNEC_GBRF\2022\BarronRiver\Frames_for_Analysis\3798_C0036_R_1_0120.jpg</t>
  </si>
  <si>
    <t>E:\CAFNEC_GBRF\2022\BarronRiver\Frames_for_Analysis\3799_C0036_R_1_0117.jpg</t>
  </si>
  <si>
    <t>E:\CAFNEC_GBRF\2022\BarronRiver\Frames_for_Analysis\3800_C0036_R_1_0113.jpg</t>
  </si>
  <si>
    <t>E:\CAFNEC_GBRF\2022\BarronRiver\Frames_for_Analysis\3801_C0036_R_1_0109.jpg</t>
  </si>
  <si>
    <t>E:\CAFNEC_GBRF\2022\BarronRiver\Frames_for_Analysis\3802_C0036_R_1_0106.jpg</t>
  </si>
  <si>
    <t>E:\CAFNEC_GBRF\2022\BarronRiver\Frames_for_Analysis\3803_C0036_R_1_0102.jpg</t>
  </si>
  <si>
    <t>E:\CAFNEC_GBRF\2022\BarronRiver\Frames_for_Analysis\3804_C0036_R_1_0099.jpg</t>
  </si>
  <si>
    <t>E:\CAFNEC_GBRF\2022\BarronRiver\Frames_for_Analysis\3805_C0036_R_1_0096.jpg</t>
  </si>
  <si>
    <t>E:\CAFNEC_GBRF\2022\BarronRiver\Frames_for_Analysis\3806_C0036_R_1_0093.jpg</t>
  </si>
  <si>
    <t>E:\CAFNEC_GBRF\2022\BarronRiver\Frames_for_Analysis\3807_C0036_R_1_0090.jpg</t>
  </si>
  <si>
    <t>E:\CAFNEC_GBRF\2022\BarronRiver\Frames_for_Analysis\3808_C0036_R_1_0087.jpg</t>
  </si>
  <si>
    <t>E:\CAFNEC_GBRF\2022\BarronRiver\Frames_for_Analysis\3809_C0036_R_1_0084.jpg</t>
  </si>
  <si>
    <t>E:\CAFNEC_GBRF\2022\BarronRiver\Frames_for_Analysis\3810_C0036_R_1_0081.jpg</t>
  </si>
  <si>
    <t>E:\CAFNEC_GBRF\2022\BarronRiver\Frames_for_Analysis\3811_C0036_R_1_0079.jpg</t>
  </si>
  <si>
    <t>E:\CAFNEC_GBRF\2022\BarronRiver\Frames_for_Analysis\3812_C0036_R_1_0076.jpg</t>
  </si>
  <si>
    <t>E:\CAFNEC_GBRF\2022\BarronRiver\Frames_for_Analysis\3813_C0036_R_1_0073.jpg</t>
  </si>
  <si>
    <t>E:\CAFNEC_GBRF\2022\BarronRiver\Frames_for_Analysis\3814_C0036_R_1_0070.jpg</t>
  </si>
  <si>
    <t>E:\CAFNEC_GBRF\2022\BarronRiver\Frames_for_Analysis\3815_C0036_R_1_0067.jpg</t>
  </si>
  <si>
    <t>E:\CAFNEC_GBRF\2022\BarronRiver\Frames_for_Analysis\3816_C0036_R_1_0064.jpg</t>
  </si>
  <si>
    <t>E:\CAFNEC_GBRF\2022\BarronRiver\Frames_for_Analysis\3817_C0036_R_1_0061.jpg</t>
  </si>
  <si>
    <t>E:\CAFNEC_GBRF\2022\BarronRiver\Frames_for_Analysis\3818_C0036_R_1_0058.jpg</t>
  </si>
  <si>
    <t>E:\CAFNEC_GBRF\2022\BarronRiver\Frames_for_Analysis\3819_C0036_R_1_0056.jpg</t>
  </si>
  <si>
    <t>E:\CAFNEC_GBRF\2022\BarronRiver\Frames_for_Analysis\3820_C0036_R_1_0053.jpg</t>
  </si>
  <si>
    <t>E:\CAFNEC_GBRF\2022\BarronRiver\Frames_for_Analysis\3821_C0036_R_1_0050.jpg</t>
  </si>
  <si>
    <t>E:\CAFNEC_GBRF\2022\BarronRiver\Frames_for_Analysis\3822_C0036_R_1_0047.jpg</t>
  </si>
  <si>
    <t>E:\CAFNEC_GBRF\2022\BarronRiver\Frames_for_Analysis\3823_C0036_R_1_0044.jpg</t>
  </si>
  <si>
    <t>E:\CAFNEC_GBRF\2022\BarronRiver\Frames_for_Analysis\3824_C0036_R_1_0041.jpg</t>
  </si>
  <si>
    <t>E:\CAFNEC_GBRF\2022\BarronRiver\Frames_for_Analysis\3825_C0036_R_1_0039.jpg</t>
  </si>
  <si>
    <t>E:\CAFNEC_GBRF\2022\BarronRiver\Frames_for_Analysis\3826_C0036_R_1_0036.jpg</t>
  </si>
  <si>
    <t>E:\CAFNEC_GBRF\2022\BarronRiver\Frames_for_Analysis\3827_C0036_R_1_0033.jpg</t>
  </si>
  <si>
    <t>E:\CAFNEC_GBRF\2022\BarronRiver\Frames_for_Analysis\3828_C0036_R_1_0031.jpg</t>
  </si>
  <si>
    <t>E:\CAFNEC_GBRF\2022\BarronRiver\Frames_for_Analysis\3829_C0036_R_1_0028.jpg</t>
  </si>
  <si>
    <t>E:\CAFNEC_GBRF\2022\BarronRiver\Frames_for_Analysis\3830_C0036_R_1_0025.jpg</t>
  </si>
  <si>
    <t>E:\CAFNEC_GBRF\2022\BarronRiver\Frames_for_Analysis\3831_C0036_R_1_0022.jpg</t>
  </si>
  <si>
    <t>E:\CAFNEC_GBRF\2022\BarronRiver\Frames_for_Analysis\3832_C0036_R_1_0019.jpg</t>
  </si>
  <si>
    <t>E:\CAFNEC_GBRF\2022\BarronRiver\Frames_for_Analysis\3833_C0036_R_1_0017.jpg</t>
  </si>
  <si>
    <t>E:\CAFNEC_GBRF\2022\BarronRiver\Frames_for_Analysis\3834_C0036_R_1_0014.jpg</t>
  </si>
  <si>
    <t>E:\CAFNEC_GBRF\2022\BarronRiver\Frames_for_Analysis\3835_C0036_R_1_0011.jpg</t>
  </si>
  <si>
    <t>E:\CAFNEC_GBRF\2022\BarronRiver\Frames_for_Analysis\3836_C0036_R_1_0008.jpg</t>
  </si>
  <si>
    <t>E:\CAFNEC_GBRF\2022\BarronRiver\Frames_for_Analysis\3837_C0036_R_1_0005.jpg</t>
  </si>
  <si>
    <t>E:\CAFNEC_GBRF\2022\BarronRiver\Frames_for_Analysis\3838_C0036_R_1_0002.jpg</t>
  </si>
  <si>
    <t>E:\CAFNEC_GBRF\2022\BarronRiver\Frames_for_Analysis\3839_C0036_R_0026.jpg</t>
  </si>
  <si>
    <t>E:\CAFNEC_GBRF\2022\BarronRiver\Frames_for_Analysis\3840_C0036_R_0024.jpg</t>
  </si>
  <si>
    <t>E:\CAFNEC_GBRF\2022\BarronRiver\Frames_for_Analysis\3841_C0036_R_0022.jpg</t>
  </si>
  <si>
    <t>E:\CAFNEC_GBRF\2022\BarronRiver\Frames_for_Analysis\3842_C0036_R_0020.jpg</t>
  </si>
  <si>
    <t>E:\CAFNEC_GBRF\2022\BarronRiver\Frames_for_Analysis\3843_C0036_R_0017.jpg</t>
  </si>
  <si>
    <t>E:\CAFNEC_GBRF\2022\BarronRiver\Frames_for_Analysis\3844_C0036_R_0014.jpg</t>
  </si>
  <si>
    <t>E:\CAFNEC_GBRF\2022\BarronRiver\Frames_for_Analysis\3845_C0036_R_0011.jpg</t>
  </si>
  <si>
    <t>E:\CAFNEC_GBRF\2022\BarronRiver\Frames_for_Analysis\3846_C0036_R_0009.jpg</t>
  </si>
  <si>
    <t>E:\CAFNEC_GBRF\2022\BarronRiver\Frames_for_Analysis\3847_C0036_R_0006.jpg</t>
  </si>
  <si>
    <t>E:\CAFNEC_GBRF\2022\BarronRiver\Frames_for_Analysis\3848_C0036_R_0003.jpg</t>
  </si>
  <si>
    <t>E:\CAFNEC_GBRF\2022\BarronRiver\Frames_for_Analysis\3849_C0035_R_0573.jpg</t>
  </si>
  <si>
    <t>E:\CAFNEC_GBRF\2022\BarronRiver\Frames_for_Analysis\3850_C0035_R_0570.jpg</t>
  </si>
  <si>
    <t>E:\CAFNEC_GBRF\2022\BarronRiver\Frames_for_Analysis\3851_C0035_R_0567.jpg</t>
  </si>
  <si>
    <t>E:\CAFNEC_GBRF\2022\BarronRiver\Frames_for_Analysis\3852_C0035_R_0564.jpg</t>
  </si>
  <si>
    <t>E:\CAFNEC_GBRF\2022\BarronRiver\Frames_for_Analysis\3853_C0035_R_0562.jpg</t>
  </si>
  <si>
    <t>E:\CAFNEC_GBRF\2022\BarronRiver\Frames_for_Analysis\3854_C0035_R_0559.jpg</t>
  </si>
  <si>
    <t>E:\CAFNEC_GBRF\2022\BarronRiver\Frames_for_Analysis\3855_C0035_R_0556.jpg</t>
  </si>
  <si>
    <t>E:\CAFNEC_GBRF\2022\BarronRiver\Frames_for_Analysis\3856_C0035_R_0554.jpg</t>
  </si>
  <si>
    <t>E:\CAFNEC_GBRF\2022\BarronRiver\Frames_for_Analysis\3857_C0035_R_0551.jpg</t>
  </si>
  <si>
    <t>E:\CAFNEC_GBRF\2022\BarronRiver\Frames_for_Analysis\3858_C0035_R_0548.jpg</t>
  </si>
  <si>
    <t>E:\CAFNEC_GBRF\2022\BarronRiver\Frames_for_Analysis\3859_C0035_R_0546.jpg</t>
  </si>
  <si>
    <t>E:\CAFNEC_GBRF\2022\BarronRiver\Frames_for_Analysis\3860_C0035_R_0543.jpg</t>
  </si>
  <si>
    <t>E:\CAFNEC_GBRF\2022\BarronRiver\Frames_for_Analysis\3861_C0035_R_0541.jpg</t>
  </si>
  <si>
    <t>E:\CAFNEC_GBRF\2022\BarronRiver\Frames_for_Analysis\3862_C0035_R_0538.jpg</t>
  </si>
  <si>
    <t>E:\CAFNEC_GBRF\2022\BarronRiver\Frames_for_Analysis\3863_C0035_R_0536.jpg</t>
  </si>
  <si>
    <t>E:\CAFNEC_GBRF\2022\BarronRiver\Frames_for_Analysis\3864_C0035_R_0533.jpg</t>
  </si>
  <si>
    <t>E:\CAFNEC_GBRF\2022\BarronRiver\Frames_for_Analysis\3865_C0035_R_0530.jpg</t>
  </si>
  <si>
    <t>E:\CAFNEC_GBRF\2022\BarronRiver\Frames_for_Analysis\3866_C0035_R_0528.jpg</t>
  </si>
  <si>
    <t>E:\CAFNEC_GBRF\2022\BarronRiver\Frames_for_Analysis\3867_C0035_R_0525.jpg</t>
  </si>
  <si>
    <t>E:\CAFNEC_GBRF\2022\BarronRiver\Frames_for_Analysis\3868_C0035_R_0523.jpg</t>
  </si>
  <si>
    <t>E:\CAFNEC_GBRF\2022\BarronRiver\Frames_for_Analysis\3869_C0035_R_0520.jpg</t>
  </si>
  <si>
    <t>E:\CAFNEC_GBRF\2022\BarronRiver\Frames_for_Analysis\3870_C0035_R_0518.jpg</t>
  </si>
  <si>
    <t>E:\CAFNEC_GBRF\2022\BarronRiver\Frames_for_Analysis\3871_C0035_R_0515.jpg</t>
  </si>
  <si>
    <t>E:\CAFNEC_GBRF\2022\BarronRiver\Frames_for_Analysis\3872_C0035_R_0513.jpg</t>
  </si>
  <si>
    <t>E:\CAFNEC_GBRF\2022\BarronRiver\Frames_for_Analysis\3873_C0035_R_0511.jpg</t>
  </si>
  <si>
    <t>E:\CAFNEC_GBRF\2022\BarronRiver\Frames_for_Analysis\3874_C0035_R_0508.jpg</t>
  </si>
  <si>
    <t>E:\CAFNEC_GBRF\2022\BarronRiver\Frames_for_Analysis\3875_C0035_R_0506.jpg</t>
  </si>
  <si>
    <t>E:\CAFNEC_GBRF\2022\BarronRiver\Frames_for_Analysis\3876_C0035_R_0504.jpg</t>
  </si>
  <si>
    <t>E:\CAFNEC_GBRF\2022\BarronRiver\Frames_for_Analysis\3877_C0035_R_0501.jpg</t>
  </si>
  <si>
    <t>E:\CAFNEC_GBRF\2022\BarronRiver\Frames_for_Analysis\3878_C0035_R_0499.jpg</t>
  </si>
  <si>
    <t>E:\CAFNEC_GBRF\2022\BarronRiver\Frames_for_Analysis\3879_C0035_R_0497.jpg</t>
  </si>
  <si>
    <t>E:\CAFNEC_GBRF\2022\BarronRiver\Frames_for_Analysis\3880_C0035_R_0494.jpg</t>
  </si>
  <si>
    <t>E:\CAFNEC_GBRF\2022\BarronRiver\Frames_for_Analysis\3881_C0035_R_0492.jpg</t>
  </si>
  <si>
    <t>E:\CAFNEC_GBRF\2022\BarronRiver\Frames_for_Analysis\3882_C0035_R_0489.jpg</t>
  </si>
  <si>
    <t>E:\CAFNEC_GBRF\2022\BarronRiver\Frames_for_Analysis\3883_C0035_R_0487.jpg</t>
  </si>
  <si>
    <t>E:\CAFNEC_GBRF\2022\BarronRiver\Frames_for_Analysis\3884_C0035_R_0484.jpg</t>
  </si>
  <si>
    <t>E:\CAFNEC_GBRF\2022\BarronRiver\Frames_for_Analysis\3885_C0035_R_0481.jpg</t>
  </si>
  <si>
    <t>E:\CAFNEC_GBRF\2022\BarronRiver\Frames_for_Analysis\3886_C0035_R_0479.jpg</t>
  </si>
  <si>
    <t>E:\CAFNEC_GBRF\2022\BarronRiver\Frames_for_Analysis\3887_C0035_R_0477.jpg</t>
  </si>
  <si>
    <t>E:\CAFNEC_GBRF\2022\BarronRiver\Frames_for_Analysis\3888_C0035_R_0475.jpg</t>
  </si>
  <si>
    <t>E:\CAFNEC_GBRF\2022\BarronRiver\Frames_for_Analysis\3889_C0035_R_0472.jpg</t>
  </si>
  <si>
    <t>E:\CAFNEC_GBRF\2022\BarronRiver\Frames_for_Analysis\3890_C0035_R_0470.jpg</t>
  </si>
  <si>
    <t>E:\CAFNEC_GBRF\2022\BarronRiver\Frames_for_Analysis\3891_C0035_R_0468.jpg</t>
  </si>
  <si>
    <t>E:\CAFNEC_GBRF\2022\BarronRiver\Frames_for_Analysis\3892_C0035_R_0466.jpg</t>
  </si>
  <si>
    <t>E:\CAFNEC_GBRF\2022\BarronRiver\Frames_for_Analysis\3893_C0035_R_0464.jpg</t>
  </si>
  <si>
    <t>E:\CAFNEC_GBRF\2022\BarronRiver\Frames_for_Analysis\3894_C0035_R_0461.jpg</t>
  </si>
  <si>
    <t>E:\CAFNEC_GBRF\2022\BarronRiver\Frames_for_Analysis\3895_C0035_R_0459.jpg</t>
  </si>
  <si>
    <t>E:\CAFNEC_GBRF\2022\BarronRiver\Frames_for_Analysis\3896_C0035_R_0456.jpg</t>
  </si>
  <si>
    <t>E:\CAFNEC_GBRF\2022\BarronRiver\Frames_for_Analysis\3897_C0035_R_0453.jpg</t>
  </si>
  <si>
    <t>E:\CAFNEC_GBRF\2022\BarronRiver\Frames_for_Analysis\3898_C0035_R_0451.jpg</t>
  </si>
  <si>
    <t>E:\CAFNEC_GBRF\2022\BarronRiver\Frames_for_Analysis\3899_C0035_R_0448.jpg</t>
  </si>
  <si>
    <t>E:\CAFNEC_GBRF\2022\BarronRiver\Frames_for_Analysis\3900_C0035_R_0445.jpg</t>
  </si>
  <si>
    <t>E:\CAFNEC_GBRF\2022\BarronRiver\Frames_for_Analysis\3901_C0035_R_0443.jpg</t>
  </si>
  <si>
    <t>E:\CAFNEC_GBRF\2022\BarronRiver\Frames_for_Analysis\3902_C0035_R_0440.jpg</t>
  </si>
  <si>
    <t>E:\CAFNEC_GBRF\2022\BarronRiver\Frames_for_Analysis\3903_C0035_R_0438.jpg</t>
  </si>
  <si>
    <t>E:\CAFNEC_GBRF\2022\BarronRiver\Frames_for_Analysis\3904_C0035_R_0435.jpg</t>
  </si>
  <si>
    <t>E:\CAFNEC_GBRF\2022\BarronRiver\Frames_for_Analysis\3905_C0035_R_0433.jpg</t>
  </si>
  <si>
    <t>E:\CAFNEC_GBRF\2022\BarronRiver\Frames_for_Analysis\3906_C0035_R_0430.jpg</t>
  </si>
  <si>
    <t>E:\CAFNEC_GBRF\2022\BarronRiver\Frames_for_Analysis\3907_C0035_R_0427.jpg</t>
  </si>
  <si>
    <t>E:\CAFNEC_GBRF\2022\BarronRiver\Frames_for_Analysis\3908_C0035_R_0425.jpg</t>
  </si>
  <si>
    <t>E:\CAFNEC_GBRF\2022\BarronRiver\Frames_for_Analysis\3909_C0035_R_0423.jpg</t>
  </si>
  <si>
    <t>E:\CAFNEC_GBRF\2022\BarronRiver\Frames_for_Analysis\3910_C0035_R_0420.jpg</t>
  </si>
  <si>
    <t>E:\CAFNEC_GBRF\2022\BarronRiver\Frames_for_Analysis\3911_C0035_R_0418.jpg</t>
  </si>
  <si>
    <t>E:\CAFNEC_GBRF\2022\BarronRiver\Frames_for_Analysis\3912_C0035_R_0415.jpg</t>
  </si>
  <si>
    <t>E:\CAFNEC_GBRF\2022\BarronRiver\Frames_for_Analysis\3913_C0035_R_0412.jpg</t>
  </si>
  <si>
    <t>E:\CAFNEC_GBRF\2022\BarronRiver\Frames_for_Analysis\3914_C0035_R_0409.jpg</t>
  </si>
  <si>
    <t>E:\CAFNEC_GBRF\2022\BarronRiver\Frames_for_Analysis\3915_C0035_R_0406.jpg</t>
  </si>
  <si>
    <t>E:\CAFNEC_GBRF\2022\BarronRiver\Frames_for_Analysis\3916_C0035_R_0404.jpg</t>
  </si>
  <si>
    <t>E:\CAFNEC_GBRF\2022\BarronRiver\Frames_for_Analysis\3917_C0035_R_0401.jpg</t>
  </si>
  <si>
    <t>E:\CAFNEC_GBRF\2022\BarronRiver\Frames_for_Analysis\3918_C0035_R_0399.jpg</t>
  </si>
  <si>
    <t>E:\CAFNEC_GBRF\2022\BarronRiver\Frames_for_Analysis\3919_C0035_R_0396.jpg</t>
  </si>
  <si>
    <t>E:\CAFNEC_GBRF\2022\BarronRiver\Frames_for_Analysis\3920_C0035_R_0394.jpg</t>
  </si>
  <si>
    <t>E:\CAFNEC_GBRF\2022\BarronRiver\Frames_for_Analysis\3921_C0035_R_0392.jpg</t>
  </si>
  <si>
    <t>E:\CAFNEC_GBRF\2022\BarronRiver\Frames_for_Analysis\3922_C0035_R_0389.jpg</t>
  </si>
  <si>
    <t>E:\CAFNEC_GBRF\2022\BarronRiver\Frames_for_Analysis\3923_C0035_R_0387.jpg</t>
  </si>
  <si>
    <t>E:\CAFNEC_GBRF\2022\BarronRiver\Frames_for_Analysis\3924_C0035_R_0384.jpg</t>
  </si>
  <si>
    <t>E:\CAFNEC_GBRF\2022\BarronRiver\Frames_for_Analysis\3925_C0035_R_0382.jpg</t>
  </si>
  <si>
    <t>E:\CAFNEC_GBRF\2022\BarronRiver\Frames_for_Analysis\3926_C0035_R_0379.jpg</t>
  </si>
  <si>
    <t>E:\CAFNEC_GBRF\2022\BarronRiver\Frames_for_Analysis\3927_C0035_R_0377.jpg</t>
  </si>
  <si>
    <t>E:\CAFNEC_GBRF\2022\BarronRiver\Frames_for_Analysis\3928_C0035_R_0375.jpg</t>
  </si>
  <si>
    <t>E:\CAFNEC_GBRF\2022\BarronRiver\Frames_for_Analysis\3929_C0035_R_0372.jpg</t>
  </si>
  <si>
    <t>E:\CAFNEC_GBRF\2022\BarronRiver\Frames_for_Analysis\3930_C0035_R_0370.jpg</t>
  </si>
  <si>
    <t>E:\CAFNEC_GBRF\2022\BarronRiver\Frames_for_Analysis\3931_C0035_R_0367.jpg</t>
  </si>
  <si>
    <t>E:\CAFNEC_GBRF\2022\BarronRiver\Frames_for_Analysis\3932_C0035_R_0364.jpg</t>
  </si>
  <si>
    <t>E:\CAFNEC_GBRF\2022\BarronRiver\Frames_for_Analysis\3933_C0035_R_0361.jpg</t>
  </si>
  <si>
    <t>E:\CAFNEC_GBRF\2022\BarronRiver\Frames_for_Analysis\3934_C0035_R_0359.jpg</t>
  </si>
  <si>
    <t>E:\CAFNEC_GBRF\2022\BarronRiver\Frames_for_Analysis\3935_C0035_R_0357.jpg</t>
  </si>
  <si>
    <t>E:\CAFNEC_GBRF\2022\BarronRiver\Frames_for_Analysis\3936_C0035_R_0356.jpg</t>
  </si>
  <si>
    <t>E:\CAFNEC_GBRF\2022\BarronRiver\Frames_for_Analysis\3937_C0035_R_0354.jpg</t>
  </si>
  <si>
    <t>E:\CAFNEC_GBRF\2022\BarronRiver\Frames_for_Analysis\3938_C0035_R_0352.jpg</t>
  </si>
  <si>
    <t>E:\CAFNEC_GBRF\2022\BarronRiver\Frames_for_Analysis\3939_C0035_R_0349.jpg</t>
  </si>
  <si>
    <t>E:\CAFNEC_GBRF\2022\BarronRiver\Frames_for_Analysis\3940_C0035_R_0347.jpg</t>
  </si>
  <si>
    <t>E:\CAFNEC_GBRF\2022\BarronRiver\Frames_for_Analysis\3941_C0035_R_0341.jpg</t>
  </si>
  <si>
    <t>E:\CAFNEC_GBRF\2022\BarronRiver\Frames_for_Analysis\3942_C0035_R_0340.jpg</t>
  </si>
  <si>
    <t>E:\CAFNEC_GBRF\2022\BarronRiver\Frames_for_Analysis\3943_C0035_R_0339.jpg</t>
  </si>
  <si>
    <t>E:\CAFNEC_GBRF\2022\BarronRiver\Frames_for_Analysis\3944_C0035_R_0337.jpg</t>
  </si>
  <si>
    <t>E:\CAFNEC_GBRF\2022\BarronRiver\Frames_for_Analysis\3945_C0035_R_0335.jpg</t>
  </si>
  <si>
    <t>E:\CAFNEC_GBRF\2022\BarronRiver\Frames_for_Analysis\3946_C0035_R_0333.jpg</t>
  </si>
  <si>
    <t>E:\CAFNEC_GBRF\2022\BarronRiver\Frames_for_Analysis\3947_C0035_R_0331.jpg</t>
  </si>
  <si>
    <t>E:\CAFNEC_GBRF\2022\BarronRiver\Frames_for_Analysis\3948_C0035_R_0330.jpg</t>
  </si>
  <si>
    <t>E:\CAFNEC_GBRF\2022\BarronRiver\Frames_for_Analysis\3949_C0035_R_0327.jpg</t>
  </si>
  <si>
    <t>E:\CAFNEC_GBRF\2022\BarronRiver\Frames_for_Analysis\3950_C0035_R_0325.jpg</t>
  </si>
  <si>
    <t>E:\CAFNEC_GBRF\2022\BarronRiver\Frames_for_Analysis\3951_C0035_R_0323.jpg</t>
  </si>
  <si>
    <t>E:\CAFNEC_GBRF\2022\BarronRiver\Frames_for_Analysis\3952_C0035_R_0320.jpg</t>
  </si>
  <si>
    <t>E:\CAFNEC_GBRF\2022\BarronRiver\Frames_for_Analysis\3953_C0035_R_0318.jpg</t>
  </si>
  <si>
    <t>E:\CAFNEC_GBRF\2022\BarronRiver\Frames_for_Analysis\3954_C0035_R_0316.jpg</t>
  </si>
  <si>
    <t>E:\CAFNEC_GBRF\2022\BarronRiver\Frames_for_Analysis\3955_C0035_R_0313.jpg</t>
  </si>
  <si>
    <t>E:\CAFNEC_GBRF\2022\BarronRiver\Frames_for_Analysis\3956_C0035_R_0311.jpg</t>
  </si>
  <si>
    <t>E:\CAFNEC_GBRF\2022\BarronRiver\Frames_for_Analysis\3957_C0035_R_0308.jpg</t>
  </si>
  <si>
    <t>E:\CAFNEC_GBRF\2022\BarronRiver\Frames_for_Analysis\3958_C0035_R_0306.jpg</t>
  </si>
  <si>
    <t>E:\CAFNEC_GBRF\2022\BarronRiver\Frames_for_Analysis\3959_C0035_R_0304.jpg</t>
  </si>
  <si>
    <t>E:\CAFNEC_GBRF\2022\BarronRiver\Frames_for_Analysis\3960_C0035_R_0301.jpg</t>
  </si>
  <si>
    <t>E:\CAFNEC_GBRF\2022\BarronRiver\Frames_for_Analysis\3961_C0035_R_0299.jpg</t>
  </si>
  <si>
    <t>E:\CAFNEC_GBRF\2022\BarronRiver\Frames_for_Analysis\3962_C0035_R_0297.jpg</t>
  </si>
  <si>
    <t>E:\CAFNEC_GBRF\2022\BarronRiver\Frames_for_Analysis\3963_C0035_R_0294.jpg</t>
  </si>
  <si>
    <t>E:\CAFNEC_GBRF\2022\BarronRiver\Frames_for_Analysis\3964_C0035_R_0292.jpg</t>
  </si>
  <si>
    <t>E:\CAFNEC_GBRF\2022\BarronRiver\Frames_for_Analysis\3965_C0035_R_0289.jpg</t>
  </si>
  <si>
    <t>E:\CAFNEC_GBRF\2022\BarronRiver\Frames_for_Analysis\3966_C0035_R_0287.jpg</t>
  </si>
  <si>
    <t>E:\CAFNEC_GBRF\2022\BarronRiver\Frames_for_Analysis\3967_C0035_R_0284.jpg</t>
  </si>
  <si>
    <t>E:\CAFNEC_GBRF\2022\BarronRiver\Frames_for_Analysis\3968_C0035_R_0282.jpg</t>
  </si>
  <si>
    <t>E:\CAFNEC_GBRF\2022\BarronRiver\Frames_for_Analysis\3969_C0035_R_0279.jpg</t>
  </si>
  <si>
    <t>E:\CAFNEC_GBRF\2022\BarronRiver\Frames_for_Analysis\3970_C0035_R_0277.jpg</t>
  </si>
  <si>
    <t>E:\CAFNEC_GBRF\2022\BarronRiver\Frames_for_Analysis\3971_C0035_R_0274.jpg</t>
  </si>
  <si>
    <t>E:\CAFNEC_GBRF\2022\BarronRiver\Frames_for_Analysis\3972_C0035_R_0271.jpg</t>
  </si>
  <si>
    <t>E:\CAFNEC_GBRF\2022\BarronRiver\Frames_for_Analysis\3973_C0035_R_0269.jpg</t>
  </si>
  <si>
    <t>E:\CAFNEC_GBRF\2022\BarronRiver\Frames_for_Analysis\3974_C0035_R_0267.jpg</t>
  </si>
  <si>
    <t>E:\CAFNEC_GBRF\2022\BarronRiver\Frames_for_Analysis\3975_C0035_R_0264.jpg</t>
  </si>
  <si>
    <t>E:\CAFNEC_GBRF\2022\BarronRiver\Frames_for_Analysis\3976_C0035_R_0262.jpg</t>
  </si>
  <si>
    <t>E:\CAFNEC_GBRF\2022\BarronRiver\Frames_for_Analysis\3977_C0035_R_0259.jpg</t>
  </si>
  <si>
    <t>E:\CAFNEC_GBRF\2022\BarronRiver\Frames_for_Analysis\3978_C0035_R_0256.jpg</t>
  </si>
  <si>
    <t>E:\CAFNEC_GBRF\2022\BarronRiver\Frames_for_Analysis\3979_C0035_R_0253.jpg</t>
  </si>
  <si>
    <t>E:\CAFNEC_GBRF\2022\BarronRiver\Frames_for_Analysis\3980_C0035_R_0251.jpg</t>
  </si>
  <si>
    <t>E:\CAFNEC_GBRF\2022\BarronRiver\Frames_for_Analysis\3981_C0035_R_0248.jpg</t>
  </si>
  <si>
    <t>E:\CAFNEC_GBRF\2022\BarronRiver\Frames_for_Analysis\3982_C0035_R_0246.jpg</t>
  </si>
  <si>
    <t>E:\CAFNEC_GBRF\2022\BarronRiver\Frames_for_Analysis\3983_C0035_R_0243.jpg</t>
  </si>
  <si>
    <t>E:\CAFNEC_GBRF\2022\BarronRiver\Frames_for_Analysis\3984_C0035_R_0240.jpg</t>
  </si>
  <si>
    <t>E:\CAFNEC_GBRF\2022\BarronRiver\Frames_for_Analysis\3985_C0035_R_0238.jpg</t>
  </si>
  <si>
    <t>E:\CAFNEC_GBRF\2022\BarronRiver\Frames_for_Analysis\3986_C0035_R_0236.jpg</t>
  </si>
  <si>
    <t>E:\CAFNEC_GBRF\2022\BarronRiver\Frames_for_Analysis\3987_C0035_R_0233.jpg</t>
  </si>
  <si>
    <t>E:\CAFNEC_GBRF\2022\BarronRiver\Frames_for_Analysis\3988_C0035_R_0231.jpg</t>
  </si>
  <si>
    <t>E:\CAFNEC_GBRF\2022\BarronRiver\Frames_for_Analysis\3989_C0035_R_0228.jpg</t>
  </si>
  <si>
    <t>E:\CAFNEC_GBRF\2022\BarronRiver\Frames_for_Analysis\3990_C0035_R_0225.jpg</t>
  </si>
  <si>
    <t>E:\CAFNEC_GBRF\2022\BarronRiver\Frames_for_Analysis\3991_C0035_R_0221.jpg</t>
  </si>
  <si>
    <t>E:\CAFNEC_GBRF\2022\BarronRiver\Frames_for_Analysis\3992_C0035_R_0218.jpg</t>
  </si>
  <si>
    <t>E:\CAFNEC_GBRF\2022\BarronRiver\Frames_for_Analysis\3993_C0035_R_0215.jpg</t>
  </si>
  <si>
    <t>E:\CAFNEC_GBRF\2022\BarronRiver\Frames_for_Analysis\3994_C0035_R_0212.jpg</t>
  </si>
  <si>
    <t>E:\CAFNEC_GBRF\2022\BarronRiver\Frames_for_Analysis\3995_C0035_R_0209.jpg</t>
  </si>
  <si>
    <t>E:\CAFNEC_GBRF\2022\BarronRiver\Frames_for_Analysis\3996_C0035_R_0206.jpg</t>
  </si>
  <si>
    <t>E:\CAFNEC_GBRF\2022\BarronRiver\Frames_for_Analysis\3997_C0035_R_0203.jpg</t>
  </si>
  <si>
    <t>E:\CAFNEC_GBRF\2022\BarronRiver\Frames_for_Analysis\3998_C0035_R_0200.jpg</t>
  </si>
  <si>
    <t>E:\CAFNEC_GBRF\2022\BarronRiver\Frames_for_Analysis\3999_C0035_R_0197.jpg</t>
  </si>
  <si>
    <t>E:\CAFNEC_GBRF\2022\BarronRiver\Frames_for_Analysis\4000_C0035_R_0194.jpg</t>
  </si>
  <si>
    <t>E:\CAFNEC_GBRF\2022\BarronRiver\Frames_for_Analysis\4001_C0035_R_0191.jpg</t>
  </si>
  <si>
    <t>E:\CAFNEC_GBRF\2022\BarronRiver\Frames_for_Analysis\4002_C0035_R_0188.jpg</t>
  </si>
  <si>
    <t>E:\CAFNEC_GBRF\2022\BarronRiver\Frames_for_Analysis\4003_C0035_R_0186.jpg</t>
  </si>
  <si>
    <t>E:\CAFNEC_GBRF\2022\BarronRiver\Frames_for_Analysis\4004_C0035_R_0183.jpg</t>
  </si>
  <si>
    <t>E:\CAFNEC_GBRF\2022\BarronRiver\Frames_for_Analysis\4005_C0035_R_0180.jpg</t>
  </si>
  <si>
    <t>E:\CAFNEC_GBRF\2022\BarronRiver\Frames_for_Analysis\4006_C0035_R_0178.jpg</t>
  </si>
  <si>
    <t>E:\CAFNEC_GBRF\2022\BarronRiver\Frames_for_Analysis\4007_C0035_R_0175.jpg</t>
  </si>
  <si>
    <t>E:\CAFNEC_GBRF\2022\BarronRiver\Frames_for_Analysis\4008_C0035_R_0172.jpg</t>
  </si>
  <si>
    <t>E:\CAFNEC_GBRF\2022\BarronRiver\Frames_for_Analysis\4009_C0035_R_0169.jpg</t>
  </si>
  <si>
    <t>E:\CAFNEC_GBRF\2022\BarronRiver\Frames_for_Analysis\4010_C0035_R_0167.jpg</t>
  </si>
  <si>
    <t>E:\CAFNEC_GBRF\2022\BarronRiver\Frames_for_Analysis\4011_C0035_R_0164.jpg</t>
  </si>
  <si>
    <t>E:\CAFNEC_GBRF\2022\BarronRiver\Frames_for_Analysis\4012_C0035_R_0161.jpg</t>
  </si>
  <si>
    <t>E:\CAFNEC_GBRF\2022\BarronRiver\Frames_for_Analysis\4013_C0035_R_0158.jpg</t>
  </si>
  <si>
    <t>E:\CAFNEC_GBRF\2022\BarronRiver\Frames_for_Analysis\4014_C0035_R_0155.jpg</t>
  </si>
  <si>
    <t>E:\CAFNEC_GBRF\2022\BarronRiver\Frames_for_Analysis\4015_C0035_R_0151.jpg</t>
  </si>
  <si>
    <t>E:\CAFNEC_GBRF\2022\BarronRiver\Frames_for_Analysis\4016_C0035_R_0147.jpg</t>
  </si>
  <si>
    <t>E:\CAFNEC_GBRF\2022\BarronRiver\Frames_for_Analysis\4017_C0035_R_0144.jpg</t>
  </si>
  <si>
    <t>E:\CAFNEC_GBRF\2022\BarronRiver\Frames_for_Analysis\4018_C0035_R_0141.jpg</t>
  </si>
  <si>
    <t>E:\CAFNEC_GBRF\2022\BarronRiver\Frames_for_Analysis\4019_C0035_R_0138.jpg</t>
  </si>
  <si>
    <t>E:\CAFNEC_GBRF\2022\BarronRiver\Frames_for_Analysis\4020_C0035_R_0135.jpg</t>
  </si>
  <si>
    <t>E:\CAFNEC_GBRF\2022\BarronRiver\Frames_for_Analysis\4021_C0035_R_0131.jpg</t>
  </si>
  <si>
    <t>E:\CAFNEC_GBRF\2022\BarronRiver\Frames_for_Analysis\4022_C0035_R_0128.jpg</t>
  </si>
  <si>
    <t>E:\CAFNEC_GBRF\2022\BarronRiver\Frames_for_Analysis\4023_C0035_R_0125.jpg</t>
  </si>
  <si>
    <t>E:\CAFNEC_GBRF\2022\BarronRiver\Frames_for_Analysis\4024_C0035_R_0122.jpg</t>
  </si>
  <si>
    <t>E:\CAFNEC_GBRF\2022\BarronRiver\Frames_for_Analysis\4025_C0035_R_0119.jpg</t>
  </si>
  <si>
    <t>E:\CAFNEC_GBRF\2022\BarronRiver\Frames_for_Analysis\4026_C0035_R_0116.jpg</t>
  </si>
  <si>
    <t>E:\CAFNEC_GBRF\2022\BarronRiver\Frames_for_Analysis\4027_C0035_R_0114.jpg</t>
  </si>
  <si>
    <t>E:\CAFNEC_GBRF\2022\BarronRiver\Frames_for_Analysis\4028_C0035_R_0111.jpg</t>
  </si>
  <si>
    <t>E:\CAFNEC_GBRF\2022\BarronRiver\Frames_for_Analysis\4029_C0035_R_0107.jpg</t>
  </si>
  <si>
    <t>E:\CAFNEC_GBRF\2022\BarronRiver\Frames_for_Analysis\4030_C0035_R_0104.jpg</t>
  </si>
  <si>
    <t>E:\CAFNEC_GBRF\2022\BarronRiver\Frames_for_Analysis\4031_C0035_R_0101.jpg</t>
  </si>
  <si>
    <t>E:\CAFNEC_GBRF\2022\BarronRiver\Frames_for_Analysis\4032_C0035_R_0098.jpg</t>
  </si>
  <si>
    <t>E:\CAFNEC_GBRF\2022\BarronRiver\Frames_for_Analysis\4033_C0035_R_0094.jpg</t>
  </si>
  <si>
    <t>E:\CAFNEC_GBRF\2022\BarronRiver\Frames_for_Analysis\4034_C0035_R_0091.jpg</t>
  </si>
  <si>
    <t>E:\CAFNEC_GBRF\2022\BarronRiver\Frames_for_Analysis\4035_C0035_R_0088.jpg</t>
  </si>
  <si>
    <t>E:\CAFNEC_GBRF\2022\BarronRiver\Frames_for_Analysis\4036_C0035_R_0085.jpg</t>
  </si>
  <si>
    <t>E:\CAFNEC_GBRF\2022\BarronRiver\Frames_for_Analysis\4037_C0035_R_0083.jpg</t>
  </si>
  <si>
    <t>E:\CAFNEC_GBRF\2022\BarronRiver\Frames_for_Analysis\4038_C0035_R_0081.jpg</t>
  </si>
  <si>
    <t>E:\CAFNEC_GBRF\2022\BarronRiver\Frames_for_Analysis\4039_C0035_R_0078.jpg</t>
  </si>
  <si>
    <t>E:\CAFNEC_GBRF\2022\BarronRiver\Frames_for_Analysis\4040_C0035_R_0075.jpg</t>
  </si>
  <si>
    <t>E:\CAFNEC_GBRF\2022\BarronRiver\Frames_for_Analysis\4041_C0035_R_0072.jpg</t>
  </si>
  <si>
    <t>E:\CAFNEC_GBRF\2022\BarronRiver\Frames_for_Analysis\4042_C0035_R_0069.jpg</t>
  </si>
  <si>
    <t>E:\CAFNEC_GBRF\2022\BarronRiver\Frames_for_Analysis\4043_C0035_R_0066.jpg</t>
  </si>
  <si>
    <t>E:\CAFNEC_GBRF\2022\BarronRiver\Frames_for_Analysis\4044_C0035_R_0063.jpg</t>
  </si>
  <si>
    <t>E:\CAFNEC_GBRF\2022\BarronRiver\Frames_for_Analysis\4045_C0035_R_0060.jpg</t>
  </si>
  <si>
    <t>E:\CAFNEC_GBRF\2022\BarronRiver\Frames_for_Analysis\4046_C0035_R_0057.jpg</t>
  </si>
  <si>
    <t>E:\CAFNEC_GBRF\2022\BarronRiver\Frames_for_Analysis\4047_C0035_R_0054.jpg</t>
  </si>
  <si>
    <t>E:\CAFNEC_GBRF\2022\BarronRiver\Frames_for_Analysis\4048_C0035_R_0051.jpg</t>
  </si>
  <si>
    <t>E:\CAFNEC_GBRF\2022\BarronRiver\Frames_for_Analysis\4049_C0035_R_0047.jpg</t>
  </si>
  <si>
    <t>E:\CAFNEC_GBRF\2022\BarronRiver\Frames_for_Analysis\4050_C0035_R_0044.jpg</t>
  </si>
  <si>
    <t>E:\CAFNEC_GBRF\2022\BarronRiver\Frames_for_Analysis\4051_C0035_R_0041.jpg</t>
  </si>
  <si>
    <t>E:\CAFNEC_GBRF\2022\BarronRiver\Frames_for_Analysis\4052_C0035_R_0038.jpg</t>
  </si>
  <si>
    <t>E:\CAFNEC_GBRF\2022\BarronRiver\Frames_for_Analysis\4053_C0035_R_0035.jpg</t>
  </si>
  <si>
    <t>E:\CAFNEC_GBRF\2022\BarronRiver\Frames_for_Analysis\4054_C0035_R_0032.jpg</t>
  </si>
  <si>
    <t>E:\CAFNEC_GBRF\2022\BarronRiver\Frames_for_Analysis\4055_C0035_R_0029.jpg</t>
  </si>
  <si>
    <t>E:\CAFNEC_GBRF\2022\BarronRiver\Frames_for_Analysis\4056_C0035_R_0026.jpg</t>
  </si>
  <si>
    <t>E:\CAFNEC_GBRF\2022\BarronRiver\Frames_for_Analysis\4057_C0035_R_0023.jpg</t>
  </si>
  <si>
    <t>E:\CAFNEC_GBRF\2022\BarronRiver\Frames_for_Analysis\4058_C0035_R_0020.jpg</t>
  </si>
  <si>
    <t>E:\CAFNEC_GBRF\2022\BarronRiver\Frames_for_Analysis\4059_C0035_R_0014.jpg</t>
  </si>
  <si>
    <t>E:\CAFNEC_GBRF\2022\BarronRiver\Frames_for_Analysis\4060_C0035_R_0011.jpg</t>
  </si>
  <si>
    <t>E:\CAFNEC_GBRF\2022\BarronRiver\Frames_for_Analysis\4061_C0035_R_0008.jpg</t>
  </si>
  <si>
    <t>E:\CAFNEC_GBRF\2022\BarronRiver\Frames_for_Analysis\4062_C0035_R_0005.jpg</t>
  </si>
  <si>
    <t>E:\CAFNEC_GBRF\2022\BarronRiver\Frames_for_Analysis\4063_C0035_R_0002.jpg</t>
  </si>
  <si>
    <t>E:\CAFNEC_GBRF\2022\BarronRiver\Frames_for_Analysis\4064_C0034_R_0557.jpg</t>
  </si>
  <si>
    <t>E:\CAFNEC_GBRF\2022\BarronRiver\Frames_for_Analysis\4065_C0034_R_0554.jpg</t>
  </si>
  <si>
    <t>E:\CAFNEC_GBRF\2022\BarronRiver\Frames_for_Analysis\4066_C0034_R_0550.jpg</t>
  </si>
  <si>
    <t>E:\CAFNEC_GBRF\2022\BarronRiver\Frames_for_Analysis\4067_C0034_R_0546.jpg</t>
  </si>
  <si>
    <t>E:\CAFNEC_GBRF\2022\BarronRiver\Frames_for_Analysis\4068_C0034_R_0542.jpg</t>
  </si>
  <si>
    <t>E:\CAFNEC_GBRF\2022\BarronRiver\Frames_for_Analysis\4069_C0034_R_0538.jpg</t>
  </si>
  <si>
    <t>E:\CAFNEC_GBRF\2022\BarronRiver\Frames_for_Analysis\4070_C0034_R_0534.jpg</t>
  </si>
  <si>
    <t>E:\CAFNEC_GBRF\2022\BarronRiver\Frames_for_Analysis\4071_C0034_R_0531.jpg</t>
  </si>
  <si>
    <t>E:\CAFNEC_GBRF\2022\BarronRiver\Frames_for_Analysis\4072_C0034_R_0526.jpg</t>
  </si>
  <si>
    <t>E:\CAFNEC_GBRF\2022\BarronRiver\Frames_for_Analysis\4073_C0034_R_0524.jpg</t>
  </si>
  <si>
    <t>E:\CAFNEC_GBRF\2022\BarronRiver\Frames_for_Analysis\4074_C0034_R_0521.jpg</t>
  </si>
  <si>
    <t>E:\CAFNEC_GBRF\2022\BarronRiver\Frames_for_Analysis\4075_C0034_R_0517.jpg</t>
  </si>
  <si>
    <t>E:\CAFNEC_GBRF\2022\BarronRiver\Frames_for_Analysis\4076_C0034_R_0514.jpg</t>
  </si>
  <si>
    <t>E:\CAFNEC_GBRF\2022\BarronRiver\Frames_for_Analysis\4077_C0034_R_0510.jpg</t>
  </si>
  <si>
    <t>E:\CAFNEC_GBRF\2022\BarronRiver\Frames_for_Analysis\4078_C0034_R_0506.jpg</t>
  </si>
  <si>
    <t>E:\CAFNEC_GBRF\2022\BarronRiver\Frames_for_Analysis\4079_C0034_R_0502.jpg</t>
  </si>
  <si>
    <t>E:\CAFNEC_GBRF\2022\BarronRiver\Frames_for_Analysis\4080_C0034_R_0499.jpg</t>
  </si>
  <si>
    <t>E:\CAFNEC_GBRF\2022\BarronRiver\Frames_for_Analysis\4081_C0034_R_0495.jpg</t>
  </si>
  <si>
    <t>E:\CAFNEC_GBRF\2022\BarronRiver\Frames_for_Analysis\4082_C0034_R_0492.jpg</t>
  </si>
  <si>
    <t>E:\CAFNEC_GBRF\2022\BarronRiver\Frames_for_Analysis\4083_C0034_R_0488.jpg</t>
  </si>
  <si>
    <t>E:\CAFNEC_GBRF\2022\BarronRiver\Frames_for_Analysis\4084_C0034_R_0485.jpg</t>
  </si>
  <si>
    <t>E:\CAFNEC_GBRF\2022\BarronRiver\Frames_for_Analysis\4085_C0034_R_0482.jpg</t>
  </si>
  <si>
    <t>E:\CAFNEC_GBRF\2022\BarronRiver\Frames_for_Analysis\4086_C0034_R_0479.jpg</t>
  </si>
  <si>
    <t>E:\CAFNEC_GBRF\2022\BarronRiver\Frames_for_Analysis\4087_C0034_R_0476.jpg</t>
  </si>
  <si>
    <t>E:\CAFNEC_GBRF\2022\BarronRiver\Frames_for_Analysis\4088_C0034_R_0472.jpg</t>
  </si>
  <si>
    <t>E:\CAFNEC_GBRF\2022\BarronRiver\Frames_for_Analysis\4089_C0034_R_0469.jpg</t>
  </si>
  <si>
    <t>E:\CAFNEC_GBRF\2022\BarronRiver\Frames_for_Analysis\4090_C0034_R_0466.jpg</t>
  </si>
  <si>
    <t>E:\CAFNEC_GBRF\2022\BarronRiver\Frames_for_Analysis\4091_C0034_R_0464.jpg</t>
  </si>
  <si>
    <t>E:\CAFNEC_GBRF\2022\BarronRiver\Frames_for_Analysis\4092_C0034_R_0461.jpg</t>
  </si>
  <si>
    <t>E:\CAFNEC_GBRF\2022\BarronRiver\Frames_for_Analysis\4093_C0034_R_0457.jpg</t>
  </si>
  <si>
    <t>E:\CAFNEC_GBRF\2022\BarronRiver\Frames_for_Analysis\4094_C0034_R_0454.jpg</t>
  </si>
  <si>
    <t>E:\CAFNEC_GBRF\2022\BarronRiver\Frames_for_Analysis\4095_C0034_R_0452.jpg</t>
  </si>
  <si>
    <t>E:\CAFNEC_GBRF\2022\BarronRiver\Frames_for_Analysis\4096_C0034_R_0450.jpg</t>
  </si>
  <si>
    <t>E:\CAFNEC_GBRF\2022\BarronRiver\Frames_for_Analysis\4097_C0034_R_0447.jpg</t>
  </si>
  <si>
    <t>E:\CAFNEC_GBRF\2022\BarronRiver\Frames_for_Analysis\4098_C0034_R_0444.jpg</t>
  </si>
  <si>
    <t>E:\CAFNEC_GBRF\2022\BarronRiver\Frames_for_Analysis\4099_C0034_R_0442.jpg</t>
  </si>
  <si>
    <t>E:\CAFNEC_GBRF\2022\BarronRiver\Frames_for_Analysis\4100_C0034_R_0439.jpg</t>
  </si>
  <si>
    <t>E:\CAFNEC_GBRF\2022\BarronRiver\Frames_for_Analysis\4101_C0034_R_0436.jpg</t>
  </si>
  <si>
    <t>E:\CAFNEC_GBRF\2022\BarronRiver\Frames_for_Analysis\4102_C0034_R_0434.jpg</t>
  </si>
  <si>
    <t>E:\CAFNEC_GBRF\2022\BarronRiver\Frames_for_Analysis\4103_C0034_R_0431.jpg</t>
  </si>
  <si>
    <t>E:\CAFNEC_GBRF\2022\BarronRiver\Frames_for_Analysis\4104_C0034_R_0428.jpg</t>
  </si>
  <si>
    <t>E:\CAFNEC_GBRF\2022\BarronRiver\Frames_for_Analysis\4105_C0034_R_0425.jpg</t>
  </si>
  <si>
    <t>E:\CAFNEC_GBRF\2022\BarronRiver\Frames_for_Analysis\4106_C0034_R_0423.jpg</t>
  </si>
  <si>
    <t>E:\CAFNEC_GBRF\2022\BarronRiver\Frames_for_Analysis\4107_C0034_R_0420.jpg</t>
  </si>
  <si>
    <t>E:\CAFNEC_GBRF\2022\BarronRiver\Frames_for_Analysis\4108_C0034_R_0418.jpg</t>
  </si>
  <si>
    <t>E:\CAFNEC_GBRF\2022\BarronRiver\Frames_for_Analysis\4109_C0034_R_0415.jpg</t>
  </si>
  <si>
    <t>E:\CAFNEC_GBRF\2022\BarronRiver\Frames_for_Analysis\4110_C0034_R_0412.jpg</t>
  </si>
  <si>
    <t>E:\CAFNEC_GBRF\2022\BarronRiver\Frames_for_Analysis\4111_C0034_R_0410.jpg</t>
  </si>
  <si>
    <t>E:\CAFNEC_GBRF\2022\BarronRiver\Frames_for_Analysis\4112_C0034_R_0408.jpg</t>
  </si>
  <si>
    <t>E:\CAFNEC_GBRF\2022\BarronRiver\Frames_for_Analysis\4113_C0034_R_0405.jpg</t>
  </si>
  <si>
    <t>E:\CAFNEC_GBRF\2022\BarronRiver\Frames_for_Analysis\4114_C0034_R_0402.jpg</t>
  </si>
  <si>
    <t>E:\CAFNEC_GBRF\2022\BarronRiver\Frames_for_Analysis\4115_C0034_R_0399.jpg</t>
  </si>
  <si>
    <t>E:\CAFNEC_GBRF\2022\BarronRiver\Frames_for_Analysis\4116_C0034_R_0396.jpg</t>
  </si>
  <si>
    <t>E:\CAFNEC_GBRF\2022\BarronRiver\Frames_for_Analysis\4117_C0034_R_0394.jpg</t>
  </si>
  <si>
    <t>E:\CAFNEC_GBRF\2022\BarronRiver\Frames_for_Analysis\4118_C0034_R_0390.jpg</t>
  </si>
  <si>
    <t>E:\CAFNEC_GBRF\2022\BarronRiver\Frames_for_Analysis\4119_C0034_R_0387.jpg</t>
  </si>
  <si>
    <t>E:\CAFNEC_GBRF\2022\BarronRiver\Frames_for_Analysis\4120_C0034_R_0384.jpg</t>
  </si>
  <si>
    <t>E:\CAFNEC_GBRF\2022\BarronRiver\Frames_for_Analysis\4121_C0034_R_0381.jpg</t>
  </si>
  <si>
    <t>E:\CAFNEC_GBRF\2022\BarronRiver\Frames_for_Analysis\4122_C0034_R_0377.jpg</t>
  </si>
  <si>
    <t>E:\CAFNEC_GBRF\2022\BarronRiver\Frames_for_Analysis\4123_C0034_R_0374.jpg</t>
  </si>
  <si>
    <t>E:\CAFNEC_GBRF\2022\BarronRiver\Frames_for_Analysis\4124_C0034_R_0372.jpg</t>
  </si>
  <si>
    <t>E:\CAFNEC_GBRF\2022\BarronRiver\Frames_for_Analysis\4125_C0034_R_0370.jpg</t>
  </si>
  <si>
    <t>E:\CAFNEC_GBRF\2022\BarronRiver\Frames_for_Analysis\4126_C0034_R_0367.jpg</t>
  </si>
  <si>
    <t>E:\CAFNEC_GBRF\2022\BarronRiver\Frames_for_Analysis\4127_C0034_R_0365.jpg</t>
  </si>
  <si>
    <t>E:\CAFNEC_GBRF\2022\BarronRiver\Frames_for_Analysis\4128_C0034_R_0362.jpg</t>
  </si>
  <si>
    <t>E:\CAFNEC_GBRF\2022\BarronRiver\Frames_for_Analysis\4129_C0034_R_0359.jpg</t>
  </si>
  <si>
    <t>E:\CAFNEC_GBRF\2022\BarronRiver\Frames_for_Analysis\4130_C0034_R_0356.jpg</t>
  </si>
  <si>
    <t>E:\CAFNEC_GBRF\2022\BarronRiver\Frames_for_Analysis\4131_C0034_R_0354.jpg</t>
  </si>
  <si>
    <t>E:\CAFNEC_GBRF\2022\BarronRiver\Frames_for_Analysis\4132_C0034_R_0351.jpg</t>
  </si>
  <si>
    <t>E:\CAFNEC_GBRF\2022\BarronRiver\Frames_for_Analysis\4133_C0034_R_0347.jpg</t>
  </si>
  <si>
    <t>E:\CAFNEC_GBRF\2022\BarronRiver\Frames_for_Analysis\4134_C0034_R_0345.jpg</t>
  </si>
  <si>
    <t>E:\CAFNEC_GBRF\2022\BarronRiver\Frames_for_Analysis\4135_C0034_R_0343.jpg</t>
  </si>
  <si>
    <t>E:\CAFNEC_GBRF\2022\BarronRiver\Frames_for_Analysis\4136_C0034_R_0339.jpg</t>
  </si>
  <si>
    <t>E:\CAFNEC_GBRF\2022\BarronRiver\Frames_for_Analysis\4137_C0034_R_0337.jpg</t>
  </si>
  <si>
    <t>E:\CAFNEC_GBRF\2022\BarronRiver\Frames_for_Analysis\4138_C0034_R_0334.jpg</t>
  </si>
  <si>
    <t>E:\CAFNEC_GBRF\2022\BarronRiver\Frames_for_Analysis\4139_C0034_R_0331.jpg</t>
  </si>
  <si>
    <t>E:\CAFNEC_GBRF\2022\BarronRiver\Frames_for_Analysis\4140_C0034_R_0328.jpg</t>
  </si>
  <si>
    <t>E:\CAFNEC_GBRF\2022\BarronRiver\Frames_for_Analysis\4141_C0034_R_0325.jpg</t>
  </si>
  <si>
    <t>E:\CAFNEC_GBRF\2022\BarronRiver\Frames_for_Analysis\4142_C0034_R_0322.jpg</t>
  </si>
  <si>
    <t>E:\CAFNEC_GBRF\2022\BarronRiver\Frames_for_Analysis\4143_C0034_R_0319.jpg</t>
  </si>
  <si>
    <t>E:\CAFNEC_GBRF\2022\BarronRiver\Frames_for_Analysis\4144_C0034_R_0315.jpg</t>
  </si>
  <si>
    <t>E:\CAFNEC_GBRF\2022\BarronRiver\Frames_for_Analysis\4145_C0034_R_0312.jpg</t>
  </si>
  <si>
    <t>E:\CAFNEC_GBRF\2022\BarronRiver\Frames_for_Analysis\4146_C0034_R_0309.jpg</t>
  </si>
  <si>
    <t>E:\CAFNEC_GBRF\2022\BarronRiver\Frames_for_Analysis\4147_C0034_R_0305.jpg</t>
  </si>
  <si>
    <t>E:\CAFNEC_GBRF\2022\BarronRiver\Frames_for_Analysis\4148_C0034_R_0302.jpg</t>
  </si>
  <si>
    <t>E:\CAFNEC_GBRF\2022\BarronRiver\Frames_for_Analysis\4149_C0034_R_0298.jpg</t>
  </si>
  <si>
    <t>E:\CAFNEC_GBRF\2022\BarronRiver\Frames_for_Analysis\4150_C0034_R_0295.jpg</t>
  </si>
  <si>
    <t>E:\CAFNEC_GBRF\2022\BarronRiver\Frames_for_Analysis\4151_C0034_R_0292.jpg</t>
  </si>
  <si>
    <t>E:\CAFNEC_GBRF\2022\BarronRiver\Frames_for_Analysis\4152_C0034_R_0289.jpg</t>
  </si>
  <si>
    <t>E:\CAFNEC_GBRF\2022\BarronRiver\Frames_for_Analysis\4153_C0034_R_0285.jpg</t>
  </si>
  <si>
    <t>E:\CAFNEC_GBRF\2022\BarronRiver\Frames_for_Analysis\4154_C0034_R_0282.jpg</t>
  </si>
  <si>
    <t>E:\CAFNEC_GBRF\2022\BarronRiver\Frames_for_Analysis\4155_C0034_R_0279.jpg</t>
  </si>
  <si>
    <t>E:\CAFNEC_GBRF\2022\BarronRiver\Frames_for_Analysis\4156_C0034_R_0275.jpg</t>
  </si>
  <si>
    <t>E:\CAFNEC_GBRF\2022\BarronRiver\Frames_for_Analysis\4157_C0034_R_0271.jpg</t>
  </si>
  <si>
    <t>E:\CAFNEC_GBRF\2022\BarronRiver\Frames_for_Analysis\4158_C0034_R_0267.jpg</t>
  </si>
  <si>
    <t>E:\CAFNEC_GBRF\2022\BarronRiver\Frames_for_Analysis\4159_C0034_R_0264.jpg</t>
  </si>
  <si>
    <t>E:\CAFNEC_GBRF\2022\BarronRiver\Frames_for_Analysis\4160_C0034_R_0259.jpg</t>
  </si>
  <si>
    <t>E:\CAFNEC_GBRF\2022\BarronRiver\Frames_for_Analysis\4161_C0034_R_0254.jpg</t>
  </si>
  <si>
    <t>E:\CAFNEC_GBRF\2022\BarronRiver\Frames_for_Analysis\4162_C0034_R_0250.jpg</t>
  </si>
  <si>
    <t>E:\CAFNEC_GBRF\2022\BarronRiver\Frames_for_Analysis\4163_C0034_R_0246.jpg</t>
  </si>
  <si>
    <t>E:\CAFNEC_GBRF\2022\BarronRiver\Frames_for_Analysis\4164_C0034_R_0241.jpg</t>
  </si>
  <si>
    <t>E:\CAFNEC_GBRF\2022\BarronRiver\Frames_for_Analysis\4165_C0034_R_0236.jpg</t>
  </si>
  <si>
    <t>E:\CAFNEC_GBRF\2022\BarronRiver\Frames_for_Analysis\4166_C0034_R_0231.jpg</t>
  </si>
  <si>
    <t>E:\CAFNEC_GBRF\2022\BarronRiver\Frames_for_Analysis\4167_C0034_R_0226.jpg</t>
  </si>
  <si>
    <t>E:\CAFNEC_GBRF\2022\BarronRiver\Frames_for_Analysis\4168_C0034_R_0221.jpg</t>
  </si>
  <si>
    <t>E:\CAFNEC_GBRF\2022\BarronRiver\Frames_for_Analysis\4169_C0034_R_0217.jpg</t>
  </si>
  <si>
    <t>E:\CAFNEC_GBRF\2022\BarronRiver\Frames_for_Analysis\4170_C0034_R_0213.jpg</t>
  </si>
  <si>
    <t>E:\CAFNEC_GBRF\2022\BarronRiver\Frames_for_Analysis\4171_C0034_R_0209.jpg</t>
  </si>
  <si>
    <t>E:\CAFNEC_GBRF\2022\BarronRiver\Frames_for_Analysis\4172_C0034_R_0207.jpg</t>
  </si>
  <si>
    <t>E:\CAFNEC_GBRF\2022\BarronRiver\Frames_for_Analysis\4173_C0034_R_0205.jpg</t>
  </si>
  <si>
    <t>E:\CAFNEC_GBRF\2022\BarronRiver\Frames_for_Analysis\4174_C0034_R_0202.jpg</t>
  </si>
  <si>
    <t>E:\CAFNEC_GBRF\2022\BarronRiver\Frames_for_Analysis\4175_C0034_R_0200.jpg</t>
  </si>
  <si>
    <t>E:\CAFNEC_GBRF\2022\BarronRiver\Frames_for_Analysis\4176_C0034_R_0197.jpg</t>
  </si>
  <si>
    <t>E:\CAFNEC_GBRF\2022\BarronRiver\Frames_for_Analysis\4177_C0034_R_0195.jpg</t>
  </si>
  <si>
    <t>E:\CAFNEC_GBRF\2022\BarronRiver\Frames_for_Analysis\4178_C0034_R_0192.jpg</t>
  </si>
  <si>
    <t>E:\CAFNEC_GBRF\2022\BarronRiver\Frames_for_Analysis\4179_C0034_R_0190.jpg</t>
  </si>
  <si>
    <t>E:\CAFNEC_GBRF\2022\BarronRiver\Frames_for_Analysis\4180_C0034_R_0187.jpg</t>
  </si>
  <si>
    <t>E:\CAFNEC_GBRF\2022\BarronRiver\Frames_for_Analysis\4181_C0034_R_0184.jpg</t>
  </si>
  <si>
    <t>E:\CAFNEC_GBRF\2022\BarronRiver\Frames_for_Analysis\4182_C0034_R_0181.jpg</t>
  </si>
  <si>
    <t>E:\CAFNEC_GBRF\2022\BarronRiver\Frames_for_Analysis\4183_C0034_R_0178.jpg</t>
  </si>
  <si>
    <t>E:\CAFNEC_GBRF\2022\BarronRiver\Frames_for_Analysis\4184_C0034_R_0176.jpg</t>
  </si>
  <si>
    <t>E:\CAFNEC_GBRF\2022\BarronRiver\Frames_for_Analysis\4185_C0034_R_0173.jpg</t>
  </si>
  <si>
    <t>E:\CAFNEC_GBRF\2022\BarronRiver\Frames_for_Analysis\4186_C0034_R_0171.jpg</t>
  </si>
  <si>
    <t>E:\CAFNEC_GBRF\2022\BarronRiver\Frames_for_Analysis\4187_C0034_R_0168.jpg</t>
  </si>
  <si>
    <t>E:\CAFNEC_GBRF\2022\BarronRiver\Frames_for_Analysis\4188_C0034_R_0166.jpg</t>
  </si>
  <si>
    <t>E:\CAFNEC_GBRF\2022\BarronRiver\Frames_for_Analysis\4189_C0034_R_0163.jpg</t>
  </si>
  <si>
    <t>E:\CAFNEC_GBRF\2022\BarronRiver\Frames_for_Analysis\4190_C0034_R_0160.jpg</t>
  </si>
  <si>
    <t>E:\CAFNEC_GBRF\2022\BarronRiver\Frames_for_Analysis\4191_C0034_R_0157.jpg</t>
  </si>
  <si>
    <t>E:\CAFNEC_GBRF\2022\BarronRiver\Frames_for_Analysis\4192_C0034_R_0154.jpg</t>
  </si>
  <si>
    <t>E:\CAFNEC_GBRF\2022\BarronRiver\Frames_for_Analysis\4193_C0034_R_0152.jpg</t>
  </si>
  <si>
    <t>E:\CAFNEC_GBRF\2022\BarronRiver\Frames_for_Analysis\4194_C0034_R_0150.jpg</t>
  </si>
  <si>
    <t>E:\CAFNEC_GBRF\2022\BarronRiver\Frames_for_Analysis\4195_C0034_R_0146.jpg</t>
  </si>
  <si>
    <t>E:\CAFNEC_GBRF\2022\BarronRiver\Frames_for_Analysis\4196_C0034_R_0144.jpg</t>
  </si>
  <si>
    <t>E:\CAFNEC_GBRF\2022\BarronRiver\Frames_for_Analysis\4197_C0034_R_0141.jpg</t>
  </si>
  <si>
    <t>E:\CAFNEC_GBRF\2022\BarronRiver\Frames_for_Analysis\4198_C0034_R_0138.jpg</t>
  </si>
  <si>
    <t>E:\CAFNEC_GBRF\2022\BarronRiver\Frames_for_Analysis\4199_C0034_R_0135.jpg</t>
  </si>
  <si>
    <t>E:\CAFNEC_GBRF\2022\BarronRiver\Frames_for_Analysis\4200_C0034_R_0133.jpg</t>
  </si>
  <si>
    <t>E:\CAFNEC_GBRF\2022\BarronRiver\Frames_for_Analysis\4201_C0034_R_0130.jpg</t>
  </si>
  <si>
    <t>E:\CAFNEC_GBRF\2022\BarronRiver\Frames_for_Analysis\4202_C0034_R_0128.jpg</t>
  </si>
  <si>
    <t>E:\CAFNEC_GBRF\2022\BarronRiver\Frames_for_Analysis\4203_C0034_R_0125.jpg</t>
  </si>
  <si>
    <t>E:\CAFNEC_GBRF\2022\BarronRiver\Frames_for_Analysis\4204_C0034_R_0122.jpg</t>
  </si>
  <si>
    <t>E:\CAFNEC_GBRF\2022\BarronRiver\Frames_for_Analysis\4205_C0034_R_0119.jpg</t>
  </si>
  <si>
    <t>E:\CAFNEC_GBRF\2022\BarronRiver\Frames_for_Analysis\4206_C0034_R_0116.jpg</t>
  </si>
  <si>
    <t>E:\CAFNEC_GBRF\2022\BarronRiver\Frames_for_Analysis\4207_C0034_R_0113.jpg</t>
  </si>
  <si>
    <t>E:\CAFNEC_GBRF\2022\BarronRiver\Frames_for_Analysis\4208_C0034_R_0111.jpg</t>
  </si>
  <si>
    <t>E:\CAFNEC_GBRF\2022\BarronRiver\Frames_for_Analysis\4209_C0034_R_0108.jpg</t>
  </si>
  <si>
    <t>E:\CAFNEC_GBRF\2022\BarronRiver\Frames_for_Analysis\4210_C0034_R_0106.jpg</t>
  </si>
  <si>
    <t>E:\CAFNEC_GBRF\2022\BarronRiver\Frames_for_Analysis\4211_C0034_R_0103.jpg</t>
  </si>
  <si>
    <t>E:\CAFNEC_GBRF\2022\BarronRiver\Frames_for_Analysis\4212_C0034_R_0100.jpg</t>
  </si>
  <si>
    <t>E:\CAFNEC_GBRF\2022\BarronRiver\Frames_for_Analysis\4213_C0034_R_0098.jpg</t>
  </si>
  <si>
    <t>E:\CAFNEC_GBRF\2022\BarronRiver\Frames_for_Analysis\4214_C0034_R_0096.jpg</t>
  </si>
  <si>
    <t>E:\CAFNEC_GBRF\2022\BarronRiver\Frames_for_Analysis\4215_C0034_R_0093.jpg</t>
  </si>
  <si>
    <t>E:\CAFNEC_GBRF\2022\BarronRiver\Frames_for_Analysis\4216_C0034_R_0091.jpg</t>
  </si>
  <si>
    <t>E:\CAFNEC_GBRF\2022\BarronRiver\Frames_for_Analysis\4217_C0034_R_0088.jpg</t>
  </si>
  <si>
    <t>E:\CAFNEC_GBRF\2022\BarronRiver\Frames_for_Analysis\4218_C0034_R_0085.jpg</t>
  </si>
  <si>
    <t>E:\CAFNEC_GBRF\2022\BarronRiver\Frames_for_Analysis\4219_C0034_R_0083.jpg</t>
  </si>
  <si>
    <t>E:\CAFNEC_GBRF\2022\BarronRiver\Frames_for_Analysis\4220_C0034_R_0081.jpg</t>
  </si>
  <si>
    <t>E:\CAFNEC_GBRF\2022\BarronRiver\Frames_for_Analysis\4221_C0034_R_0079.jpg</t>
  </si>
  <si>
    <t>E:\CAFNEC_GBRF\2022\BarronRiver\Frames_for_Analysis\4222_C0034_R_0077.jpg</t>
  </si>
  <si>
    <t>E:\CAFNEC_GBRF\2022\BarronRiver\Frames_for_Analysis\4223_C0034_R_0075.jpg</t>
  </si>
  <si>
    <t>E:\CAFNEC_GBRF\2022\BarronRiver\Frames_for_Analysis\4224_C0034_R_0073.jpg</t>
  </si>
  <si>
    <t>E:\CAFNEC_GBRF\2022\BarronRiver\Frames_for_Analysis\4225_C0034_R_0071.jpg</t>
  </si>
  <si>
    <t>E:\CAFNEC_GBRF\2022\BarronRiver\Frames_for_Analysis\4226_C0034_R_0068.jpg</t>
  </si>
  <si>
    <t>E:\CAFNEC_GBRF\2022\BarronRiver\Frames_for_Analysis\4227_C0034_R_0065.jpg</t>
  </si>
  <si>
    <t>E:\CAFNEC_GBRF\2022\BarronRiver\Frames_for_Analysis\4228_C0064_R_0148.jpg</t>
  </si>
  <si>
    <t>E:\CAFNEC_GBRF\2022\BarronRiver\Frames_for_Analysis\4229_C0034_R_0057.jpg</t>
  </si>
  <si>
    <t>E:\CAFNEC_GBRF\2022\BarronRiver\Frames_for_Analysis\4230_C0034_R_0048.jpg</t>
  </si>
  <si>
    <t>E:\CAFNEC_GBRF\2022\BarronRiver\Frames_for_Analysis\4231_C0034_R_0044.jpg</t>
  </si>
  <si>
    <t>E:\CAFNEC_GBRF\2022\BarronRiver\Frames_for_Analysis\4232_C0034_R_0040.jpg</t>
  </si>
  <si>
    <t>E:\CAFNEC_GBRF\2022\BarronRiver\Frames_for_Analysis\4233_C0034_R_0038.jpg</t>
  </si>
  <si>
    <t>E:\CAFNEC_GBRF\2022\BarronRiver\Frames_for_Analysis\4234_C0034_R_0035.jpg</t>
  </si>
  <si>
    <t>E:\CAFNEC_GBRF\2022\BarronRiver\Frames_for_Analysis\4235_C0034_R_0032.jpg</t>
  </si>
  <si>
    <t>E:\CAFNEC_GBRF\2022\BarronRiver\Frames_for_Analysis\4236_C0034_R_0029.jpg</t>
  </si>
  <si>
    <t>E:\CAFNEC_GBRF\2022\BarronRiver\Frames_for_Analysis\4237_C0034_R_0024.jpg</t>
  </si>
  <si>
    <t>E:\CAFNEC_GBRF\2022\BarronRiver\Frames_for_Analysis\4238_C0034_R_0022.jpg</t>
  </si>
  <si>
    <t>E:\CAFNEC_GBRF\2022\BarronRiver\Frames_for_Analysis\4239_C0064_R_0149.jpg</t>
  </si>
  <si>
    <t>E:\CAFNEC_GBRF\2022\BarronRiver\Frames_for_Analysis\4240_C0034_R_0019.jpg</t>
  </si>
  <si>
    <t>E:\CAFNEC_GBRF\2022\BarronRiver\Frames_for_Analysis\4241_C0034_R_0018.jpg</t>
  </si>
  <si>
    <t>E:\CAFNEC_GBRF\2022\BarronRiver\Frames_for_Analysis\4242_C0034_R_0017.jpg</t>
  </si>
  <si>
    <t>E:\CAFNEC_GBRF\2022\BarronRiver\Frames_for_Analysis\4243_C0034_R_0015.jpg</t>
  </si>
  <si>
    <t>E:\CAFNEC_GBRF\2022\BarronRiver\Frames_for_Analysis\4244_C0034_R_0014.jpg</t>
  </si>
  <si>
    <t>E:\CAFNEC_GBRF\2022\BarronRiver\Frames_for_Analysis\4245_C0034_R_0012.jpg</t>
  </si>
  <si>
    <t>E:\CAFNEC_GBRF\2022\BarronRiver\Frames_for_Analysis\4246_C0034_R_0010.jpg</t>
  </si>
  <si>
    <t>Mangrove_Presence</t>
  </si>
  <si>
    <t>NA</t>
  </si>
  <si>
    <t>31_C0021_1149.jpg</t>
  </si>
  <si>
    <t>32_C0021_1148.jpg</t>
  </si>
  <si>
    <t>33_C0021_1145.jpg</t>
  </si>
  <si>
    <t>34_C0021_1138.jpg</t>
  </si>
  <si>
    <t>35_C0021_1137.jpg</t>
  </si>
  <si>
    <t>36_C0021_1133.jpg</t>
  </si>
  <si>
    <t>37_C0021_1129.jpg</t>
  </si>
  <si>
    <t>38_C0021_1126.jpg</t>
  </si>
  <si>
    <t>39_C0021_1122.jpg</t>
  </si>
  <si>
    <t>40_C0021_1119.jpg</t>
  </si>
  <si>
    <t>41_C0021_1116.jpg</t>
  </si>
  <si>
    <t>42_C0021_1112.jpg</t>
  </si>
  <si>
    <t>43_C0021_1110.jpg</t>
  </si>
  <si>
    <t>44_C0021_1106.jpg</t>
  </si>
  <si>
    <t>45_C0021_1101.jpg</t>
  </si>
  <si>
    <t>46_C0021_1095.jpg</t>
  </si>
  <si>
    <t>47_C0021_1090.jpg</t>
  </si>
  <si>
    <t>48_C0021_1084.jpg</t>
  </si>
  <si>
    <t>49_C0021_1082.jpg</t>
  </si>
  <si>
    <t>50_C0021_1080.jpg</t>
  </si>
  <si>
    <t>51_C0021_1078.jpg</t>
  </si>
  <si>
    <t>52_C0021_1074.jpg</t>
  </si>
  <si>
    <t>53_C0021_1071.jpg</t>
  </si>
  <si>
    <t>54_C0021_1068.jpg</t>
  </si>
  <si>
    <t>55_C0021_1066.jpg</t>
  </si>
  <si>
    <t>56_C0021_1062.jpg</t>
  </si>
  <si>
    <t>57_C0021_1057.jpg</t>
  </si>
  <si>
    <t>58_C0021_1054.jpg</t>
  </si>
  <si>
    <t>59_C0021_1050.jpg</t>
  </si>
  <si>
    <t>60_C0021_1047.jpg</t>
  </si>
  <si>
    <t>61_C0021_1044.jpg</t>
  </si>
  <si>
    <t>62_C0021_1041.jpg</t>
  </si>
  <si>
    <t>63_C0021_1039.jpg</t>
  </si>
  <si>
    <t>64_C0021_1037.jpg</t>
  </si>
  <si>
    <t>65_C0021_1035.jpg</t>
  </si>
  <si>
    <t>66_C0021_1034.jpg</t>
  </si>
  <si>
    <t>67_C0021_1032.jpg</t>
  </si>
  <si>
    <t>68_C0021_1027.jpg</t>
  </si>
  <si>
    <t>69_C0021_1015.jpg</t>
  </si>
  <si>
    <t>70_C0021_1008.jpg</t>
  </si>
  <si>
    <t>71_C0021_1003.jpg</t>
  </si>
  <si>
    <t>72_C0021_1001.jpg</t>
  </si>
  <si>
    <t>73_C0021_0993.jpg</t>
  </si>
  <si>
    <t>74_C0021_0994.jpg</t>
  </si>
  <si>
    <t>75_C0021_0987.jpg</t>
  </si>
  <si>
    <t>76_C0021_0979.jpg</t>
  </si>
  <si>
    <t>77_C0021_0925.jpg</t>
  </si>
  <si>
    <t>78_C0021_0962.jpg</t>
  </si>
  <si>
    <t>79_C0021_0927.jpg</t>
  </si>
  <si>
    <t>80_C0021_0943.jpg</t>
  </si>
  <si>
    <t>81_C0021_0939.jpg</t>
  </si>
  <si>
    <t>82_C0021_0912.jpg</t>
  </si>
  <si>
    <t>83_C0021_0911.jpg</t>
  </si>
  <si>
    <t>84_C0021_0906.jpg</t>
  </si>
  <si>
    <t>85_C0021_0902.jpg</t>
  </si>
  <si>
    <t>86_C0021_0899.jpg</t>
  </si>
  <si>
    <t>87_C0021_0897.jpg</t>
  </si>
  <si>
    <t>88_C0021_0895.jpg</t>
  </si>
  <si>
    <t>89_C0021_0890.jpg</t>
  </si>
  <si>
    <t>90_C0021_0885.jpg</t>
  </si>
  <si>
    <t>91_C0021_0881.jpg</t>
  </si>
  <si>
    <t>92_C0021_0876.jpg</t>
  </si>
  <si>
    <t>93_C0021_0873.jpg</t>
  </si>
  <si>
    <t>94_C0021_0868.jpg</t>
  </si>
  <si>
    <t>95_C0021_0864.jpg</t>
  </si>
  <si>
    <t>96_C0021_0860.jpg</t>
  </si>
  <si>
    <t>97_C0021_0857.jpg</t>
  </si>
  <si>
    <t>98_C0021_0849.jpg</t>
  </si>
  <si>
    <t>99_C0021_0845.jpg</t>
  </si>
  <si>
    <t>100_C0021_0842.jpg</t>
  </si>
  <si>
    <t>101_C0021_0836.jpg</t>
  </si>
  <si>
    <t>102_C0021_0832.jpg</t>
  </si>
  <si>
    <t>103_C0021_0824.jpg</t>
  </si>
  <si>
    <t>104_C0021_0806.jpg</t>
  </si>
  <si>
    <t>105_C0021_0802.jpg</t>
  </si>
  <si>
    <t>106_C0021_0799.jpg</t>
  </si>
  <si>
    <t>107_C0021_0797.jpg</t>
  </si>
  <si>
    <t>108_C0021_0792.jpg</t>
  </si>
  <si>
    <t>109_C0021_0785.jpg</t>
  </si>
  <si>
    <t>110_C0021_0781.jpg</t>
  </si>
  <si>
    <t>111_C0021_0778.jpg</t>
  </si>
  <si>
    <t>112_C0021_0775.jpg</t>
  </si>
  <si>
    <t>113_C0021_0772.jpg</t>
  </si>
  <si>
    <t>114_C0021_0768.jpg</t>
  </si>
  <si>
    <t>115_C0021_0767.jpg</t>
  </si>
  <si>
    <t>116_C0021_0763.jpg</t>
  </si>
  <si>
    <t>117_C0021_0760.jpg</t>
  </si>
  <si>
    <t>118_C0021_0756.jpg</t>
  </si>
  <si>
    <t>119_C0021_0753.jpg</t>
  </si>
  <si>
    <t>120_C0021_0749.jpg</t>
  </si>
  <si>
    <t>121_C0021_0746.jpg</t>
  </si>
  <si>
    <t>122_C0021_0743.jpg</t>
  </si>
  <si>
    <t>123_C0021_0740.jpg</t>
  </si>
  <si>
    <t>124_C0021_0737.jpg</t>
  </si>
  <si>
    <t>125_C0021_0735.jpg</t>
  </si>
  <si>
    <t>126_C0021_0732.jpg</t>
  </si>
  <si>
    <t>127_C0021_0730.jpg</t>
  </si>
  <si>
    <t>128_C0021_0727.jpg</t>
  </si>
  <si>
    <t>129_C0021_0725.jpg</t>
  </si>
  <si>
    <t>130_C0021_0722.jpg</t>
  </si>
  <si>
    <t>131_C0021_0719.jpg</t>
  </si>
  <si>
    <t>132_C0021_0716.jpg</t>
  </si>
  <si>
    <t>133_C0021_0714.jpg</t>
  </si>
  <si>
    <t>134_C0021_0709.jpg</t>
  </si>
  <si>
    <t>135_C0021_0706.jpg</t>
  </si>
  <si>
    <t>136_C0021_0702.jpg</t>
  </si>
  <si>
    <t>137_C0021_0699.jpg</t>
  </si>
  <si>
    <t>138_C0021_0695.jpg</t>
  </si>
  <si>
    <t>139_C0021_0692.jpg</t>
  </si>
  <si>
    <t>140_C0021_0687.jpg</t>
  </si>
  <si>
    <t>141_C0021_0684.jpg</t>
  </si>
  <si>
    <t>142_C0021_0680.jpg</t>
  </si>
  <si>
    <t>143_C0021_0677.jpg</t>
  </si>
  <si>
    <t>144_C0021_0673.jpg</t>
  </si>
  <si>
    <t>145_C0021_0670.jpg</t>
  </si>
  <si>
    <t>146_C0021_0666.jpg</t>
  </si>
  <si>
    <t>147_C0021_0663.jpg</t>
  </si>
  <si>
    <t>148_C0021_0660.jpg</t>
  </si>
  <si>
    <t>149_C0021_0655.jpg</t>
  </si>
  <si>
    <t>150_C0021_0652.jpg</t>
  </si>
  <si>
    <t>151_C0021_0649.jpg</t>
  </si>
  <si>
    <t>152_C0021_0645.jpg</t>
  </si>
  <si>
    <t>153_C0021_0641.jpg</t>
  </si>
  <si>
    <t>154_C0021_0637.jpg</t>
  </si>
  <si>
    <t>155_C0021_0633.jpg</t>
  </si>
  <si>
    <t>156_C0021_0630.jpg</t>
  </si>
  <si>
    <t>157_C0021_0627.jpg</t>
  </si>
  <si>
    <t>158_C0021_0623.jpg</t>
  </si>
  <si>
    <t>159_C0021_0620.jpg</t>
  </si>
  <si>
    <t>160_C0021_0617.jpg</t>
  </si>
  <si>
    <t>161_C0021_0614.jpg</t>
  </si>
  <si>
    <t>162_C0021_0611.jpg</t>
  </si>
  <si>
    <t>163_C0021_0608.jpg</t>
  </si>
  <si>
    <t>164_C0021_0604.jpg</t>
  </si>
  <si>
    <t>165_C0021_0601.jpg</t>
  </si>
  <si>
    <t>166_C0021_0597.jpg</t>
  </si>
  <si>
    <t>167_C0021_0593.jpg</t>
  </si>
  <si>
    <t>168_C0021_0589.jpg</t>
  </si>
  <si>
    <t>169_C0021_0584.jpg</t>
  </si>
  <si>
    <t>170_C0021_0580.jpg</t>
  </si>
  <si>
    <t>171_C0021_0576.jpg</t>
  </si>
  <si>
    <t>172_C0021_0571.jpg</t>
  </si>
  <si>
    <t>173_C0021_0565.jpg</t>
  </si>
  <si>
    <t>174_C0021_0560.jpg</t>
  </si>
  <si>
    <t>175_C0021_0556.jpg</t>
  </si>
  <si>
    <t>176_C0021_0547.jpg</t>
  </si>
  <si>
    <t>177_C0021_0543.jpg</t>
  </si>
  <si>
    <t>178_C0021_0537.jpg</t>
  </si>
  <si>
    <t>179_C0021_0532.jpg</t>
  </si>
  <si>
    <t>180_C0021_0527.jpg</t>
  </si>
  <si>
    <t>181_C0021_0521.jpg</t>
  </si>
  <si>
    <t>182_C0021_0517.jpg</t>
  </si>
  <si>
    <t>183_C0021_0512.jpg</t>
  </si>
  <si>
    <t>184_C0021_0507.jpg</t>
  </si>
  <si>
    <t>185_C0021_0503.jpg</t>
  </si>
  <si>
    <t>186_C0021_0502.jpg</t>
  </si>
  <si>
    <t>187_C0021_0499.jpg</t>
  </si>
  <si>
    <t>188_C0021_0497.jpg</t>
  </si>
  <si>
    <t>189_C0021_0496.jpg</t>
  </si>
  <si>
    <t>190_C0021_0495.jpg</t>
  </si>
  <si>
    <t>191_C0021_0494.jpg</t>
  </si>
  <si>
    <t>192_C0021_0489.jpg</t>
  </si>
  <si>
    <t>193_C0021_0483.jpg</t>
  </si>
  <si>
    <t>194_C0021_0480.jpg</t>
  </si>
  <si>
    <t>195_C0021_0472.jpg</t>
  </si>
  <si>
    <t>196_C0021_0475.jpg</t>
  </si>
  <si>
    <t>197_C0021_0476.jpg</t>
  </si>
  <si>
    <t>198_C0021_0451.jpg</t>
  </si>
  <si>
    <t>199_C0021_0436.jpg</t>
  </si>
  <si>
    <t>200_C0021_0424.jpg</t>
  </si>
  <si>
    <t>201_C0021_0411.jpg</t>
  </si>
  <si>
    <t>202_C0021_0410.jpg</t>
  </si>
  <si>
    <t>204_C0021_0408.jpg</t>
  </si>
  <si>
    <t>205_C0021_0404.jpg</t>
  </si>
  <si>
    <t>206_C0021_0402.jpg</t>
  </si>
  <si>
    <t>207_C0021_0400.jpg</t>
  </si>
  <si>
    <t>208_C0021_0398.jpg</t>
  </si>
  <si>
    <t>209_C0021_0383.jpg</t>
  </si>
  <si>
    <t>210_C0021_0388.jpg</t>
  </si>
  <si>
    <t>211_C0021_0368.jpg</t>
  </si>
  <si>
    <t>212_C0021_0369.jpg</t>
  </si>
  <si>
    <t>213_C0021_0362.jpg</t>
  </si>
  <si>
    <t>214_C0021_0359.jpg</t>
  </si>
  <si>
    <t>215_C0021_0354.jpg</t>
  </si>
  <si>
    <t>216_C0021_0350.jpg</t>
  </si>
  <si>
    <t>217_C0021_0349.jpg</t>
  </si>
  <si>
    <t>218_C0021_0345.jpg</t>
  </si>
  <si>
    <t>219_C0021_0340.jpg</t>
  </si>
  <si>
    <t>220_C0021_0337.jpg</t>
  </si>
  <si>
    <t>221_C0021_0333.jpg</t>
  </si>
  <si>
    <t>222_C0021_0330.jpg</t>
  </si>
  <si>
    <t>223_C0021_0325.jpg</t>
  </si>
  <si>
    <t>224_C0021_0321.jpg</t>
  </si>
  <si>
    <t>225_C0021_0319.jpg</t>
  </si>
  <si>
    <t>226_C0021_0317.jpg</t>
  </si>
  <si>
    <t>227_C0021_0310.jpg</t>
  </si>
  <si>
    <t>228_C0021_0306.jpg</t>
  </si>
  <si>
    <t>229_C0021_0304.jpg</t>
  </si>
  <si>
    <t>230_C0021_0298.jpg</t>
  </si>
  <si>
    <t>231_C0021_0297.jpg</t>
  </si>
  <si>
    <t>232_C0021_0294.jpg</t>
  </si>
  <si>
    <t>233_C0021_0291.jpg</t>
  </si>
  <si>
    <t>234_C0021_0288.jpg</t>
  </si>
  <si>
    <t>235_C0021_0285.jpg</t>
  </si>
  <si>
    <t>236_C0021_0282.jpg</t>
  </si>
  <si>
    <t>237_C0021_0280.jpg</t>
  </si>
  <si>
    <t>238_C0021_0278.jpg</t>
  </si>
  <si>
    <t>239_C0021_0276.jpg</t>
  </si>
  <si>
    <t>240_C0021_0270.jpg</t>
  </si>
  <si>
    <t>241_C0021_0267.jpg</t>
  </si>
  <si>
    <t>242_C0021_0263.jpg</t>
  </si>
  <si>
    <t>243_C0021_0257.jpg</t>
  </si>
  <si>
    <t>244_C0021_0253.jpg</t>
  </si>
  <si>
    <t>245_C0021_0248.jpg</t>
  </si>
  <si>
    <t>246_C0021_0244.jpg</t>
  </si>
  <si>
    <t>247_C0021_0239.jpg</t>
  </si>
  <si>
    <t>248_C0021_0235.jpg</t>
  </si>
  <si>
    <t>249_C0021_0229.jpg</t>
  </si>
  <si>
    <t>250_C0021_0223.jpg</t>
  </si>
  <si>
    <t>251_C0021_0219.jpg</t>
  </si>
  <si>
    <t>252_C0021_0215.jpg</t>
  </si>
  <si>
    <t>253_C0021_0211.jpg</t>
  </si>
  <si>
    <t>254_C0021_0207.jpg</t>
  </si>
  <si>
    <t>255_C0021_0202.jpg</t>
  </si>
  <si>
    <t>256_C0021_0197.jpg</t>
  </si>
  <si>
    <t>257_C0021_0194.jpg</t>
  </si>
  <si>
    <t>258_C0021_0188.jpg</t>
  </si>
  <si>
    <t>259_C0021_0184.jpg</t>
  </si>
  <si>
    <t>260_C0021_0181.jpg</t>
  </si>
  <si>
    <t>261_C0021_0177.jpg</t>
  </si>
  <si>
    <t>262_C0021_0172.jpg</t>
  </si>
  <si>
    <t>263_C0021_0167.jpg</t>
  </si>
  <si>
    <t>264_C0021_0165.jpg</t>
  </si>
  <si>
    <t>265_C0021_0161.jpg</t>
  </si>
  <si>
    <t>266_C0021_0158.jpg</t>
  </si>
  <si>
    <t>267_C0021_0153.jpg</t>
  </si>
  <si>
    <t>268_C0021_0149.jpg</t>
  </si>
  <si>
    <t>270_C0021_0146.jpg</t>
  </si>
  <si>
    <t>271_C0021_0142.jpg</t>
  </si>
  <si>
    <t>272_C0021_0138.jpg</t>
  </si>
  <si>
    <t>273_C0021_0134.jpg</t>
  </si>
  <si>
    <t>274_C0021_0006.jpg</t>
  </si>
  <si>
    <t>275_C0021_0127.jpg</t>
  </si>
  <si>
    <t>276_C0021_0097.jpg</t>
  </si>
  <si>
    <t>277_C0021_0117.jpg</t>
  </si>
  <si>
    <t>278_C0021_0059.jpg</t>
  </si>
  <si>
    <t>279_C0021_0053.jpg</t>
  </si>
  <si>
    <t>280_C0021_0043.jpg</t>
  </si>
  <si>
    <t>281_C0021_0036.jpg</t>
  </si>
  <si>
    <t>282_C0021_0019.jpg</t>
  </si>
  <si>
    <t>283_C0021_0009.jpg</t>
  </si>
  <si>
    <t>284_C0020_0665.jpg</t>
  </si>
  <si>
    <t>285_C0020_0667.jpg</t>
  </si>
  <si>
    <t>286_C0020_0656.jpg</t>
  </si>
  <si>
    <t>287_C0020_0651.jpg</t>
  </si>
  <si>
    <t>288_C0020_0643.jpg</t>
  </si>
  <si>
    <t>289_C0020_0638.jpg</t>
  </si>
  <si>
    <t>290_C0020_0633.jpg</t>
  </si>
  <si>
    <t>291_C0020_0628.jpg</t>
  </si>
  <si>
    <t>292_C0020_0623.jpg</t>
  </si>
  <si>
    <t>293_C0020_0620.jpg</t>
  </si>
  <si>
    <t>294_C0020_0615.jpg</t>
  </si>
  <si>
    <t>295_C0020_0609.jpg</t>
  </si>
  <si>
    <t>296_C0020_0603.jpg</t>
  </si>
  <si>
    <t>297_C0020_0597.jpg</t>
  </si>
  <si>
    <t>298_C0020_0592.jpg</t>
  </si>
  <si>
    <t>299_C0020_0587.jpg</t>
  </si>
  <si>
    <t>300_C0020_0580.jpg</t>
  </si>
  <si>
    <t>301_C0020_0576.jpg</t>
  </si>
  <si>
    <t>302_C0020_0573.jpg</t>
  </si>
  <si>
    <t>303_C0020_0567.jpg</t>
  </si>
  <si>
    <t>304_C0020_0563.jpg</t>
  </si>
  <si>
    <t>305_C0020_0558.jpg</t>
  </si>
  <si>
    <t>306_C0020_0555.jpg</t>
  </si>
  <si>
    <t>307_C0020_0552.jpg</t>
  </si>
  <si>
    <t>308_C0020_0548.jpg</t>
  </si>
  <si>
    <t>309_C0020_0543.jpg</t>
  </si>
  <si>
    <t>310_C0020_0534.jpg</t>
  </si>
  <si>
    <t>311_C0020_0531.jpg</t>
  </si>
  <si>
    <t>312_C0020_0525.jpg</t>
  </si>
  <si>
    <t>313_C0020_0523.jpg</t>
  </si>
  <si>
    <t>314_C0020_0518.jpg</t>
  </si>
  <si>
    <t>315_C0020_0513.jpg</t>
  </si>
  <si>
    <t>316_C0020_0508.jpg</t>
  </si>
  <si>
    <t>317_C0020_0504.jpg</t>
  </si>
  <si>
    <t>318_C0020_0500.jpg</t>
  </si>
  <si>
    <t>319_C0020_0496.jpg</t>
  </si>
  <si>
    <t>320_C0020_0490.jpg</t>
  </si>
  <si>
    <t>321_C0020_0485.jpg</t>
  </si>
  <si>
    <t>322_C0020_0480.jpg</t>
  </si>
  <si>
    <t>323_C0020_0471.jpg</t>
  </si>
  <si>
    <t>324_C0020_0463.jpg</t>
  </si>
  <si>
    <t>325_C0020_0459.jpg</t>
  </si>
  <si>
    <t>326_C0020_0453.jpg</t>
  </si>
  <si>
    <t>327_C0020_0448.jpg</t>
  </si>
  <si>
    <t>328_C0020_0442.jpg</t>
  </si>
  <si>
    <t>329_C0020_0437.jpg</t>
  </si>
  <si>
    <t>330_C0020_0434.jpg</t>
  </si>
  <si>
    <t>331_C0020_0432.jpg</t>
  </si>
  <si>
    <t>332_C0020_0426.jpg</t>
  </si>
  <si>
    <t>333_C0020_0423.jpg</t>
  </si>
  <si>
    <t>334_C0020_0421.jpg</t>
  </si>
  <si>
    <t>335_C0020_0416.jpg</t>
  </si>
  <si>
    <t>336_C0020_0413.jpg</t>
  </si>
  <si>
    <t>337_C0020_0409.jpg</t>
  </si>
  <si>
    <t>338_C0020_0405.jpg</t>
  </si>
  <si>
    <t>339_C0020_0400.jpg</t>
  </si>
  <si>
    <t>340_C0020_0396.jpg</t>
  </si>
  <si>
    <t>341_C0020_0392.jpg</t>
  </si>
  <si>
    <t>342_C0020_0387.jpg</t>
  </si>
  <si>
    <t>343_C0020_0383.jpg</t>
  </si>
  <si>
    <t>344_C0020_0378.jpg</t>
  </si>
  <si>
    <t>345_C0020_0375.jpg</t>
  </si>
  <si>
    <t>346_C0020_0370.jpg</t>
  </si>
  <si>
    <t>347_C0020_0365.jpg</t>
  </si>
  <si>
    <t>348_C0020_0362.jpg</t>
  </si>
  <si>
    <t>349_C0020_0358.jpg</t>
  </si>
  <si>
    <t>350_C0020_0354.jpg</t>
  </si>
  <si>
    <t>351_C0020_0348.jpg</t>
  </si>
  <si>
    <t>352_C0020_0343.jpg</t>
  </si>
  <si>
    <t>353_C0020_0338.jpg</t>
  </si>
  <si>
    <t>354_C0020_0333.jpg</t>
  </si>
  <si>
    <t>355_C0020_0329.jpg</t>
  </si>
  <si>
    <t>356_C0020_0323.jpg</t>
  </si>
  <si>
    <t>357_C0020_0317.jpg</t>
  </si>
  <si>
    <t>358_C0020_0310.jpg</t>
  </si>
  <si>
    <t>359_C0020_0303.jpg</t>
  </si>
  <si>
    <t>360_C0020_0287.jpg</t>
  </si>
  <si>
    <t>361_C0020_0282.jpg</t>
  </si>
  <si>
    <t>362_C0020_0272.jpg</t>
  </si>
  <si>
    <t>363_C0020_0268.jpg</t>
  </si>
  <si>
    <t>364_C0020_0264.jpg</t>
  </si>
  <si>
    <t>365_C0020_0261.jpg</t>
  </si>
  <si>
    <t>366_C0020_0253.jpg</t>
  </si>
  <si>
    <t>367_C0020_0249.jpg</t>
  </si>
  <si>
    <t>368_C0020_0242.jpg</t>
  </si>
  <si>
    <t>369_C0020_0237.jpg</t>
  </si>
  <si>
    <t>370_C0020_0234.jpg</t>
  </si>
  <si>
    <t>371_C0020_0228.jpg</t>
  </si>
  <si>
    <t>372_C0020_0225.jpg</t>
  </si>
  <si>
    <t>373_C0020_0221.jpg</t>
  </si>
  <si>
    <t>374_C0020_0214.jpg</t>
  </si>
  <si>
    <t>375_C0020_0210.jpg</t>
  </si>
  <si>
    <t>376_C0020_0206.jpg</t>
  </si>
  <si>
    <t>377_C0020_0200.jpg</t>
  </si>
  <si>
    <t>378_C0020_0195.jpg</t>
  </si>
  <si>
    <t>379_C0020_0192.jpg</t>
  </si>
  <si>
    <t>380_C0020_0189.jpg</t>
  </si>
  <si>
    <t>381_C0020_0184.jpg</t>
  </si>
  <si>
    <t>382_C0020_0182.jpg</t>
  </si>
  <si>
    <t>383_C0020_0177.jpg</t>
  </si>
  <si>
    <t>384_C0020_0175.jpg</t>
  </si>
  <si>
    <t>385_C0020_0171.jpg</t>
  </si>
  <si>
    <t>386_C0020_0168.jpg</t>
  </si>
  <si>
    <t>387_C0020_0165.jpg</t>
  </si>
  <si>
    <t>388_C0020_0159.jpg</t>
  </si>
  <si>
    <t>389_C0020_0156.jpg</t>
  </si>
  <si>
    <t>390_C0020_0153.jpg</t>
  </si>
  <si>
    <t>391_C0020_0150.jpg</t>
  </si>
  <si>
    <t>392_C0020_0147.jpg</t>
  </si>
  <si>
    <t>393_C0020_0143.jpg</t>
  </si>
  <si>
    <t>394_C0020_0140.jpg</t>
  </si>
  <si>
    <t>395_C0020_0135.jpg</t>
  </si>
  <si>
    <t>396_C0020_0132.jpg</t>
  </si>
  <si>
    <t>397_C0020_0129.jpg</t>
  </si>
  <si>
    <t>398_C0020_0123.jpg</t>
  </si>
  <si>
    <t>399_C0020_0119.jpg</t>
  </si>
  <si>
    <t>400_C0020_0114.jpg</t>
  </si>
  <si>
    <t>401_C0020_0109.jpg</t>
  </si>
  <si>
    <t>402_C0020_0105.jpg</t>
  </si>
  <si>
    <t>403_C0020_0101.jpg</t>
  </si>
  <si>
    <t>404_C0020_0097.jpg</t>
  </si>
  <si>
    <t>405_C0020_0092.jpg</t>
  </si>
  <si>
    <t>406_C0020_0087.jpg</t>
  </si>
  <si>
    <t>407_C0020_0082.jpg</t>
  </si>
  <si>
    <t>408_C0020_0076.jpg</t>
  </si>
  <si>
    <t>409_C0020_0072.jpg</t>
  </si>
  <si>
    <t>410_C0020_0066.jpg</t>
  </si>
  <si>
    <t>411_C0020_0060.jpg</t>
  </si>
  <si>
    <t>412_C0020_0055.jpg</t>
  </si>
  <si>
    <t>413_C0020_0049.jpg</t>
  </si>
  <si>
    <t>414_C0020_0043.jpg</t>
  </si>
  <si>
    <t>415_C0020_0037.jpg</t>
  </si>
  <si>
    <t>416_C0020_0026.jpg</t>
  </si>
  <si>
    <t>417_C0020_0023.jpg</t>
  </si>
  <si>
    <t>418_C0020_0010.jpg</t>
  </si>
  <si>
    <t>419_C0020_0004.jpg</t>
  </si>
  <si>
    <t>1013_C0019_0537.jpg</t>
  </si>
  <si>
    <t>1014_C0019_0534.jpg</t>
  </si>
  <si>
    <t>1015_C0019_0530.jpg</t>
  </si>
  <si>
    <t>1016_C0019_0526.jpg</t>
  </si>
  <si>
    <t>1017_C0019_0521.jpg</t>
  </si>
  <si>
    <t>1018_C0019_0517.jpg</t>
  </si>
  <si>
    <t>1019_C0019_0514.jpg</t>
  </si>
  <si>
    <t>1020_C0019_0511.jpg</t>
  </si>
  <si>
    <t>1021_C0019_0506.jpg</t>
  </si>
  <si>
    <t>1022_C0019_0503.jpg</t>
  </si>
  <si>
    <t>1023_C0019_0499.jpg</t>
  </si>
  <si>
    <t>1024_C0019_0496.jpg</t>
  </si>
  <si>
    <t>1025_C0019_0492.jpg</t>
  </si>
  <si>
    <t>1026_C0019_0489.jpg</t>
  </si>
  <si>
    <t>1027_C0019_0485.jpg</t>
  </si>
  <si>
    <t>1028_C0019_0481.jpg</t>
  </si>
  <si>
    <t>1029_C0019_0478.jpg</t>
  </si>
  <si>
    <t>1030_C0019_0473.jpg</t>
  </si>
  <si>
    <t>1031_C0019_0467.jpg</t>
  </si>
  <si>
    <t>1032_C0019_0465.jpg</t>
  </si>
  <si>
    <t>1033_C0019_0462.jpg</t>
  </si>
  <si>
    <t>1034_C0019_0455.jpg</t>
  </si>
  <si>
    <t>1035_C0019_0449.jpg</t>
  </si>
  <si>
    <t>1036_C0019_0446.jpg</t>
  </si>
  <si>
    <t>1037_C0019_0441.jpg</t>
  </si>
  <si>
    <t>1038_C0019_0432.jpg</t>
  </si>
  <si>
    <t>1039_C0019_0422.jpg</t>
  </si>
  <si>
    <t>1040_C0019_0417.jpg</t>
  </si>
  <si>
    <t>1041_C0019_0410.jpg</t>
  </si>
  <si>
    <t>1042_C0019_0404.jpg</t>
  </si>
  <si>
    <t>1043_C0019_0400.jpg</t>
  </si>
  <si>
    <t>1044_C0019_0395.jpg</t>
  </si>
  <si>
    <t>1045_C0019_0391.jpg</t>
  </si>
  <si>
    <t>1046_C0019_0389.jpg</t>
  </si>
  <si>
    <t>1047_C0019_0383.jpg</t>
  </si>
  <si>
    <t>1048_C0019_0379.jpg</t>
  </si>
  <si>
    <t>1049_C0019_0375.jpg</t>
  </si>
  <si>
    <t>1050_C0019_0372.jpg</t>
  </si>
  <si>
    <t>1051_C0019_0367.jpg</t>
  </si>
  <si>
    <t>1052_C0019_0364.jpg</t>
  </si>
  <si>
    <t>1053_C0019_0359.jpg</t>
  </si>
  <si>
    <t>1054_C0019_0354.jpg</t>
  </si>
  <si>
    <t>1055_C0019_0350.jpg</t>
  </si>
  <si>
    <t>1056_C0019_0346.jpg</t>
  </si>
  <si>
    <t>1057_C0019_0342.jpg</t>
  </si>
  <si>
    <t>1058_C0019_0339.jpg</t>
  </si>
  <si>
    <t>1059_C0019_0336.jpg</t>
  </si>
  <si>
    <t>1060_C0019_0332.jpg</t>
  </si>
  <si>
    <t>1061_C0019_0329.jpg</t>
  </si>
  <si>
    <t>1062_C0019_0326.jpg</t>
  </si>
  <si>
    <t>1063_C0019_0322.jpg</t>
  </si>
  <si>
    <t>1064_C0019_0319.jpg</t>
  </si>
  <si>
    <t>1065_C0019_0316.jpg</t>
  </si>
  <si>
    <t>1066_C0019_0313.jpg</t>
  </si>
  <si>
    <t>1067_C0019_0311.jpg</t>
  </si>
  <si>
    <t>1068_C0019_0308.jpg</t>
  </si>
  <si>
    <t>1069_C0019_0305.jpg</t>
  </si>
  <si>
    <t>1070_C0019_0302.jpg</t>
  </si>
  <si>
    <t>1071_C0019_0298.jpg</t>
  </si>
  <si>
    <t>1072_C0019_0294.jpg</t>
  </si>
  <si>
    <t>1073_C0019_0291.jpg</t>
  </si>
  <si>
    <t>1074_C0019_0288.jpg</t>
  </si>
  <si>
    <t>1075_C0019_0284.jpg</t>
  </si>
  <si>
    <t>1076_C0019_0279.jpg</t>
  </si>
  <si>
    <t>1077_C0019_0276.jpg</t>
  </si>
  <si>
    <t>1078_C0019_0273.jpg</t>
  </si>
  <si>
    <t>1079_C0019_0270.jpg</t>
  </si>
  <si>
    <t>1080_C0019_0264.jpg</t>
  </si>
  <si>
    <t>1081_C0019_0259.jpg</t>
  </si>
  <si>
    <t>1082_C0019_0254.jpg</t>
  </si>
  <si>
    <t>1083_C0019_0249.jpg</t>
  </si>
  <si>
    <t>1084_C0019_0243.jpg</t>
  </si>
  <si>
    <t>1085_C0019_0237.jpg</t>
  </si>
  <si>
    <t>1086_C0019_0232.jpg</t>
  </si>
  <si>
    <t>1087_C0019_0226.jpg</t>
  </si>
  <si>
    <t>1088_C0019_0219.jpg</t>
  </si>
  <si>
    <t>1089_C0019_0214.jpg</t>
  </si>
  <si>
    <t>1090_C0019_0207.jpg</t>
  </si>
  <si>
    <t>1091_C0019_0200.jpg</t>
  </si>
  <si>
    <t>1092_C0019_0194.jpg</t>
  </si>
  <si>
    <t>1093_C0019_0190.jpg</t>
  </si>
  <si>
    <t>1094_C0019_0184.jpg</t>
  </si>
  <si>
    <t>1095_C0019_0180.jpg</t>
  </si>
  <si>
    <t>1096_C0019_0176.jpg</t>
  </si>
  <si>
    <t>1097_C0019_0172.jpg</t>
  </si>
  <si>
    <t>1098_C0019_0168.jpg</t>
  </si>
  <si>
    <t>1099_C0019_0164.jpg</t>
  </si>
  <si>
    <t>1100_C0019_0160.jpg</t>
  </si>
  <si>
    <t>1101_C0019_0156.jpg</t>
  </si>
  <si>
    <t>1102_C0019_0151.jpg</t>
  </si>
  <si>
    <t>1103_C0019_0147.jpg</t>
  </si>
  <si>
    <t>1104_C0019_0143.jpg</t>
  </si>
  <si>
    <t>1105_C0019_0140.jpg</t>
  </si>
  <si>
    <t>1106_C0019_0133.jpg</t>
  </si>
  <si>
    <t>1107_C0019_0131.jpg</t>
  </si>
  <si>
    <t>1108_C0019_0124.jpg</t>
  </si>
  <si>
    <t>1109_C0019_0116.jpg</t>
  </si>
  <si>
    <t>1110_C0019_0111.jpg</t>
  </si>
  <si>
    <t>1111_C0019_0106.jpg</t>
  </si>
  <si>
    <t>1112_C0019_0102.jpg</t>
  </si>
  <si>
    <t>1113_C0019_0094.jpg</t>
  </si>
  <si>
    <t>1114_C0019_0088.jpg</t>
  </si>
  <si>
    <t>1115_C0019_0083.jpg</t>
  </si>
  <si>
    <t>1116_C0019_0075.jpg</t>
  </si>
  <si>
    <t>1117_C0019_0069.jpg</t>
  </si>
  <si>
    <t>1118_C0019_0061.jpg</t>
  </si>
  <si>
    <t>1119_C0019_0056.jpg</t>
  </si>
  <si>
    <t>1120_C0019_0047.jpg</t>
  </si>
  <si>
    <t>1121_C0019_0043.jpg</t>
  </si>
  <si>
    <t>1122_C0019_0037.jpg</t>
  </si>
  <si>
    <t>1123_C0019_0032.jpg</t>
  </si>
  <si>
    <t>1124_C0015_0100.jpg</t>
  </si>
  <si>
    <t>1125_C0015_0096.jpg</t>
  </si>
  <si>
    <t>1126_C0015_0092.jpg</t>
  </si>
  <si>
    <t>1127_C0019_0010.jpg</t>
  </si>
  <si>
    <t>1128_C0015_0085.jpg</t>
  </si>
  <si>
    <t>1129_C0015_0081.jpg</t>
  </si>
  <si>
    <t>1130_C0015_0076.jpg</t>
  </si>
  <si>
    <t>1131_C0015_0072.jpg</t>
  </si>
  <si>
    <t>1132_C0014_0292.jpg</t>
  </si>
  <si>
    <t>1133_C0015_0064.jpg</t>
  </si>
  <si>
    <t>1134_C0015_0058.jpg</t>
  </si>
  <si>
    <t>1135_C0015_0054.jpg</t>
  </si>
  <si>
    <t>1136_C0015_0050.jpg</t>
  </si>
  <si>
    <t>1137_C0015_0045.jpg</t>
  </si>
  <si>
    <t>1138_C0015_0041.jpg</t>
  </si>
  <si>
    <t>1139_C0015_0037.jpg</t>
  </si>
  <si>
    <t>1140_C0015_0033.jpg</t>
  </si>
  <si>
    <t>1141_C0015_0029.jpg</t>
  </si>
  <si>
    <t>1142_C0015_0025.jpg</t>
  </si>
  <si>
    <t>1143_C0015_0021.jpg</t>
  </si>
  <si>
    <t>1144_C0015_0016.jpg</t>
  </si>
  <si>
    <t>1145_C0014_0308.jpg</t>
  </si>
  <si>
    <t>1146_C0015_0004.jpg</t>
  </si>
  <si>
    <t>1147_C0015_0001.jpg</t>
  </si>
  <si>
    <t>1148_C0014_0441.jpg</t>
  </si>
  <si>
    <t>1149_C0014_0440.jpg</t>
  </si>
  <si>
    <t>1150_C0014_0312.jpg</t>
  </si>
  <si>
    <t>1151_C0014_0282.jpg</t>
  </si>
  <si>
    <t>1152_C0014_0315.jpg</t>
  </si>
  <si>
    <t>1153_C0014_0273.jpg</t>
  </si>
  <si>
    <t>1154_C0014_0318.jpg</t>
  </si>
  <si>
    <t>1155_C0014_0319.jpg</t>
  </si>
  <si>
    <t>1156_C0014_0268.jpg</t>
  </si>
  <si>
    <t>1157_C0014_0321.jpg</t>
  </si>
  <si>
    <t>1158_C0014_0260.jpg</t>
  </si>
  <si>
    <t>1159_C0014_0393.jpg</t>
  </si>
  <si>
    <t>1160_C0014_0434.jpg</t>
  </si>
  <si>
    <t>1161_C0014_0247.jpg</t>
  </si>
  <si>
    <t>1162_C0014_0421.jpg</t>
  </si>
  <si>
    <t>1163_C0014_0395.jpg</t>
  </si>
  <si>
    <t>1164_C0014_0382.jpg</t>
  </si>
  <si>
    <t>1165_C0014_0326.jpg</t>
  </si>
  <si>
    <t>1166_C0014_0362.jpg</t>
  </si>
  <si>
    <t>1167_C0014_0402.jpg</t>
  </si>
  <si>
    <t>1168_C0014_0235.jpg</t>
  </si>
  <si>
    <t>1169_C0014_0360.jpg</t>
  </si>
  <si>
    <t>1170_C0014_0231.jpg</t>
  </si>
  <si>
    <t>1171_C0014_0229.jpg</t>
  </si>
  <si>
    <t>1172_C0014_0225.jpg</t>
  </si>
  <si>
    <t>1173_C0014_0359.jpg</t>
  </si>
  <si>
    <t>1174_C0014_0221.jpg</t>
  </si>
  <si>
    <t>1175_C0014_0218.jpg</t>
  </si>
  <si>
    <t>1176_C0014_0216.jpg</t>
  </si>
  <si>
    <t>1177_C0014_0346.jpg</t>
  </si>
  <si>
    <t>1178_C0014_0209.jpg</t>
  </si>
  <si>
    <t>1179_C0014_0206.jpg</t>
  </si>
  <si>
    <t>1180_C0014_0202.jpg</t>
  </si>
  <si>
    <t>1181_C0014_0344.jpg</t>
  </si>
  <si>
    <t>1182_C0014_0197.jpg</t>
  </si>
  <si>
    <t>1183_C0014_0195.jpg</t>
  </si>
  <si>
    <t>1184_C0014_0188.jpg</t>
  </si>
  <si>
    <t>1185_C0014_0185.jpg</t>
  </si>
  <si>
    <t>1186_C0014_0182.jpg</t>
  </si>
  <si>
    <t>1187_C0014_0178.jpg</t>
  </si>
  <si>
    <t>1188_C0014_0175.jpg</t>
  </si>
  <si>
    <t>1189_C0014_0172.jpg</t>
  </si>
  <si>
    <t>1190_C0014_0168.jpg</t>
  </si>
  <si>
    <t>1191_C0014_0163.jpg</t>
  </si>
  <si>
    <t>1192_C0014_0160.jpg</t>
  </si>
  <si>
    <t>1193_C0014_0156.jpg</t>
  </si>
  <si>
    <t>1194_C0014_0153.jpg</t>
  </si>
  <si>
    <t>1195_C0014_0150.jpg</t>
  </si>
  <si>
    <t>1196_C0014_0146.jpg</t>
  </si>
  <si>
    <t>1197_C0014_0332.jpg</t>
  </si>
  <si>
    <t>1198_C0014_0141.jpg</t>
  </si>
  <si>
    <t>1199_C0014_0138.jpg</t>
  </si>
  <si>
    <t>1200_C0014_0134.jpg</t>
  </si>
  <si>
    <t>1201_C0014_0131.jpg</t>
  </si>
  <si>
    <t>1202_C0014_0128.jpg</t>
  </si>
  <si>
    <t>1203_C0014_0125.jpg</t>
  </si>
  <si>
    <t>1204_C0014_0122.jpg</t>
  </si>
  <si>
    <t>1205_C0014_0119.jpg</t>
  </si>
  <si>
    <t>1206_C0014_0116.jpg</t>
  </si>
  <si>
    <t>1207_C0014_0113.jpg</t>
  </si>
  <si>
    <t>1208_C0014_0109.jpg</t>
  </si>
  <si>
    <t>1209_C0014_0107.jpg</t>
  </si>
  <si>
    <t>1210_C0014_0102.jpg</t>
  </si>
  <si>
    <t>1211_C0014_0099.jpg</t>
  </si>
  <si>
    <t>1212_C0014_0095.jpg</t>
  </si>
  <si>
    <t>1213_C0014_0092.jpg</t>
  </si>
  <si>
    <t>1214_C0014_0089.jpg</t>
  </si>
  <si>
    <t>1215_C0014_0085.jpg</t>
  </si>
  <si>
    <t>1216_C0014_0083.jpg</t>
  </si>
  <si>
    <t>1217_C0014_0079.jpg</t>
  </si>
  <si>
    <t>1218_C0014_0076.jpg</t>
  </si>
  <si>
    <t>1219_C0014_0073.jpg</t>
  </si>
  <si>
    <t>1220_C0014_0069.jpg</t>
  </si>
  <si>
    <t>1221_C0014_0065.jpg</t>
  </si>
  <si>
    <t>1222_C0014_0060.jpg</t>
  </si>
  <si>
    <t>1223_C0014_0058.jpg</t>
  </si>
  <si>
    <t>1224_C0014_0056.jpg</t>
  </si>
  <si>
    <t>1225_C0014_0001.jpg</t>
  </si>
  <si>
    <t>1226_C0014_0047.jpg</t>
  </si>
  <si>
    <t>1227_C0014_0043.jpg</t>
  </si>
  <si>
    <t>1228_C0014_0038.jpg</t>
  </si>
  <si>
    <t>1229_C0014_0036.jpg</t>
  </si>
  <si>
    <t>1230_C0014_0033.jpg</t>
  </si>
  <si>
    <t>1231_C0014_0030.jpg</t>
  </si>
  <si>
    <t>1232_C0014_0027.jpg</t>
  </si>
  <si>
    <t>1233_C0014_0024.jpg</t>
  </si>
  <si>
    <t>1234_C0014_0020.jpg</t>
  </si>
  <si>
    <t>1235_C0014_0003.jpg</t>
  </si>
  <si>
    <t>1236_C0014_0011.jpg</t>
  </si>
  <si>
    <t>1237_C0013_3436.jpg</t>
  </si>
  <si>
    <t>1238_C0013_3431.jpg</t>
  </si>
  <si>
    <t>1239_C0013_3427.jpg</t>
  </si>
  <si>
    <t>1240_C0013_3423.jpg</t>
  </si>
  <si>
    <t>1241_C0013_3416.jpg</t>
  </si>
  <si>
    <t>1242_C0013_3411.jpg</t>
  </si>
  <si>
    <t>1243_C0013_3408.jpg</t>
  </si>
  <si>
    <t>1244_C0013_3403.jpg</t>
  </si>
  <si>
    <t>1245_C0013_3401.jpg</t>
  </si>
  <si>
    <t>1246_C0013_3395.jpg</t>
  </si>
  <si>
    <t>1247_C0013_3391.jpg</t>
  </si>
  <si>
    <t>1248_C0013_3389.jpg</t>
  </si>
  <si>
    <t>1249_C0013_3383.jpg</t>
  </si>
  <si>
    <t>1250_C0013_3381.jpg</t>
  </si>
  <si>
    <t>1251_C0013_3377.jpg</t>
  </si>
  <si>
    <t>1252_C0013_3372.jpg</t>
  </si>
  <si>
    <t>1253_C0013_3369.jpg</t>
  </si>
  <si>
    <t>1254_C0013_3365.jpg</t>
  </si>
  <si>
    <t>1255_C0013_3361.jpg</t>
  </si>
  <si>
    <t>1256_C0013_3359.jpg</t>
  </si>
  <si>
    <t>1257_C0013_3355.jpg</t>
  </si>
  <si>
    <t>1258_C0013_3351.jpg</t>
  </si>
  <si>
    <t>1259_C0013_3348.jpg</t>
  </si>
  <si>
    <t>1260_C0013_3344.jpg</t>
  </si>
  <si>
    <t>1261_C0013_3339.jpg</t>
  </si>
  <si>
    <t>1262_C0013_3335.jpg</t>
  </si>
  <si>
    <t>1263_C0013_3330.jpg</t>
  </si>
  <si>
    <t>1264_C0013_3325.jpg</t>
  </si>
  <si>
    <t>1265_C0013_3321.jpg</t>
  </si>
  <si>
    <t>1266_C0013_3315.jpg</t>
  </si>
  <si>
    <t>1267_C0013_3311.jpg</t>
  </si>
  <si>
    <t>1268_C0013_3307.jpg</t>
  </si>
  <si>
    <t>1269_C0013_3302.jpg</t>
  </si>
  <si>
    <t>1270_C0013_3296.jpg</t>
  </si>
  <si>
    <t>1271_C0013_3297.jpg</t>
  </si>
  <si>
    <t>1272_C0013_3291.jpg</t>
  </si>
  <si>
    <t>1273_C0013_3286.jpg</t>
  </si>
  <si>
    <t>1274_C0013_3280.jpg</t>
  </si>
  <si>
    <t>1275_C0013_3278.jpg</t>
  </si>
  <si>
    <t>1276_C0013_3272.jpg</t>
  </si>
  <si>
    <t>1394_C0013_3268.jpg</t>
  </si>
  <si>
    <t>1395_C0013_3263.jpg</t>
  </si>
  <si>
    <t>1396_C0013_3260.jpg</t>
  </si>
  <si>
    <t>1397_C0013_3255.jpg</t>
  </si>
  <si>
    <t>1398_C0013_3250.jpg</t>
  </si>
  <si>
    <t>1399_C0013_3247.jpg</t>
  </si>
  <si>
    <t>1400_C0013_3242.jpg</t>
  </si>
  <si>
    <t>1401_C0013_3238.jpg</t>
  </si>
  <si>
    <t>1402_C0013_3235.jpg</t>
  </si>
  <si>
    <t>1403_C0013_3229.jpg</t>
  </si>
  <si>
    <t>1404_C0013_3223.jpg</t>
  </si>
  <si>
    <t>1405_C0013_3218.jpg</t>
  </si>
  <si>
    <t>1406_C0013_3213.jpg</t>
  </si>
  <si>
    <t>1407_C0013_3209.jpg</t>
  </si>
  <si>
    <t>1408_C0013_3205.jpg</t>
  </si>
  <si>
    <t>1409_C0013_3200.jpg</t>
  </si>
  <si>
    <t>1410_C0013_3196.jpg</t>
  </si>
  <si>
    <t>1411_C0013_3193.jpg</t>
  </si>
  <si>
    <t>1412_C0013_3189.jpg</t>
  </si>
  <si>
    <t>1413_C0013_3186.jpg</t>
  </si>
  <si>
    <t>1414_C0013_3183.jpg</t>
  </si>
  <si>
    <t>1415_C0013_3178.jpg</t>
  </si>
  <si>
    <t>1416_C0013_3175.jpg</t>
  </si>
  <si>
    <t>1417_C0013_3169.jpg</t>
  </si>
  <si>
    <t>1418_C0013_3164.jpg</t>
  </si>
  <si>
    <t>1419_C0013_3158.jpg</t>
  </si>
  <si>
    <t>1420_C0013_3154.jpg</t>
  </si>
  <si>
    <t>1421_C0013_3150.jpg</t>
  </si>
  <si>
    <t>1422_C0013_3147.jpg</t>
  </si>
  <si>
    <t>1423_C0013_3143.jpg</t>
  </si>
  <si>
    <t>1424_C0013_3140.jpg</t>
  </si>
  <si>
    <t>1425_C0013_3135.jpg</t>
  </si>
  <si>
    <t>1426_C0013_3131.jpg</t>
  </si>
  <si>
    <t>1427_C0013_3129.jpg</t>
  </si>
  <si>
    <t>1428_C0013_3123.jpg</t>
  </si>
  <si>
    <t>1429_C0013_3119.jpg</t>
  </si>
  <si>
    <t>1430_C0013_3116.jpg</t>
  </si>
  <si>
    <t>1431_C0013_3110.jpg</t>
  </si>
  <si>
    <t>1432_C0013_3105.jpg</t>
  </si>
  <si>
    <t>1433_C0013_3101.jpg</t>
  </si>
  <si>
    <t>1434_C0013_3096.jpg</t>
  </si>
  <si>
    <t>1435_C0013_3091.jpg</t>
  </si>
  <si>
    <t>1436_C0013_3086.jpg</t>
  </si>
  <si>
    <t>1437_C0013_3081.jpg</t>
  </si>
  <si>
    <t>1438_C0013_3076.jpg</t>
  </si>
  <si>
    <t>1439_C0013_3072.jpg</t>
  </si>
  <si>
    <t>1440_C0013_3067.jpg</t>
  </si>
  <si>
    <t>1441_C0013_3063.jpg</t>
  </si>
  <si>
    <t>1442_C0013_3058.jpg</t>
  </si>
  <si>
    <t>1443_C0013_3053.jpg</t>
  </si>
  <si>
    <t>1444_C0013_3049.jpg</t>
  </si>
  <si>
    <t>1445_C0013_3044.jpg</t>
  </si>
  <si>
    <t>1446_C0013_3039.jpg</t>
  </si>
  <si>
    <t>1447_C0013_3034.jpg</t>
  </si>
  <si>
    <t>1448_C0013_3030.jpg</t>
  </si>
  <si>
    <t>1449_C0013_3024.jpg</t>
  </si>
  <si>
    <t>1450_C0013_3020.jpg</t>
  </si>
  <si>
    <t>1451_C0013_3017.jpg</t>
  </si>
  <si>
    <t>1452_C0013_3013.jpg</t>
  </si>
  <si>
    <t>1453_C0013_3008.jpg</t>
  </si>
  <si>
    <t>1454_C0013_3004.jpg</t>
  </si>
  <si>
    <t>1455_C0013_2999.jpg</t>
  </si>
  <si>
    <t>1456_C0013_2996.jpg</t>
  </si>
  <si>
    <t>1457_C0013_2991.jpg</t>
  </si>
  <si>
    <t>1458_C0013_2986.jpg</t>
  </si>
  <si>
    <t>1459_C0013_2983.jpg</t>
  </si>
  <si>
    <t>1460_C0013_2979.jpg</t>
  </si>
  <si>
    <t>1461_C0013_2975.jpg</t>
  </si>
  <si>
    <t>1462_C0013_2971.jpg</t>
  </si>
  <si>
    <t>1463_C0013_2967.jpg</t>
  </si>
  <si>
    <t>1464_C0013_2963.jpg</t>
  </si>
  <si>
    <t>1465_C0013_2959.jpg</t>
  </si>
  <si>
    <t>1466_C0013_2957.jpg</t>
  </si>
  <si>
    <t>1467_C0013_2952.jpg</t>
  </si>
  <si>
    <t>1468_C0013_2946.jpg</t>
  </si>
  <si>
    <t>1469_C0013_2943.jpg</t>
  </si>
  <si>
    <t>1470_C0013_2939.jpg</t>
  </si>
  <si>
    <t>1471_C0013_2935.jpg</t>
  </si>
  <si>
    <t>1472_C0013_2931.jpg</t>
  </si>
  <si>
    <t>1473_C0013_2928.jpg</t>
  </si>
  <si>
    <t>1474_C0013_2925.jpg</t>
  </si>
  <si>
    <t>1475_C0013_2921.jpg</t>
  </si>
  <si>
    <t>1476_C0013_2919.jpg</t>
  </si>
  <si>
    <t>1477_C0013_2913.jpg</t>
  </si>
  <si>
    <t>1478_C0013_2909.jpg</t>
  </si>
  <si>
    <t>1479_C0013_2904.jpg</t>
  </si>
  <si>
    <t>1480_C0013_2901.jpg</t>
  </si>
  <si>
    <t>1481_C0013_2898.jpg</t>
  </si>
  <si>
    <t>1482_C0013_2894.jpg</t>
  </si>
  <si>
    <t>1483_C0013_2890.jpg</t>
  </si>
  <si>
    <t>1484_C0013_2887.jpg</t>
  </si>
  <si>
    <t>1485_C0013_2882.jpg</t>
  </si>
  <si>
    <t>1486_C0013_2878.jpg</t>
  </si>
  <si>
    <t>1487_C0013_2875.jpg</t>
  </si>
  <si>
    <t>1488_C0013_2871.jpg</t>
  </si>
  <si>
    <t>1489_C0013_2868.jpg</t>
  </si>
  <si>
    <t>1490_C0013_2865.jpg</t>
  </si>
  <si>
    <t>1491_C0013_2862.jpg</t>
  </si>
  <si>
    <t>1492_C0013_2859.jpg</t>
  </si>
  <si>
    <t>1493_C0013_2855.jpg</t>
  </si>
  <si>
    <t>1494_C0013_2852.jpg</t>
  </si>
  <si>
    <t>1495_C0013_2849.jpg</t>
  </si>
  <si>
    <t>1496_C0013_2846.jpg</t>
  </si>
  <si>
    <t>1497_C0013_2842.jpg</t>
  </si>
  <si>
    <t>1498_C0013_2839.jpg</t>
  </si>
  <si>
    <t>1499_C0013_2836.jpg</t>
  </si>
  <si>
    <t>1500_C0013_2832.jpg</t>
  </si>
  <si>
    <t>1501_C0013_2829.jpg</t>
  </si>
  <si>
    <t>1502_C0013_2826.jpg</t>
  </si>
  <si>
    <t>1503_C0013_2823.jpg</t>
  </si>
  <si>
    <t>1504_C0013_2819.jpg</t>
  </si>
  <si>
    <t>1505_C0013_2817.jpg</t>
  </si>
  <si>
    <t>1506_C0013_2813.jpg</t>
  </si>
  <si>
    <t>1507_C0013_2810.jpg</t>
  </si>
  <si>
    <t>1508_C0013_2806.jpg</t>
  </si>
  <si>
    <t>1509_C0013_2803.jpg</t>
  </si>
  <si>
    <t>1510_C0013_2800.jpg</t>
  </si>
  <si>
    <t>1511_C0013_2796.jpg</t>
  </si>
  <si>
    <t>1512_C0013_2793.jpg</t>
  </si>
  <si>
    <t>1513_C0013_2788.jpg</t>
  </si>
  <si>
    <t>1514_C0013_2785.jpg</t>
  </si>
  <si>
    <t>1515_C0013_2782.jpg</t>
  </si>
  <si>
    <t>1516_C0013_2780.jpg</t>
  </si>
  <si>
    <t>1517_C0013_2776.jpg</t>
  </si>
  <si>
    <t>1518_C0013_2773.jpg</t>
  </si>
  <si>
    <t>1519_C0013_2770.jpg</t>
  </si>
  <si>
    <t>1520_C0013_2768.jpg</t>
  </si>
  <si>
    <t>1521_C0013_2765.jpg</t>
  </si>
  <si>
    <t>1522_C0013_2761.jpg</t>
  </si>
  <si>
    <t>1523_C0013_2758.jpg</t>
  </si>
  <si>
    <t>1524_C0013_2755.jpg</t>
  </si>
  <si>
    <t>1525_C0013_2752.jpg</t>
  </si>
  <si>
    <t>1526_C0013_2748.jpg</t>
  </si>
  <si>
    <t>1527_C0013_2745.jpg</t>
  </si>
  <si>
    <t>1528_C0013_2742.jpg</t>
  </si>
  <si>
    <t>1529_C0013_2739.jpg</t>
  </si>
  <si>
    <t>1530_C0013_2736.jpg</t>
  </si>
  <si>
    <t>1531_C0013_2732.jpg</t>
  </si>
  <si>
    <t>1532_C0013_2729.jpg</t>
  </si>
  <si>
    <t>1533_C0013_2725.jpg</t>
  </si>
  <si>
    <t>1534_C0013_2722.jpg</t>
  </si>
  <si>
    <t>1535_C0013_2717.jpg</t>
  </si>
  <si>
    <t>1536_C0013_2713.jpg</t>
  </si>
  <si>
    <t>1537_C0013_2710.jpg</t>
  </si>
  <si>
    <t>1538_C0013_2707.jpg</t>
  </si>
  <si>
    <t>1539_C0013_2702.jpg</t>
  </si>
  <si>
    <t>1540_C0013_2698.jpg</t>
  </si>
  <si>
    <t>1541_C0013_2696.jpg</t>
  </si>
  <si>
    <t>1542_C0013_2693.jpg</t>
  </si>
  <si>
    <t>1543_C0013_2689.jpg</t>
  </si>
  <si>
    <t>1544_C0013_2686.jpg</t>
  </si>
  <si>
    <t>1545_C0013_2683.jpg</t>
  </si>
  <si>
    <t>1547_C0013_2681.jpg</t>
  </si>
  <si>
    <t>1548_C0013_2680.jpg</t>
  </si>
  <si>
    <t>1549_C0013_2679.jpg</t>
  </si>
  <si>
    <t>1550_C0013_2677.jpg</t>
  </si>
  <si>
    <t>1551_C0013_2678.jpg</t>
  </si>
  <si>
    <t>1552_C0013_2675.jpg</t>
  </si>
  <si>
    <t>1553_C0013_2676.jpg</t>
  </si>
  <si>
    <t>1554_C0013_2673.jpg</t>
  </si>
  <si>
    <t>1557_C0013_2670.jpg</t>
  </si>
  <si>
    <t>1558_C0013_2669.jpg</t>
  </si>
  <si>
    <t>1561_C0013_2666.jpg</t>
  </si>
  <si>
    <t>1567_C0013_2665.jpg</t>
  </si>
  <si>
    <t>1732_C0013_2656.jpg</t>
  </si>
  <si>
    <t>1733_C0013_2655.jpg</t>
  </si>
  <si>
    <t>1737_C0013_2654.jpg</t>
  </si>
  <si>
    <t>1738_C0013_2653.jpg</t>
  </si>
  <si>
    <t>1739_C0013_2651.jpg</t>
  </si>
  <si>
    <t>1740_C0013_2643.jpg</t>
  </si>
  <si>
    <t>1741_C0013_2640.jpg</t>
  </si>
  <si>
    <t>1742_C0013_2636.jpg</t>
  </si>
  <si>
    <t>1743_C0013_2629.jpg</t>
  </si>
  <si>
    <t>1744_C0013_2626.jpg</t>
  </si>
  <si>
    <t>1745_C0013_2621.jpg</t>
  </si>
  <si>
    <t>1746_C0013_2617.jpg</t>
  </si>
  <si>
    <t>1747_C0013_2614.jpg</t>
  </si>
  <si>
    <t>1748_C0013_2609.jpg</t>
  </si>
  <si>
    <t>1749_C0013_2607.jpg</t>
  </si>
  <si>
    <t>1750_C0013_2602.jpg</t>
  </si>
  <si>
    <t>1751_C0013_2598.jpg</t>
  </si>
  <si>
    <t>1752_C0013_2593.jpg</t>
  </si>
  <si>
    <t>1753_C0013_2590.jpg</t>
  </si>
  <si>
    <t>1754_C0013_2587.jpg</t>
  </si>
  <si>
    <t>1755_C0013_2584.jpg</t>
  </si>
  <si>
    <t>1756_C0013_2578.jpg</t>
  </si>
  <si>
    <t>1757_C0013_2575.jpg</t>
  </si>
  <si>
    <t>1758_C0013_2572.jpg</t>
  </si>
  <si>
    <t>1759_C0013_2566.jpg</t>
  </si>
  <si>
    <t>1760_C0013_2564.jpg</t>
  </si>
  <si>
    <t>1761_C0013_2560.jpg</t>
  </si>
  <si>
    <t>1762_C0013_2556.jpg</t>
  </si>
  <si>
    <t>1763_C0013_2551.jpg</t>
  </si>
  <si>
    <t>1764_C0013_2546.jpg</t>
  </si>
  <si>
    <t>1765_C0013_2543.jpg</t>
  </si>
  <si>
    <t>1766_C0013_2538.jpg</t>
  </si>
  <si>
    <t>1767_C0013_2533.jpg</t>
  </si>
  <si>
    <t>1768_C0013_2529.jpg</t>
  </si>
  <si>
    <t>1769_C0013_2525.jpg</t>
  </si>
  <si>
    <t>1770_C0013_2522.jpg</t>
  </si>
  <si>
    <t>1771_C0013_2518.jpg</t>
  </si>
  <si>
    <t>1772_C0013_2516.jpg</t>
  </si>
  <si>
    <t>1773_C0013_2512.jpg</t>
  </si>
  <si>
    <t>1774_C0013_2509.jpg</t>
  </si>
  <si>
    <t>1775_C0013_2505.jpg</t>
  </si>
  <si>
    <t>1776_C0013_2502.jpg</t>
  </si>
  <si>
    <t>1777_C0013_2498.jpg</t>
  </si>
  <si>
    <t>1778_C0013_2494.jpg</t>
  </si>
  <si>
    <t>1779_C0013_2491.jpg</t>
  </si>
  <si>
    <t>1780_C0013_2487.jpg</t>
  </si>
  <si>
    <t>1781_C0013_2483.jpg</t>
  </si>
  <si>
    <t>1782_C0013_2479.jpg</t>
  </si>
  <si>
    <t>1783_C0013_2476.jpg</t>
  </si>
  <si>
    <t>1784_C0013_2473.jpg</t>
  </si>
  <si>
    <t>1785_C0013_2470.jpg</t>
  </si>
  <si>
    <t>1786_C0013_2467.jpg</t>
  </si>
  <si>
    <t>1787_C0013_2463.jpg</t>
  </si>
  <si>
    <t>1788_C0013_2460.jpg</t>
  </si>
  <si>
    <t>1789_C0013_2457.jpg</t>
  </si>
  <si>
    <t>1790_C0013_2453.jpg</t>
  </si>
  <si>
    <t>1791_C0013_2450.jpg</t>
  </si>
  <si>
    <t>1792_C0013_2446.jpg</t>
  </si>
  <si>
    <t>1793_C0013_2444.jpg</t>
  </si>
  <si>
    <t>1794_C0013_2440.jpg</t>
  </si>
  <si>
    <t>1795_C0013_2438.jpg</t>
  </si>
  <si>
    <t>1796_C0013_2435.jpg</t>
  </si>
  <si>
    <t>1797_C0013_2432.jpg</t>
  </si>
  <si>
    <t>1798_C0013_2429.jpg</t>
  </si>
  <si>
    <t>1799_C0013_2426.jpg</t>
  </si>
  <si>
    <t>1800_C0013_2423.jpg</t>
  </si>
  <si>
    <t>1801_C0013_2419.jpg</t>
  </si>
  <si>
    <t>1802_C0013_2417.jpg</t>
  </si>
  <si>
    <t>1803_C0013_2413.jpg</t>
  </si>
  <si>
    <t>1804_C0013_2410.jpg</t>
  </si>
  <si>
    <t>1805_C0013_2407.jpg</t>
  </si>
  <si>
    <t>1806_C0013_2403.jpg</t>
  </si>
  <si>
    <t>1807_C0013_2400.jpg</t>
  </si>
  <si>
    <t>1808_C0013_2397.jpg</t>
  </si>
  <si>
    <t>1809_C0013_2393.jpg</t>
  </si>
  <si>
    <t>1810_C0013_2389.jpg</t>
  </si>
  <si>
    <t>1811_C0013_2387.jpg</t>
  </si>
  <si>
    <t>1812_C0013_2383.jpg</t>
  </si>
  <si>
    <t>1813_C0013_2380.jpg</t>
  </si>
  <si>
    <t>1814_C0013_2378.jpg</t>
  </si>
  <si>
    <t>1815_C0013_2375.jpg</t>
  </si>
  <si>
    <t>1816_C0013_2372.jpg</t>
  </si>
  <si>
    <t>1817_C0013_2370.jpg</t>
  </si>
  <si>
    <t>1818_C0013_2368.jpg</t>
  </si>
  <si>
    <t>1819_C0013_2366.jpg</t>
  </si>
  <si>
    <t>1820_C0013_2364.jpg</t>
  </si>
  <si>
    <t>1821_C0013_2362.jpg</t>
  </si>
  <si>
    <t>1822_C0013_2359.jpg</t>
  </si>
  <si>
    <t>1823_C0013_2356.jpg</t>
  </si>
  <si>
    <t>1824_C0013_2353.jpg</t>
  </si>
  <si>
    <t>1825_C0013_2349.jpg</t>
  </si>
  <si>
    <t>1826_C0013_2345.jpg</t>
  </si>
  <si>
    <t>1827_C0013_2341.jpg</t>
  </si>
  <si>
    <t>1828_C0013_2339.jpg</t>
  </si>
  <si>
    <t>1829_C0013_2337.jpg</t>
  </si>
  <si>
    <t>1830_C0013_2335.jpg</t>
  </si>
  <si>
    <t>1831_C0013_2332.jpg</t>
  </si>
  <si>
    <t>1832_C0013_2330.jpg</t>
  </si>
  <si>
    <t>1833_C0013_2328.jpg</t>
  </si>
  <si>
    <t>1834_C0013_2325.jpg</t>
  </si>
  <si>
    <t>1835_C0013_2322.jpg</t>
  </si>
  <si>
    <t>1836_C0013_2319.jpg</t>
  </si>
  <si>
    <t>1837_C0013_2316.jpg</t>
  </si>
  <si>
    <t>1838_C0013_2314.jpg</t>
  </si>
  <si>
    <t>1839_C0013_2310.jpg</t>
  </si>
  <si>
    <t>1840_C0013_2307.jpg</t>
  </si>
  <si>
    <t>1841_C0013_2303.jpg</t>
  </si>
  <si>
    <t>1842_C0013_2301.jpg</t>
  </si>
  <si>
    <t>1843_C0013_2298.jpg</t>
  </si>
  <si>
    <t>1844_C0013_2295.jpg</t>
  </si>
  <si>
    <t>1845_C0013_2292.jpg</t>
  </si>
  <si>
    <t>1846_C0013_2288.jpg</t>
  </si>
  <si>
    <t>1847_C0013_2285.jpg</t>
  </si>
  <si>
    <t>1848_C0013_2280.jpg</t>
  </si>
  <si>
    <t>1849_C0013_2276.jpg</t>
  </si>
  <si>
    <t>1850_C0013_2273.jpg</t>
  </si>
  <si>
    <t>1851_C0013_2271.jpg</t>
  </si>
  <si>
    <t>1852_C0013_2268.jpg</t>
  </si>
  <si>
    <t>1853_C0013_2266.jpg</t>
  </si>
  <si>
    <t>1854_C0013_2263.jpg</t>
  </si>
  <si>
    <t>1855_C0013_2261.jpg</t>
  </si>
  <si>
    <t>1856_C0013_2258.jpg</t>
  </si>
  <si>
    <t>1857_C0013_2254.jpg</t>
  </si>
  <si>
    <t>1858_C0013_2252.jpg</t>
  </si>
  <si>
    <t>1859_C0013_2249.jpg</t>
  </si>
  <si>
    <t>1860_C0013_2246.jpg</t>
  </si>
  <si>
    <t>1861_C0013_2244.jpg</t>
  </si>
  <si>
    <t>1862_C0013_2241.jpg</t>
  </si>
  <si>
    <t>1863_C0013_2238.jpg</t>
  </si>
  <si>
    <t>1864_C0013_2234.jpg</t>
  </si>
  <si>
    <t>1865_C0013_2231.jpg</t>
  </si>
  <si>
    <t>1866_C0013_2228.jpg</t>
  </si>
  <si>
    <t>1867_C0013_2225.jpg</t>
  </si>
  <si>
    <t>1868_C0013_2222.jpg</t>
  </si>
  <si>
    <t>1869_C0013_2218.jpg</t>
  </si>
  <si>
    <t>1870_C0013_2216.jpg</t>
  </si>
  <si>
    <t>1871_C0013_2213.jpg</t>
  </si>
  <si>
    <t>1872_C0013_2210.jpg</t>
  </si>
  <si>
    <t>1873_C0013_2206.jpg</t>
  </si>
  <si>
    <t>1874_C0013_2204.jpg</t>
  </si>
  <si>
    <t>1875_C0013_2200.jpg</t>
  </si>
  <si>
    <t>1876_C0013_2196.jpg</t>
  </si>
  <si>
    <t>1877_C0013_2194.jpg</t>
  </si>
  <si>
    <t>1878_C0013_2191.jpg</t>
  </si>
  <si>
    <t>1879_C0013_2187.jpg</t>
  </si>
  <si>
    <t>1880_C0013_2184.jpg</t>
  </si>
  <si>
    <t>1881_C0013_2182.jpg</t>
  </si>
  <si>
    <t>1882_C0013_2179.jpg</t>
  </si>
  <si>
    <t>1883_C0013_2176.jpg</t>
  </si>
  <si>
    <t>1884_C0013_2173.jpg</t>
  </si>
  <si>
    <t>1885_C0013_2170.jpg</t>
  </si>
  <si>
    <t>1886_C0013_2168.jpg</t>
  </si>
  <si>
    <t>1887_C0013_2165.jpg</t>
  </si>
  <si>
    <t>1888_C0013_2161.jpg</t>
  </si>
  <si>
    <t>1889_C0013_2158.jpg</t>
  </si>
  <si>
    <t>1890_C0013_2154.jpg</t>
  </si>
  <si>
    <t>1891_C0013_2151.jpg</t>
  </si>
  <si>
    <t>1892_C0013_2148.jpg</t>
  </si>
  <si>
    <t>1893_C0013_2145.jpg</t>
  </si>
  <si>
    <t>1894_C0013_2143.jpg</t>
  </si>
  <si>
    <t>1895_C0013_2140.jpg</t>
  </si>
  <si>
    <t>1896_C0013_2137.jpg</t>
  </si>
  <si>
    <t>1897_C0013_2134.jpg</t>
  </si>
  <si>
    <t>1898_C0013_2132.jpg</t>
  </si>
  <si>
    <t>1899_C0013_2128.jpg</t>
  </si>
  <si>
    <t>1900_C0013_2125.jpg</t>
  </si>
  <si>
    <t>1901_C0013_2123.jpg</t>
  </si>
  <si>
    <t>1902_C0013_2119.jpg</t>
  </si>
  <si>
    <t>1903_C0013_2115.jpg</t>
  </si>
  <si>
    <t>1904_C0013_2112.jpg</t>
  </si>
  <si>
    <t>1905_C0013_2110.jpg</t>
  </si>
  <si>
    <t>1906_C0013_2105.jpg</t>
  </si>
  <si>
    <t>1907_C0013_2102.jpg</t>
  </si>
  <si>
    <t>1908_C0013_2098.jpg</t>
  </si>
  <si>
    <t>1909_C0013_2095.jpg</t>
  </si>
  <si>
    <t>1910_C0013_2093.jpg</t>
  </si>
  <si>
    <t>1911_C0013_2089.jpg</t>
  </si>
  <si>
    <t>1912_C0013_2086.jpg</t>
  </si>
  <si>
    <t>1913_C0013_2083.jpg</t>
  </si>
  <si>
    <t>1914_C0013_2079.jpg</t>
  </si>
  <si>
    <t>1915_C0013_2076.jpg</t>
  </si>
  <si>
    <t>1916_C0013_2074.jpg</t>
  </si>
  <si>
    <t>1917_C0013_2070.jpg</t>
  </si>
  <si>
    <t>1918_C0013_2068.jpg</t>
  </si>
  <si>
    <t>1919_C0013_2064.jpg</t>
  </si>
  <si>
    <t>1920_C0013_2062.jpg</t>
  </si>
  <si>
    <t>1921_C0013_2058.jpg</t>
  </si>
  <si>
    <t>1922_C0013_2055.jpg</t>
  </si>
  <si>
    <t>1923_C0013_2052.jpg</t>
  </si>
  <si>
    <t>1924_C0013_2049.jpg</t>
  </si>
  <si>
    <t>1925_C0013_2046.jpg</t>
  </si>
  <si>
    <t>1926_C0013_2042.jpg</t>
  </si>
  <si>
    <t>1927_C0013_2039.jpg</t>
  </si>
  <si>
    <t>1928_C0013_2036.jpg</t>
  </si>
  <si>
    <t>1929_C0013_2033.jpg</t>
  </si>
  <si>
    <t>1930_C0013_2030.jpg</t>
  </si>
  <si>
    <t>1931_C0013_2027.jpg</t>
  </si>
  <si>
    <t>1932_C0013_2024.jpg</t>
  </si>
  <si>
    <t>1933_C0013_2021.jpg</t>
  </si>
  <si>
    <t>1934_C0013_2018.jpg</t>
  </si>
  <si>
    <t>1935_C0013_2015.jpg</t>
  </si>
  <si>
    <t>1936_C0013_2012.jpg</t>
  </si>
  <si>
    <t>1937_C0013_2010.jpg</t>
  </si>
  <si>
    <t>1938_C0013_2006.jpg</t>
  </si>
  <si>
    <t>1939_C0013_2003.jpg</t>
  </si>
  <si>
    <t>1940_C0013_2000.jpg</t>
  </si>
  <si>
    <t>1941_C0013_1996.jpg</t>
  </si>
  <si>
    <t>1942_C0013_1993.jpg</t>
  </si>
  <si>
    <t>1943_C0013_1991.jpg</t>
  </si>
  <si>
    <t>1944_C0013_1987.jpg</t>
  </si>
  <si>
    <t>1945_C0013_1984.jpg</t>
  </si>
  <si>
    <t>1946_C0013_1981.jpg</t>
  </si>
  <si>
    <t>1947_C0013_1979.jpg</t>
  </si>
  <si>
    <t>1948_C0013_1975.jpg</t>
  </si>
  <si>
    <t>1949_C0013_1972.jpg</t>
  </si>
  <si>
    <t>1950_C0013_1969.jpg</t>
  </si>
  <si>
    <t>1951_C0013_1966.jpg</t>
  </si>
  <si>
    <t>1952_C0013_1962.jpg</t>
  </si>
  <si>
    <t>1953_C0013_1960.jpg</t>
  </si>
  <si>
    <t>1954_C0013_1957.jpg</t>
  </si>
  <si>
    <t>1955_C0013_1954.jpg</t>
  </si>
  <si>
    <t>1956_C0013_1950.jpg</t>
  </si>
  <si>
    <t>1957_C0013_1947.jpg</t>
  </si>
  <si>
    <t>1958_C0013_1944.jpg</t>
  </si>
  <si>
    <t>1959_C0013_1941.jpg</t>
  </si>
  <si>
    <t>1960_C0013_1939.jpg</t>
  </si>
  <si>
    <t>1961_C0013_1936.jpg</t>
  </si>
  <si>
    <t>1962_C0013_1933.jpg</t>
  </si>
  <si>
    <t>1963_C0013_1929.jpg</t>
  </si>
  <si>
    <t>1964_C0013_1925.jpg</t>
  </si>
  <si>
    <t>1965_C0013_1922.jpg</t>
  </si>
  <si>
    <t>1966_C0013_1919.jpg</t>
  </si>
  <si>
    <t>1967_C0013_1917.jpg</t>
  </si>
  <si>
    <t>1968_C0013_1914.jpg</t>
  </si>
  <si>
    <t>1969_C0013_1908.jpg</t>
  </si>
  <si>
    <t>1970_C0013_1902.jpg</t>
  </si>
  <si>
    <t>1971_C0013_1898.jpg</t>
  </si>
  <si>
    <t>1972_C0013_1894.jpg</t>
  </si>
  <si>
    <t>1973_C0013_1888.jpg</t>
  </si>
  <si>
    <t>1974_C0013_1884.jpg</t>
  </si>
  <si>
    <t>1975_C0013_1881.jpg</t>
  </si>
  <si>
    <t>1976_C0013_1877.jpg</t>
  </si>
  <si>
    <t>1977_C0013_1873.jpg</t>
  </si>
  <si>
    <t>1978_C0013_1870.jpg</t>
  </si>
  <si>
    <t>1979_C0013_1867.jpg</t>
  </si>
  <si>
    <t>1980_C0013_1864.jpg</t>
  </si>
  <si>
    <t>1981_C0013_1861.jpg</t>
  </si>
  <si>
    <t>1982_C0013_1858.jpg</t>
  </si>
  <si>
    <t>1983_C0013_1856.jpg</t>
  </si>
  <si>
    <t>1984_C0013_1852.jpg</t>
  </si>
  <si>
    <t>1985_C0013_1849.jpg</t>
  </si>
  <si>
    <t>1986_C0013_1845.jpg</t>
  </si>
  <si>
    <t>1987_C0013_1841.jpg</t>
  </si>
  <si>
    <t>1988_C0013_1838.jpg</t>
  </si>
  <si>
    <t>1989_C0013_1834.jpg</t>
  </si>
  <si>
    <t>1990_C0013_1832.jpg</t>
  </si>
  <si>
    <t>1991_C0013_1828.jpg</t>
  </si>
  <si>
    <t>1992_C0013_1824.jpg</t>
  </si>
  <si>
    <t>1993_C0013_1822.jpg</t>
  </si>
  <si>
    <t>1994_C0013_1818.jpg</t>
  </si>
  <si>
    <t>1995_C0013_1815.jpg</t>
  </si>
  <si>
    <t>1996_C0013_1812.jpg</t>
  </si>
  <si>
    <t>1997_C0013_1809.jpg</t>
  </si>
  <si>
    <t>1998_C0013_1805.jpg</t>
  </si>
  <si>
    <t>1999_C0013_1802.jpg</t>
  </si>
  <si>
    <t>2000_C0013_1798.jpg</t>
  </si>
  <si>
    <t>2001_C0013_1796.jpg</t>
  </si>
  <si>
    <t>2002_C0013_1793.jpg</t>
  </si>
  <si>
    <t>2003_C0013_1789.jpg</t>
  </si>
  <si>
    <t>2004_C0013_1787.jpg</t>
  </si>
  <si>
    <t>2005_C0013_1784.jpg</t>
  </si>
  <si>
    <t>2006_C0013_1782.jpg</t>
  </si>
  <si>
    <t>2007_C0013_1778.jpg</t>
  </si>
  <si>
    <t>2008_C0013_1774.jpg</t>
  </si>
  <si>
    <t>2009_C0013_1772.jpg</t>
  </si>
  <si>
    <t>2010_C0013_1768.jpg</t>
  </si>
  <si>
    <t>2011_C0013_1766.jpg</t>
  </si>
  <si>
    <t>2012_C0013_1763.jpg</t>
  </si>
  <si>
    <t>2013_C0013_1759.jpg</t>
  </si>
  <si>
    <t>2014_C0013_1756.jpg</t>
  </si>
  <si>
    <t>2015_C0013_1753.jpg</t>
  </si>
  <si>
    <t>2016_C0013_1750.jpg</t>
  </si>
  <si>
    <t>2017_C0013_1747.jpg</t>
  </si>
  <si>
    <t>2018_C0013_1744.jpg</t>
  </si>
  <si>
    <t>2019_C0013_1742.jpg</t>
  </si>
  <si>
    <t>2020_C0013_1739.jpg</t>
  </si>
  <si>
    <t>2021_C0013_1735.jpg</t>
  </si>
  <si>
    <t>2022_C0013_1733.jpg</t>
  </si>
  <si>
    <t>2023_C0013_1730.jpg</t>
  </si>
  <si>
    <t>2024_C0013_1727.jpg</t>
  </si>
  <si>
    <t>2025_C0013_1724.jpg</t>
  </si>
  <si>
    <t>2026_C0013_1721.jpg</t>
  </si>
  <si>
    <t>2027_C0013_1718.jpg</t>
  </si>
  <si>
    <t>2028_C0013_1715.jpg</t>
  </si>
  <si>
    <t>2029_C0013_1712.jpg</t>
  </si>
  <si>
    <t>2030_C0013_1706.jpg</t>
  </si>
  <si>
    <t>2031_C0013_1700.jpg</t>
  </si>
  <si>
    <t>2032_C0013_1696.jpg</t>
  </si>
  <si>
    <t>2033_C0013_1694.jpg</t>
  </si>
  <si>
    <t>2034_C0013_1692.jpg</t>
  </si>
  <si>
    <t>2035_C0013_1689.jpg</t>
  </si>
  <si>
    <t>2036_C0013_1687.jpg</t>
  </si>
  <si>
    <t>2037_C0013_1683.jpg</t>
  </si>
  <si>
    <t>2038_C0013_1680.jpg</t>
  </si>
  <si>
    <t>2039_C0013_1676.jpg</t>
  </si>
  <si>
    <t>2040_C0013_1673.jpg</t>
  </si>
  <si>
    <t>2041_C0013_1669.jpg</t>
  </si>
  <si>
    <t>2042_C0013_1665.jpg</t>
  </si>
  <si>
    <t>2043_C0013_1662.jpg</t>
  </si>
  <si>
    <t>2044_C0013_1657.jpg</t>
  </si>
  <si>
    <t>2045_C0013_1653.jpg</t>
  </si>
  <si>
    <t>2046_C0013_1650.jpg</t>
  </si>
  <si>
    <t>2047_C0013_1647.jpg</t>
  </si>
  <si>
    <t>2048_C0013_1644.jpg</t>
  </si>
  <si>
    <t>2049_C0013_1641.jpg</t>
  </si>
  <si>
    <t>2050_C0013_1636.jpg</t>
  </si>
  <si>
    <t>2051_C0013_1634.jpg</t>
  </si>
  <si>
    <t>2052_C0013_1631.jpg</t>
  </si>
  <si>
    <t>2053_C0013_1628.jpg</t>
  </si>
  <si>
    <t>2054_C0013_1625.jpg</t>
  </si>
  <si>
    <t>2055_C0013_1621.jpg</t>
  </si>
  <si>
    <t>2056_C0013_1618.jpg</t>
  </si>
  <si>
    <t>2057_C0013_1614.jpg</t>
  </si>
  <si>
    <t>2058_C0013_1612.jpg</t>
  </si>
  <si>
    <t>2059_C0013_1608.jpg</t>
  </si>
  <si>
    <t>2060_C0013_1604.jpg</t>
  </si>
  <si>
    <t>2061_C0013_1600.jpg</t>
  </si>
  <si>
    <t>2062_C0013_1598.jpg</t>
  </si>
  <si>
    <t>2063_C0013_1595.jpg</t>
  </si>
  <si>
    <t>2064_C0013_1592.jpg</t>
  </si>
  <si>
    <t>2065_C0013_1588.jpg</t>
  </si>
  <si>
    <t>2066_C0013_1585.jpg</t>
  </si>
  <si>
    <t>2067_C0013_1582.jpg</t>
  </si>
  <si>
    <t>2068_C0013_1578.jpg</t>
  </si>
  <si>
    <t>2069_C0013_1575.jpg</t>
  </si>
  <si>
    <t>2070_C0013_1572.jpg</t>
  </si>
  <si>
    <t>2071_C0013_1567.jpg</t>
  </si>
  <si>
    <t>2072_C0013_1565.jpg</t>
  </si>
  <si>
    <t>2073_C0013_1562.jpg</t>
  </si>
  <si>
    <t>2074_C0013_1558.jpg</t>
  </si>
  <si>
    <t>2075_C0013_1555.jpg</t>
  </si>
  <si>
    <t>2076_C0013_1551.jpg</t>
  </si>
  <si>
    <t>2077_C0013_1548.jpg</t>
  </si>
  <si>
    <t>2078_C0013_1546.jpg</t>
  </si>
  <si>
    <t>2079_C0013_1543.jpg</t>
  </si>
  <si>
    <t>2080_C0013_1540.jpg</t>
  </si>
  <si>
    <t>2081_C0013_1537.jpg</t>
  </si>
  <si>
    <t>2082_C0013_1533.jpg</t>
  </si>
  <si>
    <t>2083_C0013_1529.jpg</t>
  </si>
  <si>
    <t>2084_C0013_1526.jpg</t>
  </si>
  <si>
    <t>2085_C0013_1522.jpg</t>
  </si>
  <si>
    <t>2086_C0013_1518.jpg</t>
  </si>
  <si>
    <t>2087_C0013_1516.jpg</t>
  </si>
  <si>
    <t>2088_C0013_1512.jpg</t>
  </si>
  <si>
    <t>2089_C0013_1509.jpg</t>
  </si>
  <si>
    <t>2090_C0013_1507.jpg</t>
  </si>
  <si>
    <t>2091_C0013_1502.jpg</t>
  </si>
  <si>
    <t>2092_C0013_1499.jpg</t>
  </si>
  <si>
    <t>2093_C0013_1496.jpg</t>
  </si>
  <si>
    <t>2094_C0013_1493.jpg</t>
  </si>
  <si>
    <t>2095_C0013_1491.jpg</t>
  </si>
  <si>
    <t>2096_C0013_1487.jpg</t>
  </si>
  <si>
    <t>2097_C0013_1484.jpg</t>
  </si>
  <si>
    <t>2098_C0013_1482.jpg</t>
  </si>
  <si>
    <t>2099_C0013_1479.jpg</t>
  </si>
  <si>
    <t>2100_C0013_1475.jpg</t>
  </si>
  <si>
    <t>2101_C0013_1472.jpg</t>
  </si>
  <si>
    <t>2102_C0013_1469.jpg</t>
  </si>
  <si>
    <t>2103_C0013_1466.jpg</t>
  </si>
  <si>
    <t>2104_C0013_1463.jpg</t>
  </si>
  <si>
    <t>2105_C0013_1460.jpg</t>
  </si>
  <si>
    <t>2106_C0013_1458.jpg</t>
  </si>
  <si>
    <t>2107_C0013_1455.jpg</t>
  </si>
  <si>
    <t>2108_C0013_1452.jpg</t>
  </si>
  <si>
    <t>2109_C0013_1449.jpg</t>
  </si>
  <si>
    <t>2110_C0013_1447.jpg</t>
  </si>
  <si>
    <t>2111_C0013_1444.jpg</t>
  </si>
  <si>
    <t>2112_C0013_1441.jpg</t>
  </si>
  <si>
    <t>2113_C0013_1439.jpg</t>
  </si>
  <si>
    <t>2114_C0013_1435.jpg</t>
  </si>
  <si>
    <t>2115_C0013_1433.jpg</t>
  </si>
  <si>
    <t>2116_C0013_1430.jpg</t>
  </si>
  <si>
    <t>2117_C0013_1427.jpg</t>
  </si>
  <si>
    <t>2118_C0013_1424.jpg</t>
  </si>
  <si>
    <t>2119_C0013_1421.jpg</t>
  </si>
  <si>
    <t>2120_C0013_1418.jpg</t>
  </si>
  <si>
    <t>2121_C0013_1415.jpg</t>
  </si>
  <si>
    <t>2122_C0013_1412.jpg</t>
  </si>
  <si>
    <t>2123_C0013_1409.jpg</t>
  </si>
  <si>
    <t>2124_C0013_1406.jpg</t>
  </si>
  <si>
    <t>2125_C0013_1403.jpg</t>
  </si>
  <si>
    <t>2126_C0013_1400.jpg</t>
  </si>
  <si>
    <t>2127_C0013_1397.jpg</t>
  </si>
  <si>
    <t>2128_C0013_1395.jpg</t>
  </si>
  <si>
    <t>2129_C0013_1392.jpg</t>
  </si>
  <si>
    <t>2130_C0013_1388.jpg</t>
  </si>
  <si>
    <t>2131_C0013_1385.jpg</t>
  </si>
  <si>
    <t>2132_C0013_1382.jpg</t>
  </si>
  <si>
    <t>2133_C0013_1379.jpg</t>
  </si>
  <si>
    <t>2134_C0013_1377.jpg</t>
  </si>
  <si>
    <t>2135_C0013_1374.jpg</t>
  </si>
  <si>
    <t>2136_C0013_1371.jpg</t>
  </si>
  <si>
    <t>2137_C0013_1368.jpg</t>
  </si>
  <si>
    <t>2138_C0013_1366.jpg</t>
  </si>
  <si>
    <t>2139_C0013_1363.jpg</t>
  </si>
  <si>
    <t>2140_C0013_1360.jpg</t>
  </si>
  <si>
    <t>2141_C0013_1357.jpg</t>
  </si>
  <si>
    <t>2142_C0013_1354.jpg</t>
  </si>
  <si>
    <t>2143_C0013_1351.jpg</t>
  </si>
  <si>
    <t>2144_C0013_1348.jpg</t>
  </si>
  <si>
    <t>2145_C0013_1345.jpg</t>
  </si>
  <si>
    <t>2146_C0013_1341.jpg</t>
  </si>
  <si>
    <t>2147_C0013_1338.jpg</t>
  </si>
  <si>
    <t>2148_C0013_1335.jpg</t>
  </si>
  <si>
    <t>2149_C0013_1332.jpg</t>
  </si>
  <si>
    <t>2150_C0013_1328.jpg</t>
  </si>
  <si>
    <t>2151_C0013_1326.jpg</t>
  </si>
  <si>
    <t>2152_C0013_1323.jpg</t>
  </si>
  <si>
    <t>2153_C0013_1320.jpg</t>
  </si>
  <si>
    <t>2154_C0013_1317.jpg</t>
  </si>
  <si>
    <t>2155_C0013_1314.jpg</t>
  </si>
  <si>
    <t>2156_C0013_1311.jpg</t>
  </si>
  <si>
    <t>2157_C0013_1309.jpg</t>
  </si>
  <si>
    <t>2158_C0013_1306.jpg</t>
  </si>
  <si>
    <t>2159_C0013_1303.jpg</t>
  </si>
  <si>
    <t>2160_C0013_1300.jpg</t>
  </si>
  <si>
    <t>2161_C0013_1297.jpg</t>
  </si>
  <si>
    <t>2162_C0013_1294.jpg</t>
  </si>
  <si>
    <t>2163_C0013_1291.jpg</t>
  </si>
  <si>
    <t>2164_C0013_1288.jpg</t>
  </si>
  <si>
    <t>2165_C0013_1285.jpg</t>
  </si>
  <si>
    <t>2166_C0013_1282.jpg</t>
  </si>
  <si>
    <t>2167_C0013_1279.jpg</t>
  </si>
  <si>
    <t>2168_C0013_1276.jpg</t>
  </si>
  <si>
    <t>2169_C0013_1273.jpg</t>
  </si>
  <si>
    <t>2170_C0013_1270.jpg</t>
  </si>
  <si>
    <t>2171_C0013_1266.jpg</t>
  </si>
  <si>
    <t>2172_C0013_1263.jpg</t>
  </si>
  <si>
    <t>2173_C0013_1260.jpg</t>
  </si>
  <si>
    <t>2174_C0013_1257.jpg</t>
  </si>
  <si>
    <t>2175_C0013_1254.jpg</t>
  </si>
  <si>
    <t>2176_C0013_1252.jpg</t>
  </si>
  <si>
    <t>2177_C0013_1249.jpg</t>
  </si>
  <si>
    <t>2178_C0013_1246.jpg</t>
  </si>
  <si>
    <t>2179_C0013_1243.jpg</t>
  </si>
  <si>
    <t>2180_C0013_1240.jpg</t>
  </si>
  <si>
    <t>2181_C0013_1237.jpg</t>
  </si>
  <si>
    <t>2182_C0013_1234.jpg</t>
  </si>
  <si>
    <t>2183_C0013_1231.jpg</t>
  </si>
  <si>
    <t>2184_C0013_1227.jpg</t>
  </si>
  <si>
    <t>2185_C0013_1223.jpg</t>
  </si>
  <si>
    <t>2186_C0013_1220.jpg</t>
  </si>
  <si>
    <t>2187_C0013_1218.jpg</t>
  </si>
  <si>
    <t>2188_C0013_1215.jpg</t>
  </si>
  <si>
    <t>2189_C0013_1212.jpg</t>
  </si>
  <si>
    <t>2190_C0013_1210.jpg</t>
  </si>
  <si>
    <t>2191_C0013_1207.jpg</t>
  </si>
  <si>
    <t>2192_C0013_1204.jpg</t>
  </si>
  <si>
    <t>2193_C0013_1200.jpg</t>
  </si>
  <si>
    <t>2194_C0013_1198.jpg</t>
  </si>
  <si>
    <t>2195_C0013_1195.jpg</t>
  </si>
  <si>
    <t>2196_C0013_1192.jpg</t>
  </si>
  <si>
    <t>2197_C0013_1188.jpg</t>
  </si>
  <si>
    <t>2198_C0013_1185.jpg</t>
  </si>
  <si>
    <t>2199_C0013_1182.jpg</t>
  </si>
  <si>
    <t>2200_C0013_1178.jpg</t>
  </si>
  <si>
    <t>2201_C0013_1176.jpg</t>
  </si>
  <si>
    <t>2202_C0013_1173.jpg</t>
  </si>
  <si>
    <t>2203_C0013_1170.jpg</t>
  </si>
  <si>
    <t>2204_C0013_1167.jpg</t>
  </si>
  <si>
    <t>2205_C0013_1164.jpg</t>
  </si>
  <si>
    <t>2206_C0013_1160.jpg</t>
  </si>
  <si>
    <t>2207_C0013_1157.jpg</t>
  </si>
  <si>
    <t>2208_C0013_1154.jpg</t>
  </si>
  <si>
    <t>2209_C0013_1151.jpg</t>
  </si>
  <si>
    <t>2210_C0013_1148.jpg</t>
  </si>
  <si>
    <t>2211_C0013_1145.jpg</t>
  </si>
  <si>
    <t>2212_C0013_1142.jpg</t>
  </si>
  <si>
    <t>2213_C0013_1139.jpg</t>
  </si>
  <si>
    <t>2214_C0013_1136.jpg</t>
  </si>
  <si>
    <t>2215_C0013_1131.jpg</t>
  </si>
  <si>
    <t>2216_C0013_1126.jpg</t>
  </si>
  <si>
    <t>2217_C0013_1122.jpg</t>
  </si>
  <si>
    <t>2218_C0013_1118.jpg</t>
  </si>
  <si>
    <t>2219_C0013_1113.jpg</t>
  </si>
  <si>
    <t>2220_C0013_1110.jpg</t>
  </si>
  <si>
    <t>2221_C0013_1104.jpg</t>
  </si>
  <si>
    <t>2222_C0013_1098.jpg</t>
  </si>
  <si>
    <t>2223_C0013_1094.jpg</t>
  </si>
  <si>
    <t>2224_C0013_1090.jpg</t>
  </si>
  <si>
    <t>2225_C0013_1085.jpg</t>
  </si>
  <si>
    <t>2226_C0013_1082.jpg</t>
  </si>
  <si>
    <t>2227_C0013_1078.jpg</t>
  </si>
  <si>
    <t>2228_C0013_1075.jpg</t>
  </si>
  <si>
    <t>2229_C0013_1072.jpg</t>
  </si>
  <si>
    <t>2230_C0013_1069.jpg</t>
  </si>
  <si>
    <t>2231_C0013_1066.jpg</t>
  </si>
  <si>
    <t>2232_C0013_1061.jpg</t>
  </si>
  <si>
    <t>2233_C0013_1058.jpg</t>
  </si>
  <si>
    <t>2234_C0013_1054.jpg</t>
  </si>
  <si>
    <t>2235_C0013_1051.jpg</t>
  </si>
  <si>
    <t>2236_C0013_1047.jpg</t>
  </si>
  <si>
    <t>2237_C0013_1045.jpg</t>
  </si>
  <si>
    <t>2238_C0013_1041.jpg</t>
  </si>
  <si>
    <t>2239_C0013_1037.jpg</t>
  </si>
  <si>
    <t>2240_C0013_1034.jpg</t>
  </si>
  <si>
    <t>2241_C0013_1030.jpg</t>
  </si>
  <si>
    <t>2242_C0013_1027.jpg</t>
  </si>
  <si>
    <t>2243_C0013_1024.jpg</t>
  </si>
  <si>
    <t>2244_C0013_1021.jpg</t>
  </si>
  <si>
    <t>2245_C0013_1018.jpg</t>
  </si>
  <si>
    <t>2246_C0013_1015.jpg</t>
  </si>
  <si>
    <t>2247_C0013_1012.jpg</t>
  </si>
  <si>
    <t>2248_C0013_1009.jpg</t>
  </si>
  <si>
    <t>2249_C0013_1006.jpg</t>
  </si>
  <si>
    <t>2250_C0013_1003.jpg</t>
  </si>
  <si>
    <t>2251_C0013_1000.jpg</t>
  </si>
  <si>
    <t>2252_C0013_0996.jpg</t>
  </si>
  <si>
    <t>2253_C0013_0993.jpg</t>
  </si>
  <si>
    <t>2254_C0013_0990.jpg</t>
  </si>
  <si>
    <t>2255_C0013_0987.jpg</t>
  </si>
  <si>
    <t>2256_C0013_0983.jpg</t>
  </si>
  <si>
    <t>2257_C0013_0980.jpg</t>
  </si>
  <si>
    <t>2258_C0013_0977.jpg</t>
  </si>
  <si>
    <t>2259_C0013_0974.jpg</t>
  </si>
  <si>
    <t>2260_C0013_0971.jpg</t>
  </si>
  <si>
    <t>2261_C0013_0968.jpg</t>
  </si>
  <si>
    <t>2262_C0013_0965.jpg</t>
  </si>
  <si>
    <t>2263_C0013_0962.jpg</t>
  </si>
  <si>
    <t>2264_C0013_0959.jpg</t>
  </si>
  <si>
    <t>2265_C0013_0956.jpg</t>
  </si>
  <si>
    <t>2266_C0013_0953.jpg</t>
  </si>
  <si>
    <t>2267_C0013_0950.jpg</t>
  </si>
  <si>
    <t>2268_C0013_0946.jpg</t>
  </si>
  <si>
    <t>2269_C0013_0943.jpg</t>
  </si>
  <si>
    <t>2270_C0013_0940.jpg</t>
  </si>
  <si>
    <t>2271_C0013_0936.jpg</t>
  </si>
  <si>
    <t>2272_C0013_0933.jpg</t>
  </si>
  <si>
    <t>2273_C0013_0930.jpg</t>
  </si>
  <si>
    <t>2274_C0013_0926.jpg</t>
  </si>
  <si>
    <t>2275_C0013_0923.jpg</t>
  </si>
  <si>
    <t>2276_C0013_0920.jpg</t>
  </si>
  <si>
    <t>2277_C0013_0918.jpg</t>
  </si>
  <si>
    <t>2278_C0013_0915.jpg</t>
  </si>
  <si>
    <t>2279_C0013_0912.jpg</t>
  </si>
  <si>
    <t>2280_C0013_0910.jpg</t>
  </si>
  <si>
    <t>2281_C0013_0907.jpg</t>
  </si>
  <si>
    <t>2282_C0013_0904.jpg</t>
  </si>
  <si>
    <t>2283_C0013_0901.jpg</t>
  </si>
  <si>
    <t>2284_C0013_0898.jpg</t>
  </si>
  <si>
    <t>2285_C0013_0895.jpg</t>
  </si>
  <si>
    <t>2286_C0013_0892.jpg</t>
  </si>
  <si>
    <t>2287_C0013_0889.jpg</t>
  </si>
  <si>
    <t>2288_C0013_0886.jpg</t>
  </si>
  <si>
    <t>2289_C0013_0883.jpg</t>
  </si>
  <si>
    <t>2290_C0013_0880.jpg</t>
  </si>
  <si>
    <t>2291_C0013_0877.jpg</t>
  </si>
  <si>
    <t>2292_C0013_0873.jpg</t>
  </si>
  <si>
    <t>2293_C0013_0870.jpg</t>
  </si>
  <si>
    <t>2294_C0013_0867.jpg</t>
  </si>
  <si>
    <t>2295_C0013_0864.jpg</t>
  </si>
  <si>
    <t>2296_C0013_0861.jpg</t>
  </si>
  <si>
    <t>2297_C0013_0858.jpg</t>
  </si>
  <si>
    <t>2298_C0013_0856.jpg</t>
  </si>
  <si>
    <t>2299_C0013_0852.jpg</t>
  </si>
  <si>
    <t>2300_C0013_0849.jpg</t>
  </si>
  <si>
    <t>2301_C0013_0847.jpg</t>
  </si>
  <si>
    <t>2302_C0013_0844.jpg</t>
  </si>
  <si>
    <t>2303_C0013_0841.jpg</t>
  </si>
  <si>
    <t>2304_C0013_0838.jpg</t>
  </si>
  <si>
    <t>2305_C0013_0835.jpg</t>
  </si>
  <si>
    <t>2306_C0013_0832.jpg</t>
  </si>
  <si>
    <t>2307_C0013_0828.jpg</t>
  </si>
  <si>
    <t>2308_C0013_0825.jpg</t>
  </si>
  <si>
    <t>2309_C0013_0821.jpg</t>
  </si>
  <si>
    <t>2310_C0013_0818.jpg</t>
  </si>
  <si>
    <t>2311_C0013_0814.jpg</t>
  </si>
  <si>
    <t>2312_C0013_0810.jpg</t>
  </si>
  <si>
    <t>2313_C0013_0806.jpg</t>
  </si>
  <si>
    <t>2314_C0013_0802.jpg</t>
  </si>
  <si>
    <t>2315_C0013_0798.jpg</t>
  </si>
  <si>
    <t>2316_C0013_0795.jpg</t>
  </si>
  <si>
    <t>2317_C0013_0792.jpg</t>
  </si>
  <si>
    <t>2318_C0013_0788.jpg</t>
  </si>
  <si>
    <t>2319_C0013_0786.jpg</t>
  </si>
  <si>
    <t>2320_C0013_0782.jpg</t>
  </si>
  <si>
    <t>2321_C0013_0779.jpg</t>
  </si>
  <si>
    <t>2322_C0013_0775.jpg</t>
  </si>
  <si>
    <t>2323_C0013_0771.jpg</t>
  </si>
  <si>
    <t>2324_C0013_0768.jpg</t>
  </si>
  <si>
    <t>2325_C0013_0764.jpg</t>
  </si>
  <si>
    <t>2326_C0013_0760.jpg</t>
  </si>
  <si>
    <t>2327_C0013_0757.jpg</t>
  </si>
  <si>
    <t>2328_C0013_0754.jpg</t>
  </si>
  <si>
    <t>2329_C0013_0751.jpg</t>
  </si>
  <si>
    <t>2330_C0013_0749.jpg</t>
  </si>
  <si>
    <t>2331_C0013_0745.jpg</t>
  </si>
  <si>
    <t>2332_C0013_0743.jpg</t>
  </si>
  <si>
    <t>2333_C0013_0739.jpg</t>
  </si>
  <si>
    <t>2334_C0013_0736.jpg</t>
  </si>
  <si>
    <t>2335_C0013_0732.jpg</t>
  </si>
  <si>
    <t>2336_C0013_0729.jpg</t>
  </si>
  <si>
    <t>2337_C0013_0726.jpg</t>
  </si>
  <si>
    <t>2338_C0013_0723.jpg</t>
  </si>
  <si>
    <t>2339_C0013_0719.jpg</t>
  </si>
  <si>
    <t>2340_C0013_0716.jpg</t>
  </si>
  <si>
    <t>2341_C0013_0712.jpg</t>
  </si>
  <si>
    <t>2342_C0013_0709.jpg</t>
  </si>
  <si>
    <t>2343_C0013_0706.jpg</t>
  </si>
  <si>
    <t>2344_C0013_0702.jpg</t>
  </si>
  <si>
    <t>2345_C0013_0699.jpg</t>
  </si>
  <si>
    <t>2346_C0013_0696.jpg</t>
  </si>
  <si>
    <t>2347_C0013_0692.jpg</t>
  </si>
  <si>
    <t>2348_C0013_0689.jpg</t>
  </si>
  <si>
    <t>2349_C0013_0686.jpg</t>
  </si>
  <si>
    <t>2350_C0013_0683.jpg</t>
  </si>
  <si>
    <t>2351_C0013_0680.jpg</t>
  </si>
  <si>
    <t>2352_C0013_0677.jpg</t>
  </si>
  <si>
    <t>2353_C0013_0674.jpg</t>
  </si>
  <si>
    <t>2354_C0013_0671.jpg</t>
  </si>
  <si>
    <t>2355_C0013_0667.jpg</t>
  </si>
  <si>
    <t>2356_C0013_0665.jpg</t>
  </si>
  <si>
    <t>2357_C0013_0661.jpg</t>
  </si>
  <si>
    <t>2358_C0013_0658.jpg</t>
  </si>
  <si>
    <t>2359_C0013_0655.jpg</t>
  </si>
  <si>
    <t>2360_C0013_0652.jpg</t>
  </si>
  <si>
    <t>2361_C0013_0649.jpg</t>
  </si>
  <si>
    <t>2362_C0013_0646.jpg</t>
  </si>
  <si>
    <t>2363_C0013_0643.jpg</t>
  </si>
  <si>
    <t>2364_C0013_0640.jpg</t>
  </si>
  <si>
    <t>2365_C0013_0637.jpg</t>
  </si>
  <si>
    <t>2366_C0013_0635.jpg</t>
  </si>
  <si>
    <t>2367_C0013_0631.jpg</t>
  </si>
  <si>
    <t>2368_C0013_0628.jpg</t>
  </si>
  <si>
    <t>2369_C0013_0625.jpg</t>
  </si>
  <si>
    <t>2370_C0013_0622.jpg</t>
  </si>
  <si>
    <t>2371_C0013_0618.jpg</t>
  </si>
  <si>
    <t>2372_C0013_0615.jpg</t>
  </si>
  <si>
    <t>2373_C0013_0611.jpg</t>
  </si>
  <si>
    <t>2374_C0013_0607.jpg</t>
  </si>
  <si>
    <t>2375_C0013_0605.jpg</t>
  </si>
  <si>
    <t>2376_C0013_0602.jpg</t>
  </si>
  <si>
    <t>2377_C0013_0599.jpg</t>
  </si>
  <si>
    <t>2378_C0013_0596.jpg</t>
  </si>
  <si>
    <t>2379_C0013_0593.jpg</t>
  </si>
  <si>
    <t>2380_C0013_0589.jpg</t>
  </si>
  <si>
    <t>2381_C0013_0586.jpg</t>
  </si>
  <si>
    <t>2382_C0013_0583.jpg</t>
  </si>
  <si>
    <t>2383_C0013_0580.jpg</t>
  </si>
  <si>
    <t>2384_C0013_0577.jpg</t>
  </si>
  <si>
    <t>2385_C0013_0573.jpg</t>
  </si>
  <si>
    <t>2386_C0013_0571.jpg</t>
  </si>
  <si>
    <t>2387_C0013_0568.jpg</t>
  </si>
  <si>
    <t>2388_C0013_0565.jpg</t>
  </si>
  <si>
    <t>2389_C0013_0561.jpg</t>
  </si>
  <si>
    <t>2390_C0013_0558.jpg</t>
  </si>
  <si>
    <t>2391_C0013_0555.jpg</t>
  </si>
  <si>
    <t>2392_C0013_0552.jpg</t>
  </si>
  <si>
    <t>2393_C0013_0549.jpg</t>
  </si>
  <si>
    <t>2394_C0013_0546.jpg</t>
  </si>
  <si>
    <t>2395_C0013_0544.jpg</t>
  </si>
  <si>
    <t>2396_C0013_0541.jpg</t>
  </si>
  <si>
    <t>2397_C0013_0538.jpg</t>
  </si>
  <si>
    <t>2398_C0013_0536.jpg</t>
  </si>
  <si>
    <t>2399_C0013_0533.jpg</t>
  </si>
  <si>
    <t>2400_C0013_0530.jpg</t>
  </si>
  <si>
    <t>2401_C0013_0528.jpg</t>
  </si>
  <si>
    <t>2402_C0013_0524.jpg</t>
  </si>
  <si>
    <t>2403_C0013_0520.jpg</t>
  </si>
  <si>
    <t>2404_C0013_0516.jpg</t>
  </si>
  <si>
    <t>2405_C0013_0512.jpg</t>
  </si>
  <si>
    <t>2406_C0013_0509.jpg</t>
  </si>
  <si>
    <t>2407_C0013_0506.jpg</t>
  </si>
  <si>
    <t>2408_C0013_0503.jpg</t>
  </si>
  <si>
    <t>2409_C0013_0500.jpg</t>
  </si>
  <si>
    <t>2410_C0013_0497.jpg</t>
  </si>
  <si>
    <t>2411_C0013_0494.jpg</t>
  </si>
  <si>
    <t>2412_C0013_0491.jpg</t>
  </si>
  <si>
    <t>2413_C0013_0488.jpg</t>
  </si>
  <si>
    <t>2414_C0013_0485.jpg</t>
  </si>
  <si>
    <t>2415_C0013_0483.jpg</t>
  </si>
  <si>
    <t>2416_C0013_0481.jpg</t>
  </si>
  <si>
    <t>2417_C0013_0478.jpg</t>
  </si>
  <si>
    <t>2418_C0013_0475.jpg</t>
  </si>
  <si>
    <t>2419_C0013_0472.jpg</t>
  </si>
  <si>
    <t>2420_C0013_0469.jpg</t>
  </si>
  <si>
    <t>2421_C0013_0466.jpg</t>
  </si>
  <si>
    <t>2422_C0013_0463.jpg</t>
  </si>
  <si>
    <t>2423_C0013_0460.jpg</t>
  </si>
  <si>
    <t>2424_C0013_0458.jpg</t>
  </si>
  <si>
    <t>2425_C0013_0454.jpg</t>
  </si>
  <si>
    <t>2426_C0013_0451.jpg</t>
  </si>
  <si>
    <t>2427_C0013_0448.jpg</t>
  </si>
  <si>
    <t>2428_C0013_0445.jpg</t>
  </si>
  <si>
    <t>2429_C0013_0443.jpg</t>
  </si>
  <si>
    <t>2430_C0013_0440.jpg</t>
  </si>
  <si>
    <t>2431_C0013_0437.jpg</t>
  </si>
  <si>
    <t>2432_C0013_0433.jpg</t>
  </si>
  <si>
    <t>2433_C0013_0430.jpg</t>
  </si>
  <si>
    <t>2434_C0013_0428.jpg</t>
  </si>
  <si>
    <t>2435_C0013_0424.jpg</t>
  </si>
  <si>
    <t>2436_C0013_0422.jpg</t>
  </si>
  <si>
    <t>2437_C0013_0420.jpg</t>
  </si>
  <si>
    <t>2438_C0013_0417.jpg</t>
  </si>
  <si>
    <t>2439_C0013_0413.jpg</t>
  </si>
  <si>
    <t>2440_C0013_0410.jpg</t>
  </si>
  <si>
    <t>2441_C0013_0407.jpg</t>
  </si>
  <si>
    <t>2442_C0013_0404.jpg</t>
  </si>
  <si>
    <t>2443_C0013_0402.jpg</t>
  </si>
  <si>
    <t>2444_C0013_0399.jpg</t>
  </si>
  <si>
    <t>2445_C0013_0395.jpg</t>
  </si>
  <si>
    <t>2446_C0013_0391.jpg</t>
  </si>
  <si>
    <t>2447_C0013_0388.jpg</t>
  </si>
  <si>
    <t>2448_C0013_0385.jpg</t>
  </si>
  <si>
    <t>2449_C0013_0383.jpg</t>
  </si>
  <si>
    <t>2450_C0013_0380.jpg</t>
  </si>
  <si>
    <t>2451_C0013_0376.jpg</t>
  </si>
  <si>
    <t>2452_C0013_0373.jpg</t>
  </si>
  <si>
    <t>2453_C0013_0370.jpg</t>
  </si>
  <si>
    <t>2454_C0013_0367.jpg</t>
  </si>
  <si>
    <t>2455_C0013_0365.jpg</t>
  </si>
  <si>
    <t>2456_C0013_0361.jpg</t>
  </si>
  <si>
    <t>2457_C0013_0358.jpg</t>
  </si>
  <si>
    <t>2458_C0013_0355.jpg</t>
  </si>
  <si>
    <t>2459_C0013_0353.jpg</t>
  </si>
  <si>
    <t>2460_C0013_0350.jpg</t>
  </si>
  <si>
    <t>2461_C0013_0348.jpg</t>
  </si>
  <si>
    <t>2462_C0013_0345.jpg</t>
  </si>
  <si>
    <t>2463_C0013_0343.jpg</t>
  </si>
  <si>
    <t>2464_C0013_0340.jpg</t>
  </si>
  <si>
    <t>2465_C0013_0338.jpg</t>
  </si>
  <si>
    <t>2466_C0013_0334.jpg</t>
  </si>
  <si>
    <t>2467_C0013_0329.jpg</t>
  </si>
  <si>
    <t>2468_C0013_0325.jpg</t>
  </si>
  <si>
    <t>2469_C0013_0321.jpg</t>
  </si>
  <si>
    <t>2470_C0013_0318.jpg</t>
  </si>
  <si>
    <t>2471_C0013_0314.jpg</t>
  </si>
  <si>
    <t>2472_C0013_0310.jpg</t>
  </si>
  <si>
    <t>2473_C0013_0307.jpg</t>
  </si>
  <si>
    <t>2474_C0013_0304.jpg</t>
  </si>
  <si>
    <t>2475_C0013_0301.jpg</t>
  </si>
  <si>
    <t>2476_C0013_0298.jpg</t>
  </si>
  <si>
    <t>2477_C0013_0296.jpg</t>
  </si>
  <si>
    <t>2478_C0013_0293.jpg</t>
  </si>
  <si>
    <t>2479_C0013_0291.jpg</t>
  </si>
  <si>
    <t>2480_C0013_0290.jpg</t>
  </si>
  <si>
    <t>2481_C0013_0288.jpg</t>
  </si>
  <si>
    <t>2482_C0013_0286.jpg</t>
  </si>
  <si>
    <t>2483_C0013_0284.jpg</t>
  </si>
  <si>
    <t>2484_C0013_0283.jpg</t>
  </si>
  <si>
    <t>2485_C0013_0281.jpg</t>
  </si>
  <si>
    <t>2486_C0013_0280.jpg</t>
  </si>
  <si>
    <t>2487_C0013_0278.jpg</t>
  </si>
  <si>
    <t>2488_C0013_0275.jpg</t>
  </si>
  <si>
    <t>2489_C0013_0273.jpg</t>
  </si>
  <si>
    <t>2490_C0013_0271.jpg</t>
  </si>
  <si>
    <t>2491_C0013_0269.jpg</t>
  </si>
  <si>
    <t>2492_C0013_0266.jpg</t>
  </si>
  <si>
    <t>2493_C0013_0263.jpg</t>
  </si>
  <si>
    <t>2494_C0013_0261.jpg</t>
  </si>
  <si>
    <t>2495_C0013_0258.jpg</t>
  </si>
  <si>
    <t>2496_C0013_0255.jpg</t>
  </si>
  <si>
    <t>2497_C0013_0252.jpg</t>
  </si>
  <si>
    <t>2498_C0013_0249.jpg</t>
  </si>
  <si>
    <t>2499_C0013_0246.jpg</t>
  </si>
  <si>
    <t>2500_C0013_0243.jpg</t>
  </si>
  <si>
    <t>2501_C0013_0240.jpg</t>
  </si>
  <si>
    <t>2502_C0013_0237.jpg</t>
  </si>
  <si>
    <t>2503_C0013_0234.jpg</t>
  </si>
  <si>
    <t>2504_C0013_0231.jpg</t>
  </si>
  <si>
    <t>2505_C0013_0228.jpg</t>
  </si>
  <si>
    <t>2506_C0013_0225.jpg</t>
  </si>
  <si>
    <t>2507_C0013_0222.jpg</t>
  </si>
  <si>
    <t>2508_C0013_0219.jpg</t>
  </si>
  <si>
    <t>2509_C0013_0216.jpg</t>
  </si>
  <si>
    <t>2510_C0013_0213.jpg</t>
  </si>
  <si>
    <t>2511_C0013_0210.jpg</t>
  </si>
  <si>
    <t>2512_C0013_0207.jpg</t>
  </si>
  <si>
    <t>2513_C0013_0204.jpg</t>
  </si>
  <si>
    <t>2514_C0013_0201.jpg</t>
  </si>
  <si>
    <t>2515_C0013_0198.jpg</t>
  </si>
  <si>
    <t>2516_C0013_0195.jpg</t>
  </si>
  <si>
    <t>2517_C0013_0192.jpg</t>
  </si>
  <si>
    <t>2518_C0013_0189.jpg</t>
  </si>
  <si>
    <t>2519_C0013_0186.jpg</t>
  </si>
  <si>
    <t>2520_C0013_0183.jpg</t>
  </si>
  <si>
    <t>2521_C0013_0180.jpg</t>
  </si>
  <si>
    <t>2522_C0013_0177.jpg</t>
  </si>
  <si>
    <t>2523_C0013_0174.jpg</t>
  </si>
  <si>
    <t>2524_C0013_0171.jpg</t>
  </si>
  <si>
    <t>2525_C0013_0168.jpg</t>
  </si>
  <si>
    <t>2526_C0013_0165.jpg</t>
  </si>
  <si>
    <t>2527_C0013_0162.jpg</t>
  </si>
  <si>
    <t>2528_C0013_0159.jpg</t>
  </si>
  <si>
    <t>2529_C0013_0156.jpg</t>
  </si>
  <si>
    <t>2530_C0013_0153.jpg</t>
  </si>
  <si>
    <t>2531_C0013_0151.jpg</t>
  </si>
  <si>
    <t>2532_C0013_0147.jpg</t>
  </si>
  <si>
    <t>2533_C0013_0144.jpg</t>
  </si>
  <si>
    <t>2534_C0013_0141.jpg</t>
  </si>
  <si>
    <t>2535_C0013_0138.jpg</t>
  </si>
  <si>
    <t>2536_C0013_0135.jpg</t>
  </si>
  <si>
    <t>2537_C0013_0132.jpg</t>
  </si>
  <si>
    <t>2538_C0013_0129.jpg</t>
  </si>
  <si>
    <t>2539_C0013_0126.jpg</t>
  </si>
  <si>
    <t>2540_C0013_0123.jpg</t>
  </si>
  <si>
    <t>2541_C0013_0120.jpg</t>
  </si>
  <si>
    <t>2542_C0013_0117.jpg</t>
  </si>
  <si>
    <t>2543_C0013_0113.jpg</t>
  </si>
  <si>
    <t>2544_C0013_0110.jpg</t>
  </si>
  <si>
    <t>2545_C0013_0107.jpg</t>
  </si>
  <si>
    <t>2546_C0013_0104.jpg</t>
  </si>
  <si>
    <t>2547_C0013_0101.jpg</t>
  </si>
  <si>
    <t>2548_C0013_0097.jpg</t>
  </si>
  <si>
    <t>2549_C0013_0094.jpg</t>
  </si>
  <si>
    <t>2550_C0013_0090.jpg</t>
  </si>
  <si>
    <t>2551_C0013_0087.jpg</t>
  </si>
  <si>
    <t>2552_C0013_0084.jpg</t>
  </si>
  <si>
    <t>2553_C0013_0080.jpg</t>
  </si>
  <si>
    <t>2554_C0013_0077.jpg</t>
  </si>
  <si>
    <t>2555_C0013_0073.jpg</t>
  </si>
  <si>
    <t>2556_C0013_0070.jpg</t>
  </si>
  <si>
    <t>2557_C0013_0066.jpg</t>
  </si>
  <si>
    <t>2558_C0013_0063.jpg</t>
  </si>
  <si>
    <t>2559_C0013_0060.jpg</t>
  </si>
  <si>
    <t>2560_C0013_0057.jpg</t>
  </si>
  <si>
    <t>2561_C0013_0053.jpg</t>
  </si>
  <si>
    <t>2562_C0013_0050.jpg</t>
  </si>
  <si>
    <t>2563_C0013_0046.jpg</t>
  </si>
  <si>
    <t>2564_C0013_0043.jpg</t>
  </si>
  <si>
    <t>2565_C0013_0040.jpg</t>
  </si>
  <si>
    <t>2566_C0013_0037.jpg</t>
  </si>
  <si>
    <t>2567_C0013_0033.jpg</t>
  </si>
  <si>
    <t>2568_C0013_0030.jpg</t>
  </si>
  <si>
    <t>2569_C0013_0027.jpg</t>
  </si>
  <si>
    <t>2570_C0013_0023.jpg</t>
  </si>
  <si>
    <t>2571_C0013_0020.jpg</t>
  </si>
  <si>
    <t>2572_C0013_0015.jpg</t>
  </si>
  <si>
    <t>2573_C0013_0010.jpg</t>
  </si>
  <si>
    <t>2574_C0013_0005.jpg</t>
  </si>
  <si>
    <t>2575_C0012_0268.jpg</t>
  </si>
  <si>
    <t>2576_C0012_0263.jpg</t>
  </si>
  <si>
    <t>2577_C0012_0259.jpg</t>
  </si>
  <si>
    <t>2578_C0012_0253.jpg</t>
  </si>
  <si>
    <t>2579_C0012_0247.jpg</t>
  </si>
  <si>
    <t>2580_C0012_0241.jpg</t>
  </si>
  <si>
    <t>2581_C0012_0220.jpg</t>
  </si>
  <si>
    <t>2582_C0012_0218.jpg</t>
  </si>
  <si>
    <t>2583_C0012_0212.jpg</t>
  </si>
  <si>
    <t>2584_C0012_0209.jpg</t>
  </si>
  <si>
    <t>2585_C0012_0205.jpg</t>
  </si>
  <si>
    <t>2586_C0012_0202.jpg</t>
  </si>
  <si>
    <t>2587_C0012_0177.jpg</t>
  </si>
  <si>
    <t>2588_C0012_0162.jpg</t>
  </si>
  <si>
    <t>2589_C0012_0155.jpg</t>
  </si>
  <si>
    <t>2590_C0012_0152.jpg</t>
  </si>
  <si>
    <t>2591_C0012_0150.jpg</t>
  </si>
  <si>
    <t>2592_C0012_0149.jpg</t>
  </si>
  <si>
    <t>2593_C0012_0145.jpg</t>
  </si>
  <si>
    <t>2594_C0012_0139.jpg</t>
  </si>
  <si>
    <t>2595_C0012_0135.jpg</t>
  </si>
  <si>
    <t>2596_C0012_0133.jpg</t>
  </si>
  <si>
    <t>2597_C0012_0129.jpg</t>
  </si>
  <si>
    <t>2598_C0012_0124.jpg</t>
  </si>
  <si>
    <t>2599_C0012_0120.jpg</t>
  </si>
  <si>
    <t>2600_C0012_0117.jpg</t>
  </si>
  <si>
    <t>2601_C0012_0113.jpg</t>
  </si>
  <si>
    <t>2602_C0012_0111.jpg</t>
  </si>
  <si>
    <t>2603_C0012_0107.jpg</t>
  </si>
  <si>
    <t>2604_C0012_0105.jpg</t>
  </si>
  <si>
    <t>2605_C0012_0100.jpg</t>
  </si>
  <si>
    <t>2606_C0012_0097.jpg</t>
  </si>
  <si>
    <t>2607_C0012_0094.jpg</t>
  </si>
  <si>
    <t>2608_C0012_0090.jpg</t>
  </si>
  <si>
    <t>2609_C0012_0087.jpg</t>
  </si>
  <si>
    <t>2610_C0012_0083.jpg</t>
  </si>
  <si>
    <t>2611_C0012_0078.jpg</t>
  </si>
  <si>
    <t>2612_C0012_0075.jpg</t>
  </si>
  <si>
    <t>2613_C0012_0071.jpg</t>
  </si>
  <si>
    <t>2614_C0012_0067.jpg</t>
  </si>
  <si>
    <t>2615_C0012_0063.jpg</t>
  </si>
  <si>
    <t>2616_C0012_0059.jpg</t>
  </si>
  <si>
    <t>2617_C0012_0055.jpg</t>
  </si>
  <si>
    <t>2618_C0012_0051.jpg</t>
  </si>
  <si>
    <t>2619_C0012_0047.jpg</t>
  </si>
  <si>
    <t>2620_C0012_0042.jpg</t>
  </si>
  <si>
    <t>2621_C0012_0036.jpg</t>
  </si>
  <si>
    <t>2622_C0012_0033.jpg</t>
  </si>
  <si>
    <t>2623_C0012_0026.jpg</t>
  </si>
  <si>
    <t>2624_C0012_0023.jpg</t>
  </si>
  <si>
    <t>2625_C0012_0017.jpg</t>
  </si>
  <si>
    <t>2626_C0012_0002.jpg</t>
  </si>
  <si>
    <t>2627_C0012_0006.jpg</t>
  </si>
  <si>
    <t>3114_C0008_1545.jpg</t>
  </si>
  <si>
    <t>3115_C0008_1541.jpg</t>
  </si>
  <si>
    <t>3116_C0008_1538.jpg</t>
  </si>
  <si>
    <t>3117_C0008_1534.jpg</t>
  </si>
  <si>
    <t>3118_C0008_1530.jpg</t>
  </si>
  <si>
    <t>3119_C0008_1527.jpg</t>
  </si>
  <si>
    <t>3120_C0008_1523.jpg</t>
  </si>
  <si>
    <t>3121_C0008_1520.jpg</t>
  </si>
  <si>
    <t>3122_C0008_1516.jpg</t>
  </si>
  <si>
    <t>3123_C0008_1512.jpg</t>
  </si>
  <si>
    <t>3124_C0008_1509.jpg</t>
  </si>
  <si>
    <t>3125_C0008_1506.jpg</t>
  </si>
  <si>
    <t>3126_C0008_1503.jpg</t>
  </si>
  <si>
    <t>3127_C0008_1501.jpg</t>
  </si>
  <si>
    <t>3128_C0008_1497.jpg</t>
  </si>
  <si>
    <t>3129_C0008_1493.jpg</t>
  </si>
  <si>
    <t>3130_C0008_1490.jpg</t>
  </si>
  <si>
    <t>3131_C0008_1486.jpg</t>
  </si>
  <si>
    <t>3132_C0008_1483.jpg</t>
  </si>
  <si>
    <t>3133_C0008_1479.jpg</t>
  </si>
  <si>
    <t>3134_C0008_1475.jpg</t>
  </si>
  <si>
    <t>3135_C0008_1470.jpg</t>
  </si>
  <si>
    <t>3136_C0008_1466.jpg</t>
  </si>
  <si>
    <t>3137_C0008_1462.jpg</t>
  </si>
  <si>
    <t>3138_C0008_1458.jpg</t>
  </si>
  <si>
    <t>3139_C0008_1454.jpg</t>
  </si>
  <si>
    <t>3140_C0008_1451.jpg</t>
  </si>
  <si>
    <t>3141_C0008_1447.jpg</t>
  </si>
  <si>
    <t>3142_C0008_1444.jpg</t>
  </si>
  <si>
    <t>3143_C0008_1440.jpg</t>
  </si>
  <si>
    <t>3144_C0008_1437.jpg</t>
  </si>
  <si>
    <t>3145_C0008_1433.jpg</t>
  </si>
  <si>
    <t>3146_C0008_1430.jpg</t>
  </si>
  <si>
    <t>3147_C0008_1426.jpg</t>
  </si>
  <si>
    <t>3148_C0008_1423.jpg</t>
  </si>
  <si>
    <t>3149_C0008_1419.jpg</t>
  </si>
  <si>
    <t>3150_C0008_1416.jpg</t>
  </si>
  <si>
    <t>3151_C0008_1412.jpg</t>
  </si>
  <si>
    <t>3152_C0008_1409.jpg</t>
  </si>
  <si>
    <t>3153_C0008_1406.jpg</t>
  </si>
  <si>
    <t>3154_C0008_1403.jpg</t>
  </si>
  <si>
    <t>3155_C0008_1400.jpg</t>
  </si>
  <si>
    <t>3156_C0008_1397.jpg</t>
  </si>
  <si>
    <t>3157_C0008_1393.jpg</t>
  </si>
  <si>
    <t>3158_C0008_1389.jpg</t>
  </si>
  <si>
    <t>3159_C0008_1386.jpg</t>
  </si>
  <si>
    <t>3160_C0008_1383.jpg</t>
  </si>
  <si>
    <t>3161_C0008_1380.jpg</t>
  </si>
  <si>
    <t>3162_C0008_1377.jpg</t>
  </si>
  <si>
    <t>3163_C0008_1374.jpg</t>
  </si>
  <si>
    <t>3164_C0008_1371.jpg</t>
  </si>
  <si>
    <t>3165_C0008_1368.jpg</t>
  </si>
  <si>
    <t>3166_C0008_1364.jpg</t>
  </si>
  <si>
    <t>3167_C0008_1361.jpg</t>
  </si>
  <si>
    <t>3168_C0008_1358.jpg</t>
  </si>
  <si>
    <t>3169_C0008_1355.jpg</t>
  </si>
  <si>
    <t>3170_C0008_1352.jpg</t>
  </si>
  <si>
    <t>3171_C0008_1348.jpg</t>
  </si>
  <si>
    <t>3172_C0008_1345.jpg</t>
  </si>
  <si>
    <t>3173_C0008_1342.jpg</t>
  </si>
  <si>
    <t>3174_C0008_1339.jpg</t>
  </si>
  <si>
    <t>3175_C0008_1336.jpg</t>
  </si>
  <si>
    <t>3176_C0008_1333.jpg</t>
  </si>
  <si>
    <t>3177_C0008_1331.jpg</t>
  </si>
  <si>
    <t>3178_C0008_1328.jpg</t>
  </si>
  <si>
    <t>3179_C0008_1326.jpg</t>
  </si>
  <si>
    <t>3180_C0008_1323.jpg</t>
  </si>
  <si>
    <t>3181_C0008_1321.jpg</t>
  </si>
  <si>
    <t>3182_C0008_1318.jpg</t>
  </si>
  <si>
    <t>3183_C0008_1315.jpg</t>
  </si>
  <si>
    <t>3184_C0008_1312.jpg</t>
  </si>
  <si>
    <t>3185_C0008_1309.jpg</t>
  </si>
  <si>
    <t>3186_C0008_1306.jpg</t>
  </si>
  <si>
    <t>3187_C0008_1304.jpg</t>
  </si>
  <si>
    <t>3188_C0008_1301.jpg</t>
  </si>
  <si>
    <t>3189_C0008_1299.jpg</t>
  </si>
  <si>
    <t>3190_C0008_1296.jpg</t>
  </si>
  <si>
    <t>3191_C0008_1293.jpg</t>
  </si>
  <si>
    <t>3192_C0008_1290.jpg</t>
  </si>
  <si>
    <t>3193_C0008_1288.jpg</t>
  </si>
  <si>
    <t>3194_C0008_1286.jpg</t>
  </si>
  <si>
    <t>3195_C0008_1284.jpg</t>
  </si>
  <si>
    <t>3196_C0008_1282.jpg</t>
  </si>
  <si>
    <t>3197_C0008_1280.jpg</t>
  </si>
  <si>
    <t>3198_C0008_1279.jpg</t>
  </si>
  <si>
    <t>3199_C0008_1277.jpg</t>
  </si>
  <si>
    <t>3200_C0008_1275.jpg</t>
  </si>
  <si>
    <t>3201_C0008_1274.jpg</t>
  </si>
  <si>
    <t>3202_C0008_1273.jpg</t>
  </si>
  <si>
    <t>3240_C0008_1271.jpg</t>
  </si>
  <si>
    <t>3241_C0008_1269.jpg</t>
  </si>
  <si>
    <t>3242_C0008_1268.jpg</t>
  </si>
  <si>
    <t>3246_C0008_1267.jpg</t>
  </si>
  <si>
    <t>3247_C0008_1266.jpg</t>
  </si>
  <si>
    <t>3248_C0008_1265.jpg</t>
  </si>
  <si>
    <t>3249_C0008_1264.jpg</t>
  </si>
  <si>
    <t>3250_C0008_1262.jpg</t>
  </si>
  <si>
    <t>3251_C0008_1260.jpg</t>
  </si>
  <si>
    <t>3252_C0008_1257.jpg</t>
  </si>
  <si>
    <t>3253_C0008_1254.jpg</t>
  </si>
  <si>
    <t>3254_C0008_1251.jpg</t>
  </si>
  <si>
    <t>3255_C0008_1247.jpg</t>
  </si>
  <si>
    <t>3256_C0008_1244.jpg</t>
  </si>
  <si>
    <t>3257_C0008_1240.jpg</t>
  </si>
  <si>
    <t>3258_C0008_1237.jpg</t>
  </si>
  <si>
    <t>3259_C0008_1235.jpg</t>
  </si>
  <si>
    <t>3260_C0008_1232.jpg</t>
  </si>
  <si>
    <t>3261_C0008_1230.jpg</t>
  </si>
  <si>
    <t>3262_C0008_1228.jpg</t>
  </si>
  <si>
    <t>3263_C0008_1226.jpg</t>
  </si>
  <si>
    <t>3264_C0008_1223.jpg</t>
  </si>
  <si>
    <t>3265_C0008_1221.jpg</t>
  </si>
  <si>
    <t>3266_C0008_1218.jpg</t>
  </si>
  <si>
    <t>3267_C0008_1216.jpg</t>
  </si>
  <si>
    <t>3268_C0008_1213.jpg</t>
  </si>
  <si>
    <t>3269_C0008_1211.jpg</t>
  </si>
  <si>
    <t>3270_C0008_1210.jpg</t>
  </si>
  <si>
    <t>3271_C0008_1208.jpg</t>
  </si>
  <si>
    <t>3272_C0008_1206.jpg</t>
  </si>
  <si>
    <t>3273_C0008_1203.jpg</t>
  </si>
  <si>
    <t>3274_C0008_1200.jpg</t>
  </si>
  <si>
    <t>3275_C0008_1197.jpg</t>
  </si>
  <si>
    <t>3276_C0008_1193.jpg</t>
  </si>
  <si>
    <t>3277_C0008_1189.jpg</t>
  </si>
  <si>
    <t>3278_C0008_1186.jpg</t>
  </si>
  <si>
    <t>3279_C0008_1183.jpg</t>
  </si>
  <si>
    <t>3280_C0008_1180.jpg</t>
  </si>
  <si>
    <t>3281_C0008_1176.jpg</t>
  </si>
  <si>
    <t>3282_C0008_1173.jpg</t>
  </si>
  <si>
    <t>3283_C0008_1170.jpg</t>
  </si>
  <si>
    <t>3284_C0008_1167.jpg</t>
  </si>
  <si>
    <t>3285_C0008_1163.jpg</t>
  </si>
  <si>
    <t>3286_C0008_1160.jpg</t>
  </si>
  <si>
    <t>3287_C0008_1156.jpg</t>
  </si>
  <si>
    <t>3288_C0008_1153.jpg</t>
  </si>
  <si>
    <t>3289_C0008_1149.jpg</t>
  </si>
  <si>
    <t>3290_C0008_1147.jpg</t>
  </si>
  <si>
    <t>3291_C0008_1142.jpg</t>
  </si>
  <si>
    <t>3292_C0008_1140.jpg</t>
  </si>
  <si>
    <t>3293_C0008_1137.jpg</t>
  </si>
  <si>
    <t>3294_C0008_1134.jpg</t>
  </si>
  <si>
    <t>3295_C0008_1131.jpg</t>
  </si>
  <si>
    <t>3296_C0008_1127.jpg</t>
  </si>
  <si>
    <t>3297_C0008_1124.jpg</t>
  </si>
  <si>
    <t>3298_C0008_1121.jpg</t>
  </si>
  <si>
    <t>3299_C0008_1117.jpg</t>
  </si>
  <si>
    <t>3300_C0008_1114.jpg</t>
  </si>
  <si>
    <t>3301_C0008_1111.jpg</t>
  </si>
  <si>
    <t>3302_C0008_1107.jpg</t>
  </si>
  <si>
    <t>3303_C0008_1104.jpg</t>
  </si>
  <si>
    <t>3304_C0008_1100.jpg</t>
  </si>
  <si>
    <t>3305_C0008_1096.jpg</t>
  </si>
  <si>
    <t>3306_C0008_1093.jpg</t>
  </si>
  <si>
    <t>3307_C0008_1089.jpg</t>
  </si>
  <si>
    <t>3308_C0008_1085.jpg</t>
  </si>
  <si>
    <t>3309_C0008_1082.jpg</t>
  </si>
  <si>
    <t>3310_C0008_1079.jpg</t>
  </si>
  <si>
    <t>3311_C0008_1076.jpg</t>
  </si>
  <si>
    <t>3312_C0008_1073.jpg</t>
  </si>
  <si>
    <t>3313_C0008_1069.jpg</t>
  </si>
  <si>
    <t>3314_C0008_1066.jpg</t>
  </si>
  <si>
    <t>3315_C0008_1061.jpg</t>
  </si>
  <si>
    <t>3316_C0008_1058.jpg</t>
  </si>
  <si>
    <t>3317_C0008_1055.jpg</t>
  </si>
  <si>
    <t>3318_C0008_1051.jpg</t>
  </si>
  <si>
    <t>3319_C0008_1046.jpg</t>
  </si>
  <si>
    <t>3320_C0008_1043.jpg</t>
  </si>
  <si>
    <t>3321_C0008_1039.jpg</t>
  </si>
  <si>
    <t>3322_C0008_1035.jpg</t>
  </si>
  <si>
    <t>3323_C0008_1032.jpg</t>
  </si>
  <si>
    <t>3324_C0008_1028.jpg</t>
  </si>
  <si>
    <t>3325_C0008_1024.jpg</t>
  </si>
  <si>
    <t>3326_C0008_1020.jpg</t>
  </si>
  <si>
    <t>3327_C0008_1016.jpg</t>
  </si>
  <si>
    <t>3328_C0008_1013.jpg</t>
  </si>
  <si>
    <t>3329_C0008_1009.jpg</t>
  </si>
  <si>
    <t>3330_C0008_1005.jpg</t>
  </si>
  <si>
    <t>3331_C0008_1001.jpg</t>
  </si>
  <si>
    <t>3332_C0008_0998.jpg</t>
  </si>
  <si>
    <t>3333_C0008_0994.jpg</t>
  </si>
  <si>
    <t>3334_C0008_0992.jpg</t>
  </si>
  <si>
    <t>3335_C0008_0989.jpg</t>
  </si>
  <si>
    <t>3336_C0008_0985.jpg</t>
  </si>
  <si>
    <t>3337_C0008_0978.jpg</t>
  </si>
  <si>
    <t>3338_C0008_0973.jpg</t>
  </si>
  <si>
    <t>3339_C0008_0967.jpg</t>
  </si>
  <si>
    <t>3340_C0008_0960.jpg</t>
  </si>
  <si>
    <t>3341_C0008_0954.jpg</t>
  </si>
  <si>
    <t>3342_C0008_0951.jpg</t>
  </si>
  <si>
    <t>3343_C0008_0947.jpg</t>
  </si>
  <si>
    <t>3344_C0008_0943.jpg</t>
  </si>
  <si>
    <t>3345_C0008_0940.jpg</t>
  </si>
  <si>
    <t>3346_C0008_0937.jpg</t>
  </si>
  <si>
    <t>3347_C0008_0932.jpg</t>
  </si>
  <si>
    <t>3348_C0008_0930.jpg</t>
  </si>
  <si>
    <t>3349_C0008_0926.jpg</t>
  </si>
  <si>
    <t>3350_C0008_0922.jpg</t>
  </si>
  <si>
    <t>3351_C0008_0920.jpg</t>
  </si>
  <si>
    <t>3352_C0008_0917.jpg</t>
  </si>
  <si>
    <t>3353_C0008_0916.jpg</t>
  </si>
  <si>
    <t>3354_C0008_0911.jpg</t>
  </si>
  <si>
    <t>3355_C0008_0908.jpg</t>
  </si>
  <si>
    <t>3356_C0008_0905.jpg</t>
  </si>
  <si>
    <t>3357_C0008_0901.jpg</t>
  </si>
  <si>
    <t>3358_C0008_0897.jpg</t>
  </si>
  <si>
    <t>3359_C0008_0893.jpg</t>
  </si>
  <si>
    <t>3360_C0008_0890.jpg</t>
  </si>
  <si>
    <t>3361_C0008_0887.jpg</t>
  </si>
  <si>
    <t>3362_C0008_0883.jpg</t>
  </si>
  <si>
    <t>3363_C0008_0880.jpg</t>
  </si>
  <si>
    <t>3364_C0008_0877.jpg</t>
  </si>
  <si>
    <t>3365_C0008_0872.jpg</t>
  </si>
  <si>
    <t>3366_C0008_0869.jpg</t>
  </si>
  <si>
    <t>3367_C0008_0866.jpg</t>
  </si>
  <si>
    <t>3368_C0008_0862.jpg</t>
  </si>
  <si>
    <t>3369_C0008_0858.jpg</t>
  </si>
  <si>
    <t>3370_C0008_0855.jpg</t>
  </si>
  <si>
    <t>3371_C0008_0851.jpg</t>
  </si>
  <si>
    <t>3372_C0008_0848.jpg</t>
  </si>
  <si>
    <t>3373_C0008_0844.jpg</t>
  </si>
  <si>
    <t>3374_C0008_0840.jpg</t>
  </si>
  <si>
    <t>3375_C0008_0837.jpg</t>
  </si>
  <si>
    <t>3376_C0008_0832.jpg</t>
  </si>
  <si>
    <t>3377_C0008_0829.jpg</t>
  </si>
  <si>
    <t>3378_C0008_0825.jpg</t>
  </si>
  <si>
    <t>3379_C0008_0821.jpg</t>
  </si>
  <si>
    <t>3380_C0008_0818.jpg</t>
  </si>
  <si>
    <t>3381_C0008_0815.jpg</t>
  </si>
  <si>
    <t>3382_C0008_0811.jpg</t>
  </si>
  <si>
    <t>3383_C0008_0809.jpg</t>
  </si>
  <si>
    <t>3384_C0008_0805.jpg</t>
  </si>
  <si>
    <t>3385_C0008_0801.jpg</t>
  </si>
  <si>
    <t>3386_C0008_0797.jpg</t>
  </si>
  <si>
    <t>3387_C0008_0794.jpg</t>
  </si>
  <si>
    <t>3388_C0008_0789.jpg</t>
  </si>
  <si>
    <t>3389_C0008_0785.jpg</t>
  </si>
  <si>
    <t>3390_C0008_0781.jpg</t>
  </si>
  <si>
    <t>3391_C0008_0778.jpg</t>
  </si>
  <si>
    <t>3392_C0008_0774.jpg</t>
  </si>
  <si>
    <t>3393_C0008_0771.jpg</t>
  </si>
  <si>
    <t>3394_C0008_0767.jpg</t>
  </si>
  <si>
    <t>3395_C0008_0764.jpg</t>
  </si>
  <si>
    <t>3396_C0008_0761.jpg</t>
  </si>
  <si>
    <t>3397_C0008_0756.jpg</t>
  </si>
  <si>
    <t>3398_C0008_0753.jpg</t>
  </si>
  <si>
    <t>3399_C0008_0750.jpg</t>
  </si>
  <si>
    <t>3400_C0008_0746.jpg</t>
  </si>
  <si>
    <t>3401_C0008_0741.jpg</t>
  </si>
  <si>
    <t>3402_C0008_0738.jpg</t>
  </si>
  <si>
    <t>3403_C0008_0734.jpg</t>
  </si>
  <si>
    <t>3404_C0008_0730.jpg</t>
  </si>
  <si>
    <t>3405_C0008_0728.jpg</t>
  </si>
  <si>
    <t>3406_C0008_0723.jpg</t>
  </si>
  <si>
    <t>3407_C0008_0721.jpg</t>
  </si>
  <si>
    <t>3408_C0008_0717.jpg</t>
  </si>
  <si>
    <t>3409_C0008_0713.jpg</t>
  </si>
  <si>
    <t>3410_C0008_0709.jpg</t>
  </si>
  <si>
    <t>3411_C0008_0706.jpg</t>
  </si>
  <si>
    <t>3412_C0008_0702.jpg</t>
  </si>
  <si>
    <t>3413_C0008_0698.jpg</t>
  </si>
  <si>
    <t>3414_C0008_0695.jpg</t>
  </si>
  <si>
    <t>3415_C0008_0691.jpg</t>
  </si>
  <si>
    <t>3416_C0008_0688.jpg</t>
  </si>
  <si>
    <t>3417_C0008_0685.jpg</t>
  </si>
  <si>
    <t>3418_C0008_0681.jpg</t>
  </si>
  <si>
    <t>3419_C0008_0678.jpg</t>
  </si>
  <si>
    <t>3420_C0008_0674.jpg</t>
  </si>
  <si>
    <t>3421_C0008_0671.jpg</t>
  </si>
  <si>
    <t>3422_C0008_0668.jpg</t>
  </si>
  <si>
    <t>3423_C0008_0665.jpg</t>
  </si>
  <si>
    <t>3424_C0008_0661.jpg</t>
  </si>
  <si>
    <t>3425_C0008_0654.jpg</t>
  </si>
  <si>
    <t>3426_C0008_0651.jpg</t>
  </si>
  <si>
    <t>3427_C0008_0647.jpg</t>
  </si>
  <si>
    <t>3428_C0008_0644.jpg</t>
  </si>
  <si>
    <t>3429_C0008_0641.jpg</t>
  </si>
  <si>
    <t>3430_C0008_0638.jpg</t>
  </si>
  <si>
    <t>3431_C0008_0635.jpg</t>
  </si>
  <si>
    <t>3432_C0008_0631.jpg</t>
  </si>
  <si>
    <t>3433_C0008_0623.jpg</t>
  </si>
  <si>
    <t>3434_C0008_0620.jpg</t>
  </si>
  <si>
    <t>3435_C0008_0615.jpg</t>
  </si>
  <si>
    <t>3436_C0008_0611.jpg</t>
  </si>
  <si>
    <t>3437_C0008_0607.jpg</t>
  </si>
  <si>
    <t>3438_C0008_0603.jpg</t>
  </si>
  <si>
    <t>3439_C0008_0601.jpg</t>
  </si>
  <si>
    <t>3440_C0008_0596.jpg</t>
  </si>
  <si>
    <t>3441_C0008_0592.jpg</t>
  </si>
  <si>
    <t>3442_C0008_0588.jpg</t>
  </si>
  <si>
    <t>3443_C0008_0585.jpg</t>
  </si>
  <si>
    <t>3444_C0008_0581.jpg</t>
  </si>
  <si>
    <t>3445_C0008_0577.jpg</t>
  </si>
  <si>
    <t>3446_C0008_0574.jpg</t>
  </si>
  <si>
    <t>3447_C0008_0571.jpg</t>
  </si>
  <si>
    <t>3448_C0008_0567.jpg</t>
  </si>
  <si>
    <t>3449_C0008_0564.jpg</t>
  </si>
  <si>
    <t>3450_C0008_0561.jpg</t>
  </si>
  <si>
    <t>3451_C0008_0557.jpg</t>
  </si>
  <si>
    <t>3452_C0008_0554.jpg</t>
  </si>
  <si>
    <t>3453_C0008_0551.jpg</t>
  </si>
  <si>
    <t>3454_C0008_0547.jpg</t>
  </si>
  <si>
    <t>3455_C0008_0544.jpg</t>
  </si>
  <si>
    <t>3456_C0008_0541.jpg</t>
  </si>
  <si>
    <t>3457_C0008_0538.jpg</t>
  </si>
  <si>
    <t>3458_C0008_0535.jpg</t>
  </si>
  <si>
    <t>3459_C0008_0531.jpg</t>
  </si>
  <si>
    <t>3460_C0008_0528.jpg</t>
  </si>
  <si>
    <t>3461_C0008_0524.jpg</t>
  </si>
  <si>
    <t>3462_C0008_0521.jpg</t>
  </si>
  <si>
    <t>3463_C0008_0518.jpg</t>
  </si>
  <si>
    <t>3464_C0008_0515.jpg</t>
  </si>
  <si>
    <t>3465_C0008_0512.jpg</t>
  </si>
  <si>
    <t>3466_C0008_0509.jpg</t>
  </si>
  <si>
    <t>3467_C0008_0506.jpg</t>
  </si>
  <si>
    <t>3468_C0008_0503.jpg</t>
  </si>
  <si>
    <t>3469_C0008_0500.jpg</t>
  </si>
  <si>
    <t>3470_C0008_0495.jpg</t>
  </si>
  <si>
    <t>3471_C0008_0492.jpg</t>
  </si>
  <si>
    <t>3472_C0008_0488.jpg</t>
  </si>
  <si>
    <t>3473_C0008_0485.jpg</t>
  </si>
  <si>
    <t>3474_C0008_0482.jpg</t>
  </si>
  <si>
    <t>3475_C0008_0478.jpg</t>
  </si>
  <si>
    <t>3476_C0008_0474.jpg</t>
  </si>
  <si>
    <t>3477_C0008_0470.jpg</t>
  </si>
  <si>
    <t>3478_C0008_0467.jpg</t>
  </si>
  <si>
    <t>3479_C0008_0464.jpg</t>
  </si>
  <si>
    <t>3480_C0008_0461.jpg</t>
  </si>
  <si>
    <t>3481_C0008_0458.jpg</t>
  </si>
  <si>
    <t>3482_C0008_0454.jpg</t>
  </si>
  <si>
    <t>3483_C0008_0451.jpg</t>
  </si>
  <si>
    <t>3484_C0008_0447.jpg</t>
  </si>
  <si>
    <t>3485_C0008_0443.jpg</t>
  </si>
  <si>
    <t>3486_C0008_0441.jpg</t>
  </si>
  <si>
    <t>3487_C0008_0438.jpg</t>
  </si>
  <si>
    <t>3488_C0008_0436.jpg</t>
  </si>
  <si>
    <t>3489_C0008_0434.jpg</t>
  </si>
  <si>
    <t>3490_C0008_0431.jpg</t>
  </si>
  <si>
    <t>3491_C0008_0428.jpg</t>
  </si>
  <si>
    <t>3492_C0008_0427.jpg</t>
  </si>
  <si>
    <t>3493_C0008_0425.jpg</t>
  </si>
  <si>
    <t>3494_C0008_0422.jpg</t>
  </si>
  <si>
    <t>3495_C0008_0419.jpg</t>
  </si>
  <si>
    <t>3496_C0008_0417.jpg</t>
  </si>
  <si>
    <t>3497_C0008_0412.jpg</t>
  </si>
  <si>
    <t>3498_C0008_0409.jpg</t>
  </si>
  <si>
    <t>3499_C0008_0407.jpg</t>
  </si>
  <si>
    <t>3500_C0008_0404.jpg</t>
  </si>
  <si>
    <t>3501_C0008_0402.jpg</t>
  </si>
  <si>
    <t>3502_C0008_0398.jpg</t>
  </si>
  <si>
    <t>3503_C0008_0395.jpg</t>
  </si>
  <si>
    <t>3504_C0008_0392.jpg</t>
  </si>
  <si>
    <t>3505_C0008_0389.jpg</t>
  </si>
  <si>
    <t>3506_C0008_0386.jpg</t>
  </si>
  <si>
    <t>3507_C0008_0383.jpg</t>
  </si>
  <si>
    <t>3508_C0008_0380.jpg</t>
  </si>
  <si>
    <t>3509_C0008_0377.jpg</t>
  </si>
  <si>
    <t>3510_C0008_0374.jpg</t>
  </si>
  <si>
    <t>3511_C0008_0371.jpg</t>
  </si>
  <si>
    <t>3512_C0008_0367.jpg</t>
  </si>
  <si>
    <t>3513_C0008_0365.jpg</t>
  </si>
  <si>
    <t>3514_C0008_0361.jpg</t>
  </si>
  <si>
    <t>3515_C0008_0357.jpg</t>
  </si>
  <si>
    <t>3516_C0008_0353.jpg</t>
  </si>
  <si>
    <t>3517_C0008_0350.jpg</t>
  </si>
  <si>
    <t>3518_C0008_0346.jpg</t>
  </si>
  <si>
    <t>3519_C0008_0341.jpg</t>
  </si>
  <si>
    <t>3520_C0008_0337.jpg</t>
  </si>
  <si>
    <t>3521_C0008_0334.jpg</t>
  </si>
  <si>
    <t>3522_C0008_0330.jpg</t>
  </si>
  <si>
    <t>3523_C0008_0326.jpg</t>
  </si>
  <si>
    <t>3524_C0008_0323.jpg</t>
  </si>
  <si>
    <t>3525_C0008_0319.jpg</t>
  </si>
  <si>
    <t>3526_C0008_0316.jpg</t>
  </si>
  <si>
    <t>3527_C0008_0312.jpg</t>
  </si>
  <si>
    <t>3528_C0008_0309.jpg</t>
  </si>
  <si>
    <t>3529_C0008_0306.jpg</t>
  </si>
  <si>
    <t>3530_C0008_0303.jpg</t>
  </si>
  <si>
    <t>3531_C0008_0301.jpg</t>
  </si>
  <si>
    <t>3532_C0008_0297.jpg</t>
  </si>
  <si>
    <t>3533_C0008_0295.jpg</t>
  </si>
  <si>
    <t>3534_C0008_0292.jpg</t>
  </si>
  <si>
    <t>3535_C0008_0286.jpg</t>
  </si>
  <si>
    <t>3536_C0008_0283.jpg</t>
  </si>
  <si>
    <t>3537_C0008_0278.jpg</t>
  </si>
  <si>
    <t>3538_C0008_0275.jpg</t>
  </si>
  <si>
    <t>3539_C0008_0273.jpg</t>
  </si>
  <si>
    <t>3540_C0008_0269.jpg</t>
  </si>
  <si>
    <t>3541_C0008_0267.jpg</t>
  </si>
  <si>
    <t>3542_C0008_0263.jpg</t>
  </si>
  <si>
    <t>3543_C0008_0260.jpg</t>
  </si>
  <si>
    <t>3544_C0008_0257.jpg</t>
  </si>
  <si>
    <t>3545_C0008_0254.jpg</t>
  </si>
  <si>
    <t>3546_C0008_0251.jpg</t>
  </si>
  <si>
    <t>3547_C0008_0249.jpg</t>
  </si>
  <si>
    <t>3548_C0008_0246.jpg</t>
  </si>
  <si>
    <t>3549_C0008_0243.jpg</t>
  </si>
  <si>
    <t>3550_C0008_0240.jpg</t>
  </si>
  <si>
    <t>3551_C0008_0232.jpg</t>
  </si>
  <si>
    <t>3552_C0008_0228.jpg</t>
  </si>
  <si>
    <t>3553_C0008_0225.jpg</t>
  </si>
  <si>
    <t>3554_C0008_0222.jpg</t>
  </si>
  <si>
    <t>3555_C0008_0218.jpg</t>
  </si>
  <si>
    <t>3556_C0008_0216.jpg</t>
  </si>
  <si>
    <t>3557_C0008_0212.jpg</t>
  </si>
  <si>
    <t>3558_C0008_0208.jpg</t>
  </si>
  <si>
    <t>3559_C0008_0205.jpg</t>
  </si>
  <si>
    <t>3560_C0008_0201.jpg</t>
  </si>
  <si>
    <t>3561_C0008_0197.jpg</t>
  </si>
  <si>
    <t>3562_C0008_0194.jpg</t>
  </si>
  <si>
    <t>3563_C0008_0192.jpg</t>
  </si>
  <si>
    <t>3564_C0008_0188.jpg</t>
  </si>
  <si>
    <t>3565_C0008_0186.jpg</t>
  </si>
  <si>
    <t>3566_C0008_0183.jpg</t>
  </si>
  <si>
    <t>3567_C0008_0180.jpg</t>
  </si>
  <si>
    <t>3568_C0008_0177.jpg</t>
  </si>
  <si>
    <t>3569_C0008_0174.jpg</t>
  </si>
  <si>
    <t>3570_C0008_0170.jpg</t>
  </si>
  <si>
    <t>3571_C0008_0166.jpg</t>
  </si>
  <si>
    <t>3572_C0008_0163.jpg</t>
  </si>
  <si>
    <t>3573_C0008_0160.jpg</t>
  </si>
  <si>
    <t>3574_C0008_0157.jpg</t>
  </si>
  <si>
    <t>3575_C0008_0154.jpg</t>
  </si>
  <si>
    <t>3576_C0008_0151.jpg</t>
  </si>
  <si>
    <t>3577_C0008_0148.jpg</t>
  </si>
  <si>
    <t>3578_C0008_0145.jpg</t>
  </si>
  <si>
    <t>3579_C0008_0142.jpg</t>
  </si>
  <si>
    <t>3580_C0008_0138.jpg</t>
  </si>
  <si>
    <t>3581_C0008_0136.jpg</t>
  </si>
  <si>
    <t>3582_C0008_0133.jpg</t>
  </si>
  <si>
    <t>3583_C0008_0130.jpg</t>
  </si>
  <si>
    <t>3584_C0008_0128.jpg</t>
  </si>
  <si>
    <t>3585_C0008_0123.jpg</t>
  </si>
  <si>
    <t>3586_C0008_0120.jpg</t>
  </si>
  <si>
    <t>3587_C0008_0117.jpg</t>
  </si>
  <si>
    <t>3588_C0008_0113.jpg</t>
  </si>
  <si>
    <t>3589_C0008_0110.jpg</t>
  </si>
  <si>
    <t>3590_C0008_0108.jpg</t>
  </si>
  <si>
    <t>3591_C0008_0106.jpg</t>
  </si>
  <si>
    <t>3592_C0008_0103.jpg</t>
  </si>
  <si>
    <t>3593_C0008_0101.jpg</t>
  </si>
  <si>
    <t>3594_C0008_0099.jpg</t>
  </si>
  <si>
    <t>3595_C0008_0096.jpg</t>
  </si>
  <si>
    <t>3596_C0008_0093.jpg</t>
  </si>
  <si>
    <t>3597_C0008_0090.jpg</t>
  </si>
  <si>
    <t>3598_C0008_0086.jpg</t>
  </si>
  <si>
    <t>3599_C0008_0081.jpg</t>
  </si>
  <si>
    <t>3600_C0008_0079.jpg</t>
  </si>
  <si>
    <t>3601_C0008_0074.jpg</t>
  </si>
  <si>
    <t>3602_C0008_0070.jpg</t>
  </si>
  <si>
    <t>3603_C0008_0067.jpg</t>
  </si>
  <si>
    <t>3604_C0008_0063.jpg</t>
  </si>
  <si>
    <t>3605_C0008_0059.jpg</t>
  </si>
  <si>
    <t>3606_C0008_0056.jpg</t>
  </si>
  <si>
    <t>3607_C0008_0053.jpg</t>
  </si>
  <si>
    <t>3608_C0008_0049.jpg</t>
  </si>
  <si>
    <t>3609_C0008_0046.jpg</t>
  </si>
  <si>
    <t>3610_C0008_0042.jpg</t>
  </si>
  <si>
    <t>3611_C0008_0039.jpg</t>
  </si>
  <si>
    <t>3612_C0008_0035.jpg</t>
  </si>
  <si>
    <t>3613_C0008_0032.jpg</t>
  </si>
  <si>
    <t>3614_C0008_0029.jpg</t>
  </si>
  <si>
    <t>3615_C0008_0022.jpg</t>
  </si>
  <si>
    <t>3616_C0008_0011.jpg</t>
  </si>
  <si>
    <t>3815_C0005_3032.jpg</t>
  </si>
  <si>
    <t>3816_C0005_3030.jpg</t>
  </si>
  <si>
    <t>3817_C0005_3026.jpg</t>
  </si>
  <si>
    <t>3818_C0005_3022.jpg</t>
  </si>
  <si>
    <t>3819_C0005_3018.jpg</t>
  </si>
  <si>
    <t>3820_C0005_3014.jpg</t>
  </si>
  <si>
    <t>3821_C0005_3011.jpg</t>
  </si>
  <si>
    <t>3822_C0005_3007.jpg</t>
  </si>
  <si>
    <t>3823_C0005_3001.jpg</t>
  </si>
  <si>
    <t>3824_C0005_2996.jpg</t>
  </si>
  <si>
    <t>3825_C0005_2992.jpg</t>
  </si>
  <si>
    <t>3826_C0005_2987.jpg</t>
  </si>
  <si>
    <t>3827_C0005_2984.jpg</t>
  </si>
  <si>
    <t>3828_C0005_2980.jpg</t>
  </si>
  <si>
    <t>3829_C0005_2976.jpg</t>
  </si>
  <si>
    <t>3830_C0005_2974.jpg</t>
  </si>
  <si>
    <t>3831_C0005_2970.jpg</t>
  </si>
  <si>
    <t>3832_C0005_2967.jpg</t>
  </si>
  <si>
    <t>3833_C0005_2964.jpg</t>
  </si>
  <si>
    <t>3834_C0005_2961.jpg</t>
  </si>
  <si>
    <t>3835_C0005_2958.jpg</t>
  </si>
  <si>
    <t>3836_C0005_2955.jpg</t>
  </si>
  <si>
    <t>3837_C0005_2952.jpg</t>
  </si>
  <si>
    <t>3838_C0005_2949.jpg</t>
  </si>
  <si>
    <t>3839_C0005_2946.jpg</t>
  </si>
  <si>
    <t>3840_C0005_2941.jpg</t>
  </si>
  <si>
    <t>3841_C0005_2938.jpg</t>
  </si>
  <si>
    <t>3842_C0005_2934.jpg</t>
  </si>
  <si>
    <t>3843_C0005_2930.jpg</t>
  </si>
  <si>
    <t>3844_C0005_2927.jpg</t>
  </si>
  <si>
    <t>3845_C0005_2923.jpg</t>
  </si>
  <si>
    <t>3846_C0005_2920.jpg</t>
  </si>
  <si>
    <t>3847_C0005_2917.jpg</t>
  </si>
  <si>
    <t>3848_C0005_2913.jpg</t>
  </si>
  <si>
    <t>3849_C0005_2909.jpg</t>
  </si>
  <si>
    <t>3850_C0005_2906.jpg</t>
  </si>
  <si>
    <t>3851_C0005_2902.jpg</t>
  </si>
  <si>
    <t>3852_C0005_2899.jpg</t>
  </si>
  <si>
    <t>3853_C0005_2896.jpg</t>
  </si>
  <si>
    <t>3854_C0005_2893.jpg</t>
  </si>
  <si>
    <t>3855_C0005_2890.jpg</t>
  </si>
  <si>
    <t>3856_C0005_2886.jpg</t>
  </si>
  <si>
    <t>3857_C0005_2881.jpg</t>
  </si>
  <si>
    <t>3858_C0005_2878.jpg</t>
  </si>
  <si>
    <t>3859_C0005_2874.jpg</t>
  </si>
  <si>
    <t>3860_C0005_2870.jpg</t>
  </si>
  <si>
    <t>3861_C0005_2867.jpg</t>
  </si>
  <si>
    <t>3862_C0005_2862.jpg</t>
  </si>
  <si>
    <t>3863_C0005_2859.jpg</t>
  </si>
  <si>
    <t>3864_C0005_2856.jpg</t>
  </si>
  <si>
    <t>3865_C0005_2852.jpg</t>
  </si>
  <si>
    <t>3866_C0005_2849.jpg</t>
  </si>
  <si>
    <t>3867_C0005_2844.jpg</t>
  </si>
  <si>
    <t>3868_C0005_2841.jpg</t>
  </si>
  <si>
    <t>3869_C0005_2838.jpg</t>
  </si>
  <si>
    <t>3870_C0005_2834.jpg</t>
  </si>
  <si>
    <t>3871_C0005_2830.jpg</t>
  </si>
  <si>
    <t>3872_C0005_2826.jpg</t>
  </si>
  <si>
    <t>3873_C0005_2823.jpg</t>
  </si>
  <si>
    <t>3874_C0005_2820.jpg</t>
  </si>
  <si>
    <t>3875_C0005_2817.jpg</t>
  </si>
  <si>
    <t>3876_C0005_2815.jpg</t>
  </si>
  <si>
    <t>3877_C0005_2812.jpg</t>
  </si>
  <si>
    <t>3878_C0005_2809.jpg</t>
  </si>
  <si>
    <t>3879_C0005_2806.jpg</t>
  </si>
  <si>
    <t>3880_C0005_2804.jpg</t>
  </si>
  <si>
    <t>3881_C0005_2801.jpg</t>
  </si>
  <si>
    <t>3882_C0005_2798.jpg</t>
  </si>
  <si>
    <t>3883_C0005_2796.jpg</t>
  </si>
  <si>
    <t>3884_C0005_2792.jpg</t>
  </si>
  <si>
    <t>3885_C0005_2789.jpg</t>
  </si>
  <si>
    <t>3886_C0005_2785.jpg</t>
  </si>
  <si>
    <t>3887_C0005_2783.jpg</t>
  </si>
  <si>
    <t>3888_C0005_2780.jpg</t>
  </si>
  <si>
    <t>3889_C0005_2777.jpg</t>
  </si>
  <si>
    <t>3890_C0005_2774.jpg</t>
  </si>
  <si>
    <t>3891_C0005_2772.jpg</t>
  </si>
  <si>
    <t>3892_C0005_2768.jpg</t>
  </si>
  <si>
    <t>3893_C0005_2766.jpg</t>
  </si>
  <si>
    <t>3894_C0005_2762.jpg</t>
  </si>
  <si>
    <t>3895_C0005_2760.jpg</t>
  </si>
  <si>
    <t>3896_C0005_2756.jpg</t>
  </si>
  <si>
    <t>3897_C0005_2753.jpg</t>
  </si>
  <si>
    <t>3898_C0005_2749.jpg</t>
  </si>
  <si>
    <t>3899_C0005_2746.jpg</t>
  </si>
  <si>
    <t>3900_C0005_2742.jpg</t>
  </si>
  <si>
    <t>3901_C0005_2739.jpg</t>
  </si>
  <si>
    <t>3902_C0005_2736.jpg</t>
  </si>
  <si>
    <t>3903_C0005_2732.jpg</t>
  </si>
  <si>
    <t>3904_C0005_2730.jpg</t>
  </si>
  <si>
    <t>3905_C0005_2726.jpg</t>
  </si>
  <si>
    <t>3906_C0005_2722.jpg</t>
  </si>
  <si>
    <t>3907_C0005_2718.jpg</t>
  </si>
  <si>
    <t>3908_C0005_2714.jpg</t>
  </si>
  <si>
    <t>3909_C0005_2711.jpg</t>
  </si>
  <si>
    <t>3910_C0005_2707.jpg</t>
  </si>
  <si>
    <t>3911_C0005_2703.jpg</t>
  </si>
  <si>
    <t>3912_C0005_2699.jpg</t>
  </si>
  <si>
    <t>3913_C0005_2695.jpg</t>
  </si>
  <si>
    <t>3914_C0005_2691.jpg</t>
  </si>
  <si>
    <t>3915_C0005_2687.jpg</t>
  </si>
  <si>
    <t>3916_C0005_2683.jpg</t>
  </si>
  <si>
    <t>3917_C0005_2680.jpg</t>
  </si>
  <si>
    <t>3918_C0005_2676.jpg</t>
  </si>
  <si>
    <t>3919_C0005_2673.jpg</t>
  </si>
  <si>
    <t>3920_C0005_2669.jpg</t>
  </si>
  <si>
    <t>3921_C0005_2665.jpg</t>
  </si>
  <si>
    <t>3922_C0005_2662.jpg</t>
  </si>
  <si>
    <t>3923_C0005_2659.jpg</t>
  </si>
  <si>
    <t>3924_C0005_2655.jpg</t>
  </si>
  <si>
    <t>3925_C0005_2652.jpg</t>
  </si>
  <si>
    <t>3926_C0005_2648.jpg</t>
  </si>
  <si>
    <t>3927_C0005_2643.jpg</t>
  </si>
  <si>
    <t>3928_C0005_2639.jpg</t>
  </si>
  <si>
    <t>3929_C0005_2635.jpg</t>
  </si>
  <si>
    <t>3930_C0005_2630.jpg</t>
  </si>
  <si>
    <t>3931_C0005_2627.jpg</t>
  </si>
  <si>
    <t>3932_C0005_2623.jpg</t>
  </si>
  <si>
    <t>3933_C0005_2619.jpg</t>
  </si>
  <si>
    <t>3934_C0005_2616.jpg</t>
  </si>
  <si>
    <t>3935_C0005_2612.jpg</t>
  </si>
  <si>
    <t>3936_C0005_2608.jpg</t>
  </si>
  <si>
    <t>3937_C0005_2604.jpg</t>
  </si>
  <si>
    <t>3938_C0005_2599.jpg</t>
  </si>
  <si>
    <t>3939_C0005_2596.jpg</t>
  </si>
  <si>
    <t>3940_C0005_2592.jpg</t>
  </si>
  <si>
    <t>3941_C0005_2589.jpg</t>
  </si>
  <si>
    <t>3942_C0005_2585.jpg</t>
  </si>
  <si>
    <t>3943_C0005_2581.jpg</t>
  </si>
  <si>
    <t>3944_C0005_2577.jpg</t>
  </si>
  <si>
    <t>3945_C0005_2574.jpg</t>
  </si>
  <si>
    <t>3946_C0005_2571.jpg</t>
  </si>
  <si>
    <t>3947_C0005_2568.jpg</t>
  </si>
  <si>
    <t>3948_C0005_2564.jpg</t>
  </si>
  <si>
    <t>3949_C0005_2560.jpg</t>
  </si>
  <si>
    <t>3950_C0005_2556.jpg</t>
  </si>
  <si>
    <t>3951_C0005_2552.jpg</t>
  </si>
  <si>
    <t>3952_C0005_2550.jpg</t>
  </si>
  <si>
    <t>3953_C0005_2546.jpg</t>
  </si>
  <si>
    <t>3954_C0005_2543.jpg</t>
  </si>
  <si>
    <t>3955_C0005_2539.jpg</t>
  </si>
  <si>
    <t>3956_C0005_2537.jpg</t>
  </si>
  <si>
    <t>3957_C0005_2535.jpg</t>
  </si>
  <si>
    <t>3958_C0005_2531.jpg</t>
  </si>
  <si>
    <t>3959_C0005_2528.jpg</t>
  </si>
  <si>
    <t>3960_C0005_2524.jpg</t>
  </si>
  <si>
    <t>3961_C0005_2521.jpg</t>
  </si>
  <si>
    <t>3962_C0005_2518.jpg</t>
  </si>
  <si>
    <t>3963_C0005_2515.jpg</t>
  </si>
  <si>
    <t>3964_C0005_2510.jpg</t>
  </si>
  <si>
    <t>3965_C0005_2506.jpg</t>
  </si>
  <si>
    <t>3966_C0005_2502.jpg</t>
  </si>
  <si>
    <t>3967_C0005_2498.jpg</t>
  </si>
  <si>
    <t>3968_C0005_2494.jpg</t>
  </si>
  <si>
    <t>3969_C0005_2491.jpg</t>
  </si>
  <si>
    <t>3970_C0005_2487.jpg</t>
  </si>
  <si>
    <t>3971_C0005_2484.jpg</t>
  </si>
  <si>
    <t>3972_C0005_2481.jpg</t>
  </si>
  <si>
    <t>3973_C0005_2478.jpg</t>
  </si>
  <si>
    <t>3974_C0005_2475.jpg</t>
  </si>
  <si>
    <t>3975_C0005_2472.jpg</t>
  </si>
  <si>
    <t>3976_C0005_2469.jpg</t>
  </si>
  <si>
    <t>3977_C0005_2466.jpg</t>
  </si>
  <si>
    <t>3978_C0005_2462.jpg</t>
  </si>
  <si>
    <t>3979_C0005_2458.jpg</t>
  </si>
  <si>
    <t>3980_C0005_2453.jpg</t>
  </si>
  <si>
    <t>3981_C0005_2449.jpg</t>
  </si>
  <si>
    <t>3982_C0005_2445.jpg</t>
  </si>
  <si>
    <t>3983_C0005_2442.jpg</t>
  </si>
  <si>
    <t>3984_C0005_2438.jpg</t>
  </si>
  <si>
    <t>3985_C0005_2434.jpg</t>
  </si>
  <si>
    <t>3986_C0005_2430.jpg</t>
  </si>
  <si>
    <t>3987_C0005_2426.jpg</t>
  </si>
  <si>
    <t>3988_C0005_2422.jpg</t>
  </si>
  <si>
    <t>3989_C0005_2418.jpg</t>
  </si>
  <si>
    <t>3990_C0005_2414.jpg</t>
  </si>
  <si>
    <t>3991_C0005_2410.jpg</t>
  </si>
  <si>
    <t>3992_C0005_2405.jpg</t>
  </si>
  <si>
    <t>3993_C0005_2401.jpg</t>
  </si>
  <si>
    <t>3994_C0005_2396.jpg</t>
  </si>
  <si>
    <t>3995_C0005_2392.jpg</t>
  </si>
  <si>
    <t>3996_C0005_2388.jpg</t>
  </si>
  <si>
    <t>3997_C0005_2384.jpg</t>
  </si>
  <si>
    <t>3998_C0005_2381.jpg</t>
  </si>
  <si>
    <t>3999_C0005_2377.jpg</t>
  </si>
  <si>
    <t>4000_C0005_2374.jpg</t>
  </si>
  <si>
    <t>4001_C0005_2370.jpg</t>
  </si>
  <si>
    <t>4002_C0005_2366.jpg</t>
  </si>
  <si>
    <t>4003_C0005_2362.jpg</t>
  </si>
  <si>
    <t>4004_C0005_2359.jpg</t>
  </si>
  <si>
    <t>4005_C0005_2354.jpg</t>
  </si>
  <si>
    <t>4006_C0005_2350.jpg</t>
  </si>
  <si>
    <t>4007_C0005_2345.jpg</t>
  </si>
  <si>
    <t>4008_C0005_2341.jpg</t>
  </si>
  <si>
    <t>4009_C0005_2337.jpg</t>
  </si>
  <si>
    <t>4010_C0005_2332.jpg</t>
  </si>
  <si>
    <t>4011_C0005_2327.jpg</t>
  </si>
  <si>
    <t>4012_C0005_2323.jpg</t>
  </si>
  <si>
    <t>4013_C0005_2319.jpg</t>
  </si>
  <si>
    <t>4014_C0005_2315.jpg</t>
  </si>
  <si>
    <t>4015_C0005_2312.jpg</t>
  </si>
  <si>
    <t>4016_C0005_2307.jpg</t>
  </si>
  <si>
    <t>4017_C0005_2303.jpg</t>
  </si>
  <si>
    <t>4018_C0005_2299.jpg</t>
  </si>
  <si>
    <t>4019_C0005_2295.jpg</t>
  </si>
  <si>
    <t>4020_C0005_2292.jpg</t>
  </si>
  <si>
    <t>4021_C0005_2289.jpg</t>
  </si>
  <si>
    <t>4022_C0005_2285.jpg</t>
  </si>
  <si>
    <t>4023_C0005_2281.jpg</t>
  </si>
  <si>
    <t>4024_C0005_2277.jpg</t>
  </si>
  <si>
    <t>4025_C0005_2273.jpg</t>
  </si>
  <si>
    <t>4026_C0005_2268.jpg</t>
  </si>
  <si>
    <t>4027_C0005_2262.jpg</t>
  </si>
  <si>
    <t>4028_C0005_2255.jpg</t>
  </si>
  <si>
    <t>4029_C0005_2251.jpg</t>
  </si>
  <si>
    <t>4030_C0005_2243.jpg</t>
  </si>
  <si>
    <t>4031_C0005_2241.jpg</t>
  </si>
  <si>
    <t>4032_C0005_2238.jpg</t>
  </si>
  <si>
    <t>4033_C0005_2232.jpg</t>
  </si>
  <si>
    <t>4034_C0005_2229.jpg</t>
  </si>
  <si>
    <t>4035_C0005_2225.jpg</t>
  </si>
  <si>
    <t>4036_C0005_2218.jpg</t>
  </si>
  <si>
    <t>4037_C0005_2212.jpg</t>
  </si>
  <si>
    <t>4038_C0005_2208.jpg</t>
  </si>
  <si>
    <t>4039_C0005_2204.jpg</t>
  </si>
  <si>
    <t>4040_C0005_2201.jpg</t>
  </si>
  <si>
    <t>4041_C0005_2196.jpg</t>
  </si>
  <si>
    <t>4042_C0005_2192.jpg</t>
  </si>
  <si>
    <t>4043_C0005_2189.jpg</t>
  </si>
  <si>
    <t>4044_C0005_2185.jpg</t>
  </si>
  <si>
    <t>4045_C0005_2183.jpg</t>
  </si>
  <si>
    <t>4046_C0005_2178.jpg</t>
  </si>
  <si>
    <t>4047_C0005_2176.jpg</t>
  </si>
  <si>
    <t>4048_C0005_2172.jpg</t>
  </si>
  <si>
    <t>4049_C0005_2169.jpg</t>
  </si>
  <si>
    <t>4050_C0005_2166.jpg</t>
  </si>
  <si>
    <t>4051_C0005_2162.jpg</t>
  </si>
  <si>
    <t>4052_C0005_2158.jpg</t>
  </si>
  <si>
    <t>4053_C0005_2154.jpg</t>
  </si>
  <si>
    <t>4054_C0005_2149.jpg</t>
  </si>
  <si>
    <t>4055_C0005_2144.jpg</t>
  </si>
  <si>
    <t>4056_C0005_2140.jpg</t>
  </si>
  <si>
    <t>4057_C0005_2135.jpg</t>
  </si>
  <si>
    <t>4058_C0005_2132.jpg</t>
  </si>
  <si>
    <t>4059_C0005_2127.jpg</t>
  </si>
  <si>
    <t>4060_C0005_2124.jpg</t>
  </si>
  <si>
    <t>4061_C0005_2120.jpg</t>
  </si>
  <si>
    <t>4062_C0005_2117.jpg</t>
  </si>
  <si>
    <t>4063_C0005_2113.jpg</t>
  </si>
  <si>
    <t>4064_C0005_2110.jpg</t>
  </si>
  <si>
    <t>4065_C0005_2106.jpg</t>
  </si>
  <si>
    <t>4066_C0005_2103.jpg</t>
  </si>
  <si>
    <t>4067_C0005_2100.jpg</t>
  </si>
  <si>
    <t>4068_C0005_2095.jpg</t>
  </si>
  <si>
    <t>4069_C0005_2091.jpg</t>
  </si>
  <si>
    <t>4070_C0005_2088.jpg</t>
  </si>
  <si>
    <t>4071_C0005_2083.jpg</t>
  </si>
  <si>
    <t>4072_C0005_2079.jpg</t>
  </si>
  <si>
    <t>4073_C0005_2074.jpg</t>
  </si>
  <si>
    <t>4074_C0005_2071.jpg</t>
  </si>
  <si>
    <t>4075_C0005_2067.jpg</t>
  </si>
  <si>
    <t>4076_C0005_2063.jpg</t>
  </si>
  <si>
    <t>4077_C0005_2058.jpg</t>
  </si>
  <si>
    <t>4078_C0005_2054.jpg</t>
  </si>
  <si>
    <t>4079_C0005_2051.jpg</t>
  </si>
  <si>
    <t>4080_C0005_2046.jpg</t>
  </si>
  <si>
    <t>4081_C0005_2042.jpg</t>
  </si>
  <si>
    <t>4082_C0005_2037.jpg</t>
  </si>
  <si>
    <t>4083_C0005_2032.jpg</t>
  </si>
  <si>
    <t>4084_C0005_2028.jpg</t>
  </si>
  <si>
    <t>4085_C0005_2024.jpg</t>
  </si>
  <si>
    <t>4086_C0005_2021.jpg</t>
  </si>
  <si>
    <t>4087_C0005_2016.jpg</t>
  </si>
  <si>
    <t>4088_C0005_2014.jpg</t>
  </si>
  <si>
    <t>4089_C0005_2011.jpg</t>
  </si>
  <si>
    <t>4090_C0005_2006.jpg</t>
  </si>
  <si>
    <t>4091_C0005_2003.jpg</t>
  </si>
  <si>
    <t>4092_C0005_1999.jpg</t>
  </si>
  <si>
    <t>4093_C0005_1996.jpg</t>
  </si>
  <si>
    <t>4094_C0005_1991.jpg</t>
  </si>
  <si>
    <t>4095_C0005_1987.jpg</t>
  </si>
  <si>
    <t>4096_C0005_1983.jpg</t>
  </si>
  <si>
    <t>4097_C0005_1977.jpg</t>
  </si>
  <si>
    <t>4098_C0005_1973.jpg</t>
  </si>
  <si>
    <t>4099_C0005_1969.jpg</t>
  </si>
  <si>
    <t>4100_C0005_1964.jpg</t>
  </si>
  <si>
    <t>4101_C0005_1960.jpg</t>
  </si>
  <si>
    <t>4102_C0005_1956.jpg</t>
  </si>
  <si>
    <t>4103_C0005_1952.jpg</t>
  </si>
  <si>
    <t>4104_C0005_1946.jpg</t>
  </si>
  <si>
    <t>4105_C0005_1943.jpg</t>
  </si>
  <si>
    <t>4106_C0005_1938.jpg</t>
  </si>
  <si>
    <t>4107_C0005_1933.jpg</t>
  </si>
  <si>
    <t>4108_C0005_1930.jpg</t>
  </si>
  <si>
    <t>4109_C0005_1926.jpg</t>
  </si>
  <si>
    <t>4110_C0005_1923.jpg</t>
  </si>
  <si>
    <t>4111_C0005_1918.jpg</t>
  </si>
  <si>
    <t>4112_C0005_1915.jpg</t>
  </si>
  <si>
    <t>4113_C0005_1910.jpg</t>
  </si>
  <si>
    <t>4114_C0005_1906.jpg</t>
  </si>
  <si>
    <t>4115_C0005_1901.jpg</t>
  </si>
  <si>
    <t>4116_C0005_1898.jpg</t>
  </si>
  <si>
    <t>4117_C0005_1894.jpg</t>
  </si>
  <si>
    <t>4118_C0005_1890.jpg</t>
  </si>
  <si>
    <t>4119_C0005_1887.jpg</t>
  </si>
  <si>
    <t>4120_C0005_1883.jpg</t>
  </si>
  <si>
    <t>4121_C0005_1879.jpg</t>
  </si>
  <si>
    <t>4122_C0005_1875.jpg</t>
  </si>
  <si>
    <t>4123_C0005_1872.jpg</t>
  </si>
  <si>
    <t>4124_C0005_1868.jpg</t>
  </si>
  <si>
    <t>4125_C0005_1865.jpg</t>
  </si>
  <si>
    <t>4126_C0005_1861.jpg</t>
  </si>
  <si>
    <t>4127_C0005_1858.jpg</t>
  </si>
  <si>
    <t>4128_C0005_1855.jpg</t>
  </si>
  <si>
    <t>4129_C0005_1852.jpg</t>
  </si>
  <si>
    <t>4130_C0005_1849.jpg</t>
  </si>
  <si>
    <t>4131_C0005_1845.jpg</t>
  </si>
  <si>
    <t>4132_C0005_1840.jpg</t>
  </si>
  <si>
    <t>4133_C0005_1836.jpg</t>
  </si>
  <si>
    <t>4134_C0005_1833.jpg</t>
  </si>
  <si>
    <t>4135_C0005_1828.jpg</t>
  </si>
  <si>
    <t>4136_C0005_1825.jpg</t>
  </si>
  <si>
    <t>4137_C0005_1820.jpg</t>
  </si>
  <si>
    <t>4138_C0005_1813.jpg</t>
  </si>
  <si>
    <t>4139_C0005_1809.jpg</t>
  </si>
  <si>
    <t>4140_C0005_1805.jpg</t>
  </si>
  <si>
    <t>4141_C0005_1801.jpg</t>
  </si>
  <si>
    <t>4142_C0005_1798.jpg</t>
  </si>
  <si>
    <t>4143_C0005_1793.jpg</t>
  </si>
  <si>
    <t>4144_C0005_1791.jpg</t>
  </si>
  <si>
    <t>4145_C0005_1788.jpg</t>
  </si>
  <si>
    <t>4146_C0005_1784.jpg</t>
  </si>
  <si>
    <t>4147_C0005_1780.jpg</t>
  </si>
  <si>
    <t>4148_C0005_1777.jpg</t>
  </si>
  <si>
    <t>4149_C0005_1772.jpg</t>
  </si>
  <si>
    <t>4150_C0005_1768.jpg</t>
  </si>
  <si>
    <t>4151_C0005_1765.jpg</t>
  </si>
  <si>
    <t>4152_C0005_1761.jpg</t>
  </si>
  <si>
    <t>4153_C0005_1757.jpg</t>
  </si>
  <si>
    <t>4154_C0005_1752.jpg</t>
  </si>
  <si>
    <t>4155_C0005_1750.jpg</t>
  </si>
  <si>
    <t>4156_C0005_1746.jpg</t>
  </si>
  <si>
    <t>4157_C0005_1744.jpg</t>
  </si>
  <si>
    <t>4158_C0005_1738.jpg</t>
  </si>
  <si>
    <t>4159_C0005_1736.jpg</t>
  </si>
  <si>
    <t>4160_C0005_1734.jpg</t>
  </si>
  <si>
    <t>4161_C0005_1728.jpg</t>
  </si>
  <si>
    <t>4162_C0005_1725.jpg</t>
  </si>
  <si>
    <t>4163_C0005_1718.jpg</t>
  </si>
  <si>
    <t>4164_C0005_1715.jpg</t>
  </si>
  <si>
    <t>4165_C0005_1713.jpg</t>
  </si>
  <si>
    <t>4166_C0005_1708.jpg</t>
  </si>
  <si>
    <t>4167_C0005_1705.jpg</t>
  </si>
  <si>
    <t>4168_C0005_1700.jpg</t>
  </si>
  <si>
    <t>4169_C0005_1699.jpg</t>
  </si>
  <si>
    <t>4170_C0005_1698.jpg</t>
  </si>
  <si>
    <t>4171_C0005_1695.jpg</t>
  </si>
  <si>
    <t>4172_C0005_1693.jpg</t>
  </si>
  <si>
    <t>4173_C0005_1689.jpg</t>
  </si>
  <si>
    <t>4174_C0005_1687.jpg</t>
  </si>
  <si>
    <t>4176_C0005_1682.jpg</t>
  </si>
  <si>
    <t>4181_C0005_1676.jpg</t>
  </si>
  <si>
    <t>4182_C0005_1674.jpg</t>
  </si>
  <si>
    <t>4183_C0005_1670.jpg</t>
  </si>
  <si>
    <t>4184_C0005_1667.jpg</t>
  </si>
  <si>
    <t>4185_C0005_1664.jpg</t>
  </si>
  <si>
    <t>4186_C0005_1662.jpg</t>
  </si>
  <si>
    <t>4187_C0005_1659.jpg</t>
  </si>
  <si>
    <t>4188_C0005_1655.jpg</t>
  </si>
  <si>
    <t>4189_C0005_1650.jpg</t>
  </si>
  <si>
    <t>4190_C0005_1647.jpg</t>
  </si>
  <si>
    <t>4191_C0005_1641.jpg</t>
  </si>
  <si>
    <t>4192_C0005_1638.jpg</t>
  </si>
  <si>
    <t>4193_C0005_1634.jpg</t>
  </si>
  <si>
    <t>4194_C0005_1631.jpg</t>
  </si>
  <si>
    <t>4195_C0005_1627.jpg</t>
  </si>
  <si>
    <t>4196_C0005_1622.jpg</t>
  </si>
  <si>
    <t>4197_C0005_1618.jpg</t>
  </si>
  <si>
    <t>4198_C0005_1612.jpg</t>
  </si>
  <si>
    <t>4199_C0005_1608.jpg</t>
  </si>
  <si>
    <t>4200_C0005_1604.jpg</t>
  </si>
  <si>
    <t>4201_C0005_1600.jpg</t>
  </si>
  <si>
    <t>4202_C0005_1595.jpg</t>
  </si>
  <si>
    <t>4203_C0005_1592.jpg</t>
  </si>
  <si>
    <t>4204_C0005_1588.jpg</t>
  </si>
  <si>
    <t>4205_C0005_1584.jpg</t>
  </si>
  <si>
    <t>4206_C0005_1580.jpg</t>
  </si>
  <si>
    <t>4207_C0005_1575.jpg</t>
  </si>
  <si>
    <t>4208_C0005_1571.jpg</t>
  </si>
  <si>
    <t>4209_C0005_1567.jpg</t>
  </si>
  <si>
    <t>4210_C0005_1564.jpg</t>
  </si>
  <si>
    <t>4211_C0005_1560.jpg</t>
  </si>
  <si>
    <t>4212_C0005_1556.jpg</t>
  </si>
  <si>
    <t>4213_C0005_1553.jpg</t>
  </si>
  <si>
    <t>4214_C0005_1550.jpg</t>
  </si>
  <si>
    <t>4215_C0005_1544.jpg</t>
  </si>
  <si>
    <t>4216_C0005_1542.jpg</t>
  </si>
  <si>
    <t>4217_C0005_1539.jpg</t>
  </si>
  <si>
    <t>4218_C0005_1536.jpg</t>
  </si>
  <si>
    <t>4219_C0005_1531.jpg</t>
  </si>
  <si>
    <t>4220_C0005_1528.jpg</t>
  </si>
  <si>
    <t>4221_C0005_1523.jpg</t>
  </si>
  <si>
    <t>4222_C0005_1520.jpg</t>
  </si>
  <si>
    <t>4223_C0005_1516.jpg</t>
  </si>
  <si>
    <t>4224_C0005_1512.jpg</t>
  </si>
  <si>
    <t>4225_C0005_1507.jpg</t>
  </si>
  <si>
    <t>4226_C0005_1502.jpg</t>
  </si>
  <si>
    <t>4227_C0005_1498.jpg</t>
  </si>
  <si>
    <t>4228_C0005_1494.jpg</t>
  </si>
  <si>
    <t>4229_C0005_1490.jpg</t>
  </si>
  <si>
    <t>4230_C0005_1486.jpg</t>
  </si>
  <si>
    <t>4231_C0005_1484.jpg</t>
  </si>
  <si>
    <t>4232_C0005_1479.jpg</t>
  </si>
  <si>
    <t>4233_C0005_1476.jpg</t>
  </si>
  <si>
    <t>4234_C0005_1472.jpg</t>
  </si>
  <si>
    <t>4235_C0005_1468.jpg</t>
  </si>
  <si>
    <t>4236_C0005_1465.jpg</t>
  </si>
  <si>
    <t>4237_C0005_1460.jpg</t>
  </si>
  <si>
    <t>4238_C0005_1455.jpg</t>
  </si>
  <si>
    <t>4239_C0005_1452.jpg</t>
  </si>
  <si>
    <t>4240_C0005_1448.jpg</t>
  </si>
  <si>
    <t>4241_C0005_1445.jpg</t>
  </si>
  <si>
    <t>4242_C0005_1442.jpg</t>
  </si>
  <si>
    <t>4243_C0005_1433.jpg</t>
  </si>
  <si>
    <t>4244_C0005_1431.jpg</t>
  </si>
  <si>
    <t>4245_C0005_1424.jpg</t>
  </si>
  <si>
    <t>4246_C0005_1418.jpg</t>
  </si>
  <si>
    <t>4247_C0005_1417.jpg</t>
  </si>
  <si>
    <t>4248_C0005_1405.jpg</t>
  </si>
  <si>
    <t>4249_C0005_1396.jpg</t>
  </si>
  <si>
    <t>4250_C0005_1389.jpg</t>
  </si>
  <si>
    <t>4251_C0005_1383.jpg</t>
  </si>
  <si>
    <t>4252_C0005_1376.jpg</t>
  </si>
  <si>
    <t>4253_C0005_1370.jpg</t>
  </si>
  <si>
    <t>4254_C0005_1356.jpg</t>
  </si>
  <si>
    <t>4255_C0005_1352.jpg</t>
  </si>
  <si>
    <t>4406_C0005_1337.jpg</t>
  </si>
  <si>
    <t>4407_C0005_1335.jpg</t>
  </si>
  <si>
    <t>4408_C0005_1342.jpg</t>
  </si>
  <si>
    <t>4410_C0005_1330.jpg</t>
  </si>
  <si>
    <t>4411_C0005_1328.jpg</t>
  </si>
  <si>
    <t>4412_C0005_1323.jpg</t>
  </si>
  <si>
    <t>4413_C0005_1321.jpg</t>
  </si>
  <si>
    <t>4414_C0005_1316.jpg</t>
  </si>
  <si>
    <t>4415_C0005_1313.jpg</t>
  </si>
  <si>
    <t>4416_C0005_1311.jpg</t>
  </si>
  <si>
    <t>4417_C0005_1310.jpg</t>
  </si>
  <si>
    <t>4418_C0005_1308.jpg</t>
  </si>
  <si>
    <t>4419_C0005_1305.jpg</t>
  </si>
  <si>
    <t>4420_C0005_1304.jpg</t>
  </si>
  <si>
    <t>4421_C0005_1302.jpg</t>
  </si>
  <si>
    <t>4422_C0005_1300.jpg</t>
  </si>
  <si>
    <t>4423_C0005_1297.jpg</t>
  </si>
  <si>
    <t>4424_C0005_1295.jpg</t>
  </si>
  <si>
    <t>4425_C0005_1293.jpg</t>
  </si>
  <si>
    <t>4426_C0005_1290.jpg</t>
  </si>
  <si>
    <t>4427_C0005_1287.jpg</t>
  </si>
  <si>
    <t>4428_C0005_1285.jpg</t>
  </si>
  <si>
    <t>4429_C0005_1283.jpg</t>
  </si>
  <si>
    <t>4430_C0005_1278.jpg</t>
  </si>
  <si>
    <t>4431_C0005_1273.jpg</t>
  </si>
  <si>
    <t>4432_C0005_1269.jpg</t>
  </si>
  <si>
    <t>4433_C0005_1264.jpg</t>
  </si>
  <si>
    <t>4434_C0005_1260.jpg</t>
  </si>
  <si>
    <t>4435_C0005_1252.jpg</t>
  </si>
  <si>
    <t>4436_C0005_1247.jpg</t>
  </si>
  <si>
    <t>4437_C0005_1244.jpg</t>
  </si>
  <si>
    <t>4438_C0005_1239.jpg</t>
  </si>
  <si>
    <t>4439_C0005_1235.jpg</t>
  </si>
  <si>
    <t>4440_C0005_1231.jpg</t>
  </si>
  <si>
    <t>4441_C0005_1227.jpg</t>
  </si>
  <si>
    <t>4442_C0005_1224.jpg</t>
  </si>
  <si>
    <t>4443_C0005_1222.jpg</t>
  </si>
  <si>
    <t>4444_C0005_1219.jpg</t>
  </si>
  <si>
    <t>4445_C0005_1214.jpg</t>
  </si>
  <si>
    <t>4446_C0005_1210.jpg</t>
  </si>
  <si>
    <t>4447_C0005_1206.jpg</t>
  </si>
  <si>
    <t>4448_C0005_1203.jpg</t>
  </si>
  <si>
    <t>4449_C0005_1199.jpg</t>
  </si>
  <si>
    <t>4450_C0005_1195.jpg</t>
  </si>
  <si>
    <t>4451_C0005_1192.jpg</t>
  </si>
  <si>
    <t>4452_C0005_1189.jpg</t>
  </si>
  <si>
    <t>4453_C0005_1187.jpg</t>
  </si>
  <si>
    <t>4454_C0005_1183.jpg</t>
  </si>
  <si>
    <t>4455_C0005_1179.jpg</t>
  </si>
  <si>
    <t>4456_C0005_1177.jpg</t>
  </si>
  <si>
    <t>4457_C0005_1176.jpg</t>
  </si>
  <si>
    <t>4458_C0005_1172.jpg</t>
  </si>
  <si>
    <t>4459_C0005_1170.jpg</t>
  </si>
  <si>
    <t>4460_C0005_1165.jpg</t>
  </si>
  <si>
    <t>4461_C0005_1162.jpg</t>
  </si>
  <si>
    <t>4462_C0005_1159.jpg</t>
  </si>
  <si>
    <t>4463_C0005_1154.jpg</t>
  </si>
  <si>
    <t>4464_C0005_1151.jpg</t>
  </si>
  <si>
    <t>4465_C0005_1147.jpg</t>
  </si>
  <si>
    <t>4466_C0005_1144.jpg</t>
  </si>
  <si>
    <t>4467_C0005_1140.jpg</t>
  </si>
  <si>
    <t>4468_C0005_1136.jpg</t>
  </si>
  <si>
    <t>4469_C0005_1134.jpg</t>
  </si>
  <si>
    <t>4470_C0005_1129.jpg</t>
  </si>
  <si>
    <t>4471_C0005_1126.jpg</t>
  </si>
  <si>
    <t>4472_C0005_1123.jpg</t>
  </si>
  <si>
    <t>4473_C0005_1119.jpg</t>
  </si>
  <si>
    <t>4474_C0005_1115.jpg</t>
  </si>
  <si>
    <t>4475_C0005_1112.jpg</t>
  </si>
  <si>
    <t>4476_C0005_1109.jpg</t>
  </si>
  <si>
    <t>4477_C0005_1106.jpg</t>
  </si>
  <si>
    <t>4478_C0005_1103.jpg</t>
  </si>
  <si>
    <t>4479_C0005_1097.jpg</t>
  </si>
  <si>
    <t>4480_C0005_1093.jpg</t>
  </si>
  <si>
    <t>4481_C0005_1089.jpg</t>
  </si>
  <si>
    <t>4482_C0005_1085.jpg</t>
  </si>
  <si>
    <t>4483_C0005_1081.jpg</t>
  </si>
  <si>
    <t>4484_C0005_1076.jpg</t>
  </si>
  <si>
    <t>4485_C0005_1072.jpg</t>
  </si>
  <si>
    <t>4486_C0005_1067.jpg</t>
  </si>
  <si>
    <t>4487_C0005_1063.jpg</t>
  </si>
  <si>
    <t>4488_C0005_1059.jpg</t>
  </si>
  <si>
    <t>4489_C0005_1055.jpg</t>
  </si>
  <si>
    <t>4490_C0005_1051.jpg</t>
  </si>
  <si>
    <t>4491_C0005_1047.jpg</t>
  </si>
  <si>
    <t>4492_C0005_1043.jpg</t>
  </si>
  <si>
    <t>4493_C0005_1035.jpg</t>
  </si>
  <si>
    <t>4494_C0005_1031.jpg</t>
  </si>
  <si>
    <t>4495_C0005_1026.jpg</t>
  </si>
  <si>
    <t>4496_C0005_1021.jpg</t>
  </si>
  <si>
    <t>4497_C0005_1016.jpg</t>
  </si>
  <si>
    <t>4498_C0005_1011.jpg</t>
  </si>
  <si>
    <t>4499_C0005_1006.jpg</t>
  </si>
  <si>
    <t>4500_C0005_1001.jpg</t>
  </si>
  <si>
    <t>4501_C0005_0998.jpg</t>
  </si>
  <si>
    <t>4502_C0005_0994.jpg</t>
  </si>
  <si>
    <t>4503_C0005_0990.jpg</t>
  </si>
  <si>
    <t>4504_C0005_0985.jpg</t>
  </si>
  <si>
    <t>4505_C0005_0981.jpg</t>
  </si>
  <si>
    <t>4506_C0005_0978.jpg</t>
  </si>
  <si>
    <t>4507_C0005_0975.jpg</t>
  </si>
  <si>
    <t>4508_C0005_0971.jpg</t>
  </si>
  <si>
    <t>4509_C0005_0967.jpg</t>
  </si>
  <si>
    <t>4510_C0005_0963.jpg</t>
  </si>
  <si>
    <t>4511_C0005_0958.jpg</t>
  </si>
  <si>
    <t>4512_C0005_0953.jpg</t>
  </si>
  <si>
    <t>4513_C0005_0949.jpg</t>
  </si>
  <si>
    <t>4514_C0005_0945.jpg</t>
  </si>
  <si>
    <t>4515_C0005_0941.jpg</t>
  </si>
  <si>
    <t>4516_C0005_0937.jpg</t>
  </si>
  <si>
    <t>4517_C0005_0931.jpg</t>
  </si>
  <si>
    <t>4518_C0005_0927.jpg</t>
  </si>
  <si>
    <t>4519_C0005_0922.jpg</t>
  </si>
  <si>
    <t>4520_C0005_0918.jpg</t>
  </si>
  <si>
    <t>4521_C0005_0913.jpg</t>
  </si>
  <si>
    <t>4522_C0005_0910.jpg</t>
  </si>
  <si>
    <t>4523_C0005_0905.jpg</t>
  </si>
  <si>
    <t>4524_C0005_0900.jpg</t>
  </si>
  <si>
    <t>4525_C0005_0896.jpg</t>
  </si>
  <si>
    <t>4526_C0005_0892.jpg</t>
  </si>
  <si>
    <t>4527_C0005_0886.jpg</t>
  </si>
  <si>
    <t>4528_C0005_0879.jpg</t>
  </si>
  <si>
    <t>4529_C0005_0872.jpg</t>
  </si>
  <si>
    <t>4530_C0005_0868.jpg</t>
  </si>
  <si>
    <t>4531_C0005_0864.jpg</t>
  </si>
  <si>
    <t>4532_C0005_0856.jpg</t>
  </si>
  <si>
    <t>4533_C0005_0851.jpg</t>
  </si>
  <si>
    <t>4534_C0005_0847.jpg</t>
  </si>
  <si>
    <t>4535_C0005_0843.jpg</t>
  </si>
  <si>
    <t>4536_C0005_0839.jpg</t>
  </si>
  <si>
    <t>4537_C0005_0834.jpg</t>
  </si>
  <si>
    <t>4538_C0005_0829.jpg</t>
  </si>
  <si>
    <t>4539_C0005_0825.jpg</t>
  </si>
  <si>
    <t>4540_C0005_0821.jpg</t>
  </si>
  <si>
    <t>4541_C0005_0818.jpg</t>
  </si>
  <si>
    <t>4542_C0005_0814.jpg</t>
  </si>
  <si>
    <t>4543_C0005_0810.jpg</t>
  </si>
  <si>
    <t>4544_C0005_0806.jpg</t>
  </si>
  <si>
    <t>4545_C0005_0803.jpg</t>
  </si>
  <si>
    <t>4546_C0005_0800.jpg</t>
  </si>
  <si>
    <t>4547_C0005_0796.jpg</t>
  </si>
  <si>
    <t>4548_C0005_0793.jpg</t>
  </si>
  <si>
    <t>4549_C0005_0789.jpg</t>
  </si>
  <si>
    <t>4550_C0005_0785.jpg</t>
  </si>
  <si>
    <t>4551_C0005_0781.jpg</t>
  </si>
  <si>
    <t>4552_C0005_0777.jpg</t>
  </si>
  <si>
    <t>4553_C0005_0773.jpg</t>
  </si>
  <si>
    <t>4554_C0005_0769.jpg</t>
  </si>
  <si>
    <t>4555_C0005_0766.jpg</t>
  </si>
  <si>
    <t>4556_C0005_0763.jpg</t>
  </si>
  <si>
    <t>4557_C0005_0759.jpg</t>
  </si>
  <si>
    <t>4558_C0005_0755.jpg</t>
  </si>
  <si>
    <t>4559_C0005_0752.jpg</t>
  </si>
  <si>
    <t>4560_C0005_0748.jpg</t>
  </si>
  <si>
    <t>4561_C0005_0744.jpg</t>
  </si>
  <si>
    <t>4562_C0005_0741.jpg</t>
  </si>
  <si>
    <t>4563_C0005_0738.jpg</t>
  </si>
  <si>
    <t>4564_C0005_0734.jpg</t>
  </si>
  <si>
    <t>4565_C0005_0731.jpg</t>
  </si>
  <si>
    <t>4566_C0005_0727.jpg</t>
  </si>
  <si>
    <t>4567_C0005_0723.jpg</t>
  </si>
  <si>
    <t>4568_C0005_0719.jpg</t>
  </si>
  <si>
    <t>4569_C0005_0716.jpg</t>
  </si>
  <si>
    <t>4570_C0005_0712.jpg</t>
  </si>
  <si>
    <t>4571_C0005_0708.jpg</t>
  </si>
  <si>
    <t>4572_C0005_0705.jpg</t>
  </si>
  <si>
    <t>4573_C0005_0701.jpg</t>
  </si>
  <si>
    <t>4574_C0005_0697.jpg</t>
  </si>
  <si>
    <t>4575_C0005_0693.jpg</t>
  </si>
  <si>
    <t>4576_C0005_0690.jpg</t>
  </si>
  <si>
    <t>4577_C0005_0686.jpg</t>
  </si>
  <si>
    <t>4578_C0005_0680.jpg</t>
  </si>
  <si>
    <t>4579_C0005_0676.jpg</t>
  </si>
  <si>
    <t>4580_C0005_0672.jpg</t>
  </si>
  <si>
    <t>4581_C0005_0669.jpg</t>
  </si>
  <si>
    <t>4582_C0005_0665.jpg</t>
  </si>
  <si>
    <t>4583_C0005_0661.jpg</t>
  </si>
  <si>
    <t>4584_C0005_0658.jpg</t>
  </si>
  <si>
    <t>4585_C0005_0654.jpg</t>
  </si>
  <si>
    <t>4586_C0005_0650.jpg</t>
  </si>
  <si>
    <t>4587_C0005_0647.jpg</t>
  </si>
  <si>
    <t>4588_C0005_0643.jpg</t>
  </si>
  <si>
    <t>4589_C0005_0640.jpg</t>
  </si>
  <si>
    <t>4590_C0005_0637.jpg</t>
  </si>
  <si>
    <t>4591_C0005_0632.jpg</t>
  </si>
  <si>
    <t>4592_C0005_0628.jpg</t>
  </si>
  <si>
    <t>4593_C0005_0624.jpg</t>
  </si>
  <si>
    <t>4594_C0005_0620.jpg</t>
  </si>
  <si>
    <t>4595_C0005_0617.jpg</t>
  </si>
  <si>
    <t>4596_C0005_0613.jpg</t>
  </si>
  <si>
    <t>4597_C0005_0610.jpg</t>
  </si>
  <si>
    <t>4598_C0005_0606.jpg</t>
  </si>
  <si>
    <t>4599_C0005_0604.jpg</t>
  </si>
  <si>
    <t>4600_C0005_0601.jpg</t>
  </si>
  <si>
    <t>4601_C0005_0599.jpg</t>
  </si>
  <si>
    <t>4602_C0005_0595.jpg</t>
  </si>
  <si>
    <t>4603_C0005_0588.jpg</t>
  </si>
  <si>
    <t>4604_C0005_0585.jpg</t>
  </si>
  <si>
    <t>4605_C0005_0580.jpg</t>
  </si>
  <si>
    <t>4606_C0005_0577.jpg</t>
  </si>
  <si>
    <t>4607_C0005_0573.jpg</t>
  </si>
  <si>
    <t>4608_C0005_0569.jpg</t>
  </si>
  <si>
    <t>4609_C0005_0564.jpg</t>
  </si>
  <si>
    <t>4610_C0005_0560.jpg</t>
  </si>
  <si>
    <t>4611_C0005_0556.jpg</t>
  </si>
  <si>
    <t>4612_C0005_0553.jpg</t>
  </si>
  <si>
    <t>4613_C0005_0549.jpg</t>
  </si>
  <si>
    <t>4614_C0005_0546.jpg</t>
  </si>
  <si>
    <t>4615_C0005_0544.jpg</t>
  </si>
  <si>
    <t>4616_C0005_0541.jpg</t>
  </si>
  <si>
    <t>4617_C0005_0537.jpg</t>
  </si>
  <si>
    <t>4618_C0005_0534.jpg</t>
  </si>
  <si>
    <t>4619_C0005_0529.jpg</t>
  </si>
  <si>
    <t>4620_C0005_0525.jpg</t>
  </si>
  <si>
    <t>4621_C0005_0521.jpg</t>
  </si>
  <si>
    <t>4622_C0005_0517.jpg</t>
  </si>
  <si>
    <t>4623_C0005_0514.jpg</t>
  </si>
  <si>
    <t>4624_C0005_0510.jpg</t>
  </si>
  <si>
    <t>4625_C0005_0505.jpg</t>
  </si>
  <si>
    <t>4626_C0005_0500.jpg</t>
  </si>
  <si>
    <t>4627_C0005_0496.jpg</t>
  </si>
  <si>
    <t>4628_C0005_0493.jpg</t>
  </si>
  <si>
    <t>4629_C0005_0490.jpg</t>
  </si>
  <si>
    <t>4630_C0005_0487.jpg</t>
  </si>
  <si>
    <t>4631_C0005_0485.jpg</t>
  </si>
  <si>
    <t>4632_C0005_0481.jpg</t>
  </si>
  <si>
    <t>4633_C0005_0477.jpg</t>
  </si>
  <si>
    <t>4634_C0005_0471.jpg</t>
  </si>
  <si>
    <t>4635_C0005_0468.jpg</t>
  </si>
  <si>
    <t>4636_C0005_0464.jpg</t>
  </si>
  <si>
    <t>4637_C0005_0460.jpg</t>
  </si>
  <si>
    <t>4638_C0005_0457.jpg</t>
  </si>
  <si>
    <t>4639_C0005_0454.jpg</t>
  </si>
  <si>
    <t>4640_C0005_0450.jpg</t>
  </si>
  <si>
    <t>4641_C0005_0447.jpg</t>
  </si>
  <si>
    <t>4642_C0005_0444.jpg</t>
  </si>
  <si>
    <t>4643_C0005_0440.jpg</t>
  </si>
  <si>
    <t>4644_C0005_0436.jpg</t>
  </si>
  <si>
    <t>4645_C0005_0433.jpg</t>
  </si>
  <si>
    <t>4646_C0005_0430.jpg</t>
  </si>
  <si>
    <t>4647_C0005_0428.jpg</t>
  </si>
  <si>
    <t>4648_C0005_0426.jpg</t>
  </si>
  <si>
    <t>4649_C0005_0424.jpg</t>
  </si>
  <si>
    <t>4650_C0005_0423.jpg</t>
  </si>
  <si>
    <t>4651_C0005_0421.jpg</t>
  </si>
  <si>
    <t>4652_C0005_0420.jpg</t>
  </si>
  <si>
    <t>4653_C0005_0419.jpg</t>
  </si>
  <si>
    <t>4656_C0005_0418.jpg</t>
  </si>
  <si>
    <t>4657_C0005_0416.jpg</t>
  </si>
  <si>
    <t>4658_C0005_0414.jpg</t>
  </si>
  <si>
    <t>4659_C0005_0411.jpg</t>
  </si>
  <si>
    <t>4660_C0005_0408.jpg</t>
  </si>
  <si>
    <t>4661_C0005_0404.jpg</t>
  </si>
  <si>
    <t>4662_C0005_0401.jpg</t>
  </si>
  <si>
    <t>4663_C0005_0398.jpg</t>
  </si>
  <si>
    <t>4664_C0005_0391.jpg</t>
  </si>
  <si>
    <t>4665_C0005_0387.jpg</t>
  </si>
  <si>
    <t>4666_C0005_0383.jpg</t>
  </si>
  <si>
    <t>4667_C0005_0379.jpg</t>
  </si>
  <si>
    <t>4668_C0005_0376.jpg</t>
  </si>
  <si>
    <t>4669_C0005_0372.jpg</t>
  </si>
  <si>
    <t>4670_C0005_0369.jpg</t>
  </si>
  <si>
    <t>4671_C0005_0366.jpg</t>
  </si>
  <si>
    <t>4672_C0005_0364.jpg</t>
  </si>
  <si>
    <t>4673_C0005_0361.jpg</t>
  </si>
  <si>
    <t>4674_C0005_0357.jpg</t>
  </si>
  <si>
    <t>4675_C0005_0355.jpg</t>
  </si>
  <si>
    <t>4676_C0005_0352.jpg</t>
  </si>
  <si>
    <t>4677_C0005_0349.jpg</t>
  </si>
  <si>
    <t>4678_C0005_0346.jpg</t>
  </si>
  <si>
    <t>4679_C0005_0343.jpg</t>
  </si>
  <si>
    <t>4680_C0005_0340.jpg</t>
  </si>
  <si>
    <t>4681_C0005_0337.jpg</t>
  </si>
  <si>
    <t>4682_C0005_0334.jpg</t>
  </si>
  <si>
    <t>4683_C0005_0332.jpg</t>
  </si>
  <si>
    <t>4684_C0005_0328.jpg</t>
  </si>
  <si>
    <t>4685_C0005_0326.jpg</t>
  </si>
  <si>
    <t>4686_C0005_0324.jpg</t>
  </si>
  <si>
    <t>4687_C0005_0322.jpg</t>
  </si>
  <si>
    <t>4688_C0005_0319.jpg</t>
  </si>
  <si>
    <t>4689_C0005_0315.jpg</t>
  </si>
  <si>
    <t>4690_C0005_0312.jpg</t>
  </si>
  <si>
    <t>4691_C0005_0309.jpg</t>
  </si>
  <si>
    <t>4692_C0005_0306.jpg</t>
  </si>
  <si>
    <t>4693_C0005_0302.jpg</t>
  </si>
  <si>
    <t>4694_C0005_0298.jpg</t>
  </si>
  <si>
    <t>4695_C0005_0294.jpg</t>
  </si>
  <si>
    <t>4696_C0005_0290.jpg</t>
  </si>
  <si>
    <t>4697_C0005_0287.jpg</t>
  </si>
  <si>
    <t>4698_C0005_0281.jpg</t>
  </si>
  <si>
    <t>4699_C0005_0278.jpg</t>
  </si>
  <si>
    <t>4700_C0005_0273.jpg</t>
  </si>
  <si>
    <t>4701_C0005_0269.jpg</t>
  </si>
  <si>
    <t>4702_C0005_0264.jpg</t>
  </si>
  <si>
    <t>4703_C0005_0260.jpg</t>
  </si>
  <si>
    <t>4704_C0005_0258.jpg</t>
  </si>
  <si>
    <t>4705_C0005_0254.jpg</t>
  </si>
  <si>
    <t>4706_C0005_0251.jpg</t>
  </si>
  <si>
    <t>4707_C0005_0250.jpg</t>
  </si>
  <si>
    <t>4708_C0005_0245.jpg</t>
  </si>
  <si>
    <t>4709_C0005_0246.jpg</t>
  </si>
  <si>
    <t>4710_C0005_0235.jpg</t>
  </si>
  <si>
    <t>4711_C0005_0237.jpg</t>
  </si>
  <si>
    <t>4712_C0005_0229.jpg</t>
  </si>
  <si>
    <t>4713_C0005_0228.jpg</t>
  </si>
  <si>
    <t>4714_C0005_0222.jpg</t>
  </si>
  <si>
    <t>4715_C0005_0217.jpg</t>
  </si>
  <si>
    <t>4716_C0005_0213.jpg</t>
  </si>
  <si>
    <t>4717_C0005_0209.jpg</t>
  </si>
  <si>
    <t>4718_C0005_0203.jpg</t>
  </si>
  <si>
    <t>4719_C0005_0200.jpg</t>
  </si>
  <si>
    <t>4720_C0005_0190.jpg</t>
  </si>
  <si>
    <t>4721_C0005_0181.jpg</t>
  </si>
  <si>
    <t>4722_C0005_0172.jpg</t>
  </si>
  <si>
    <t>4723_C0005_0162.jpg</t>
  </si>
  <si>
    <t>4724_C0005_0157.jpg</t>
  </si>
  <si>
    <t>4725_C0005_0151.jpg</t>
  </si>
  <si>
    <t>4726_C0005_0143.jpg</t>
  </si>
  <si>
    <t>4727_C0005_0138.jpg</t>
  </si>
  <si>
    <t>4728_C0005_0129.jpg</t>
  </si>
  <si>
    <t>4729_C0005_0121.jpg</t>
  </si>
  <si>
    <t>4730_C0005_0113.jpg</t>
  </si>
  <si>
    <t>4731_C0005_0103.jpg</t>
  </si>
  <si>
    <t>4732_C0005_0094.jpg</t>
  </si>
  <si>
    <t>4733_C0005_0090.jpg</t>
  </si>
  <si>
    <t>4734_C0005_0083.jpg</t>
  </si>
  <si>
    <t>4735_C0005_0077.jpg</t>
  </si>
  <si>
    <t>4736_C0005_0066.jpg</t>
  </si>
  <si>
    <t>4737_C0005_0061.jpg</t>
  </si>
  <si>
    <t>4738_C0005_0048.jpg</t>
  </si>
  <si>
    <t>4739_C0005_0045.jpg</t>
  </si>
  <si>
    <t>4740_C0005_0039.jpg</t>
  </si>
  <si>
    <t>4741_C0005_0033.jpg</t>
  </si>
  <si>
    <t>4742_C0005_0024.jpg</t>
  </si>
  <si>
    <t>4743_C0005_0020.jpg</t>
  </si>
  <si>
    <t>4744_C0005_0016.jpg</t>
  </si>
  <si>
    <t>4745_C0005_0011.jpg</t>
  </si>
  <si>
    <t>4746_C0005_0004.jpg</t>
  </si>
  <si>
    <t>4747_C0005_0001.jpg</t>
  </si>
  <si>
    <t>Herb</t>
  </si>
  <si>
    <t>Cattle</t>
  </si>
  <si>
    <t>Density</t>
  </si>
  <si>
    <t>Sparse</t>
  </si>
  <si>
    <t>Isolated patch</t>
  </si>
  <si>
    <t>Open continuous</t>
  </si>
  <si>
    <t>Closed continuous</t>
  </si>
  <si>
    <t>Maturity</t>
  </si>
  <si>
    <t>Seedling</t>
  </si>
  <si>
    <t>Saplings</t>
  </si>
  <si>
    <t>Young mature</t>
  </si>
  <si>
    <t>Mature established</t>
  </si>
  <si>
    <t>Dead</t>
  </si>
  <si>
    <t>Very poor (30-60% cover)</t>
  </si>
  <si>
    <t>Moderate (60-90% cover)</t>
  </si>
  <si>
    <t>Healthy (&gt;90% cover)</t>
  </si>
  <si>
    <t>Standardised Score</t>
  </si>
  <si>
    <t>Average Density (MD)</t>
  </si>
  <si>
    <t>Average Maturity (MM)</t>
  </si>
  <si>
    <t>Shoreline Modification Score (SM)</t>
  </si>
  <si>
    <t>Mangrove Damage Score (D)</t>
  </si>
  <si>
    <t>Shoreline Mangrove Habitat Structure Score</t>
  </si>
  <si>
    <t>Shoreline Habitat Impact Score</t>
  </si>
  <si>
    <t>Shoreline Mangrove Habitat Indicator Score</t>
  </si>
  <si>
    <t>Shoreline_Modification</t>
  </si>
  <si>
    <t>Mangrove_Presence03_50</t>
  </si>
  <si>
    <t>Canopy Cover (C)</t>
  </si>
  <si>
    <t>Fringe Mangrove Cover (%C)</t>
  </si>
  <si>
    <t>110_20240610_0007_R_0657.jpg</t>
  </si>
  <si>
    <t>115_20240610_0007_R_0635.jpg</t>
  </si>
  <si>
    <t>120_20240610_0007_R_0619.jpg</t>
  </si>
  <si>
    <t>125_20240610_0007_R_0605.jpg</t>
  </si>
  <si>
    <t>130_20240610_0007_R_0590.jpg</t>
  </si>
  <si>
    <t>135_20240610_0007_R_0576.jpg</t>
  </si>
  <si>
    <t>140_20240610_0007_R_0563.jpg</t>
  </si>
  <si>
    <t>145_20240610_0007_R_0548.jpg</t>
  </si>
  <si>
    <t>150_20240610_0007_R_0532.jpg</t>
  </si>
  <si>
    <t>155_20240610_0007_R_0516.jpg</t>
  </si>
  <si>
    <t>160_20240610_0007_R_0501.jpg</t>
  </si>
  <si>
    <t>165_20240610_0007_R_0485.jpg</t>
  </si>
  <si>
    <t>170_20240610_0007_R_0468.jpg</t>
  </si>
  <si>
    <t>175_20240610_0007_R_0455.jpg</t>
  </si>
  <si>
    <t>180_20240610_0007_R_0439.jpg</t>
  </si>
  <si>
    <t>185_20240610_0007_R_0419.jpg</t>
  </si>
  <si>
    <t>190_20240610_0007_R_0406.jpg</t>
  </si>
  <si>
    <t>195_20240610_0007_R_0390.jpg</t>
  </si>
  <si>
    <t>200_20240610_0007_R_0373.jpg</t>
  </si>
  <si>
    <t>205_20240610_0007_R_0360.jpg</t>
  </si>
  <si>
    <t>210_20240610_0007_R_0350.jpg</t>
  </si>
  <si>
    <t>215_20240610_0007_R_0327.jpg</t>
  </si>
  <si>
    <t>220_20240610_0007_R_0307.jpg</t>
  </si>
  <si>
    <t>225_20240610_0007_R_0282.jpg</t>
  </si>
  <si>
    <t>235_20240610_0007_R_0247.jpg</t>
  </si>
  <si>
    <t>240_20240610_0007_R_0237.jpg</t>
  </si>
  <si>
    <t>245_20240610_0007_R_0206.jpg</t>
  </si>
  <si>
    <t>250_20240610_0007_R_0183.jpg</t>
  </si>
  <si>
    <t>255_20240610_0007_R_0165.jpg</t>
  </si>
  <si>
    <t>260_20240610_0007_R_0144.jpg</t>
  </si>
  <si>
    <t>265_20240610_0007_R_0122.jpg</t>
  </si>
  <si>
    <t>270_20240610_0007_R_0094.jpg</t>
  </si>
  <si>
    <t>275_20240610_0007_R_0039.jpg</t>
  </si>
  <si>
    <t>280_20240610_0006_L_0008.jpg</t>
  </si>
  <si>
    <t>285_20240610_0006_L_0025.jpg</t>
  </si>
  <si>
    <t>290_20240610_0006_L_0051.jpg</t>
  </si>
  <si>
    <t>295_20240610_0006_L_0074.jpg</t>
  </si>
  <si>
    <t>300_20240610_0006_L_0094.jpg</t>
  </si>
  <si>
    <t>305_20240610_0006_L_0115.jpg</t>
  </si>
  <si>
    <t>310_20240610_0006_L_0129.jpg</t>
  </si>
  <si>
    <t>315_20240610_0006_L_0148.jpg</t>
  </si>
  <si>
    <t>320_20240610_0006_L_0165.jpg</t>
  </si>
  <si>
    <t>325_20240610_0006_L_0183.jpg</t>
  </si>
  <si>
    <t>330_20240610_0006_L_0199.jpg</t>
  </si>
  <si>
    <t>335_20240610_0006_L_0211.jpg</t>
  </si>
  <si>
    <t>340_20240610_0006_L_0222.jpg</t>
  </si>
  <si>
    <t>345_20240610_0006_L_0235.jpg</t>
  </si>
  <si>
    <t>350_20240610_0006_L_0251.jpg</t>
  </si>
  <si>
    <t>355_20240610_0006_L_0269.jpg</t>
  </si>
  <si>
    <t>360_20240610_0006_L_0290.jpg</t>
  </si>
  <si>
    <t>365_20240610_0006_L_0323.jpg</t>
  </si>
  <si>
    <t>370_20240610_0006_L_0357.jpg</t>
  </si>
  <si>
    <t>375_20240610_0006_L_0379.jpg</t>
  </si>
  <si>
    <t>380_20240610_0006_L_0396.jpg</t>
  </si>
  <si>
    <t>385_20240610_0006_L_0414.jpg</t>
  </si>
  <si>
    <t>390_20240610_0006_L_0428.jpg</t>
  </si>
  <si>
    <t>395_20240610_0006_L_0441.jpg</t>
  </si>
  <si>
    <t>400_20240610_0006_L_0458.jpg</t>
  </si>
  <si>
    <t>405_20240610_0006_L_0480.jpg</t>
  </si>
  <si>
    <t>410_20240610_0006_L_0503.jpg</t>
  </si>
  <si>
    <t>415_20240610_0006_L_0532.jpg</t>
  </si>
  <si>
    <t>420_20240610_0006_L_0556.jpg</t>
  </si>
  <si>
    <t>1010_20240610_0006_L_0562.jpg</t>
  </si>
  <si>
    <t>1015_20240610_0006_L_0572.jpg</t>
  </si>
  <si>
    <t>1020_20240610_0006_L_0592.jpg</t>
  </si>
  <si>
    <t>1025_20240610_0006_L_0610.jpg</t>
  </si>
  <si>
    <t>1030_20240610_0006_L_0630.jpg</t>
  </si>
  <si>
    <t>1035_20240610_0006_L_0655.jpg</t>
  </si>
  <si>
    <t>1040_20240610_0006_L_0686.jpg</t>
  </si>
  <si>
    <t>1045_20240610_0006_L_0717.jpg</t>
  </si>
  <si>
    <t>1050_20240610_0006_L_0742.jpg</t>
  </si>
  <si>
    <t>1055_20240610_0006_L_0762.jpg</t>
  </si>
  <si>
    <t>1060_20240610_0006_L_0784.jpg</t>
  </si>
  <si>
    <t>1065_20240610_0006_L_0801.jpg</t>
  </si>
  <si>
    <t>1070_20240610_0006_L_0815.jpg</t>
  </si>
  <si>
    <t>1075_20240610_0006_L_0833.jpg</t>
  </si>
  <si>
    <t>1080_20240610_0006_L_0866.jpg</t>
  </si>
  <si>
    <t>1085_20240610_0006_L_0897.jpg</t>
  </si>
  <si>
    <t>1090_20240610_0006_L_0927.jpg</t>
  </si>
  <si>
    <t>1095_20240610_0006_L_0950.jpg</t>
  </si>
  <si>
    <t>1100_20240610_0006_L_0968.jpg</t>
  </si>
  <si>
    <t>1105_20240610_0006_L_0986.jpg</t>
  </si>
  <si>
    <t>1110_20240610_0006_L_1006.jpg</t>
  </si>
  <si>
    <t>1115_20240610_0006_L_1024.jpg</t>
  </si>
  <si>
    <t>1120_20240610_0006_L_1043.jpg</t>
  </si>
  <si>
    <t>1125_20240610_0006_L_1063.jpg</t>
  </si>
  <si>
    <t>1130_20240610_0006_L_1081.jpg</t>
  </si>
  <si>
    <t>1135_20240610_0006_L_1099.jpg</t>
  </si>
  <si>
    <t>1140_20240610_0006_L_1112.jpg</t>
  </si>
  <si>
    <t>1145_20240610_0006_L_1127.jpg</t>
  </si>
  <si>
    <t>1150_20240610_0006_L_1139.jpg</t>
  </si>
  <si>
    <t>1155_20240610_0003_L_0033.jpg</t>
  </si>
  <si>
    <t>1160_20240610_0003_L_0068.jpg</t>
  </si>
  <si>
    <t>1170_20240610_0003_L_0101.jpg</t>
  </si>
  <si>
    <t>1175_20240610_0003_L_0118.jpg</t>
  </si>
  <si>
    <t>1180_20240610_0003_L_0132.jpg</t>
  </si>
  <si>
    <t>1185_20240610_0003_L_0151.jpg</t>
  </si>
  <si>
    <t>1190_20240610_0003_L_0182.jpg</t>
  </si>
  <si>
    <t>1195_20240610_0003_L_0215.jpg</t>
  </si>
  <si>
    <t>1200_20240610_0003_L_0239.jpg</t>
  </si>
  <si>
    <t>1205_20240610_0003_L_0269.jpg</t>
  </si>
  <si>
    <t>1210_20240610_0003_L_0300.jpg</t>
  </si>
  <si>
    <t>1215_20240610_0003_L_0335.jpg</t>
  </si>
  <si>
    <t>1220_20240610_0003_L_0376.jpg</t>
  </si>
  <si>
    <t>1225_20240610_0003_L_0405.jpg</t>
  </si>
  <si>
    <t>1230_20240610_0003_L_0433.jpg</t>
  </si>
  <si>
    <t>1235_20240610_0003_L_0471.jpg</t>
  </si>
  <si>
    <t>1240_20240610_0003_L_0511.jpg</t>
  </si>
  <si>
    <t>1245_20240610_0003_L_0543.jpg</t>
  </si>
  <si>
    <t>1250_20240610_0003_L_0569.jpg</t>
  </si>
  <si>
    <t>1255_20240610_0003_L_0598.jpg</t>
  </si>
  <si>
    <t>1260_20240610_0003_L_0625.jpg</t>
  </si>
  <si>
    <t>1265_20240610_0003_L_0650.jpg</t>
  </si>
  <si>
    <t>1270_20240610_0003_L_0678.jpg</t>
  </si>
  <si>
    <t>1275_20240610_0003_L_0699.jpg</t>
  </si>
  <si>
    <t>1395_20240610_0003_L_0713.jpg</t>
  </si>
  <si>
    <t>1400_20240610_0003_L_0738.jpg</t>
  </si>
  <si>
    <t>1405_20240610_0003_L_0756.jpg</t>
  </si>
  <si>
    <t>1410_20240610_0003_L_0783.jpg</t>
  </si>
  <si>
    <t>1415_20240610_0003_L_0803.jpg</t>
  </si>
  <si>
    <t>1420_20240610_0003_L_0826.jpg</t>
  </si>
  <si>
    <t>1425_20240610_0003_L_0851.jpg</t>
  </si>
  <si>
    <t>1430_20240610_0003_L_0878.jpg</t>
  </si>
  <si>
    <t>1435_20240610_0003_L_0902.jpg</t>
  </si>
  <si>
    <t>1440_20240610_0003_L_0936.jpg</t>
  </si>
  <si>
    <t>1445_20240610_0003_L_0966.jpg</t>
  </si>
  <si>
    <t>1450_20240610_0003_L_0987.jpg</t>
  </si>
  <si>
    <t>1455_20240610_0003_L_1010.jpg</t>
  </si>
  <si>
    <t>1460_20240610_0003_L_1035.jpg</t>
  </si>
  <si>
    <t>1465_20240610_0003_L_1061.jpg</t>
  </si>
  <si>
    <t>1470_20240610_0003_L_1087.jpg</t>
  </si>
  <si>
    <t>1475_20240610_0003_L_1117.jpg</t>
  </si>
  <si>
    <t>1480_20240610_0003_L_1144.jpg</t>
  </si>
  <si>
    <t>1485_20240610_0003_L_1172.jpg</t>
  </si>
  <si>
    <t>1490_20240610_0003_L_1200.jpg</t>
  </si>
  <si>
    <t>1495_20240610_0003_L_1228.jpg</t>
  </si>
  <si>
    <t>1500_20240610_0003_L_1251.jpg</t>
  </si>
  <si>
    <t>1505_20240610_0003_L_1272.jpg</t>
  </si>
  <si>
    <t>1510_20240610_0003_L_1295.jpg</t>
  </si>
  <si>
    <t>1515_20240610_0003_L_1315.jpg</t>
  </si>
  <si>
    <t>1520_20240610_0003_L_1337.jpg</t>
  </si>
  <si>
    <t>1525_20240610_0003_L_1357.jpg</t>
  </si>
  <si>
    <t>1530_20240610_0003_L_1379.jpg</t>
  </si>
  <si>
    <t>1535_20240610_0003_L_1400.jpg</t>
  </si>
  <si>
    <t>1540_20240610_0003_L_1423.jpg</t>
  </si>
  <si>
    <t>1545_20240610_0003_L_1445.jpg</t>
  </si>
  <si>
    <t>1550_20240610_0003_L_1457.jpg</t>
  </si>
  <si>
    <t>1555_20240610_0003_L_1467.jpg</t>
  </si>
  <si>
    <t>1740_20240610_0003_L_1483.jpg</t>
  </si>
  <si>
    <t>1745_20240610_0003_L_1509.jpg</t>
  </si>
  <si>
    <t>1750_20240610_0003_L_1537.jpg</t>
  </si>
  <si>
    <t>1755_20240610_0003_L_1567.jpg</t>
  </si>
  <si>
    <t>1760_20240610_0003_L_1587.jpg</t>
  </si>
  <si>
    <t>1765_20240610_0003_L_1608.jpg</t>
  </si>
  <si>
    <t>1770_20240610_0003_L_1633.jpg</t>
  </si>
  <si>
    <t>1775_20240610_0003_L_1659.jpg</t>
  </si>
  <si>
    <t>1780_20240610_0003_L_1680.jpg</t>
  </si>
  <si>
    <t>1785_20240610_0003_L_1706.jpg</t>
  </si>
  <si>
    <t>1790_20240610_0003_L_1727.jpg</t>
  </si>
  <si>
    <t>1795_20240610_0003_L_1751.jpg</t>
  </si>
  <si>
    <t>1800_20240610_0003_L_1769.jpg</t>
  </si>
  <si>
    <t>1805_20240610_0003_L_1786.jpg</t>
  </si>
  <si>
    <t>1810_20240610_0003_L_1802.jpg</t>
  </si>
  <si>
    <t>1815_20240610_0003_L_1816.jpg</t>
  </si>
  <si>
    <t>1820_20240610_0003_L_1832.jpg</t>
  </si>
  <si>
    <t>1825_20240610_0003_L_1843.jpg</t>
  </si>
  <si>
    <t>1830_20240610_0003_L_1853.jpg</t>
  </si>
  <si>
    <t>1835_20240610_0003_L_1867.jpg</t>
  </si>
  <si>
    <t>1840_20240610_0003_L_1881.jpg</t>
  </si>
  <si>
    <t>1845_20240610_0003_L_1896.jpg</t>
  </si>
  <si>
    <t>1850_20240610_0003_L_1911.jpg</t>
  </si>
  <si>
    <t>1855_20240610_0003_L_1925.jpg</t>
  </si>
  <si>
    <t>1860_20240610_0003_L_1940.jpg</t>
  </si>
  <si>
    <t>1865_20240610_0003_L_1955.jpg</t>
  </si>
  <si>
    <t>1870_20240610_0003_L_1970.jpg</t>
  </si>
  <si>
    <t>1875_20240610_0003_L_1986.jpg</t>
  </si>
  <si>
    <t>1880_20240610_0003_L_2003.jpg</t>
  </si>
  <si>
    <t>1885_20240610_0003_L_2020.jpg</t>
  </si>
  <si>
    <t>1890_20240610_0003_L_2035.jpg</t>
  </si>
  <si>
    <t>1895_20240610_0003_L_2050.jpg</t>
  </si>
  <si>
    <t>1900_20240610_0003_L_2066.jpg</t>
  </si>
  <si>
    <t>1905_20240610_0003_L_2084.jpg</t>
  </si>
  <si>
    <t>1910_20240610_0003_L_2102.jpg</t>
  </si>
  <si>
    <t>1915_20240610_0003_L_2118.jpg</t>
  </si>
  <si>
    <t>1920_20240610_0003_L_2134.jpg</t>
  </si>
  <si>
    <t>1925_20240610_0003_L_2150.jpg</t>
  </si>
  <si>
    <t>1930_20240610_0003_L_2169.jpg</t>
  </si>
  <si>
    <t>1935_20240610_0003_L_2183.jpg</t>
  </si>
  <si>
    <t>1940_20240610_0003_L_2200.jpg</t>
  </si>
  <si>
    <t>1945_20240610_0003_L_2217.jpg</t>
  </si>
  <si>
    <t>1950_20240610_0003_L_2233.jpg</t>
  </si>
  <si>
    <t>1955_20240610_0003_L_2250.jpg</t>
  </si>
  <si>
    <t>1960_20240610_0003_L_2265.jpg</t>
  </si>
  <si>
    <t>1965_20240610_0003_L_2287.jpg</t>
  </si>
  <si>
    <t>1970_20240610_0003_L_2304.jpg</t>
  </si>
  <si>
    <t>1975_20240610_0003_L_2323.jpg</t>
  </si>
  <si>
    <t>1980_20240610_0003_L_2343.jpg</t>
  </si>
  <si>
    <t>1985_20240610_0003_L_2361.jpg</t>
  </si>
  <si>
    <t>1990_20240610_0003_L_2378.jpg</t>
  </si>
  <si>
    <t>1995_20240610_0003_L_2394.jpg</t>
  </si>
  <si>
    <t>2000_20240610_0003_L_2413.jpg</t>
  </si>
  <si>
    <t>2005_20240610_0003_L_2428.jpg</t>
  </si>
  <si>
    <t>2010_20240610_0003_L_2446.jpg</t>
  </si>
  <si>
    <t>2015_20240610_0003_L_2461.jpg</t>
  </si>
  <si>
    <t>2020_20240610_0003_L_2477.jpg</t>
  </si>
  <si>
    <t>2025_20240610_0003_L_2493.jpg</t>
  </si>
  <si>
    <t>2030_20240610_0003_L_2510.jpg</t>
  </si>
  <si>
    <t>2035_20240610_0003_L_2527.jpg</t>
  </si>
  <si>
    <t>2040_20240610_0003_L_2546.jpg</t>
  </si>
  <si>
    <t>2045_20240610_0003_L_2563.jpg</t>
  </si>
  <si>
    <t>2050_20240610_0003_L_2581.jpg</t>
  </si>
  <si>
    <t>2055_20240610_0003_L_2599.jpg</t>
  </si>
  <si>
    <t>2060_20240610_0003_L_2615.jpg</t>
  </si>
  <si>
    <t>2065_20240610_0003_L_2632.jpg</t>
  </si>
  <si>
    <t>2070_20240610_0003_L_2652.jpg</t>
  </si>
  <si>
    <t>2075_20240610_0003_L_2670.jpg</t>
  </si>
  <si>
    <t>2080_20240610_0003_L_2687.jpg</t>
  </si>
  <si>
    <t>2085_20240610_0003_L_2702.jpg</t>
  </si>
  <si>
    <t>2090_20240610_0003_L_2719.jpg</t>
  </si>
  <si>
    <t>2095_20240610_0003_L_2735.jpg</t>
  </si>
  <si>
    <t>2100_20240610_0003_L_2750.jpg</t>
  </si>
  <si>
    <t>2105_20240610_0003_L_2765.jpg</t>
  </si>
  <si>
    <t>2110_20240610_0003_L_2786.jpg</t>
  </si>
  <si>
    <t>2115_20240610_0003_L_2801.jpg</t>
  </si>
  <si>
    <t>2120_20240610_0003_L_2814.jpg</t>
  </si>
  <si>
    <t>2125_20240610_0003_L_2829.jpg</t>
  </si>
  <si>
    <t>2130_20240610_0003_L_2845.jpg</t>
  </si>
  <si>
    <t>2135_20240610_0003_L_2860.jpg</t>
  </si>
  <si>
    <t>2140_20240610_0003_L_2875.jpg</t>
  </si>
  <si>
    <t>2145_20240610_0003_L_2890.jpg</t>
  </si>
  <si>
    <t>2150_20240610_0003_L_2906.jpg</t>
  </si>
  <si>
    <t>2155_20240610_0003_L_2920.jpg</t>
  </si>
  <si>
    <t>2160_20240610_0003_L_2935.jpg</t>
  </si>
  <si>
    <t>2165_20240610_0003_L_2952.jpg</t>
  </si>
  <si>
    <t>2170_20240610_0003_L_2968.jpg</t>
  </si>
  <si>
    <t>2175_20240610_0003_L_2982.jpg</t>
  </si>
  <si>
    <t>2180_20240610_0003_L_2999.jpg</t>
  </si>
  <si>
    <t>2185_20240610_0003_L_3015.jpg</t>
  </si>
  <si>
    <t>2190_20240610_0003_L_3031.jpg</t>
  </si>
  <si>
    <t>2195_20240610_0003_L_3048.jpg</t>
  </si>
  <si>
    <t>2200_20240610_0003_L_3071.jpg</t>
  </si>
  <si>
    <t>2205_20240610_0003_L_3090.jpg</t>
  </si>
  <si>
    <t>2210_20240610_0003_L_3104.jpg</t>
  </si>
  <si>
    <t>2215_20240610_0003_L_3121.jpg</t>
  </si>
  <si>
    <t>2220_20240610_0003_L_3152.jpg</t>
  </si>
  <si>
    <t>2225_20240610_0003_L_3171.jpg</t>
  </si>
  <si>
    <t>2230_20240610_0003_L_3190.jpg</t>
  </si>
  <si>
    <t>2235_20240610_0003_L_3215.jpg</t>
  </si>
  <si>
    <t>2240_20240610_0003_L_3233.jpg</t>
  </si>
  <si>
    <t>2245_20240610_0003_L_3250.jpg</t>
  </si>
  <si>
    <t>2250_20240610_0003_L_3266.jpg</t>
  </si>
  <si>
    <t>2255_20240610_0003_L_3283.jpg</t>
  </si>
  <si>
    <t>2260_20240610_0003_L_3300.jpg</t>
  </si>
  <si>
    <t>2265_20240610_0003_L_3315.jpg</t>
  </si>
  <si>
    <t>2270_20240610_0003_L_3332.jpg</t>
  </si>
  <si>
    <t>2275_20240610_0003_L_3350.jpg</t>
  </si>
  <si>
    <t>2280_20240610_0003_L_3365.jpg</t>
  </si>
  <si>
    <t>2285_20240610_0003_L_3379.jpg</t>
  </si>
  <si>
    <t>2290_20240610_0003_L_3400.jpg</t>
  </si>
  <si>
    <t>2295_20240610_0003_L_3416.jpg</t>
  </si>
  <si>
    <t>2300_20240610_0003_L_3429.jpg</t>
  </si>
  <si>
    <t>2305_20240610_0003_L_3443.jpg</t>
  </si>
  <si>
    <t>2310_20240610_0003_L_3462.jpg</t>
  </si>
  <si>
    <t>2315_20240610_0003_L_3482.jpg</t>
  </si>
  <si>
    <t>2320_20240610_0003_L_3500.jpg</t>
  </si>
  <si>
    <t>2325_20240610_0003_L_3519.jpg</t>
  </si>
  <si>
    <t>2330_20240610_0003_L_3537.jpg</t>
  </si>
  <si>
    <t>2335_20240610_0003_L_3555.jpg</t>
  </si>
  <si>
    <t>2340_20240610_0003_L_3572.jpg</t>
  </si>
  <si>
    <t>2345_20240610_0003_L_3589.jpg</t>
  </si>
  <si>
    <t>2350_20240610_0003_L_3605.jpg</t>
  </si>
  <si>
    <t>2355_20240610_0003_L_3621.jpg</t>
  </si>
  <si>
    <t>2360_20240610_0003_L_3636.jpg</t>
  </si>
  <si>
    <t>2365_20240610_0003_L_3653.jpg</t>
  </si>
  <si>
    <t>2370_20240610_0003_L_3669.jpg</t>
  </si>
  <si>
    <t>2375_20240610_0003_L_3691.jpg</t>
  </si>
  <si>
    <t>2380_20240610_0003_L_3703.jpg</t>
  </si>
  <si>
    <t>2385_20240610_0003_L_3718.jpg</t>
  </si>
  <si>
    <t>2390_20240610_0003_L_3734.jpg</t>
  </si>
  <si>
    <t>2395_20240610_0003_L_3750.jpg</t>
  </si>
  <si>
    <t>2400_20240610_0003_L_3764.jpg</t>
  </si>
  <si>
    <t>2405_20240610_0003_L_3777.jpg</t>
  </si>
  <si>
    <t>2410_20240610_0003_L_3790.jpg</t>
  </si>
  <si>
    <t>2415_20240610_0003_L_3811.jpg</t>
  </si>
  <si>
    <t>2420_20240610_0003_L_3825.jpg</t>
  </si>
  <si>
    <t>2425_20240610_0003_L_3840.jpg</t>
  </si>
  <si>
    <t>2430_20240610_0003_L_3854.jpg</t>
  </si>
  <si>
    <t>2435_20240610_0003_L_3871.jpg</t>
  </si>
  <si>
    <t>2440_20240610_0003_L_3900.jpg</t>
  </si>
  <si>
    <t>2445_20240610_0003_L_3924.jpg</t>
  </si>
  <si>
    <t>2450_20240610_0003_L_3942.jpg</t>
  </si>
  <si>
    <t>2455_20240610_0003_L_3959.jpg</t>
  </si>
  <si>
    <t>2460_20240610_0003_L_3977.jpg</t>
  </si>
  <si>
    <t>2465_20240610_0003_L_3994.jpg</t>
  </si>
  <si>
    <t>2470_20240610_0003_L_4014.jpg</t>
  </si>
  <si>
    <t>2475_20240610_0003_L_4032.jpg</t>
  </si>
  <si>
    <t>2480_20240610_0003_L_4045.jpg</t>
  </si>
  <si>
    <t>2485_20240610_0003_L_4053.jpg</t>
  </si>
  <si>
    <t>2490_20240610_0003_L_4062.jpg</t>
  </si>
  <si>
    <t>2495_20240610_0003_L_4077.jpg</t>
  </si>
  <si>
    <t>2500_20240610_0003_L_4095.jpg</t>
  </si>
  <si>
    <t>2505_20240610_0003_L_4111.jpg</t>
  </si>
  <si>
    <t>2510_20240610_0003_L_4128.jpg</t>
  </si>
  <si>
    <t>2515_20240610_0003_L_4144.jpg</t>
  </si>
  <si>
    <t>2520_20240610_0003_L_4159.jpg</t>
  </si>
  <si>
    <t>2525_20240610_0003_L_4174.jpg</t>
  </si>
  <si>
    <t>2530_20240610_0003_L_4189.jpg</t>
  </si>
  <si>
    <t>2535_20240610_0003_L_4205.jpg</t>
  </si>
  <si>
    <t>2540_20240610_0003_L_4220.jpg</t>
  </si>
  <si>
    <t>2545_20240610_0003_L_4236.jpg</t>
  </si>
  <si>
    <t>2550_20240610_0003_L_4255.jpg</t>
  </si>
  <si>
    <t>2555_20240610_0003_L_4272.jpg</t>
  </si>
  <si>
    <t>2560_20240610_0003_L_4287.jpg</t>
  </si>
  <si>
    <t>2565_20240610_0003_L_4308.jpg</t>
  </si>
  <si>
    <t>2570_20240610_0003_L_4327.jpg</t>
  </si>
  <si>
    <t>2575_20240610_0003_L_4351.jpg</t>
  </si>
  <si>
    <t>2580_20240610_0003_L_4400.jpg</t>
  </si>
  <si>
    <t>2585_20240610_0003_L_4444.jpg</t>
  </si>
  <si>
    <t>2590_20240610_0003_L_4470.jpg</t>
  </si>
  <si>
    <t>2595_20240610_0003_L_4498.jpg</t>
  </si>
  <si>
    <t>2600_20240610_0003_L_4528.jpg</t>
  </si>
  <si>
    <t>2605_20240610_0003_L_4555.jpg</t>
  </si>
  <si>
    <t>2610_20240610_0003_L_4580.jpg</t>
  </si>
  <si>
    <t>2615_20240610_0003_L_4601.jpg</t>
  </si>
  <si>
    <t>2620_20240610_0003_L_4626.jpg</t>
  </si>
  <si>
    <t>2625_20240610_0003_L_4649.jpg</t>
  </si>
  <si>
    <t>2630_20240610_0003_L_4692.jpg</t>
  </si>
  <si>
    <t>2635_20240610_0003_L_4707.jpg</t>
  </si>
  <si>
    <t>2640_20240610_0003_L_4721.jpg</t>
  </si>
  <si>
    <t>2645_20240610_0003_L_4739.jpg</t>
  </si>
  <si>
    <t>2650_20240610_0003_L_4756.jpg</t>
  </si>
  <si>
    <t>2655_20240610_0003_L_4770.jpg</t>
  </si>
  <si>
    <t>2660_20240610_0003_L_4787.jpg</t>
  </si>
  <si>
    <t>2665_20240610_0003_L_4806.jpg</t>
  </si>
  <si>
    <t>2670_20240610_0003_L_4822.jpg</t>
  </si>
  <si>
    <t>2675_20240610_0003_L_4840.jpg</t>
  </si>
  <si>
    <t>2680_20240610_0003_L_4855.jpg</t>
  </si>
  <si>
    <t>2685_20240610_0003_L_4872.jpg</t>
  </si>
  <si>
    <t>2690_20240610_0003_L_4888.jpg</t>
  </si>
  <si>
    <t>2695_20240610_0003_L_4914.jpg</t>
  </si>
  <si>
    <t>2700_20240610_0003_L_4929.jpg</t>
  </si>
  <si>
    <t>2705_20240610_0003_L_4945.jpg</t>
  </si>
  <si>
    <t>2710_20240610_0003_L_4959.jpg</t>
  </si>
  <si>
    <t>2715_20240610_0003_L_4974.jpg</t>
  </si>
  <si>
    <t>2720_20240610_0003_L_5003.jpg</t>
  </si>
  <si>
    <t>2725_20240610_0003_L_5021.jpg</t>
  </si>
  <si>
    <t>2730_20240610_0003_L_5040.jpg</t>
  </si>
  <si>
    <t>2735_20240610_0003_L_5057.jpg</t>
  </si>
  <si>
    <t>3020_20240610_0004_L_0008.jpg</t>
  </si>
  <si>
    <t>3025_20240610_0004_L_0031.jpg</t>
  </si>
  <si>
    <t>3030_20240610_0004_L_0048.jpg</t>
  </si>
  <si>
    <t>3035_20240610_0004_L_0062.jpg</t>
  </si>
  <si>
    <t>3040_20240610_0004_L_0078.jpg</t>
  </si>
  <si>
    <t>3045_20240610_0004_L_0096.jpg</t>
  </si>
  <si>
    <t>3050_20240610_0004_L_0112.jpg</t>
  </si>
  <si>
    <t>3055_20240610_0004_L_0128.jpg</t>
  </si>
  <si>
    <t>3060_20240610_0004_L_0143.jpg</t>
  </si>
  <si>
    <t>3065_20240610_0004_L_0157.jpg</t>
  </si>
  <si>
    <t>3070_20240610_0004_L_0173.jpg</t>
  </si>
  <si>
    <t>3075_20240610_0004_L_0190.jpg</t>
  </si>
  <si>
    <t>3080_20240610_0004_L_0206.jpg</t>
  </si>
  <si>
    <t>3085_20240610_0004_L_0222.jpg</t>
  </si>
  <si>
    <t>3090_20240610_0004_L_0236.jpg</t>
  </si>
  <si>
    <t>3095_20240610_0004_L_0254.jpg</t>
  </si>
  <si>
    <t>3100_20240610_0004_L_0270.jpg</t>
  </si>
  <si>
    <t>3105_20240610_0004_L_0285.jpg</t>
  </si>
  <si>
    <t>3110_20240610_0004_L_0301.jpg</t>
  </si>
  <si>
    <t>3115_20240610_0004_L_0316.jpg</t>
  </si>
  <si>
    <t>3120_20240610_0004_L_0335.jpg</t>
  </si>
  <si>
    <t>3125_20240610_0004_L_0354.jpg</t>
  </si>
  <si>
    <t>3130_20240610_0004_L_0372.jpg</t>
  </si>
  <si>
    <t>3135_20240610_0005_L_0023.jpg</t>
  </si>
  <si>
    <t>3140_20240610_0005_L_0040.jpg</t>
  </si>
  <si>
    <t>3145_20240610_0003_L_4377.jpg</t>
  </si>
  <si>
    <t>3150_20240610_0005_L_0068.jpg</t>
  </si>
  <si>
    <t>3155_20240610_0005_L_0084.jpg</t>
  </si>
  <si>
    <t>3160_20240610_0005_L_0100.jpg</t>
  </si>
  <si>
    <t>3165_20240610_0005_L_0115.jpg</t>
  </si>
  <si>
    <t>3170_20240610_0005_L_0127.jpg</t>
  </si>
  <si>
    <t>3175_20240610_0005_L_0139.jpg</t>
  </si>
  <si>
    <t>3180_20240610_0005_L_0150.jpg</t>
  </si>
  <si>
    <t>3185_20240610_0005_L_0160.jpg</t>
  </si>
  <si>
    <t>3190_20240610_0005_L_0168.jpg</t>
  </si>
  <si>
    <t>3195_20240610_0005_L_0175.jpg</t>
  </si>
  <si>
    <t>3200_20240610_0005_L_0182.jpg</t>
  </si>
  <si>
    <t>3240_20240610_0005_L_0186.jpg</t>
  </si>
  <si>
    <t>3250_20240610_0005_L_0192.jpg</t>
  </si>
  <si>
    <t>3255_20240610_0005_L_0201.jpg</t>
  </si>
  <si>
    <t>3260_20240610_0005_L_0213.jpg</t>
  </si>
  <si>
    <t>3265_20240610_0005_L_0225.jpg</t>
  </si>
  <si>
    <t>3270_20240610_0005_L_0236.jpg</t>
  </si>
  <si>
    <t>3275_20240610_0005_L_0247.jpg</t>
  </si>
  <si>
    <t>3280_20240610_0005_L_0260.jpg</t>
  </si>
  <si>
    <t>3285_20240610_0005_L_0272.jpg</t>
  </si>
  <si>
    <t>3290_20240610_0005_L_0286.jpg</t>
  </si>
  <si>
    <t>3295_20240610_0005_L_0300.jpg</t>
  </si>
  <si>
    <t>3300_20240610_0005_L_0315.jpg</t>
  </si>
  <si>
    <t>3305_20240610_0005_L_0330.jpg</t>
  </si>
  <si>
    <t>3310_20240610_0005_L_0345.jpg</t>
  </si>
  <si>
    <t>3315_20240610_0005_L_0361.jpg</t>
  </si>
  <si>
    <t>3320_20240610_0005_L_0375.jpg</t>
  </si>
  <si>
    <t>3325_20240610_0005_L_0388.jpg</t>
  </si>
  <si>
    <t>3330_20240610_0005_L_0405.jpg</t>
  </si>
  <si>
    <t>3335_20240610_0005_L_0423.jpg</t>
  </si>
  <si>
    <t>3340_20240610_0005_L_0440.jpg</t>
  </si>
  <si>
    <t>3345_20240610_0005_L_0460.jpg</t>
  </si>
  <si>
    <t>3350_20240610_0005_L_0473.jpg</t>
  </si>
  <si>
    <t>3355_20240610_0005_L_0487.jpg</t>
  </si>
  <si>
    <t>3360_20240610_0005_L_0498.jpg</t>
  </si>
  <si>
    <t>3365_20240610_0005_L_0515.jpg</t>
  </si>
  <si>
    <t>3370_20240610_0005_L_0533.jpg</t>
  </si>
  <si>
    <t>3375_20240610_0005_L_0547.jpg</t>
  </si>
  <si>
    <t>3380_20240610_0005_L_0560.jpg</t>
  </si>
  <si>
    <t>3385_20240610_0005_L_0575.jpg</t>
  </si>
  <si>
    <t>3390_20240610_0005_L_0588.jpg</t>
  </si>
  <si>
    <t>3395_20240610_0005_L_0602.jpg</t>
  </si>
  <si>
    <t>3400_20240610_0005_L_0616.jpg</t>
  </si>
  <si>
    <t>3405_20240610_0005_L_0631.jpg</t>
  </si>
  <si>
    <t>3410_20240610_0005_L_0638.jpg</t>
  </si>
  <si>
    <t>3415_20240610_0005_L_0644.jpg</t>
  </si>
  <si>
    <t>3420_20240610_0005_L_0659.jpg</t>
  </si>
  <si>
    <t>3425_20240610_0005_L_0673.jpg</t>
  </si>
  <si>
    <t>3430_20240610_0005_L_0685.jpg</t>
  </si>
  <si>
    <t>3435_20240610_0005_L_0698.jpg</t>
  </si>
  <si>
    <t>3440_20240610_0005_L_0711.jpg</t>
  </si>
  <si>
    <t>3445_20240610_0005_L_0726.jpg</t>
  </si>
  <si>
    <t>3450_20240610_0005_L_0738.jpg</t>
  </si>
  <si>
    <t>3455_20240610_0005_L_0752.jpg</t>
  </si>
  <si>
    <t>3460_20240610_0005_L_0766.jpg</t>
  </si>
  <si>
    <t>3465_20240610_0005_L_0779.jpg</t>
  </si>
  <si>
    <t>3470_20240610_0005_L_0791.jpg</t>
  </si>
  <si>
    <t>3475_20240610_0005_L_0803.jpg</t>
  </si>
  <si>
    <t>3480_20240610_0005_L_0817.jpg</t>
  </si>
  <si>
    <t>3485_20240610_0005_L_0829.jpg</t>
  </si>
  <si>
    <t>3490_20240610_0005_L_0840.jpg</t>
  </si>
  <si>
    <t>3495_20240610_0005_L_0850.jpg</t>
  </si>
  <si>
    <t>3500_20240610_0005_L_0860.jpg</t>
  </si>
  <si>
    <t>3505_20240610_0005_L_0873.jpg</t>
  </si>
  <si>
    <t>3510_20240610_0005_L_0885.jpg</t>
  </si>
  <si>
    <t>3515_20240610_0005_L_0900.jpg</t>
  </si>
  <si>
    <t>3520_20240610_0005_L_0914.jpg</t>
  </si>
  <si>
    <t>3525_20240610_0005_L_0927.jpg</t>
  </si>
  <si>
    <t>3530_20240610_0005_L_0940.jpg</t>
  </si>
  <si>
    <t>3535_20240610_0005_L_0953.jpg</t>
  </si>
  <si>
    <t>3540_20240610_0005_L_0965.jpg</t>
  </si>
  <si>
    <t>3545_20240610_0005_L_0977.jpg</t>
  </si>
  <si>
    <t>3550_20240610_0005_L_0990.jpg</t>
  </si>
  <si>
    <t>3555_20240610_0005_L_1002.jpg</t>
  </si>
  <si>
    <t>3560_20240610_0005_L_1014.jpg</t>
  </si>
  <si>
    <t>3565_20240610_0005_L_1027.jpg</t>
  </si>
  <si>
    <t>3570_20240610_0005_L_1040.jpg</t>
  </si>
  <si>
    <t>3575_20240610_0005_L_1053.jpg</t>
  </si>
  <si>
    <t>3580_20240610_0005_L_1064.jpg</t>
  </si>
  <si>
    <t>3585_20240610_0005_L_1076.jpg</t>
  </si>
  <si>
    <t>3590_20240610_0005_L_1087.jpg</t>
  </si>
  <si>
    <t>3595_20240610_0005_L_1098.jpg</t>
  </si>
  <si>
    <t>3600_20240610_0005_L_1109.jpg</t>
  </si>
  <si>
    <t>3605_20240610_0005_L_1121.jpg</t>
  </si>
  <si>
    <t>3610_20240610_0005_L_1131.jpg</t>
  </si>
  <si>
    <t>3615_20240610_0005_L_1139.jpg</t>
  </si>
  <si>
    <t>3620_20240610_0005_L_1145.jpg</t>
  </si>
  <si>
    <t>3625_20240610_0005_L_1155.jpg</t>
  </si>
  <si>
    <t>3630_20240610_0005_L_1169.jpg</t>
  </si>
  <si>
    <t>3635_20240610_0005_L_1181.jpg</t>
  </si>
  <si>
    <t>3640_20240610_0005_L_1191.jpg</t>
  </si>
  <si>
    <t>3645_20240610_0005_L_1208.jpg</t>
  </si>
  <si>
    <t>3650_20240610_0005_L_1221.jpg</t>
  </si>
  <si>
    <t>3655_20240610_0005_L_1233.jpg</t>
  </si>
  <si>
    <t>3660_20240610_0005_L_1243.jpg</t>
  </si>
  <si>
    <t>3665_20240610_0005_L_1256.jpg</t>
  </si>
  <si>
    <t>3670_20240610_0005_L_1270.jpg</t>
  </si>
  <si>
    <t>3675_20240610_0005_L_1284.jpg</t>
  </si>
  <si>
    <t>3680_20240610_0005_L_1297.jpg</t>
  </si>
  <si>
    <t>3685_20240610_0005_L_1310.jpg</t>
  </si>
  <si>
    <t>3690_20240610_0005_L_1324.jpg</t>
  </si>
  <si>
    <t>3695_20240610_0005_L_1338.jpg</t>
  </si>
  <si>
    <t>3700_20240610_0005_L_1353.jpg</t>
  </si>
  <si>
    <t>3705_20240610_0005_L_1367.jpg</t>
  </si>
  <si>
    <t>3710_20240610_0005_L_1381.jpg</t>
  </si>
  <si>
    <t>3715_20240610_0005_L_1395.jpg</t>
  </si>
  <si>
    <t>3720_20240610_0005_L_1411.jpg</t>
  </si>
  <si>
    <t>3725_20240610_0005_L_1424.jpg</t>
  </si>
  <si>
    <t>3730_20240610_0005_L_1437.jpg</t>
  </si>
  <si>
    <t>3735_20240610_0005_L_1451.jpg</t>
  </si>
  <si>
    <t>3740_20240610_0005_L_1464.jpg</t>
  </si>
  <si>
    <t>3745_20240610_0005_L_1477.jpg</t>
  </si>
  <si>
    <t>3750_20240610_0005_L_1490.jpg</t>
  </si>
  <si>
    <t>3755_20240610_0005_L_1502.jpg</t>
  </si>
  <si>
    <t>3760_20240610_0005_L_1514.jpg</t>
  </si>
  <si>
    <t>3765_20240610_0005_L_1527.jpg</t>
  </si>
  <si>
    <t>3770_20240610_0005_L_1543.jpg</t>
  </si>
  <si>
    <t>3775_20240610_0005_L_1555.jpg</t>
  </si>
  <si>
    <t>3780_20240610_0005_L_1567.jpg</t>
  </si>
  <si>
    <t>3785_20240610_0005_L_1579.jpg</t>
  </si>
  <si>
    <t>3790_20240610_0005_L_1590.jpg</t>
  </si>
  <si>
    <t>3795_20240610_0005_L_1603.jpg</t>
  </si>
  <si>
    <t>3800_20240610_0005_L_1613.jpg</t>
  </si>
  <si>
    <t>3810_20240610_0005_L_1636.jpg</t>
  </si>
  <si>
    <t>3815_20240610_0005_L_1652.jpg</t>
  </si>
  <si>
    <t>3820_20240610_0005_L_1668.jpg</t>
  </si>
  <si>
    <t>3825_20240610_0005_L_1682.jpg</t>
  </si>
  <si>
    <t>3830_20240610_0005_L_1695.jpg</t>
  </si>
  <si>
    <t>3835_20240610_0005_L_1706.jpg</t>
  </si>
  <si>
    <t>3840_20240610_0005_L_1719.jpg</t>
  </si>
  <si>
    <t>3845_20240610_0005_L_1731.jpg</t>
  </si>
  <si>
    <t>3850_20240610_0005_L_1744.jpg</t>
  </si>
  <si>
    <t>3855_20240610_0005_L_1757.jpg</t>
  </si>
  <si>
    <t>3860_20240610_0005_L_1772.jpg</t>
  </si>
  <si>
    <t>3865_20240610_0005_L_1785.jpg</t>
  </si>
  <si>
    <t>3870_20240610_0005_L_1799.jpg</t>
  </si>
  <si>
    <t>3875_20240610_0005_L_1810.jpg</t>
  </si>
  <si>
    <t>3880_20240610_0005_L_1819.jpg</t>
  </si>
  <si>
    <t>3885_20240610_0005_L_1830.jpg</t>
  </si>
  <si>
    <t>3890_20240610_0005_L_1842.jpg</t>
  </si>
  <si>
    <t>3895_20240610_0005_L_1854.jpg</t>
  </si>
  <si>
    <t>3900_20240610_0005_L_1867.jpg</t>
  </si>
  <si>
    <t>3905_20240610_0005_L_1880.jpg</t>
  </si>
  <si>
    <t>3910_20240610_0005_L_1894.jpg</t>
  </si>
  <si>
    <t>3915_20240610_0005_L_1907.jpg</t>
  </si>
  <si>
    <t>3920_20240610_0005_L_1921.jpg</t>
  </si>
  <si>
    <t>3925_20240610_0005_L_1934.jpg</t>
  </si>
  <si>
    <t>3930_20240610_0005_L_1947.jpg</t>
  </si>
  <si>
    <t>3935_20240610_0005_L_1960.jpg</t>
  </si>
  <si>
    <t>3940_20240610_0005_L_1975.jpg</t>
  </si>
  <si>
    <t>3945_20240610_0005_L_1994.jpg</t>
  </si>
  <si>
    <t>3950_20240610_0005_L_2013.jpg</t>
  </si>
  <si>
    <t>3955_20240610_0005_L_2032.jpg</t>
  </si>
  <si>
    <t>3960_20240610_0005_L_2052.jpg</t>
  </si>
  <si>
    <t>3965_20240610_0005_L_2078.jpg</t>
  </si>
  <si>
    <t>3970_20240610_0005_L_2101.jpg</t>
  </si>
  <si>
    <t>3975_20240610_0005_L_2116.jpg</t>
  </si>
  <si>
    <t>3980_20240610_0005_L_2129.jpg</t>
  </si>
  <si>
    <t>3985_20240610_0005_L_2142.jpg</t>
  </si>
  <si>
    <t>3990_20240610_0005_L_2155.jpg</t>
  </si>
  <si>
    <t>3995_20240610_0005_L_2168.jpg</t>
  </si>
  <si>
    <t>4000_20240610_0005_L_2180.jpg</t>
  </si>
  <si>
    <t>4005_20240610_0005_L_2192.jpg</t>
  </si>
  <si>
    <t>4010_20240610_0005_L_2205.jpg</t>
  </si>
  <si>
    <t>4015_20240610_0005_L_2220.jpg</t>
  </si>
  <si>
    <t>4020_20240610_0005_L_2236.jpg</t>
  </si>
  <si>
    <t>4025_20240610_0005_L_2252.jpg</t>
  </si>
  <si>
    <t>4030_20240610_0005_L_2267.jpg</t>
  </si>
  <si>
    <t>4035_20240610_0005_L_2284.jpg</t>
  </si>
  <si>
    <t>4040_20240610_0005_L_2307.jpg</t>
  </si>
  <si>
    <t>4045_20240610_0005_L_2328.jpg</t>
  </si>
  <si>
    <t>4050_20240610_0005_L_2360.jpg</t>
  </si>
  <si>
    <t>4055_20240610_0005_L_2377.jpg</t>
  </si>
  <si>
    <t>4060_20240610_0005_L_2394.jpg</t>
  </si>
  <si>
    <t>4065_20240610_0005_L_2416.jpg</t>
  </si>
  <si>
    <t>4070_20240610_0005_L_2434.jpg</t>
  </si>
  <si>
    <t>4075_20240610_0005_L_2455.jpg</t>
  </si>
  <si>
    <t>4080_20240610_0005_L_2477.jpg</t>
  </si>
  <si>
    <t>4085_20240610_0005_L_2497.jpg</t>
  </si>
  <si>
    <t>4090_20240610_0005_L_2518.jpg</t>
  </si>
  <si>
    <t>4095_20240610_0005_L_2539.jpg</t>
  </si>
  <si>
    <t>4100_20240610_0005_L_2559.jpg</t>
  </si>
  <si>
    <t>4105_20240610_0005_L_2588.jpg</t>
  </si>
  <si>
    <t>4110_20240610_0005_L_2607.jpg</t>
  </si>
  <si>
    <t>4115_20240610_0005_L_2626.jpg</t>
  </si>
  <si>
    <t>4120_20240610_0005_L_2646.jpg</t>
  </si>
  <si>
    <t>4125_20240610_0005_L_2664.jpg</t>
  </si>
  <si>
    <t>4130_20240610_0005_L_2678.jpg</t>
  </si>
  <si>
    <t>4135_20240610_0005_L_2714.jpg</t>
  </si>
  <si>
    <t>4140_20240610_0005_L_2733.jpg</t>
  </si>
  <si>
    <t>4145_20240610_0005_L_2747.jpg</t>
  </si>
  <si>
    <t>4150_20240610_0005_L_2759.jpg</t>
  </si>
  <si>
    <t>4155_20240610_0005_L_2774.jpg</t>
  </si>
  <si>
    <t>4160_20240610_0005_L_2790.jpg</t>
  </si>
  <si>
    <t>4165_20240610_0005_L_2805.jpg</t>
  </si>
  <si>
    <t>4170_20240610_0005_L_2845.jpg</t>
  </si>
  <si>
    <t>4185_20240610_0005_L_2872.jpg</t>
  </si>
  <si>
    <t>4190_20240610_0005_L_2886.jpg</t>
  </si>
  <si>
    <t>4195_20240610_0005_L_2907.jpg</t>
  </si>
  <si>
    <t>4200_20240610_0005_L_2931.jpg</t>
  </si>
  <si>
    <t>4205_20240610_0005_L_2949.jpg</t>
  </si>
  <si>
    <t>4210_20240610_0005_L_2966.jpg</t>
  </si>
  <si>
    <t>4215_20240610_0005_L_2984.jpg</t>
  </si>
  <si>
    <t>4220_20240610_0005_L_3001.jpg</t>
  </si>
  <si>
    <t>4225_20240610_0005_L_3018.jpg</t>
  </si>
  <si>
    <t>4230_20240610_0005_L_3037.jpg</t>
  </si>
  <si>
    <t>4235_20240610_0005_L_3056.jpg</t>
  </si>
  <si>
    <t>4240_20240610_0005_L_3078.jpg</t>
  </si>
  <si>
    <t>4245_20240610_0005_L_3097.jpg</t>
  </si>
  <si>
    <t>4250_20240610_0005_L_3117.jpg</t>
  </si>
  <si>
    <t>4255_20240610_0005_L_3138.jpg</t>
  </si>
  <si>
    <t>4410_20240610_0005_L_3149.jpg</t>
  </si>
  <si>
    <t>4415_20240610_0005_L_3175.jpg</t>
  </si>
  <si>
    <t>4420_20240610_0005_L_3204.jpg</t>
  </si>
  <si>
    <t>4425_20240610_0005_L_3225.jpg</t>
  </si>
  <si>
    <t>4430_20240610_0005_L_3246.jpg</t>
  </si>
  <si>
    <t>4435_20240610_0005_L_3258.jpg</t>
  </si>
  <si>
    <t>4440_20240610_0005_L_3271.jpg</t>
  </si>
  <si>
    <t>4445_20240610_0005_L_3281.jpg</t>
  </si>
  <si>
    <t>4450_20240610_0005_L_3293.jpg</t>
  </si>
  <si>
    <t>4455_20240610_0005_L_3305.jpg</t>
  </si>
  <si>
    <t>4460_20240610_0005_L_3320.jpg</t>
  </si>
  <si>
    <t>4465_20240610_0005_L_3332.jpg</t>
  </si>
  <si>
    <t>4470_20240610_0005_L_3346.jpg</t>
  </si>
  <si>
    <t>4475_20240610_0005_L_3360.jpg</t>
  </si>
  <si>
    <t>4480_20240610_0005_L_3373.jpg</t>
  </si>
  <si>
    <t>4485_20240610_0005_L_3394.jpg</t>
  </si>
  <si>
    <t>4490_20240610_0005_L_3430.jpg</t>
  </si>
  <si>
    <t>4500_20240610_0002_R_0906.jpg</t>
  </si>
  <si>
    <t>4505_20240610_0002_R_0876.jpg</t>
  </si>
  <si>
    <t>4510_20240610_0002_R_0836.jpg</t>
  </si>
  <si>
    <t>4515_20240610_0002_R_0813.jpg</t>
  </si>
  <si>
    <t>4520_20240610_0002_R_0795.jpg</t>
  </si>
  <si>
    <t>4525_20240610_0002_R_0767.jpg</t>
  </si>
  <si>
    <t>4530_20240610_0002_R_0720.jpg</t>
  </si>
  <si>
    <t>4535_20240610_0002_R_0690.jpg</t>
  </si>
  <si>
    <t>4540_20240610_0002_R_0655.jpg</t>
  </si>
  <si>
    <t>4545_20240610_0002_R_0635.jpg</t>
  </si>
  <si>
    <t>4550_20240610_0002_R_0620.jpg</t>
  </si>
  <si>
    <t>4555_20240610_0002_R_0601.jpg</t>
  </si>
  <si>
    <t>4560_20240610_0002_R_0580.jpg</t>
  </si>
  <si>
    <t>4565_20240610_0002_R_0562.jpg</t>
  </si>
  <si>
    <t>4570_20240610_0002_R_0544.jpg</t>
  </si>
  <si>
    <t>4675_20240610_0008_L_0002.jpg</t>
  </si>
  <si>
    <t>4680_20240610_0008_L_0006.jpg</t>
  </si>
  <si>
    <t>4685_20240610_0008_L_0021.jpg</t>
  </si>
  <si>
    <t>4690_20240610_0008_L_0037.jpg</t>
  </si>
  <si>
    <t>4695_20240610_0008_L_0053.jpg</t>
  </si>
  <si>
    <t>4700_20240610_0008_L_0080.jpg</t>
  </si>
  <si>
    <t>4705_20240610_0008_L_0090.jpg</t>
  </si>
  <si>
    <t>4710_20240610_0008_L_0095.jpg</t>
  </si>
  <si>
    <t>4715_20240610_0008_L_0104.jpg</t>
  </si>
  <si>
    <t>4720_20240610_0008_L_0115.jpg</t>
  </si>
  <si>
    <t>4725_20240610_0008_L_0131.jpg</t>
  </si>
  <si>
    <t>4730_20240610_0008_L_0156.jpg</t>
  </si>
  <si>
    <t>4735_20240610_0008_L_0180.jpg</t>
  </si>
  <si>
    <t>4740_20240610_0008_L_0197.jpg</t>
  </si>
  <si>
    <t>4745_20240610_0008_L_0218.jpg</t>
  </si>
  <si>
    <t>Mangrove_Presence24_50</t>
  </si>
  <si>
    <t>Column Labels</t>
  </si>
  <si>
    <t>(blank)</t>
  </si>
  <si>
    <t>Grand Total</t>
  </si>
  <si>
    <t>Row Labels</t>
  </si>
  <si>
    <t>(Multiple Items)</t>
  </si>
  <si>
    <t>Mangrove_Presence_Corr</t>
  </si>
  <si>
    <t>Count of Mangrove_Presence_Corr</t>
  </si>
  <si>
    <t>Count of Physical_Damage</t>
  </si>
  <si>
    <t>Count of Shoreline_Modification</t>
  </si>
  <si>
    <t>Average of Density24</t>
  </si>
  <si>
    <t>IF(F4="", "", HYPERLINK("D:\Data From Lucan\2024\Johnstone\Frames_for_Analysis_50\" &amp; F4, F4))</t>
  </si>
  <si>
    <t>Average of Maturity24</t>
  </si>
  <si>
    <t>Average of Condition_Score24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</si>
</sst>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EA6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0" fillId="0" borderId="0" applyNumberFormat="0" applyFill="0" applyBorder="0" applyAlignment="0" applyProtection="0"/>
  </cellStyleXfs>
  <cellXfs count="87">
    <xf numFmtId="0" fontId="0" fillId="0" borderId="0" xfId="0"/>
    <xf numFmtId="0" fontId="20" fillId="0" borderId="0" xfId="43"/>
    <xf numFmtId="0" fontId="16" fillId="34" borderId="13" xfId="0" applyFont="1" applyFill="1" applyBorder="1"/>
    <xf numFmtId="0" fontId="16" fillId="34" borderId="10" xfId="0" applyFont="1" applyFill="1" applyBorder="1"/>
    <xf numFmtId="0" fontId="0" fillId="34" borderId="16" xfId="0" applyFill="1" applyBorder="1"/>
    <xf numFmtId="0" fontId="0" fillId="34" borderId="11" xfId="0" applyFill="1" applyBorder="1"/>
    <xf numFmtId="0" fontId="18" fillId="34" borderId="18" xfId="42" applyFill="1" applyBorder="1" applyAlignment="1">
      <alignment textRotation="90"/>
    </xf>
    <xf numFmtId="0" fontId="18" fillId="34" borderId="12" xfId="42" applyFill="1" applyBorder="1" applyAlignment="1">
      <alignment textRotation="90"/>
    </xf>
    <xf numFmtId="0" fontId="18" fillId="35" borderId="19" xfId="42" applyFill="1" applyBorder="1" applyAlignment="1">
      <alignment textRotation="90"/>
    </xf>
    <xf numFmtId="0" fontId="18" fillId="35" borderId="0" xfId="42" applyFill="1" applyAlignment="1">
      <alignment textRotation="90"/>
    </xf>
    <xf numFmtId="0" fontId="0" fillId="0" borderId="16" xfId="0" applyBorder="1"/>
    <xf numFmtId="0" fontId="16" fillId="37" borderId="15" xfId="0" applyFont="1" applyFill="1" applyBorder="1" applyAlignment="1">
      <alignment horizontal="center"/>
    </xf>
    <xf numFmtId="0" fontId="0" fillId="38" borderId="15" xfId="0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16" fillId="34" borderId="15" xfId="0" applyFont="1" applyFill="1" applyBorder="1" applyAlignment="1">
      <alignment horizontal="center"/>
    </xf>
    <xf numFmtId="0" fontId="16" fillId="34" borderId="13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9" borderId="22" xfId="0" applyFill="1" applyBorder="1" applyAlignment="1">
      <alignment horizontal="center"/>
    </xf>
    <xf numFmtId="0" fontId="19" fillId="37" borderId="20" xfId="42" applyFont="1" applyFill="1" applyBorder="1" applyAlignment="1">
      <alignment horizontal="center" textRotation="90"/>
    </xf>
    <xf numFmtId="0" fontId="19" fillId="38" borderId="20" xfId="42" applyFont="1" applyFill="1" applyBorder="1" applyAlignment="1">
      <alignment horizontal="center" textRotation="90"/>
    </xf>
    <xf numFmtId="0" fontId="19" fillId="33" borderId="20" xfId="42" applyFont="1" applyFill="1" applyBorder="1" applyAlignment="1">
      <alignment horizontal="center" textRotation="90"/>
    </xf>
    <xf numFmtId="0" fontId="19" fillId="34" borderId="20" xfId="42" applyFont="1" applyFill="1" applyBorder="1" applyAlignment="1">
      <alignment horizontal="center" textRotation="90"/>
    </xf>
    <xf numFmtId="0" fontId="19" fillId="34" borderId="18" xfId="42" applyFont="1" applyFill="1" applyBorder="1" applyAlignment="1">
      <alignment horizontal="center" textRotation="90"/>
    </xf>
    <xf numFmtId="0" fontId="19" fillId="39" borderId="23" xfId="42" applyFont="1" applyFill="1" applyBorder="1" applyAlignment="1">
      <alignment horizontal="center" textRotation="90"/>
    </xf>
    <xf numFmtId="0" fontId="0" fillId="37" borderId="16" xfId="0" applyFill="1" applyBorder="1" applyAlignment="1">
      <alignment horizontal="center"/>
    </xf>
    <xf numFmtId="0" fontId="0" fillId="38" borderId="1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0" xfId="0" applyFill="1" applyAlignment="1">
      <alignment horizontal="center"/>
    </xf>
    <xf numFmtId="0" fontId="16" fillId="40" borderId="24" xfId="0" applyFont="1" applyFill="1" applyBorder="1" applyAlignment="1">
      <alignment horizontal="center"/>
    </xf>
    <xf numFmtId="0" fontId="16" fillId="40" borderId="25" xfId="0" applyFont="1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40" borderId="27" xfId="0" applyFill="1" applyBorder="1" applyAlignment="1">
      <alignment horizontal="center"/>
    </xf>
    <xf numFmtId="0" fontId="19" fillId="40" borderId="28" xfId="42" applyFont="1" applyFill="1" applyBorder="1" applyAlignment="1">
      <alignment horizontal="center" textRotation="90"/>
    </xf>
    <xf numFmtId="0" fontId="19" fillId="40" borderId="29" xfId="42" applyFont="1" applyFill="1" applyBorder="1" applyAlignment="1">
      <alignment horizontal="center" textRotation="90"/>
    </xf>
    <xf numFmtId="0" fontId="16" fillId="39" borderId="24" xfId="0" applyFont="1" applyFill="1" applyBorder="1" applyAlignment="1">
      <alignment horizontal="center"/>
    </xf>
    <xf numFmtId="0" fontId="0" fillId="39" borderId="26" xfId="0" applyFill="1" applyBorder="1" applyAlignment="1">
      <alignment horizontal="center"/>
    </xf>
    <xf numFmtId="0" fontId="19" fillId="39" borderId="28" xfId="42" applyFont="1" applyFill="1" applyBorder="1" applyAlignment="1">
      <alignment horizontal="center" textRotation="90"/>
    </xf>
    <xf numFmtId="0" fontId="16" fillId="36" borderId="14" xfId="0" applyFont="1" applyFill="1" applyBorder="1" applyAlignment="1">
      <alignment horizontal="center"/>
    </xf>
    <xf numFmtId="0" fontId="0" fillId="36" borderId="17" xfId="0" applyFill="1" applyBorder="1" applyAlignment="1">
      <alignment horizontal="center"/>
    </xf>
    <xf numFmtId="0" fontId="19" fillId="36" borderId="19" xfId="42" applyFont="1" applyFill="1" applyBorder="1" applyAlignment="1">
      <alignment horizontal="center" textRotation="90"/>
    </xf>
    <xf numFmtId="0" fontId="0" fillId="36" borderId="22" xfId="0" applyFill="1" applyBorder="1" applyAlignment="1">
      <alignment horizontal="center"/>
    </xf>
    <xf numFmtId="0" fontId="16" fillId="41" borderId="13" xfId="0" applyFont="1" applyFill="1" applyBorder="1" applyAlignment="1">
      <alignment horizontal="center"/>
    </xf>
    <xf numFmtId="0" fontId="0" fillId="41" borderId="16" xfId="0" applyFill="1" applyBorder="1" applyAlignment="1">
      <alignment horizontal="center"/>
    </xf>
    <xf numFmtId="0" fontId="19" fillId="41" borderId="18" xfId="42" applyFont="1" applyFill="1" applyBorder="1" applyAlignment="1">
      <alignment horizontal="center" textRotation="90"/>
    </xf>
    <xf numFmtId="0" fontId="0" fillId="41" borderId="0" xfId="0" applyFill="1" applyAlignment="1">
      <alignment horizontal="center"/>
    </xf>
    <xf numFmtId="0" fontId="0" fillId="34" borderId="10" xfId="0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19" fillId="34" borderId="12" xfId="42" applyFont="1" applyFill="1" applyBorder="1" applyAlignment="1">
      <alignment horizontal="center" textRotation="90"/>
    </xf>
    <xf numFmtId="0" fontId="16" fillId="34" borderId="21" xfId="0" applyFont="1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19" fillId="34" borderId="23" xfId="42" applyFont="1" applyFill="1" applyBorder="1" applyAlignment="1">
      <alignment horizontal="center" textRotation="90"/>
    </xf>
    <xf numFmtId="0" fontId="0" fillId="34" borderId="0" xfId="0" applyFill="1"/>
    <xf numFmtId="0" fontId="16" fillId="34" borderId="15" xfId="0" applyFont="1" applyFill="1" applyBorder="1"/>
    <xf numFmtId="0" fontId="18" fillId="34" borderId="20" xfId="42" applyFill="1" applyBorder="1" applyAlignment="1">
      <alignment textRotation="90"/>
    </xf>
    <xf numFmtId="0" fontId="16" fillId="34" borderId="14" xfId="0" applyFont="1" applyFill="1" applyBorder="1"/>
    <xf numFmtId="0" fontId="0" fillId="34" borderId="17" xfId="0" applyFill="1" applyBorder="1"/>
    <xf numFmtId="0" fontId="18" fillId="34" borderId="19" xfId="42" applyFill="1" applyBorder="1" applyAlignment="1">
      <alignment textRotation="90"/>
    </xf>
    <xf numFmtId="0" fontId="21" fillId="0" borderId="0" xfId="0" applyFont="1"/>
    <xf numFmtId="0" fontId="0" fillId="42" borderId="0" xfId="0" applyFill="1"/>
    <xf numFmtId="0" fontId="19" fillId="34" borderId="20" xfId="42" applyFont="1" applyFill="1" applyBorder="1" applyAlignment="1">
      <alignment textRotation="90"/>
    </xf>
    <xf numFmtId="0" fontId="19" fillId="34" borderId="18" xfId="42" applyFont="1" applyFill="1" applyBorder="1" applyAlignment="1">
      <alignment textRotation="90"/>
    </xf>
    <xf numFmtId="0" fontId="19" fillId="34" borderId="12" xfId="42" applyFont="1" applyFill="1" applyBorder="1" applyAlignment="1">
      <alignment textRotation="90"/>
    </xf>
    <xf numFmtId="0" fontId="16" fillId="0" borderId="0" xfId="0" applyFont="1"/>
    <xf numFmtId="0" fontId="0" fillId="0" borderId="0" xfId="0" applyAlignment="1">
      <alignment horizontal="left"/>
    </xf>
    <xf numFmtId="0" fontId="0" fillId="43" borderId="0" xfId="0" applyFill="1" applyAlignment="1">
      <alignment horizontal="left"/>
    </xf>
    <xf numFmtId="0" fontId="0" fillId="42" borderId="0" xfId="0" applyFill="1" applyAlignment="1">
      <alignment horizontal="left"/>
    </xf>
    <xf numFmtId="0" fontId="0" fillId="44" borderId="0" xfId="0" applyFill="1" applyAlignment="1">
      <alignment horizontal="left"/>
    </xf>
    <xf numFmtId="0" fontId="16" fillId="0" borderId="0" xfId="0" applyFont="1" applyAlignment="1">
      <alignment horizontal="center"/>
    </xf>
    <xf numFmtId="0" fontId="0" fillId="36" borderId="0" xfId="0" applyFill="1"/>
    <xf numFmtId="0" fontId="0" fillId="36" borderId="11" xfId="0" applyFill="1" applyBorder="1" applyAlignment="1">
      <alignment horizontal="center"/>
    </xf>
    <xf numFmtId="0" fontId="0" fillId="36" borderId="16" xfId="0" applyFill="1" applyBorder="1" applyAlignment="1">
      <alignment horizontal="center"/>
    </xf>
    <xf numFmtId="0" fontId="0" fillId="36" borderId="16" xfId="0" applyFill="1" applyBorder="1"/>
    <xf numFmtId="0" fontId="0" fillId="36" borderId="11" xfId="0" applyFill="1" applyBorder="1"/>
    <xf numFmtId="0" fontId="0" fillId="0" borderId="0" xfId="0" pivotButton="1"/>
    <xf numFmtId="0" fontId="0" fillId="0" borderId="0" xfId="0" applyNumberFormat="1"/>
    <xf numFmtId="0" fontId="20" fillId="45" borderId="0" xfId="43" applyFill="1"/>
    <xf numFmtId="0" fontId="0" fillId="45" borderId="0" xfId="0" applyFill="1"/>
    <xf numFmtId="0" fontId="0" fillId="45" borderId="11" xfId="0" applyFill="1" applyBorder="1" applyAlignment="1">
      <alignment horizontal="center"/>
    </xf>
    <xf numFmtId="0" fontId="0" fillId="45" borderId="16" xfId="0" applyFill="1" applyBorder="1" applyAlignment="1">
      <alignment horizontal="center"/>
    </xf>
    <xf numFmtId="0" fontId="0" fillId="45" borderId="16" xfId="0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7440473C-F54F-4A2C-A691-5EE28E04F87C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</xdr:row>
          <xdr:rowOff>209550</xdr:rowOff>
        </xdr:from>
        <xdr:to>
          <xdr:col>5</xdr:col>
          <xdr:colOff>2546350</xdr:colOff>
          <xdr:row>2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Prepopulate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k MacKenzie" refreshedDate="45779.404331365738" createdVersion="8" refreshedVersion="8" minRefreshableVersion="3" recordCount="4935" xr:uid="{5EB9F74D-561E-4214-8CB6-5BC250AD7532}">
  <cacheSource type="worksheet">
    <worksheetSource ref="G3:W4938" sheet="DATA_Johnstone_2024_ALL"/>
  </cacheSource>
  <cacheFields count="17">
    <cacheField name="Section" numFmtId="0">
      <sharedItems containsString="0" containsBlank="1" containsNumber="1" containsInteger="1" minValue="1" maxValue="101" count="12">
        <n v="1"/>
        <n v="2"/>
        <n v="100"/>
        <n v="3"/>
        <n v="4"/>
        <n v="101"/>
        <n v="5"/>
        <n v="6"/>
        <m/>
        <n v="8"/>
        <n v="9"/>
        <n v="10"/>
      </sharedItems>
    </cacheField>
    <cacheField name="Assessed" numFmtId="0">
      <sharedItems containsBlank="1" count="2">
        <s v="X"/>
        <m/>
      </sharedItems>
    </cacheField>
    <cacheField name="Mangrove_Presence_Corr" numFmtId="0">
      <sharedItems containsMixedTypes="1" containsNumber="1" containsInteger="1" minValue="0" maxValue="2" count="4">
        <s v="X"/>
        <n v="0"/>
        <n v="1"/>
        <n v="2" u="1"/>
      </sharedItems>
    </cacheField>
    <cacheField name="Mangrove_Presence" numFmtId="0">
      <sharedItems containsBlank="1" containsMixedTypes="1" containsNumber="1" containsInteger="1" minValue="0" maxValue="2"/>
    </cacheField>
    <cacheField name="Mangrpve_Patch" numFmtId="0">
      <sharedItems containsNonDate="0" containsString="0" containsBlank="1"/>
    </cacheField>
    <cacheField name="Patch_Length" numFmtId="0">
      <sharedItems containsNonDate="0" containsString="0" containsBlank="1"/>
    </cacheField>
    <cacheField name="Patch_HV" numFmtId="0">
      <sharedItems containsNonDate="0" containsString="0" containsBlank="1"/>
    </cacheField>
    <cacheField name="PatchContinuityScore" numFmtId="0">
      <sharedItems containsNonDate="0" containsString="0" containsBlank="1"/>
    </cacheField>
    <cacheField name="Naturalness" numFmtId="0">
      <sharedItems containsBlank="1" containsMixedTypes="1" containsNumber="1" containsInteger="1" minValue="1" maxValue="3"/>
    </cacheField>
    <cacheField name="Structure" numFmtId="0">
      <sharedItems containsString="0" containsBlank="1" containsNumber="1" containsInteger="1" minValue="0" maxValue="1"/>
    </cacheField>
    <cacheField name="Bank_Hardening" numFmtId="0">
      <sharedItems containsString="0" containsBlank="1" containsNumber="1" containsInteger="1" minValue="0" maxValue="1"/>
    </cacheField>
    <cacheField name="Physical_Damage" numFmtId="0">
      <sharedItems containsString="0" containsBlank="1" containsNumber="1" containsInteger="1" minValue="0" maxValue="3" count="5">
        <m/>
        <n v="0"/>
        <n v="3"/>
        <n v="1"/>
        <n v="2"/>
      </sharedItems>
    </cacheField>
    <cacheField name="Litter" numFmtId="0">
      <sharedItems containsString="0" containsBlank="1" containsNumber="1" containsInteger="1" minValue="0" maxValue="1"/>
    </cacheField>
    <cacheField name="Debris" numFmtId="0">
      <sharedItems containsString="0" containsBlank="1" containsNumber="1" containsInteger="1" minValue="0" maxValue="1"/>
    </cacheField>
    <cacheField name="Abandoned_Pots" numFmtId="0">
      <sharedItems containsString="0" containsBlank="1" containsNumber="1" containsInteger="1" minValue="0" maxValue="0"/>
    </cacheField>
    <cacheField name="Weeds" numFmtId="0">
      <sharedItems containsString="0" containsBlank="1" containsNumber="1" containsInteger="1" minValue="0" maxValue="1"/>
    </cacheField>
    <cacheField name="Shoreline_Modification" numFmtId="0">
      <sharedItems containsString="0" containsBlank="1" containsNumber="1" containsInteger="1" minValue="0" maxValue="2" count="4">
        <m/>
        <n v="0"/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k MacKenzie" refreshedDate="45779.408818055555" createdVersion="8" refreshedVersion="8" minRefreshableVersion="3" recordCount="987" xr:uid="{5005F3CC-06F3-4A7D-8C0E-44BC6D0B08F1}">
  <cacheSource type="worksheet">
    <worksheetSource ref="H3:Q990" sheet="DATA_Johnstone_2024_50"/>
  </cacheSource>
  <cacheFields count="10">
    <cacheField name="Section" numFmtId="0">
      <sharedItems containsSemiMixedTypes="0" containsString="0" containsNumber="1" containsInteger="1" minValue="0" maxValue="101" count="12">
        <n v="1"/>
        <n v="2"/>
        <n v="100"/>
        <n v="3"/>
        <n v="4"/>
        <n v="101"/>
        <n v="5"/>
        <n v="6"/>
        <n v="0"/>
        <n v="8"/>
        <n v="9"/>
        <n v="10"/>
      </sharedItems>
    </cacheField>
    <cacheField name="Assessed" numFmtId="0">
      <sharedItems containsBlank="1" count="3">
        <s v="X"/>
        <s v=""/>
        <m/>
      </sharedItems>
    </cacheField>
    <cacheField name="Mangrove_Presence24_50" numFmtId="0">
      <sharedItems containsBlank="1" containsMixedTypes="1" containsNumber="1" containsInteger="1" minValue="0" maxValue="1" count="4">
        <m/>
        <n v="0"/>
        <n v="1"/>
        <s v="X"/>
      </sharedItems>
    </cacheField>
    <cacheField name="AM (grey mangrove)" numFmtId="0">
      <sharedItems containsNonDate="0" containsString="0" containsBlank="1"/>
    </cacheField>
    <cacheField name="RS (red mangrove)" numFmtId="0">
      <sharedItems containsNonDate="0" containsString="0" containsBlank="1"/>
    </cacheField>
    <cacheField name="SA (apple mangrove)" numFmtId="0">
      <sharedItems containsNonDate="0" containsString="0" containsBlank="1"/>
    </cacheField>
    <cacheField name="Density24" numFmtId="0">
      <sharedItems containsBlank="1" containsMixedTypes="1" containsNumber="1" containsInteger="1" minValue="0" maxValue="4"/>
    </cacheField>
    <cacheField name="Maturity24" numFmtId="0">
      <sharedItems containsBlank="1" containsMixedTypes="1" containsNumber="1" containsInteger="1" minValue="0" maxValue="4"/>
    </cacheField>
    <cacheField name="Connectivity24" numFmtId="0">
      <sharedItems containsNonDate="0" containsString="0" containsBlank="1"/>
    </cacheField>
    <cacheField name="Condition_Score24" numFmtId="0">
      <sharedItems containsBlank="1" containsMixedTypes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35"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n v="1"/>
    <n v="0"/>
    <n v="0"/>
    <x v="0"/>
    <n v="0"/>
    <n v="0"/>
    <n v="0"/>
    <n v="0"/>
    <x v="0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1"/>
    <n v="2"/>
    <m/>
    <m/>
    <m/>
    <m/>
    <n v="1"/>
    <n v="0"/>
    <n v="0"/>
    <x v="1"/>
    <n v="0"/>
    <n v="0"/>
    <n v="0"/>
    <n v="0"/>
    <x v="1"/>
  </r>
  <r>
    <x v="0"/>
    <x v="1"/>
    <x v="1"/>
    <n v="2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2"/>
    <n v="0"/>
    <n v="0"/>
    <x v="2"/>
    <n v="0"/>
    <n v="0"/>
    <n v="0"/>
    <n v="0"/>
    <x v="2"/>
  </r>
  <r>
    <x v="0"/>
    <x v="1"/>
    <x v="2"/>
    <n v="1"/>
    <m/>
    <m/>
    <m/>
    <m/>
    <n v="2"/>
    <n v="0"/>
    <n v="0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3"/>
    <n v="1"/>
    <n v="1"/>
    <x v="3"/>
    <n v="0"/>
    <n v="0"/>
    <n v="0"/>
    <n v="0"/>
    <x v="3"/>
  </r>
  <r>
    <x v="0"/>
    <x v="1"/>
    <x v="2"/>
    <n v="1"/>
    <m/>
    <m/>
    <m/>
    <m/>
    <n v="1"/>
    <n v="0"/>
    <n v="1"/>
    <x v="1"/>
    <n v="0"/>
    <n v="0"/>
    <n v="0"/>
    <n v="0"/>
    <x v="1"/>
  </r>
  <r>
    <x v="0"/>
    <x v="1"/>
    <x v="2"/>
    <n v="1"/>
    <m/>
    <m/>
    <m/>
    <m/>
    <n v="1"/>
    <n v="0"/>
    <n v="1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1"/>
    <x v="1"/>
  </r>
  <r>
    <x v="1"/>
    <x v="1"/>
    <x v="2"/>
    <n v="1"/>
    <m/>
    <m/>
    <m/>
    <m/>
    <n v="1"/>
    <n v="0"/>
    <n v="0"/>
    <x v="1"/>
    <n v="0"/>
    <n v="0"/>
    <n v="0"/>
    <n v="1"/>
    <x v="1"/>
  </r>
  <r>
    <x v="1"/>
    <x v="1"/>
    <x v="2"/>
    <n v="1"/>
    <m/>
    <m/>
    <m/>
    <m/>
    <n v="1"/>
    <n v="0"/>
    <n v="0"/>
    <x v="1"/>
    <n v="0"/>
    <n v="0"/>
    <n v="0"/>
    <n v="1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3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1"/>
    <x v="1"/>
    <n v="0"/>
    <n v="0"/>
    <n v="0"/>
    <n v="0"/>
    <x v="1"/>
  </r>
  <r>
    <x v="1"/>
    <x v="1"/>
    <x v="2"/>
    <n v="1"/>
    <m/>
    <m/>
    <m/>
    <m/>
    <n v="2"/>
    <n v="1"/>
    <n v="1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s v="NA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3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2"/>
    <n v="1"/>
    <n v="1"/>
    <x v="4"/>
    <n v="0"/>
    <n v="0"/>
    <n v="0"/>
    <n v="0"/>
    <x v="3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3"/>
    <n v="0"/>
    <n v="0"/>
    <n v="0"/>
    <n v="0"/>
    <x v="1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3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2"/>
    <n v="0"/>
    <n v="0"/>
    <x v="1"/>
    <n v="0"/>
    <n v="0"/>
    <n v="0"/>
    <n v="0"/>
    <x v="2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2"/>
    <n v="0"/>
    <n v="0"/>
    <x v="1"/>
    <n v="0"/>
    <n v="0"/>
    <n v="0"/>
    <n v="0"/>
    <x v="2"/>
  </r>
  <r>
    <x v="2"/>
    <x v="1"/>
    <x v="2"/>
    <n v="1"/>
    <m/>
    <m/>
    <m/>
    <m/>
    <n v="2"/>
    <n v="0"/>
    <n v="0"/>
    <x v="1"/>
    <n v="0"/>
    <n v="0"/>
    <n v="0"/>
    <n v="0"/>
    <x v="2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0"/>
    <x v="0"/>
    <n v="1"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2"/>
    <n v="1"/>
    <m/>
    <m/>
    <m/>
    <m/>
    <s v="NA"/>
    <n v="0"/>
    <n v="0"/>
    <x v="1"/>
    <n v="0"/>
    <n v="0"/>
    <n v="0"/>
    <n v="0"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2"/>
    <n v="0"/>
    <n v="0"/>
    <x v="1"/>
    <n v="0"/>
    <n v="0"/>
    <n v="0"/>
    <n v="0"/>
    <x v="2"/>
  </r>
  <r>
    <x v="2"/>
    <x v="1"/>
    <x v="1"/>
    <n v="0"/>
    <m/>
    <m/>
    <m/>
    <m/>
    <n v="1"/>
    <n v="0"/>
    <n v="0"/>
    <x v="0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1"/>
    <x v="2"/>
  </r>
  <r>
    <x v="3"/>
    <x v="1"/>
    <x v="1"/>
    <n v="0"/>
    <m/>
    <m/>
    <m/>
    <m/>
    <n v="1"/>
    <n v="0"/>
    <n v="0"/>
    <x v="1"/>
    <n v="0"/>
    <n v="0"/>
    <n v="0"/>
    <n v="0"/>
    <x v="2"/>
  </r>
  <r>
    <x v="3"/>
    <x v="1"/>
    <x v="2"/>
    <n v="1"/>
    <m/>
    <m/>
    <m/>
    <m/>
    <n v="1"/>
    <n v="0"/>
    <n v="0"/>
    <x v="1"/>
    <n v="0"/>
    <n v="0"/>
    <n v="0"/>
    <n v="0"/>
    <x v="2"/>
  </r>
  <r>
    <x v="3"/>
    <x v="1"/>
    <x v="2"/>
    <n v="1"/>
    <m/>
    <m/>
    <m/>
    <m/>
    <n v="1"/>
    <n v="1"/>
    <n v="0"/>
    <x v="1"/>
    <n v="0"/>
    <n v="0"/>
    <n v="0"/>
    <n v="0"/>
    <x v="2"/>
  </r>
  <r>
    <x v="3"/>
    <x v="1"/>
    <x v="2"/>
    <n v="1"/>
    <m/>
    <m/>
    <m/>
    <m/>
    <n v="1"/>
    <n v="0"/>
    <n v="0"/>
    <x v="3"/>
    <n v="0"/>
    <n v="0"/>
    <n v="0"/>
    <n v="1"/>
    <x v="2"/>
  </r>
  <r>
    <x v="3"/>
    <x v="0"/>
    <x v="0"/>
    <s v="NA"/>
    <m/>
    <m/>
    <m/>
    <m/>
    <s v="NA"/>
    <n v="1"/>
    <n v="0"/>
    <x v="1"/>
    <n v="0"/>
    <n v="0"/>
    <n v="0"/>
    <n v="0"/>
    <x v="0"/>
  </r>
  <r>
    <x v="3"/>
    <x v="0"/>
    <x v="0"/>
    <s v="NA"/>
    <m/>
    <m/>
    <m/>
    <m/>
    <s v="NA"/>
    <n v="0"/>
    <n v="0"/>
    <x v="1"/>
    <n v="0"/>
    <n v="0"/>
    <n v="0"/>
    <n v="0"/>
    <x v="0"/>
  </r>
  <r>
    <x v="3"/>
    <x v="0"/>
    <x v="0"/>
    <s v="NA"/>
    <m/>
    <m/>
    <m/>
    <m/>
    <s v="NA"/>
    <n v="0"/>
    <n v="0"/>
    <x v="1"/>
    <n v="0"/>
    <n v="0"/>
    <n v="0"/>
    <n v="0"/>
    <x v="0"/>
  </r>
  <r>
    <x v="3"/>
    <x v="1"/>
    <x v="2"/>
    <n v="1"/>
    <m/>
    <m/>
    <m/>
    <m/>
    <s v="NA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0"/>
    <x v="0"/>
    <s v="NA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1"/>
    <x v="2"/>
    <n v="1"/>
    <m/>
    <m/>
    <m/>
    <m/>
    <n v="2"/>
    <n v="0"/>
    <n v="0"/>
    <x v="3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1"/>
    <n v="1"/>
    <x v="1"/>
    <n v="0"/>
    <n v="0"/>
    <n v="0"/>
    <n v="0"/>
    <x v="3"/>
  </r>
  <r>
    <x v="3"/>
    <x v="1"/>
    <x v="2"/>
    <n v="1"/>
    <m/>
    <m/>
    <m/>
    <m/>
    <n v="2"/>
    <n v="0"/>
    <n v="1"/>
    <x v="4"/>
    <n v="0"/>
    <n v="0"/>
    <n v="0"/>
    <n v="0"/>
    <x v="2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1"/>
    <x v="1"/>
    <n v="0"/>
    <m/>
    <m/>
    <m/>
    <m/>
    <n v="2"/>
    <n v="0"/>
    <n v="0"/>
    <x v="2"/>
    <n v="0"/>
    <n v="0"/>
    <n v="0"/>
    <n v="0"/>
    <x v="2"/>
  </r>
  <r>
    <x v="3"/>
    <x v="1"/>
    <x v="1"/>
    <n v="0"/>
    <m/>
    <m/>
    <m/>
    <m/>
    <n v="2"/>
    <n v="1"/>
    <n v="0"/>
    <x v="2"/>
    <n v="0"/>
    <n v="0"/>
    <n v="0"/>
    <n v="1"/>
    <x v="2"/>
  </r>
  <r>
    <x v="3"/>
    <x v="1"/>
    <x v="1"/>
    <n v="2"/>
    <m/>
    <m/>
    <m/>
    <m/>
    <n v="2"/>
    <n v="0"/>
    <n v="1"/>
    <x v="4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1"/>
    <x v="2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1"/>
    <n v="1"/>
    <x v="1"/>
    <n v="0"/>
    <n v="0"/>
    <n v="0"/>
    <n v="0"/>
    <x v="3"/>
  </r>
  <r>
    <x v="3"/>
    <x v="1"/>
    <x v="1"/>
    <n v="0"/>
    <m/>
    <m/>
    <m/>
    <m/>
    <n v="3"/>
    <n v="1"/>
    <n v="1"/>
    <x v="1"/>
    <n v="0"/>
    <n v="0"/>
    <n v="0"/>
    <n v="0"/>
    <x v="3"/>
  </r>
  <r>
    <x v="3"/>
    <x v="1"/>
    <x v="1"/>
    <n v="0"/>
    <m/>
    <m/>
    <m/>
    <m/>
    <n v="2"/>
    <n v="1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2"/>
    <m/>
    <m/>
    <m/>
    <m/>
    <n v="2"/>
    <n v="0"/>
    <n v="0"/>
    <x v="1"/>
    <n v="0"/>
    <n v="0"/>
    <n v="0"/>
    <n v="0"/>
    <x v="2"/>
  </r>
  <r>
    <x v="3"/>
    <x v="1"/>
    <x v="1"/>
    <n v="2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2"/>
    <n v="0"/>
    <n v="0"/>
    <n v="0"/>
    <n v="0"/>
    <x v="2"/>
  </r>
  <r>
    <x v="3"/>
    <x v="1"/>
    <x v="1"/>
    <n v="0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3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1"/>
    <n v="0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4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1"/>
    <n v="0"/>
    <n v="0"/>
    <n v="0"/>
    <n v="0"/>
    <x v="2"/>
  </r>
  <r>
    <x v="3"/>
    <x v="1"/>
    <x v="1"/>
    <n v="2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1"/>
    <x v="1"/>
    <n v="0"/>
    <m/>
    <m/>
    <m/>
    <m/>
    <n v="2"/>
    <n v="0"/>
    <n v="1"/>
    <x v="1"/>
    <n v="0"/>
    <n v="0"/>
    <n v="0"/>
    <n v="1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1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1"/>
    <n v="0"/>
    <n v="0"/>
    <n v="0"/>
    <x v="2"/>
  </r>
  <r>
    <x v="3"/>
    <x v="1"/>
    <x v="1"/>
    <n v="0"/>
    <m/>
    <m/>
    <m/>
    <m/>
    <n v="2"/>
    <n v="1"/>
    <n v="1"/>
    <x v="1"/>
    <n v="0"/>
    <n v="0"/>
    <n v="0"/>
    <n v="0"/>
    <x v="3"/>
  </r>
  <r>
    <x v="3"/>
    <x v="1"/>
    <x v="2"/>
    <n v="1"/>
    <m/>
    <m/>
    <m/>
    <m/>
    <n v="3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3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3"/>
    <n v="0"/>
    <n v="1"/>
    <x v="1"/>
    <n v="0"/>
    <n v="0"/>
    <n v="0"/>
    <n v="0"/>
    <x v="3"/>
  </r>
  <r>
    <x v="3"/>
    <x v="1"/>
    <x v="2"/>
    <n v="1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1"/>
    <n v="0"/>
    <n v="0"/>
    <x v="3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0"/>
    <x v="0"/>
    <s v="NA"/>
    <m/>
    <m/>
    <m/>
    <m/>
    <n v="3"/>
    <n v="0"/>
    <n v="1"/>
    <x v="1"/>
    <n v="0"/>
    <n v="0"/>
    <n v="0"/>
    <n v="0"/>
    <x v="3"/>
  </r>
  <r>
    <x v="3"/>
    <x v="0"/>
    <x v="0"/>
    <s v="NA"/>
    <m/>
    <m/>
    <m/>
    <m/>
    <s v="NA"/>
    <n v="0"/>
    <n v="1"/>
    <x v="1"/>
    <n v="0"/>
    <n v="0"/>
    <n v="0"/>
    <n v="0"/>
    <x v="0"/>
  </r>
  <r>
    <x v="3"/>
    <x v="1"/>
    <x v="1"/>
    <n v="0"/>
    <m/>
    <m/>
    <m/>
    <m/>
    <n v="2"/>
    <n v="0"/>
    <n v="1"/>
    <x v="2"/>
    <n v="0"/>
    <n v="0"/>
    <n v="0"/>
    <n v="0"/>
    <x v="2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1"/>
    <n v="1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3"/>
    <n v="0"/>
    <n v="0"/>
    <n v="0"/>
    <n v="0"/>
    <x v="2"/>
  </r>
  <r>
    <x v="3"/>
    <x v="1"/>
    <x v="1"/>
    <n v="0"/>
    <m/>
    <m/>
    <m/>
    <m/>
    <n v="2"/>
    <n v="0"/>
    <n v="0"/>
    <x v="1"/>
    <n v="0"/>
    <n v="1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1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1"/>
    <n v="0"/>
    <x v="1"/>
    <n v="0"/>
    <n v="0"/>
    <n v="0"/>
    <n v="0"/>
    <x v="2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1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4"/>
    <x v="1"/>
    <x v="2"/>
    <n v="1"/>
    <m/>
    <m/>
    <m/>
    <m/>
    <n v="1"/>
    <n v="0"/>
    <n v="0"/>
    <x v="1"/>
    <n v="0"/>
    <n v="0"/>
    <n v="0"/>
    <n v="1"/>
    <x v="1"/>
  </r>
  <r>
    <x v="4"/>
    <x v="1"/>
    <x v="2"/>
    <n v="1"/>
    <m/>
    <m/>
    <m/>
    <m/>
    <s v="NA"/>
    <n v="0"/>
    <n v="0"/>
    <x v="1"/>
    <n v="0"/>
    <n v="0"/>
    <n v="0"/>
    <n v="1"/>
    <x v="1"/>
  </r>
  <r>
    <x v="5"/>
    <x v="1"/>
    <x v="2"/>
    <n v="1"/>
    <m/>
    <m/>
    <m/>
    <m/>
    <s v="NA"/>
    <n v="0"/>
    <n v="0"/>
    <x v="1"/>
    <n v="0"/>
    <n v="1"/>
    <n v="0"/>
    <n v="0"/>
    <x v="0"/>
  </r>
  <r>
    <x v="5"/>
    <x v="1"/>
    <x v="1"/>
    <n v="0"/>
    <m/>
    <m/>
    <m/>
    <m/>
    <s v="NA"/>
    <n v="0"/>
    <n v="0"/>
    <x v="1"/>
    <n v="0"/>
    <n v="0"/>
    <n v="0"/>
    <n v="1"/>
    <x v="0"/>
  </r>
  <r>
    <x v="5"/>
    <x v="1"/>
    <x v="2"/>
    <n v="1"/>
    <m/>
    <m/>
    <m/>
    <m/>
    <s v="NA"/>
    <n v="0"/>
    <n v="0"/>
    <x v="1"/>
    <n v="0"/>
    <n v="0"/>
    <n v="0"/>
    <n v="0"/>
    <x v="0"/>
  </r>
  <r>
    <x v="5"/>
    <x v="1"/>
    <x v="2"/>
    <n v="1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4"/>
    <x v="0"/>
    <x v="0"/>
    <m/>
    <m/>
    <m/>
    <m/>
    <m/>
    <m/>
    <m/>
    <m/>
    <x v="0"/>
    <m/>
    <m/>
    <m/>
    <m/>
    <x v="0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4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1"/>
    <n v="0"/>
    <m/>
    <m/>
    <m/>
    <m/>
    <n v="2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2"/>
    <n v="1"/>
    <m/>
    <m/>
    <m/>
    <m/>
    <n v="2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2"/>
    <n v="1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2"/>
    <m/>
    <m/>
    <m/>
    <m/>
    <n v="1"/>
    <n v="1"/>
    <n v="1"/>
    <x v="1"/>
    <n v="0"/>
    <n v="0"/>
    <n v="0"/>
    <n v="0"/>
    <x v="2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1"/>
    <n v="0"/>
    <x v="1"/>
    <n v="0"/>
    <n v="0"/>
    <n v="0"/>
    <n v="0"/>
    <x v="3"/>
  </r>
  <r>
    <x v="4"/>
    <x v="1"/>
    <x v="1"/>
    <n v="0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2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3"/>
    <n v="0"/>
    <n v="0"/>
    <x v="1"/>
    <n v="0"/>
    <n v="0"/>
    <n v="0"/>
    <n v="0"/>
    <x v="3"/>
  </r>
  <r>
    <x v="4"/>
    <x v="1"/>
    <x v="1"/>
    <n v="0"/>
    <m/>
    <m/>
    <m/>
    <m/>
    <n v="3"/>
    <n v="0"/>
    <n v="1"/>
    <x v="1"/>
    <n v="0"/>
    <n v="0"/>
    <n v="0"/>
    <n v="0"/>
    <x v="3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0"/>
    <n v="1"/>
    <x v="1"/>
    <n v="0"/>
    <n v="0"/>
    <n v="0"/>
    <n v="0"/>
    <x v="3"/>
  </r>
  <r>
    <x v="4"/>
    <x v="1"/>
    <x v="1"/>
    <n v="0"/>
    <m/>
    <m/>
    <m/>
    <m/>
    <n v="3"/>
    <n v="0"/>
    <n v="1"/>
    <x v="1"/>
    <n v="0"/>
    <n v="0"/>
    <n v="0"/>
    <n v="0"/>
    <x v="3"/>
  </r>
  <r>
    <x v="4"/>
    <x v="1"/>
    <x v="1"/>
    <n v="2"/>
    <m/>
    <m/>
    <m/>
    <m/>
    <n v="2"/>
    <n v="0"/>
    <n v="0"/>
    <x v="1"/>
    <n v="0"/>
    <n v="0"/>
    <n v="0"/>
    <n v="0"/>
    <x v="2"/>
  </r>
  <r>
    <x v="4"/>
    <x v="1"/>
    <x v="1"/>
    <n v="2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2"/>
    <n v="0"/>
    <n v="0"/>
    <x v="3"/>
    <n v="0"/>
    <n v="0"/>
    <n v="0"/>
    <n v="0"/>
    <x v="2"/>
  </r>
  <r>
    <x v="4"/>
    <x v="1"/>
    <x v="2"/>
    <n v="1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2"/>
    <n v="0"/>
    <n v="0"/>
    <x v="1"/>
    <n v="0"/>
    <n v="0"/>
    <n v="0"/>
    <n v="0"/>
    <x v="2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1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4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1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2"/>
    <n v="1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1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1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0"/>
    <x v="0"/>
    <m/>
    <m/>
    <m/>
    <m/>
    <m/>
    <m/>
    <m/>
    <m/>
    <x v="0"/>
    <m/>
    <m/>
    <m/>
    <m/>
    <x v="0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1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0"/>
    <s v="NA"/>
    <m/>
    <m/>
    <m/>
    <m/>
    <n v="2"/>
    <n v="1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0"/>
    <s v="NA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2"/>
    <n v="1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1"/>
    <n v="0"/>
    <n v="1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8"/>
    <x v="0"/>
    <x v="0"/>
    <m/>
    <m/>
    <m/>
    <m/>
    <m/>
    <m/>
    <m/>
    <m/>
    <x v="0"/>
    <m/>
    <m/>
    <m/>
    <m/>
    <x v="0"/>
  </r>
  <r>
    <x v="8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1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1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1"/>
    <x v="1"/>
    <n v="1"/>
    <n v="0"/>
    <n v="0"/>
    <n v="0"/>
    <x v="2"/>
  </r>
  <r>
    <x v="10"/>
    <x v="1"/>
    <x v="1"/>
    <n v="0"/>
    <m/>
    <m/>
    <m/>
    <m/>
    <n v="2"/>
    <n v="0"/>
    <n v="1"/>
    <x v="1"/>
    <n v="0"/>
    <n v="0"/>
    <n v="0"/>
    <n v="0"/>
    <x v="2"/>
  </r>
  <r>
    <x v="10"/>
    <x v="1"/>
    <x v="1"/>
    <n v="0"/>
    <m/>
    <m/>
    <m/>
    <m/>
    <n v="2"/>
    <n v="0"/>
    <n v="1"/>
    <x v="1"/>
    <n v="0"/>
    <n v="0"/>
    <n v="0"/>
    <n v="0"/>
    <x v="2"/>
  </r>
  <r>
    <x v="10"/>
    <x v="1"/>
    <x v="1"/>
    <n v="0"/>
    <m/>
    <m/>
    <m/>
    <m/>
    <n v="2"/>
    <n v="0"/>
    <n v="1"/>
    <x v="1"/>
    <n v="0"/>
    <n v="0"/>
    <n v="0"/>
    <n v="0"/>
    <x v="2"/>
  </r>
  <r>
    <x v="10"/>
    <x v="1"/>
    <x v="1"/>
    <n v="0"/>
    <m/>
    <m/>
    <m/>
    <m/>
    <n v="3"/>
    <n v="1"/>
    <n v="1"/>
    <x v="1"/>
    <n v="0"/>
    <n v="0"/>
    <n v="0"/>
    <n v="0"/>
    <x v="3"/>
  </r>
  <r>
    <x v="10"/>
    <x v="1"/>
    <x v="1"/>
    <n v="0"/>
    <m/>
    <m/>
    <m/>
    <m/>
    <n v="3"/>
    <n v="0"/>
    <n v="0"/>
    <x v="1"/>
    <n v="0"/>
    <n v="0"/>
    <n v="0"/>
    <n v="0"/>
    <x v="3"/>
  </r>
  <r>
    <x v="10"/>
    <x v="1"/>
    <x v="1"/>
    <n v="0"/>
    <m/>
    <m/>
    <m/>
    <m/>
    <n v="3"/>
    <n v="1"/>
    <n v="1"/>
    <x v="1"/>
    <n v="0"/>
    <n v="0"/>
    <n v="0"/>
    <n v="0"/>
    <x v="3"/>
  </r>
  <r>
    <x v="10"/>
    <x v="1"/>
    <x v="1"/>
    <n v="0"/>
    <m/>
    <m/>
    <m/>
    <m/>
    <n v="1"/>
    <n v="1"/>
    <n v="1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2"/>
    <n v="1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1"/>
    <n v="1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1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2"/>
    <n v="0"/>
    <n v="0"/>
    <x v="1"/>
    <n v="0"/>
    <n v="0"/>
    <n v="0"/>
    <n v="0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2"/>
    <n v="0"/>
    <n v="0"/>
    <x v="1"/>
    <n v="0"/>
    <n v="0"/>
    <n v="0"/>
    <n v="0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0"/>
    <s v="NA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2"/>
    <n v="1"/>
    <n v="1"/>
    <x v="1"/>
    <n v="0"/>
    <n v="0"/>
    <n v="0"/>
    <n v="1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2"/>
    <n v="0"/>
    <n v="0"/>
    <x v="1"/>
    <n v="0"/>
    <n v="0"/>
    <n v="0"/>
    <n v="0"/>
    <x v="2"/>
  </r>
  <r>
    <x v="8"/>
    <x v="1"/>
    <x v="1"/>
    <n v="0"/>
    <m/>
    <m/>
    <m/>
    <m/>
    <n v="3"/>
    <n v="0"/>
    <n v="0"/>
    <x v="1"/>
    <n v="0"/>
    <n v="0"/>
    <n v="0"/>
    <n v="0"/>
    <x v="3"/>
  </r>
  <r>
    <x v="8"/>
    <x v="1"/>
    <x v="1"/>
    <n v="0"/>
    <m/>
    <m/>
    <m/>
    <m/>
    <n v="2"/>
    <n v="1"/>
    <n v="0"/>
    <x v="1"/>
    <n v="0"/>
    <n v="0"/>
    <n v="0"/>
    <n v="0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1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0"/>
    <x v="0"/>
    <m/>
    <m/>
    <m/>
    <m/>
    <m/>
    <n v="1"/>
    <m/>
    <m/>
    <x v="0"/>
    <m/>
    <m/>
    <m/>
    <m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0"/>
    <x v="0"/>
    <m/>
    <m/>
    <m/>
    <m/>
    <m/>
    <n v="1"/>
    <m/>
    <m/>
    <x v="0"/>
    <m/>
    <m/>
    <m/>
    <m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1"/>
    <n v="1"/>
    <x v="1"/>
    <n v="0"/>
    <n v="0"/>
    <n v="0"/>
    <n v="0"/>
    <x v="3"/>
  </r>
  <r>
    <x v="4"/>
    <x v="1"/>
    <x v="2"/>
    <n v="1"/>
    <m/>
    <m/>
    <m/>
    <m/>
    <n v="3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2"/>
    <n v="1"/>
    <n v="0"/>
    <x v="1"/>
    <n v="0"/>
    <n v="0"/>
    <n v="0"/>
    <n v="0"/>
    <x v="2"/>
  </r>
  <r>
    <x v="4"/>
    <x v="1"/>
    <x v="1"/>
    <n v="0"/>
    <m/>
    <m/>
    <m/>
    <m/>
    <n v="2"/>
    <n v="1"/>
    <n v="1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3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1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1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0"/>
    <x v="0"/>
    <m/>
    <m/>
    <m/>
    <m/>
    <m/>
    <n v="1"/>
    <n v="0"/>
    <n v="0"/>
    <x v="0"/>
    <n v="0"/>
    <n v="0"/>
    <n v="0"/>
    <n v="0"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n v="1"/>
    <n v="0"/>
    <n v="0"/>
    <x v="0"/>
    <n v="0"/>
    <n v="0"/>
    <n v="0"/>
    <n v="0"/>
    <x v="0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2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2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0"/>
    <x v="0"/>
    <m/>
    <m/>
    <m/>
    <m/>
    <m/>
    <m/>
    <m/>
    <m/>
    <x v="0"/>
    <m/>
    <m/>
    <m/>
    <m/>
    <x v="0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1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1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m/>
    <m/>
    <m/>
    <x v="0"/>
    <m/>
    <m/>
    <m/>
    <m/>
    <x v="0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m/>
    <m/>
    <m/>
    <x v="0"/>
    <m/>
    <m/>
    <m/>
    <m/>
    <x v="0"/>
  </r>
  <r>
    <x v="0"/>
    <x v="0"/>
    <x v="2"/>
    <m/>
    <m/>
    <m/>
    <m/>
    <m/>
    <m/>
    <m/>
    <m/>
    <x v="0"/>
    <m/>
    <m/>
    <m/>
    <m/>
    <x v="0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2"/>
    <n v="1"/>
    <n v="0"/>
    <x v="1"/>
    <n v="0"/>
    <n v="0"/>
    <n v="0"/>
    <n v="0"/>
    <x v="2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3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3"/>
    <n v="1"/>
    <n v="1"/>
    <x v="1"/>
    <n v="0"/>
    <n v="0"/>
    <n v="0"/>
    <n v="0"/>
    <x v="3"/>
  </r>
  <r>
    <x v="0"/>
    <x v="1"/>
    <x v="2"/>
    <n v="1"/>
    <m/>
    <m/>
    <m/>
    <m/>
    <n v="2"/>
    <n v="1"/>
    <n v="1"/>
    <x v="1"/>
    <n v="0"/>
    <n v="0"/>
    <n v="0"/>
    <n v="0"/>
    <x v="1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1"/>
    <x v="1"/>
    <n v="0"/>
    <m/>
    <m/>
    <m/>
    <m/>
    <n v="3"/>
    <n v="1"/>
    <n v="1"/>
    <x v="1"/>
    <n v="0"/>
    <n v="0"/>
    <n v="0"/>
    <n v="0"/>
    <x v="3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2"/>
    <m/>
    <m/>
    <m/>
    <m/>
    <n v="2"/>
    <n v="1"/>
    <n v="1"/>
    <x v="1"/>
    <n v="0"/>
    <n v="0"/>
    <n v="0"/>
    <n v="0"/>
    <x v="2"/>
  </r>
  <r>
    <x v="0"/>
    <x v="0"/>
    <x v="0"/>
    <n v="0"/>
    <m/>
    <m/>
    <m/>
    <m/>
    <m/>
    <m/>
    <m/>
    <x v="0"/>
    <m/>
    <m/>
    <m/>
    <m/>
    <x v="0"/>
  </r>
  <r>
    <x v="0"/>
    <x v="1"/>
    <x v="1"/>
    <n v="2"/>
    <m/>
    <m/>
    <m/>
    <m/>
    <n v="2"/>
    <n v="0"/>
    <n v="0"/>
    <x v="1"/>
    <n v="0"/>
    <n v="0"/>
    <n v="0"/>
    <n v="0"/>
    <x v="2"/>
  </r>
  <r>
    <x v="0"/>
    <x v="1"/>
    <x v="1"/>
    <n v="2"/>
    <m/>
    <m/>
    <m/>
    <m/>
    <n v="2"/>
    <n v="0"/>
    <n v="0"/>
    <x v="1"/>
    <n v="0"/>
    <n v="0"/>
    <n v="0"/>
    <n v="0"/>
    <x v="2"/>
  </r>
  <r>
    <x v="0"/>
    <x v="1"/>
    <x v="2"/>
    <n v="1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3"/>
    <n v="1"/>
    <n v="1"/>
    <x v="1"/>
    <n v="0"/>
    <n v="0"/>
    <n v="0"/>
    <n v="0"/>
    <x v="3"/>
  </r>
  <r>
    <x v="0"/>
    <x v="1"/>
    <x v="1"/>
    <n v="0"/>
    <m/>
    <m/>
    <m/>
    <m/>
    <n v="3"/>
    <n v="1"/>
    <n v="1"/>
    <x v="1"/>
    <n v="0"/>
    <n v="0"/>
    <n v="0"/>
    <n v="0"/>
    <x v="3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4"/>
    <n v="0"/>
    <n v="0"/>
    <n v="0"/>
    <n v="0"/>
    <x v="1"/>
  </r>
  <r>
    <x v="0"/>
    <x v="1"/>
    <x v="2"/>
    <n v="1"/>
    <m/>
    <m/>
    <m/>
    <m/>
    <n v="1"/>
    <n v="0"/>
    <n v="0"/>
    <x v="4"/>
    <n v="0"/>
    <n v="0"/>
    <n v="0"/>
    <n v="0"/>
    <x v="1"/>
  </r>
  <r>
    <x v="0"/>
    <x v="1"/>
    <x v="2"/>
    <n v="1"/>
    <m/>
    <m/>
    <m/>
    <m/>
    <n v="1"/>
    <n v="0"/>
    <n v="0"/>
    <x v="4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1"/>
    <n v="0"/>
    <n v="0"/>
    <n v="0"/>
    <x v="1"/>
  </r>
  <r>
    <x v="0"/>
    <x v="1"/>
    <x v="1"/>
    <n v="2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7"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1"/>
    <x v="1"/>
    <m/>
    <m/>
    <m/>
    <s v=""/>
    <s v=""/>
    <m/>
    <s v=""/>
  </r>
  <r>
    <x v="0"/>
    <x v="1"/>
    <x v="2"/>
    <m/>
    <m/>
    <m/>
    <n v="3"/>
    <n v="4"/>
    <m/>
    <n v="3"/>
  </r>
  <r>
    <x v="0"/>
    <x v="1"/>
    <x v="2"/>
    <m/>
    <m/>
    <m/>
    <n v="4"/>
    <n v="4"/>
    <m/>
    <n v="3"/>
  </r>
  <r>
    <x v="0"/>
    <x v="1"/>
    <x v="2"/>
    <m/>
    <m/>
    <m/>
    <n v="4"/>
    <n v="4"/>
    <m/>
    <n v="4"/>
  </r>
  <r>
    <x v="0"/>
    <x v="1"/>
    <x v="2"/>
    <m/>
    <m/>
    <m/>
    <n v="4"/>
    <n v="4"/>
    <m/>
    <n v="4"/>
  </r>
  <r>
    <x v="0"/>
    <x v="1"/>
    <x v="2"/>
    <m/>
    <m/>
    <m/>
    <n v="1"/>
    <n v="2"/>
    <m/>
    <n v="4"/>
  </r>
  <r>
    <x v="0"/>
    <x v="1"/>
    <x v="2"/>
    <m/>
    <m/>
    <m/>
    <n v="2"/>
    <n v="3"/>
    <m/>
    <n v="2"/>
  </r>
  <r>
    <x v="0"/>
    <x v="1"/>
    <x v="1"/>
    <m/>
    <m/>
    <m/>
    <s v=""/>
    <s v=""/>
    <m/>
    <s v=""/>
  </r>
  <r>
    <x v="0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1"/>
    <m/>
    <m/>
    <m/>
    <s v=""/>
    <s v=""/>
    <m/>
    <s v=""/>
  </r>
  <r>
    <x v="1"/>
    <x v="1"/>
    <x v="2"/>
    <m/>
    <m/>
    <m/>
    <n v="1"/>
    <n v="3"/>
    <m/>
    <n v="4"/>
  </r>
  <r>
    <x v="1"/>
    <x v="1"/>
    <x v="2"/>
    <m/>
    <m/>
    <m/>
    <n v="1"/>
    <n v="4"/>
    <m/>
    <n v="3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1"/>
    <n v="4"/>
    <m/>
    <n v="4"/>
  </r>
  <r>
    <x v="1"/>
    <x v="1"/>
    <x v="2"/>
    <m/>
    <m/>
    <m/>
    <n v="3"/>
    <n v="3"/>
    <m/>
    <n v="4"/>
  </r>
  <r>
    <x v="1"/>
    <x v="1"/>
    <x v="2"/>
    <m/>
    <m/>
    <m/>
    <n v="3"/>
    <n v="4"/>
    <m/>
    <n v="4"/>
  </r>
  <r>
    <x v="1"/>
    <x v="1"/>
    <x v="2"/>
    <m/>
    <m/>
    <m/>
    <n v="3"/>
    <n v="3"/>
    <m/>
    <n v="4"/>
  </r>
  <r>
    <x v="1"/>
    <x v="1"/>
    <x v="2"/>
    <m/>
    <m/>
    <m/>
    <n v="4"/>
    <n v="4"/>
    <m/>
    <n v="3"/>
  </r>
  <r>
    <x v="1"/>
    <x v="1"/>
    <x v="2"/>
    <m/>
    <m/>
    <m/>
    <n v="3"/>
    <n v="4"/>
    <m/>
    <n v="4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4"/>
    <n v="4"/>
    <m/>
    <n v="4"/>
  </r>
  <r>
    <x v="1"/>
    <x v="0"/>
    <x v="3"/>
    <m/>
    <m/>
    <m/>
    <s v=""/>
    <s v=""/>
    <m/>
    <s v=""/>
  </r>
  <r>
    <x v="1"/>
    <x v="1"/>
    <x v="2"/>
    <m/>
    <m/>
    <m/>
    <n v="4"/>
    <n v="4"/>
    <m/>
    <n v="4"/>
  </r>
  <r>
    <x v="1"/>
    <x v="1"/>
    <x v="2"/>
    <m/>
    <m/>
    <m/>
    <n v="4"/>
    <n v="4"/>
    <m/>
    <n v="3"/>
  </r>
  <r>
    <x v="1"/>
    <x v="1"/>
    <x v="2"/>
    <m/>
    <m/>
    <m/>
    <n v="1"/>
    <n v="2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3"/>
  </r>
  <r>
    <x v="1"/>
    <x v="1"/>
    <x v="2"/>
    <m/>
    <m/>
    <m/>
    <n v="4"/>
    <n v="3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2"/>
    <n v="4"/>
    <m/>
    <n v="4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2"/>
    <m/>
    <m/>
    <m/>
    <n v="3"/>
    <n v="2"/>
    <m/>
    <n v="4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3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3"/>
    <n v="4"/>
    <m/>
    <n v="4"/>
  </r>
  <r>
    <x v="2"/>
    <x v="1"/>
    <x v="1"/>
    <m/>
    <m/>
    <m/>
    <s v=""/>
    <s v=""/>
    <m/>
    <s v="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0"/>
    <n v="0"/>
    <m/>
    <n v="0"/>
  </r>
  <r>
    <x v="2"/>
    <x v="1"/>
    <x v="2"/>
    <m/>
    <m/>
    <m/>
    <n v="0"/>
    <n v="0"/>
    <m/>
    <n v="0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1"/>
    <x v="3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3"/>
    <m/>
    <m/>
    <m/>
    <s v=""/>
    <s v=""/>
    <m/>
    <s v=""/>
  </r>
  <r>
    <x v="2"/>
    <x v="1"/>
    <x v="2"/>
    <m/>
    <m/>
    <m/>
    <n v="4"/>
    <n v="4"/>
    <m/>
    <n v="3"/>
  </r>
  <r>
    <x v="2"/>
    <x v="1"/>
    <x v="2"/>
    <m/>
    <m/>
    <m/>
    <n v="4"/>
    <n v="4"/>
    <m/>
    <n v="3"/>
  </r>
  <r>
    <x v="2"/>
    <x v="1"/>
    <x v="2"/>
    <m/>
    <m/>
    <m/>
    <n v="4"/>
    <n v="4"/>
    <m/>
    <n v="2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0"/>
    <x v="3"/>
    <m/>
    <m/>
    <m/>
    <s v=""/>
    <s v=""/>
    <m/>
    <s v=""/>
  </r>
  <r>
    <x v="1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1"/>
    <m/>
    <m/>
    <m/>
    <s v=""/>
    <s v=""/>
    <m/>
    <s v=""/>
  </r>
  <r>
    <x v="1"/>
    <x v="1"/>
    <x v="2"/>
    <m/>
    <m/>
    <m/>
    <n v="4"/>
    <n v="4"/>
    <m/>
    <n v="3"/>
  </r>
  <r>
    <x v="1"/>
    <x v="1"/>
    <x v="1"/>
    <m/>
    <m/>
    <m/>
    <s v=""/>
    <s v=""/>
    <m/>
    <s v=""/>
  </r>
  <r>
    <x v="3"/>
    <x v="1"/>
    <x v="2"/>
    <m/>
    <m/>
    <m/>
    <n v="4"/>
    <n v="4"/>
    <m/>
    <n v="4"/>
  </r>
  <r>
    <x v="3"/>
    <x v="1"/>
    <x v="2"/>
    <m/>
    <m/>
    <m/>
    <n v="1"/>
    <n v="3"/>
    <m/>
    <n v="4"/>
  </r>
  <r>
    <x v="3"/>
    <x v="1"/>
    <x v="2"/>
    <m/>
    <m/>
    <m/>
    <n v="3"/>
    <n v="3"/>
    <m/>
    <n v="2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2"/>
    <m/>
    <m/>
    <m/>
    <n v="3"/>
    <n v="4"/>
    <m/>
    <n v="4"/>
  </r>
  <r>
    <x v="3"/>
    <x v="1"/>
    <x v="2"/>
    <m/>
    <m/>
    <m/>
    <n v="1"/>
    <n v="2"/>
    <m/>
    <n v="4"/>
  </r>
  <r>
    <x v="3"/>
    <x v="1"/>
    <x v="2"/>
    <m/>
    <m/>
    <m/>
    <n v="4"/>
    <n v="3"/>
    <m/>
    <n v="4"/>
  </r>
  <r>
    <x v="3"/>
    <x v="1"/>
    <x v="3"/>
    <m/>
    <m/>
    <m/>
    <s v=""/>
    <s v=""/>
    <m/>
    <s v=""/>
  </r>
  <r>
    <x v="3"/>
    <x v="1"/>
    <x v="1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2"/>
    <m/>
    <m/>
    <m/>
    <n v="1"/>
    <n v="1"/>
    <m/>
    <n v="4"/>
  </r>
  <r>
    <x v="3"/>
    <x v="1"/>
    <x v="2"/>
    <m/>
    <m/>
    <m/>
    <n v="3"/>
    <n v="4"/>
    <m/>
    <n v="3"/>
  </r>
  <r>
    <x v="3"/>
    <x v="1"/>
    <x v="2"/>
    <m/>
    <m/>
    <m/>
    <n v="3"/>
    <n v="2"/>
    <m/>
    <n v="4"/>
  </r>
  <r>
    <x v="3"/>
    <x v="1"/>
    <x v="2"/>
    <m/>
    <m/>
    <m/>
    <n v="3"/>
    <n v="2"/>
    <m/>
    <n v="4"/>
  </r>
  <r>
    <x v="3"/>
    <x v="1"/>
    <x v="2"/>
    <m/>
    <m/>
    <m/>
    <n v="3"/>
    <n v="3"/>
    <m/>
    <n v="4"/>
  </r>
  <r>
    <x v="3"/>
    <x v="1"/>
    <x v="1"/>
    <m/>
    <m/>
    <m/>
    <s v=""/>
    <s v=""/>
    <m/>
    <s v=""/>
  </r>
  <r>
    <x v="3"/>
    <x v="1"/>
    <x v="2"/>
    <m/>
    <m/>
    <m/>
    <n v="1"/>
    <n v="1"/>
    <m/>
    <n v="4"/>
  </r>
  <r>
    <x v="3"/>
    <x v="1"/>
    <x v="1"/>
    <m/>
    <m/>
    <m/>
    <s v=""/>
    <s v=""/>
    <m/>
    <s v=""/>
  </r>
  <r>
    <x v="3"/>
    <x v="1"/>
    <x v="2"/>
    <m/>
    <m/>
    <m/>
    <n v="2"/>
    <n v="3"/>
    <m/>
    <n v="4"/>
  </r>
  <r>
    <x v="3"/>
    <x v="1"/>
    <x v="2"/>
    <m/>
    <m/>
    <m/>
    <n v="1"/>
    <n v="1"/>
    <m/>
    <n v="4"/>
  </r>
  <r>
    <x v="3"/>
    <x v="1"/>
    <x v="1"/>
    <m/>
    <m/>
    <m/>
    <s v=""/>
    <s v=""/>
    <m/>
    <s v=""/>
  </r>
  <r>
    <x v="3"/>
    <x v="1"/>
    <x v="2"/>
    <m/>
    <m/>
    <m/>
    <n v="2"/>
    <n v="4"/>
    <m/>
    <n v="4"/>
  </r>
  <r>
    <x v="3"/>
    <x v="1"/>
    <x v="1"/>
    <m/>
    <m/>
    <m/>
    <s v=""/>
    <s v=""/>
    <m/>
    <s v=""/>
  </r>
  <r>
    <x v="3"/>
    <x v="1"/>
    <x v="2"/>
    <m/>
    <m/>
    <m/>
    <n v="4"/>
    <n v="3"/>
    <m/>
    <n v="3"/>
  </r>
  <r>
    <x v="3"/>
    <x v="1"/>
    <x v="2"/>
    <m/>
    <m/>
    <m/>
    <n v="3"/>
    <n v="4"/>
    <m/>
    <n v="4"/>
  </r>
  <r>
    <x v="3"/>
    <x v="1"/>
    <x v="2"/>
    <m/>
    <m/>
    <m/>
    <n v="3"/>
    <n v="3"/>
    <m/>
    <n v="4"/>
  </r>
  <r>
    <x v="3"/>
    <x v="1"/>
    <x v="2"/>
    <m/>
    <m/>
    <m/>
    <n v="4"/>
    <n v="4"/>
    <m/>
    <n v="2"/>
  </r>
  <r>
    <x v="3"/>
    <x v="1"/>
    <x v="2"/>
    <m/>
    <m/>
    <m/>
    <n v="4"/>
    <n v="4"/>
    <m/>
    <n v="4"/>
  </r>
  <r>
    <x v="3"/>
    <x v="1"/>
    <x v="2"/>
    <m/>
    <m/>
    <m/>
    <n v="4"/>
    <n v="3"/>
    <m/>
    <n v="4"/>
  </r>
  <r>
    <x v="3"/>
    <x v="1"/>
    <x v="2"/>
    <m/>
    <m/>
    <m/>
    <n v="4"/>
    <n v="4"/>
    <m/>
    <n v="4"/>
  </r>
  <r>
    <x v="3"/>
    <x v="1"/>
    <x v="2"/>
    <m/>
    <m/>
    <m/>
    <n v="4"/>
    <n v="4"/>
    <m/>
    <n v="3"/>
  </r>
  <r>
    <x v="3"/>
    <x v="1"/>
    <x v="2"/>
    <m/>
    <m/>
    <m/>
    <n v="3"/>
    <n v="3"/>
    <m/>
    <n v="4"/>
  </r>
  <r>
    <x v="3"/>
    <x v="1"/>
    <x v="2"/>
    <m/>
    <m/>
    <m/>
    <n v="3"/>
    <n v="4"/>
    <m/>
    <n v="3"/>
  </r>
  <r>
    <x v="3"/>
    <x v="1"/>
    <x v="2"/>
    <m/>
    <m/>
    <m/>
    <n v="4"/>
    <n v="4"/>
    <m/>
    <n v="4"/>
  </r>
  <r>
    <x v="3"/>
    <x v="1"/>
    <x v="2"/>
    <m/>
    <m/>
    <m/>
    <n v="4"/>
    <n v="4"/>
    <m/>
    <n v="4"/>
  </r>
  <r>
    <x v="3"/>
    <x v="1"/>
    <x v="2"/>
    <m/>
    <m/>
    <m/>
    <n v="3"/>
    <n v="4"/>
    <m/>
    <n v="4"/>
  </r>
  <r>
    <x v="3"/>
    <x v="1"/>
    <x v="2"/>
    <m/>
    <m/>
    <m/>
    <n v="4"/>
    <n v="4"/>
    <m/>
    <n v="4"/>
  </r>
  <r>
    <x v="4"/>
    <x v="1"/>
    <x v="2"/>
    <m/>
    <m/>
    <m/>
    <n v="3"/>
    <n v="4"/>
    <m/>
    <n v="4"/>
  </r>
  <r>
    <x v="4"/>
    <x v="1"/>
    <x v="2"/>
    <m/>
    <m/>
    <m/>
    <n v="3"/>
    <n v="4"/>
    <m/>
    <n v="4"/>
  </r>
  <r>
    <x v="5"/>
    <x v="1"/>
    <x v="2"/>
    <m/>
    <m/>
    <m/>
    <n v="0"/>
    <n v="0"/>
    <m/>
    <n v="0"/>
  </r>
  <r>
    <x v="5"/>
    <x v="1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4"/>
    <x v="1"/>
    <x v="2"/>
    <m/>
    <m/>
    <m/>
    <n v="4"/>
    <n v="4"/>
    <m/>
    <n v="4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4"/>
    <n v="4"/>
    <m/>
    <n v="4"/>
  </r>
  <r>
    <x v="4"/>
    <x v="1"/>
    <x v="2"/>
    <m/>
    <m/>
    <m/>
    <n v="3"/>
    <n v="4"/>
    <m/>
    <n v="3"/>
  </r>
  <r>
    <x v="4"/>
    <x v="1"/>
    <x v="2"/>
    <m/>
    <m/>
    <m/>
    <n v="1"/>
    <n v="3"/>
    <m/>
    <n v="3"/>
  </r>
  <r>
    <x v="4"/>
    <x v="1"/>
    <x v="1"/>
    <m/>
    <m/>
    <m/>
    <s v=""/>
    <s v=""/>
    <m/>
    <s v=""/>
  </r>
  <r>
    <x v="4"/>
    <x v="1"/>
    <x v="2"/>
    <m/>
    <m/>
    <m/>
    <n v="3"/>
    <n v="3"/>
    <m/>
    <n v="4"/>
  </r>
  <r>
    <x v="4"/>
    <x v="1"/>
    <x v="2"/>
    <m/>
    <m/>
    <m/>
    <n v="3"/>
    <n v="3"/>
    <m/>
    <n v="4"/>
  </r>
  <r>
    <x v="4"/>
    <x v="1"/>
    <x v="2"/>
    <m/>
    <m/>
    <m/>
    <n v="3"/>
    <n v="4"/>
    <m/>
    <n v="3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3"/>
    <n v="4"/>
    <m/>
    <n v="3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3"/>
    <n v="4"/>
    <m/>
    <n v="4"/>
  </r>
  <r>
    <x v="4"/>
    <x v="1"/>
    <x v="1"/>
    <m/>
    <m/>
    <m/>
    <s v=""/>
    <s v=""/>
    <m/>
    <s v=""/>
  </r>
  <r>
    <x v="4"/>
    <x v="1"/>
    <x v="2"/>
    <m/>
    <m/>
    <m/>
    <n v="3"/>
    <n v="4"/>
    <m/>
    <n v="4"/>
  </r>
  <r>
    <x v="4"/>
    <x v="1"/>
    <x v="2"/>
    <m/>
    <m/>
    <m/>
    <n v="3"/>
    <n v="4"/>
    <m/>
    <n v="4"/>
  </r>
  <r>
    <x v="4"/>
    <x v="1"/>
    <x v="2"/>
    <m/>
    <m/>
    <m/>
    <n v="3"/>
    <n v="4"/>
    <m/>
    <n v="3"/>
  </r>
  <r>
    <x v="4"/>
    <x v="1"/>
    <x v="2"/>
    <m/>
    <m/>
    <m/>
    <n v="2"/>
    <n v="4"/>
    <m/>
    <n v="4"/>
  </r>
  <r>
    <x v="4"/>
    <x v="1"/>
    <x v="2"/>
    <m/>
    <m/>
    <m/>
    <n v="2"/>
    <n v="4"/>
    <m/>
    <n v="4"/>
  </r>
  <r>
    <x v="4"/>
    <x v="1"/>
    <x v="1"/>
    <m/>
    <m/>
    <m/>
    <s v=""/>
    <s v=""/>
    <m/>
    <s v=""/>
  </r>
  <r>
    <x v="4"/>
    <x v="1"/>
    <x v="2"/>
    <m/>
    <m/>
    <m/>
    <n v="3"/>
    <n v="4"/>
    <m/>
    <n v="2"/>
  </r>
  <r>
    <x v="4"/>
    <x v="1"/>
    <x v="2"/>
    <m/>
    <m/>
    <m/>
    <n v="3"/>
    <n v="4"/>
    <m/>
    <n v="4"/>
  </r>
  <r>
    <x v="4"/>
    <x v="1"/>
    <x v="2"/>
    <m/>
    <m/>
    <m/>
    <n v="3"/>
    <n v="3"/>
    <m/>
    <n v="4"/>
  </r>
  <r>
    <x v="4"/>
    <x v="1"/>
    <x v="2"/>
    <m/>
    <m/>
    <m/>
    <n v="3"/>
    <n v="4"/>
    <m/>
    <n v="4"/>
  </r>
  <r>
    <x v="4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2"/>
    <m/>
    <m/>
    <m/>
    <n v="3"/>
    <n v="4"/>
    <m/>
    <n v="3"/>
  </r>
  <r>
    <x v="6"/>
    <x v="1"/>
    <x v="1"/>
    <m/>
    <m/>
    <m/>
    <s v=""/>
    <s v=""/>
    <m/>
    <s v=""/>
  </r>
  <r>
    <x v="6"/>
    <x v="1"/>
    <x v="2"/>
    <m/>
    <m/>
    <m/>
    <n v="4"/>
    <n v="4"/>
    <m/>
    <n v="3"/>
  </r>
  <r>
    <x v="6"/>
    <x v="1"/>
    <x v="2"/>
    <m/>
    <m/>
    <m/>
    <n v="0"/>
    <n v="0"/>
    <m/>
    <n v="0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2"/>
    <m/>
    <m/>
    <m/>
    <n v="1"/>
    <n v="4"/>
    <m/>
    <n v="4"/>
  </r>
  <r>
    <x v="6"/>
    <x v="1"/>
    <x v="1"/>
    <m/>
    <m/>
    <m/>
    <s v=""/>
    <s v=""/>
    <m/>
    <s v=""/>
  </r>
  <r>
    <x v="6"/>
    <x v="1"/>
    <x v="2"/>
    <m/>
    <m/>
    <m/>
    <n v="1"/>
    <n v="4"/>
    <m/>
    <n v="4"/>
  </r>
  <r>
    <x v="6"/>
    <x v="1"/>
    <x v="2"/>
    <m/>
    <m/>
    <m/>
    <n v="3"/>
    <n v="4"/>
    <m/>
    <n v="4"/>
  </r>
  <r>
    <x v="6"/>
    <x v="1"/>
    <x v="2"/>
    <m/>
    <m/>
    <m/>
    <n v="4"/>
    <n v="4"/>
    <m/>
    <n v="4"/>
  </r>
  <r>
    <x v="6"/>
    <x v="1"/>
    <x v="2"/>
    <m/>
    <m/>
    <m/>
    <n v="3"/>
    <n v="4"/>
    <m/>
    <n v="4"/>
  </r>
  <r>
    <x v="6"/>
    <x v="1"/>
    <x v="2"/>
    <m/>
    <m/>
    <m/>
    <n v="0"/>
    <n v="0"/>
    <m/>
    <n v="0"/>
  </r>
  <r>
    <x v="6"/>
    <x v="1"/>
    <x v="2"/>
    <m/>
    <m/>
    <m/>
    <n v="4"/>
    <n v="4"/>
    <m/>
    <n v="4"/>
  </r>
  <r>
    <x v="6"/>
    <x v="1"/>
    <x v="2"/>
    <m/>
    <m/>
    <m/>
    <n v="3"/>
    <n v="4"/>
    <m/>
    <n v="4"/>
  </r>
  <r>
    <x v="6"/>
    <x v="1"/>
    <x v="2"/>
    <m/>
    <m/>
    <m/>
    <n v="3"/>
    <n v="4"/>
    <m/>
    <n v="4"/>
  </r>
  <r>
    <x v="6"/>
    <x v="1"/>
    <x v="2"/>
    <m/>
    <m/>
    <m/>
    <n v="2"/>
    <n v="4"/>
    <m/>
    <n v="4"/>
  </r>
  <r>
    <x v="6"/>
    <x v="1"/>
    <x v="2"/>
    <m/>
    <m/>
    <m/>
    <n v="4"/>
    <n v="4"/>
    <m/>
    <n v="4"/>
  </r>
  <r>
    <x v="6"/>
    <x v="1"/>
    <x v="1"/>
    <m/>
    <m/>
    <m/>
    <s v=""/>
    <s v=""/>
    <m/>
    <s v=""/>
  </r>
  <r>
    <x v="6"/>
    <x v="1"/>
    <x v="2"/>
    <m/>
    <m/>
    <m/>
    <n v="4"/>
    <n v="4"/>
    <m/>
    <n v="4"/>
  </r>
  <r>
    <x v="6"/>
    <x v="1"/>
    <x v="2"/>
    <m/>
    <m/>
    <m/>
    <n v="4"/>
    <n v="4"/>
    <m/>
    <n v="3"/>
  </r>
  <r>
    <x v="6"/>
    <x v="1"/>
    <x v="2"/>
    <m/>
    <m/>
    <m/>
    <n v="4"/>
    <n v="4"/>
    <m/>
    <n v="4"/>
  </r>
  <r>
    <x v="6"/>
    <x v="1"/>
    <x v="2"/>
    <m/>
    <m/>
    <m/>
    <n v="4"/>
    <n v="4"/>
    <m/>
    <n v="4"/>
  </r>
  <r>
    <x v="6"/>
    <x v="1"/>
    <x v="2"/>
    <m/>
    <m/>
    <m/>
    <n v="3"/>
    <n v="4"/>
    <m/>
    <n v="4"/>
  </r>
  <r>
    <x v="6"/>
    <x v="1"/>
    <x v="2"/>
    <m/>
    <m/>
    <m/>
    <n v="3"/>
    <n v="4"/>
    <m/>
    <n v="4"/>
  </r>
  <r>
    <x v="6"/>
    <x v="1"/>
    <x v="2"/>
    <m/>
    <m/>
    <m/>
    <n v="4"/>
    <n v="4"/>
    <m/>
    <n v="4"/>
  </r>
  <r>
    <x v="6"/>
    <x v="1"/>
    <x v="2"/>
    <m/>
    <m/>
    <m/>
    <n v="4"/>
    <n v="4"/>
    <m/>
    <n v="4"/>
  </r>
  <r>
    <x v="6"/>
    <x v="1"/>
    <x v="2"/>
    <m/>
    <m/>
    <m/>
    <n v="4"/>
    <n v="4"/>
    <m/>
    <n v="4"/>
  </r>
  <r>
    <x v="6"/>
    <x v="1"/>
    <x v="2"/>
    <m/>
    <m/>
    <m/>
    <n v="3"/>
    <n v="4"/>
    <m/>
    <n v="3"/>
  </r>
  <r>
    <x v="7"/>
    <x v="1"/>
    <x v="2"/>
    <m/>
    <m/>
    <m/>
    <n v="4"/>
    <n v="4"/>
    <m/>
    <n v="4"/>
  </r>
  <r>
    <x v="7"/>
    <x v="1"/>
    <x v="2"/>
    <m/>
    <m/>
    <m/>
    <n v="0"/>
    <n v="0"/>
    <m/>
    <n v="0"/>
  </r>
  <r>
    <x v="7"/>
    <x v="1"/>
    <x v="2"/>
    <m/>
    <m/>
    <m/>
    <n v="1"/>
    <n v="3"/>
    <m/>
    <n v="4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2"/>
    <m/>
    <m/>
    <m/>
    <n v="4"/>
    <n v="4"/>
    <m/>
    <n v="4"/>
  </r>
  <r>
    <x v="7"/>
    <x v="1"/>
    <x v="1"/>
    <m/>
    <m/>
    <m/>
    <s v=""/>
    <s v=""/>
    <m/>
    <s v=""/>
  </r>
  <r>
    <x v="7"/>
    <x v="1"/>
    <x v="2"/>
    <m/>
    <m/>
    <m/>
    <n v="3"/>
    <n v="4"/>
    <m/>
    <n v="4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4"/>
    <n v="4"/>
    <m/>
    <n v="4"/>
  </r>
  <r>
    <x v="7"/>
    <x v="1"/>
    <x v="2"/>
    <m/>
    <m/>
    <m/>
    <n v="4"/>
    <n v="4"/>
    <m/>
    <n v="4"/>
  </r>
  <r>
    <x v="8"/>
    <x v="1"/>
    <x v="2"/>
    <m/>
    <m/>
    <m/>
    <n v="4"/>
    <n v="4"/>
    <m/>
    <n v="4"/>
  </r>
  <r>
    <x v="8"/>
    <x v="1"/>
    <x v="2"/>
    <m/>
    <m/>
    <m/>
    <n v="4"/>
    <n v="4"/>
    <m/>
    <n v="4"/>
  </r>
  <r>
    <x v="8"/>
    <x v="1"/>
    <x v="2"/>
    <m/>
    <m/>
    <m/>
    <n v="3"/>
    <n v="4"/>
    <m/>
    <n v="4"/>
  </r>
  <r>
    <x v="8"/>
    <x v="1"/>
    <x v="2"/>
    <m/>
    <m/>
    <m/>
    <n v="1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3"/>
  </r>
  <r>
    <x v="8"/>
    <x v="1"/>
    <x v="1"/>
    <m/>
    <m/>
    <m/>
    <s v=""/>
    <s v=""/>
    <m/>
    <s v=""/>
  </r>
  <r>
    <x v="8"/>
    <x v="1"/>
    <x v="2"/>
    <m/>
    <m/>
    <m/>
    <n v="3"/>
    <n v="4"/>
    <m/>
    <n v="3"/>
  </r>
  <r>
    <x v="8"/>
    <x v="1"/>
    <x v="2"/>
    <m/>
    <m/>
    <m/>
    <n v="3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4"/>
  </r>
  <r>
    <x v="8"/>
    <x v="1"/>
    <x v="2"/>
    <m/>
    <m/>
    <m/>
    <n v="3"/>
    <n v="4"/>
    <m/>
    <n v="3"/>
  </r>
  <r>
    <x v="8"/>
    <x v="1"/>
    <x v="2"/>
    <m/>
    <m/>
    <m/>
    <n v="2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4"/>
  </r>
  <r>
    <x v="8"/>
    <x v="1"/>
    <x v="2"/>
    <m/>
    <m/>
    <m/>
    <n v="3"/>
    <n v="4"/>
    <m/>
    <n v="3"/>
  </r>
  <r>
    <x v="8"/>
    <x v="1"/>
    <x v="2"/>
    <m/>
    <m/>
    <m/>
    <n v="3"/>
    <n v="4"/>
    <m/>
    <n v="4"/>
  </r>
  <r>
    <x v="8"/>
    <x v="1"/>
    <x v="2"/>
    <m/>
    <m/>
    <m/>
    <n v="2"/>
    <n v="4"/>
    <m/>
    <n v="3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2"/>
    <m/>
    <m/>
    <m/>
    <n v="3"/>
    <n v="4"/>
    <m/>
    <n v="3"/>
  </r>
  <r>
    <x v="8"/>
    <x v="1"/>
    <x v="2"/>
    <m/>
    <m/>
    <m/>
    <n v="3"/>
    <n v="4"/>
    <m/>
    <n v="3"/>
  </r>
  <r>
    <x v="8"/>
    <x v="1"/>
    <x v="2"/>
    <m/>
    <m/>
    <m/>
    <n v="3"/>
    <n v="4"/>
    <m/>
    <n v="3"/>
  </r>
  <r>
    <x v="8"/>
    <x v="1"/>
    <x v="2"/>
    <m/>
    <m/>
    <m/>
    <n v="0"/>
    <n v="0"/>
    <m/>
    <n v="0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2"/>
    <m/>
    <m/>
    <m/>
    <n v="0"/>
    <n v="0"/>
    <m/>
    <n v="0"/>
  </r>
  <r>
    <x v="8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3"/>
    <n v="3"/>
    <m/>
    <n v="4"/>
  </r>
  <r>
    <x v="9"/>
    <x v="1"/>
    <x v="1"/>
    <m/>
    <m/>
    <m/>
    <s v=""/>
    <s v=""/>
    <m/>
    <s v=""/>
  </r>
  <r>
    <x v="9"/>
    <x v="1"/>
    <x v="2"/>
    <m/>
    <m/>
    <m/>
    <n v="1"/>
    <n v="4"/>
    <m/>
    <n v="4"/>
  </r>
  <r>
    <x v="9"/>
    <x v="1"/>
    <x v="1"/>
    <m/>
    <m/>
    <m/>
    <s v=""/>
    <s v=""/>
    <m/>
    <s v=""/>
  </r>
  <r>
    <x v="9"/>
    <x v="1"/>
    <x v="2"/>
    <m/>
    <m/>
    <m/>
    <n v="4"/>
    <n v="4"/>
    <m/>
    <n v="4"/>
  </r>
  <r>
    <x v="9"/>
    <x v="1"/>
    <x v="2"/>
    <m/>
    <m/>
    <m/>
    <n v="2"/>
    <n v="4"/>
    <m/>
    <n v="4"/>
  </r>
  <r>
    <x v="9"/>
    <x v="1"/>
    <x v="2"/>
    <m/>
    <m/>
    <m/>
    <n v="2"/>
    <n v="4"/>
    <m/>
    <n v="4"/>
  </r>
  <r>
    <x v="9"/>
    <x v="1"/>
    <x v="1"/>
    <m/>
    <m/>
    <m/>
    <s v=""/>
    <s v=""/>
    <m/>
    <s v=""/>
  </r>
  <r>
    <x v="9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1"/>
    <n v="4"/>
    <m/>
    <n v="4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8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1"/>
    <x v="1"/>
    <m/>
    <m/>
    <m/>
    <s v=""/>
    <s v=""/>
    <m/>
    <s v=""/>
  </r>
  <r>
    <x v="10"/>
    <x v="0"/>
    <x v="3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0"/>
    <x v="3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2"/>
    <n v="3"/>
    <m/>
    <n v="4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4"/>
    <n v="4"/>
    <m/>
    <n v="4"/>
  </r>
  <r>
    <x v="4"/>
    <x v="1"/>
    <x v="2"/>
    <m/>
    <m/>
    <m/>
    <n v="4"/>
    <n v="4"/>
    <m/>
    <n v="3"/>
  </r>
  <r>
    <x v="4"/>
    <x v="1"/>
    <x v="2"/>
    <m/>
    <m/>
    <m/>
    <n v="4"/>
    <n v="4"/>
    <m/>
    <n v="4"/>
  </r>
  <r>
    <x v="4"/>
    <x v="1"/>
    <x v="2"/>
    <m/>
    <m/>
    <m/>
    <n v="4"/>
    <n v="4"/>
    <m/>
    <n v="4"/>
  </r>
  <r>
    <x v="4"/>
    <x v="1"/>
    <x v="2"/>
    <m/>
    <m/>
    <m/>
    <n v="4"/>
    <n v="4"/>
    <m/>
    <n v="4"/>
  </r>
  <r>
    <x v="4"/>
    <x v="1"/>
    <x v="2"/>
    <m/>
    <m/>
    <m/>
    <n v="4"/>
    <n v="4"/>
    <m/>
    <n v="4"/>
  </r>
  <r>
    <x v="4"/>
    <x v="1"/>
    <x v="2"/>
    <m/>
    <m/>
    <m/>
    <n v="4"/>
    <n v="4"/>
    <m/>
    <n v="3"/>
  </r>
  <r>
    <x v="4"/>
    <x v="1"/>
    <x v="2"/>
    <m/>
    <m/>
    <m/>
    <n v="4"/>
    <n v="4"/>
    <m/>
    <n v="3"/>
  </r>
  <r>
    <x v="4"/>
    <x v="1"/>
    <x v="1"/>
    <m/>
    <m/>
    <m/>
    <s v=""/>
    <s v=""/>
    <m/>
    <s v=""/>
  </r>
  <r>
    <x v="4"/>
    <x v="1"/>
    <x v="2"/>
    <m/>
    <m/>
    <m/>
    <n v="3"/>
    <n v="3"/>
    <m/>
    <n v="2"/>
  </r>
  <r>
    <x v="4"/>
    <x v="1"/>
    <x v="2"/>
    <m/>
    <m/>
    <m/>
    <n v="2"/>
    <n v="2"/>
    <m/>
    <n v="3"/>
  </r>
  <r>
    <x v="4"/>
    <x v="1"/>
    <x v="2"/>
    <m/>
    <m/>
    <m/>
    <n v="1"/>
    <n v="2"/>
    <m/>
    <n v="4"/>
  </r>
  <r>
    <x v="4"/>
    <x v="1"/>
    <x v="2"/>
    <m/>
    <m/>
    <m/>
    <n v="3"/>
    <n v="4"/>
    <m/>
    <n v="3"/>
  </r>
  <r>
    <x v="4"/>
    <x v="1"/>
    <x v="1"/>
    <m/>
    <m/>
    <m/>
    <s v=""/>
    <s v=""/>
    <m/>
    <s v=""/>
  </r>
  <r>
    <x v="4"/>
    <x v="1"/>
    <x v="2"/>
    <m/>
    <m/>
    <m/>
    <n v="3"/>
    <n v="4"/>
    <m/>
    <n v="4"/>
  </r>
  <r>
    <x v="4"/>
    <x v="1"/>
    <x v="2"/>
    <m/>
    <m/>
    <m/>
    <n v="3"/>
    <n v="4"/>
    <m/>
    <n v="4"/>
  </r>
  <r>
    <x v="4"/>
    <x v="1"/>
    <x v="2"/>
    <m/>
    <m/>
    <m/>
    <n v="3"/>
    <n v="4"/>
    <m/>
    <n v="2"/>
  </r>
  <r>
    <x v="4"/>
    <x v="1"/>
    <x v="1"/>
    <m/>
    <m/>
    <m/>
    <s v=""/>
    <s v=""/>
    <m/>
    <s v=""/>
  </r>
  <r>
    <x v="4"/>
    <x v="1"/>
    <x v="2"/>
    <m/>
    <m/>
    <m/>
    <n v="3"/>
    <n v="2"/>
    <m/>
    <n v="4"/>
  </r>
  <r>
    <x v="4"/>
    <x v="1"/>
    <x v="2"/>
    <m/>
    <m/>
    <m/>
    <n v="3"/>
    <n v="4"/>
    <m/>
    <n v="3"/>
  </r>
  <r>
    <x v="4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4"/>
    <m/>
    <n v="4"/>
  </r>
  <r>
    <x v="3"/>
    <x v="1"/>
    <x v="2"/>
    <m/>
    <m/>
    <m/>
    <n v="4"/>
    <n v="3"/>
    <m/>
    <n v="4"/>
  </r>
  <r>
    <x v="3"/>
    <x v="1"/>
    <x v="2"/>
    <m/>
    <m/>
    <m/>
    <n v="4"/>
    <n v="3"/>
    <m/>
    <n v="3"/>
  </r>
  <r>
    <x v="3"/>
    <x v="1"/>
    <x v="2"/>
    <m/>
    <m/>
    <m/>
    <n v="4"/>
    <n v="4"/>
    <m/>
    <n v="4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4"/>
    <m/>
    <n v="4"/>
  </r>
  <r>
    <x v="3"/>
    <x v="1"/>
    <x v="2"/>
    <m/>
    <m/>
    <m/>
    <n v="4"/>
    <n v="4"/>
    <m/>
    <n v="4"/>
  </r>
  <r>
    <x v="3"/>
    <x v="1"/>
    <x v="2"/>
    <m/>
    <m/>
    <m/>
    <n v="4"/>
    <n v="3"/>
    <m/>
    <n v="4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1"/>
    <x v="2"/>
    <m/>
    <m/>
    <m/>
    <n v="3"/>
    <n v="4"/>
    <m/>
    <n v="4"/>
  </r>
  <r>
    <x v="3"/>
    <x v="1"/>
    <x v="2"/>
    <m/>
    <m/>
    <m/>
    <n v="3"/>
    <n v="4"/>
    <m/>
    <n v="4"/>
  </r>
  <r>
    <x v="3"/>
    <x v="1"/>
    <x v="2"/>
    <m/>
    <m/>
    <m/>
    <n v="1"/>
    <n v="4"/>
    <m/>
    <n v="3"/>
  </r>
  <r>
    <x v="3"/>
    <x v="1"/>
    <x v="1"/>
    <m/>
    <m/>
    <m/>
    <s v=""/>
    <s v=""/>
    <m/>
    <s v=""/>
  </r>
  <r>
    <x v="3"/>
    <x v="1"/>
    <x v="2"/>
    <m/>
    <m/>
    <m/>
    <n v="4"/>
    <n v="4"/>
    <m/>
    <n v="3"/>
  </r>
  <r>
    <x v="3"/>
    <x v="1"/>
    <x v="2"/>
    <m/>
    <m/>
    <m/>
    <n v="1"/>
    <n v="4"/>
    <m/>
    <n v="4"/>
  </r>
  <r>
    <x v="3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3"/>
    <n v="3"/>
    <m/>
    <n v="3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4"/>
    <m/>
    <n v="2"/>
  </r>
  <r>
    <x v="3"/>
    <x v="1"/>
    <x v="2"/>
    <m/>
    <m/>
    <m/>
    <n v="4"/>
    <n v="4"/>
    <m/>
    <n v="4"/>
  </r>
  <r>
    <x v="3"/>
    <x v="1"/>
    <x v="2"/>
    <m/>
    <m/>
    <m/>
    <n v="4"/>
    <n v="3"/>
    <m/>
    <n v="3"/>
  </r>
  <r>
    <x v="3"/>
    <x v="1"/>
    <x v="2"/>
    <m/>
    <m/>
    <m/>
    <n v="4"/>
    <n v="3"/>
    <m/>
    <n v="1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1"/>
    <x v="2"/>
    <m/>
    <m/>
    <m/>
    <n v="4"/>
    <n v="4"/>
    <m/>
    <n v="4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3"/>
    <m/>
    <n v="4"/>
  </r>
  <r>
    <x v="1"/>
    <x v="1"/>
    <x v="2"/>
    <m/>
    <m/>
    <m/>
    <n v="4"/>
    <n v="3"/>
    <m/>
    <n v="4"/>
  </r>
  <r>
    <x v="1"/>
    <x v="1"/>
    <x v="2"/>
    <m/>
    <m/>
    <m/>
    <n v="4"/>
    <n v="3"/>
    <m/>
    <n v="4"/>
  </r>
  <r>
    <x v="1"/>
    <x v="1"/>
    <x v="2"/>
    <m/>
    <m/>
    <m/>
    <n v="4"/>
    <n v="3"/>
    <m/>
    <n v="4"/>
  </r>
  <r>
    <x v="1"/>
    <x v="1"/>
    <x v="2"/>
    <m/>
    <m/>
    <m/>
    <n v="4"/>
    <n v="4"/>
    <m/>
    <n v="4"/>
  </r>
  <r>
    <x v="1"/>
    <x v="1"/>
    <x v="2"/>
    <m/>
    <m/>
    <m/>
    <n v="4"/>
    <n v="3"/>
    <m/>
    <n v="4"/>
  </r>
  <r>
    <x v="1"/>
    <x v="1"/>
    <x v="2"/>
    <m/>
    <m/>
    <m/>
    <n v="3"/>
    <n v="3"/>
    <m/>
    <n v="3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1"/>
    <n v="4"/>
    <m/>
    <n v="4"/>
  </r>
  <r>
    <x v="1"/>
    <x v="1"/>
    <x v="2"/>
    <m/>
    <m/>
    <m/>
    <n v="3"/>
    <n v="3"/>
    <m/>
    <n v="4"/>
  </r>
  <r>
    <x v="1"/>
    <x v="1"/>
    <x v="2"/>
    <m/>
    <m/>
    <m/>
    <n v="3"/>
    <n v="3"/>
    <m/>
    <n v="4"/>
  </r>
  <r>
    <x v="1"/>
    <x v="1"/>
    <x v="2"/>
    <m/>
    <m/>
    <m/>
    <n v="3"/>
    <n v="4"/>
    <m/>
    <n v="4"/>
  </r>
  <r>
    <x v="1"/>
    <x v="1"/>
    <x v="2"/>
    <m/>
    <m/>
    <m/>
    <n v="3"/>
    <n v="3"/>
    <m/>
    <n v="3"/>
  </r>
  <r>
    <x v="1"/>
    <x v="0"/>
    <x v="3"/>
    <m/>
    <m/>
    <m/>
    <s v=""/>
    <s v=""/>
    <m/>
    <s v=""/>
  </r>
  <r>
    <x v="1"/>
    <x v="1"/>
    <x v="2"/>
    <m/>
    <m/>
    <m/>
    <n v="1"/>
    <n v="1"/>
    <m/>
    <n v="3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1"/>
    <n v="3"/>
    <m/>
    <n v="2"/>
  </r>
  <r>
    <x v="1"/>
    <x v="1"/>
    <x v="2"/>
    <m/>
    <m/>
    <m/>
    <n v="4"/>
    <n v="3"/>
    <m/>
    <n v="3"/>
  </r>
  <r>
    <x v="1"/>
    <x v="1"/>
    <x v="2"/>
    <m/>
    <m/>
    <m/>
    <n v="4"/>
    <n v="4"/>
    <m/>
    <n v="3"/>
  </r>
  <r>
    <x v="1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3"/>
    <m/>
    <n v="3"/>
  </r>
  <r>
    <x v="1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3"/>
  </r>
  <r>
    <x v="1"/>
    <x v="2"/>
    <x v="2"/>
    <m/>
    <m/>
    <m/>
    <n v="4"/>
    <n v="4"/>
    <m/>
    <n v="3"/>
  </r>
  <r>
    <x v="1"/>
    <x v="2"/>
    <x v="2"/>
    <m/>
    <m/>
    <m/>
    <n v="4"/>
    <n v="4"/>
    <m/>
    <n v="4"/>
  </r>
  <r>
    <x v="0"/>
    <x v="2"/>
    <x v="2"/>
    <m/>
    <m/>
    <m/>
    <n v="4"/>
    <n v="4"/>
    <m/>
    <n v="4"/>
  </r>
  <r>
    <x v="0"/>
    <x v="2"/>
    <x v="2"/>
    <m/>
    <m/>
    <m/>
    <n v="4"/>
    <n v="4"/>
    <m/>
    <n v="3"/>
  </r>
  <r>
    <x v="0"/>
    <x v="2"/>
    <x v="2"/>
    <m/>
    <m/>
    <m/>
    <n v="4"/>
    <n v="4"/>
    <m/>
    <n v="2"/>
  </r>
  <r>
    <x v="0"/>
    <x v="2"/>
    <x v="2"/>
    <m/>
    <m/>
    <m/>
    <n v="4"/>
    <n v="4"/>
    <m/>
    <n v="2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4"/>
  </r>
  <r>
    <x v="0"/>
    <x v="2"/>
    <x v="2"/>
    <m/>
    <m/>
    <m/>
    <n v="4"/>
    <n v="4"/>
    <m/>
    <n v="4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2"/>
  </r>
  <r>
    <x v="0"/>
    <x v="2"/>
    <x v="2"/>
    <m/>
    <m/>
    <m/>
    <n v="4"/>
    <n v="4"/>
    <m/>
    <n v="4"/>
  </r>
  <r>
    <x v="0"/>
    <x v="0"/>
    <x v="2"/>
    <m/>
    <m/>
    <m/>
    <n v="0"/>
    <n v="0"/>
    <m/>
    <n v="0"/>
  </r>
  <r>
    <x v="0"/>
    <x v="2"/>
    <x v="2"/>
    <m/>
    <m/>
    <m/>
    <n v="4"/>
    <n v="4"/>
    <m/>
    <n v="2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1"/>
    <x v="2"/>
    <m/>
    <m/>
    <m/>
    <n v="4"/>
    <n v="4"/>
    <m/>
    <n v="2"/>
  </r>
  <r>
    <x v="0"/>
    <x v="1"/>
    <x v="2"/>
    <m/>
    <m/>
    <m/>
    <n v="4"/>
    <n v="4"/>
    <m/>
    <n v="2"/>
  </r>
  <r>
    <x v="0"/>
    <x v="1"/>
    <x v="2"/>
    <m/>
    <m/>
    <m/>
    <n v="3"/>
    <n v="4"/>
    <m/>
    <n v="2"/>
  </r>
  <r>
    <x v="0"/>
    <x v="1"/>
    <x v="2"/>
    <m/>
    <m/>
    <m/>
    <n v="2"/>
    <n v="4"/>
    <m/>
    <n v="2"/>
  </r>
  <r>
    <x v="0"/>
    <x v="1"/>
    <x v="2"/>
    <m/>
    <m/>
    <m/>
    <n v="4"/>
    <n v="4"/>
    <m/>
    <n v="3"/>
  </r>
  <r>
    <x v="0"/>
    <x v="1"/>
    <x v="2"/>
    <m/>
    <m/>
    <m/>
    <n v="3"/>
    <n v="4"/>
    <m/>
    <n v="3"/>
  </r>
  <r>
    <x v="0"/>
    <x v="1"/>
    <x v="2"/>
    <m/>
    <m/>
    <m/>
    <n v="3"/>
    <n v="3"/>
    <m/>
    <n v="4"/>
  </r>
  <r>
    <x v="0"/>
    <x v="1"/>
    <x v="1"/>
    <m/>
    <m/>
    <m/>
    <s v=""/>
    <s v=""/>
    <m/>
    <s v=""/>
  </r>
  <r>
    <x v="0"/>
    <x v="1"/>
    <x v="1"/>
    <m/>
    <m/>
    <m/>
    <s v=""/>
    <s v=""/>
    <m/>
    <s v=""/>
  </r>
  <r>
    <x v="0"/>
    <x v="1"/>
    <x v="2"/>
    <m/>
    <m/>
    <m/>
    <n v="3"/>
    <n v="4"/>
    <m/>
    <n v="3"/>
  </r>
  <r>
    <x v="0"/>
    <x v="1"/>
    <x v="2"/>
    <m/>
    <m/>
    <m/>
    <n v="3"/>
    <n v="3"/>
    <m/>
    <n v="4"/>
  </r>
  <r>
    <x v="0"/>
    <x v="1"/>
    <x v="2"/>
    <m/>
    <m/>
    <m/>
    <n v="4"/>
    <n v="2"/>
    <m/>
    <n v="3"/>
  </r>
  <r>
    <x v="0"/>
    <x v="1"/>
    <x v="2"/>
    <m/>
    <m/>
    <m/>
    <n v="4"/>
    <n v="3"/>
    <m/>
    <n v="4"/>
  </r>
  <r>
    <x v="0"/>
    <x v="1"/>
    <x v="1"/>
    <m/>
    <m/>
    <m/>
    <s v=""/>
    <s v=""/>
    <m/>
    <s v=""/>
  </r>
  <r>
    <x v="0"/>
    <x v="1"/>
    <x v="1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D9C22-C6C1-41E9-B50A-5F31340D3E29}" name="PivotTable10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30:K31" firstHeaderRow="1" firstDataRow="1" firstDataCol="0" rowPageCount="3" colPageCount="1"/>
  <pivotFields count="10">
    <pivotField axis="axisPage" multipleItemSelectionAllowed="1" showAll="0">
      <items count="13">
        <item h="1" x="8"/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t="default"/>
      </items>
    </pivotField>
    <pivotField axis="axisPage" multipleItemSelectionAllowed="1" showAll="0">
      <items count="4">
        <item x="1"/>
        <item h="1" x="0"/>
        <item h="1" x="2"/>
        <item t="default"/>
      </items>
    </pivotField>
    <pivotField axis="axisPage" multipleItemSelectionAllowed="1" showAll="0">
      <items count="5">
        <item h="1" x="1"/>
        <item x="2"/>
        <item h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Condition_Score24" fld="9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D0F5D8-4E31-4353-9D0D-6A2D8CAF472F}" name="PivotTable9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23:K24" firstHeaderRow="1" firstDataRow="1" firstDataCol="0" rowPageCount="3" colPageCount="1"/>
  <pivotFields count="10">
    <pivotField axis="axisPage" multipleItemSelectionAllowed="1" showAll="0">
      <items count="13">
        <item h="1" x="8"/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t="default"/>
      </items>
    </pivotField>
    <pivotField axis="axisPage" multipleItemSelectionAllowed="1" showAll="0">
      <items count="4">
        <item x="1"/>
        <item h="1" x="0"/>
        <item h="1" x="2"/>
        <item t="default"/>
      </items>
    </pivotField>
    <pivotField axis="axisPage" multipleItemSelectionAllowed="1" showAll="0">
      <items count="5">
        <item h="1" x="1"/>
        <item x="2"/>
        <item h="1" x="3"/>
        <item h="1"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Maturity24" fld="7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85C1F7-F981-4512-9D0B-F4658AB2B5D3}" name="PivotTable8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16:K17" firstHeaderRow="1" firstDataRow="1" firstDataCol="0" rowPageCount="3" colPageCount="1"/>
  <pivotFields count="10">
    <pivotField axis="axisPage" multipleItemSelectionAllowed="1" showAll="0">
      <items count="13">
        <item h="1" x="8"/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t="default"/>
      </items>
    </pivotField>
    <pivotField axis="axisPage" multipleItemSelectionAllowed="1" showAll="0">
      <items count="4">
        <item x="1"/>
        <item h="1" x="0"/>
        <item h="1" x="2"/>
        <item t="default"/>
      </items>
    </pivotField>
    <pivotField axis="axisPage" multipleItemSelectionAllowed="1" showAll="0">
      <items count="5">
        <item h="1" x="1"/>
        <item x="2"/>
        <item h="1" x="3"/>
        <item h="1"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Density24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625F8-FBFC-4E33-885E-1331D2684022}" name="PivotTable6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45:B49" firstHeaderRow="1" firstDataRow="1" firstDataCol="1" rowPageCount="3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5">
        <item x="1"/>
        <item x="2"/>
        <item m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1"/>
        <item x="2"/>
        <item x="3"/>
        <item x="0"/>
        <item t="default"/>
      </items>
    </pivotField>
  </pivotFields>
  <rowFields count="1">
    <field x="16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0" hier="-1"/>
    <pageField fld="1" hier="-1"/>
    <pageField fld="2" hier="-1"/>
  </pageFields>
  <dataFields count="1">
    <dataField name="Count of Shoreline_Modification" fld="16" subtotal="count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CA86F-D010-48B4-ACC7-801B3DC9D225}" name="PivotTable4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4:B39" firstHeaderRow="1" firstDataRow="1" firstDataCol="1" rowPageCount="3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5">
        <item h="1" x="1"/>
        <item x="2"/>
        <item m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x="3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3">
    <pageField fld="0" hier="-1"/>
    <pageField fld="1" hier="-1"/>
    <pageField fld="2" hier="-1"/>
  </pageFields>
  <dataFields count="1">
    <dataField name="Count of Physical_Damage" fld="11" subtotal="count" baseField="1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E58042-1C57-4B18-A551-70925F7D5128}" name="PivotTable2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25:B28" firstHeaderRow="1" firstDataRow="1" firstDataCol="1" rowPageCount="2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Row" dataField="1" multipleItemSelectionAllowed="1" showAll="0">
      <items count="5">
        <item x="1"/>
        <item x="2"/>
        <item m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2">
    <pageField fld="0" hier="-1"/>
    <pageField fld="1" hier="-1"/>
  </pageFields>
  <dataFields count="1">
    <dataField name="Count of Mangrove_Presence_Cor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566624-2A91-4F6C-BC79-552E2096FBA2}" name="PivotTable1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18:D20" firstHeaderRow="1" firstDataRow="2" firstDataCol="1" rowPageCount="1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1"/>
  </colFields>
  <colItems count="3">
    <i>
      <x/>
    </i>
    <i>
      <x v="1"/>
    </i>
    <i t="grand">
      <x/>
    </i>
  </colItems>
  <pageFields count="1">
    <pageField fld="0" hier="-1"/>
  </pageFields>
  <dataFields count="1">
    <dataField name="Count of Mangrove_Presence_Cor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24848-546C-4AFE-8DB0-7D35BE0A4964}">
  <sheetPr codeName="Sheet1"/>
  <dimension ref="A1:AM8677"/>
  <sheetViews>
    <sheetView zoomScale="61" zoomScaleNormal="115" workbookViewId="0">
      <pane ySplit="3" topLeftCell="A4560" activePane="bottomLeft" state="frozen"/>
      <selection pane="bottomLeft" activeCell="F4576" sqref="F4576:V4576"/>
    </sheetView>
  </sheetViews>
  <sheetFormatPr defaultRowHeight="14.5" x14ac:dyDescent="0.35"/>
  <cols>
    <col min="2" max="2" width="6.81640625" bestFit="1" customWidth="1"/>
    <col min="3" max="3" width="12.7265625" bestFit="1" customWidth="1"/>
    <col min="4" max="4" width="13.08984375" bestFit="1" customWidth="1"/>
    <col min="5" max="5" width="6.36328125" bestFit="1" customWidth="1"/>
    <col min="6" max="6" width="19.6328125" bestFit="1" customWidth="1"/>
    <col min="8" max="8" width="23" customWidth="1"/>
    <col min="9" max="9" width="8.453125" style="58" customWidth="1"/>
    <col min="10" max="12" width="5.1796875" customWidth="1"/>
    <col min="13" max="13" width="7.1796875" bestFit="1" customWidth="1"/>
    <col min="14" max="14" width="5.1796875" bestFit="1" customWidth="1"/>
    <col min="15" max="15" width="4.453125" style="58" customWidth="1"/>
    <col min="16" max="22" width="5.1796875" style="58" bestFit="1" customWidth="1"/>
    <col min="23" max="23" width="3.81640625" customWidth="1"/>
    <col min="33" max="33" width="18.453125" hidden="1" customWidth="1"/>
  </cols>
  <sheetData>
    <row r="1" spans="1:33" x14ac:dyDescent="0.35">
      <c r="I1" s="52" t="s">
        <v>0</v>
      </c>
      <c r="J1" s="33"/>
      <c r="K1" s="33"/>
      <c r="L1" s="33"/>
      <c r="M1" s="33"/>
      <c r="N1" s="2"/>
      <c r="O1" s="2" t="s">
        <v>1</v>
      </c>
      <c r="P1" s="59"/>
      <c r="Q1" s="59"/>
      <c r="R1" s="59"/>
      <c r="S1" s="59"/>
      <c r="T1" s="59"/>
      <c r="U1" s="3"/>
      <c r="V1" s="61"/>
    </row>
    <row r="2" spans="1:33" x14ac:dyDescent="0.35">
      <c r="I2" s="53" t="s">
        <v>2</v>
      </c>
      <c r="J2" s="34"/>
      <c r="K2" s="34"/>
      <c r="L2" s="34"/>
      <c r="M2" s="34"/>
      <c r="N2" s="4"/>
      <c r="O2" s="4"/>
      <c r="U2" s="5"/>
      <c r="V2" s="62"/>
    </row>
    <row r="3" spans="1:33" ht="121.5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4" t="s">
        <v>3957</v>
      </c>
      <c r="J3" s="25" t="s">
        <v>11</v>
      </c>
      <c r="K3" s="25" t="s">
        <v>12</v>
      </c>
      <c r="L3" s="25" t="s">
        <v>13</v>
      </c>
      <c r="M3" s="25" t="s">
        <v>14</v>
      </c>
      <c r="N3" s="6" t="s">
        <v>15</v>
      </c>
      <c r="O3" s="6" t="s">
        <v>16</v>
      </c>
      <c r="P3" s="60" t="s">
        <v>17</v>
      </c>
      <c r="Q3" s="60" t="s">
        <v>18</v>
      </c>
      <c r="R3" s="60" t="s">
        <v>19</v>
      </c>
      <c r="S3" s="60" t="s">
        <v>20</v>
      </c>
      <c r="T3" s="60" t="s">
        <v>21</v>
      </c>
      <c r="U3" s="7" t="s">
        <v>22</v>
      </c>
      <c r="V3" s="63" t="s">
        <v>23</v>
      </c>
      <c r="W3" s="9" t="s">
        <v>24</v>
      </c>
      <c r="X3" s="9" t="s">
        <v>25</v>
      </c>
      <c r="AA3" s="8" t="s">
        <v>23</v>
      </c>
    </row>
    <row r="4" spans="1:33" x14ac:dyDescent="0.35">
      <c r="A4">
        <v>0</v>
      </c>
      <c r="B4">
        <v>1</v>
      </c>
      <c r="C4">
        <v>146.831503164</v>
      </c>
      <c r="D4">
        <v>-19.178384245</v>
      </c>
      <c r="F4" s="64"/>
      <c r="G4" s="64"/>
      <c r="H4" s="64" t="s">
        <v>26</v>
      </c>
      <c r="I4" s="64"/>
      <c r="J4" s="32" t="str">
        <f>IF(AND(I4=1,OR(I3=0,I3="")),MAX($J3:$J$4)+1,IF(AND(I4=1,I3=1),J3,""))</f>
        <v/>
      </c>
      <c r="K4" s="32" t="str">
        <f t="shared" ref="K4:K67" si="0">IF(J4="","",COUNTIF(J:J,J4)*10)</f>
        <v/>
      </c>
      <c r="L4" s="32" t="str">
        <f t="shared" ref="L4:L67" si="1">IF(K4="","",IF(K4&gt;=100,"HV",""))</f>
        <v/>
      </c>
      <c r="M4" s="32" t="str">
        <f t="shared" ref="M4:M67" si="2">IF(K4&lt;&gt;"",K4^2,"")</f>
        <v/>
      </c>
      <c r="N4" s="4"/>
      <c r="O4" s="4"/>
      <c r="P4" s="4"/>
      <c r="Q4" s="4"/>
      <c r="U4" s="5"/>
      <c r="V4" s="4"/>
      <c r="AA4">
        <v>1</v>
      </c>
      <c r="AB4" t="s">
        <v>27</v>
      </c>
    </row>
    <row r="5" spans="1:33" x14ac:dyDescent="0.35">
      <c r="A5">
        <v>1</v>
      </c>
      <c r="B5">
        <v>2</v>
      </c>
      <c r="C5">
        <v>146.83144707299999</v>
      </c>
      <c r="D5">
        <v>-19.178317971999899</v>
      </c>
      <c r="F5" s="64"/>
      <c r="G5" s="64"/>
      <c r="H5" s="64" t="s">
        <v>26</v>
      </c>
      <c r="I5" s="64"/>
      <c r="J5" s="32" t="str">
        <f>IF(AND(I5=1,OR(I4=0,I4="")),MAX($J4:$J$4)+1,IF(AND(I5=1,I4=1),J4,""))</f>
        <v/>
      </c>
      <c r="K5" s="32" t="str">
        <f t="shared" si="0"/>
        <v/>
      </c>
      <c r="L5" s="32" t="str">
        <f t="shared" si="1"/>
        <v/>
      </c>
      <c r="M5" s="32" t="str">
        <f t="shared" si="2"/>
        <v/>
      </c>
      <c r="N5" s="4"/>
      <c r="O5" s="4"/>
      <c r="P5" s="4"/>
      <c r="Q5" s="4"/>
      <c r="U5" s="5"/>
      <c r="V5" s="4"/>
      <c r="AA5">
        <v>2</v>
      </c>
      <c r="AB5" t="s">
        <v>28</v>
      </c>
      <c r="AG5" t="s">
        <v>62</v>
      </c>
    </row>
    <row r="6" spans="1:33" x14ac:dyDescent="0.35">
      <c r="A6">
        <v>2</v>
      </c>
      <c r="B6">
        <v>3</v>
      </c>
      <c r="C6">
        <v>146.83141051600001</v>
      </c>
      <c r="D6">
        <v>-19.178241676999999</v>
      </c>
      <c r="F6" s="64"/>
      <c r="G6" s="64"/>
      <c r="H6" s="64" t="s">
        <v>26</v>
      </c>
      <c r="I6" s="64"/>
      <c r="J6" s="32" t="str">
        <f>IF(AND(I6=1,OR(I5=0,I5="")),MAX($J$4:$J5)+1,IF(AND(I6=1,I5=1),J5,""))</f>
        <v/>
      </c>
      <c r="K6" s="32" t="str">
        <f t="shared" si="0"/>
        <v/>
      </c>
      <c r="L6" s="32" t="str">
        <f t="shared" si="1"/>
        <v/>
      </c>
      <c r="M6" s="32" t="str">
        <f t="shared" si="2"/>
        <v/>
      </c>
      <c r="N6" s="4"/>
      <c r="O6" s="4"/>
      <c r="P6" s="4"/>
      <c r="Q6" s="4"/>
      <c r="U6" s="5"/>
      <c r="V6" s="4"/>
      <c r="AA6">
        <v>3</v>
      </c>
      <c r="AB6" t="s">
        <v>29</v>
      </c>
      <c r="AG6" t="s">
        <v>63</v>
      </c>
    </row>
    <row r="7" spans="1:33" x14ac:dyDescent="0.35">
      <c r="A7">
        <v>3</v>
      </c>
      <c r="B7">
        <v>4</v>
      </c>
      <c r="C7">
        <v>146.83138218600001</v>
      </c>
      <c r="D7">
        <v>-19.178161159999899</v>
      </c>
      <c r="F7" s="64"/>
      <c r="G7" s="64"/>
      <c r="H7" s="64" t="s">
        <v>26</v>
      </c>
      <c r="I7" s="64"/>
      <c r="J7" s="32" t="str">
        <f>IF(AND(I7=1,OR(I6=0,I6="")),MAX($J$4:$J6)+1,IF(AND(I7=1,I6=1),J6,""))</f>
        <v/>
      </c>
      <c r="K7" s="32" t="str">
        <f t="shared" si="0"/>
        <v/>
      </c>
      <c r="L7" s="32" t="str">
        <f t="shared" si="1"/>
        <v/>
      </c>
      <c r="M7" s="32" t="str">
        <f t="shared" si="2"/>
        <v/>
      </c>
      <c r="N7" s="4"/>
      <c r="O7" s="4"/>
      <c r="P7" s="4"/>
      <c r="Q7" s="4"/>
      <c r="U7" s="5"/>
      <c r="V7" s="4"/>
      <c r="AA7">
        <v>4</v>
      </c>
      <c r="AB7" t="s">
        <v>30</v>
      </c>
      <c r="AG7" t="s">
        <v>64</v>
      </c>
    </row>
    <row r="8" spans="1:33" x14ac:dyDescent="0.35">
      <c r="A8">
        <v>4</v>
      </c>
      <c r="B8">
        <v>5</v>
      </c>
      <c r="C8">
        <v>146.83135385599999</v>
      </c>
      <c r="D8">
        <v>-19.178080644000001</v>
      </c>
      <c r="E8">
        <v>50</v>
      </c>
      <c r="F8" s="64"/>
      <c r="G8" s="64"/>
      <c r="H8" s="64" t="s">
        <v>26</v>
      </c>
      <c r="I8" s="64"/>
      <c r="J8" s="32" t="str">
        <f>IF(AND(I8=1,OR(I7=0,I7="")),MAX($J$4:$J7)+1,IF(AND(I8=1,I7=1),J7,""))</f>
        <v/>
      </c>
      <c r="K8" s="32" t="str">
        <f t="shared" si="0"/>
        <v/>
      </c>
      <c r="L8" s="32" t="str">
        <f t="shared" si="1"/>
        <v/>
      </c>
      <c r="M8" s="32" t="str">
        <f t="shared" si="2"/>
        <v/>
      </c>
      <c r="N8" s="4"/>
      <c r="O8" s="4"/>
      <c r="P8" s="4"/>
      <c r="Q8" s="4"/>
      <c r="U8" s="5"/>
      <c r="V8" s="4"/>
      <c r="AG8" t="s">
        <v>65</v>
      </c>
    </row>
    <row r="9" spans="1:33" x14ac:dyDescent="0.35">
      <c r="A9">
        <v>5</v>
      </c>
      <c r="B9">
        <v>6</v>
      </c>
      <c r="C9">
        <v>146.831338155</v>
      </c>
      <c r="D9">
        <v>-19.177997514000001</v>
      </c>
      <c r="F9" s="64"/>
      <c r="G9" s="64"/>
      <c r="H9" s="64" t="s">
        <v>26</v>
      </c>
      <c r="I9" s="64"/>
      <c r="J9" s="32" t="str">
        <f>IF(AND(I9=1,OR(I8=0,I8="")),MAX($J$4:$J8)+1,IF(AND(I9=1,I8=1),J8,""))</f>
        <v/>
      </c>
      <c r="K9" s="32" t="str">
        <f t="shared" si="0"/>
        <v/>
      </c>
      <c r="L9" s="32" t="str">
        <f t="shared" si="1"/>
        <v/>
      </c>
      <c r="M9" s="32" t="str">
        <f t="shared" si="2"/>
        <v/>
      </c>
      <c r="N9" s="4"/>
      <c r="O9" s="4"/>
      <c r="P9" s="4"/>
      <c r="Q9" s="4"/>
      <c r="U9" s="5"/>
      <c r="V9" s="4"/>
      <c r="AG9" t="s">
        <v>66</v>
      </c>
    </row>
    <row r="10" spans="1:33" x14ac:dyDescent="0.35">
      <c r="A10">
        <v>6</v>
      </c>
      <c r="B10">
        <v>7</v>
      </c>
      <c r="C10">
        <v>146.83132824399999</v>
      </c>
      <c r="D10">
        <v>-19.177913186000001</v>
      </c>
      <c r="F10" s="64"/>
      <c r="G10" s="64"/>
      <c r="H10" s="64" t="s">
        <v>26</v>
      </c>
      <c r="I10" s="64"/>
      <c r="J10" s="32" t="str">
        <f>IF(AND(I10=1,OR(I9=0,I9="")),MAX($J$4:$J9)+1,IF(AND(I10=1,I9=1),J9,""))</f>
        <v/>
      </c>
      <c r="K10" s="32" t="str">
        <f t="shared" si="0"/>
        <v/>
      </c>
      <c r="L10" s="32" t="str">
        <f t="shared" si="1"/>
        <v/>
      </c>
      <c r="M10" s="32" t="str">
        <f t="shared" si="2"/>
        <v/>
      </c>
      <c r="N10" s="4"/>
      <c r="O10" s="4"/>
      <c r="P10" s="4"/>
      <c r="Q10" s="4"/>
      <c r="U10" s="5"/>
      <c r="V10" s="4"/>
      <c r="AA10" s="58"/>
      <c r="AB10" t="s">
        <v>31</v>
      </c>
      <c r="AG10" t="s">
        <v>67</v>
      </c>
    </row>
    <row r="11" spans="1:33" x14ac:dyDescent="0.35">
      <c r="A11">
        <v>7</v>
      </c>
      <c r="B11">
        <v>8</v>
      </c>
      <c r="C11">
        <v>146.831318334</v>
      </c>
      <c r="D11">
        <v>-19.177828857999899</v>
      </c>
      <c r="F11" s="64"/>
      <c r="G11" s="64"/>
      <c r="H11" s="64" t="s">
        <v>26</v>
      </c>
      <c r="I11" s="64"/>
      <c r="J11" s="32" t="str">
        <f>IF(AND(I11=1,OR(I10=0,I10="")),MAX($J$4:$J10)+1,IF(AND(I11=1,I10=1),J10,""))</f>
        <v/>
      </c>
      <c r="K11" s="32" t="str">
        <f t="shared" si="0"/>
        <v/>
      </c>
      <c r="L11" s="32" t="str">
        <f t="shared" si="1"/>
        <v/>
      </c>
      <c r="M11" s="32" t="str">
        <f t="shared" si="2"/>
        <v/>
      </c>
      <c r="N11" s="4"/>
      <c r="O11" s="4"/>
      <c r="P11" s="4"/>
      <c r="Q11" s="4"/>
      <c r="U11" s="5"/>
      <c r="V11" s="4"/>
      <c r="AG11" t="s">
        <v>68</v>
      </c>
    </row>
    <row r="12" spans="1:33" x14ac:dyDescent="0.35">
      <c r="A12">
        <v>8</v>
      </c>
      <c r="B12">
        <v>9</v>
      </c>
      <c r="C12">
        <v>146.831300889</v>
      </c>
      <c r="D12">
        <v>-19.1777456999999</v>
      </c>
      <c r="F12" s="64"/>
      <c r="G12" s="64"/>
      <c r="H12" s="64" t="s">
        <v>26</v>
      </c>
      <c r="I12" s="64"/>
      <c r="J12" s="32" t="str">
        <f>IF(AND(I12=1,OR(I11=0,I11="")),MAX($J$4:$J11)+1,IF(AND(I12=1,I11=1),J11,""))</f>
        <v/>
      </c>
      <c r="K12" s="32" t="str">
        <f t="shared" si="0"/>
        <v/>
      </c>
      <c r="L12" s="32" t="str">
        <f t="shared" si="1"/>
        <v/>
      </c>
      <c r="M12" s="32" t="str">
        <f t="shared" si="2"/>
        <v/>
      </c>
      <c r="N12" s="4"/>
      <c r="O12" s="4"/>
      <c r="P12" s="4"/>
      <c r="Q12" s="4"/>
      <c r="U12" s="5"/>
      <c r="V12" s="4"/>
      <c r="AG12" t="s">
        <v>69</v>
      </c>
    </row>
    <row r="13" spans="1:33" x14ac:dyDescent="0.35">
      <c r="A13">
        <v>9</v>
      </c>
      <c r="B13">
        <v>10</v>
      </c>
      <c r="C13">
        <v>146.831281676</v>
      </c>
      <c r="D13">
        <v>-19.177662816999899</v>
      </c>
      <c r="E13">
        <v>50</v>
      </c>
      <c r="F13" s="64"/>
      <c r="G13" s="64"/>
      <c r="H13" s="64" t="s">
        <v>26</v>
      </c>
      <c r="I13" s="64"/>
      <c r="J13" s="32" t="str">
        <f>IF(AND(I13=1,OR(I12=0,I12="")),MAX($J$4:$J12)+1,IF(AND(I13=1,I12=1),J12,""))</f>
        <v/>
      </c>
      <c r="K13" s="32" t="str">
        <f t="shared" si="0"/>
        <v/>
      </c>
      <c r="L13" s="32" t="str">
        <f t="shared" si="1"/>
        <v/>
      </c>
      <c r="M13" s="32" t="str">
        <f t="shared" si="2"/>
        <v/>
      </c>
      <c r="N13" s="4"/>
      <c r="O13" s="4"/>
      <c r="P13" s="4"/>
      <c r="Q13" s="4"/>
      <c r="U13" s="5"/>
      <c r="V13" s="4"/>
      <c r="AG13" t="s">
        <v>70</v>
      </c>
    </row>
    <row r="14" spans="1:33" ht="15" thickBot="1" x14ac:dyDescent="0.4">
      <c r="A14">
        <v>10</v>
      </c>
      <c r="B14">
        <v>11</v>
      </c>
      <c r="C14">
        <v>146.83127345</v>
      </c>
      <c r="D14">
        <v>-19.177578810999901</v>
      </c>
      <c r="F14" s="64"/>
      <c r="G14" s="64"/>
      <c r="H14" s="64" t="s">
        <v>26</v>
      </c>
      <c r="I14" s="64"/>
      <c r="J14" s="32" t="str">
        <f>IF(AND(I14=1,OR(I13=0,I13="")),MAX($J$4:$J13)+1,IF(AND(I14=1,I13=1),J13,""))</f>
        <v/>
      </c>
      <c r="K14" s="32" t="str">
        <f t="shared" si="0"/>
        <v/>
      </c>
      <c r="L14" s="32" t="str">
        <f t="shared" si="1"/>
        <v/>
      </c>
      <c r="M14" s="32" t="str">
        <f t="shared" si="2"/>
        <v/>
      </c>
      <c r="N14" s="4"/>
      <c r="O14" s="4"/>
      <c r="P14" s="4"/>
      <c r="Q14" s="4"/>
      <c r="U14" s="5"/>
      <c r="V14" s="4"/>
      <c r="AA14" s="63"/>
      <c r="AG14" t="s">
        <v>71</v>
      </c>
    </row>
    <row r="15" spans="1:33" x14ac:dyDescent="0.35">
      <c r="A15">
        <v>11</v>
      </c>
      <c r="B15">
        <v>12</v>
      </c>
      <c r="C15">
        <v>146.83127345</v>
      </c>
      <c r="D15">
        <v>-19.177493964999901</v>
      </c>
      <c r="F15" s="64"/>
      <c r="G15" s="64"/>
      <c r="H15" s="64" t="s">
        <v>26</v>
      </c>
      <c r="I15" s="64"/>
      <c r="J15" s="32" t="str">
        <f>IF(AND(I15=1,OR(I14=0,I14="")),MAX($J$4:$J14)+1,IF(AND(I15=1,I14=1),J14,""))</f>
        <v/>
      </c>
      <c r="K15" s="32" t="str">
        <f t="shared" si="0"/>
        <v/>
      </c>
      <c r="L15" s="32" t="str">
        <f t="shared" si="1"/>
        <v/>
      </c>
      <c r="M15" s="32" t="str">
        <f t="shared" si="2"/>
        <v/>
      </c>
      <c r="N15" s="4"/>
      <c r="O15" s="4"/>
      <c r="P15" s="4"/>
      <c r="Q15" s="4"/>
      <c r="U15" s="5"/>
      <c r="V15" s="4"/>
      <c r="AG15" t="s">
        <v>72</v>
      </c>
    </row>
    <row r="16" spans="1:33" x14ac:dyDescent="0.35">
      <c r="A16">
        <v>12</v>
      </c>
      <c r="B16">
        <v>13</v>
      </c>
      <c r="C16">
        <v>146.83127345</v>
      </c>
      <c r="D16">
        <v>-19.177409118999901</v>
      </c>
      <c r="F16" s="64"/>
      <c r="G16" s="64"/>
      <c r="H16" s="64" t="s">
        <v>26</v>
      </c>
      <c r="I16" s="64"/>
      <c r="J16" s="32" t="str">
        <f>IF(AND(I16=1,OR(I15=0,I15="")),MAX($J$4:$J15)+1,IF(AND(I16=1,I15=1),J15,""))</f>
        <v/>
      </c>
      <c r="K16" s="32" t="str">
        <f t="shared" si="0"/>
        <v/>
      </c>
      <c r="L16" s="32" t="str">
        <f t="shared" si="1"/>
        <v/>
      </c>
      <c r="M16" s="32" t="str">
        <f t="shared" si="2"/>
        <v/>
      </c>
      <c r="N16" s="4"/>
      <c r="O16" s="4"/>
      <c r="P16" s="4"/>
      <c r="Q16" s="4"/>
      <c r="U16" s="5"/>
      <c r="V16" s="4"/>
      <c r="AG16" t="s">
        <v>73</v>
      </c>
    </row>
    <row r="17" spans="1:33" x14ac:dyDescent="0.35">
      <c r="A17">
        <v>13</v>
      </c>
      <c r="B17">
        <v>14</v>
      </c>
      <c r="C17">
        <v>146.83128276299999</v>
      </c>
      <c r="D17">
        <v>-19.177325523</v>
      </c>
      <c r="F17" s="64"/>
      <c r="G17" s="64"/>
      <c r="H17" s="64" t="s">
        <v>26</v>
      </c>
      <c r="I17" s="64"/>
      <c r="J17" s="32" t="str">
        <f>IF(AND(I17=1,OR(I16=0,I16="")),MAX($J$4:$J16)+1,IF(AND(I17=1,I16=1),J16,""))</f>
        <v/>
      </c>
      <c r="K17" s="32" t="str">
        <f t="shared" si="0"/>
        <v/>
      </c>
      <c r="L17" s="32" t="str">
        <f t="shared" si="1"/>
        <v/>
      </c>
      <c r="M17" s="32" t="str">
        <f t="shared" si="2"/>
        <v/>
      </c>
      <c r="N17" s="4"/>
      <c r="O17" s="4"/>
      <c r="P17" s="4"/>
      <c r="Q17" s="4"/>
      <c r="U17" s="5"/>
      <c r="V17" s="4"/>
      <c r="AG17" t="s">
        <v>74</v>
      </c>
    </row>
    <row r="18" spans="1:33" x14ac:dyDescent="0.35">
      <c r="A18">
        <v>14</v>
      </c>
      <c r="B18">
        <v>15</v>
      </c>
      <c r="C18">
        <v>146.83130780100001</v>
      </c>
      <c r="D18">
        <v>-19.177244039000001</v>
      </c>
      <c r="E18">
        <v>50</v>
      </c>
      <c r="F18" s="64"/>
      <c r="G18" s="64"/>
      <c r="H18" s="64" t="s">
        <v>26</v>
      </c>
      <c r="I18" s="64"/>
      <c r="J18" s="32" t="str">
        <f>IF(AND(I18=1,OR(I17=0,I17="")),MAX($J$4:$J17)+1,IF(AND(I18=1,I17=1),J17,""))</f>
        <v/>
      </c>
      <c r="K18" s="32" t="str">
        <f t="shared" si="0"/>
        <v/>
      </c>
      <c r="L18" s="32" t="str">
        <f t="shared" si="1"/>
        <v/>
      </c>
      <c r="M18" s="32" t="str">
        <f t="shared" si="2"/>
        <v/>
      </c>
      <c r="N18" s="4"/>
      <c r="O18" s="4"/>
      <c r="P18" s="4"/>
      <c r="Q18" s="4"/>
      <c r="U18" s="5"/>
      <c r="V18" s="4"/>
      <c r="AG18" t="s">
        <v>75</v>
      </c>
    </row>
    <row r="19" spans="1:33" x14ac:dyDescent="0.35">
      <c r="A19">
        <v>15</v>
      </c>
      <c r="B19">
        <v>16</v>
      </c>
      <c r="C19">
        <v>146.83133382</v>
      </c>
      <c r="D19">
        <v>-19.177162885000001</v>
      </c>
      <c r="F19" s="64"/>
      <c r="G19" s="64"/>
      <c r="H19" s="64" t="s">
        <v>26</v>
      </c>
      <c r="I19" s="64"/>
      <c r="J19" s="32" t="str">
        <f>IF(AND(I19=1,OR(I18=0,I18="")),MAX($J$4:$J18)+1,IF(AND(I19=1,I18=1),J18,""))</f>
        <v/>
      </c>
      <c r="K19" s="32" t="str">
        <f t="shared" si="0"/>
        <v/>
      </c>
      <c r="L19" s="32" t="str">
        <f t="shared" si="1"/>
        <v/>
      </c>
      <c r="M19" s="32" t="str">
        <f t="shared" si="2"/>
        <v/>
      </c>
      <c r="N19" s="4"/>
      <c r="O19" s="4"/>
      <c r="P19" s="4"/>
      <c r="Q19" s="4"/>
      <c r="U19" s="5"/>
      <c r="V19" s="4"/>
      <c r="AG19" t="s">
        <v>76</v>
      </c>
    </row>
    <row r="20" spans="1:33" x14ac:dyDescent="0.35">
      <c r="A20">
        <v>16</v>
      </c>
      <c r="B20">
        <v>17</v>
      </c>
      <c r="C20">
        <v>146.831369126</v>
      </c>
      <c r="D20">
        <v>-19.177084866000001</v>
      </c>
      <c r="F20" s="64"/>
      <c r="G20" s="64"/>
      <c r="H20" s="64" t="s">
        <v>26</v>
      </c>
      <c r="I20" s="64"/>
      <c r="J20" s="32" t="str">
        <f>IF(AND(I20=1,OR(I19=0,I19="")),MAX($J$4:$J19)+1,IF(AND(I20=1,I19=1),J19,""))</f>
        <v/>
      </c>
      <c r="K20" s="32" t="str">
        <f t="shared" si="0"/>
        <v/>
      </c>
      <c r="L20" s="32" t="str">
        <f t="shared" si="1"/>
        <v/>
      </c>
      <c r="M20" s="32" t="str">
        <f t="shared" si="2"/>
        <v/>
      </c>
      <c r="N20" s="4"/>
      <c r="O20" s="4"/>
      <c r="P20" s="4"/>
      <c r="Q20" s="4"/>
      <c r="U20" s="5"/>
      <c r="V20" s="4"/>
      <c r="AG20" t="s">
        <v>77</v>
      </c>
    </row>
    <row r="21" spans="1:33" x14ac:dyDescent="0.35">
      <c r="A21">
        <v>17</v>
      </c>
      <c r="B21">
        <v>18</v>
      </c>
      <c r="C21">
        <v>146.83140132400001</v>
      </c>
      <c r="D21">
        <v>-19.177006397</v>
      </c>
      <c r="F21" s="64"/>
      <c r="G21" s="64"/>
      <c r="H21" s="64" t="s">
        <v>26</v>
      </c>
      <c r="I21" s="64"/>
      <c r="J21" s="32" t="str">
        <f>IF(AND(I21=1,OR(I20=0,I20="")),MAX($J$4:$J20)+1,IF(AND(I21=1,I20=1),J20,""))</f>
        <v/>
      </c>
      <c r="K21" s="32" t="str">
        <f t="shared" si="0"/>
        <v/>
      </c>
      <c r="L21" s="32" t="str">
        <f t="shared" si="1"/>
        <v/>
      </c>
      <c r="M21" s="32" t="str">
        <f t="shared" si="2"/>
        <v/>
      </c>
      <c r="N21" s="4"/>
      <c r="O21" s="4"/>
      <c r="P21" s="4"/>
      <c r="Q21" s="4"/>
      <c r="U21" s="5"/>
      <c r="V21" s="4"/>
      <c r="AG21" t="s">
        <v>77</v>
      </c>
    </row>
    <row r="22" spans="1:33" x14ac:dyDescent="0.35">
      <c r="A22">
        <v>18</v>
      </c>
      <c r="B22">
        <v>19</v>
      </c>
      <c r="C22">
        <v>146.83139241200001</v>
      </c>
      <c r="D22">
        <v>-19.176921968999999</v>
      </c>
      <c r="F22" s="64"/>
      <c r="G22" s="64"/>
      <c r="H22" s="64" t="s">
        <v>26</v>
      </c>
      <c r="I22" s="64"/>
      <c r="J22" s="32" t="str">
        <f>IF(AND(I22=1,OR(I21=0,I21="")),MAX($J$4:$J21)+1,IF(AND(I22=1,I21=1),J21,""))</f>
        <v/>
      </c>
      <c r="K22" s="32" t="str">
        <f t="shared" si="0"/>
        <v/>
      </c>
      <c r="L22" s="32" t="str">
        <f t="shared" si="1"/>
        <v/>
      </c>
      <c r="M22" s="32" t="str">
        <f t="shared" si="2"/>
        <v/>
      </c>
      <c r="N22" s="4"/>
      <c r="O22" s="4"/>
      <c r="P22" s="4"/>
      <c r="Q22" s="4"/>
      <c r="U22" s="5"/>
      <c r="V22" s="4"/>
      <c r="AG22" t="s">
        <v>78</v>
      </c>
    </row>
    <row r="23" spans="1:33" x14ac:dyDescent="0.35">
      <c r="A23">
        <v>19</v>
      </c>
      <c r="B23">
        <v>20</v>
      </c>
      <c r="C23">
        <v>146.83138349999999</v>
      </c>
      <c r="D23">
        <v>-19.176837540999902</v>
      </c>
      <c r="E23">
        <v>50</v>
      </c>
      <c r="F23" s="64"/>
      <c r="G23" s="64"/>
      <c r="H23" s="64" t="s">
        <v>26</v>
      </c>
      <c r="I23" s="64"/>
      <c r="J23" s="32" t="str">
        <f>IF(AND(I23=1,OR(I22=0,I22="")),MAX($J$4:$J22)+1,IF(AND(I23=1,I22=1),J22,""))</f>
        <v/>
      </c>
      <c r="K23" s="32" t="str">
        <f t="shared" si="0"/>
        <v/>
      </c>
      <c r="L23" s="32" t="str">
        <f t="shared" si="1"/>
        <v/>
      </c>
      <c r="M23" s="32" t="str">
        <f t="shared" si="2"/>
        <v/>
      </c>
      <c r="N23" s="4"/>
      <c r="O23" s="4"/>
      <c r="P23" s="4"/>
      <c r="Q23" s="4"/>
      <c r="U23" s="5"/>
      <c r="V23" s="4"/>
      <c r="AG23" t="s">
        <v>79</v>
      </c>
    </row>
    <row r="24" spans="1:33" x14ac:dyDescent="0.35">
      <c r="A24">
        <v>20</v>
      </c>
      <c r="B24">
        <v>21</v>
      </c>
      <c r="C24">
        <v>146.83137458799999</v>
      </c>
      <c r="D24">
        <v>-19.176753113</v>
      </c>
      <c r="F24" s="64"/>
      <c r="G24" s="64"/>
      <c r="H24" s="64" t="s">
        <v>26</v>
      </c>
      <c r="I24" s="64"/>
      <c r="J24" s="32" t="str">
        <f>IF(AND(I24=1,OR(I23=0,I23="")),MAX($J$4:$J23)+1,IF(AND(I24=1,I23=1),J23,""))</f>
        <v/>
      </c>
      <c r="K24" s="32" t="str">
        <f t="shared" si="0"/>
        <v/>
      </c>
      <c r="L24" s="32" t="str">
        <f t="shared" si="1"/>
        <v/>
      </c>
      <c r="M24" s="32" t="str">
        <f t="shared" si="2"/>
        <v/>
      </c>
      <c r="N24" s="4"/>
      <c r="O24" s="4"/>
      <c r="P24" s="4"/>
      <c r="Q24" s="4"/>
      <c r="U24" s="5"/>
      <c r="V24" s="4"/>
      <c r="AG24" t="s">
        <v>80</v>
      </c>
    </row>
    <row r="25" spans="1:33" x14ac:dyDescent="0.35">
      <c r="A25">
        <v>21</v>
      </c>
      <c r="B25">
        <v>22</v>
      </c>
      <c r="C25">
        <v>146.831346419</v>
      </c>
      <c r="D25">
        <v>-19.176672862</v>
      </c>
      <c r="F25" s="64"/>
      <c r="G25" s="64"/>
      <c r="H25" s="64" t="s">
        <v>26</v>
      </c>
      <c r="I25" s="64"/>
      <c r="J25" s="32" t="str">
        <f>IF(AND(I25=1,OR(I24=0,I24="")),MAX($J$4:$J24)+1,IF(AND(I25=1,I24=1),J24,""))</f>
        <v/>
      </c>
      <c r="K25" s="32" t="str">
        <f t="shared" si="0"/>
        <v/>
      </c>
      <c r="L25" s="32" t="str">
        <f t="shared" si="1"/>
        <v/>
      </c>
      <c r="M25" s="32" t="str">
        <f t="shared" si="2"/>
        <v/>
      </c>
      <c r="N25" s="4"/>
      <c r="O25" s="4"/>
      <c r="P25" s="4"/>
      <c r="Q25" s="4"/>
      <c r="U25" s="5"/>
      <c r="V25" s="4"/>
      <c r="AG25" t="s">
        <v>81</v>
      </c>
    </row>
    <row r="26" spans="1:33" x14ac:dyDescent="0.35">
      <c r="A26">
        <v>22</v>
      </c>
      <c r="B26">
        <v>23</v>
      </c>
      <c r="C26">
        <v>146.83131543100001</v>
      </c>
      <c r="D26">
        <v>-19.176593223999902</v>
      </c>
      <c r="F26" s="64"/>
      <c r="G26" s="64"/>
      <c r="H26" s="64" t="s">
        <v>26</v>
      </c>
      <c r="I26" s="64"/>
      <c r="J26" s="32" t="str">
        <f>IF(AND(I26=1,OR(I25=0,I25="")),MAX($J$4:$J25)+1,IF(AND(I26=1,I25=1),J25,""))</f>
        <v/>
      </c>
      <c r="K26" s="32" t="str">
        <f t="shared" si="0"/>
        <v/>
      </c>
      <c r="L26" s="32" t="str">
        <f t="shared" si="1"/>
        <v/>
      </c>
      <c r="M26" s="32" t="str">
        <f t="shared" si="2"/>
        <v/>
      </c>
      <c r="N26" s="4"/>
      <c r="O26" s="4"/>
      <c r="P26" s="4"/>
      <c r="Q26" s="4"/>
      <c r="U26" s="5"/>
      <c r="V26" s="4"/>
      <c r="AG26" t="s">
        <v>82</v>
      </c>
    </row>
    <row r="27" spans="1:33" x14ac:dyDescent="0.35">
      <c r="A27">
        <v>23</v>
      </c>
      <c r="B27">
        <v>24</v>
      </c>
      <c r="C27">
        <v>146.83128444299999</v>
      </c>
      <c r="D27">
        <v>-19.176513584999999</v>
      </c>
      <c r="F27" s="64"/>
      <c r="G27" s="64"/>
      <c r="H27" s="64" t="s">
        <v>26</v>
      </c>
      <c r="I27" s="64"/>
      <c r="J27" s="32" t="str">
        <f>IF(AND(I27=1,OR(I26=0,I26="")),MAX($J$4:$J26)+1,IF(AND(I27=1,I26=1),J26,""))</f>
        <v/>
      </c>
      <c r="K27" s="32" t="str">
        <f t="shared" si="0"/>
        <v/>
      </c>
      <c r="L27" s="32" t="str">
        <f t="shared" si="1"/>
        <v/>
      </c>
      <c r="M27" s="32" t="str">
        <f t="shared" si="2"/>
        <v/>
      </c>
      <c r="N27" s="4"/>
      <c r="O27" s="4"/>
      <c r="P27" s="4"/>
      <c r="Q27" s="4"/>
      <c r="U27" s="5"/>
      <c r="V27" s="4"/>
      <c r="AG27" t="s">
        <v>83</v>
      </c>
    </row>
    <row r="28" spans="1:33" x14ac:dyDescent="0.35">
      <c r="A28">
        <v>24</v>
      </c>
      <c r="B28">
        <v>25</v>
      </c>
      <c r="C28">
        <v>146.83124648500001</v>
      </c>
      <c r="D28">
        <v>-19.17643687</v>
      </c>
      <c r="E28">
        <v>50</v>
      </c>
      <c r="F28" s="64"/>
      <c r="G28" s="64"/>
      <c r="H28" s="64" t="s">
        <v>26</v>
      </c>
      <c r="I28" s="64"/>
      <c r="J28" s="32" t="str">
        <f>IF(AND(I28=1,OR(I27=0,I27="")),MAX($J$4:$J27)+1,IF(AND(I28=1,I27=1),J27,""))</f>
        <v/>
      </c>
      <c r="K28" s="32" t="str">
        <f t="shared" si="0"/>
        <v/>
      </c>
      <c r="L28" s="32" t="str">
        <f t="shared" si="1"/>
        <v/>
      </c>
      <c r="M28" s="32" t="str">
        <f t="shared" si="2"/>
        <v/>
      </c>
      <c r="N28" s="4"/>
      <c r="O28" s="4"/>
      <c r="P28" s="4"/>
      <c r="Q28" s="4"/>
      <c r="U28" s="5"/>
      <c r="V28" s="4"/>
      <c r="AG28" t="s">
        <v>84</v>
      </c>
    </row>
    <row r="29" spans="1:33" x14ac:dyDescent="0.35">
      <c r="A29">
        <v>25</v>
      </c>
      <c r="B29">
        <v>26</v>
      </c>
      <c r="C29">
        <v>146.831204695</v>
      </c>
      <c r="D29">
        <v>-19.176361763999999</v>
      </c>
      <c r="F29" s="64"/>
      <c r="G29" s="64"/>
      <c r="H29" s="64" t="s">
        <v>26</v>
      </c>
      <c r="I29" s="64"/>
      <c r="J29" s="32" t="str">
        <f>IF(AND(I29=1,OR(I28=0,I28="")),MAX($J$4:$J28)+1,IF(AND(I29=1,I28=1),J28,""))</f>
        <v/>
      </c>
      <c r="K29" s="32" t="str">
        <f t="shared" si="0"/>
        <v/>
      </c>
      <c r="L29" s="32" t="str">
        <f t="shared" si="1"/>
        <v/>
      </c>
      <c r="M29" s="32" t="str">
        <f t="shared" si="2"/>
        <v/>
      </c>
      <c r="N29" s="4"/>
      <c r="O29" s="4"/>
      <c r="P29" s="4"/>
      <c r="Q29" s="4"/>
      <c r="U29" s="5"/>
      <c r="V29" s="4"/>
      <c r="AG29" t="s">
        <v>85</v>
      </c>
    </row>
    <row r="30" spans="1:33" x14ac:dyDescent="0.35">
      <c r="A30">
        <v>26</v>
      </c>
      <c r="B30">
        <v>27</v>
      </c>
      <c r="C30">
        <v>146.831158432</v>
      </c>
      <c r="D30">
        <v>-19.176289045000001</v>
      </c>
      <c r="F30" s="64"/>
      <c r="G30" s="64"/>
      <c r="H30" s="64" t="s">
        <v>26</v>
      </c>
      <c r="I30" s="64"/>
      <c r="J30" s="32" t="str">
        <f>IF(AND(I30=1,OR(I29=0,I29="")),MAX($J$4:$J29)+1,IF(AND(I30=1,I29=1),J29,""))</f>
        <v/>
      </c>
      <c r="K30" s="32" t="str">
        <f t="shared" si="0"/>
        <v/>
      </c>
      <c r="L30" s="32" t="str">
        <f t="shared" si="1"/>
        <v/>
      </c>
      <c r="M30" s="32" t="str">
        <f t="shared" si="2"/>
        <v/>
      </c>
      <c r="N30" s="4"/>
      <c r="O30" s="4"/>
      <c r="P30" s="4"/>
      <c r="Q30" s="4"/>
      <c r="U30" s="5"/>
      <c r="V30" s="4"/>
      <c r="AG30" t="s">
        <v>86</v>
      </c>
    </row>
    <row r="31" spans="1:33" x14ac:dyDescent="0.35">
      <c r="A31">
        <v>27</v>
      </c>
      <c r="B31">
        <v>28</v>
      </c>
      <c r="C31">
        <v>146.831111854</v>
      </c>
      <c r="D31">
        <v>-19.176216493999998</v>
      </c>
      <c r="F31" s="64"/>
      <c r="G31" s="64"/>
      <c r="H31" s="64" t="s">
        <v>26</v>
      </c>
      <c r="I31" s="64"/>
      <c r="J31" s="32" t="str">
        <f>IF(AND(I31=1,OR(I30=0,I30="")),MAX($J$4:$J30)+1,IF(AND(I31=1,I30=1),J30,""))</f>
        <v/>
      </c>
      <c r="K31" s="32" t="str">
        <f t="shared" si="0"/>
        <v/>
      </c>
      <c r="L31" s="32" t="str">
        <f t="shared" si="1"/>
        <v/>
      </c>
      <c r="M31" s="32" t="str">
        <f t="shared" si="2"/>
        <v/>
      </c>
      <c r="N31" s="4"/>
      <c r="O31" s="4"/>
      <c r="P31" s="4"/>
      <c r="Q31" s="4"/>
      <c r="U31" s="5"/>
      <c r="V31" s="4"/>
      <c r="AG31" t="s">
        <v>87</v>
      </c>
    </row>
    <row r="32" spans="1:33" x14ac:dyDescent="0.35">
      <c r="A32">
        <v>28</v>
      </c>
      <c r="B32">
        <v>29</v>
      </c>
      <c r="C32">
        <v>146.831063427</v>
      </c>
      <c r="D32">
        <v>-19.1761595249999</v>
      </c>
      <c r="F32" s="64"/>
      <c r="G32" s="64"/>
      <c r="H32" s="64" t="s">
        <v>26</v>
      </c>
      <c r="I32" s="64"/>
      <c r="J32" s="32" t="str">
        <f>IF(AND(I32=1,OR(I31=0,I31="")),MAX($J$4:$J31)+1,IF(AND(I32=1,I31=1),J31,""))</f>
        <v/>
      </c>
      <c r="K32" s="32" t="str">
        <f t="shared" si="0"/>
        <v/>
      </c>
      <c r="L32" s="32" t="str">
        <f t="shared" si="1"/>
        <v/>
      </c>
      <c r="M32" s="32" t="str">
        <f t="shared" si="2"/>
        <v/>
      </c>
      <c r="N32" s="4"/>
      <c r="O32" s="4"/>
      <c r="P32" s="4"/>
      <c r="Q32" s="4"/>
      <c r="U32" s="5"/>
      <c r="V32" s="4"/>
      <c r="AG32" t="s">
        <v>88</v>
      </c>
    </row>
    <row r="33" spans="1:39" x14ac:dyDescent="0.35">
      <c r="A33">
        <v>29</v>
      </c>
      <c r="B33">
        <v>30</v>
      </c>
      <c r="C33">
        <v>146.83097987100001</v>
      </c>
      <c r="D33">
        <v>-19.176180443</v>
      </c>
      <c r="E33">
        <v>50</v>
      </c>
      <c r="F33" s="64"/>
      <c r="G33" s="64"/>
      <c r="H33" s="64" t="s">
        <v>26</v>
      </c>
      <c r="I33" s="64"/>
      <c r="J33" s="32" t="str">
        <f>IF(AND(I33=1,OR(I32=0,I32="")),MAX($J$4:$J32)+1,IF(AND(I33=1,I32=1),J32,""))</f>
        <v/>
      </c>
      <c r="K33" s="32" t="str">
        <f t="shared" si="0"/>
        <v/>
      </c>
      <c r="L33" s="32" t="str">
        <f t="shared" si="1"/>
        <v/>
      </c>
      <c r="M33" s="32" t="str">
        <f t="shared" si="2"/>
        <v/>
      </c>
      <c r="N33" s="4"/>
      <c r="O33" s="4"/>
      <c r="P33" s="4"/>
      <c r="Q33" s="4"/>
      <c r="U33" s="5"/>
      <c r="V33" s="4"/>
      <c r="AG33" t="s">
        <v>89</v>
      </c>
      <c r="AM33" s="1" t="str">
        <f t="shared" ref="AM33:AM64" si="3">HYPERLINK("E:\CAFNEC_GBRF\2023\JohnstoneRiver\Frames_for_Analysis\" &amp; F34, F34)</f>
        <v>31_C0021_1149.jpg</v>
      </c>
    </row>
    <row r="34" spans="1:39" x14ac:dyDescent="0.35">
      <c r="A34">
        <v>30</v>
      </c>
      <c r="B34">
        <v>31</v>
      </c>
      <c r="C34">
        <v>146.83089160500001</v>
      </c>
      <c r="D34">
        <v>-19.176195456999899</v>
      </c>
      <c r="F34" s="64" t="s">
        <v>3959</v>
      </c>
      <c r="G34" s="64"/>
      <c r="H34" s="64" t="s">
        <v>26</v>
      </c>
      <c r="I34" s="64"/>
      <c r="J34" s="32" t="str">
        <f>IF(AND(I34=1,OR(I33=0,I33="")),MAX($J$4:$J33)+1,IF(AND(I34=1,I33=1),J33,""))</f>
        <v/>
      </c>
      <c r="K34" s="32" t="str">
        <f t="shared" si="0"/>
        <v/>
      </c>
      <c r="L34" s="32" t="str">
        <f t="shared" si="1"/>
        <v/>
      </c>
      <c r="M34" s="32" t="str">
        <f t="shared" si="2"/>
        <v/>
      </c>
      <c r="N34" s="4"/>
      <c r="O34" s="4"/>
      <c r="P34" s="4"/>
      <c r="Q34" s="4"/>
      <c r="U34" s="5"/>
      <c r="V34" s="4"/>
      <c r="AG34" t="s">
        <v>90</v>
      </c>
      <c r="AM34" s="1" t="str">
        <f t="shared" si="3"/>
        <v>32_C0021_1148.jpg</v>
      </c>
    </row>
    <row r="35" spans="1:39" x14ac:dyDescent="0.35">
      <c r="A35">
        <v>31</v>
      </c>
      <c r="B35">
        <v>32</v>
      </c>
      <c r="C35">
        <v>146.83080800299999</v>
      </c>
      <c r="D35">
        <v>-19.176219753999899</v>
      </c>
      <c r="F35" s="64" t="s">
        <v>3960</v>
      </c>
      <c r="G35" s="64"/>
      <c r="H35" s="64"/>
      <c r="I35" s="64">
        <v>0</v>
      </c>
      <c r="J35" s="32" t="str">
        <f>IF(AND(I35=1,OR(I34=0,I34="")),MAX($J$4:$J34)+1,IF(AND(I35=1,I34=1),J34,""))</f>
        <v/>
      </c>
      <c r="K35" s="32" t="str">
        <f t="shared" si="0"/>
        <v/>
      </c>
      <c r="L35" s="32" t="str">
        <f t="shared" si="1"/>
        <v/>
      </c>
      <c r="M35" s="32" t="str">
        <f t="shared" si="2"/>
        <v/>
      </c>
      <c r="N35" s="4">
        <v>1</v>
      </c>
      <c r="O35" s="4">
        <v>0</v>
      </c>
      <c r="P35" s="4">
        <v>0</v>
      </c>
      <c r="Q35" s="4">
        <v>0</v>
      </c>
      <c r="R35" s="58">
        <v>0</v>
      </c>
      <c r="S35" s="58">
        <v>0</v>
      </c>
      <c r="T35" s="58">
        <v>0</v>
      </c>
      <c r="U35" s="5">
        <v>0</v>
      </c>
      <c r="V35" s="4">
        <v>0</v>
      </c>
      <c r="AG35" t="s">
        <v>91</v>
      </c>
      <c r="AM35" s="1" t="str">
        <f t="shared" si="3"/>
        <v>33_C0021_1145.jpg</v>
      </c>
    </row>
    <row r="36" spans="1:39" x14ac:dyDescent="0.35">
      <c r="A36">
        <v>32</v>
      </c>
      <c r="B36">
        <v>33</v>
      </c>
      <c r="C36">
        <v>146.83076650699999</v>
      </c>
      <c r="D36">
        <v>-19.176295006</v>
      </c>
      <c r="F36" s="64" t="s">
        <v>3961</v>
      </c>
      <c r="G36" s="64"/>
      <c r="H36" s="64"/>
      <c r="I36" s="64">
        <v>0</v>
      </c>
      <c r="J36" s="32" t="str">
        <f>IF(AND(I36=1,OR(I35=0,I35="")),MAX($J$4:$J35)+1,IF(AND(I36=1,I35=1),J35,""))</f>
        <v/>
      </c>
      <c r="K36" s="32" t="str">
        <f t="shared" si="0"/>
        <v/>
      </c>
      <c r="L36" s="32" t="str">
        <f t="shared" si="1"/>
        <v/>
      </c>
      <c r="M36" s="32" t="str">
        <f t="shared" si="2"/>
        <v/>
      </c>
      <c r="N36" s="4">
        <v>1</v>
      </c>
      <c r="O36" s="4">
        <v>0</v>
      </c>
      <c r="P36" s="4">
        <v>0</v>
      </c>
      <c r="Q36" s="4">
        <v>0</v>
      </c>
      <c r="R36" s="58">
        <v>0</v>
      </c>
      <c r="S36" s="58">
        <v>0</v>
      </c>
      <c r="T36" s="58">
        <v>0</v>
      </c>
      <c r="U36" s="5">
        <v>0</v>
      </c>
      <c r="V36" s="4">
        <v>0</v>
      </c>
      <c r="AG36" t="s">
        <v>92</v>
      </c>
      <c r="AM36" s="1" t="str">
        <f t="shared" si="3"/>
        <v>34_C0021_1138.jpg</v>
      </c>
    </row>
    <row r="37" spans="1:39" x14ac:dyDescent="0.35">
      <c r="A37">
        <v>33</v>
      </c>
      <c r="B37">
        <v>34</v>
      </c>
      <c r="C37">
        <v>146.83070802500001</v>
      </c>
      <c r="D37">
        <v>-19.1763326509999</v>
      </c>
      <c r="F37" s="64" t="s">
        <v>3962</v>
      </c>
      <c r="G37" s="64"/>
      <c r="H37" s="64"/>
      <c r="I37" s="64">
        <v>0</v>
      </c>
      <c r="J37" s="32" t="str">
        <f>IF(AND(I37=1,OR(I36=0,I36="")),MAX($J$4:$J36)+1,IF(AND(I37=1,I36=1),J36,""))</f>
        <v/>
      </c>
      <c r="K37" s="32" t="str">
        <f t="shared" si="0"/>
        <v/>
      </c>
      <c r="L37" s="32" t="str">
        <f t="shared" si="1"/>
        <v/>
      </c>
      <c r="M37" s="32" t="str">
        <f t="shared" si="2"/>
        <v/>
      </c>
      <c r="N37" s="4">
        <v>1</v>
      </c>
      <c r="O37" s="4">
        <v>0</v>
      </c>
      <c r="P37" s="4">
        <v>0</v>
      </c>
      <c r="Q37" s="4">
        <v>0</v>
      </c>
      <c r="R37" s="58">
        <v>1</v>
      </c>
      <c r="S37" s="58">
        <v>0</v>
      </c>
      <c r="T37" s="58">
        <v>0</v>
      </c>
      <c r="U37" s="5">
        <v>0</v>
      </c>
      <c r="V37" s="4">
        <v>0</v>
      </c>
      <c r="AG37" t="s">
        <v>93</v>
      </c>
      <c r="AM37" s="1" t="str">
        <f t="shared" si="3"/>
        <v>35_C0021_1137.jpg</v>
      </c>
    </row>
    <row r="38" spans="1:39" x14ac:dyDescent="0.35">
      <c r="A38">
        <v>34</v>
      </c>
      <c r="B38">
        <v>35</v>
      </c>
      <c r="C38">
        <v>146.83062179500001</v>
      </c>
      <c r="D38">
        <v>-19.176308864999999</v>
      </c>
      <c r="E38">
        <v>50</v>
      </c>
      <c r="F38" s="64" t="s">
        <v>3963</v>
      </c>
      <c r="G38" s="64"/>
      <c r="H38" s="64"/>
      <c r="I38" s="64">
        <v>0</v>
      </c>
      <c r="J38" s="32" t="str">
        <f>IF(AND(I38=1,OR(I37=0,I37="")),MAX($J$4:$J37)+1,IF(AND(I38=1,I37=1),J37,""))</f>
        <v/>
      </c>
      <c r="K38" s="32" t="str">
        <f t="shared" si="0"/>
        <v/>
      </c>
      <c r="L38" s="32" t="str">
        <f t="shared" si="1"/>
        <v/>
      </c>
      <c r="M38" s="32" t="str">
        <f t="shared" si="2"/>
        <v/>
      </c>
      <c r="N38" s="4">
        <v>1</v>
      </c>
      <c r="O38" s="4">
        <v>0</v>
      </c>
      <c r="P38" s="4">
        <v>0</v>
      </c>
      <c r="Q38" s="4">
        <v>0</v>
      </c>
      <c r="R38" s="58">
        <v>0</v>
      </c>
      <c r="S38" s="58">
        <v>0</v>
      </c>
      <c r="T38" s="58">
        <v>0</v>
      </c>
      <c r="U38" s="5">
        <v>0</v>
      </c>
      <c r="V38" s="4">
        <v>0</v>
      </c>
      <c r="AG38" t="s">
        <v>94</v>
      </c>
      <c r="AM38" s="1" t="str">
        <f t="shared" si="3"/>
        <v>36_C0021_1133.jpg</v>
      </c>
    </row>
    <row r="39" spans="1:39" x14ac:dyDescent="0.35">
      <c r="A39">
        <v>35</v>
      </c>
      <c r="B39">
        <v>36</v>
      </c>
      <c r="C39">
        <v>146.83053339899999</v>
      </c>
      <c r="D39">
        <v>-19.176303257000001</v>
      </c>
      <c r="F39" s="64" t="s">
        <v>3964</v>
      </c>
      <c r="G39" s="64"/>
      <c r="H39" s="64"/>
      <c r="I39" s="64">
        <v>0</v>
      </c>
      <c r="J39" s="32" t="str">
        <f>IF(AND(I39=1,OR(I38=0,I38="")),MAX($J$4:$J38)+1,IF(AND(I39=1,I38=1),J38,""))</f>
        <v/>
      </c>
      <c r="K39" s="32" t="str">
        <f t="shared" si="0"/>
        <v/>
      </c>
      <c r="L39" s="32" t="str">
        <f t="shared" si="1"/>
        <v/>
      </c>
      <c r="M39" s="32" t="str">
        <f t="shared" si="2"/>
        <v/>
      </c>
      <c r="N39" s="4">
        <v>1</v>
      </c>
      <c r="O39" s="4">
        <v>0</v>
      </c>
      <c r="P39" s="4">
        <v>0</v>
      </c>
      <c r="Q39" s="4">
        <v>0</v>
      </c>
      <c r="R39" s="58">
        <v>0</v>
      </c>
      <c r="S39" s="58">
        <v>0</v>
      </c>
      <c r="T39" s="58">
        <v>0</v>
      </c>
      <c r="U39" s="5">
        <v>0</v>
      </c>
      <c r="V39" s="4">
        <v>0</v>
      </c>
      <c r="AG39" t="s">
        <v>95</v>
      </c>
      <c r="AM39" s="1" t="str">
        <f t="shared" si="3"/>
        <v>37_C0021_1129.jpg</v>
      </c>
    </row>
    <row r="40" spans="1:39" x14ac:dyDescent="0.35">
      <c r="A40">
        <v>36</v>
      </c>
      <c r="B40">
        <v>37</v>
      </c>
      <c r="C40">
        <v>146.83045614900001</v>
      </c>
      <c r="D40">
        <v>-19.1763314909999</v>
      </c>
      <c r="F40" s="64" t="s">
        <v>3965</v>
      </c>
      <c r="G40" s="64"/>
      <c r="H40" s="64"/>
      <c r="I40" s="64">
        <v>0</v>
      </c>
      <c r="J40" s="32" t="str">
        <f>IF(AND(I40=1,OR(I39=0,I39="")),MAX($J$4:$J39)+1,IF(AND(I40=1,I39=1),J39,""))</f>
        <v/>
      </c>
      <c r="K40" s="32" t="str">
        <f t="shared" si="0"/>
        <v/>
      </c>
      <c r="L40" s="32" t="str">
        <f t="shared" si="1"/>
        <v/>
      </c>
      <c r="M40" s="32" t="str">
        <f t="shared" si="2"/>
        <v/>
      </c>
      <c r="N40" s="4">
        <v>1</v>
      </c>
      <c r="O40" s="4">
        <v>0</v>
      </c>
      <c r="P40" s="4">
        <v>0</v>
      </c>
      <c r="Q40" s="4">
        <v>0</v>
      </c>
      <c r="R40" s="58">
        <v>0</v>
      </c>
      <c r="S40" s="58">
        <v>0</v>
      </c>
      <c r="T40" s="58">
        <v>0</v>
      </c>
      <c r="U40" s="5">
        <v>0</v>
      </c>
      <c r="V40" s="4">
        <v>0</v>
      </c>
      <c r="AG40" t="s">
        <v>96</v>
      </c>
      <c r="AM40" s="1" t="str">
        <f t="shared" si="3"/>
        <v>38_C0021_1126.jpg</v>
      </c>
    </row>
    <row r="41" spans="1:39" x14ac:dyDescent="0.35">
      <c r="A41">
        <v>37</v>
      </c>
      <c r="B41">
        <v>38</v>
      </c>
      <c r="C41">
        <v>146.83041629900001</v>
      </c>
      <c r="D41">
        <v>-19.1764035469999</v>
      </c>
      <c r="F41" s="64" t="s">
        <v>3966</v>
      </c>
      <c r="G41" s="64"/>
      <c r="H41" s="64"/>
      <c r="I41" s="64">
        <v>0</v>
      </c>
      <c r="J41" s="32" t="str">
        <f>IF(AND(I41=1,OR(I40=0,I40="")),MAX($J$4:$J40)+1,IF(AND(I41=1,I40=1),J40,""))</f>
        <v/>
      </c>
      <c r="K41" s="32" t="str">
        <f t="shared" si="0"/>
        <v/>
      </c>
      <c r="L41" s="32" t="str">
        <f t="shared" si="1"/>
        <v/>
      </c>
      <c r="M41" s="32" t="str">
        <f t="shared" si="2"/>
        <v/>
      </c>
      <c r="N41" s="4">
        <v>1</v>
      </c>
      <c r="O41" s="4">
        <v>0</v>
      </c>
      <c r="P41" s="4">
        <v>0</v>
      </c>
      <c r="Q41" s="4">
        <v>0</v>
      </c>
      <c r="R41" s="58">
        <v>0</v>
      </c>
      <c r="S41" s="58">
        <v>0</v>
      </c>
      <c r="T41" s="58">
        <v>0</v>
      </c>
      <c r="U41" s="5">
        <v>0</v>
      </c>
      <c r="V41" s="4">
        <v>0</v>
      </c>
      <c r="AG41" t="s">
        <v>97</v>
      </c>
      <c r="AM41" s="1" t="str">
        <f t="shared" si="3"/>
        <v>39_C0021_1122.jpg</v>
      </c>
    </row>
    <row r="42" spans="1:39" x14ac:dyDescent="0.35">
      <c r="A42">
        <v>38</v>
      </c>
      <c r="B42">
        <v>39</v>
      </c>
      <c r="C42">
        <v>146.83040879800001</v>
      </c>
      <c r="D42">
        <v>-19.176488096999901</v>
      </c>
      <c r="F42" s="64" t="s">
        <v>3967</v>
      </c>
      <c r="G42" s="64"/>
      <c r="H42" s="64"/>
      <c r="I42" s="64">
        <v>0</v>
      </c>
      <c r="J42" s="32" t="str">
        <f>IF(AND(I42=1,OR(I41=0,I41="")),MAX($J$4:$J41)+1,IF(AND(I42=1,I41=1),J41,""))</f>
        <v/>
      </c>
      <c r="K42" s="32" t="str">
        <f t="shared" si="0"/>
        <v/>
      </c>
      <c r="L42" s="32" t="str">
        <f t="shared" si="1"/>
        <v/>
      </c>
      <c r="M42" s="32" t="str">
        <f t="shared" si="2"/>
        <v/>
      </c>
      <c r="N42" s="4">
        <v>1</v>
      </c>
      <c r="O42" s="4">
        <v>0</v>
      </c>
      <c r="P42" s="4">
        <v>0</v>
      </c>
      <c r="Q42" s="4">
        <v>0</v>
      </c>
      <c r="R42" s="58">
        <v>0</v>
      </c>
      <c r="S42" s="58">
        <v>0</v>
      </c>
      <c r="T42" s="58">
        <v>0</v>
      </c>
      <c r="U42" s="5">
        <v>0</v>
      </c>
      <c r="V42" s="4">
        <v>0</v>
      </c>
      <c r="AG42" t="s">
        <v>98</v>
      </c>
      <c r="AM42" s="1" t="str">
        <f t="shared" si="3"/>
        <v>40_C0021_1119.jpg</v>
      </c>
    </row>
    <row r="43" spans="1:39" x14ac:dyDescent="0.35">
      <c r="A43">
        <v>39</v>
      </c>
      <c r="B43">
        <v>40</v>
      </c>
      <c r="C43">
        <v>146.83041827400001</v>
      </c>
      <c r="D43">
        <v>-19.176572443999898</v>
      </c>
      <c r="E43">
        <v>50</v>
      </c>
      <c r="F43" s="64" t="s">
        <v>3968</v>
      </c>
      <c r="G43" s="64"/>
      <c r="H43" s="64"/>
      <c r="I43" s="64">
        <v>0</v>
      </c>
      <c r="J43" s="32" t="str">
        <f>IF(AND(I43=1,OR(I42=0,I42="")),MAX($J$4:$J42)+1,IF(AND(I43=1,I42=1),J42,""))</f>
        <v/>
      </c>
      <c r="K43" s="32" t="str">
        <f t="shared" si="0"/>
        <v/>
      </c>
      <c r="L43" s="32" t="str">
        <f t="shared" si="1"/>
        <v/>
      </c>
      <c r="M43" s="32" t="str">
        <f t="shared" si="2"/>
        <v/>
      </c>
      <c r="N43" s="4">
        <v>1</v>
      </c>
      <c r="O43" s="4">
        <v>0</v>
      </c>
      <c r="P43" s="4">
        <v>0</v>
      </c>
      <c r="Q43" s="4">
        <v>0</v>
      </c>
      <c r="R43" s="58">
        <v>0</v>
      </c>
      <c r="S43" s="58">
        <v>0</v>
      </c>
      <c r="T43" s="58">
        <v>0</v>
      </c>
      <c r="U43" s="5">
        <v>0</v>
      </c>
      <c r="V43" s="4">
        <v>0</v>
      </c>
      <c r="AG43" t="s">
        <v>99</v>
      </c>
      <c r="AM43" s="1" t="str">
        <f t="shared" si="3"/>
        <v>41_C0021_1116.jpg</v>
      </c>
    </row>
    <row r="44" spans="1:39" x14ac:dyDescent="0.35">
      <c r="A44">
        <v>40</v>
      </c>
      <c r="B44">
        <v>41</v>
      </c>
      <c r="C44">
        <v>146.83042700499999</v>
      </c>
      <c r="D44">
        <v>-19.176656505</v>
      </c>
      <c r="F44" s="64" t="s">
        <v>3969</v>
      </c>
      <c r="G44" s="64"/>
      <c r="H44" s="64"/>
      <c r="I44" s="64">
        <v>0</v>
      </c>
      <c r="J44" s="32" t="str">
        <f>IF(AND(I44=1,OR(I43=0,I43="")),MAX($J$4:$J43)+1,IF(AND(I44=1,I43=1),J43,""))</f>
        <v/>
      </c>
      <c r="K44" s="32" t="str">
        <f t="shared" si="0"/>
        <v/>
      </c>
      <c r="L44" s="32" t="str">
        <f t="shared" si="1"/>
        <v/>
      </c>
      <c r="M44" s="32" t="str">
        <f t="shared" si="2"/>
        <v/>
      </c>
      <c r="N44" s="4">
        <v>1</v>
      </c>
      <c r="O44" s="4">
        <v>0</v>
      </c>
      <c r="P44" s="4">
        <v>0</v>
      </c>
      <c r="Q44" s="4">
        <v>0</v>
      </c>
      <c r="R44" s="58">
        <v>0</v>
      </c>
      <c r="S44" s="58">
        <v>0</v>
      </c>
      <c r="T44" s="58">
        <v>0</v>
      </c>
      <c r="U44" s="5">
        <v>0</v>
      </c>
      <c r="V44" s="4">
        <v>0</v>
      </c>
      <c r="AG44" t="s">
        <v>100</v>
      </c>
      <c r="AM44" s="1" t="str">
        <f t="shared" si="3"/>
        <v>42_C0021_1112.jpg</v>
      </c>
    </row>
    <row r="45" spans="1:39" x14ac:dyDescent="0.35">
      <c r="A45">
        <v>41</v>
      </c>
      <c r="B45">
        <v>42</v>
      </c>
      <c r="C45">
        <v>146.83045766000001</v>
      </c>
      <c r="D45">
        <v>-19.176735852</v>
      </c>
      <c r="F45" s="64" t="s">
        <v>3970</v>
      </c>
      <c r="G45" s="64"/>
      <c r="H45" s="64"/>
      <c r="I45" s="64">
        <v>0</v>
      </c>
      <c r="J45" s="32" t="str">
        <f>IF(AND(I45=1,OR(I44=0,I44="")),MAX($J$4:$J44)+1,IF(AND(I45=1,I44=1),J44,""))</f>
        <v/>
      </c>
      <c r="K45" s="32" t="str">
        <f t="shared" si="0"/>
        <v/>
      </c>
      <c r="L45" s="32" t="str">
        <f t="shared" si="1"/>
        <v/>
      </c>
      <c r="M45" s="32" t="str">
        <f t="shared" si="2"/>
        <v/>
      </c>
      <c r="N45" s="4">
        <v>1</v>
      </c>
      <c r="O45" s="4">
        <v>0</v>
      </c>
      <c r="P45" s="4">
        <v>0</v>
      </c>
      <c r="Q45" s="4">
        <v>0</v>
      </c>
      <c r="R45" s="58">
        <v>0</v>
      </c>
      <c r="S45" s="58">
        <v>0</v>
      </c>
      <c r="T45" s="58">
        <v>0</v>
      </c>
      <c r="U45" s="5">
        <v>0</v>
      </c>
      <c r="V45" s="4">
        <v>0</v>
      </c>
      <c r="AG45" t="s">
        <v>101</v>
      </c>
      <c r="AM45" s="1" t="str">
        <f t="shared" si="3"/>
        <v>43_C0021_1110.jpg</v>
      </c>
    </row>
    <row r="46" spans="1:39" x14ac:dyDescent="0.35">
      <c r="A46">
        <v>42</v>
      </c>
      <c r="B46">
        <v>43</v>
      </c>
      <c r="C46">
        <v>146.830442543</v>
      </c>
      <c r="D46">
        <v>-19.176816362</v>
      </c>
      <c r="F46" s="64" t="s">
        <v>3971</v>
      </c>
      <c r="G46" s="64"/>
      <c r="H46" s="64"/>
      <c r="I46" s="64">
        <v>0</v>
      </c>
      <c r="J46" s="32" t="str">
        <f>IF(AND(I46=1,OR(I45=0,I45="")),MAX($J$4:$J45)+1,IF(AND(I46=1,I45=1),J45,""))</f>
        <v/>
      </c>
      <c r="K46" s="32" t="str">
        <f t="shared" si="0"/>
        <v/>
      </c>
      <c r="L46" s="32" t="str">
        <f t="shared" si="1"/>
        <v/>
      </c>
      <c r="M46" s="32" t="str">
        <f t="shared" si="2"/>
        <v/>
      </c>
      <c r="N46" s="4">
        <v>1</v>
      </c>
      <c r="O46" s="4">
        <v>0</v>
      </c>
      <c r="P46" s="4">
        <v>0</v>
      </c>
      <c r="Q46" s="4">
        <v>0</v>
      </c>
      <c r="R46" s="58">
        <v>0</v>
      </c>
      <c r="S46" s="58">
        <v>0</v>
      </c>
      <c r="T46" s="58">
        <v>0</v>
      </c>
      <c r="U46" s="5">
        <v>0</v>
      </c>
      <c r="V46" s="4">
        <v>0</v>
      </c>
      <c r="AG46" t="s">
        <v>102</v>
      </c>
      <c r="AM46" s="1" t="str">
        <f t="shared" si="3"/>
        <v>44_C0021_1106.jpg</v>
      </c>
    </row>
    <row r="47" spans="1:39" x14ac:dyDescent="0.35">
      <c r="A47">
        <v>43</v>
      </c>
      <c r="B47">
        <v>44</v>
      </c>
      <c r="C47">
        <v>146.83037078500001</v>
      </c>
      <c r="D47">
        <v>-19.1768479529999</v>
      </c>
      <c r="F47" s="64" t="s">
        <v>3972</v>
      </c>
      <c r="G47" s="64"/>
      <c r="H47" s="64"/>
      <c r="I47" s="64">
        <v>1</v>
      </c>
      <c r="J47" s="32">
        <f>IF(AND(I47=1,OR(I46=0,I46="")),MAX($J$4:$J46)+1,IF(AND(I47=1,I46=1),J46,""))</f>
        <v>1</v>
      </c>
      <c r="K47" s="32">
        <f t="shared" si="0"/>
        <v>370</v>
      </c>
      <c r="L47" s="32" t="str">
        <f t="shared" si="1"/>
        <v>HV</v>
      </c>
      <c r="M47" s="32">
        <f t="shared" si="2"/>
        <v>136900</v>
      </c>
      <c r="N47" s="4">
        <v>1</v>
      </c>
      <c r="O47" s="4">
        <v>0</v>
      </c>
      <c r="P47" s="4">
        <v>0</v>
      </c>
      <c r="Q47" s="4">
        <v>0</v>
      </c>
      <c r="R47" s="58">
        <v>0</v>
      </c>
      <c r="S47" s="58">
        <v>0</v>
      </c>
      <c r="T47" s="58">
        <v>0</v>
      </c>
      <c r="U47" s="5">
        <v>0</v>
      </c>
      <c r="V47" s="4">
        <v>0</v>
      </c>
      <c r="AG47" t="s">
        <v>103</v>
      </c>
      <c r="AM47" s="1" t="str">
        <f t="shared" si="3"/>
        <v>45_C0021_1101.jpg</v>
      </c>
    </row>
    <row r="48" spans="1:39" x14ac:dyDescent="0.35">
      <c r="A48">
        <v>44</v>
      </c>
      <c r="B48">
        <v>45</v>
      </c>
      <c r="C48">
        <v>146.830290015</v>
      </c>
      <c r="D48">
        <v>-19.17682701</v>
      </c>
      <c r="E48">
        <v>50</v>
      </c>
      <c r="F48" s="64" t="s">
        <v>3973</v>
      </c>
      <c r="G48" s="64"/>
      <c r="H48" s="64"/>
      <c r="I48" s="64">
        <v>1</v>
      </c>
      <c r="J48" s="32">
        <f>IF(AND(I48=1,OR(I47=0,I47="")),MAX($J$4:$J47)+1,IF(AND(I48=1,I47=1),J47,""))</f>
        <v>1</v>
      </c>
      <c r="K48" s="32">
        <f t="shared" si="0"/>
        <v>370</v>
      </c>
      <c r="L48" s="32" t="str">
        <f t="shared" si="1"/>
        <v>HV</v>
      </c>
      <c r="M48" s="32">
        <f t="shared" si="2"/>
        <v>136900</v>
      </c>
      <c r="N48" s="4">
        <v>1</v>
      </c>
      <c r="O48" s="4">
        <v>0</v>
      </c>
      <c r="P48" s="4">
        <v>0</v>
      </c>
      <c r="Q48" s="4">
        <v>0</v>
      </c>
      <c r="R48" s="58">
        <v>0</v>
      </c>
      <c r="S48" s="58">
        <v>0</v>
      </c>
      <c r="T48" s="58">
        <v>0</v>
      </c>
      <c r="U48" s="5">
        <v>0</v>
      </c>
      <c r="V48" s="4">
        <v>0</v>
      </c>
      <c r="AG48" t="s">
        <v>104</v>
      </c>
      <c r="AM48" s="1" t="str">
        <f t="shared" si="3"/>
        <v>46_C0021_1095.jpg</v>
      </c>
    </row>
    <row r="49" spans="1:39" x14ac:dyDescent="0.35">
      <c r="A49">
        <v>45</v>
      </c>
      <c r="B49">
        <v>46</v>
      </c>
      <c r="C49">
        <v>146.830230908</v>
      </c>
      <c r="D49">
        <v>-19.176764454000001</v>
      </c>
      <c r="F49" s="64" t="s">
        <v>3974</v>
      </c>
      <c r="G49" s="64"/>
      <c r="H49" s="64"/>
      <c r="I49" s="64">
        <v>1</v>
      </c>
      <c r="J49" s="32">
        <f>IF(AND(I49=1,OR(I48=0,I48="")),MAX($J$4:$J48)+1,IF(AND(I49=1,I48=1),J48,""))</f>
        <v>1</v>
      </c>
      <c r="K49" s="32">
        <f t="shared" si="0"/>
        <v>370</v>
      </c>
      <c r="L49" s="32" t="str">
        <f t="shared" si="1"/>
        <v>HV</v>
      </c>
      <c r="M49" s="32">
        <f t="shared" si="2"/>
        <v>136900</v>
      </c>
      <c r="N49" s="4">
        <v>1</v>
      </c>
      <c r="O49" s="4">
        <v>0</v>
      </c>
      <c r="P49" s="4">
        <v>0</v>
      </c>
      <c r="Q49" s="4">
        <v>0</v>
      </c>
      <c r="R49" s="58">
        <v>0</v>
      </c>
      <c r="S49" s="58">
        <v>0</v>
      </c>
      <c r="T49" s="58">
        <v>0</v>
      </c>
      <c r="U49" s="5">
        <v>0</v>
      </c>
      <c r="V49" s="4">
        <v>0</v>
      </c>
      <c r="AG49" t="s">
        <v>105</v>
      </c>
      <c r="AM49" s="1" t="str">
        <f t="shared" si="3"/>
        <v>47_C0021_1090.jpg</v>
      </c>
    </row>
    <row r="50" spans="1:39" x14ac:dyDescent="0.35">
      <c r="A50">
        <v>46</v>
      </c>
      <c r="B50">
        <v>47</v>
      </c>
      <c r="C50">
        <v>146.83018568200001</v>
      </c>
      <c r="D50">
        <v>-19.1766911449999</v>
      </c>
      <c r="F50" s="64" t="s">
        <v>3975</v>
      </c>
      <c r="G50" s="64"/>
      <c r="H50" s="64"/>
      <c r="I50" s="64">
        <v>1</v>
      </c>
      <c r="J50" s="32">
        <f>IF(AND(I50=1,OR(I49=0,I49="")),MAX($J$4:$J49)+1,IF(AND(I50=1,I49=1),J49,""))</f>
        <v>1</v>
      </c>
      <c r="K50" s="32">
        <f t="shared" si="0"/>
        <v>370</v>
      </c>
      <c r="L50" s="32" t="str">
        <f t="shared" si="1"/>
        <v>HV</v>
      </c>
      <c r="M50" s="32">
        <f t="shared" si="2"/>
        <v>136900</v>
      </c>
      <c r="N50" s="4">
        <v>1</v>
      </c>
      <c r="O50" s="4">
        <v>0</v>
      </c>
      <c r="P50" s="4">
        <v>0</v>
      </c>
      <c r="Q50" s="4">
        <v>0</v>
      </c>
      <c r="R50" s="58">
        <v>0</v>
      </c>
      <c r="S50" s="58">
        <v>0</v>
      </c>
      <c r="T50" s="58">
        <v>0</v>
      </c>
      <c r="U50" s="5">
        <v>0</v>
      </c>
      <c r="V50" s="4">
        <v>0</v>
      </c>
      <c r="AG50" t="s">
        <v>106</v>
      </c>
      <c r="AM50" s="1" t="str">
        <f t="shared" si="3"/>
        <v>48_C0021_1084.jpg</v>
      </c>
    </row>
    <row r="51" spans="1:39" x14ac:dyDescent="0.35">
      <c r="A51">
        <v>47</v>
      </c>
      <c r="B51">
        <v>48</v>
      </c>
      <c r="C51">
        <v>146.830160651</v>
      </c>
      <c r="D51">
        <v>-19.176611236999999</v>
      </c>
      <c r="F51" s="64" t="s">
        <v>3976</v>
      </c>
      <c r="G51" s="64"/>
      <c r="H51" s="64"/>
      <c r="I51" s="64">
        <v>1</v>
      </c>
      <c r="J51" s="32">
        <f>IF(AND(I51=1,OR(I50=0,I50="")),MAX($J$4:$J50)+1,IF(AND(I51=1,I50=1),J50,""))</f>
        <v>1</v>
      </c>
      <c r="K51" s="32">
        <f t="shared" si="0"/>
        <v>370</v>
      </c>
      <c r="L51" s="32" t="str">
        <f t="shared" si="1"/>
        <v>HV</v>
      </c>
      <c r="M51" s="32">
        <f t="shared" si="2"/>
        <v>136900</v>
      </c>
      <c r="N51" s="4">
        <v>1</v>
      </c>
      <c r="O51" s="4">
        <v>0</v>
      </c>
      <c r="P51" s="4">
        <v>0</v>
      </c>
      <c r="Q51" s="4">
        <v>0</v>
      </c>
      <c r="R51" s="58">
        <v>0</v>
      </c>
      <c r="S51" s="58">
        <v>0</v>
      </c>
      <c r="T51" s="58">
        <v>0</v>
      </c>
      <c r="U51" s="5">
        <v>0</v>
      </c>
      <c r="V51" s="4">
        <v>0</v>
      </c>
      <c r="AG51" t="s">
        <v>107</v>
      </c>
      <c r="AM51" s="1" t="str">
        <f t="shared" si="3"/>
        <v>49_C0021_1082.jpg</v>
      </c>
    </row>
    <row r="52" spans="1:39" x14ac:dyDescent="0.35">
      <c r="A52">
        <v>48</v>
      </c>
      <c r="B52">
        <v>49</v>
      </c>
      <c r="C52">
        <v>146.830148253</v>
      </c>
      <c r="D52">
        <v>-19.1765272019999</v>
      </c>
      <c r="F52" s="64" t="s">
        <v>3977</v>
      </c>
      <c r="G52" s="64"/>
      <c r="H52" s="64"/>
      <c r="I52" s="64">
        <v>1</v>
      </c>
      <c r="J52" s="32">
        <f>IF(AND(I52=1,OR(I51=0,I51="")),MAX($J$4:$J51)+1,IF(AND(I52=1,I51=1),J51,""))</f>
        <v>1</v>
      </c>
      <c r="K52" s="32">
        <f t="shared" si="0"/>
        <v>370</v>
      </c>
      <c r="L52" s="32" t="str">
        <f t="shared" si="1"/>
        <v>HV</v>
      </c>
      <c r="M52" s="32">
        <f t="shared" si="2"/>
        <v>136900</v>
      </c>
      <c r="N52" s="4">
        <v>1</v>
      </c>
      <c r="O52" s="4">
        <v>0</v>
      </c>
      <c r="P52" s="4">
        <v>0</v>
      </c>
      <c r="Q52" s="4">
        <v>0</v>
      </c>
      <c r="R52" s="58">
        <v>0</v>
      </c>
      <c r="S52" s="58">
        <v>0</v>
      </c>
      <c r="T52" s="58">
        <v>0</v>
      </c>
      <c r="U52" s="5">
        <v>0</v>
      </c>
      <c r="V52" s="4">
        <v>0</v>
      </c>
      <c r="AG52" t="s">
        <v>108</v>
      </c>
      <c r="AM52" s="1" t="str">
        <f t="shared" si="3"/>
        <v>50_C0021_1080.jpg</v>
      </c>
    </row>
    <row r="53" spans="1:39" x14ac:dyDescent="0.35">
      <c r="A53">
        <v>49</v>
      </c>
      <c r="B53">
        <v>50</v>
      </c>
      <c r="C53">
        <v>146.83006439600001</v>
      </c>
      <c r="D53">
        <v>-19.176498177999999</v>
      </c>
      <c r="E53">
        <v>50</v>
      </c>
      <c r="F53" s="64" t="s">
        <v>3978</v>
      </c>
      <c r="G53" s="64"/>
      <c r="H53" s="64"/>
      <c r="I53" s="64">
        <v>1</v>
      </c>
      <c r="J53" s="32">
        <f>IF(AND(I53=1,OR(I52=0,I52="")),MAX($J$4:$J52)+1,IF(AND(I53=1,I52=1),J52,""))</f>
        <v>1</v>
      </c>
      <c r="K53" s="32">
        <f t="shared" si="0"/>
        <v>370</v>
      </c>
      <c r="L53" s="32" t="str">
        <f t="shared" si="1"/>
        <v>HV</v>
      </c>
      <c r="M53" s="32">
        <f t="shared" si="2"/>
        <v>136900</v>
      </c>
      <c r="N53" s="4">
        <v>1</v>
      </c>
      <c r="O53" s="4">
        <v>0</v>
      </c>
      <c r="P53" s="4">
        <v>0</v>
      </c>
      <c r="Q53" s="4">
        <v>0</v>
      </c>
      <c r="R53" s="58">
        <v>0</v>
      </c>
      <c r="S53" s="58">
        <v>0</v>
      </c>
      <c r="T53" s="58">
        <v>0</v>
      </c>
      <c r="U53" s="5">
        <v>0</v>
      </c>
      <c r="V53" s="4">
        <v>0</v>
      </c>
      <c r="AG53" t="s">
        <v>109</v>
      </c>
      <c r="AM53" s="1" t="str">
        <f t="shared" si="3"/>
        <v>51_C0021_1078.jpg</v>
      </c>
    </row>
    <row r="54" spans="1:39" x14ac:dyDescent="0.35">
      <c r="A54">
        <v>50</v>
      </c>
      <c r="B54">
        <v>51</v>
      </c>
      <c r="C54">
        <v>146.82999209799999</v>
      </c>
      <c r="D54">
        <v>-19.1764579439999</v>
      </c>
      <c r="F54" s="64" t="s">
        <v>3979</v>
      </c>
      <c r="G54" s="64"/>
      <c r="H54" s="64"/>
      <c r="I54" s="64">
        <v>1</v>
      </c>
      <c r="J54" s="32">
        <f>IF(AND(I54=1,OR(I53=0,I53="")),MAX($J$4:$J53)+1,IF(AND(I54=1,I53=1),J53,""))</f>
        <v>1</v>
      </c>
      <c r="K54" s="32">
        <f t="shared" si="0"/>
        <v>370</v>
      </c>
      <c r="L54" s="32" t="str">
        <f t="shared" si="1"/>
        <v>HV</v>
      </c>
      <c r="M54" s="32">
        <f t="shared" si="2"/>
        <v>136900</v>
      </c>
      <c r="N54" s="4">
        <v>1</v>
      </c>
      <c r="O54" s="4">
        <v>0</v>
      </c>
      <c r="P54" s="4">
        <v>0</v>
      </c>
      <c r="Q54" s="4">
        <v>0</v>
      </c>
      <c r="R54" s="58">
        <v>0</v>
      </c>
      <c r="S54" s="58">
        <v>0</v>
      </c>
      <c r="T54" s="58">
        <v>0</v>
      </c>
      <c r="U54" s="5">
        <v>0</v>
      </c>
      <c r="V54" s="4">
        <v>0</v>
      </c>
      <c r="AG54" t="s">
        <v>110</v>
      </c>
      <c r="AM54" s="1" t="str">
        <f t="shared" si="3"/>
        <v>52_C0021_1074.jpg</v>
      </c>
    </row>
    <row r="55" spans="1:39" x14ac:dyDescent="0.35">
      <c r="A55">
        <v>51</v>
      </c>
      <c r="B55">
        <v>52</v>
      </c>
      <c r="C55">
        <v>146.82996089599999</v>
      </c>
      <c r="D55">
        <v>-19.176378378999999</v>
      </c>
      <c r="F55" s="64" t="s">
        <v>3980</v>
      </c>
      <c r="G55" s="64"/>
      <c r="H55" s="64"/>
      <c r="I55" s="64">
        <v>1</v>
      </c>
      <c r="J55" s="32">
        <f>IF(AND(I55=1,OR(I54=0,I54="")),MAX($J$4:$J54)+1,IF(AND(I55=1,I54=1),J54,""))</f>
        <v>1</v>
      </c>
      <c r="K55" s="32">
        <f t="shared" si="0"/>
        <v>370</v>
      </c>
      <c r="L55" s="32" t="str">
        <f t="shared" si="1"/>
        <v>HV</v>
      </c>
      <c r="M55" s="32">
        <f t="shared" si="2"/>
        <v>136900</v>
      </c>
      <c r="N55" s="4">
        <v>1</v>
      </c>
      <c r="O55" s="4">
        <v>0</v>
      </c>
      <c r="P55" s="4">
        <v>0</v>
      </c>
      <c r="Q55" s="4">
        <v>0</v>
      </c>
      <c r="R55" s="58">
        <v>0</v>
      </c>
      <c r="S55" s="58">
        <v>0</v>
      </c>
      <c r="T55" s="58">
        <v>0</v>
      </c>
      <c r="U55" s="5">
        <v>0</v>
      </c>
      <c r="V55" s="4">
        <v>0</v>
      </c>
      <c r="AG55" t="s">
        <v>111</v>
      </c>
      <c r="AM55" s="1" t="str">
        <f t="shared" si="3"/>
        <v>53_C0021_1071.jpg</v>
      </c>
    </row>
    <row r="56" spans="1:39" x14ac:dyDescent="0.35">
      <c r="A56">
        <v>52</v>
      </c>
      <c r="B56">
        <v>53</v>
      </c>
      <c r="C56">
        <v>146.82993171800001</v>
      </c>
      <c r="D56">
        <v>-19.176298216999999</v>
      </c>
      <c r="F56" s="64" t="s">
        <v>3981</v>
      </c>
      <c r="G56" s="64"/>
      <c r="H56" s="64"/>
      <c r="I56" s="64">
        <v>1</v>
      </c>
      <c r="J56" s="32">
        <f>IF(AND(I56=1,OR(I55=0,I55="")),MAX($J$4:$J55)+1,IF(AND(I56=1,I55=1),J55,""))</f>
        <v>1</v>
      </c>
      <c r="K56" s="32">
        <f t="shared" si="0"/>
        <v>370</v>
      </c>
      <c r="L56" s="32" t="str">
        <f t="shared" si="1"/>
        <v>HV</v>
      </c>
      <c r="M56" s="32">
        <f t="shared" si="2"/>
        <v>136900</v>
      </c>
      <c r="N56" s="4">
        <v>1</v>
      </c>
      <c r="O56" s="4">
        <v>0</v>
      </c>
      <c r="P56" s="4">
        <v>0</v>
      </c>
      <c r="Q56" s="4">
        <v>0</v>
      </c>
      <c r="R56" s="58">
        <v>0</v>
      </c>
      <c r="S56" s="58">
        <v>0</v>
      </c>
      <c r="T56" s="58">
        <v>0</v>
      </c>
      <c r="U56" s="5">
        <v>0</v>
      </c>
      <c r="V56" s="4">
        <v>0</v>
      </c>
      <c r="AG56" t="s">
        <v>112</v>
      </c>
      <c r="AM56" s="1" t="str">
        <f t="shared" si="3"/>
        <v>54_C0021_1068.jpg</v>
      </c>
    </row>
    <row r="57" spans="1:39" x14ac:dyDescent="0.35">
      <c r="A57">
        <v>53</v>
      </c>
      <c r="B57">
        <v>54</v>
      </c>
      <c r="C57">
        <v>146.82990930299999</v>
      </c>
      <c r="D57">
        <v>-19.176216053000001</v>
      </c>
      <c r="F57" s="64" t="s">
        <v>3982</v>
      </c>
      <c r="G57" s="64"/>
      <c r="H57" s="64"/>
      <c r="I57" s="64">
        <v>1</v>
      </c>
      <c r="J57" s="32">
        <f>IF(AND(I57=1,OR(I56=0,I56="")),MAX($J$4:$J56)+1,IF(AND(I57=1,I56=1),J56,""))</f>
        <v>1</v>
      </c>
      <c r="K57" s="32">
        <f t="shared" si="0"/>
        <v>370</v>
      </c>
      <c r="L57" s="32" t="str">
        <f t="shared" si="1"/>
        <v>HV</v>
      </c>
      <c r="M57" s="32">
        <f t="shared" si="2"/>
        <v>136900</v>
      </c>
      <c r="N57" s="4">
        <v>1</v>
      </c>
      <c r="O57" s="4">
        <v>0</v>
      </c>
      <c r="P57" s="4">
        <v>0</v>
      </c>
      <c r="Q57" s="4">
        <v>0</v>
      </c>
      <c r="R57" s="58">
        <v>0</v>
      </c>
      <c r="S57" s="58">
        <v>0</v>
      </c>
      <c r="T57" s="58">
        <v>0</v>
      </c>
      <c r="U57" s="5">
        <v>0</v>
      </c>
      <c r="V57" s="4">
        <v>0</v>
      </c>
      <c r="AG57" t="s">
        <v>113</v>
      </c>
      <c r="AM57" s="1" t="str">
        <f t="shared" si="3"/>
        <v>55_C0021_1066.jpg</v>
      </c>
    </row>
    <row r="58" spans="1:39" x14ac:dyDescent="0.35">
      <c r="A58">
        <v>54</v>
      </c>
      <c r="B58">
        <v>55</v>
      </c>
      <c r="C58">
        <v>146.82983534900001</v>
      </c>
      <c r="D58">
        <v>-19.176181948</v>
      </c>
      <c r="E58">
        <v>50</v>
      </c>
      <c r="F58" s="64" t="s">
        <v>3983</v>
      </c>
      <c r="G58" s="64"/>
      <c r="H58" s="64"/>
      <c r="I58" s="64">
        <v>1</v>
      </c>
      <c r="J58" s="32">
        <f>IF(AND(I58=1,OR(I57=0,I57="")),MAX($J$4:$J57)+1,IF(AND(I58=1,I57=1),J57,""))</f>
        <v>1</v>
      </c>
      <c r="K58" s="32">
        <f t="shared" si="0"/>
        <v>370</v>
      </c>
      <c r="L58" s="32" t="str">
        <f t="shared" si="1"/>
        <v>HV</v>
      </c>
      <c r="M58" s="32">
        <f t="shared" si="2"/>
        <v>136900</v>
      </c>
      <c r="N58" s="4">
        <v>1</v>
      </c>
      <c r="O58" s="4">
        <v>0</v>
      </c>
      <c r="P58" s="4">
        <v>0</v>
      </c>
      <c r="Q58" s="4">
        <v>0</v>
      </c>
      <c r="R58" s="58">
        <v>0</v>
      </c>
      <c r="S58" s="58">
        <v>0</v>
      </c>
      <c r="T58" s="58">
        <v>0</v>
      </c>
      <c r="U58" s="5">
        <v>0</v>
      </c>
      <c r="V58" s="4">
        <v>0</v>
      </c>
      <c r="AG58" t="s">
        <v>114</v>
      </c>
      <c r="AM58" s="1" t="str">
        <f t="shared" si="3"/>
        <v>56_C0021_1062.jpg</v>
      </c>
    </row>
    <row r="59" spans="1:39" x14ac:dyDescent="0.35">
      <c r="A59">
        <v>55</v>
      </c>
      <c r="B59">
        <v>56</v>
      </c>
      <c r="C59">
        <v>146.82974974499999</v>
      </c>
      <c r="D59">
        <v>-19.176158404999999</v>
      </c>
      <c r="F59" s="64" t="s">
        <v>3984</v>
      </c>
      <c r="G59" s="64"/>
      <c r="H59" s="64"/>
      <c r="I59" s="64">
        <v>1</v>
      </c>
      <c r="J59" s="32">
        <f>IF(AND(I59=1,OR(I58=0,I58="")),MAX($J$4:$J58)+1,IF(AND(I59=1,I58=1),J58,""))</f>
        <v>1</v>
      </c>
      <c r="K59" s="32">
        <f t="shared" si="0"/>
        <v>370</v>
      </c>
      <c r="L59" s="32" t="str">
        <f t="shared" si="1"/>
        <v>HV</v>
      </c>
      <c r="M59" s="32">
        <f t="shared" si="2"/>
        <v>136900</v>
      </c>
      <c r="N59" s="4">
        <v>1</v>
      </c>
      <c r="O59" s="4">
        <v>0</v>
      </c>
      <c r="P59" s="4">
        <v>0</v>
      </c>
      <c r="Q59" s="4">
        <v>0</v>
      </c>
      <c r="R59" s="58">
        <v>0</v>
      </c>
      <c r="S59" s="58">
        <v>0</v>
      </c>
      <c r="T59" s="58">
        <v>0</v>
      </c>
      <c r="U59" s="5">
        <v>0</v>
      </c>
      <c r="V59" s="4">
        <v>0</v>
      </c>
      <c r="AG59" t="s">
        <v>115</v>
      </c>
      <c r="AM59" s="1" t="str">
        <f t="shared" si="3"/>
        <v>57_C0021_1057.jpg</v>
      </c>
    </row>
    <row r="60" spans="1:39" x14ac:dyDescent="0.35">
      <c r="A60">
        <v>56</v>
      </c>
      <c r="B60">
        <v>57</v>
      </c>
      <c r="C60">
        <v>146.82971706399999</v>
      </c>
      <c r="D60">
        <v>-19.176080538000001</v>
      </c>
      <c r="F60" s="64" t="s">
        <v>3985</v>
      </c>
      <c r="G60" s="64"/>
      <c r="H60" s="64"/>
      <c r="I60" s="64">
        <v>1</v>
      </c>
      <c r="J60" s="32">
        <f>IF(AND(I60=1,OR(I59=0,I59="")),MAX($J$4:$J59)+1,IF(AND(I60=1,I59=1),J59,""))</f>
        <v>1</v>
      </c>
      <c r="K60" s="32">
        <f t="shared" si="0"/>
        <v>370</v>
      </c>
      <c r="L60" s="32" t="str">
        <f t="shared" si="1"/>
        <v>HV</v>
      </c>
      <c r="M60" s="32">
        <f t="shared" si="2"/>
        <v>136900</v>
      </c>
      <c r="N60" s="4">
        <v>1</v>
      </c>
      <c r="O60" s="4">
        <v>0</v>
      </c>
      <c r="P60" s="4">
        <v>0</v>
      </c>
      <c r="Q60" s="4">
        <v>0</v>
      </c>
      <c r="R60" s="58">
        <v>0</v>
      </c>
      <c r="S60" s="58">
        <v>0</v>
      </c>
      <c r="T60" s="58">
        <v>0</v>
      </c>
      <c r="U60" s="5">
        <v>0</v>
      </c>
      <c r="V60" s="4">
        <v>0</v>
      </c>
      <c r="AG60" t="s">
        <v>116</v>
      </c>
      <c r="AM60" s="1" t="str">
        <f t="shared" si="3"/>
        <v>58_C0021_1054.jpg</v>
      </c>
    </row>
    <row r="61" spans="1:39" x14ac:dyDescent="0.35">
      <c r="A61">
        <v>57</v>
      </c>
      <c r="B61">
        <v>58</v>
      </c>
      <c r="C61">
        <v>146.82970072500001</v>
      </c>
      <c r="D61">
        <v>-19.175997106000001</v>
      </c>
      <c r="F61" s="64" t="s">
        <v>3986</v>
      </c>
      <c r="G61" s="64"/>
      <c r="H61" s="64"/>
      <c r="I61" s="64">
        <v>1</v>
      </c>
      <c r="J61" s="32">
        <f>IF(AND(I61=1,OR(I60=0,I60="")),MAX($J$4:$J60)+1,IF(AND(I61=1,I60=1),J60,""))</f>
        <v>1</v>
      </c>
      <c r="K61" s="32">
        <f t="shared" si="0"/>
        <v>370</v>
      </c>
      <c r="L61" s="32" t="str">
        <f t="shared" si="1"/>
        <v>HV</v>
      </c>
      <c r="M61" s="32">
        <f t="shared" si="2"/>
        <v>136900</v>
      </c>
      <c r="N61" s="4">
        <v>1</v>
      </c>
      <c r="O61" s="4">
        <v>0</v>
      </c>
      <c r="P61" s="4">
        <v>0</v>
      </c>
      <c r="Q61" s="4">
        <v>0</v>
      </c>
      <c r="R61" s="58">
        <v>0</v>
      </c>
      <c r="S61" s="58">
        <v>0</v>
      </c>
      <c r="T61" s="58">
        <v>0</v>
      </c>
      <c r="U61" s="5">
        <v>0</v>
      </c>
      <c r="V61" s="4">
        <v>0</v>
      </c>
      <c r="AG61" t="s">
        <v>117</v>
      </c>
      <c r="AM61" s="1" t="str">
        <f t="shared" si="3"/>
        <v>59_C0021_1050.jpg</v>
      </c>
    </row>
    <row r="62" spans="1:39" x14ac:dyDescent="0.35">
      <c r="A62">
        <v>58</v>
      </c>
      <c r="B62">
        <v>59</v>
      </c>
      <c r="C62">
        <v>146.82968438699999</v>
      </c>
      <c r="D62">
        <v>-19.175913674</v>
      </c>
      <c r="F62" s="64" t="s">
        <v>3987</v>
      </c>
      <c r="G62" s="64"/>
      <c r="H62" s="64"/>
      <c r="I62" s="64">
        <v>1</v>
      </c>
      <c r="J62" s="32">
        <f>IF(AND(I62=1,OR(I61=0,I61="")),MAX($J$4:$J61)+1,IF(AND(I62=1,I61=1),J61,""))</f>
        <v>1</v>
      </c>
      <c r="K62" s="32">
        <f t="shared" si="0"/>
        <v>370</v>
      </c>
      <c r="L62" s="32" t="str">
        <f t="shared" si="1"/>
        <v>HV</v>
      </c>
      <c r="M62" s="32">
        <f t="shared" si="2"/>
        <v>136900</v>
      </c>
      <c r="N62" s="4">
        <v>1</v>
      </c>
      <c r="O62" s="4">
        <v>0</v>
      </c>
      <c r="P62" s="4">
        <v>0</v>
      </c>
      <c r="Q62" s="4">
        <v>0</v>
      </c>
      <c r="R62" s="58">
        <v>0</v>
      </c>
      <c r="S62" s="58">
        <v>0</v>
      </c>
      <c r="T62" s="58">
        <v>0</v>
      </c>
      <c r="U62" s="5">
        <v>0</v>
      </c>
      <c r="V62" s="4">
        <v>0</v>
      </c>
      <c r="AG62" t="s">
        <v>118</v>
      </c>
      <c r="AM62" s="1" t="str">
        <f t="shared" si="3"/>
        <v>60_C0021_1047.jpg</v>
      </c>
    </row>
    <row r="63" spans="1:39" x14ac:dyDescent="0.35">
      <c r="A63">
        <v>59</v>
      </c>
      <c r="B63">
        <v>60</v>
      </c>
      <c r="C63">
        <v>146.82965798199999</v>
      </c>
      <c r="D63">
        <v>-19.175832827000001</v>
      </c>
      <c r="E63">
        <v>50</v>
      </c>
      <c r="F63" s="64" t="s">
        <v>3988</v>
      </c>
      <c r="G63" s="64"/>
      <c r="H63" s="64"/>
      <c r="I63" s="64">
        <v>1</v>
      </c>
      <c r="J63" s="32">
        <f>IF(AND(I63=1,OR(I62=0,I62="")),MAX($J$4:$J62)+1,IF(AND(I63=1,I62=1),J62,""))</f>
        <v>1</v>
      </c>
      <c r="K63" s="32">
        <f t="shared" si="0"/>
        <v>370</v>
      </c>
      <c r="L63" s="32" t="str">
        <f t="shared" si="1"/>
        <v>HV</v>
      </c>
      <c r="M63" s="32">
        <f t="shared" si="2"/>
        <v>136900</v>
      </c>
      <c r="N63" s="4">
        <v>1</v>
      </c>
      <c r="O63" s="4">
        <v>0</v>
      </c>
      <c r="P63" s="4">
        <v>0</v>
      </c>
      <c r="Q63" s="4">
        <v>0</v>
      </c>
      <c r="R63" s="58">
        <v>0</v>
      </c>
      <c r="S63" s="58">
        <v>0</v>
      </c>
      <c r="T63" s="58">
        <v>0</v>
      </c>
      <c r="U63" s="5">
        <v>0</v>
      </c>
      <c r="V63" s="4">
        <v>0</v>
      </c>
      <c r="AG63" t="s">
        <v>119</v>
      </c>
      <c r="AM63" s="1" t="str">
        <f t="shared" si="3"/>
        <v>61_C0021_1044.jpg</v>
      </c>
    </row>
    <row r="64" spans="1:39" x14ac:dyDescent="0.35">
      <c r="A64">
        <v>60</v>
      </c>
      <c r="B64">
        <v>61</v>
      </c>
      <c r="C64">
        <v>146.82962733299999</v>
      </c>
      <c r="D64">
        <v>-19.175753070999999</v>
      </c>
      <c r="F64" s="64" t="s">
        <v>3989</v>
      </c>
      <c r="G64" s="64"/>
      <c r="H64" s="64"/>
      <c r="I64" s="64">
        <v>1</v>
      </c>
      <c r="J64" s="32">
        <f>IF(AND(I64=1,OR(I63=0,I63="")),MAX($J$4:$J63)+1,IF(AND(I64=1,I63=1),J63,""))</f>
        <v>1</v>
      </c>
      <c r="K64" s="32">
        <f t="shared" si="0"/>
        <v>370</v>
      </c>
      <c r="L64" s="32" t="str">
        <f t="shared" si="1"/>
        <v>HV</v>
      </c>
      <c r="M64" s="32">
        <f t="shared" si="2"/>
        <v>136900</v>
      </c>
      <c r="N64" s="4">
        <v>1</v>
      </c>
      <c r="O64" s="4">
        <v>0</v>
      </c>
      <c r="P64" s="4">
        <v>0</v>
      </c>
      <c r="Q64" s="4">
        <v>0</v>
      </c>
      <c r="R64" s="58">
        <v>0</v>
      </c>
      <c r="S64" s="58">
        <v>0</v>
      </c>
      <c r="T64" s="58">
        <v>0</v>
      </c>
      <c r="U64" s="5">
        <v>0</v>
      </c>
      <c r="V64" s="4">
        <v>0</v>
      </c>
      <c r="AG64" t="s">
        <v>120</v>
      </c>
      <c r="AM64" s="1" t="str">
        <f t="shared" si="3"/>
        <v>62_C0021_1041.jpg</v>
      </c>
    </row>
    <row r="65" spans="1:39" x14ac:dyDescent="0.35">
      <c r="A65">
        <v>61</v>
      </c>
      <c r="B65">
        <v>62</v>
      </c>
      <c r="C65">
        <v>146.82959668399999</v>
      </c>
      <c r="D65">
        <v>-19.175673314999901</v>
      </c>
      <c r="F65" s="64" t="s">
        <v>3990</v>
      </c>
      <c r="G65" s="64"/>
      <c r="H65" s="64"/>
      <c r="I65" s="64">
        <v>1</v>
      </c>
      <c r="J65" s="32">
        <f>IF(AND(I65=1,OR(I64=0,I64="")),MAX($J$4:$J64)+1,IF(AND(I65=1,I64=1),J64,""))</f>
        <v>1</v>
      </c>
      <c r="K65" s="32">
        <f t="shared" si="0"/>
        <v>370</v>
      </c>
      <c r="L65" s="32" t="str">
        <f t="shared" si="1"/>
        <v>HV</v>
      </c>
      <c r="M65" s="32">
        <f t="shared" si="2"/>
        <v>136900</v>
      </c>
      <c r="N65" s="4">
        <v>1</v>
      </c>
      <c r="O65" s="4">
        <v>0</v>
      </c>
      <c r="P65" s="4">
        <v>0</v>
      </c>
      <c r="Q65" s="4">
        <v>0</v>
      </c>
      <c r="R65" s="58">
        <v>0</v>
      </c>
      <c r="S65" s="58">
        <v>0</v>
      </c>
      <c r="T65" s="58">
        <v>0</v>
      </c>
      <c r="U65" s="5">
        <v>0</v>
      </c>
      <c r="V65" s="4">
        <v>0</v>
      </c>
      <c r="AG65" t="s">
        <v>121</v>
      </c>
      <c r="AM65" s="1" t="str">
        <f t="shared" ref="AM65:AM96" si="4">HYPERLINK("E:\CAFNEC_GBRF\2023\JohnstoneRiver\Frames_for_Analysis\" &amp; F66, F66)</f>
        <v>63_C0021_1039.jpg</v>
      </c>
    </row>
    <row r="66" spans="1:39" x14ac:dyDescent="0.35">
      <c r="A66">
        <v>62</v>
      </c>
      <c r="B66">
        <v>63</v>
      </c>
      <c r="C66">
        <v>146.82955987700001</v>
      </c>
      <c r="D66">
        <v>-19.175598763</v>
      </c>
      <c r="F66" s="64" t="s">
        <v>3991</v>
      </c>
      <c r="G66" s="64"/>
      <c r="H66" s="64"/>
      <c r="I66" s="64">
        <v>1</v>
      </c>
      <c r="J66" s="32">
        <f>IF(AND(I66=1,OR(I65=0,I65="")),MAX($J$4:$J65)+1,IF(AND(I66=1,I65=1),J65,""))</f>
        <v>1</v>
      </c>
      <c r="K66" s="32">
        <f t="shared" si="0"/>
        <v>370</v>
      </c>
      <c r="L66" s="32" t="str">
        <f t="shared" si="1"/>
        <v>HV</v>
      </c>
      <c r="M66" s="32">
        <f t="shared" si="2"/>
        <v>136900</v>
      </c>
      <c r="N66" s="4">
        <v>1</v>
      </c>
      <c r="O66" s="4">
        <v>0</v>
      </c>
      <c r="P66" s="4">
        <v>0</v>
      </c>
      <c r="Q66" s="4">
        <v>0</v>
      </c>
      <c r="R66" s="58">
        <v>0</v>
      </c>
      <c r="S66" s="58">
        <v>0</v>
      </c>
      <c r="T66" s="58">
        <v>0</v>
      </c>
      <c r="U66" s="5">
        <v>0</v>
      </c>
      <c r="V66" s="4">
        <v>0</v>
      </c>
      <c r="AG66" t="s">
        <v>122</v>
      </c>
      <c r="AM66" s="1" t="str">
        <f t="shared" si="4"/>
        <v>64_C0021_1037.jpg</v>
      </c>
    </row>
    <row r="67" spans="1:39" x14ac:dyDescent="0.35">
      <c r="A67">
        <v>63</v>
      </c>
      <c r="B67">
        <v>64</v>
      </c>
      <c r="C67">
        <v>146.829480854</v>
      </c>
      <c r="D67">
        <v>-19.175559612000001</v>
      </c>
      <c r="F67" s="64" t="s">
        <v>3992</v>
      </c>
      <c r="G67" s="64"/>
      <c r="H67" s="64"/>
      <c r="I67" s="64">
        <v>1</v>
      </c>
      <c r="J67" s="32">
        <f>IF(AND(I67=1,OR(I66=0,I66="")),MAX($J$4:$J66)+1,IF(AND(I67=1,I66=1),J66,""))</f>
        <v>1</v>
      </c>
      <c r="K67" s="32">
        <f t="shared" si="0"/>
        <v>370</v>
      </c>
      <c r="L67" s="32" t="str">
        <f t="shared" si="1"/>
        <v>HV</v>
      </c>
      <c r="M67" s="32">
        <f t="shared" si="2"/>
        <v>136900</v>
      </c>
      <c r="N67" s="4">
        <v>1</v>
      </c>
      <c r="O67" s="4">
        <v>0</v>
      </c>
      <c r="P67" s="4">
        <v>0</v>
      </c>
      <c r="Q67" s="4">
        <v>0</v>
      </c>
      <c r="R67" s="58">
        <v>0</v>
      </c>
      <c r="S67" s="58">
        <v>0</v>
      </c>
      <c r="T67" s="58">
        <v>0</v>
      </c>
      <c r="U67" s="5">
        <v>0</v>
      </c>
      <c r="V67" s="4">
        <v>0</v>
      </c>
      <c r="AG67" t="s">
        <v>123</v>
      </c>
      <c r="AM67" s="1" t="str">
        <f t="shared" si="4"/>
        <v>65_C0021_1035.jpg</v>
      </c>
    </row>
    <row r="68" spans="1:39" x14ac:dyDescent="0.35">
      <c r="A68">
        <v>64</v>
      </c>
      <c r="B68">
        <v>65</v>
      </c>
      <c r="C68">
        <v>146.82943428999999</v>
      </c>
      <c r="D68">
        <v>-19.175487051999902</v>
      </c>
      <c r="E68">
        <v>50</v>
      </c>
      <c r="F68" s="64" t="s">
        <v>3993</v>
      </c>
      <c r="G68" s="64"/>
      <c r="H68" s="64"/>
      <c r="I68" s="64">
        <v>1</v>
      </c>
      <c r="J68" s="32">
        <f>IF(AND(I68=1,OR(I67=0,I67="")),MAX($J$4:$J67)+1,IF(AND(I68=1,I67=1),J67,""))</f>
        <v>1</v>
      </c>
      <c r="K68" s="32">
        <f t="shared" ref="K68:K131" si="5">IF(J68="","",COUNTIF(J:J,J68)*10)</f>
        <v>370</v>
      </c>
      <c r="L68" s="32" t="str">
        <f t="shared" ref="L68:L131" si="6">IF(K68="","",IF(K68&gt;=100,"HV",""))</f>
        <v>HV</v>
      </c>
      <c r="M68" s="32">
        <f t="shared" ref="M68:M131" si="7">IF(K68&lt;&gt;"",K68^2,"")</f>
        <v>136900</v>
      </c>
      <c r="N68" s="4">
        <v>1</v>
      </c>
      <c r="O68" s="4">
        <v>0</v>
      </c>
      <c r="P68" s="4">
        <v>0</v>
      </c>
      <c r="Q68" s="4">
        <v>0</v>
      </c>
      <c r="R68" s="58">
        <v>0</v>
      </c>
      <c r="S68" s="58">
        <v>0</v>
      </c>
      <c r="T68" s="58">
        <v>0</v>
      </c>
      <c r="U68" s="5">
        <v>0</v>
      </c>
      <c r="V68" s="4">
        <v>0</v>
      </c>
      <c r="AG68" t="s">
        <v>124</v>
      </c>
      <c r="AM68" s="1" t="str">
        <f t="shared" si="4"/>
        <v>66_C0021_1034.jpg</v>
      </c>
    </row>
    <row r="69" spans="1:39" x14ac:dyDescent="0.35">
      <c r="A69">
        <v>65</v>
      </c>
      <c r="B69">
        <v>66</v>
      </c>
      <c r="C69">
        <v>146.829356343</v>
      </c>
      <c r="D69">
        <v>-19.175449144000002</v>
      </c>
      <c r="F69" s="64" t="s">
        <v>3994</v>
      </c>
      <c r="G69" s="64"/>
      <c r="H69" s="64"/>
      <c r="I69" s="64">
        <v>1</v>
      </c>
      <c r="J69" s="32">
        <f>IF(AND(I69=1,OR(I68=0,I68="")),MAX($J$4:$J68)+1,IF(AND(I69=1,I68=1),J68,""))</f>
        <v>1</v>
      </c>
      <c r="K69" s="32">
        <f t="shared" si="5"/>
        <v>370</v>
      </c>
      <c r="L69" s="32" t="str">
        <f t="shared" si="6"/>
        <v>HV</v>
      </c>
      <c r="M69" s="32">
        <f t="shared" si="7"/>
        <v>136900</v>
      </c>
      <c r="N69" s="4">
        <v>1</v>
      </c>
      <c r="O69" s="4">
        <v>0</v>
      </c>
      <c r="P69" s="4">
        <v>0</v>
      </c>
      <c r="Q69" s="4">
        <v>0</v>
      </c>
      <c r="R69" s="58">
        <v>0</v>
      </c>
      <c r="S69" s="58">
        <v>0</v>
      </c>
      <c r="T69" s="58">
        <v>0</v>
      </c>
      <c r="U69" s="5">
        <v>0</v>
      </c>
      <c r="V69" s="4">
        <v>0</v>
      </c>
      <c r="AG69" t="s">
        <v>125</v>
      </c>
      <c r="AM69" s="1" t="str">
        <f t="shared" si="4"/>
        <v>67_C0021_1032.jpg</v>
      </c>
    </row>
    <row r="70" spans="1:39" x14ac:dyDescent="0.35">
      <c r="A70">
        <v>66</v>
      </c>
      <c r="B70">
        <v>67</v>
      </c>
      <c r="C70">
        <v>146.829273237</v>
      </c>
      <c r="D70">
        <v>-19.175416932000001</v>
      </c>
      <c r="F70" s="64" t="s">
        <v>3995</v>
      </c>
      <c r="G70" s="64"/>
      <c r="H70" s="64"/>
      <c r="I70" s="64">
        <v>1</v>
      </c>
      <c r="J70" s="32">
        <f>IF(AND(I70=1,OR(I69=0,I69="")),MAX($J$4:$J69)+1,IF(AND(I70=1,I69=1),J69,""))</f>
        <v>1</v>
      </c>
      <c r="K70" s="32">
        <f t="shared" si="5"/>
        <v>370</v>
      </c>
      <c r="L70" s="32" t="str">
        <f t="shared" si="6"/>
        <v>HV</v>
      </c>
      <c r="M70" s="32">
        <f t="shared" si="7"/>
        <v>136900</v>
      </c>
      <c r="N70" s="4">
        <v>1</v>
      </c>
      <c r="O70" s="4">
        <v>0</v>
      </c>
      <c r="P70" s="4">
        <v>0</v>
      </c>
      <c r="Q70" s="4">
        <v>0</v>
      </c>
      <c r="R70" s="58">
        <v>0</v>
      </c>
      <c r="S70" s="58">
        <v>0</v>
      </c>
      <c r="T70" s="58">
        <v>0</v>
      </c>
      <c r="U70" s="5">
        <v>0</v>
      </c>
      <c r="V70" s="4">
        <v>0</v>
      </c>
      <c r="AG70" t="s">
        <v>126</v>
      </c>
      <c r="AM70" s="1" t="str">
        <f t="shared" si="4"/>
        <v>68_C0021_1027.jpg</v>
      </c>
    </row>
    <row r="71" spans="1:39" x14ac:dyDescent="0.35">
      <c r="A71">
        <v>67</v>
      </c>
      <c r="B71">
        <v>68</v>
      </c>
      <c r="C71">
        <v>146.82919473199999</v>
      </c>
      <c r="D71">
        <v>-19.175376863999901</v>
      </c>
      <c r="F71" s="64" t="s">
        <v>3996</v>
      </c>
      <c r="G71" s="64"/>
      <c r="H71" s="64"/>
      <c r="I71" s="64">
        <v>1</v>
      </c>
      <c r="J71" s="32">
        <f>IF(AND(I71=1,OR(I70=0,I70="")),MAX($J$4:$J70)+1,IF(AND(I71=1,I70=1),J70,""))</f>
        <v>1</v>
      </c>
      <c r="K71" s="32">
        <f t="shared" si="5"/>
        <v>370</v>
      </c>
      <c r="L71" s="32" t="str">
        <f t="shared" si="6"/>
        <v>HV</v>
      </c>
      <c r="M71" s="32">
        <f t="shared" si="7"/>
        <v>136900</v>
      </c>
      <c r="N71" s="4">
        <v>1</v>
      </c>
      <c r="O71" s="4">
        <v>0</v>
      </c>
      <c r="P71" s="4">
        <v>0</v>
      </c>
      <c r="Q71" s="4">
        <v>0</v>
      </c>
      <c r="R71" s="58">
        <v>0</v>
      </c>
      <c r="S71" s="58">
        <v>0</v>
      </c>
      <c r="T71" s="58">
        <v>0</v>
      </c>
      <c r="U71" s="5">
        <v>0</v>
      </c>
      <c r="V71" s="4">
        <v>0</v>
      </c>
      <c r="AG71" t="s">
        <v>127</v>
      </c>
      <c r="AM71" s="1" t="str">
        <f t="shared" si="4"/>
        <v>69_C0021_1015.jpg</v>
      </c>
    </row>
    <row r="72" spans="1:39" x14ac:dyDescent="0.35">
      <c r="A72">
        <v>68</v>
      </c>
      <c r="B72">
        <v>69</v>
      </c>
      <c r="C72">
        <v>146.82912147499999</v>
      </c>
      <c r="D72">
        <v>-19.175327813999999</v>
      </c>
      <c r="F72" s="64" t="s">
        <v>3997</v>
      </c>
      <c r="G72" s="64"/>
      <c r="H72" s="64"/>
      <c r="I72" s="64">
        <v>1</v>
      </c>
      <c r="J72" s="32">
        <f>IF(AND(I72=1,OR(I71=0,I71="")),MAX($J$4:$J71)+1,IF(AND(I72=1,I71=1),J71,""))</f>
        <v>1</v>
      </c>
      <c r="K72" s="32">
        <f t="shared" si="5"/>
        <v>370</v>
      </c>
      <c r="L72" s="32" t="str">
        <f t="shared" si="6"/>
        <v>HV</v>
      </c>
      <c r="M72" s="32">
        <f t="shared" si="7"/>
        <v>136900</v>
      </c>
      <c r="N72" s="4">
        <v>1</v>
      </c>
      <c r="O72" s="4">
        <v>0</v>
      </c>
      <c r="P72" s="4">
        <v>0</v>
      </c>
      <c r="Q72" s="4">
        <v>0</v>
      </c>
      <c r="R72" s="58">
        <v>0</v>
      </c>
      <c r="S72" s="58">
        <v>0</v>
      </c>
      <c r="T72" s="58">
        <v>0</v>
      </c>
      <c r="U72" s="5">
        <v>0</v>
      </c>
      <c r="V72" s="4">
        <v>0</v>
      </c>
      <c r="AG72" t="s">
        <v>128</v>
      </c>
      <c r="AM72" s="1" t="str">
        <f t="shared" si="4"/>
        <v>70_C0021_1008.jpg</v>
      </c>
    </row>
    <row r="73" spans="1:39" x14ac:dyDescent="0.35">
      <c r="A73">
        <v>69</v>
      </c>
      <c r="B73">
        <v>70</v>
      </c>
      <c r="C73">
        <v>146.829039997</v>
      </c>
      <c r="D73">
        <v>-19.175292082999899</v>
      </c>
      <c r="E73">
        <v>50</v>
      </c>
      <c r="F73" s="64" t="s">
        <v>3998</v>
      </c>
      <c r="G73" s="64"/>
      <c r="H73" s="64"/>
      <c r="I73" s="64">
        <v>1</v>
      </c>
      <c r="J73" s="32">
        <f>IF(AND(I73=1,OR(I72=0,I72="")),MAX($J$4:$J72)+1,IF(AND(I73=1,I72=1),J72,""))</f>
        <v>1</v>
      </c>
      <c r="K73" s="32">
        <f t="shared" si="5"/>
        <v>370</v>
      </c>
      <c r="L73" s="32" t="str">
        <f t="shared" si="6"/>
        <v>HV</v>
      </c>
      <c r="M73" s="32">
        <f t="shared" si="7"/>
        <v>136900</v>
      </c>
      <c r="N73" s="4">
        <v>1</v>
      </c>
      <c r="O73" s="4">
        <v>0</v>
      </c>
      <c r="P73" s="4">
        <v>0</v>
      </c>
      <c r="Q73" s="4">
        <v>0</v>
      </c>
      <c r="R73" s="58">
        <v>0</v>
      </c>
      <c r="S73" s="58">
        <v>0</v>
      </c>
      <c r="T73" s="58">
        <v>0</v>
      </c>
      <c r="U73" s="5">
        <v>0</v>
      </c>
      <c r="V73" s="4">
        <v>0</v>
      </c>
      <c r="AG73" t="s">
        <v>129</v>
      </c>
      <c r="AM73" s="1" t="str">
        <f t="shared" si="4"/>
        <v>71_C0021_1003.jpg</v>
      </c>
    </row>
    <row r="74" spans="1:39" x14ac:dyDescent="0.35">
      <c r="A74">
        <v>70</v>
      </c>
      <c r="B74">
        <v>71</v>
      </c>
      <c r="C74">
        <v>146.828953093</v>
      </c>
      <c r="D74">
        <v>-19.175273971999999</v>
      </c>
      <c r="F74" s="64" t="s">
        <v>3999</v>
      </c>
      <c r="G74" s="64"/>
      <c r="H74" s="64"/>
      <c r="I74" s="64">
        <v>1</v>
      </c>
      <c r="J74" s="32">
        <f>IF(AND(I74=1,OR(I73=0,I73="")),MAX($J$4:$J73)+1,IF(AND(I74=1,I73=1),J73,""))</f>
        <v>1</v>
      </c>
      <c r="K74" s="32">
        <f t="shared" si="5"/>
        <v>370</v>
      </c>
      <c r="L74" s="32" t="str">
        <f t="shared" si="6"/>
        <v>HV</v>
      </c>
      <c r="M74" s="32">
        <f t="shared" si="7"/>
        <v>136900</v>
      </c>
      <c r="N74" s="4">
        <v>1</v>
      </c>
      <c r="O74" s="4">
        <v>0</v>
      </c>
      <c r="P74" s="4">
        <v>0</v>
      </c>
      <c r="Q74" s="4">
        <v>0</v>
      </c>
      <c r="R74" s="58">
        <v>0</v>
      </c>
      <c r="S74" s="58">
        <v>0</v>
      </c>
      <c r="T74" s="58">
        <v>0</v>
      </c>
      <c r="U74" s="5">
        <v>0</v>
      </c>
      <c r="V74" s="4">
        <v>0</v>
      </c>
      <c r="AG74" t="s">
        <v>130</v>
      </c>
      <c r="AM74" s="1" t="str">
        <f t="shared" si="4"/>
        <v>72_C0021_1001.jpg</v>
      </c>
    </row>
    <row r="75" spans="1:39" x14ac:dyDescent="0.35">
      <c r="A75">
        <v>71</v>
      </c>
      <c r="B75">
        <v>72</v>
      </c>
      <c r="C75">
        <v>146.82886403699999</v>
      </c>
      <c r="D75">
        <v>-19.175262849999999</v>
      </c>
      <c r="F75" s="64" t="s">
        <v>4000</v>
      </c>
      <c r="G75" s="64"/>
      <c r="H75" s="64"/>
      <c r="I75" s="64">
        <v>1</v>
      </c>
      <c r="J75" s="32">
        <f>IF(AND(I75=1,OR(I74=0,I74="")),MAX($J$4:$J74)+1,IF(AND(I75=1,I74=1),J74,""))</f>
        <v>1</v>
      </c>
      <c r="K75" s="32">
        <f t="shared" si="5"/>
        <v>370</v>
      </c>
      <c r="L75" s="32" t="str">
        <f t="shared" si="6"/>
        <v>HV</v>
      </c>
      <c r="M75" s="32">
        <f t="shared" si="7"/>
        <v>136900</v>
      </c>
      <c r="N75" s="4">
        <v>1</v>
      </c>
      <c r="O75" s="4">
        <v>0</v>
      </c>
      <c r="P75" s="4">
        <v>0</v>
      </c>
      <c r="Q75" s="4">
        <v>0</v>
      </c>
      <c r="R75" s="58">
        <v>0</v>
      </c>
      <c r="S75" s="58">
        <v>0</v>
      </c>
      <c r="T75" s="58">
        <v>0</v>
      </c>
      <c r="U75" s="5">
        <v>0</v>
      </c>
      <c r="V75" s="4">
        <v>0</v>
      </c>
      <c r="AG75" t="s">
        <v>131</v>
      </c>
      <c r="AM75" s="1" t="str">
        <f t="shared" si="4"/>
        <v>73_C0021_0993.jpg</v>
      </c>
    </row>
    <row r="76" spans="1:39" x14ac:dyDescent="0.35">
      <c r="A76">
        <v>72</v>
      </c>
      <c r="B76">
        <v>73</v>
      </c>
      <c r="C76">
        <v>146.828796356</v>
      </c>
      <c r="D76">
        <v>-19.175207742999898</v>
      </c>
      <c r="F76" s="64" t="s">
        <v>4001</v>
      </c>
      <c r="G76" s="64"/>
      <c r="H76" s="64"/>
      <c r="I76" s="64">
        <v>1</v>
      </c>
      <c r="J76" s="32">
        <f>IF(AND(I76=1,OR(I75=0,I75="")),MAX($J$4:$J75)+1,IF(AND(I76=1,I75=1),J75,""))</f>
        <v>1</v>
      </c>
      <c r="K76" s="32">
        <f t="shared" si="5"/>
        <v>370</v>
      </c>
      <c r="L76" s="32" t="str">
        <f t="shared" si="6"/>
        <v>HV</v>
      </c>
      <c r="M76" s="32">
        <f t="shared" si="7"/>
        <v>136900</v>
      </c>
      <c r="N76" s="4">
        <v>1</v>
      </c>
      <c r="O76" s="4">
        <v>0</v>
      </c>
      <c r="P76" s="4">
        <v>0</v>
      </c>
      <c r="Q76" s="4">
        <v>0</v>
      </c>
      <c r="R76" s="58">
        <v>0</v>
      </c>
      <c r="S76" s="58">
        <v>0</v>
      </c>
      <c r="T76" s="58">
        <v>0</v>
      </c>
      <c r="U76" s="5">
        <v>0</v>
      </c>
      <c r="V76" s="4">
        <v>0</v>
      </c>
      <c r="AG76" t="s">
        <v>132</v>
      </c>
      <c r="AM76" s="1" t="str">
        <f t="shared" si="4"/>
        <v>74_C0021_0994.jpg</v>
      </c>
    </row>
    <row r="77" spans="1:39" x14ac:dyDescent="0.35">
      <c r="A77">
        <v>73</v>
      </c>
      <c r="B77">
        <v>74</v>
      </c>
      <c r="C77">
        <v>146.82872936800001</v>
      </c>
      <c r="D77">
        <v>-19.1751512119999</v>
      </c>
      <c r="F77" s="64" t="s">
        <v>4002</v>
      </c>
      <c r="G77" s="64"/>
      <c r="H77" s="64"/>
      <c r="I77" s="64">
        <v>1</v>
      </c>
      <c r="J77" s="32">
        <f>IF(AND(I77=1,OR(I76=0,I76="")),MAX($J$4:$J76)+1,IF(AND(I77=1,I76=1),J76,""))</f>
        <v>1</v>
      </c>
      <c r="K77" s="32">
        <f t="shared" si="5"/>
        <v>370</v>
      </c>
      <c r="L77" s="32" t="str">
        <f t="shared" si="6"/>
        <v>HV</v>
      </c>
      <c r="M77" s="32">
        <f t="shared" si="7"/>
        <v>136900</v>
      </c>
      <c r="N77" s="4">
        <v>1</v>
      </c>
      <c r="O77" s="4">
        <v>0</v>
      </c>
      <c r="P77" s="4">
        <v>0</v>
      </c>
      <c r="Q77" s="4">
        <v>0</v>
      </c>
      <c r="R77" s="58">
        <v>0</v>
      </c>
      <c r="S77" s="58">
        <v>0</v>
      </c>
      <c r="T77" s="58">
        <v>0</v>
      </c>
      <c r="U77" s="5">
        <v>0</v>
      </c>
      <c r="V77" s="4">
        <v>0</v>
      </c>
      <c r="AG77" t="s">
        <v>133</v>
      </c>
      <c r="AM77" s="1" t="str">
        <f t="shared" si="4"/>
        <v>75_C0021_0987.jpg</v>
      </c>
    </row>
    <row r="78" spans="1:39" x14ac:dyDescent="0.35">
      <c r="A78">
        <v>74</v>
      </c>
      <c r="B78">
        <v>75</v>
      </c>
      <c r="C78">
        <v>146.828660316</v>
      </c>
      <c r="D78">
        <v>-19.175096968999998</v>
      </c>
      <c r="E78">
        <v>50</v>
      </c>
      <c r="F78" s="64" t="s">
        <v>4003</v>
      </c>
      <c r="G78" s="64"/>
      <c r="H78" s="64"/>
      <c r="I78" s="64">
        <v>1</v>
      </c>
      <c r="J78" s="32">
        <f>IF(AND(I78=1,OR(I77=0,I77="")),MAX($J$4:$J77)+1,IF(AND(I78=1,I77=1),J77,""))</f>
        <v>1</v>
      </c>
      <c r="K78" s="32">
        <f t="shared" si="5"/>
        <v>370</v>
      </c>
      <c r="L78" s="32" t="str">
        <f t="shared" si="6"/>
        <v>HV</v>
      </c>
      <c r="M78" s="32">
        <f t="shared" si="7"/>
        <v>136900</v>
      </c>
      <c r="N78" s="4">
        <v>1</v>
      </c>
      <c r="O78" s="4">
        <v>0</v>
      </c>
      <c r="P78" s="4">
        <v>0</v>
      </c>
      <c r="Q78" s="4">
        <v>0</v>
      </c>
      <c r="R78" s="58">
        <v>1</v>
      </c>
      <c r="S78" s="58">
        <v>0</v>
      </c>
      <c r="T78" s="58">
        <v>0</v>
      </c>
      <c r="U78" s="5">
        <v>0</v>
      </c>
      <c r="V78" s="4">
        <v>0</v>
      </c>
      <c r="AG78" t="s">
        <v>134</v>
      </c>
      <c r="AM78" s="1" t="str">
        <f t="shared" si="4"/>
        <v>76_C0021_0979.jpg</v>
      </c>
    </row>
    <row r="79" spans="1:39" x14ac:dyDescent="0.35">
      <c r="A79">
        <v>75</v>
      </c>
      <c r="B79">
        <v>76</v>
      </c>
      <c r="C79">
        <v>146.82859056999999</v>
      </c>
      <c r="D79">
        <v>-19.175043495000001</v>
      </c>
      <c r="F79" s="64" t="s">
        <v>4004</v>
      </c>
      <c r="G79" s="64"/>
      <c r="H79" s="64"/>
      <c r="I79" s="64">
        <v>1</v>
      </c>
      <c r="J79" s="32">
        <f>IF(AND(I79=1,OR(I78=0,I78="")),MAX($J$4:$J78)+1,IF(AND(I79=1,I78=1),J78,""))</f>
        <v>1</v>
      </c>
      <c r="K79" s="32">
        <f t="shared" si="5"/>
        <v>370</v>
      </c>
      <c r="L79" s="32" t="str">
        <f t="shared" si="6"/>
        <v>HV</v>
      </c>
      <c r="M79" s="32">
        <f t="shared" si="7"/>
        <v>136900</v>
      </c>
      <c r="N79" s="4">
        <v>1</v>
      </c>
      <c r="O79" s="4">
        <v>0</v>
      </c>
      <c r="P79" s="4">
        <v>0</v>
      </c>
      <c r="Q79" s="4">
        <v>0</v>
      </c>
      <c r="R79" s="58">
        <v>0</v>
      </c>
      <c r="S79" s="58">
        <v>0</v>
      </c>
      <c r="T79" s="58">
        <v>0</v>
      </c>
      <c r="U79" s="5">
        <v>0</v>
      </c>
      <c r="V79" s="4">
        <v>0</v>
      </c>
      <c r="AG79" t="s">
        <v>135</v>
      </c>
      <c r="AM79" s="1" t="str">
        <f t="shared" si="4"/>
        <v>77_C0021_0925.jpg</v>
      </c>
    </row>
    <row r="80" spans="1:39" x14ac:dyDescent="0.35">
      <c r="A80">
        <v>76</v>
      </c>
      <c r="B80">
        <v>77</v>
      </c>
      <c r="C80">
        <v>146.828520825</v>
      </c>
      <c r="D80">
        <v>-19.1749900209999</v>
      </c>
      <c r="F80" s="64" t="s">
        <v>4005</v>
      </c>
      <c r="G80" s="64"/>
      <c r="H80" s="64"/>
      <c r="I80" s="64">
        <v>1</v>
      </c>
      <c r="J80" s="32">
        <f>IF(AND(I80=1,OR(I79=0,I79="")),MAX($J$4:$J79)+1,IF(AND(I80=1,I79=1),J79,""))</f>
        <v>1</v>
      </c>
      <c r="K80" s="32">
        <f t="shared" si="5"/>
        <v>370</v>
      </c>
      <c r="L80" s="32" t="str">
        <f t="shared" si="6"/>
        <v>HV</v>
      </c>
      <c r="M80" s="32">
        <f t="shared" si="7"/>
        <v>136900</v>
      </c>
      <c r="N80" s="4">
        <v>1</v>
      </c>
      <c r="O80" s="4">
        <v>0</v>
      </c>
      <c r="P80" s="4">
        <v>0</v>
      </c>
      <c r="Q80" s="4">
        <v>0</v>
      </c>
      <c r="R80" s="58">
        <v>0</v>
      </c>
      <c r="S80" s="58">
        <v>0</v>
      </c>
      <c r="T80" s="58">
        <v>0</v>
      </c>
      <c r="U80" s="5">
        <v>0</v>
      </c>
      <c r="V80" s="4">
        <v>0</v>
      </c>
      <c r="AG80" t="s">
        <v>136</v>
      </c>
      <c r="AM80" s="1" t="str">
        <f t="shared" si="4"/>
        <v>78_C0021_0962.jpg</v>
      </c>
    </row>
    <row r="81" spans="1:39" x14ac:dyDescent="0.35">
      <c r="A81">
        <v>77</v>
      </c>
      <c r="B81">
        <v>78</v>
      </c>
      <c r="C81">
        <v>146.82845107899999</v>
      </c>
      <c r="D81">
        <v>-19.174936547000001</v>
      </c>
      <c r="F81" s="64" t="s">
        <v>4006</v>
      </c>
      <c r="G81" s="64"/>
      <c r="H81" s="64"/>
      <c r="I81" s="64">
        <v>1</v>
      </c>
      <c r="J81" s="32">
        <f>IF(AND(I81=1,OR(I80=0,I80="")),MAX($J$4:$J80)+1,IF(AND(I81=1,I80=1),J80,""))</f>
        <v>1</v>
      </c>
      <c r="K81" s="32">
        <f t="shared" si="5"/>
        <v>370</v>
      </c>
      <c r="L81" s="32" t="str">
        <f t="shared" si="6"/>
        <v>HV</v>
      </c>
      <c r="M81" s="32">
        <f t="shared" si="7"/>
        <v>136900</v>
      </c>
      <c r="N81" s="4">
        <v>1</v>
      </c>
      <c r="O81" s="4">
        <v>0</v>
      </c>
      <c r="P81" s="4">
        <v>0</v>
      </c>
      <c r="Q81" s="4">
        <v>0</v>
      </c>
      <c r="R81" s="58">
        <v>0</v>
      </c>
      <c r="S81" s="58">
        <v>0</v>
      </c>
      <c r="T81" s="58">
        <v>0</v>
      </c>
      <c r="U81" s="5">
        <v>0</v>
      </c>
      <c r="V81" s="4">
        <v>0</v>
      </c>
      <c r="AG81" t="s">
        <v>137</v>
      </c>
      <c r="AM81" s="1" t="str">
        <f t="shared" si="4"/>
        <v>79_C0021_0927.jpg</v>
      </c>
    </row>
    <row r="82" spans="1:39" x14ac:dyDescent="0.35">
      <c r="A82">
        <v>78</v>
      </c>
      <c r="B82">
        <v>79</v>
      </c>
      <c r="C82">
        <v>146.82838133300001</v>
      </c>
      <c r="D82">
        <v>-19.174883072999901</v>
      </c>
      <c r="F82" s="64" t="s">
        <v>4007</v>
      </c>
      <c r="G82" s="64"/>
      <c r="H82" s="64"/>
      <c r="I82" s="64">
        <v>1</v>
      </c>
      <c r="J82" s="32">
        <f>IF(AND(I82=1,OR(I81=0,I81="")),MAX($J$4:$J81)+1,IF(AND(I82=1,I81=1),J81,""))</f>
        <v>1</v>
      </c>
      <c r="K82" s="32">
        <f t="shared" si="5"/>
        <v>370</v>
      </c>
      <c r="L82" s="32" t="str">
        <f t="shared" si="6"/>
        <v>HV</v>
      </c>
      <c r="M82" s="32">
        <f t="shared" si="7"/>
        <v>136900</v>
      </c>
      <c r="N82" s="4">
        <v>1</v>
      </c>
      <c r="O82" s="4">
        <v>0</v>
      </c>
      <c r="P82" s="4">
        <v>0</v>
      </c>
      <c r="Q82" s="4">
        <v>0</v>
      </c>
      <c r="R82" s="58">
        <v>0</v>
      </c>
      <c r="S82" s="58">
        <v>0</v>
      </c>
      <c r="T82" s="58">
        <v>0</v>
      </c>
      <c r="U82" s="5">
        <v>0</v>
      </c>
      <c r="V82" s="4">
        <v>0</v>
      </c>
      <c r="AG82" t="s">
        <v>138</v>
      </c>
      <c r="AM82" s="1" t="str">
        <f t="shared" si="4"/>
        <v>80_C0021_0943.jpg</v>
      </c>
    </row>
    <row r="83" spans="1:39" x14ac:dyDescent="0.35">
      <c r="A83">
        <v>79</v>
      </c>
      <c r="B83">
        <v>80</v>
      </c>
      <c r="C83">
        <v>146.82831158799999</v>
      </c>
      <c r="D83">
        <v>-19.174829598999999</v>
      </c>
      <c r="E83">
        <v>50</v>
      </c>
      <c r="F83" s="64" t="s">
        <v>4008</v>
      </c>
      <c r="G83" s="64"/>
      <c r="H83" s="64"/>
      <c r="I83" s="64">
        <v>1</v>
      </c>
      <c r="J83" s="32">
        <f>IF(AND(I83=1,OR(I82=0,I82="")),MAX($J$4:$J82)+1,IF(AND(I83=1,I82=1),J82,""))</f>
        <v>1</v>
      </c>
      <c r="K83" s="32">
        <f t="shared" si="5"/>
        <v>370</v>
      </c>
      <c r="L83" s="32" t="str">
        <f t="shared" si="6"/>
        <v>HV</v>
      </c>
      <c r="M83" s="32">
        <f t="shared" si="7"/>
        <v>136900</v>
      </c>
      <c r="N83" s="4">
        <v>1</v>
      </c>
      <c r="O83" s="4">
        <v>0</v>
      </c>
      <c r="P83" s="4">
        <v>0</v>
      </c>
      <c r="Q83" s="4">
        <v>0</v>
      </c>
      <c r="R83" s="58">
        <v>0</v>
      </c>
      <c r="S83" s="58">
        <v>0</v>
      </c>
      <c r="T83" s="58">
        <v>0</v>
      </c>
      <c r="U83" s="5">
        <v>0</v>
      </c>
      <c r="V83" s="4">
        <v>0</v>
      </c>
      <c r="AG83" t="s">
        <v>139</v>
      </c>
      <c r="AM83" s="1" t="str">
        <f t="shared" si="4"/>
        <v>81_C0021_0939.jpg</v>
      </c>
    </row>
    <row r="84" spans="1:39" x14ac:dyDescent="0.35">
      <c r="A84">
        <v>80</v>
      </c>
      <c r="B84">
        <v>81</v>
      </c>
      <c r="C84">
        <v>146.82824184200001</v>
      </c>
      <c r="D84">
        <v>-19.174776124999902</v>
      </c>
      <c r="F84" s="64" t="s">
        <v>4009</v>
      </c>
      <c r="G84" s="64"/>
      <c r="H84" s="64"/>
      <c r="I84" s="64">
        <v>0</v>
      </c>
      <c r="J84" s="32" t="str">
        <f>IF(AND(I84=1,OR(I83=0,I83="")),MAX($J$4:$J83)+1,IF(AND(I84=1,I83=1),J83,""))</f>
        <v/>
      </c>
      <c r="K84" s="32" t="str">
        <f t="shared" si="5"/>
        <v/>
      </c>
      <c r="L84" s="32" t="str">
        <f t="shared" si="6"/>
        <v/>
      </c>
      <c r="M84" s="32" t="str">
        <f t="shared" si="7"/>
        <v/>
      </c>
      <c r="N84" s="4">
        <v>2</v>
      </c>
      <c r="O84" s="4">
        <v>0</v>
      </c>
      <c r="P84" s="4">
        <v>1</v>
      </c>
      <c r="Q84" s="4">
        <v>0</v>
      </c>
      <c r="R84" s="58">
        <v>0</v>
      </c>
      <c r="S84" s="58">
        <v>0</v>
      </c>
      <c r="T84" s="58">
        <v>0</v>
      </c>
      <c r="U84" s="5">
        <v>0</v>
      </c>
      <c r="V84" s="4">
        <v>0</v>
      </c>
      <c r="AG84" t="s">
        <v>140</v>
      </c>
      <c r="AM84" s="1" t="str">
        <f t="shared" si="4"/>
        <v>82_C0021_0912.jpg</v>
      </c>
    </row>
    <row r="85" spans="1:39" x14ac:dyDescent="0.35">
      <c r="A85">
        <v>81</v>
      </c>
      <c r="B85">
        <v>82</v>
      </c>
      <c r="C85">
        <v>146.82817209699999</v>
      </c>
      <c r="D85">
        <v>-19.17472265</v>
      </c>
      <c r="F85" s="64" t="s">
        <v>4010</v>
      </c>
      <c r="G85" s="64"/>
      <c r="H85" s="64"/>
      <c r="I85" s="64">
        <v>0</v>
      </c>
      <c r="J85" s="32" t="str">
        <f>IF(AND(I85=1,OR(I84=0,I84="")),MAX($J$4:$J84)+1,IF(AND(I85=1,I84=1),J84,""))</f>
        <v/>
      </c>
      <c r="K85" s="32" t="str">
        <f t="shared" si="5"/>
        <v/>
      </c>
      <c r="L85" s="32" t="str">
        <f t="shared" si="6"/>
        <v/>
      </c>
      <c r="M85" s="32" t="str">
        <f t="shared" si="7"/>
        <v/>
      </c>
      <c r="N85" s="4">
        <v>2</v>
      </c>
      <c r="O85" s="4">
        <v>0</v>
      </c>
      <c r="P85" s="4">
        <v>1</v>
      </c>
      <c r="Q85" s="4">
        <v>0</v>
      </c>
      <c r="R85" s="58">
        <v>0</v>
      </c>
      <c r="S85" s="58">
        <v>0</v>
      </c>
      <c r="T85" s="58">
        <v>0</v>
      </c>
      <c r="U85" s="5">
        <v>0</v>
      </c>
      <c r="V85" s="4">
        <v>0</v>
      </c>
      <c r="AG85" t="s">
        <v>141</v>
      </c>
      <c r="AM85" s="1" t="str">
        <f t="shared" si="4"/>
        <v>83_C0021_0911.jpg</v>
      </c>
    </row>
    <row r="86" spans="1:39" x14ac:dyDescent="0.35">
      <c r="A86">
        <v>82</v>
      </c>
      <c r="B86">
        <v>83</v>
      </c>
      <c r="C86">
        <v>146.82810235100001</v>
      </c>
      <c r="D86">
        <v>-19.174669175999998</v>
      </c>
      <c r="F86" s="64" t="s">
        <v>4011</v>
      </c>
      <c r="G86" s="64"/>
      <c r="H86" s="64"/>
      <c r="I86" s="64">
        <v>0</v>
      </c>
      <c r="J86" s="32" t="str">
        <f>IF(AND(I86=1,OR(I85=0,I85="")),MAX($J$4:$J85)+1,IF(AND(I86=1,I85=1),J85,""))</f>
        <v/>
      </c>
      <c r="K86" s="32" t="str">
        <f t="shared" si="5"/>
        <v/>
      </c>
      <c r="L86" s="32" t="str">
        <f t="shared" si="6"/>
        <v/>
      </c>
      <c r="M86" s="32" t="str">
        <f t="shared" si="7"/>
        <v/>
      </c>
      <c r="N86" s="4">
        <v>2</v>
      </c>
      <c r="O86" s="4">
        <v>0</v>
      </c>
      <c r="P86" s="4">
        <v>1</v>
      </c>
      <c r="Q86" s="4">
        <v>0</v>
      </c>
      <c r="R86" s="58">
        <v>0</v>
      </c>
      <c r="S86" s="58">
        <v>0</v>
      </c>
      <c r="T86" s="58">
        <v>0</v>
      </c>
      <c r="U86" s="5">
        <v>0</v>
      </c>
      <c r="V86" s="4">
        <v>0</v>
      </c>
      <c r="AG86" t="s">
        <v>142</v>
      </c>
      <c r="AM86" s="1" t="str">
        <f t="shared" si="4"/>
        <v>84_C0021_0906.jpg</v>
      </c>
    </row>
    <row r="87" spans="1:39" x14ac:dyDescent="0.35">
      <c r="A87">
        <v>83</v>
      </c>
      <c r="B87">
        <v>84</v>
      </c>
      <c r="C87">
        <v>146.82803303700001</v>
      </c>
      <c r="D87">
        <v>-19.174615207999999</v>
      </c>
      <c r="F87" s="64" t="s">
        <v>4012</v>
      </c>
      <c r="G87" s="64"/>
      <c r="H87" s="64"/>
      <c r="I87" s="64">
        <v>1</v>
      </c>
      <c r="J87" s="32">
        <f>IF(AND(I87=1,OR(I86=0,I86="")),MAX($J$4:$J86)+1,IF(AND(I87=1,I86=1),J86,""))</f>
        <v>2</v>
      </c>
      <c r="K87" s="32">
        <f t="shared" si="5"/>
        <v>210</v>
      </c>
      <c r="L87" s="32" t="str">
        <f t="shared" si="6"/>
        <v>HV</v>
      </c>
      <c r="M87" s="32">
        <f t="shared" si="7"/>
        <v>44100</v>
      </c>
      <c r="N87" s="4">
        <v>1</v>
      </c>
      <c r="O87" s="4">
        <v>0</v>
      </c>
      <c r="P87" s="4">
        <v>1</v>
      </c>
      <c r="Q87" s="4">
        <v>0</v>
      </c>
      <c r="R87" s="58">
        <v>0</v>
      </c>
      <c r="S87" s="58">
        <v>0</v>
      </c>
      <c r="T87" s="58">
        <v>0</v>
      </c>
      <c r="U87" s="5">
        <v>0</v>
      </c>
      <c r="V87" s="4">
        <v>0</v>
      </c>
      <c r="AG87" t="s">
        <v>143</v>
      </c>
      <c r="AM87" s="1" t="str">
        <f t="shared" si="4"/>
        <v>85_C0021_0902.jpg</v>
      </c>
    </row>
    <row r="88" spans="1:39" x14ac:dyDescent="0.35">
      <c r="A88">
        <v>84</v>
      </c>
      <c r="B88">
        <v>85</v>
      </c>
      <c r="C88">
        <v>146.82795825900001</v>
      </c>
      <c r="D88">
        <v>-19.174568531999999</v>
      </c>
      <c r="E88">
        <v>50</v>
      </c>
      <c r="F88" s="64" t="s">
        <v>4013</v>
      </c>
      <c r="G88" s="64"/>
      <c r="H88" s="64"/>
      <c r="I88" s="64">
        <v>1</v>
      </c>
      <c r="J88" s="32">
        <f>IF(AND(I88=1,OR(I87=0,I87="")),MAX($J$4:$J87)+1,IF(AND(I88=1,I87=1),J87,""))</f>
        <v>2</v>
      </c>
      <c r="K88" s="32">
        <f t="shared" si="5"/>
        <v>210</v>
      </c>
      <c r="L88" s="32" t="str">
        <f t="shared" si="6"/>
        <v>HV</v>
      </c>
      <c r="M88" s="32">
        <f t="shared" si="7"/>
        <v>44100</v>
      </c>
      <c r="N88" s="4">
        <v>1</v>
      </c>
      <c r="O88" s="4">
        <v>0</v>
      </c>
      <c r="P88" s="4">
        <v>0</v>
      </c>
      <c r="Q88" s="4">
        <v>0</v>
      </c>
      <c r="R88" s="58">
        <v>0</v>
      </c>
      <c r="S88" s="58">
        <v>0</v>
      </c>
      <c r="T88" s="58">
        <v>0</v>
      </c>
      <c r="U88" s="5">
        <v>0</v>
      </c>
      <c r="V88" s="4">
        <v>0</v>
      </c>
      <c r="AG88" t="s">
        <v>144</v>
      </c>
      <c r="AM88" s="1" t="str">
        <f t="shared" si="4"/>
        <v>86_C0021_0899.jpg</v>
      </c>
    </row>
    <row r="89" spans="1:39" x14ac:dyDescent="0.35">
      <c r="A89">
        <v>85</v>
      </c>
      <c r="B89">
        <v>86</v>
      </c>
      <c r="C89">
        <v>146.82788140400001</v>
      </c>
      <c r="D89">
        <v>-19.174524602999998</v>
      </c>
      <c r="F89" s="64" t="s">
        <v>4014</v>
      </c>
      <c r="G89" s="64"/>
      <c r="H89" s="64"/>
      <c r="I89" s="64">
        <v>1</v>
      </c>
      <c r="J89" s="32">
        <f>IF(AND(I89=1,OR(I88=0,I88="")),MAX($J$4:$J88)+1,IF(AND(I89=1,I88=1),J88,""))</f>
        <v>2</v>
      </c>
      <c r="K89" s="32">
        <f t="shared" si="5"/>
        <v>210</v>
      </c>
      <c r="L89" s="32" t="str">
        <f t="shared" si="6"/>
        <v>HV</v>
      </c>
      <c r="M89" s="32">
        <f t="shared" si="7"/>
        <v>44100</v>
      </c>
      <c r="N89" s="4">
        <v>1</v>
      </c>
      <c r="O89" s="4">
        <v>0</v>
      </c>
      <c r="P89" s="4">
        <v>0</v>
      </c>
      <c r="Q89" s="4">
        <v>0</v>
      </c>
      <c r="R89" s="58">
        <v>0</v>
      </c>
      <c r="S89" s="58">
        <v>0</v>
      </c>
      <c r="T89" s="58">
        <v>0</v>
      </c>
      <c r="U89" s="5">
        <v>0</v>
      </c>
      <c r="V89" s="4">
        <v>0</v>
      </c>
      <c r="AG89" t="s">
        <v>145</v>
      </c>
      <c r="AM89" s="1" t="str">
        <f t="shared" si="4"/>
        <v>87_C0021_0897.jpg</v>
      </c>
    </row>
    <row r="90" spans="1:39" x14ac:dyDescent="0.35">
      <c r="A90">
        <v>86</v>
      </c>
      <c r="B90">
        <v>87</v>
      </c>
      <c r="C90">
        <v>146.82780454900001</v>
      </c>
      <c r="D90">
        <v>-19.174480674999899</v>
      </c>
      <c r="F90" s="64" t="s">
        <v>4015</v>
      </c>
      <c r="G90" s="64"/>
      <c r="H90" s="64"/>
      <c r="I90" s="64">
        <v>1</v>
      </c>
      <c r="J90" s="32">
        <f>IF(AND(I90=1,OR(I89=0,I89="")),MAX($J$4:$J89)+1,IF(AND(I90=1,I89=1),J89,""))</f>
        <v>2</v>
      </c>
      <c r="K90" s="32">
        <f t="shared" si="5"/>
        <v>210</v>
      </c>
      <c r="L90" s="32" t="str">
        <f t="shared" si="6"/>
        <v>HV</v>
      </c>
      <c r="M90" s="32">
        <f t="shared" si="7"/>
        <v>44100</v>
      </c>
      <c r="N90" s="4">
        <v>1</v>
      </c>
      <c r="O90" s="4">
        <v>0</v>
      </c>
      <c r="P90" s="4">
        <v>0</v>
      </c>
      <c r="Q90" s="4">
        <v>0</v>
      </c>
      <c r="R90" s="58">
        <v>0</v>
      </c>
      <c r="S90" s="58">
        <v>0</v>
      </c>
      <c r="T90" s="58">
        <v>0</v>
      </c>
      <c r="U90" s="5">
        <v>0</v>
      </c>
      <c r="V90" s="4">
        <v>0</v>
      </c>
      <c r="AG90" t="s">
        <v>146</v>
      </c>
      <c r="AM90" s="1" t="str">
        <f t="shared" si="4"/>
        <v>88_C0021_0895.jpg</v>
      </c>
    </row>
    <row r="91" spans="1:39" x14ac:dyDescent="0.35">
      <c r="A91">
        <v>87</v>
      </c>
      <c r="B91">
        <v>88</v>
      </c>
      <c r="C91">
        <v>146.827744669</v>
      </c>
      <c r="D91">
        <v>-19.174418527999901</v>
      </c>
      <c r="F91" s="64" t="s">
        <v>4016</v>
      </c>
      <c r="G91" s="64"/>
      <c r="H91" s="64"/>
      <c r="I91" s="64">
        <v>1</v>
      </c>
      <c r="J91" s="32">
        <f>IF(AND(I91=1,OR(I90=0,I90="")),MAX($J$4:$J90)+1,IF(AND(I91=1,I90=1),J90,""))</f>
        <v>2</v>
      </c>
      <c r="K91" s="32">
        <f t="shared" si="5"/>
        <v>210</v>
      </c>
      <c r="L91" s="32" t="str">
        <f t="shared" si="6"/>
        <v>HV</v>
      </c>
      <c r="M91" s="32">
        <f t="shared" si="7"/>
        <v>44100</v>
      </c>
      <c r="N91" s="4">
        <v>1</v>
      </c>
      <c r="O91" s="4">
        <v>0</v>
      </c>
      <c r="P91" s="4">
        <v>0</v>
      </c>
      <c r="Q91" s="4">
        <v>0</v>
      </c>
      <c r="R91" s="58">
        <v>0</v>
      </c>
      <c r="S91" s="58">
        <v>0</v>
      </c>
      <c r="T91" s="58">
        <v>0</v>
      </c>
      <c r="U91" s="5">
        <v>0</v>
      </c>
      <c r="V91" s="4">
        <v>0</v>
      </c>
      <c r="AG91" t="s">
        <v>147</v>
      </c>
      <c r="AM91" s="1" t="str">
        <f t="shared" si="4"/>
        <v>89_C0021_0890.jpg</v>
      </c>
    </row>
    <row r="92" spans="1:39" x14ac:dyDescent="0.35">
      <c r="A92">
        <v>88</v>
      </c>
      <c r="B92">
        <v>89</v>
      </c>
      <c r="C92">
        <v>146.82768876899999</v>
      </c>
      <c r="D92">
        <v>-19.174352108999901</v>
      </c>
      <c r="F92" s="64" t="s">
        <v>4017</v>
      </c>
      <c r="G92" s="64"/>
      <c r="H92" s="64"/>
      <c r="I92" s="64">
        <v>1</v>
      </c>
      <c r="J92" s="32">
        <f>IF(AND(I92=1,OR(I91=0,I91="")),MAX($J$4:$J91)+1,IF(AND(I92=1,I91=1),J91,""))</f>
        <v>2</v>
      </c>
      <c r="K92" s="32">
        <f t="shared" si="5"/>
        <v>210</v>
      </c>
      <c r="L92" s="32" t="str">
        <f t="shared" si="6"/>
        <v>HV</v>
      </c>
      <c r="M92" s="32">
        <f t="shared" si="7"/>
        <v>44100</v>
      </c>
      <c r="N92" s="4">
        <v>1</v>
      </c>
      <c r="O92" s="4">
        <v>0</v>
      </c>
      <c r="P92" s="4">
        <v>0</v>
      </c>
      <c r="Q92" s="4">
        <v>0</v>
      </c>
      <c r="R92" s="58">
        <v>0</v>
      </c>
      <c r="S92" s="58">
        <v>0</v>
      </c>
      <c r="T92" s="58">
        <v>0</v>
      </c>
      <c r="U92" s="5">
        <v>0</v>
      </c>
      <c r="V92" s="4">
        <v>0</v>
      </c>
      <c r="AG92" t="s">
        <v>148</v>
      </c>
      <c r="AM92" s="1" t="str">
        <f t="shared" si="4"/>
        <v>90_C0021_0885.jpg</v>
      </c>
    </row>
    <row r="93" spans="1:39" x14ac:dyDescent="0.35">
      <c r="A93">
        <v>89</v>
      </c>
      <c r="B93">
        <v>90</v>
      </c>
      <c r="C93">
        <v>146.827624786</v>
      </c>
      <c r="D93">
        <v>-19.174293142</v>
      </c>
      <c r="E93">
        <v>50</v>
      </c>
      <c r="F93" s="64" t="s">
        <v>4018</v>
      </c>
      <c r="G93" s="64"/>
      <c r="H93" s="64"/>
      <c r="I93" s="64">
        <v>1</v>
      </c>
      <c r="J93" s="32">
        <f>IF(AND(I93=1,OR(I92=0,I92="")),MAX($J$4:$J92)+1,IF(AND(I93=1,I92=1),J92,""))</f>
        <v>2</v>
      </c>
      <c r="K93" s="32">
        <f t="shared" si="5"/>
        <v>210</v>
      </c>
      <c r="L93" s="32" t="str">
        <f t="shared" si="6"/>
        <v>HV</v>
      </c>
      <c r="M93" s="32">
        <f t="shared" si="7"/>
        <v>44100</v>
      </c>
      <c r="N93" s="4">
        <v>1</v>
      </c>
      <c r="O93" s="4">
        <v>0</v>
      </c>
      <c r="P93" s="4">
        <v>0</v>
      </c>
      <c r="Q93" s="4">
        <v>0</v>
      </c>
      <c r="R93" s="58">
        <v>0</v>
      </c>
      <c r="S93" s="58">
        <v>0</v>
      </c>
      <c r="T93" s="58">
        <v>0</v>
      </c>
      <c r="U93" s="5">
        <v>0</v>
      </c>
      <c r="V93" s="4">
        <v>0</v>
      </c>
      <c r="AG93" t="s">
        <v>149</v>
      </c>
      <c r="AM93" s="1" t="str">
        <f t="shared" si="4"/>
        <v>91_C0021_0881.jpg</v>
      </c>
    </row>
    <row r="94" spans="1:39" x14ac:dyDescent="0.35">
      <c r="A94">
        <v>90</v>
      </c>
      <c r="B94">
        <v>91</v>
      </c>
      <c r="C94">
        <v>146.82758074200001</v>
      </c>
      <c r="D94">
        <v>-19.174223753</v>
      </c>
      <c r="F94" s="64" t="s">
        <v>4019</v>
      </c>
      <c r="G94" s="64"/>
      <c r="H94" s="64"/>
      <c r="I94" s="64">
        <v>1</v>
      </c>
      <c r="J94" s="32">
        <f>IF(AND(I94=1,OR(I93=0,I93="")),MAX($J$4:$J93)+1,IF(AND(I94=1,I93=1),J93,""))</f>
        <v>2</v>
      </c>
      <c r="K94" s="32">
        <f t="shared" si="5"/>
        <v>210</v>
      </c>
      <c r="L94" s="32" t="str">
        <f t="shared" si="6"/>
        <v>HV</v>
      </c>
      <c r="M94" s="32">
        <f t="shared" si="7"/>
        <v>44100</v>
      </c>
      <c r="N94" s="4">
        <v>1</v>
      </c>
      <c r="O94" s="4">
        <v>0</v>
      </c>
      <c r="P94" s="4">
        <v>0</v>
      </c>
      <c r="Q94" s="4">
        <v>0</v>
      </c>
      <c r="R94" s="58">
        <v>0</v>
      </c>
      <c r="S94" s="58">
        <v>0</v>
      </c>
      <c r="T94" s="58">
        <v>0</v>
      </c>
      <c r="U94" s="5">
        <v>0</v>
      </c>
      <c r="V94" s="4">
        <v>0</v>
      </c>
      <c r="AG94" t="s">
        <v>150</v>
      </c>
      <c r="AM94" s="1" t="str">
        <f t="shared" si="4"/>
        <v>92_C0021_0876.jpg</v>
      </c>
    </row>
    <row r="95" spans="1:39" x14ac:dyDescent="0.35">
      <c r="A95">
        <v>91</v>
      </c>
      <c r="B95">
        <v>92</v>
      </c>
      <c r="C95">
        <v>146.827565819</v>
      </c>
      <c r="D95">
        <v>-19.174145500000002</v>
      </c>
      <c r="F95" s="64" t="s">
        <v>4020</v>
      </c>
      <c r="G95" s="64"/>
      <c r="H95" s="64"/>
      <c r="I95" s="64">
        <v>1</v>
      </c>
      <c r="J95" s="32">
        <f>IF(AND(I95=1,OR(I94=0,I94="")),MAX($J$4:$J94)+1,IF(AND(I95=1,I94=1),J94,""))</f>
        <v>2</v>
      </c>
      <c r="K95" s="32">
        <f t="shared" si="5"/>
        <v>210</v>
      </c>
      <c r="L95" s="32" t="str">
        <f t="shared" si="6"/>
        <v>HV</v>
      </c>
      <c r="M95" s="32">
        <f t="shared" si="7"/>
        <v>44100</v>
      </c>
      <c r="N95" s="4">
        <v>1</v>
      </c>
      <c r="O95" s="4">
        <v>0</v>
      </c>
      <c r="P95" s="4">
        <v>0</v>
      </c>
      <c r="Q95" s="4">
        <v>0</v>
      </c>
      <c r="R95" s="58">
        <v>0</v>
      </c>
      <c r="S95" s="58">
        <v>0</v>
      </c>
      <c r="T95" s="58">
        <v>0</v>
      </c>
      <c r="U95" s="5">
        <v>0</v>
      </c>
      <c r="V95" s="4">
        <v>0</v>
      </c>
      <c r="AG95" t="s">
        <v>151</v>
      </c>
      <c r="AM95" s="1" t="str">
        <f t="shared" si="4"/>
        <v>93_C0021_0873.jpg</v>
      </c>
    </row>
    <row r="96" spans="1:39" x14ac:dyDescent="0.35">
      <c r="A96">
        <v>92</v>
      </c>
      <c r="B96">
        <v>93</v>
      </c>
      <c r="C96">
        <v>146.82752087099999</v>
      </c>
      <c r="D96">
        <v>-19.174083674999999</v>
      </c>
      <c r="F96" s="64" t="s">
        <v>4021</v>
      </c>
      <c r="G96" s="64"/>
      <c r="H96" s="64"/>
      <c r="I96" s="64">
        <v>1</v>
      </c>
      <c r="J96" s="32">
        <f>IF(AND(I96=1,OR(I95=0,I95="")),MAX($J$4:$J95)+1,IF(AND(I96=1,I95=1),J95,""))</f>
        <v>2</v>
      </c>
      <c r="K96" s="32">
        <f t="shared" si="5"/>
        <v>210</v>
      </c>
      <c r="L96" s="32" t="str">
        <f t="shared" si="6"/>
        <v>HV</v>
      </c>
      <c r="M96" s="32">
        <f t="shared" si="7"/>
        <v>44100</v>
      </c>
      <c r="N96" s="4">
        <v>1</v>
      </c>
      <c r="O96" s="4">
        <v>0</v>
      </c>
      <c r="P96" s="4">
        <v>0</v>
      </c>
      <c r="Q96" s="4">
        <v>0</v>
      </c>
      <c r="R96" s="58">
        <v>0</v>
      </c>
      <c r="S96" s="58">
        <v>0</v>
      </c>
      <c r="T96" s="58">
        <v>0</v>
      </c>
      <c r="U96" s="5">
        <v>0</v>
      </c>
      <c r="V96" s="4">
        <v>0</v>
      </c>
      <c r="AG96" t="s">
        <v>152</v>
      </c>
      <c r="AM96" s="1" t="str">
        <f t="shared" si="4"/>
        <v>94_C0021_0868.jpg</v>
      </c>
    </row>
    <row r="97" spans="1:39" x14ac:dyDescent="0.35">
      <c r="A97">
        <v>93</v>
      </c>
      <c r="B97">
        <v>94</v>
      </c>
      <c r="C97">
        <v>146.82743606599999</v>
      </c>
      <c r="D97">
        <v>-19.174055692</v>
      </c>
      <c r="F97" s="64" t="s">
        <v>4022</v>
      </c>
      <c r="G97" s="64"/>
      <c r="H97" s="64"/>
      <c r="I97" s="64">
        <v>1</v>
      </c>
      <c r="J97" s="32">
        <f>IF(AND(I97=1,OR(I96=0,I96="")),MAX($J$4:$J96)+1,IF(AND(I97=1,I96=1),J96,""))</f>
        <v>2</v>
      </c>
      <c r="K97" s="32">
        <f t="shared" si="5"/>
        <v>210</v>
      </c>
      <c r="L97" s="32" t="str">
        <f t="shared" si="6"/>
        <v>HV</v>
      </c>
      <c r="M97" s="32">
        <f t="shared" si="7"/>
        <v>44100</v>
      </c>
      <c r="N97" s="4">
        <v>1</v>
      </c>
      <c r="O97" s="4">
        <v>0</v>
      </c>
      <c r="P97" s="4">
        <v>0</v>
      </c>
      <c r="Q97" s="4">
        <v>0</v>
      </c>
      <c r="R97" s="58">
        <v>0</v>
      </c>
      <c r="S97" s="58">
        <v>0</v>
      </c>
      <c r="T97" s="58">
        <v>0</v>
      </c>
      <c r="U97" s="5">
        <v>0</v>
      </c>
      <c r="V97" s="4">
        <v>0</v>
      </c>
      <c r="AG97" t="s">
        <v>153</v>
      </c>
      <c r="AM97" s="1" t="str">
        <f t="shared" ref="AM97:AM128" si="8">HYPERLINK("E:\CAFNEC_GBRF\2023\JohnstoneRiver\Frames_for_Analysis\" &amp; F98, F98)</f>
        <v>95_C0021_0864.jpg</v>
      </c>
    </row>
    <row r="98" spans="1:39" x14ac:dyDescent="0.35">
      <c r="A98">
        <v>94</v>
      </c>
      <c r="B98">
        <v>95</v>
      </c>
      <c r="C98">
        <v>146.827351292</v>
      </c>
      <c r="D98">
        <v>-19.174027624000001</v>
      </c>
      <c r="E98">
        <v>50</v>
      </c>
      <c r="F98" s="64" t="s">
        <v>4023</v>
      </c>
      <c r="G98" s="64"/>
      <c r="H98" s="64"/>
      <c r="I98" s="64">
        <v>1</v>
      </c>
      <c r="J98" s="32">
        <f>IF(AND(I98=1,OR(I97=0,I97="")),MAX($J$4:$J97)+1,IF(AND(I98=1,I97=1),J97,""))</f>
        <v>2</v>
      </c>
      <c r="K98" s="32">
        <f t="shared" si="5"/>
        <v>210</v>
      </c>
      <c r="L98" s="32" t="str">
        <f t="shared" si="6"/>
        <v>HV</v>
      </c>
      <c r="M98" s="32">
        <f t="shared" si="7"/>
        <v>44100</v>
      </c>
      <c r="N98" s="4">
        <v>1</v>
      </c>
      <c r="O98" s="4">
        <v>0</v>
      </c>
      <c r="P98" s="4">
        <v>0</v>
      </c>
      <c r="Q98" s="4">
        <v>0</v>
      </c>
      <c r="R98" s="58">
        <v>0</v>
      </c>
      <c r="S98" s="58">
        <v>0</v>
      </c>
      <c r="T98" s="58">
        <v>0</v>
      </c>
      <c r="U98" s="5">
        <v>0</v>
      </c>
      <c r="V98" s="4">
        <v>0</v>
      </c>
      <c r="AG98" t="s">
        <v>154</v>
      </c>
      <c r="AM98" s="1" t="str">
        <f t="shared" si="8"/>
        <v>96_C0021_0860.jpg</v>
      </c>
    </row>
    <row r="99" spans="1:39" x14ac:dyDescent="0.35">
      <c r="A99">
        <v>95</v>
      </c>
      <c r="B99">
        <v>96</v>
      </c>
      <c r="C99">
        <v>146.827266589</v>
      </c>
      <c r="D99">
        <v>-19.173999363999901</v>
      </c>
      <c r="F99" s="64" t="s">
        <v>4024</v>
      </c>
      <c r="G99" s="64"/>
      <c r="H99" s="64"/>
      <c r="I99" s="64">
        <v>1</v>
      </c>
      <c r="J99" s="32">
        <f>IF(AND(I99=1,OR(I98=0,I98="")),MAX($J$4:$J98)+1,IF(AND(I99=1,I98=1),J98,""))</f>
        <v>2</v>
      </c>
      <c r="K99" s="32">
        <f t="shared" si="5"/>
        <v>210</v>
      </c>
      <c r="L99" s="32" t="str">
        <f t="shared" si="6"/>
        <v>HV</v>
      </c>
      <c r="M99" s="32">
        <f t="shared" si="7"/>
        <v>44100</v>
      </c>
      <c r="N99" s="4">
        <v>1</v>
      </c>
      <c r="O99" s="4">
        <v>0</v>
      </c>
      <c r="P99" s="4">
        <v>0</v>
      </c>
      <c r="Q99" s="4">
        <v>0</v>
      </c>
      <c r="R99" s="58">
        <v>0</v>
      </c>
      <c r="S99" s="58">
        <v>0</v>
      </c>
      <c r="T99" s="58">
        <v>0</v>
      </c>
      <c r="U99" s="5">
        <v>0</v>
      </c>
      <c r="V99" s="4">
        <v>0</v>
      </c>
      <c r="AG99" t="s">
        <v>155</v>
      </c>
      <c r="AM99" s="1" t="str">
        <f t="shared" si="8"/>
        <v>97_C0021_0857.jpg</v>
      </c>
    </row>
    <row r="100" spans="1:39" x14ac:dyDescent="0.35">
      <c r="A100">
        <v>96</v>
      </c>
      <c r="B100">
        <v>97</v>
      </c>
      <c r="C100">
        <v>146.82717827600001</v>
      </c>
      <c r="D100">
        <v>-19.173989340999999</v>
      </c>
      <c r="F100" s="64" t="s">
        <v>4025</v>
      </c>
      <c r="G100" s="64"/>
      <c r="H100" s="64"/>
      <c r="I100" s="64">
        <v>1</v>
      </c>
      <c r="J100" s="32">
        <f>IF(AND(I100=1,OR(I99=0,I99="")),MAX($J$4:$J99)+1,IF(AND(I100=1,I99=1),J99,""))</f>
        <v>2</v>
      </c>
      <c r="K100" s="32">
        <f t="shared" si="5"/>
        <v>210</v>
      </c>
      <c r="L100" s="32" t="str">
        <f t="shared" si="6"/>
        <v>HV</v>
      </c>
      <c r="M100" s="32">
        <f t="shared" si="7"/>
        <v>44100</v>
      </c>
      <c r="N100" s="4">
        <v>1</v>
      </c>
      <c r="O100" s="4">
        <v>0</v>
      </c>
      <c r="P100" s="4">
        <v>0</v>
      </c>
      <c r="Q100" s="4">
        <v>0</v>
      </c>
      <c r="R100" s="58">
        <v>0</v>
      </c>
      <c r="S100" s="58">
        <v>0</v>
      </c>
      <c r="T100" s="58">
        <v>0</v>
      </c>
      <c r="U100" s="5">
        <v>0</v>
      </c>
      <c r="V100" s="4">
        <v>0</v>
      </c>
      <c r="AG100" t="s">
        <v>77</v>
      </c>
      <c r="AM100" s="1" t="str">
        <f t="shared" si="8"/>
        <v>98_C0021_0849.jpg</v>
      </c>
    </row>
    <row r="101" spans="1:39" x14ac:dyDescent="0.35">
      <c r="A101">
        <v>97</v>
      </c>
      <c r="B101">
        <v>98</v>
      </c>
      <c r="C101">
        <v>146.827090029</v>
      </c>
      <c r="D101">
        <v>-19.173980147999899</v>
      </c>
      <c r="F101" s="64" t="s">
        <v>4026</v>
      </c>
      <c r="G101" s="64"/>
      <c r="H101" s="64"/>
      <c r="I101" s="64">
        <v>1</v>
      </c>
      <c r="J101" s="32">
        <f>IF(AND(I101=1,OR(I100=0,I100="")),MAX($J$4:$J100)+1,IF(AND(I101=1,I100=1),J100,""))</f>
        <v>2</v>
      </c>
      <c r="K101" s="32">
        <f t="shared" si="5"/>
        <v>210</v>
      </c>
      <c r="L101" s="32" t="str">
        <f t="shared" si="6"/>
        <v>HV</v>
      </c>
      <c r="M101" s="32">
        <f t="shared" si="7"/>
        <v>44100</v>
      </c>
      <c r="N101" s="4">
        <v>1</v>
      </c>
      <c r="O101" s="4">
        <v>0</v>
      </c>
      <c r="P101" s="4">
        <v>0</v>
      </c>
      <c r="Q101" s="4">
        <v>0</v>
      </c>
      <c r="R101" s="58">
        <v>0</v>
      </c>
      <c r="S101" s="58">
        <v>0</v>
      </c>
      <c r="T101" s="58">
        <v>0</v>
      </c>
      <c r="U101" s="5">
        <v>0</v>
      </c>
      <c r="V101" s="4">
        <v>0</v>
      </c>
      <c r="AG101" t="s">
        <v>77</v>
      </c>
      <c r="AM101" s="1" t="str">
        <f t="shared" si="8"/>
        <v>99_C0021_0845.jpg</v>
      </c>
    </row>
    <row r="102" spans="1:39" x14ac:dyDescent="0.35">
      <c r="A102">
        <v>98</v>
      </c>
      <c r="B102">
        <v>99</v>
      </c>
      <c r="C102">
        <v>146.82700738299999</v>
      </c>
      <c r="D102">
        <v>-19.173946896</v>
      </c>
      <c r="F102" s="64" t="s">
        <v>4027</v>
      </c>
      <c r="G102" s="64"/>
      <c r="H102" s="64"/>
      <c r="I102" s="64">
        <v>1</v>
      </c>
      <c r="J102" s="32">
        <f>IF(AND(I102=1,OR(I101=0,I101="")),MAX($J$4:$J101)+1,IF(AND(I102=1,I101=1),J101,""))</f>
        <v>2</v>
      </c>
      <c r="K102" s="32">
        <f t="shared" si="5"/>
        <v>210</v>
      </c>
      <c r="L102" s="32" t="str">
        <f t="shared" si="6"/>
        <v>HV</v>
      </c>
      <c r="M102" s="32">
        <f t="shared" si="7"/>
        <v>44100</v>
      </c>
      <c r="N102" s="4">
        <v>1</v>
      </c>
      <c r="O102" s="4">
        <v>0</v>
      </c>
      <c r="P102" s="4">
        <v>0</v>
      </c>
      <c r="Q102" s="4">
        <v>0</v>
      </c>
      <c r="R102" s="58">
        <v>0</v>
      </c>
      <c r="S102" s="58">
        <v>0</v>
      </c>
      <c r="T102" s="58">
        <v>0</v>
      </c>
      <c r="U102" s="5">
        <v>0</v>
      </c>
      <c r="V102" s="4">
        <v>0</v>
      </c>
      <c r="AG102" t="s">
        <v>77</v>
      </c>
      <c r="AM102" s="1" t="str">
        <f t="shared" si="8"/>
        <v>100_C0021_0842.jpg</v>
      </c>
    </row>
    <row r="103" spans="1:39" x14ac:dyDescent="0.35">
      <c r="A103">
        <v>99</v>
      </c>
      <c r="B103">
        <v>100</v>
      </c>
      <c r="C103">
        <v>146.826959499</v>
      </c>
      <c r="D103">
        <v>-19.173881983999902</v>
      </c>
      <c r="E103">
        <v>50</v>
      </c>
      <c r="F103" s="64" t="s">
        <v>4028</v>
      </c>
      <c r="G103" s="64"/>
      <c r="H103" s="64"/>
      <c r="I103" s="64">
        <v>1</v>
      </c>
      <c r="J103" s="32">
        <f>IF(AND(I103=1,OR(I102=0,I102="")),MAX($J$4:$J102)+1,IF(AND(I103=1,I102=1),J102,""))</f>
        <v>2</v>
      </c>
      <c r="K103" s="32">
        <f t="shared" si="5"/>
        <v>210</v>
      </c>
      <c r="L103" s="32" t="str">
        <f t="shared" si="6"/>
        <v>HV</v>
      </c>
      <c r="M103" s="32">
        <f t="shared" si="7"/>
        <v>44100</v>
      </c>
      <c r="N103" s="4">
        <v>1</v>
      </c>
      <c r="O103" s="4">
        <v>0</v>
      </c>
      <c r="P103" s="4">
        <v>0</v>
      </c>
      <c r="Q103" s="4">
        <v>0</v>
      </c>
      <c r="R103" s="58">
        <v>0</v>
      </c>
      <c r="S103" s="58">
        <v>0</v>
      </c>
      <c r="T103" s="58">
        <v>0</v>
      </c>
      <c r="U103" s="5">
        <v>0</v>
      </c>
      <c r="V103" s="4">
        <v>0</v>
      </c>
      <c r="AG103" t="s">
        <v>77</v>
      </c>
      <c r="AM103" s="1" t="str">
        <f t="shared" si="8"/>
        <v>101_C0021_0836.jpg</v>
      </c>
    </row>
    <row r="104" spans="1:39" x14ac:dyDescent="0.35">
      <c r="A104">
        <v>100</v>
      </c>
      <c r="B104">
        <v>101</v>
      </c>
      <c r="C104">
        <v>146.826906826</v>
      </c>
      <c r="D104">
        <v>-19.1738202669999</v>
      </c>
      <c r="F104" s="64" t="s">
        <v>4029</v>
      </c>
      <c r="G104" s="64"/>
      <c r="H104" s="64"/>
      <c r="I104" s="64">
        <v>1</v>
      </c>
      <c r="J104" s="32">
        <f>IF(AND(I104=1,OR(I103=0,I103="")),MAX($J$4:$J103)+1,IF(AND(I104=1,I103=1),J103,""))</f>
        <v>2</v>
      </c>
      <c r="K104" s="32">
        <f t="shared" si="5"/>
        <v>210</v>
      </c>
      <c r="L104" s="32" t="str">
        <f t="shared" si="6"/>
        <v>HV</v>
      </c>
      <c r="M104" s="32">
        <f t="shared" si="7"/>
        <v>44100</v>
      </c>
      <c r="N104" s="4">
        <v>1</v>
      </c>
      <c r="O104" s="4">
        <v>0</v>
      </c>
      <c r="P104" s="4">
        <v>0</v>
      </c>
      <c r="Q104" s="4">
        <v>0</v>
      </c>
      <c r="R104" s="58">
        <v>0</v>
      </c>
      <c r="S104" s="58">
        <v>0</v>
      </c>
      <c r="T104" s="58">
        <v>0</v>
      </c>
      <c r="U104" s="5">
        <v>0</v>
      </c>
      <c r="V104" s="4">
        <v>0</v>
      </c>
      <c r="AG104" t="s">
        <v>77</v>
      </c>
      <c r="AM104" s="1" t="str">
        <f t="shared" si="8"/>
        <v>102_C0021_0832.jpg</v>
      </c>
    </row>
    <row r="105" spans="1:39" x14ac:dyDescent="0.35">
      <c r="A105">
        <v>101</v>
      </c>
      <c r="B105">
        <v>102</v>
      </c>
      <c r="C105">
        <v>146.82682661499999</v>
      </c>
      <c r="D105">
        <v>-19.173782064000001</v>
      </c>
      <c r="F105" s="64" t="s">
        <v>4030</v>
      </c>
      <c r="G105" s="64"/>
      <c r="H105" s="64"/>
      <c r="I105" s="64">
        <v>1</v>
      </c>
      <c r="J105" s="32">
        <f>IF(AND(I105=1,OR(I104=0,I104="")),MAX($J$4:$J104)+1,IF(AND(I105=1,I104=1),J104,""))</f>
        <v>2</v>
      </c>
      <c r="K105" s="32">
        <f t="shared" si="5"/>
        <v>210</v>
      </c>
      <c r="L105" s="32" t="str">
        <f t="shared" si="6"/>
        <v>HV</v>
      </c>
      <c r="M105" s="32">
        <f t="shared" si="7"/>
        <v>44100</v>
      </c>
      <c r="N105" s="4">
        <v>1</v>
      </c>
      <c r="O105" s="4">
        <v>0</v>
      </c>
      <c r="P105" s="4">
        <v>0</v>
      </c>
      <c r="Q105" s="4">
        <v>0</v>
      </c>
      <c r="R105" s="58">
        <v>0</v>
      </c>
      <c r="S105" s="58">
        <v>0</v>
      </c>
      <c r="T105" s="58">
        <v>0</v>
      </c>
      <c r="U105" s="5">
        <v>0</v>
      </c>
      <c r="V105" s="4">
        <v>0</v>
      </c>
      <c r="AG105" t="s">
        <v>77</v>
      </c>
      <c r="AM105" s="1" t="str">
        <f t="shared" si="8"/>
        <v>103_C0021_0824.jpg</v>
      </c>
    </row>
    <row r="106" spans="1:39" x14ac:dyDescent="0.35">
      <c r="A106">
        <v>102</v>
      </c>
      <c r="B106">
        <v>103</v>
      </c>
      <c r="C106">
        <v>146.82674591899999</v>
      </c>
      <c r="D106">
        <v>-19.173744835000001</v>
      </c>
      <c r="F106" s="64" t="s">
        <v>4031</v>
      </c>
      <c r="G106" s="64"/>
      <c r="H106" s="64"/>
      <c r="I106" s="64">
        <v>1</v>
      </c>
      <c r="J106" s="32">
        <f>IF(AND(I106=1,OR(I105=0,I105="")),MAX($J$4:$J105)+1,IF(AND(I106=1,I105=1),J105,""))</f>
        <v>2</v>
      </c>
      <c r="K106" s="32">
        <f t="shared" si="5"/>
        <v>210</v>
      </c>
      <c r="L106" s="32" t="str">
        <f t="shared" si="6"/>
        <v>HV</v>
      </c>
      <c r="M106" s="32">
        <f t="shared" si="7"/>
        <v>44100</v>
      </c>
      <c r="N106" s="4">
        <v>1</v>
      </c>
      <c r="O106" s="4">
        <v>0</v>
      </c>
      <c r="P106" s="4">
        <v>0</v>
      </c>
      <c r="Q106" s="4">
        <v>0</v>
      </c>
      <c r="R106" s="58">
        <v>0</v>
      </c>
      <c r="S106" s="58">
        <v>0</v>
      </c>
      <c r="T106" s="58">
        <v>0</v>
      </c>
      <c r="U106" s="5">
        <v>0</v>
      </c>
      <c r="V106" s="4">
        <v>0</v>
      </c>
      <c r="AG106" t="s">
        <v>77</v>
      </c>
      <c r="AM106" s="1" t="str">
        <f t="shared" si="8"/>
        <v>104_C0021_0806.jpg</v>
      </c>
    </row>
    <row r="107" spans="1:39" x14ac:dyDescent="0.35">
      <c r="A107">
        <v>103</v>
      </c>
      <c r="B107">
        <v>104</v>
      </c>
      <c r="C107">
        <v>146.826663639</v>
      </c>
      <c r="D107">
        <v>-19.173710784000001</v>
      </c>
      <c r="F107" s="64" t="s">
        <v>4032</v>
      </c>
      <c r="G107" s="64"/>
      <c r="H107" s="64"/>
      <c r="I107" s="64">
        <v>1</v>
      </c>
      <c r="J107" s="32">
        <f>IF(AND(I107=1,OR(I106=0,I106="")),MAX($J$4:$J106)+1,IF(AND(I107=1,I106=1),J106,""))</f>
        <v>2</v>
      </c>
      <c r="K107" s="32">
        <f t="shared" si="5"/>
        <v>210</v>
      </c>
      <c r="L107" s="32" t="str">
        <f t="shared" si="6"/>
        <v>HV</v>
      </c>
      <c r="M107" s="32">
        <f t="shared" si="7"/>
        <v>44100</v>
      </c>
      <c r="N107" s="4">
        <v>1</v>
      </c>
      <c r="O107" s="4">
        <v>0</v>
      </c>
      <c r="P107" s="4">
        <v>0</v>
      </c>
      <c r="Q107" s="4">
        <v>0</v>
      </c>
      <c r="R107" s="58">
        <v>0</v>
      </c>
      <c r="S107" s="58">
        <v>0</v>
      </c>
      <c r="T107" s="58">
        <v>0</v>
      </c>
      <c r="U107" s="5">
        <v>0</v>
      </c>
      <c r="V107" s="4">
        <v>0</v>
      </c>
      <c r="AG107" t="s">
        <v>77</v>
      </c>
      <c r="AM107" s="1" t="str">
        <f t="shared" si="8"/>
        <v>105_C0021_0802.jpg</v>
      </c>
    </row>
    <row r="108" spans="1:39" x14ac:dyDescent="0.35">
      <c r="A108">
        <v>104</v>
      </c>
      <c r="B108">
        <v>105</v>
      </c>
      <c r="C108">
        <v>146.826581358</v>
      </c>
      <c r="D108">
        <v>-19.173676733000001</v>
      </c>
      <c r="E108">
        <v>50</v>
      </c>
      <c r="F108" s="64" t="s">
        <v>4033</v>
      </c>
      <c r="G108" s="64"/>
      <c r="H108" s="64"/>
      <c r="I108" s="64">
        <v>0</v>
      </c>
      <c r="J108" s="32" t="str">
        <f>IF(AND(I108=1,OR(I107=0,I107="")),MAX($J$4:$J107)+1,IF(AND(I108=1,I107=1),J107,""))</f>
        <v/>
      </c>
      <c r="K108" s="32" t="str">
        <f t="shared" si="5"/>
        <v/>
      </c>
      <c r="L108" s="32" t="str">
        <f t="shared" si="6"/>
        <v/>
      </c>
      <c r="M108" s="32" t="str">
        <f t="shared" si="7"/>
        <v/>
      </c>
      <c r="N108" s="4">
        <v>1</v>
      </c>
      <c r="O108" s="4">
        <v>0</v>
      </c>
      <c r="P108" s="4">
        <v>0</v>
      </c>
      <c r="Q108" s="4">
        <v>0</v>
      </c>
      <c r="R108" s="58">
        <v>0</v>
      </c>
      <c r="S108" s="58">
        <v>0</v>
      </c>
      <c r="T108" s="58">
        <v>0</v>
      </c>
      <c r="U108" s="5">
        <v>0</v>
      </c>
      <c r="V108" s="4">
        <v>0</v>
      </c>
      <c r="AG108" t="s">
        <v>77</v>
      </c>
      <c r="AM108" s="1" t="str">
        <f t="shared" si="8"/>
        <v>106_C0021_0799.jpg</v>
      </c>
    </row>
    <row r="109" spans="1:39" x14ac:dyDescent="0.35">
      <c r="A109">
        <v>105</v>
      </c>
      <c r="B109">
        <v>106</v>
      </c>
      <c r="C109">
        <v>146.82651315800001</v>
      </c>
      <c r="D109">
        <v>-19.173623876000001</v>
      </c>
      <c r="F109" s="64" t="s">
        <v>4034</v>
      </c>
      <c r="G109" s="64"/>
      <c r="H109" s="64"/>
      <c r="I109" s="64">
        <v>0</v>
      </c>
      <c r="J109" s="32" t="str">
        <f>IF(AND(I109=1,OR(I108=0,I108="")),MAX($J$4:$J108)+1,IF(AND(I109=1,I108=1),J108,""))</f>
        <v/>
      </c>
      <c r="K109" s="32" t="str">
        <f t="shared" si="5"/>
        <v/>
      </c>
      <c r="L109" s="32" t="str">
        <f t="shared" si="6"/>
        <v/>
      </c>
      <c r="M109" s="32" t="str">
        <f t="shared" si="7"/>
        <v/>
      </c>
      <c r="N109" s="4">
        <v>1</v>
      </c>
      <c r="O109" s="4">
        <v>0</v>
      </c>
      <c r="P109" s="4">
        <v>0</v>
      </c>
      <c r="Q109" s="4">
        <v>0</v>
      </c>
      <c r="R109" s="58">
        <v>0</v>
      </c>
      <c r="S109" s="58">
        <v>0</v>
      </c>
      <c r="T109" s="58">
        <v>0</v>
      </c>
      <c r="U109" s="5">
        <v>0</v>
      </c>
      <c r="V109" s="4">
        <v>0</v>
      </c>
      <c r="AG109" t="s">
        <v>77</v>
      </c>
      <c r="AM109" s="1" t="str">
        <f t="shared" si="8"/>
        <v>107_C0021_0797.jpg</v>
      </c>
    </row>
    <row r="110" spans="1:39" x14ac:dyDescent="0.35">
      <c r="A110">
        <v>106</v>
      </c>
      <c r="B110">
        <v>107</v>
      </c>
      <c r="C110">
        <v>146.82645099499999</v>
      </c>
      <c r="D110">
        <v>-19.173562803999999</v>
      </c>
      <c r="F110" s="64" t="s">
        <v>4035</v>
      </c>
      <c r="G110" s="64"/>
      <c r="H110" s="64"/>
      <c r="I110" s="64">
        <v>0</v>
      </c>
      <c r="J110" s="32" t="str">
        <f>IF(AND(I110=1,OR(I109=0,I109="")),MAX($J$4:$J109)+1,IF(AND(I110=1,I109=1),J109,""))</f>
        <v/>
      </c>
      <c r="K110" s="32" t="str">
        <f t="shared" si="5"/>
        <v/>
      </c>
      <c r="L110" s="32" t="str">
        <f t="shared" si="6"/>
        <v/>
      </c>
      <c r="M110" s="32" t="str">
        <f t="shared" si="7"/>
        <v/>
      </c>
      <c r="N110" s="4">
        <v>1</v>
      </c>
      <c r="O110" s="4">
        <v>0</v>
      </c>
      <c r="P110" s="4">
        <v>0</v>
      </c>
      <c r="Q110" s="4">
        <v>0</v>
      </c>
      <c r="R110" s="58">
        <v>0</v>
      </c>
      <c r="S110" s="58">
        <v>0</v>
      </c>
      <c r="T110" s="58">
        <v>0</v>
      </c>
      <c r="U110" s="5">
        <v>0</v>
      </c>
      <c r="V110" s="4">
        <v>0</v>
      </c>
      <c r="AG110" t="s">
        <v>77</v>
      </c>
      <c r="AM110" s="1" t="str">
        <f t="shared" si="8"/>
        <v>108_C0021_0792.jpg</v>
      </c>
    </row>
    <row r="111" spans="1:39" x14ac:dyDescent="0.35">
      <c r="A111">
        <v>107</v>
      </c>
      <c r="B111">
        <v>108</v>
      </c>
      <c r="C111">
        <v>146.826375404</v>
      </c>
      <c r="D111">
        <v>-19.173516960000001</v>
      </c>
      <c r="F111" s="64" t="s">
        <v>4036</v>
      </c>
      <c r="G111" s="64"/>
      <c r="H111" s="64"/>
      <c r="I111" s="64">
        <v>1</v>
      </c>
      <c r="J111" s="32">
        <f>IF(AND(I111=1,OR(I110=0,I110="")),MAX($J$4:$J110)+1,IF(AND(I111=1,I110=1),J110,""))</f>
        <v>3</v>
      </c>
      <c r="K111" s="32">
        <f t="shared" si="5"/>
        <v>340</v>
      </c>
      <c r="L111" s="32" t="str">
        <f t="shared" si="6"/>
        <v>HV</v>
      </c>
      <c r="M111" s="32">
        <f t="shared" si="7"/>
        <v>115600</v>
      </c>
      <c r="N111" s="4">
        <v>1</v>
      </c>
      <c r="O111" s="4">
        <v>0</v>
      </c>
      <c r="P111" s="4">
        <v>0</v>
      </c>
      <c r="Q111" s="4">
        <v>0</v>
      </c>
      <c r="R111" s="58">
        <v>0</v>
      </c>
      <c r="S111" s="58">
        <v>0</v>
      </c>
      <c r="T111" s="58">
        <v>0</v>
      </c>
      <c r="U111" s="5">
        <v>0</v>
      </c>
      <c r="V111" s="4">
        <v>0</v>
      </c>
      <c r="AG111" t="s">
        <v>77</v>
      </c>
      <c r="AM111" s="1" t="str">
        <f t="shared" si="8"/>
        <v>109_C0021_0785.jpg</v>
      </c>
    </row>
    <row r="112" spans="1:39" x14ac:dyDescent="0.35">
      <c r="A112">
        <v>108</v>
      </c>
      <c r="B112">
        <v>109</v>
      </c>
      <c r="C112">
        <v>146.826318426</v>
      </c>
      <c r="D112">
        <v>-19.1734564069999</v>
      </c>
      <c r="F112" s="64" t="s">
        <v>4037</v>
      </c>
      <c r="G112" s="64"/>
      <c r="H112" s="64"/>
      <c r="I112" s="64">
        <v>1</v>
      </c>
      <c r="J112" s="32">
        <f>IF(AND(I112=1,OR(I111=0,I111="")),MAX($J$4:$J111)+1,IF(AND(I112=1,I111=1),J111,""))</f>
        <v>3</v>
      </c>
      <c r="K112" s="32">
        <f t="shared" si="5"/>
        <v>340</v>
      </c>
      <c r="L112" s="32" t="str">
        <f t="shared" si="6"/>
        <v>HV</v>
      </c>
      <c r="M112" s="32">
        <f t="shared" si="7"/>
        <v>115600</v>
      </c>
      <c r="N112" s="4">
        <v>1</v>
      </c>
      <c r="O112" s="4">
        <v>0</v>
      </c>
      <c r="P112" s="4">
        <v>0</v>
      </c>
      <c r="Q112" s="4">
        <v>0</v>
      </c>
      <c r="R112" s="58">
        <v>0</v>
      </c>
      <c r="S112" s="58">
        <v>0</v>
      </c>
      <c r="T112" s="58">
        <v>0</v>
      </c>
      <c r="U112" s="5">
        <v>0</v>
      </c>
      <c r="V112" s="4">
        <v>0</v>
      </c>
      <c r="AG112" t="s">
        <v>77</v>
      </c>
      <c r="AM112" s="1" t="str">
        <f t="shared" si="8"/>
        <v>110_C0021_0781.jpg</v>
      </c>
    </row>
    <row r="113" spans="1:39" x14ac:dyDescent="0.35">
      <c r="A113">
        <v>109</v>
      </c>
      <c r="B113">
        <v>110</v>
      </c>
      <c r="C113">
        <v>146.82627507800001</v>
      </c>
      <c r="D113">
        <v>-19.173382091000001</v>
      </c>
      <c r="E113">
        <v>50</v>
      </c>
      <c r="F113" s="64" t="s">
        <v>4038</v>
      </c>
      <c r="G113" s="64"/>
      <c r="H113" s="64"/>
      <c r="I113" s="64">
        <v>1</v>
      </c>
      <c r="J113" s="32">
        <f>IF(AND(I113=1,OR(I112=0,I112="")),MAX($J$4:$J112)+1,IF(AND(I113=1,I112=1),J112,""))</f>
        <v>3</v>
      </c>
      <c r="K113" s="32">
        <f t="shared" si="5"/>
        <v>340</v>
      </c>
      <c r="L113" s="32" t="str">
        <f t="shared" si="6"/>
        <v>HV</v>
      </c>
      <c r="M113" s="32">
        <f t="shared" si="7"/>
        <v>115600</v>
      </c>
      <c r="N113" s="4">
        <v>1</v>
      </c>
      <c r="O113" s="4">
        <v>0</v>
      </c>
      <c r="P113" s="4">
        <v>0</v>
      </c>
      <c r="Q113" s="4">
        <v>0</v>
      </c>
      <c r="R113" s="58">
        <v>0</v>
      </c>
      <c r="S113" s="58">
        <v>0</v>
      </c>
      <c r="T113" s="58">
        <v>0</v>
      </c>
      <c r="U113" s="5">
        <v>0</v>
      </c>
      <c r="V113" s="4">
        <v>0</v>
      </c>
      <c r="AG113" t="s">
        <v>77</v>
      </c>
      <c r="AM113" s="1" t="str">
        <f t="shared" si="8"/>
        <v>111_C0021_0778.jpg</v>
      </c>
    </row>
    <row r="114" spans="1:39" x14ac:dyDescent="0.35">
      <c r="A114">
        <v>110</v>
      </c>
      <c r="B114">
        <v>111</v>
      </c>
      <c r="C114">
        <v>146.82621059600001</v>
      </c>
      <c r="D114">
        <v>-19.173325312999999</v>
      </c>
      <c r="F114" s="64" t="s">
        <v>4039</v>
      </c>
      <c r="G114" s="64"/>
      <c r="H114" s="64"/>
      <c r="I114" s="64">
        <v>1</v>
      </c>
      <c r="J114" s="32">
        <f>IF(AND(I114=1,OR(I113=0,I113="")),MAX($J$4:$J113)+1,IF(AND(I114=1,I113=1),J113,""))</f>
        <v>3</v>
      </c>
      <c r="K114" s="32">
        <f t="shared" si="5"/>
        <v>340</v>
      </c>
      <c r="L114" s="32" t="str">
        <f t="shared" si="6"/>
        <v>HV</v>
      </c>
      <c r="M114" s="32">
        <f t="shared" si="7"/>
        <v>115600</v>
      </c>
      <c r="N114" s="4">
        <v>1</v>
      </c>
      <c r="O114" s="4">
        <v>0</v>
      </c>
      <c r="P114" s="4">
        <v>0</v>
      </c>
      <c r="Q114" s="4">
        <v>0</v>
      </c>
      <c r="R114" s="58">
        <v>0</v>
      </c>
      <c r="S114" s="58">
        <v>0</v>
      </c>
      <c r="T114" s="58">
        <v>0</v>
      </c>
      <c r="U114" s="5">
        <v>0</v>
      </c>
      <c r="V114" s="4">
        <v>0</v>
      </c>
      <c r="AG114" t="s">
        <v>77</v>
      </c>
      <c r="AM114" s="1" t="str">
        <f t="shared" si="8"/>
        <v>112_C0021_0775.jpg</v>
      </c>
    </row>
    <row r="115" spans="1:39" x14ac:dyDescent="0.35">
      <c r="A115">
        <v>111</v>
      </c>
      <c r="B115">
        <v>112</v>
      </c>
      <c r="C115">
        <v>146.82614026600001</v>
      </c>
      <c r="D115">
        <v>-19.173272900000001</v>
      </c>
      <c r="F115" s="64" t="s">
        <v>4040</v>
      </c>
      <c r="G115" s="64"/>
      <c r="H115" s="64"/>
      <c r="I115" s="64">
        <v>1</v>
      </c>
      <c r="J115" s="32">
        <f>IF(AND(I115=1,OR(I114=0,I114="")),MAX($J$4:$J114)+1,IF(AND(I115=1,I114=1),J114,""))</f>
        <v>3</v>
      </c>
      <c r="K115" s="32">
        <f t="shared" si="5"/>
        <v>340</v>
      </c>
      <c r="L115" s="32" t="str">
        <f t="shared" si="6"/>
        <v>HV</v>
      </c>
      <c r="M115" s="32">
        <f t="shared" si="7"/>
        <v>115600</v>
      </c>
      <c r="N115" s="4">
        <v>1</v>
      </c>
      <c r="O115" s="4">
        <v>0</v>
      </c>
      <c r="P115" s="4">
        <v>0</v>
      </c>
      <c r="Q115" s="4">
        <v>0</v>
      </c>
      <c r="R115" s="58">
        <v>0</v>
      </c>
      <c r="S115" s="58">
        <v>0</v>
      </c>
      <c r="T115" s="58">
        <v>0</v>
      </c>
      <c r="U115" s="5">
        <v>0</v>
      </c>
      <c r="V115" s="4">
        <v>0</v>
      </c>
      <c r="AG115" t="s">
        <v>77</v>
      </c>
      <c r="AM115" s="1" t="str">
        <f t="shared" si="8"/>
        <v>113_C0021_0772.jpg</v>
      </c>
    </row>
    <row r="116" spans="1:39" x14ac:dyDescent="0.35">
      <c r="A116">
        <v>112</v>
      </c>
      <c r="B116">
        <v>113</v>
      </c>
      <c r="C116">
        <v>146.826079171</v>
      </c>
      <c r="D116">
        <v>-19.173210696999899</v>
      </c>
      <c r="F116" s="64" t="s">
        <v>4041</v>
      </c>
      <c r="G116" s="64"/>
      <c r="H116" s="64"/>
      <c r="I116" s="64">
        <v>1</v>
      </c>
      <c r="J116" s="32">
        <f>IF(AND(I116=1,OR(I115=0,I115="")),MAX($J$4:$J115)+1,IF(AND(I116=1,I115=1),J115,""))</f>
        <v>3</v>
      </c>
      <c r="K116" s="32">
        <f t="shared" si="5"/>
        <v>340</v>
      </c>
      <c r="L116" s="32" t="str">
        <f t="shared" si="6"/>
        <v>HV</v>
      </c>
      <c r="M116" s="32">
        <f t="shared" si="7"/>
        <v>115600</v>
      </c>
      <c r="N116" s="4">
        <v>2</v>
      </c>
      <c r="O116" s="4">
        <v>1</v>
      </c>
      <c r="P116" s="4">
        <v>0</v>
      </c>
      <c r="Q116" s="4">
        <v>0</v>
      </c>
      <c r="R116" s="58">
        <v>0</v>
      </c>
      <c r="S116" s="58">
        <v>0</v>
      </c>
      <c r="T116" s="58">
        <v>0</v>
      </c>
      <c r="U116" s="5">
        <v>0</v>
      </c>
      <c r="V116" s="4">
        <v>0</v>
      </c>
      <c r="AG116" t="s">
        <v>156</v>
      </c>
      <c r="AM116" s="1" t="str">
        <f t="shared" si="8"/>
        <v>114_C0021_0768.jpg</v>
      </c>
    </row>
    <row r="117" spans="1:39" x14ac:dyDescent="0.35">
      <c r="A117">
        <v>113</v>
      </c>
      <c r="B117">
        <v>114</v>
      </c>
      <c r="C117">
        <v>146.826018076</v>
      </c>
      <c r="D117">
        <v>-19.1731484929999</v>
      </c>
      <c r="F117" s="64" t="s">
        <v>4042</v>
      </c>
      <c r="G117" s="64"/>
      <c r="H117" s="64"/>
      <c r="I117" s="64">
        <v>1</v>
      </c>
      <c r="J117" s="32">
        <f>IF(AND(I117=1,OR(I116=0,I116="")),MAX($J$4:$J116)+1,IF(AND(I117=1,I116=1),J116,""))</f>
        <v>3</v>
      </c>
      <c r="K117" s="32">
        <f t="shared" si="5"/>
        <v>340</v>
      </c>
      <c r="L117" s="32" t="str">
        <f t="shared" si="6"/>
        <v>HV</v>
      </c>
      <c r="M117" s="32">
        <f t="shared" si="7"/>
        <v>115600</v>
      </c>
      <c r="N117" s="4">
        <v>1</v>
      </c>
      <c r="O117" s="4">
        <v>0</v>
      </c>
      <c r="P117" s="4">
        <v>0</v>
      </c>
      <c r="Q117" s="4">
        <v>0</v>
      </c>
      <c r="R117" s="58">
        <v>0</v>
      </c>
      <c r="S117" s="58">
        <v>0</v>
      </c>
      <c r="T117" s="58">
        <v>0</v>
      </c>
      <c r="U117" s="5">
        <v>0</v>
      </c>
      <c r="V117" s="4">
        <v>0</v>
      </c>
      <c r="AG117" t="s">
        <v>157</v>
      </c>
      <c r="AM117" s="1" t="str">
        <f t="shared" si="8"/>
        <v>115_C0021_0767.jpg</v>
      </c>
    </row>
    <row r="118" spans="1:39" x14ac:dyDescent="0.35">
      <c r="A118">
        <v>114</v>
      </c>
      <c r="B118">
        <v>115</v>
      </c>
      <c r="C118">
        <v>146.82595698099999</v>
      </c>
      <c r="D118">
        <v>-19.173086289</v>
      </c>
      <c r="E118">
        <v>50</v>
      </c>
      <c r="F118" s="64" t="s">
        <v>4043</v>
      </c>
      <c r="G118" s="64"/>
      <c r="H118" s="64"/>
      <c r="I118" s="64">
        <v>1</v>
      </c>
      <c r="J118" s="32">
        <f>IF(AND(I118=1,OR(I117=0,I117="")),MAX($J$4:$J117)+1,IF(AND(I118=1,I117=1),J117,""))</f>
        <v>3</v>
      </c>
      <c r="K118" s="32">
        <f t="shared" si="5"/>
        <v>340</v>
      </c>
      <c r="L118" s="32" t="str">
        <f t="shared" si="6"/>
        <v>HV</v>
      </c>
      <c r="M118" s="32">
        <f t="shared" si="7"/>
        <v>115600</v>
      </c>
      <c r="N118" s="4">
        <v>1</v>
      </c>
      <c r="O118" s="4">
        <v>0</v>
      </c>
      <c r="P118" s="4">
        <v>0</v>
      </c>
      <c r="Q118" s="4">
        <v>0</v>
      </c>
      <c r="R118" s="58">
        <v>0</v>
      </c>
      <c r="S118" s="58">
        <v>0</v>
      </c>
      <c r="T118" s="58">
        <v>0</v>
      </c>
      <c r="U118" s="5">
        <v>0</v>
      </c>
      <c r="V118" s="4">
        <v>0</v>
      </c>
      <c r="AG118" t="s">
        <v>158</v>
      </c>
      <c r="AM118" s="1" t="str">
        <f t="shared" si="8"/>
        <v>116_C0021_0763.jpg</v>
      </c>
    </row>
    <row r="119" spans="1:39" x14ac:dyDescent="0.35">
      <c r="A119">
        <v>115</v>
      </c>
      <c r="B119">
        <v>116</v>
      </c>
      <c r="C119">
        <v>146.82589588600001</v>
      </c>
      <c r="D119">
        <v>-19.173024085000002</v>
      </c>
      <c r="F119" s="64" t="s">
        <v>4044</v>
      </c>
      <c r="G119" s="64"/>
      <c r="H119" s="64"/>
      <c r="I119" s="64">
        <v>1</v>
      </c>
      <c r="J119" s="32">
        <f>IF(AND(I119=1,OR(I118=0,I118="")),MAX($J$4:$J118)+1,IF(AND(I119=1,I118=1),J118,""))</f>
        <v>3</v>
      </c>
      <c r="K119" s="32">
        <f t="shared" si="5"/>
        <v>340</v>
      </c>
      <c r="L119" s="32" t="str">
        <f t="shared" si="6"/>
        <v>HV</v>
      </c>
      <c r="M119" s="32">
        <f t="shared" si="7"/>
        <v>115600</v>
      </c>
      <c r="N119" s="4">
        <v>1</v>
      </c>
      <c r="O119" s="4">
        <v>0</v>
      </c>
      <c r="P119" s="4">
        <v>0</v>
      </c>
      <c r="Q119" s="4">
        <v>0</v>
      </c>
      <c r="R119" s="58">
        <v>0</v>
      </c>
      <c r="S119" s="58">
        <v>0</v>
      </c>
      <c r="T119" s="58">
        <v>0</v>
      </c>
      <c r="U119" s="5">
        <v>0</v>
      </c>
      <c r="V119" s="4">
        <v>0</v>
      </c>
      <c r="AG119" t="s">
        <v>159</v>
      </c>
      <c r="AM119" s="1" t="str">
        <f t="shared" si="8"/>
        <v>117_C0021_0760.jpg</v>
      </c>
    </row>
    <row r="120" spans="1:39" x14ac:dyDescent="0.35">
      <c r="A120">
        <v>116</v>
      </c>
      <c r="B120">
        <v>117</v>
      </c>
      <c r="C120">
        <v>146.82583479100001</v>
      </c>
      <c r="D120">
        <v>-19.1729618809999</v>
      </c>
      <c r="F120" s="64" t="s">
        <v>4045</v>
      </c>
      <c r="G120" s="64"/>
      <c r="H120" s="64"/>
      <c r="I120" s="64">
        <v>1</v>
      </c>
      <c r="J120" s="32">
        <f>IF(AND(I120=1,OR(I119=0,I119="")),MAX($J$4:$J119)+1,IF(AND(I120=1,I119=1),J119,""))</f>
        <v>3</v>
      </c>
      <c r="K120" s="32">
        <f t="shared" si="5"/>
        <v>340</v>
      </c>
      <c r="L120" s="32" t="str">
        <f t="shared" si="6"/>
        <v>HV</v>
      </c>
      <c r="M120" s="32">
        <f t="shared" si="7"/>
        <v>115600</v>
      </c>
      <c r="N120" s="4">
        <v>1</v>
      </c>
      <c r="O120" s="4">
        <v>0</v>
      </c>
      <c r="P120" s="4">
        <v>0</v>
      </c>
      <c r="Q120" s="4">
        <v>0</v>
      </c>
      <c r="R120" s="58">
        <v>0</v>
      </c>
      <c r="S120" s="58">
        <v>0</v>
      </c>
      <c r="T120" s="58">
        <v>0</v>
      </c>
      <c r="U120" s="5">
        <v>0</v>
      </c>
      <c r="V120" s="4">
        <v>0</v>
      </c>
      <c r="AG120" t="s">
        <v>160</v>
      </c>
      <c r="AM120" s="1" t="str">
        <f t="shared" si="8"/>
        <v>118_C0021_0756.jpg</v>
      </c>
    </row>
    <row r="121" spans="1:39" x14ac:dyDescent="0.35">
      <c r="A121">
        <v>117</v>
      </c>
      <c r="B121">
        <v>118</v>
      </c>
      <c r="C121">
        <v>146.825773696</v>
      </c>
      <c r="D121">
        <v>-19.172899677</v>
      </c>
      <c r="F121" s="64" t="s">
        <v>4046</v>
      </c>
      <c r="G121" s="64"/>
      <c r="H121" s="64"/>
      <c r="I121" s="64">
        <v>1</v>
      </c>
      <c r="J121" s="32">
        <f>IF(AND(I121=1,OR(I120=0,I120="")),MAX($J$4:$J120)+1,IF(AND(I121=1,I120=1),J120,""))</f>
        <v>3</v>
      </c>
      <c r="K121" s="32">
        <f t="shared" si="5"/>
        <v>340</v>
      </c>
      <c r="L121" s="32" t="str">
        <f t="shared" si="6"/>
        <v>HV</v>
      </c>
      <c r="M121" s="32">
        <f t="shared" si="7"/>
        <v>115600</v>
      </c>
      <c r="N121" s="4">
        <v>1</v>
      </c>
      <c r="O121" s="4">
        <v>0</v>
      </c>
      <c r="P121" s="4">
        <v>0</v>
      </c>
      <c r="Q121" s="4">
        <v>0</v>
      </c>
      <c r="R121" s="58">
        <v>0</v>
      </c>
      <c r="S121" s="58">
        <v>0</v>
      </c>
      <c r="T121" s="58">
        <v>0</v>
      </c>
      <c r="U121" s="5">
        <v>0</v>
      </c>
      <c r="V121" s="4">
        <v>0</v>
      </c>
      <c r="AG121" t="s">
        <v>161</v>
      </c>
      <c r="AM121" s="1" t="str">
        <f t="shared" si="8"/>
        <v>119_C0021_0753.jpg</v>
      </c>
    </row>
    <row r="122" spans="1:39" x14ac:dyDescent="0.35">
      <c r="A122">
        <v>118</v>
      </c>
      <c r="B122">
        <v>119</v>
      </c>
      <c r="C122">
        <v>146.82571260200001</v>
      </c>
      <c r="D122">
        <v>-19.172837473999898</v>
      </c>
      <c r="F122" s="64" t="s">
        <v>4047</v>
      </c>
      <c r="G122" s="64"/>
      <c r="H122" s="64"/>
      <c r="I122" s="64">
        <v>1</v>
      </c>
      <c r="J122" s="32">
        <f>IF(AND(I122=1,OR(I121=0,I121="")),MAX($J$4:$J121)+1,IF(AND(I122=1,I121=1),J121,""))</f>
        <v>3</v>
      </c>
      <c r="K122" s="32">
        <f t="shared" si="5"/>
        <v>340</v>
      </c>
      <c r="L122" s="32" t="str">
        <f t="shared" si="6"/>
        <v>HV</v>
      </c>
      <c r="M122" s="32">
        <f t="shared" si="7"/>
        <v>115600</v>
      </c>
      <c r="N122" s="4">
        <v>1</v>
      </c>
      <c r="O122" s="4">
        <v>0</v>
      </c>
      <c r="P122" s="4">
        <v>0</v>
      </c>
      <c r="Q122" s="4">
        <v>0</v>
      </c>
      <c r="R122" s="58">
        <v>0</v>
      </c>
      <c r="S122" s="58">
        <v>0</v>
      </c>
      <c r="T122" s="58">
        <v>0</v>
      </c>
      <c r="U122" s="5">
        <v>0</v>
      </c>
      <c r="V122" s="4">
        <v>0</v>
      </c>
      <c r="AG122" t="s">
        <v>162</v>
      </c>
      <c r="AM122" s="1" t="str">
        <f t="shared" si="8"/>
        <v>120_C0021_0749.jpg</v>
      </c>
    </row>
    <row r="123" spans="1:39" x14ac:dyDescent="0.35">
      <c r="A123">
        <v>119</v>
      </c>
      <c r="B123">
        <v>120</v>
      </c>
      <c r="C123">
        <v>146.825651507</v>
      </c>
      <c r="D123">
        <v>-19.172775269999899</v>
      </c>
      <c r="E123">
        <v>50</v>
      </c>
      <c r="F123" s="64" t="s">
        <v>4048</v>
      </c>
      <c r="G123" s="64"/>
      <c r="H123" s="64"/>
      <c r="I123" s="64">
        <v>1</v>
      </c>
      <c r="J123" s="32">
        <f>IF(AND(I123=1,OR(I122=0,I122="")),MAX($J$4:$J122)+1,IF(AND(I123=1,I122=1),J122,""))</f>
        <v>3</v>
      </c>
      <c r="K123" s="32">
        <f t="shared" si="5"/>
        <v>340</v>
      </c>
      <c r="L123" s="32" t="str">
        <f t="shared" si="6"/>
        <v>HV</v>
      </c>
      <c r="M123" s="32">
        <f t="shared" si="7"/>
        <v>115600</v>
      </c>
      <c r="N123" s="4">
        <v>1</v>
      </c>
      <c r="O123" s="4">
        <v>0</v>
      </c>
      <c r="P123" s="4">
        <v>0</v>
      </c>
      <c r="Q123" s="4">
        <v>0</v>
      </c>
      <c r="R123" s="58">
        <v>0</v>
      </c>
      <c r="S123" s="58">
        <v>0</v>
      </c>
      <c r="T123" s="58">
        <v>0</v>
      </c>
      <c r="U123" s="5">
        <v>0</v>
      </c>
      <c r="V123" s="4">
        <v>0</v>
      </c>
      <c r="AG123" t="s">
        <v>163</v>
      </c>
      <c r="AM123" s="1" t="str">
        <f t="shared" si="8"/>
        <v>121_C0021_0746.jpg</v>
      </c>
    </row>
    <row r="124" spans="1:39" x14ac:dyDescent="0.35">
      <c r="A124">
        <v>120</v>
      </c>
      <c r="B124">
        <v>121</v>
      </c>
      <c r="C124">
        <v>146.825590412</v>
      </c>
      <c r="D124">
        <v>-19.172713066</v>
      </c>
      <c r="F124" s="64" t="s">
        <v>4049</v>
      </c>
      <c r="G124" s="64"/>
      <c r="H124" s="64"/>
      <c r="I124" s="64">
        <v>1</v>
      </c>
      <c r="J124" s="32">
        <f>IF(AND(I124=1,OR(I123=0,I123="")),MAX($J$4:$J123)+1,IF(AND(I124=1,I123=1),J123,""))</f>
        <v>3</v>
      </c>
      <c r="K124" s="32">
        <f t="shared" si="5"/>
        <v>340</v>
      </c>
      <c r="L124" s="32" t="str">
        <f t="shared" si="6"/>
        <v>HV</v>
      </c>
      <c r="M124" s="32">
        <f t="shared" si="7"/>
        <v>115600</v>
      </c>
      <c r="N124" s="4">
        <v>1</v>
      </c>
      <c r="O124" s="4">
        <v>0</v>
      </c>
      <c r="P124" s="4">
        <v>0</v>
      </c>
      <c r="Q124" s="4">
        <v>0</v>
      </c>
      <c r="R124" s="58">
        <v>0</v>
      </c>
      <c r="S124" s="58">
        <v>0</v>
      </c>
      <c r="T124" s="58">
        <v>0</v>
      </c>
      <c r="U124" s="5">
        <v>0</v>
      </c>
      <c r="V124" s="4">
        <v>0</v>
      </c>
      <c r="AG124" t="s">
        <v>164</v>
      </c>
      <c r="AM124" s="1" t="str">
        <f t="shared" si="8"/>
        <v>122_C0021_0743.jpg</v>
      </c>
    </row>
    <row r="125" spans="1:39" x14ac:dyDescent="0.35">
      <c r="A125">
        <v>121</v>
      </c>
      <c r="B125">
        <v>122</v>
      </c>
      <c r="C125">
        <v>146.82551261899999</v>
      </c>
      <c r="D125">
        <v>-19.172679223999999</v>
      </c>
      <c r="F125" s="64" t="s">
        <v>4050</v>
      </c>
      <c r="G125" s="64"/>
      <c r="H125" s="64"/>
      <c r="I125" s="64">
        <v>1</v>
      </c>
      <c r="J125" s="32">
        <f>IF(AND(I125=1,OR(I124=0,I124="")),MAX($J$4:$J124)+1,IF(AND(I125=1,I124=1),J124,""))</f>
        <v>3</v>
      </c>
      <c r="K125" s="32">
        <f t="shared" si="5"/>
        <v>340</v>
      </c>
      <c r="L125" s="32" t="str">
        <f t="shared" si="6"/>
        <v>HV</v>
      </c>
      <c r="M125" s="32">
        <f t="shared" si="7"/>
        <v>115600</v>
      </c>
      <c r="N125" s="4">
        <v>1</v>
      </c>
      <c r="O125" s="4">
        <v>0</v>
      </c>
      <c r="P125" s="4">
        <v>0</v>
      </c>
      <c r="Q125" s="4">
        <v>0</v>
      </c>
      <c r="R125" s="58">
        <v>0</v>
      </c>
      <c r="S125" s="58">
        <v>0</v>
      </c>
      <c r="T125" s="58">
        <v>0</v>
      </c>
      <c r="U125" s="5">
        <v>0</v>
      </c>
      <c r="V125" s="4">
        <v>0</v>
      </c>
      <c r="AG125" t="s">
        <v>165</v>
      </c>
      <c r="AM125" s="1" t="str">
        <f t="shared" si="8"/>
        <v>123_C0021_0740.jpg</v>
      </c>
    </row>
    <row r="126" spans="1:39" x14ac:dyDescent="0.35">
      <c r="A126">
        <v>122</v>
      </c>
      <c r="B126">
        <v>123</v>
      </c>
      <c r="C126">
        <v>146.82542444000001</v>
      </c>
      <c r="D126">
        <v>-19.172663022999899</v>
      </c>
      <c r="F126" s="64" t="s">
        <v>4051</v>
      </c>
      <c r="G126" s="64"/>
      <c r="H126" s="64"/>
      <c r="I126" s="64">
        <v>1</v>
      </c>
      <c r="J126" s="32">
        <f>IF(AND(I126=1,OR(I125=0,I125="")),MAX($J$4:$J125)+1,IF(AND(I126=1,I125=1),J125,""))</f>
        <v>3</v>
      </c>
      <c r="K126" s="32">
        <f t="shared" si="5"/>
        <v>340</v>
      </c>
      <c r="L126" s="32" t="str">
        <f t="shared" si="6"/>
        <v>HV</v>
      </c>
      <c r="M126" s="32">
        <f t="shared" si="7"/>
        <v>115600</v>
      </c>
      <c r="N126" s="4">
        <v>1</v>
      </c>
      <c r="O126" s="4">
        <v>0</v>
      </c>
      <c r="P126" s="4">
        <v>0</v>
      </c>
      <c r="Q126" s="4">
        <v>0</v>
      </c>
      <c r="R126" s="58">
        <v>0</v>
      </c>
      <c r="S126" s="58">
        <v>0</v>
      </c>
      <c r="T126" s="58">
        <v>0</v>
      </c>
      <c r="U126" s="5">
        <v>0</v>
      </c>
      <c r="V126" s="4">
        <v>0</v>
      </c>
      <c r="AG126" t="s">
        <v>166</v>
      </c>
      <c r="AM126" s="1" t="str">
        <f t="shared" si="8"/>
        <v>124_C0021_0737.jpg</v>
      </c>
    </row>
    <row r="127" spans="1:39" x14ac:dyDescent="0.35">
      <c r="A127">
        <v>123</v>
      </c>
      <c r="B127">
        <v>124</v>
      </c>
      <c r="C127">
        <v>146.82535621599999</v>
      </c>
      <c r="D127">
        <v>-19.172615683999901</v>
      </c>
      <c r="F127" s="64" t="s">
        <v>4052</v>
      </c>
      <c r="G127" s="64"/>
      <c r="H127" s="64"/>
      <c r="I127" s="64">
        <v>1</v>
      </c>
      <c r="J127" s="32">
        <f>IF(AND(I127=1,OR(I126=0,I126="")),MAX($J$4:$J126)+1,IF(AND(I127=1,I126=1),J126,""))</f>
        <v>3</v>
      </c>
      <c r="K127" s="32">
        <f t="shared" si="5"/>
        <v>340</v>
      </c>
      <c r="L127" s="32" t="str">
        <f t="shared" si="6"/>
        <v>HV</v>
      </c>
      <c r="M127" s="32">
        <f t="shared" si="7"/>
        <v>115600</v>
      </c>
      <c r="N127" s="4">
        <v>1</v>
      </c>
      <c r="O127" s="4">
        <v>0</v>
      </c>
      <c r="P127" s="4">
        <v>0</v>
      </c>
      <c r="Q127" s="4">
        <v>0</v>
      </c>
      <c r="R127" s="58">
        <v>0</v>
      </c>
      <c r="S127" s="58">
        <v>0</v>
      </c>
      <c r="T127" s="58">
        <v>0</v>
      </c>
      <c r="U127" s="5">
        <v>0</v>
      </c>
      <c r="V127" s="4">
        <v>0</v>
      </c>
      <c r="AG127" t="s">
        <v>167</v>
      </c>
      <c r="AM127" s="1" t="str">
        <f t="shared" si="8"/>
        <v>125_C0021_0735.jpg</v>
      </c>
    </row>
    <row r="128" spans="1:39" x14ac:dyDescent="0.35">
      <c r="A128">
        <v>124</v>
      </c>
      <c r="B128">
        <v>125</v>
      </c>
      <c r="C128">
        <v>146.825300129</v>
      </c>
      <c r="D128">
        <v>-19.172549404999899</v>
      </c>
      <c r="E128">
        <v>50</v>
      </c>
      <c r="F128" s="64" t="s">
        <v>4053</v>
      </c>
      <c r="G128" s="64"/>
      <c r="H128" s="64"/>
      <c r="I128" s="64">
        <v>1</v>
      </c>
      <c r="J128" s="32">
        <f>IF(AND(I128=1,OR(I127=0,I127="")),MAX($J$4:$J127)+1,IF(AND(I128=1,I127=1),J127,""))</f>
        <v>3</v>
      </c>
      <c r="K128" s="32">
        <f t="shared" si="5"/>
        <v>340</v>
      </c>
      <c r="L128" s="32" t="str">
        <f t="shared" si="6"/>
        <v>HV</v>
      </c>
      <c r="M128" s="32">
        <f t="shared" si="7"/>
        <v>115600</v>
      </c>
      <c r="N128" s="4">
        <v>1</v>
      </c>
      <c r="O128" s="4">
        <v>0</v>
      </c>
      <c r="P128" s="4">
        <v>0</v>
      </c>
      <c r="Q128" s="4">
        <v>0</v>
      </c>
      <c r="R128" s="58">
        <v>0</v>
      </c>
      <c r="S128" s="58">
        <v>0</v>
      </c>
      <c r="T128" s="58">
        <v>0</v>
      </c>
      <c r="U128" s="5">
        <v>0</v>
      </c>
      <c r="V128" s="4">
        <v>0</v>
      </c>
      <c r="AG128" t="s">
        <v>168</v>
      </c>
      <c r="AM128" s="1" t="str">
        <f t="shared" si="8"/>
        <v>126_C0021_0732.jpg</v>
      </c>
    </row>
    <row r="129" spans="1:39" x14ac:dyDescent="0.35">
      <c r="A129">
        <v>125</v>
      </c>
      <c r="B129">
        <v>126</v>
      </c>
      <c r="C129">
        <v>146.82524404200001</v>
      </c>
      <c r="D129">
        <v>-19.172483127</v>
      </c>
      <c r="F129" s="64" t="s">
        <v>4054</v>
      </c>
      <c r="G129" s="64"/>
      <c r="H129" s="64"/>
      <c r="I129" s="64">
        <v>1</v>
      </c>
      <c r="J129" s="32">
        <f>IF(AND(I129=1,OR(I128=0,I128="")),MAX($J$4:$J128)+1,IF(AND(I129=1,I128=1),J128,""))</f>
        <v>3</v>
      </c>
      <c r="K129" s="32">
        <f t="shared" si="5"/>
        <v>340</v>
      </c>
      <c r="L129" s="32" t="str">
        <f t="shared" si="6"/>
        <v>HV</v>
      </c>
      <c r="M129" s="32">
        <f t="shared" si="7"/>
        <v>115600</v>
      </c>
      <c r="N129" s="4">
        <v>1</v>
      </c>
      <c r="O129" s="4">
        <v>0</v>
      </c>
      <c r="P129" s="4">
        <v>0</v>
      </c>
      <c r="Q129" s="4">
        <v>0</v>
      </c>
      <c r="R129" s="58">
        <v>0</v>
      </c>
      <c r="S129" s="58">
        <v>0</v>
      </c>
      <c r="T129" s="58">
        <v>0</v>
      </c>
      <c r="U129" s="5">
        <v>0</v>
      </c>
      <c r="V129" s="4">
        <v>0</v>
      </c>
      <c r="AG129" t="s">
        <v>169</v>
      </c>
      <c r="AM129" s="1" t="str">
        <f t="shared" ref="AM129:AM160" si="9">HYPERLINK("E:\CAFNEC_GBRF\2023\JohnstoneRiver\Frames_for_Analysis\" &amp; F130, F130)</f>
        <v>127_C0021_0730.jpg</v>
      </c>
    </row>
    <row r="130" spans="1:39" x14ac:dyDescent="0.35">
      <c r="A130">
        <v>126</v>
      </c>
      <c r="B130">
        <v>127</v>
      </c>
      <c r="C130">
        <v>146.82518795499999</v>
      </c>
      <c r="D130">
        <v>-19.172416848000001</v>
      </c>
      <c r="F130" s="64" t="s">
        <v>4055</v>
      </c>
      <c r="G130" s="64"/>
      <c r="H130" s="64"/>
      <c r="I130" s="64">
        <v>1</v>
      </c>
      <c r="J130" s="32">
        <f>IF(AND(I130=1,OR(I129=0,I129="")),MAX($J$4:$J129)+1,IF(AND(I130=1,I129=1),J129,""))</f>
        <v>3</v>
      </c>
      <c r="K130" s="32">
        <f t="shared" si="5"/>
        <v>340</v>
      </c>
      <c r="L130" s="32" t="str">
        <f t="shared" si="6"/>
        <v>HV</v>
      </c>
      <c r="M130" s="32">
        <f t="shared" si="7"/>
        <v>115600</v>
      </c>
      <c r="N130" s="4">
        <v>1</v>
      </c>
      <c r="O130" s="4">
        <v>0</v>
      </c>
      <c r="P130" s="4">
        <v>0</v>
      </c>
      <c r="Q130" s="4">
        <v>0</v>
      </c>
      <c r="R130" s="58">
        <v>0</v>
      </c>
      <c r="S130" s="58">
        <v>0</v>
      </c>
      <c r="T130" s="58">
        <v>0</v>
      </c>
      <c r="U130" s="5">
        <v>0</v>
      </c>
      <c r="V130" s="4">
        <v>0</v>
      </c>
      <c r="AG130" t="s">
        <v>170</v>
      </c>
      <c r="AM130" s="1" t="str">
        <f t="shared" si="9"/>
        <v>128_C0021_0727.jpg</v>
      </c>
    </row>
    <row r="131" spans="1:39" x14ac:dyDescent="0.35">
      <c r="A131">
        <v>127</v>
      </c>
      <c r="B131">
        <v>128</v>
      </c>
      <c r="C131">
        <v>146.825131868</v>
      </c>
      <c r="D131">
        <v>-19.172350568999899</v>
      </c>
      <c r="F131" s="64" t="s">
        <v>4056</v>
      </c>
      <c r="G131" s="64"/>
      <c r="H131" s="64"/>
      <c r="I131" s="64">
        <v>1</v>
      </c>
      <c r="J131" s="32">
        <f>IF(AND(I131=1,OR(I130=0,I130="")),MAX($J$4:$J130)+1,IF(AND(I131=1,I130=1),J130,""))</f>
        <v>3</v>
      </c>
      <c r="K131" s="32">
        <f t="shared" si="5"/>
        <v>340</v>
      </c>
      <c r="L131" s="32" t="str">
        <f t="shared" si="6"/>
        <v>HV</v>
      </c>
      <c r="M131" s="32">
        <f t="shared" si="7"/>
        <v>115600</v>
      </c>
      <c r="N131" s="4">
        <v>1</v>
      </c>
      <c r="O131" s="4">
        <v>0</v>
      </c>
      <c r="P131" s="4">
        <v>0</v>
      </c>
      <c r="Q131" s="4">
        <v>0</v>
      </c>
      <c r="R131" s="58">
        <v>0</v>
      </c>
      <c r="S131" s="58">
        <v>0</v>
      </c>
      <c r="T131" s="58">
        <v>0</v>
      </c>
      <c r="U131" s="5">
        <v>0</v>
      </c>
      <c r="V131" s="4">
        <v>0</v>
      </c>
      <c r="AG131" t="s">
        <v>171</v>
      </c>
      <c r="AM131" s="1" t="str">
        <f t="shared" si="9"/>
        <v>129_C0021_0725.jpg</v>
      </c>
    </row>
    <row r="132" spans="1:39" x14ac:dyDescent="0.35">
      <c r="A132">
        <v>128</v>
      </c>
      <c r="B132">
        <v>129</v>
      </c>
      <c r="C132">
        <v>146.82507577999999</v>
      </c>
      <c r="D132">
        <v>-19.172284291</v>
      </c>
      <c r="F132" s="64" t="s">
        <v>4057</v>
      </c>
      <c r="G132" s="64"/>
      <c r="H132" s="64"/>
      <c r="I132" s="64">
        <v>1</v>
      </c>
      <c r="J132" s="32">
        <f>IF(AND(I132=1,OR(I131=0,I131="")),MAX($J$4:$J131)+1,IF(AND(I132=1,I131=1),J131,""))</f>
        <v>3</v>
      </c>
      <c r="K132" s="32">
        <f t="shared" ref="K132:K157" si="10">IF(J132="","",COUNTIF(J:J,J132)*10)</f>
        <v>340</v>
      </c>
      <c r="L132" s="32" t="str">
        <f t="shared" ref="L132:L195" si="11">IF(K132="","",IF(K132&gt;=100,"HV",""))</f>
        <v>HV</v>
      </c>
      <c r="M132" s="32">
        <f t="shared" ref="M132:M195" si="12">IF(K132&lt;&gt;"",K132^2,"")</f>
        <v>115600</v>
      </c>
      <c r="N132" s="4">
        <v>1</v>
      </c>
      <c r="O132" s="4">
        <v>0</v>
      </c>
      <c r="P132" s="4">
        <v>0</v>
      </c>
      <c r="Q132" s="4">
        <v>0</v>
      </c>
      <c r="R132" s="58">
        <v>0</v>
      </c>
      <c r="S132" s="58">
        <v>0</v>
      </c>
      <c r="T132" s="58">
        <v>0</v>
      </c>
      <c r="U132" s="5">
        <v>0</v>
      </c>
      <c r="V132" s="4">
        <v>0</v>
      </c>
      <c r="AG132" t="s">
        <v>172</v>
      </c>
      <c r="AM132" s="1" t="str">
        <f t="shared" si="9"/>
        <v>130_C0021_0722.jpg</v>
      </c>
    </row>
    <row r="133" spans="1:39" x14ac:dyDescent="0.35">
      <c r="A133">
        <v>129</v>
      </c>
      <c r="B133">
        <v>130</v>
      </c>
      <c r="C133">
        <v>146.825019693</v>
      </c>
      <c r="D133">
        <v>-19.172218011999998</v>
      </c>
      <c r="E133">
        <v>50</v>
      </c>
      <c r="F133" s="64" t="s">
        <v>4058</v>
      </c>
      <c r="G133" s="64"/>
      <c r="H133" s="64"/>
      <c r="I133" s="64">
        <v>1</v>
      </c>
      <c r="J133" s="32">
        <f>IF(AND(I133=1,OR(I132=0,I132="")),MAX($J$4:$J132)+1,IF(AND(I133=1,I132=1),J132,""))</f>
        <v>3</v>
      </c>
      <c r="K133" s="32">
        <f t="shared" si="10"/>
        <v>340</v>
      </c>
      <c r="L133" s="32" t="str">
        <f t="shared" si="11"/>
        <v>HV</v>
      </c>
      <c r="M133" s="32">
        <f t="shared" si="12"/>
        <v>115600</v>
      </c>
      <c r="N133" s="4">
        <v>1</v>
      </c>
      <c r="O133" s="4">
        <v>0</v>
      </c>
      <c r="P133" s="4">
        <v>0</v>
      </c>
      <c r="Q133" s="4">
        <v>0</v>
      </c>
      <c r="R133" s="58">
        <v>0</v>
      </c>
      <c r="S133" s="58">
        <v>0</v>
      </c>
      <c r="T133" s="58">
        <v>0</v>
      </c>
      <c r="U133" s="5">
        <v>0</v>
      </c>
      <c r="V133" s="4">
        <v>0</v>
      </c>
      <c r="AG133" t="s">
        <v>173</v>
      </c>
      <c r="AM133" s="1" t="str">
        <f t="shared" si="9"/>
        <v>131_C0021_0719.jpg</v>
      </c>
    </row>
    <row r="134" spans="1:39" x14ac:dyDescent="0.35">
      <c r="A134">
        <v>130</v>
      </c>
      <c r="B134">
        <v>131</v>
      </c>
      <c r="C134">
        <v>146.82493726300001</v>
      </c>
      <c r="D134">
        <v>-19.172188844999901</v>
      </c>
      <c r="F134" s="64" t="s">
        <v>4059</v>
      </c>
      <c r="G134" s="64"/>
      <c r="H134" s="64"/>
      <c r="I134" s="64">
        <v>1</v>
      </c>
      <c r="J134" s="32">
        <f>IF(AND(I134=1,OR(I133=0,I133="")),MAX($J$4:$J133)+1,IF(AND(I134=1,I133=1),J133,""))</f>
        <v>3</v>
      </c>
      <c r="K134" s="32">
        <f t="shared" si="10"/>
        <v>340</v>
      </c>
      <c r="L134" s="32" t="str">
        <f t="shared" si="11"/>
        <v>HV</v>
      </c>
      <c r="M134" s="32">
        <f t="shared" si="12"/>
        <v>115600</v>
      </c>
      <c r="N134" s="4">
        <v>1</v>
      </c>
      <c r="O134" s="4">
        <v>0</v>
      </c>
      <c r="P134" s="4">
        <v>0</v>
      </c>
      <c r="Q134" s="4">
        <v>0</v>
      </c>
      <c r="R134" s="58">
        <v>0</v>
      </c>
      <c r="S134" s="58">
        <v>0</v>
      </c>
      <c r="T134" s="58">
        <v>0</v>
      </c>
      <c r="U134" s="5">
        <v>0</v>
      </c>
      <c r="V134" s="4">
        <v>0</v>
      </c>
      <c r="AG134" t="s">
        <v>174</v>
      </c>
      <c r="AM134" s="1" t="str">
        <f t="shared" si="9"/>
        <v>132_C0021_0716.jpg</v>
      </c>
    </row>
    <row r="135" spans="1:39" x14ac:dyDescent="0.35">
      <c r="A135">
        <v>131</v>
      </c>
      <c r="B135">
        <v>132</v>
      </c>
      <c r="C135">
        <v>146.82485391399999</v>
      </c>
      <c r="D135">
        <v>-19.172161083999999</v>
      </c>
      <c r="F135" s="64" t="s">
        <v>4060</v>
      </c>
      <c r="G135" s="64"/>
      <c r="H135" s="64"/>
      <c r="I135" s="64">
        <v>1</v>
      </c>
      <c r="J135" s="32">
        <f>IF(AND(I135=1,OR(I134=0,I134="")),MAX($J$4:$J134)+1,IF(AND(I135=1,I134=1),J134,""))</f>
        <v>3</v>
      </c>
      <c r="K135" s="32">
        <f t="shared" si="10"/>
        <v>340</v>
      </c>
      <c r="L135" s="32" t="str">
        <f t="shared" si="11"/>
        <v>HV</v>
      </c>
      <c r="M135" s="32">
        <f t="shared" si="12"/>
        <v>115600</v>
      </c>
      <c r="N135" s="4">
        <v>1</v>
      </c>
      <c r="O135" s="4">
        <v>0</v>
      </c>
      <c r="P135" s="4">
        <v>0</v>
      </c>
      <c r="Q135" s="4">
        <v>0</v>
      </c>
      <c r="R135" s="58">
        <v>0</v>
      </c>
      <c r="S135" s="58">
        <v>0</v>
      </c>
      <c r="T135" s="58">
        <v>0</v>
      </c>
      <c r="U135" s="5">
        <v>0</v>
      </c>
      <c r="V135" s="4">
        <v>0</v>
      </c>
      <c r="AG135" t="s">
        <v>175</v>
      </c>
      <c r="AM135" s="1" t="str">
        <f t="shared" si="9"/>
        <v>133_C0021_0714.jpg</v>
      </c>
    </row>
    <row r="136" spans="1:39" x14ac:dyDescent="0.35">
      <c r="A136">
        <v>132</v>
      </c>
      <c r="B136">
        <v>133</v>
      </c>
      <c r="C136">
        <v>146.82479965100001</v>
      </c>
      <c r="D136">
        <v>-19.1720934639999</v>
      </c>
      <c r="F136" s="64" t="s">
        <v>4061</v>
      </c>
      <c r="G136" s="64"/>
      <c r="H136" s="64"/>
      <c r="I136" s="64">
        <v>1</v>
      </c>
      <c r="J136" s="32">
        <f>IF(AND(I136=1,OR(I135=0,I135="")),MAX($J$4:$J135)+1,IF(AND(I136=1,I135=1),J135,""))</f>
        <v>3</v>
      </c>
      <c r="K136" s="32">
        <f t="shared" si="10"/>
        <v>340</v>
      </c>
      <c r="L136" s="32" t="str">
        <f t="shared" si="11"/>
        <v>HV</v>
      </c>
      <c r="M136" s="32">
        <f t="shared" si="12"/>
        <v>115600</v>
      </c>
      <c r="N136" s="4">
        <v>1</v>
      </c>
      <c r="O136" s="4">
        <v>0</v>
      </c>
      <c r="P136" s="4">
        <v>0</v>
      </c>
      <c r="Q136" s="4">
        <v>0</v>
      </c>
      <c r="R136" s="58">
        <v>0</v>
      </c>
      <c r="S136" s="58">
        <v>0</v>
      </c>
      <c r="T136" s="58">
        <v>0</v>
      </c>
      <c r="U136" s="5">
        <v>0</v>
      </c>
      <c r="V136" s="4">
        <v>0</v>
      </c>
      <c r="AG136" t="s">
        <v>176</v>
      </c>
      <c r="AM136" s="1" t="str">
        <f t="shared" si="9"/>
        <v>134_C0021_0709.jpg</v>
      </c>
    </row>
    <row r="137" spans="1:39" x14ac:dyDescent="0.35">
      <c r="A137">
        <v>133</v>
      </c>
      <c r="B137">
        <v>134</v>
      </c>
      <c r="C137">
        <v>146.824745388</v>
      </c>
      <c r="D137">
        <v>-19.172025844</v>
      </c>
      <c r="F137" s="64" t="s">
        <v>4062</v>
      </c>
      <c r="G137" s="64"/>
      <c r="H137" s="64"/>
      <c r="I137" s="64">
        <v>1</v>
      </c>
      <c r="J137" s="32">
        <f>IF(AND(I137=1,OR(I136=0,I136="")),MAX($J$4:$J136)+1,IF(AND(I137=1,I136=1),J136,""))</f>
        <v>3</v>
      </c>
      <c r="K137" s="32">
        <f t="shared" si="10"/>
        <v>340</v>
      </c>
      <c r="L137" s="32" t="str">
        <f t="shared" si="11"/>
        <v>HV</v>
      </c>
      <c r="M137" s="32">
        <f t="shared" si="12"/>
        <v>115600</v>
      </c>
      <c r="N137" s="4">
        <v>1</v>
      </c>
      <c r="O137" s="4">
        <v>0</v>
      </c>
      <c r="P137" s="4">
        <v>0</v>
      </c>
      <c r="Q137" s="4">
        <v>0</v>
      </c>
      <c r="R137" s="58">
        <v>0</v>
      </c>
      <c r="S137" s="58">
        <v>0</v>
      </c>
      <c r="T137" s="58">
        <v>0</v>
      </c>
      <c r="U137" s="5">
        <v>0</v>
      </c>
      <c r="V137" s="4">
        <v>0</v>
      </c>
      <c r="AG137" t="s">
        <v>177</v>
      </c>
      <c r="AM137" s="1" t="str">
        <f t="shared" si="9"/>
        <v>135_C0021_0706.jpg</v>
      </c>
    </row>
    <row r="138" spans="1:39" x14ac:dyDescent="0.35">
      <c r="A138">
        <v>134</v>
      </c>
      <c r="B138">
        <v>135</v>
      </c>
      <c r="C138">
        <v>146.82472145200001</v>
      </c>
      <c r="D138">
        <v>-19.171950624000001</v>
      </c>
      <c r="E138">
        <v>50</v>
      </c>
      <c r="F138" s="64" t="s">
        <v>4063</v>
      </c>
      <c r="G138" s="64"/>
      <c r="H138" s="64"/>
      <c r="I138" s="64">
        <v>1</v>
      </c>
      <c r="J138" s="32">
        <f>IF(AND(I138=1,OR(I137=0,I137="")),MAX($J$4:$J137)+1,IF(AND(I138=1,I137=1),J137,""))</f>
        <v>3</v>
      </c>
      <c r="K138" s="32">
        <f t="shared" si="10"/>
        <v>340</v>
      </c>
      <c r="L138" s="32" t="str">
        <f t="shared" si="11"/>
        <v>HV</v>
      </c>
      <c r="M138" s="32">
        <f t="shared" si="12"/>
        <v>115600</v>
      </c>
      <c r="N138" s="4">
        <v>1</v>
      </c>
      <c r="O138" s="4">
        <v>0</v>
      </c>
      <c r="P138" s="4">
        <v>0</v>
      </c>
      <c r="Q138" s="4">
        <v>0</v>
      </c>
      <c r="R138" s="58">
        <v>0</v>
      </c>
      <c r="S138" s="58">
        <v>0</v>
      </c>
      <c r="T138" s="58">
        <v>0</v>
      </c>
      <c r="U138" s="5">
        <v>0</v>
      </c>
      <c r="V138" s="4">
        <v>0</v>
      </c>
      <c r="AG138" t="s">
        <v>178</v>
      </c>
      <c r="AM138" s="1" t="str">
        <f t="shared" si="9"/>
        <v>136_C0021_0702.jpg</v>
      </c>
    </row>
    <row r="139" spans="1:39" x14ac:dyDescent="0.35">
      <c r="A139">
        <v>135</v>
      </c>
      <c r="B139">
        <v>136</v>
      </c>
      <c r="C139">
        <v>146.82473309100001</v>
      </c>
      <c r="D139">
        <v>-19.171866489999999</v>
      </c>
      <c r="F139" s="64" t="s">
        <v>4064</v>
      </c>
      <c r="G139" s="64"/>
      <c r="H139" s="64"/>
      <c r="I139" s="64">
        <v>1</v>
      </c>
      <c r="J139" s="32">
        <f>IF(AND(I139=1,OR(I138=0,I138="")),MAX($J$4:$J138)+1,IF(AND(I139=1,I138=1),J138,""))</f>
        <v>3</v>
      </c>
      <c r="K139" s="32">
        <f t="shared" si="10"/>
        <v>340</v>
      </c>
      <c r="L139" s="32" t="str">
        <f t="shared" si="11"/>
        <v>HV</v>
      </c>
      <c r="M139" s="32">
        <f t="shared" si="12"/>
        <v>115600</v>
      </c>
      <c r="N139" s="4">
        <v>1</v>
      </c>
      <c r="O139" s="4">
        <v>0</v>
      </c>
      <c r="P139" s="4">
        <v>0</v>
      </c>
      <c r="Q139" s="4">
        <v>0</v>
      </c>
      <c r="R139" s="58">
        <v>0</v>
      </c>
      <c r="S139" s="58">
        <v>0</v>
      </c>
      <c r="T139" s="58">
        <v>0</v>
      </c>
      <c r="U139" s="5">
        <v>0</v>
      </c>
      <c r="V139" s="4">
        <v>0</v>
      </c>
      <c r="AG139" t="s">
        <v>179</v>
      </c>
      <c r="AM139" s="1" t="str">
        <f t="shared" si="9"/>
        <v>137_C0021_0699.jpg</v>
      </c>
    </row>
    <row r="140" spans="1:39" x14ac:dyDescent="0.35">
      <c r="A140">
        <v>136</v>
      </c>
      <c r="B140">
        <v>137</v>
      </c>
      <c r="C140">
        <v>146.82469821399999</v>
      </c>
      <c r="D140">
        <v>-19.171807859999898</v>
      </c>
      <c r="F140" s="64" t="s">
        <v>4065</v>
      </c>
      <c r="G140" s="64"/>
      <c r="H140" s="64"/>
      <c r="I140" s="64">
        <v>1</v>
      </c>
      <c r="J140" s="32">
        <f>IF(AND(I140=1,OR(I139=0,I139="")),MAX($J$4:$J139)+1,IF(AND(I140=1,I139=1),J139,""))</f>
        <v>3</v>
      </c>
      <c r="K140" s="32">
        <f t="shared" si="10"/>
        <v>340</v>
      </c>
      <c r="L140" s="32" t="str">
        <f t="shared" si="11"/>
        <v>HV</v>
      </c>
      <c r="M140" s="32">
        <f t="shared" si="12"/>
        <v>115600</v>
      </c>
      <c r="N140" s="4">
        <v>1</v>
      </c>
      <c r="O140" s="4">
        <v>0</v>
      </c>
      <c r="P140" s="4">
        <v>0</v>
      </c>
      <c r="Q140" s="4">
        <v>0</v>
      </c>
      <c r="R140" s="58">
        <v>0</v>
      </c>
      <c r="S140" s="58">
        <v>0</v>
      </c>
      <c r="T140" s="58">
        <v>0</v>
      </c>
      <c r="U140" s="5">
        <v>0</v>
      </c>
      <c r="V140" s="4">
        <v>0</v>
      </c>
      <c r="AG140" t="s">
        <v>180</v>
      </c>
      <c r="AM140" s="1" t="str">
        <f t="shared" si="9"/>
        <v>138_C0021_0695.jpg</v>
      </c>
    </row>
    <row r="141" spans="1:39" x14ac:dyDescent="0.35">
      <c r="A141">
        <v>137</v>
      </c>
      <c r="B141">
        <v>138</v>
      </c>
      <c r="C141">
        <v>146.82461509399999</v>
      </c>
      <c r="D141">
        <v>-19.1717756799999</v>
      </c>
      <c r="F141" s="64" t="s">
        <v>4066</v>
      </c>
      <c r="G141" s="64"/>
      <c r="H141" s="64"/>
      <c r="I141" s="64">
        <v>1</v>
      </c>
      <c r="J141" s="32">
        <f>IF(AND(I141=1,OR(I140=0,I140="")),MAX($J$4:$J140)+1,IF(AND(I141=1,I140=1),J140,""))</f>
        <v>3</v>
      </c>
      <c r="K141" s="32">
        <f t="shared" si="10"/>
        <v>340</v>
      </c>
      <c r="L141" s="32" t="str">
        <f t="shared" si="11"/>
        <v>HV</v>
      </c>
      <c r="M141" s="32">
        <f t="shared" si="12"/>
        <v>115600</v>
      </c>
      <c r="N141" s="4">
        <v>1</v>
      </c>
      <c r="O141" s="4">
        <v>0</v>
      </c>
      <c r="P141" s="4">
        <v>0</v>
      </c>
      <c r="Q141" s="4">
        <v>0</v>
      </c>
      <c r="R141" s="58">
        <v>0</v>
      </c>
      <c r="S141" s="58">
        <v>0</v>
      </c>
      <c r="T141" s="58">
        <v>0</v>
      </c>
      <c r="U141" s="5">
        <v>0</v>
      </c>
      <c r="V141" s="4">
        <v>0</v>
      </c>
      <c r="AG141" t="s">
        <v>181</v>
      </c>
      <c r="AM141" s="1" t="str">
        <f t="shared" si="9"/>
        <v>139_C0021_0692.jpg</v>
      </c>
    </row>
    <row r="142" spans="1:39" x14ac:dyDescent="0.35">
      <c r="A142">
        <v>138</v>
      </c>
      <c r="B142">
        <v>139</v>
      </c>
      <c r="C142">
        <v>146.824531974</v>
      </c>
      <c r="D142">
        <v>-19.171743501000002</v>
      </c>
      <c r="F142" s="64" t="s">
        <v>4067</v>
      </c>
      <c r="G142" s="64"/>
      <c r="H142" s="64"/>
      <c r="I142" s="64">
        <v>1</v>
      </c>
      <c r="J142" s="32">
        <f>IF(AND(I142=1,OR(I141=0,I141="")),MAX($J$4:$J141)+1,IF(AND(I142=1,I141=1),J141,""))</f>
        <v>3</v>
      </c>
      <c r="K142" s="32">
        <f t="shared" si="10"/>
        <v>340</v>
      </c>
      <c r="L142" s="32" t="str">
        <f t="shared" si="11"/>
        <v>HV</v>
      </c>
      <c r="M142" s="32">
        <f t="shared" si="12"/>
        <v>115600</v>
      </c>
      <c r="N142" s="4">
        <v>1</v>
      </c>
      <c r="O142" s="4">
        <v>0</v>
      </c>
      <c r="P142" s="4">
        <v>0</v>
      </c>
      <c r="Q142" s="4">
        <v>0</v>
      </c>
      <c r="R142" s="58">
        <v>0</v>
      </c>
      <c r="S142" s="58">
        <v>0</v>
      </c>
      <c r="T142" s="58">
        <v>0</v>
      </c>
      <c r="U142" s="5">
        <v>0</v>
      </c>
      <c r="V142" s="4">
        <v>0</v>
      </c>
      <c r="AG142" t="s">
        <v>182</v>
      </c>
      <c r="AM142" s="1" t="str">
        <f t="shared" si="9"/>
        <v>140_C0021_0687.jpg</v>
      </c>
    </row>
    <row r="143" spans="1:39" x14ac:dyDescent="0.35">
      <c r="A143">
        <v>139</v>
      </c>
      <c r="B143">
        <v>140</v>
      </c>
      <c r="C143">
        <v>146.82447277</v>
      </c>
      <c r="D143">
        <v>-19.1716822449999</v>
      </c>
      <c r="E143">
        <v>50</v>
      </c>
      <c r="F143" s="64" t="s">
        <v>4068</v>
      </c>
      <c r="G143" s="64"/>
      <c r="H143" s="64"/>
      <c r="I143" s="64">
        <v>1</v>
      </c>
      <c r="J143" s="32">
        <f>IF(AND(I143=1,OR(I142=0,I142="")),MAX($J$4:$J142)+1,IF(AND(I143=1,I142=1),J142,""))</f>
        <v>3</v>
      </c>
      <c r="K143" s="32">
        <f t="shared" si="10"/>
        <v>340</v>
      </c>
      <c r="L143" s="32" t="str">
        <f t="shared" si="11"/>
        <v>HV</v>
      </c>
      <c r="M143" s="32">
        <f t="shared" si="12"/>
        <v>115600</v>
      </c>
      <c r="N143" s="4">
        <v>2</v>
      </c>
      <c r="O143" s="4">
        <v>0</v>
      </c>
      <c r="P143" s="4">
        <v>1</v>
      </c>
      <c r="Q143" s="4">
        <v>0</v>
      </c>
      <c r="R143" s="58">
        <v>0</v>
      </c>
      <c r="S143" s="58">
        <v>1</v>
      </c>
      <c r="T143" s="58">
        <v>0</v>
      </c>
      <c r="U143" s="5">
        <v>0</v>
      </c>
      <c r="V143" s="4">
        <v>0</v>
      </c>
      <c r="AG143" t="s">
        <v>183</v>
      </c>
      <c r="AM143" s="1" t="str">
        <f t="shared" si="9"/>
        <v>141_C0021_0684.jpg</v>
      </c>
    </row>
    <row r="144" spans="1:39" x14ac:dyDescent="0.35">
      <c r="A144">
        <v>140</v>
      </c>
      <c r="B144">
        <v>141</v>
      </c>
      <c r="C144">
        <v>146.824414684</v>
      </c>
      <c r="D144">
        <v>-19.171619781999901</v>
      </c>
      <c r="F144" s="64" t="s">
        <v>4069</v>
      </c>
      <c r="G144" s="64"/>
      <c r="H144" s="64"/>
      <c r="I144" s="64">
        <v>1</v>
      </c>
      <c r="J144" s="32">
        <f>IF(AND(I144=1,OR(I143=0,I143="")),MAX($J$4:$J143)+1,IF(AND(I144=1,I143=1),J143,""))</f>
        <v>3</v>
      </c>
      <c r="K144" s="32">
        <f t="shared" si="10"/>
        <v>340</v>
      </c>
      <c r="L144" s="32" t="str">
        <f t="shared" si="11"/>
        <v>HV</v>
      </c>
      <c r="M144" s="32">
        <f t="shared" si="12"/>
        <v>115600</v>
      </c>
      <c r="N144" s="4">
        <v>2</v>
      </c>
      <c r="O144" s="4">
        <v>0</v>
      </c>
      <c r="P144" s="4">
        <v>1</v>
      </c>
      <c r="Q144" s="4">
        <v>0</v>
      </c>
      <c r="R144" s="58">
        <v>0</v>
      </c>
      <c r="S144" s="58">
        <v>0</v>
      </c>
      <c r="T144" s="58">
        <v>0</v>
      </c>
      <c r="U144" s="5">
        <v>0</v>
      </c>
      <c r="V144" s="4">
        <v>0</v>
      </c>
      <c r="AG144" t="s">
        <v>184</v>
      </c>
      <c r="AM144" s="1" t="str">
        <f t="shared" si="9"/>
        <v>142_C0021_0680.jpg</v>
      </c>
    </row>
    <row r="145" spans="1:39" x14ac:dyDescent="0.35">
      <c r="A145">
        <v>141</v>
      </c>
      <c r="B145">
        <v>142</v>
      </c>
      <c r="C145">
        <v>146.82435799199999</v>
      </c>
      <c r="D145">
        <v>-19.1715554959999</v>
      </c>
      <c r="F145" s="64" t="s">
        <v>4070</v>
      </c>
      <c r="G145" s="64"/>
      <c r="H145" s="64"/>
      <c r="I145" s="64">
        <v>0</v>
      </c>
      <c r="J145" s="32" t="str">
        <f>IF(AND(I145=1,OR(I144=0,I144="")),MAX($J$4:$J144)+1,IF(AND(I145=1,I144=1),J144,""))</f>
        <v/>
      </c>
      <c r="K145" s="32" t="str">
        <f t="shared" si="10"/>
        <v/>
      </c>
      <c r="L145" s="32" t="str">
        <f t="shared" si="11"/>
        <v/>
      </c>
      <c r="M145" s="32" t="str">
        <f t="shared" si="12"/>
        <v/>
      </c>
      <c r="N145" s="4">
        <v>2</v>
      </c>
      <c r="O145" s="4">
        <v>0</v>
      </c>
      <c r="P145" s="4">
        <v>1</v>
      </c>
      <c r="Q145" s="4">
        <v>0</v>
      </c>
      <c r="R145" s="58">
        <v>0</v>
      </c>
      <c r="S145" s="58">
        <v>1</v>
      </c>
      <c r="T145" s="58">
        <v>0</v>
      </c>
      <c r="U145" s="5">
        <v>0</v>
      </c>
      <c r="V145" s="4">
        <v>0</v>
      </c>
      <c r="AG145" t="s">
        <v>185</v>
      </c>
      <c r="AM145" s="1" t="str">
        <f t="shared" si="9"/>
        <v>143_C0021_0677.jpg</v>
      </c>
    </row>
    <row r="146" spans="1:39" x14ac:dyDescent="0.35">
      <c r="A146">
        <v>142</v>
      </c>
      <c r="B146">
        <v>143</v>
      </c>
      <c r="C146">
        <v>146.824304267</v>
      </c>
      <c r="D146">
        <v>-19.171487493000001</v>
      </c>
      <c r="F146" s="64" t="s">
        <v>4071</v>
      </c>
      <c r="G146" s="64"/>
      <c r="H146" s="64"/>
      <c r="I146" s="64">
        <v>0</v>
      </c>
      <c r="J146" s="32" t="str">
        <f>IF(AND(I146=1,OR(I145=0,I145="")),MAX($J$4:$J145)+1,IF(AND(I146=1,I145=1),J145,""))</f>
        <v/>
      </c>
      <c r="K146" s="32" t="str">
        <f t="shared" si="10"/>
        <v/>
      </c>
      <c r="L146" s="32" t="str">
        <f t="shared" si="11"/>
        <v/>
      </c>
      <c r="M146" s="32" t="str">
        <f t="shared" si="12"/>
        <v/>
      </c>
      <c r="N146" s="4">
        <v>2</v>
      </c>
      <c r="O146" s="4">
        <v>1</v>
      </c>
      <c r="P146" s="4">
        <v>1</v>
      </c>
      <c r="Q146" s="4">
        <v>0</v>
      </c>
      <c r="R146" s="58">
        <v>0</v>
      </c>
      <c r="S146" s="58">
        <v>1</v>
      </c>
      <c r="T146" s="58">
        <v>0</v>
      </c>
      <c r="U146" s="5">
        <v>0</v>
      </c>
      <c r="V146" s="4">
        <v>0</v>
      </c>
      <c r="AG146" t="s">
        <v>186</v>
      </c>
      <c r="AM146" s="1" t="str">
        <f t="shared" si="9"/>
        <v>144_C0021_0673.jpg</v>
      </c>
    </row>
    <row r="147" spans="1:39" x14ac:dyDescent="0.35">
      <c r="A147">
        <v>143</v>
      </c>
      <c r="B147">
        <v>144</v>
      </c>
      <c r="C147">
        <v>146.82424270499999</v>
      </c>
      <c r="D147">
        <v>-19.171426696000001</v>
      </c>
      <c r="F147" s="64" t="s">
        <v>4072</v>
      </c>
      <c r="G147" s="64"/>
      <c r="H147" s="64"/>
      <c r="I147" s="64">
        <v>0</v>
      </c>
      <c r="J147" s="32" t="str">
        <f>IF(AND(I147=1,OR(I146=0,I146="")),MAX($J$4:$J146)+1,IF(AND(I147=1,I146=1),J146,""))</f>
        <v/>
      </c>
      <c r="K147" s="32" t="str">
        <f t="shared" si="10"/>
        <v/>
      </c>
      <c r="L147" s="32" t="str">
        <f t="shared" si="11"/>
        <v/>
      </c>
      <c r="M147" s="32" t="str">
        <f t="shared" si="12"/>
        <v/>
      </c>
      <c r="N147" s="4">
        <v>2</v>
      </c>
      <c r="O147" s="4">
        <v>0</v>
      </c>
      <c r="P147" s="4">
        <v>1</v>
      </c>
      <c r="Q147" s="4">
        <v>0</v>
      </c>
      <c r="R147" s="58">
        <v>0</v>
      </c>
      <c r="S147" s="58">
        <v>0</v>
      </c>
      <c r="T147" s="58">
        <v>0</v>
      </c>
      <c r="U147" s="5">
        <v>0</v>
      </c>
      <c r="V147" s="4">
        <v>0</v>
      </c>
      <c r="AG147" t="s">
        <v>187</v>
      </c>
      <c r="AM147" s="1" t="str">
        <f t="shared" si="9"/>
        <v>145_C0021_0670.jpg</v>
      </c>
    </row>
    <row r="148" spans="1:39" x14ac:dyDescent="0.35">
      <c r="A148">
        <v>144</v>
      </c>
      <c r="B148">
        <v>145</v>
      </c>
      <c r="C148">
        <v>146.82417218099999</v>
      </c>
      <c r="D148">
        <v>-19.171374140000001</v>
      </c>
      <c r="E148">
        <v>50</v>
      </c>
      <c r="F148" s="64" t="s">
        <v>4073</v>
      </c>
      <c r="G148" s="64"/>
      <c r="H148" s="64"/>
      <c r="I148" s="64">
        <v>0</v>
      </c>
      <c r="J148" s="32" t="str">
        <f>IF(AND(I148=1,OR(I147=0,I147="")),MAX($J$4:$J147)+1,IF(AND(I148=1,I147=1),J147,""))</f>
        <v/>
      </c>
      <c r="K148" s="32" t="str">
        <f t="shared" si="10"/>
        <v/>
      </c>
      <c r="L148" s="32" t="str">
        <f t="shared" si="11"/>
        <v/>
      </c>
      <c r="M148" s="32" t="str">
        <f t="shared" si="12"/>
        <v/>
      </c>
      <c r="N148" s="4">
        <v>3</v>
      </c>
      <c r="O148" s="4">
        <v>0</v>
      </c>
      <c r="P148" s="4">
        <v>1</v>
      </c>
      <c r="Q148" s="4">
        <v>0</v>
      </c>
      <c r="R148" s="58">
        <v>0</v>
      </c>
      <c r="S148" s="58">
        <v>1</v>
      </c>
      <c r="T148" s="58">
        <v>0</v>
      </c>
      <c r="U148" s="5">
        <v>0</v>
      </c>
      <c r="V148" s="4">
        <v>0</v>
      </c>
      <c r="AG148" t="s">
        <v>188</v>
      </c>
      <c r="AM148" s="1" t="str">
        <f t="shared" si="9"/>
        <v>146_C0021_0666.jpg</v>
      </c>
    </row>
    <row r="149" spans="1:39" x14ac:dyDescent="0.35">
      <c r="A149">
        <v>145</v>
      </c>
      <c r="B149">
        <v>146</v>
      </c>
      <c r="C149">
        <v>146.82412938600001</v>
      </c>
      <c r="D149">
        <v>-19.171306904999899</v>
      </c>
      <c r="F149" s="64" t="s">
        <v>4074</v>
      </c>
      <c r="G149" s="64"/>
      <c r="H149" s="64"/>
      <c r="I149" s="64">
        <v>1</v>
      </c>
      <c r="J149" s="32">
        <f>IF(AND(I149=1,OR(I148=0,I148="")),MAX($J$4:$J148)+1,IF(AND(I149=1,I148=1),J148,""))</f>
        <v>4</v>
      </c>
      <c r="K149" s="32">
        <f t="shared" si="10"/>
        <v>140</v>
      </c>
      <c r="L149" s="32" t="str">
        <f t="shared" si="11"/>
        <v>HV</v>
      </c>
      <c r="M149" s="32">
        <f t="shared" si="12"/>
        <v>19600</v>
      </c>
      <c r="N149" s="4">
        <v>1</v>
      </c>
      <c r="O149" s="4">
        <v>0</v>
      </c>
      <c r="P149" s="4">
        <v>0</v>
      </c>
      <c r="Q149" s="4">
        <v>1</v>
      </c>
      <c r="R149" s="58">
        <v>0</v>
      </c>
      <c r="S149" s="58">
        <v>0</v>
      </c>
      <c r="T149" s="58">
        <v>0</v>
      </c>
      <c r="U149" s="5">
        <v>0</v>
      </c>
      <c r="V149" s="4">
        <v>0</v>
      </c>
      <c r="AG149" t="s">
        <v>189</v>
      </c>
      <c r="AM149" s="1" t="str">
        <f t="shared" si="9"/>
        <v>147_C0021_0663.jpg</v>
      </c>
    </row>
    <row r="150" spans="1:39" x14ac:dyDescent="0.35">
      <c r="A150">
        <v>146</v>
      </c>
      <c r="B150">
        <v>147</v>
      </c>
      <c r="C150">
        <v>146.82409139399999</v>
      </c>
      <c r="D150">
        <v>-19.171230158</v>
      </c>
      <c r="F150" s="64" t="s">
        <v>4075</v>
      </c>
      <c r="G150" s="64"/>
      <c r="H150" s="64"/>
      <c r="I150" s="64">
        <v>1</v>
      </c>
      <c r="J150" s="32">
        <f>IF(AND(I150=1,OR(I149=0,I149="")),MAX($J$4:$J149)+1,IF(AND(I150=1,I149=1),J149,""))</f>
        <v>4</v>
      </c>
      <c r="K150" s="32">
        <f t="shared" si="10"/>
        <v>140</v>
      </c>
      <c r="L150" s="32" t="str">
        <f t="shared" si="11"/>
        <v>HV</v>
      </c>
      <c r="M150" s="32">
        <f t="shared" si="12"/>
        <v>19600</v>
      </c>
      <c r="N150" s="4">
        <v>1</v>
      </c>
      <c r="O150" s="4">
        <v>1</v>
      </c>
      <c r="P150" s="4">
        <v>0</v>
      </c>
      <c r="Q150" s="4">
        <v>0</v>
      </c>
      <c r="R150" s="58">
        <v>0</v>
      </c>
      <c r="S150" s="58">
        <v>1</v>
      </c>
      <c r="T150" s="58">
        <v>0</v>
      </c>
      <c r="U150" s="5">
        <v>0</v>
      </c>
      <c r="V150" s="4">
        <v>0</v>
      </c>
      <c r="AG150" t="s">
        <v>190</v>
      </c>
      <c r="AM150" s="1" t="str">
        <f t="shared" si="9"/>
        <v>148_C0021_0660.jpg</v>
      </c>
    </row>
    <row r="151" spans="1:39" x14ac:dyDescent="0.35">
      <c r="A151">
        <v>147</v>
      </c>
      <c r="B151">
        <v>148</v>
      </c>
      <c r="C151">
        <v>146.82403424099999</v>
      </c>
      <c r="D151">
        <v>-19.171164695999899</v>
      </c>
      <c r="F151" s="64" t="s">
        <v>4076</v>
      </c>
      <c r="G151" s="64"/>
      <c r="H151" s="64"/>
      <c r="I151" s="64">
        <v>1</v>
      </c>
      <c r="J151" s="32">
        <f>IF(AND(I151=1,OR(I150=0,I150="")),MAX($J$4:$J150)+1,IF(AND(I151=1,I150=1),J150,""))</f>
        <v>4</v>
      </c>
      <c r="K151" s="32">
        <f t="shared" si="10"/>
        <v>140</v>
      </c>
      <c r="L151" s="32" t="str">
        <f t="shared" si="11"/>
        <v>HV</v>
      </c>
      <c r="M151" s="32">
        <f t="shared" si="12"/>
        <v>19600</v>
      </c>
      <c r="N151" s="4">
        <v>1</v>
      </c>
      <c r="O151" s="4">
        <v>0</v>
      </c>
      <c r="P151" s="4">
        <v>0</v>
      </c>
      <c r="Q151" s="4">
        <v>0</v>
      </c>
      <c r="R151" s="58">
        <v>0</v>
      </c>
      <c r="S151" s="58">
        <v>0</v>
      </c>
      <c r="T151" s="58">
        <v>0</v>
      </c>
      <c r="U151" s="5">
        <v>0</v>
      </c>
      <c r="V151" s="4">
        <v>0</v>
      </c>
      <c r="AG151" t="s">
        <v>191</v>
      </c>
      <c r="AM151" s="1" t="str">
        <f t="shared" si="9"/>
        <v>149_C0021_0655.jpg</v>
      </c>
    </row>
    <row r="152" spans="1:39" x14ac:dyDescent="0.35">
      <c r="A152">
        <v>148</v>
      </c>
      <c r="B152">
        <v>149</v>
      </c>
      <c r="C152">
        <v>146.823951808</v>
      </c>
      <c r="D152">
        <v>-19.171143187999999</v>
      </c>
      <c r="F152" s="64" t="s">
        <v>4077</v>
      </c>
      <c r="G152" s="64"/>
      <c r="H152" s="64"/>
      <c r="I152" s="64">
        <v>1</v>
      </c>
      <c r="J152" s="32">
        <f>IF(AND(I152=1,OR(I151=0,I151="")),MAX($J$4:$J151)+1,IF(AND(I152=1,I151=1),J151,""))</f>
        <v>4</v>
      </c>
      <c r="K152" s="32">
        <f t="shared" si="10"/>
        <v>140</v>
      </c>
      <c r="L152" s="32" t="str">
        <f t="shared" si="11"/>
        <v>HV</v>
      </c>
      <c r="M152" s="32">
        <f t="shared" si="12"/>
        <v>19600</v>
      </c>
      <c r="N152" s="4">
        <v>1</v>
      </c>
      <c r="O152" s="4">
        <v>0</v>
      </c>
      <c r="P152" s="4">
        <v>0</v>
      </c>
      <c r="Q152" s="4">
        <v>0</v>
      </c>
      <c r="R152" s="58">
        <v>0</v>
      </c>
      <c r="S152" s="58">
        <v>0</v>
      </c>
      <c r="T152" s="58">
        <v>0</v>
      </c>
      <c r="U152" s="5">
        <v>0</v>
      </c>
      <c r="V152" s="4">
        <v>0</v>
      </c>
      <c r="AG152" t="s">
        <v>192</v>
      </c>
      <c r="AM152" s="1" t="str">
        <f t="shared" si="9"/>
        <v>150_C0021_0652.jpg</v>
      </c>
    </row>
    <row r="153" spans="1:39" x14ac:dyDescent="0.35">
      <c r="A153">
        <v>149</v>
      </c>
      <c r="B153">
        <v>150</v>
      </c>
      <c r="C153">
        <v>146.82387107100001</v>
      </c>
      <c r="D153">
        <v>-19.171106371999901</v>
      </c>
      <c r="E153">
        <v>50</v>
      </c>
      <c r="F153" s="64" t="s">
        <v>4078</v>
      </c>
      <c r="G153" s="64"/>
      <c r="H153" s="64"/>
      <c r="I153" s="64">
        <v>1</v>
      </c>
      <c r="J153" s="32">
        <f>IF(AND(I153=1,OR(I152=0,I152="")),MAX($J$4:$J152)+1,IF(AND(I153=1,I152=1),J152,""))</f>
        <v>4</v>
      </c>
      <c r="K153" s="32">
        <f t="shared" si="10"/>
        <v>140</v>
      </c>
      <c r="L153" s="32" t="str">
        <f t="shared" si="11"/>
        <v>HV</v>
      </c>
      <c r="M153" s="32">
        <f t="shared" si="12"/>
        <v>19600</v>
      </c>
      <c r="N153" s="4">
        <v>1</v>
      </c>
      <c r="O153" s="4">
        <v>0</v>
      </c>
      <c r="P153" s="4">
        <v>0</v>
      </c>
      <c r="Q153" s="4">
        <v>0</v>
      </c>
      <c r="R153" s="58">
        <v>0</v>
      </c>
      <c r="S153" s="58">
        <v>0</v>
      </c>
      <c r="T153" s="58">
        <v>0</v>
      </c>
      <c r="U153" s="5">
        <v>0</v>
      </c>
      <c r="V153" s="4">
        <v>0</v>
      </c>
      <c r="AG153" t="s">
        <v>193</v>
      </c>
      <c r="AM153" s="1" t="str">
        <f t="shared" si="9"/>
        <v>151_C0021_0649.jpg</v>
      </c>
    </row>
    <row r="154" spans="1:39" x14ac:dyDescent="0.35">
      <c r="A154">
        <v>150</v>
      </c>
      <c r="B154">
        <v>151</v>
      </c>
      <c r="C154">
        <v>146.82381745199999</v>
      </c>
      <c r="D154">
        <v>-19.171038294999999</v>
      </c>
      <c r="F154" s="64" t="s">
        <v>4079</v>
      </c>
      <c r="G154" s="64"/>
      <c r="H154" s="64"/>
      <c r="I154" s="64">
        <v>1</v>
      </c>
      <c r="J154" s="32">
        <f>IF(AND(I154=1,OR(I153=0,I153="")),MAX($J$4:$J153)+1,IF(AND(I154=1,I153=1),J153,""))</f>
        <v>4</v>
      </c>
      <c r="K154" s="32">
        <f t="shared" si="10"/>
        <v>140</v>
      </c>
      <c r="L154" s="32" t="str">
        <f t="shared" si="11"/>
        <v>HV</v>
      </c>
      <c r="M154" s="32">
        <f t="shared" si="12"/>
        <v>19600</v>
      </c>
      <c r="N154" s="4">
        <v>1</v>
      </c>
      <c r="O154" s="4">
        <v>0</v>
      </c>
      <c r="P154" s="4">
        <v>0</v>
      </c>
      <c r="Q154" s="4">
        <v>0</v>
      </c>
      <c r="R154" s="58">
        <v>0</v>
      </c>
      <c r="S154" s="58">
        <v>0</v>
      </c>
      <c r="T154" s="58">
        <v>0</v>
      </c>
      <c r="U154" s="5">
        <v>0</v>
      </c>
      <c r="V154" s="4">
        <v>0</v>
      </c>
      <c r="AG154" t="s">
        <v>194</v>
      </c>
      <c r="AM154" s="1" t="str">
        <f t="shared" si="9"/>
        <v>152_C0021_0645.jpg</v>
      </c>
    </row>
    <row r="155" spans="1:39" x14ac:dyDescent="0.35">
      <c r="A155">
        <v>151</v>
      </c>
      <c r="B155">
        <v>152</v>
      </c>
      <c r="C155">
        <v>146.823759862</v>
      </c>
      <c r="D155">
        <v>-19.170975341999998</v>
      </c>
      <c r="F155" s="64" t="s">
        <v>4080</v>
      </c>
      <c r="G155" s="64"/>
      <c r="H155" s="64"/>
      <c r="I155" s="64">
        <v>1</v>
      </c>
      <c r="J155" s="32">
        <f>IF(AND(I155=1,OR(I154=0,I154="")),MAX($J$4:$J154)+1,IF(AND(I155=1,I154=1),J154,""))</f>
        <v>4</v>
      </c>
      <c r="K155" s="32">
        <f t="shared" si="10"/>
        <v>140</v>
      </c>
      <c r="L155" s="32" t="str">
        <f t="shared" si="11"/>
        <v>HV</v>
      </c>
      <c r="M155" s="32">
        <f t="shared" si="12"/>
        <v>19600</v>
      </c>
      <c r="N155" s="4">
        <v>1</v>
      </c>
      <c r="O155" s="4">
        <v>0</v>
      </c>
      <c r="P155" s="4">
        <v>0</v>
      </c>
      <c r="Q155" s="4">
        <v>0</v>
      </c>
      <c r="R155" s="58">
        <v>0</v>
      </c>
      <c r="S155" s="58">
        <v>0</v>
      </c>
      <c r="T155" s="58">
        <v>0</v>
      </c>
      <c r="U155" s="5">
        <v>0</v>
      </c>
      <c r="V155" s="4">
        <v>0</v>
      </c>
      <c r="AG155" t="s">
        <v>195</v>
      </c>
      <c r="AM155" s="1" t="str">
        <f t="shared" si="9"/>
        <v>153_C0021_0641.jpg</v>
      </c>
    </row>
    <row r="156" spans="1:39" x14ac:dyDescent="0.35">
      <c r="A156">
        <v>152</v>
      </c>
      <c r="B156">
        <v>153</v>
      </c>
      <c r="C156">
        <v>146.82367494900001</v>
      </c>
      <c r="D156">
        <v>-19.170947648999999</v>
      </c>
      <c r="F156" s="64" t="s">
        <v>4081</v>
      </c>
      <c r="G156" s="64"/>
      <c r="H156" s="64"/>
      <c r="I156" s="64">
        <v>1</v>
      </c>
      <c r="J156" s="32">
        <f>IF(AND(I156=1,OR(I155=0,I155="")),MAX($J$4:$J155)+1,IF(AND(I156=1,I155=1),J155,""))</f>
        <v>4</v>
      </c>
      <c r="K156" s="32">
        <f t="shared" si="10"/>
        <v>140</v>
      </c>
      <c r="L156" s="32" t="str">
        <f t="shared" si="11"/>
        <v>HV</v>
      </c>
      <c r="M156" s="32">
        <f t="shared" si="12"/>
        <v>19600</v>
      </c>
      <c r="N156" s="4">
        <v>1</v>
      </c>
      <c r="O156" s="4">
        <v>0</v>
      </c>
      <c r="P156" s="4">
        <v>0</v>
      </c>
      <c r="Q156" s="4">
        <v>0</v>
      </c>
      <c r="R156" s="58">
        <v>0</v>
      </c>
      <c r="S156" s="58">
        <v>0</v>
      </c>
      <c r="T156" s="58">
        <v>0</v>
      </c>
      <c r="U156" s="5">
        <v>0</v>
      </c>
      <c r="V156" s="4">
        <v>0</v>
      </c>
      <c r="AG156" t="s">
        <v>196</v>
      </c>
      <c r="AM156" s="1" t="str">
        <f t="shared" si="9"/>
        <v>154_C0021_0637.jpg</v>
      </c>
    </row>
    <row r="157" spans="1:39" x14ac:dyDescent="0.35">
      <c r="A157">
        <v>153</v>
      </c>
      <c r="B157">
        <v>154</v>
      </c>
      <c r="C157">
        <v>146.82359128799999</v>
      </c>
      <c r="D157">
        <v>-19.170916857000002</v>
      </c>
      <c r="F157" s="64" t="s">
        <v>4082</v>
      </c>
      <c r="G157" s="64"/>
      <c r="H157" s="64"/>
      <c r="I157" s="64">
        <v>1</v>
      </c>
      <c r="J157" s="32">
        <f>IF(AND(I157=1,OR(I156=0,I156="")),MAX($J$4:$J156)+1,IF(AND(I157=1,I156=1),J156,""))</f>
        <v>4</v>
      </c>
      <c r="K157" s="32">
        <f t="shared" si="10"/>
        <v>140</v>
      </c>
      <c r="L157" s="32" t="str">
        <f t="shared" si="11"/>
        <v>HV</v>
      </c>
      <c r="M157" s="32">
        <f t="shared" si="12"/>
        <v>19600</v>
      </c>
      <c r="N157" s="4">
        <v>1</v>
      </c>
      <c r="O157" s="4">
        <v>0</v>
      </c>
      <c r="P157" s="4">
        <v>0</v>
      </c>
      <c r="Q157" s="4">
        <v>0</v>
      </c>
      <c r="R157" s="58">
        <v>0</v>
      </c>
      <c r="S157" s="58">
        <v>0</v>
      </c>
      <c r="T157" s="58">
        <v>0</v>
      </c>
      <c r="U157" s="5">
        <v>0</v>
      </c>
      <c r="V157" s="4">
        <v>0</v>
      </c>
      <c r="AG157" t="s">
        <v>197</v>
      </c>
      <c r="AM157" s="1" t="str">
        <f t="shared" si="9"/>
        <v>155_C0021_0633.jpg</v>
      </c>
    </row>
    <row r="158" spans="1:39" x14ac:dyDescent="0.35">
      <c r="A158">
        <v>154</v>
      </c>
      <c r="B158">
        <v>155</v>
      </c>
      <c r="C158">
        <v>146.82350841600001</v>
      </c>
      <c r="D158">
        <v>-19.170884112</v>
      </c>
      <c r="E158">
        <v>50</v>
      </c>
      <c r="F158" s="64" t="s">
        <v>4083</v>
      </c>
      <c r="G158" s="64"/>
      <c r="H158" s="64"/>
      <c r="I158" s="64">
        <v>1</v>
      </c>
      <c r="J158" s="32">
        <f>IF(AND(I158=1,OR(I157=0,I157="")),MAX($J$4:$J157)+1,IF(AND(I158=1,I157=1),J157,""))</f>
        <v>4</v>
      </c>
      <c r="K158" s="32">
        <f>IF(J158="","",COUNTIF(J:J,J158)*10)</f>
        <v>140</v>
      </c>
      <c r="L158" s="32" t="str">
        <f t="shared" si="11"/>
        <v>HV</v>
      </c>
      <c r="M158" s="32">
        <f t="shared" si="12"/>
        <v>19600</v>
      </c>
      <c r="N158" s="4">
        <v>1</v>
      </c>
      <c r="O158" s="4">
        <v>0</v>
      </c>
      <c r="P158" s="4">
        <v>0</v>
      </c>
      <c r="Q158" s="4">
        <v>0</v>
      </c>
      <c r="R158" s="58">
        <v>0</v>
      </c>
      <c r="S158" s="58">
        <v>0</v>
      </c>
      <c r="T158" s="58">
        <v>0</v>
      </c>
      <c r="U158" s="5">
        <v>0</v>
      </c>
      <c r="V158" s="4">
        <v>0</v>
      </c>
      <c r="AG158" t="s">
        <v>198</v>
      </c>
      <c r="AM158" s="1" t="str">
        <f t="shared" si="9"/>
        <v>156_C0021_0630.jpg</v>
      </c>
    </row>
    <row r="159" spans="1:39" x14ac:dyDescent="0.35">
      <c r="A159">
        <v>155</v>
      </c>
      <c r="B159">
        <v>156</v>
      </c>
      <c r="C159">
        <v>146.82347768899999</v>
      </c>
      <c r="D159">
        <v>-19.170806177999999</v>
      </c>
      <c r="F159" s="64" t="s">
        <v>4084</v>
      </c>
      <c r="G159" s="64"/>
      <c r="H159" s="64"/>
      <c r="I159" s="64">
        <v>1</v>
      </c>
      <c r="J159" s="32">
        <f>IF(AND(I159=1,OR(I158=0,I158="")),MAX($J$4:$J158)+1,IF(AND(I159=1,I158=1),J158,""))</f>
        <v>4</v>
      </c>
      <c r="K159" s="32">
        <f t="shared" ref="K159:K222" si="13">IF(J159="","",COUNTIF(J:J,J159)*10)</f>
        <v>140</v>
      </c>
      <c r="L159" s="32" t="str">
        <f t="shared" si="11"/>
        <v>HV</v>
      </c>
      <c r="M159" s="32">
        <f t="shared" si="12"/>
        <v>19600</v>
      </c>
      <c r="N159" s="4">
        <v>1</v>
      </c>
      <c r="O159" s="4">
        <v>0</v>
      </c>
      <c r="P159" s="4">
        <v>0</v>
      </c>
      <c r="Q159" s="4">
        <v>0</v>
      </c>
      <c r="R159" s="58">
        <v>0</v>
      </c>
      <c r="S159" s="58">
        <v>0</v>
      </c>
      <c r="T159" s="58">
        <v>0</v>
      </c>
      <c r="U159" s="5">
        <v>0</v>
      </c>
      <c r="V159" s="4">
        <v>0</v>
      </c>
      <c r="AG159" t="s">
        <v>199</v>
      </c>
      <c r="AM159" s="1" t="str">
        <f t="shared" si="9"/>
        <v>157_C0021_0627.jpg</v>
      </c>
    </row>
    <row r="160" spans="1:39" x14ac:dyDescent="0.35">
      <c r="A160">
        <v>156</v>
      </c>
      <c r="B160">
        <v>157</v>
      </c>
      <c r="C160">
        <v>146.82341366899999</v>
      </c>
      <c r="D160">
        <v>-19.170770767</v>
      </c>
      <c r="F160" s="64" t="s">
        <v>4085</v>
      </c>
      <c r="G160" s="64"/>
      <c r="H160" s="64"/>
      <c r="I160" s="64">
        <v>1</v>
      </c>
      <c r="J160" s="32">
        <f>IF(AND(I160=1,OR(I159=0,I159="")),MAX($J$4:$J159)+1,IF(AND(I160=1,I159=1),J159,""))</f>
        <v>4</v>
      </c>
      <c r="K160" s="32">
        <f t="shared" si="13"/>
        <v>140</v>
      </c>
      <c r="L160" s="32" t="str">
        <f t="shared" si="11"/>
        <v>HV</v>
      </c>
      <c r="M160" s="32">
        <f t="shared" si="12"/>
        <v>19600</v>
      </c>
      <c r="N160" s="4">
        <v>1</v>
      </c>
      <c r="O160" s="4">
        <v>0</v>
      </c>
      <c r="P160" s="4">
        <v>0</v>
      </c>
      <c r="Q160" s="4">
        <v>0</v>
      </c>
      <c r="R160" s="58">
        <v>0</v>
      </c>
      <c r="S160" s="58">
        <v>0</v>
      </c>
      <c r="T160" s="58">
        <v>0</v>
      </c>
      <c r="U160" s="5">
        <v>0</v>
      </c>
      <c r="V160" s="4">
        <v>0</v>
      </c>
      <c r="AG160" t="s">
        <v>200</v>
      </c>
      <c r="AM160" s="1" t="str">
        <f t="shared" si="9"/>
        <v>158_C0021_0623.jpg</v>
      </c>
    </row>
    <row r="161" spans="1:39" x14ac:dyDescent="0.35">
      <c r="A161">
        <v>157</v>
      </c>
      <c r="B161">
        <v>158</v>
      </c>
      <c r="C161">
        <v>146.823336095</v>
      </c>
      <c r="D161">
        <v>-19.170735896999901</v>
      </c>
      <c r="F161" s="64" t="s">
        <v>4086</v>
      </c>
      <c r="G161" s="64"/>
      <c r="H161" s="64"/>
      <c r="I161" s="64">
        <v>1</v>
      </c>
      <c r="J161" s="32">
        <f>IF(AND(I161=1,OR(I160=0,I160="")),MAX($J$4:$J160)+1,IF(AND(I161=1,I160=1),J160,""))</f>
        <v>4</v>
      </c>
      <c r="K161" s="32">
        <f t="shared" si="13"/>
        <v>140</v>
      </c>
      <c r="L161" s="32" t="str">
        <f t="shared" si="11"/>
        <v>HV</v>
      </c>
      <c r="M161" s="32">
        <f t="shared" si="12"/>
        <v>19600</v>
      </c>
      <c r="N161" s="4">
        <v>1</v>
      </c>
      <c r="O161" s="4">
        <v>0</v>
      </c>
      <c r="P161" s="4">
        <v>0</v>
      </c>
      <c r="Q161" s="4">
        <v>0</v>
      </c>
      <c r="R161" s="58">
        <v>0</v>
      </c>
      <c r="S161" s="58">
        <v>0</v>
      </c>
      <c r="T161" s="58">
        <v>0</v>
      </c>
      <c r="U161" s="5">
        <v>0</v>
      </c>
      <c r="V161" s="4">
        <v>0</v>
      </c>
      <c r="AG161" t="s">
        <v>201</v>
      </c>
      <c r="AM161" s="1" t="str">
        <f t="shared" ref="AM161:AM192" si="14">HYPERLINK("E:\CAFNEC_GBRF\2023\JohnstoneRiver\Frames_for_Analysis\" &amp; F162, F162)</f>
        <v>159_C0021_0620.jpg</v>
      </c>
    </row>
    <row r="162" spans="1:39" x14ac:dyDescent="0.35">
      <c r="A162">
        <v>158</v>
      </c>
      <c r="B162">
        <v>159</v>
      </c>
      <c r="C162">
        <v>146.82327138100001</v>
      </c>
      <c r="D162">
        <v>-19.170677472000001</v>
      </c>
      <c r="F162" s="64" t="s">
        <v>4087</v>
      </c>
      <c r="G162" s="64"/>
      <c r="H162" s="64"/>
      <c r="I162" s="64">
        <v>1</v>
      </c>
      <c r="J162" s="32">
        <f>IF(AND(I162=1,OR(I161=0,I161="")),MAX($J$4:$J161)+1,IF(AND(I162=1,I161=1),J161,""))</f>
        <v>4</v>
      </c>
      <c r="K162" s="32">
        <f t="shared" si="13"/>
        <v>140</v>
      </c>
      <c r="L162" s="32" t="str">
        <f t="shared" si="11"/>
        <v>HV</v>
      </c>
      <c r="M162" s="32">
        <f t="shared" si="12"/>
        <v>19600</v>
      </c>
      <c r="N162" s="4">
        <v>1</v>
      </c>
      <c r="O162" s="4">
        <v>0</v>
      </c>
      <c r="P162" s="4">
        <v>0</v>
      </c>
      <c r="Q162" s="4">
        <v>0</v>
      </c>
      <c r="R162" s="58">
        <v>0</v>
      </c>
      <c r="S162" s="58">
        <v>0</v>
      </c>
      <c r="T162" s="58">
        <v>0</v>
      </c>
      <c r="U162" s="5">
        <v>0</v>
      </c>
      <c r="V162" s="4">
        <v>0</v>
      </c>
      <c r="AG162" t="s">
        <v>202</v>
      </c>
      <c r="AM162" s="1" t="str">
        <f t="shared" si="14"/>
        <v>160_C0021_0617.jpg</v>
      </c>
    </row>
    <row r="163" spans="1:39" x14ac:dyDescent="0.35">
      <c r="A163">
        <v>159</v>
      </c>
      <c r="B163">
        <v>160</v>
      </c>
      <c r="C163">
        <v>146.823210848</v>
      </c>
      <c r="D163">
        <v>-19.170614778999902</v>
      </c>
      <c r="E163">
        <v>50</v>
      </c>
      <c r="F163" s="64" t="s">
        <v>4088</v>
      </c>
      <c r="G163" s="64"/>
      <c r="H163" s="64"/>
      <c r="I163" s="64">
        <v>0</v>
      </c>
      <c r="J163" s="32" t="str">
        <f>IF(AND(I163=1,OR(I162=0,I162="")),MAX($J$4:$J162)+1,IF(AND(I163=1,I162=1),J162,""))</f>
        <v/>
      </c>
      <c r="K163" s="32" t="str">
        <f t="shared" si="13"/>
        <v/>
      </c>
      <c r="L163" s="32" t="str">
        <f t="shared" si="11"/>
        <v/>
      </c>
      <c r="M163" s="32" t="str">
        <f t="shared" si="12"/>
        <v/>
      </c>
      <c r="N163" s="4">
        <v>1</v>
      </c>
      <c r="O163" s="4">
        <v>0</v>
      </c>
      <c r="P163" s="4">
        <v>0</v>
      </c>
      <c r="Q163" s="4">
        <v>0</v>
      </c>
      <c r="R163" s="58">
        <v>0</v>
      </c>
      <c r="S163" s="58">
        <v>0</v>
      </c>
      <c r="T163" s="58">
        <v>0</v>
      </c>
      <c r="U163" s="5">
        <v>0</v>
      </c>
      <c r="V163" s="4">
        <v>0</v>
      </c>
      <c r="AG163" t="s">
        <v>203</v>
      </c>
      <c r="AM163" s="1" t="str">
        <f t="shared" si="14"/>
        <v>161_C0021_0614.jpg</v>
      </c>
    </row>
    <row r="164" spans="1:39" x14ac:dyDescent="0.35">
      <c r="A164">
        <v>160</v>
      </c>
      <c r="B164">
        <v>161</v>
      </c>
      <c r="C164">
        <v>146.82315031499999</v>
      </c>
      <c r="D164">
        <v>-19.170552087000001</v>
      </c>
      <c r="F164" s="64" t="s">
        <v>4089</v>
      </c>
      <c r="G164" s="64"/>
      <c r="H164" s="64"/>
      <c r="I164" s="64">
        <v>0</v>
      </c>
      <c r="J164" s="32" t="str">
        <f>IF(AND(I164=1,OR(I163=0,I163="")),MAX($J$4:$J163)+1,IF(AND(I164=1,I163=1),J163,""))</f>
        <v/>
      </c>
      <c r="K164" s="32" t="str">
        <f t="shared" si="13"/>
        <v/>
      </c>
      <c r="L164" s="32" t="str">
        <f t="shared" si="11"/>
        <v/>
      </c>
      <c r="M164" s="32" t="str">
        <f t="shared" si="12"/>
        <v/>
      </c>
      <c r="N164" s="4">
        <v>1</v>
      </c>
      <c r="O164" s="4">
        <v>0</v>
      </c>
      <c r="P164" s="4">
        <v>0</v>
      </c>
      <c r="Q164" s="4">
        <v>0</v>
      </c>
      <c r="R164" s="58">
        <v>0</v>
      </c>
      <c r="S164" s="58">
        <v>0</v>
      </c>
      <c r="T164" s="58">
        <v>0</v>
      </c>
      <c r="U164" s="5">
        <v>0</v>
      </c>
      <c r="V164" s="4">
        <v>0</v>
      </c>
      <c r="AG164" t="s">
        <v>204</v>
      </c>
      <c r="AM164" s="1" t="str">
        <f t="shared" si="14"/>
        <v>162_C0021_0611.jpg</v>
      </c>
    </row>
    <row r="165" spans="1:39" x14ac:dyDescent="0.35">
      <c r="A165">
        <v>161</v>
      </c>
      <c r="B165">
        <v>162</v>
      </c>
      <c r="C165">
        <v>146.82307767399999</v>
      </c>
      <c r="D165">
        <v>-19.170515266999899</v>
      </c>
      <c r="F165" s="64" t="s">
        <v>4090</v>
      </c>
      <c r="G165" s="64"/>
      <c r="H165" s="64"/>
      <c r="I165" s="64">
        <v>0</v>
      </c>
      <c r="J165" s="32" t="str">
        <f>IF(AND(I165=1,OR(I164=0,I164="")),MAX($J$4:$J164)+1,IF(AND(I165=1,I164=1),J164,""))</f>
        <v/>
      </c>
      <c r="K165" s="32" t="str">
        <f t="shared" si="13"/>
        <v/>
      </c>
      <c r="L165" s="32" t="str">
        <f t="shared" si="11"/>
        <v/>
      </c>
      <c r="M165" s="32" t="str">
        <f t="shared" si="12"/>
        <v/>
      </c>
      <c r="N165" s="4">
        <v>1</v>
      </c>
      <c r="O165" s="4">
        <v>0</v>
      </c>
      <c r="P165" s="4">
        <v>0</v>
      </c>
      <c r="Q165" s="4">
        <v>0</v>
      </c>
      <c r="R165" s="58">
        <v>0</v>
      </c>
      <c r="S165" s="58">
        <v>0</v>
      </c>
      <c r="T165" s="58">
        <v>0</v>
      </c>
      <c r="U165" s="5">
        <v>0</v>
      </c>
      <c r="V165" s="4">
        <v>0</v>
      </c>
      <c r="AG165" t="s">
        <v>205</v>
      </c>
      <c r="AM165" s="1" t="str">
        <f t="shared" si="14"/>
        <v>163_C0021_0608.jpg</v>
      </c>
    </row>
    <row r="166" spans="1:39" x14ac:dyDescent="0.35">
      <c r="A166">
        <v>162</v>
      </c>
      <c r="B166">
        <v>163</v>
      </c>
      <c r="C166">
        <v>146.82298784299999</v>
      </c>
      <c r="D166">
        <v>-19.170515180999899</v>
      </c>
      <c r="F166" s="64" t="s">
        <v>4091</v>
      </c>
      <c r="G166" s="64"/>
      <c r="H166" s="64"/>
      <c r="I166" s="64">
        <v>0</v>
      </c>
      <c r="J166" s="32" t="str">
        <f>IF(AND(I166=1,OR(I165=0,I165="")),MAX($J$4:$J165)+1,IF(AND(I166=1,I165=1),J165,""))</f>
        <v/>
      </c>
      <c r="K166" s="32" t="str">
        <f t="shared" si="13"/>
        <v/>
      </c>
      <c r="L166" s="32" t="str">
        <f t="shared" si="11"/>
        <v/>
      </c>
      <c r="M166" s="32" t="str">
        <f t="shared" si="12"/>
        <v/>
      </c>
      <c r="N166" s="4">
        <v>1</v>
      </c>
      <c r="O166" s="4">
        <v>0</v>
      </c>
      <c r="P166" s="4">
        <v>0</v>
      </c>
      <c r="Q166" s="4">
        <v>0</v>
      </c>
      <c r="R166" s="58">
        <v>0</v>
      </c>
      <c r="S166" s="58">
        <v>0</v>
      </c>
      <c r="T166" s="58">
        <v>0</v>
      </c>
      <c r="U166" s="5">
        <v>0</v>
      </c>
      <c r="V166" s="4">
        <v>0</v>
      </c>
      <c r="AG166" t="s">
        <v>206</v>
      </c>
      <c r="AM166" s="1" t="str">
        <f t="shared" si="14"/>
        <v>164_C0021_0604.jpg</v>
      </c>
    </row>
    <row r="167" spans="1:39" x14ac:dyDescent="0.35">
      <c r="A167">
        <v>163</v>
      </c>
      <c r="B167">
        <v>164</v>
      </c>
      <c r="C167">
        <v>146.82291393899999</v>
      </c>
      <c r="D167">
        <v>-19.170471940999999</v>
      </c>
      <c r="F167" s="64" t="s">
        <v>4092</v>
      </c>
      <c r="G167" s="64"/>
      <c r="H167" s="64"/>
      <c r="I167" s="64">
        <v>0</v>
      </c>
      <c r="J167" s="32" t="str">
        <f>IF(AND(I167=1,OR(I166=0,I166="")),MAX($J$4:$J166)+1,IF(AND(I167=1,I166=1),J166,""))</f>
        <v/>
      </c>
      <c r="K167" s="32" t="str">
        <f t="shared" si="13"/>
        <v/>
      </c>
      <c r="L167" s="32" t="str">
        <f t="shared" si="11"/>
        <v/>
      </c>
      <c r="M167" s="32" t="str">
        <f t="shared" si="12"/>
        <v/>
      </c>
      <c r="N167" s="4">
        <v>1</v>
      </c>
      <c r="O167" s="4">
        <v>0</v>
      </c>
      <c r="P167" s="4">
        <v>0</v>
      </c>
      <c r="Q167" s="4">
        <v>0</v>
      </c>
      <c r="R167" s="58">
        <v>0</v>
      </c>
      <c r="S167" s="58">
        <v>0</v>
      </c>
      <c r="T167" s="58">
        <v>0</v>
      </c>
      <c r="U167" s="5">
        <v>0</v>
      </c>
      <c r="V167" s="4">
        <v>0</v>
      </c>
      <c r="AG167" t="s">
        <v>207</v>
      </c>
      <c r="AM167" s="1" t="str">
        <f t="shared" si="14"/>
        <v>165_C0021_0601.jpg</v>
      </c>
    </row>
    <row r="168" spans="1:39" x14ac:dyDescent="0.35">
      <c r="A168">
        <v>164</v>
      </c>
      <c r="B168">
        <v>165</v>
      </c>
      <c r="C168">
        <v>146.82283925499999</v>
      </c>
      <c r="D168">
        <v>-19.170424789999998</v>
      </c>
      <c r="E168">
        <v>50</v>
      </c>
      <c r="F168" s="64" t="s">
        <v>4093</v>
      </c>
      <c r="G168" s="64"/>
      <c r="H168" s="64"/>
      <c r="I168" s="64">
        <v>0</v>
      </c>
      <c r="J168" s="32" t="str">
        <f>IF(AND(I168=1,OR(I167=0,I167="")),MAX($J$4:$J167)+1,IF(AND(I168=1,I167=1),J167,""))</f>
        <v/>
      </c>
      <c r="K168" s="32" t="str">
        <f t="shared" si="13"/>
        <v/>
      </c>
      <c r="L168" s="32" t="str">
        <f t="shared" si="11"/>
        <v/>
      </c>
      <c r="M168" s="32" t="str">
        <f t="shared" si="12"/>
        <v/>
      </c>
      <c r="N168" s="4">
        <v>1</v>
      </c>
      <c r="O168" s="4">
        <v>0</v>
      </c>
      <c r="P168" s="4">
        <v>0</v>
      </c>
      <c r="Q168" s="4">
        <v>0</v>
      </c>
      <c r="R168" s="58">
        <v>0</v>
      </c>
      <c r="S168" s="58">
        <v>0</v>
      </c>
      <c r="T168" s="58">
        <v>0</v>
      </c>
      <c r="U168" s="5">
        <v>0</v>
      </c>
      <c r="V168" s="4">
        <v>0</v>
      </c>
      <c r="AG168" t="s">
        <v>208</v>
      </c>
      <c r="AM168" s="1" t="str">
        <f t="shared" si="14"/>
        <v>166_C0021_0597.jpg</v>
      </c>
    </row>
    <row r="169" spans="1:39" x14ac:dyDescent="0.35">
      <c r="A169">
        <v>165</v>
      </c>
      <c r="B169">
        <v>166</v>
      </c>
      <c r="C169">
        <v>146.82276457</v>
      </c>
      <c r="D169">
        <v>-19.170377639000002</v>
      </c>
      <c r="F169" s="64" t="s">
        <v>4094</v>
      </c>
      <c r="G169" s="64"/>
      <c r="H169" s="64"/>
      <c r="I169" s="64">
        <v>0</v>
      </c>
      <c r="J169" s="32" t="str">
        <f>IF(AND(I169=1,OR(I168=0,I168="")),MAX($J$4:$J168)+1,IF(AND(I169=1,I168=1),J168,""))</f>
        <v/>
      </c>
      <c r="K169" s="32" t="str">
        <f t="shared" si="13"/>
        <v/>
      </c>
      <c r="L169" s="32" t="str">
        <f t="shared" si="11"/>
        <v/>
      </c>
      <c r="M169" s="32" t="str">
        <f t="shared" si="12"/>
        <v/>
      </c>
      <c r="N169" s="4">
        <v>1</v>
      </c>
      <c r="O169" s="4">
        <v>0</v>
      </c>
      <c r="P169" s="4">
        <v>0</v>
      </c>
      <c r="Q169" s="4">
        <v>0</v>
      </c>
      <c r="R169" s="58">
        <v>1</v>
      </c>
      <c r="S169" s="58">
        <v>0</v>
      </c>
      <c r="T169" s="58">
        <v>0</v>
      </c>
      <c r="U169" s="5">
        <v>0</v>
      </c>
      <c r="V169" s="4">
        <v>0</v>
      </c>
      <c r="AG169" t="s">
        <v>209</v>
      </c>
      <c r="AM169" s="1" t="str">
        <f t="shared" si="14"/>
        <v>167_C0021_0593.jpg</v>
      </c>
    </row>
    <row r="170" spans="1:39" x14ac:dyDescent="0.35">
      <c r="A170">
        <v>166</v>
      </c>
      <c r="B170">
        <v>167</v>
      </c>
      <c r="C170">
        <v>146.82268988499999</v>
      </c>
      <c r="D170">
        <v>-19.170330487999902</v>
      </c>
      <c r="F170" s="64" t="s">
        <v>4095</v>
      </c>
      <c r="G170" s="64"/>
      <c r="H170" s="64"/>
      <c r="I170" s="64">
        <v>1</v>
      </c>
      <c r="J170" s="32">
        <f>IF(AND(I170=1,OR(I169=0,I169="")),MAX($J$4:$J169)+1,IF(AND(I170=1,I169=1),J169,""))</f>
        <v>5</v>
      </c>
      <c r="K170" s="32">
        <f t="shared" si="13"/>
        <v>10</v>
      </c>
      <c r="L170" s="32" t="str">
        <f t="shared" si="11"/>
        <v/>
      </c>
      <c r="M170" s="32">
        <f t="shared" si="12"/>
        <v>100</v>
      </c>
      <c r="N170" s="4">
        <v>1</v>
      </c>
      <c r="O170" s="4">
        <v>0</v>
      </c>
      <c r="P170" s="4">
        <v>0</v>
      </c>
      <c r="Q170" s="4">
        <v>0</v>
      </c>
      <c r="R170" s="58">
        <v>0</v>
      </c>
      <c r="S170" s="58">
        <v>0</v>
      </c>
      <c r="T170" s="58">
        <v>0</v>
      </c>
      <c r="U170" s="5">
        <v>0</v>
      </c>
      <c r="V170" s="4">
        <v>0</v>
      </c>
      <c r="AG170" t="s">
        <v>210</v>
      </c>
      <c r="AM170" s="1" t="str">
        <f t="shared" si="14"/>
        <v>168_C0021_0589.jpg</v>
      </c>
    </row>
    <row r="171" spans="1:39" x14ac:dyDescent="0.35">
      <c r="A171">
        <v>167</v>
      </c>
      <c r="B171">
        <v>168</v>
      </c>
      <c r="C171">
        <v>146.8226152</v>
      </c>
      <c r="D171">
        <v>-19.170283337999901</v>
      </c>
      <c r="F171" s="64" t="s">
        <v>4096</v>
      </c>
      <c r="G171" s="64"/>
      <c r="H171" s="64"/>
      <c r="I171" s="64">
        <v>0</v>
      </c>
      <c r="J171" s="32" t="str">
        <f>IF(AND(I171=1,OR(I170=0,I170="")),MAX($J$4:$J170)+1,IF(AND(I171=1,I170=1),J170,""))</f>
        <v/>
      </c>
      <c r="K171" s="32" t="str">
        <f t="shared" si="13"/>
        <v/>
      </c>
      <c r="L171" s="32" t="str">
        <f t="shared" si="11"/>
        <v/>
      </c>
      <c r="M171" s="32" t="str">
        <f t="shared" si="12"/>
        <v/>
      </c>
      <c r="N171" s="4">
        <v>1</v>
      </c>
      <c r="O171" s="4">
        <v>0</v>
      </c>
      <c r="P171" s="4">
        <v>0</v>
      </c>
      <c r="Q171" s="4">
        <v>0</v>
      </c>
      <c r="R171" s="58">
        <v>0</v>
      </c>
      <c r="S171" s="58">
        <v>0</v>
      </c>
      <c r="T171" s="58">
        <v>0</v>
      </c>
      <c r="U171" s="5">
        <v>0</v>
      </c>
      <c r="V171" s="4">
        <v>0</v>
      </c>
      <c r="AG171" t="s">
        <v>211</v>
      </c>
      <c r="AM171" s="1" t="str">
        <f t="shared" si="14"/>
        <v>169_C0021_0584.jpg</v>
      </c>
    </row>
    <row r="172" spans="1:39" x14ac:dyDescent="0.35">
      <c r="A172">
        <v>168</v>
      </c>
      <c r="B172">
        <v>169</v>
      </c>
      <c r="C172">
        <v>146.822540516</v>
      </c>
      <c r="D172">
        <v>-19.170236186999901</v>
      </c>
      <c r="F172" s="64" t="s">
        <v>4097</v>
      </c>
      <c r="G172" s="64"/>
      <c r="H172" s="64"/>
      <c r="I172" s="64">
        <v>0</v>
      </c>
      <c r="J172" s="32" t="str">
        <f>IF(AND(I172=1,OR(I171=0,I171="")),MAX($J$4:$J171)+1,IF(AND(I172=1,I171=1),J171,""))</f>
        <v/>
      </c>
      <c r="K172" s="32" t="str">
        <f t="shared" si="13"/>
        <v/>
      </c>
      <c r="L172" s="32" t="str">
        <f t="shared" si="11"/>
        <v/>
      </c>
      <c r="M172" s="32" t="str">
        <f t="shared" si="12"/>
        <v/>
      </c>
      <c r="N172" s="4">
        <v>1</v>
      </c>
      <c r="O172" s="4">
        <v>0</v>
      </c>
      <c r="P172" s="4">
        <v>0</v>
      </c>
      <c r="Q172" s="4">
        <v>0</v>
      </c>
      <c r="R172" s="58">
        <v>0</v>
      </c>
      <c r="S172" s="58">
        <v>0</v>
      </c>
      <c r="T172" s="58">
        <v>0</v>
      </c>
      <c r="U172" s="5">
        <v>0</v>
      </c>
      <c r="V172" s="4">
        <v>0</v>
      </c>
      <c r="AG172" t="s">
        <v>212</v>
      </c>
      <c r="AM172" s="1" t="str">
        <f t="shared" si="14"/>
        <v>170_C0021_0580.jpg</v>
      </c>
    </row>
    <row r="173" spans="1:39" x14ac:dyDescent="0.35">
      <c r="A173">
        <v>169</v>
      </c>
      <c r="B173">
        <v>170</v>
      </c>
      <c r="C173">
        <v>146.82246583099999</v>
      </c>
      <c r="D173">
        <v>-19.170189036</v>
      </c>
      <c r="E173">
        <v>50</v>
      </c>
      <c r="F173" s="64" t="s">
        <v>4098</v>
      </c>
      <c r="G173" s="64"/>
      <c r="H173" s="64"/>
      <c r="I173" s="64">
        <v>0</v>
      </c>
      <c r="J173" s="32" t="str">
        <f>IF(AND(I173=1,OR(I172=0,I172="")),MAX($J$4:$J172)+1,IF(AND(I173=1,I172=1),J172,""))</f>
        <v/>
      </c>
      <c r="K173" s="32" t="str">
        <f t="shared" si="13"/>
        <v/>
      </c>
      <c r="L173" s="32" t="str">
        <f t="shared" si="11"/>
        <v/>
      </c>
      <c r="M173" s="32" t="str">
        <f t="shared" si="12"/>
        <v/>
      </c>
      <c r="N173" s="4">
        <v>1</v>
      </c>
      <c r="O173" s="4">
        <v>0</v>
      </c>
      <c r="P173" s="4">
        <v>0</v>
      </c>
      <c r="Q173" s="4">
        <v>0</v>
      </c>
      <c r="R173" s="58">
        <v>0</v>
      </c>
      <c r="S173" s="58">
        <v>0</v>
      </c>
      <c r="T173" s="58">
        <v>0</v>
      </c>
      <c r="U173" s="5">
        <v>0</v>
      </c>
      <c r="V173" s="4">
        <v>0</v>
      </c>
      <c r="AG173" t="s">
        <v>213</v>
      </c>
      <c r="AM173" s="1" t="str">
        <f t="shared" si="14"/>
        <v>171_C0021_0576.jpg</v>
      </c>
    </row>
    <row r="174" spans="1:39" x14ac:dyDescent="0.35">
      <c r="A174">
        <v>170</v>
      </c>
      <c r="B174">
        <v>171</v>
      </c>
      <c r="C174">
        <v>146.822381318</v>
      </c>
      <c r="D174">
        <v>-19.170161547999999</v>
      </c>
      <c r="F174" s="64" t="s">
        <v>4099</v>
      </c>
      <c r="G174" s="64"/>
      <c r="H174" s="64"/>
      <c r="I174" s="64">
        <v>0</v>
      </c>
      <c r="J174" s="32" t="str">
        <f>IF(AND(I174=1,OR(I173=0,I173="")),MAX($J$4:$J173)+1,IF(AND(I174=1,I173=1),J173,""))</f>
        <v/>
      </c>
      <c r="K174" s="32" t="str">
        <f t="shared" si="13"/>
        <v/>
      </c>
      <c r="L174" s="32" t="str">
        <f t="shared" si="11"/>
        <v/>
      </c>
      <c r="M174" s="32" t="str">
        <f t="shared" si="12"/>
        <v/>
      </c>
      <c r="N174" s="4">
        <v>1</v>
      </c>
      <c r="O174" s="4">
        <v>0</v>
      </c>
      <c r="P174" s="4">
        <v>0</v>
      </c>
      <c r="Q174" s="4">
        <v>0</v>
      </c>
      <c r="R174" s="58">
        <v>0</v>
      </c>
      <c r="S174" s="58">
        <v>0</v>
      </c>
      <c r="T174" s="58">
        <v>0</v>
      </c>
      <c r="U174" s="5">
        <v>0</v>
      </c>
      <c r="V174" s="4">
        <v>0</v>
      </c>
      <c r="AG174" t="s">
        <v>214</v>
      </c>
      <c r="AM174" s="1" t="str">
        <f t="shared" si="14"/>
        <v>172_C0021_0571.jpg</v>
      </c>
    </row>
    <row r="175" spans="1:39" x14ac:dyDescent="0.35">
      <c r="A175">
        <v>171</v>
      </c>
      <c r="B175">
        <v>172</v>
      </c>
      <c r="C175">
        <v>146.82229531499999</v>
      </c>
      <c r="D175">
        <v>-19.170137042</v>
      </c>
      <c r="F175" s="64" t="s">
        <v>4100</v>
      </c>
      <c r="G175" s="64"/>
      <c r="H175" s="64"/>
      <c r="I175" s="64">
        <v>0</v>
      </c>
      <c r="J175" s="32" t="str">
        <f>IF(AND(I175=1,OR(I174=0,I174="")),MAX($J$4:$J174)+1,IF(AND(I175=1,I174=1),J174,""))</f>
        <v/>
      </c>
      <c r="K175" s="32" t="str">
        <f t="shared" si="13"/>
        <v/>
      </c>
      <c r="L175" s="32" t="str">
        <f t="shared" si="11"/>
        <v/>
      </c>
      <c r="M175" s="32" t="str">
        <f t="shared" si="12"/>
        <v/>
      </c>
      <c r="N175" s="4">
        <v>1</v>
      </c>
      <c r="O175" s="4">
        <v>0</v>
      </c>
      <c r="P175" s="4">
        <v>0</v>
      </c>
      <c r="Q175" s="4">
        <v>0</v>
      </c>
      <c r="R175" s="58">
        <v>0</v>
      </c>
      <c r="S175" s="58">
        <v>0</v>
      </c>
      <c r="T175" s="58">
        <v>0</v>
      </c>
      <c r="U175" s="5">
        <v>0</v>
      </c>
      <c r="V175" s="4">
        <v>0</v>
      </c>
      <c r="AG175" t="s">
        <v>215</v>
      </c>
      <c r="AM175" s="1" t="str">
        <f t="shared" si="14"/>
        <v>173_C0021_0565.jpg</v>
      </c>
    </row>
    <row r="176" spans="1:39" x14ac:dyDescent="0.35">
      <c r="A176">
        <v>172</v>
      </c>
      <c r="B176">
        <v>173</v>
      </c>
      <c r="C176">
        <v>146.82220931200001</v>
      </c>
      <c r="D176">
        <v>-19.170112536000001</v>
      </c>
      <c r="F176" s="64" t="s">
        <v>4101</v>
      </c>
      <c r="G176" s="64"/>
      <c r="H176" s="64"/>
      <c r="I176" s="64">
        <v>0</v>
      </c>
      <c r="J176" s="32" t="str">
        <f>IF(AND(I176=1,OR(I175=0,I175="")),MAX($J$4:$J175)+1,IF(AND(I176=1,I175=1),J175,""))</f>
        <v/>
      </c>
      <c r="K176" s="32" t="str">
        <f t="shared" si="13"/>
        <v/>
      </c>
      <c r="L176" s="32" t="str">
        <f t="shared" si="11"/>
        <v/>
      </c>
      <c r="M176" s="32" t="str">
        <f t="shared" si="12"/>
        <v/>
      </c>
      <c r="N176" s="4">
        <v>1</v>
      </c>
      <c r="O176" s="4">
        <v>0</v>
      </c>
      <c r="P176" s="4">
        <v>0</v>
      </c>
      <c r="Q176" s="4">
        <v>0</v>
      </c>
      <c r="R176" s="58">
        <v>0</v>
      </c>
      <c r="S176" s="58">
        <v>0</v>
      </c>
      <c r="T176" s="58">
        <v>0</v>
      </c>
      <c r="U176" s="5">
        <v>0</v>
      </c>
      <c r="V176" s="4">
        <v>0</v>
      </c>
      <c r="AG176" t="s">
        <v>216</v>
      </c>
      <c r="AM176" s="1" t="str">
        <f t="shared" si="14"/>
        <v>174_C0021_0560.jpg</v>
      </c>
    </row>
    <row r="177" spans="1:39" x14ac:dyDescent="0.35">
      <c r="A177">
        <v>173</v>
      </c>
      <c r="B177">
        <v>174</v>
      </c>
      <c r="C177">
        <v>146.82212330799999</v>
      </c>
      <c r="D177">
        <v>-19.170088028999899</v>
      </c>
      <c r="F177" s="64" t="s">
        <v>4102</v>
      </c>
      <c r="G177" s="64"/>
      <c r="H177" s="64"/>
      <c r="I177" s="64">
        <v>1</v>
      </c>
      <c r="J177" s="32">
        <f>IF(AND(I177=1,OR(I176=0,I176="")),MAX($J$4:$J176)+1,IF(AND(I177=1,I176=1),J176,""))</f>
        <v>6</v>
      </c>
      <c r="K177" s="32">
        <f t="shared" si="13"/>
        <v>10</v>
      </c>
      <c r="L177" s="32" t="str">
        <f t="shared" si="11"/>
        <v/>
      </c>
      <c r="M177" s="32">
        <f t="shared" si="12"/>
        <v>100</v>
      </c>
      <c r="N177" s="4">
        <v>1</v>
      </c>
      <c r="O177" s="4">
        <v>0</v>
      </c>
      <c r="P177" s="4">
        <v>0</v>
      </c>
      <c r="Q177" s="4">
        <v>0</v>
      </c>
      <c r="R177" s="58">
        <v>0</v>
      </c>
      <c r="S177" s="58">
        <v>0</v>
      </c>
      <c r="T177" s="58">
        <v>0</v>
      </c>
      <c r="U177" s="5">
        <v>0</v>
      </c>
      <c r="V177" s="4">
        <v>0</v>
      </c>
      <c r="AG177" t="s">
        <v>217</v>
      </c>
      <c r="AM177" s="1" t="str">
        <f t="shared" si="14"/>
        <v>175_C0021_0556.jpg</v>
      </c>
    </row>
    <row r="178" spans="1:39" x14ac:dyDescent="0.35">
      <c r="A178">
        <v>174</v>
      </c>
      <c r="B178">
        <v>175</v>
      </c>
      <c r="C178">
        <v>146.82203730500001</v>
      </c>
      <c r="D178">
        <v>-19.170063523</v>
      </c>
      <c r="E178">
        <v>50</v>
      </c>
      <c r="F178" s="64" t="s">
        <v>4103</v>
      </c>
      <c r="G178" s="64"/>
      <c r="H178" s="64"/>
      <c r="I178" s="64">
        <v>0</v>
      </c>
      <c r="J178" s="32" t="str">
        <f>IF(AND(I178=1,OR(I177=0,I177="")),MAX($J$4:$J177)+1,IF(AND(I178=1,I177=1),J177,""))</f>
        <v/>
      </c>
      <c r="K178" s="32" t="str">
        <f t="shared" si="13"/>
        <v/>
      </c>
      <c r="L178" s="32" t="str">
        <f t="shared" si="11"/>
        <v/>
      </c>
      <c r="M178" s="32" t="str">
        <f t="shared" si="12"/>
        <v/>
      </c>
      <c r="N178" s="4">
        <v>1</v>
      </c>
      <c r="O178" s="4">
        <v>0</v>
      </c>
      <c r="P178" s="4">
        <v>0</v>
      </c>
      <c r="Q178" s="4">
        <v>0</v>
      </c>
      <c r="R178" s="58">
        <v>0</v>
      </c>
      <c r="S178" s="58">
        <v>0</v>
      </c>
      <c r="T178" s="58">
        <v>0</v>
      </c>
      <c r="U178" s="5">
        <v>0</v>
      </c>
      <c r="V178" s="4">
        <v>0</v>
      </c>
      <c r="AG178" t="s">
        <v>218</v>
      </c>
      <c r="AM178" s="1" t="str">
        <f t="shared" si="14"/>
        <v>176_C0021_0547.jpg</v>
      </c>
    </row>
    <row r="179" spans="1:39" x14ac:dyDescent="0.35">
      <c r="A179">
        <v>175</v>
      </c>
      <c r="B179">
        <v>176</v>
      </c>
      <c r="C179">
        <v>146.82195114800001</v>
      </c>
      <c r="D179">
        <v>-19.170039504999998</v>
      </c>
      <c r="F179" s="64" t="s">
        <v>4104</v>
      </c>
      <c r="G179" s="64"/>
      <c r="H179" s="64"/>
      <c r="I179" s="64">
        <v>1</v>
      </c>
      <c r="J179" s="32">
        <f>IF(AND(I179=1,OR(I178=0,I178="")),MAX($J$4:$J178)+1,IF(AND(I179=1,I178=1),J178,""))</f>
        <v>7</v>
      </c>
      <c r="K179" s="32">
        <f t="shared" si="13"/>
        <v>10</v>
      </c>
      <c r="L179" s="32" t="str">
        <f t="shared" si="11"/>
        <v/>
      </c>
      <c r="M179" s="32">
        <f t="shared" si="12"/>
        <v>100</v>
      </c>
      <c r="N179" s="4">
        <v>1</v>
      </c>
      <c r="O179" s="4">
        <v>0</v>
      </c>
      <c r="P179" s="4">
        <v>0</v>
      </c>
      <c r="Q179" s="4">
        <v>0</v>
      </c>
      <c r="R179" s="58">
        <v>0</v>
      </c>
      <c r="S179" s="58">
        <v>0</v>
      </c>
      <c r="T179" s="58">
        <v>0</v>
      </c>
      <c r="U179" s="5">
        <v>0</v>
      </c>
      <c r="V179" s="4">
        <v>0</v>
      </c>
      <c r="AG179" t="s">
        <v>219</v>
      </c>
      <c r="AM179" s="1" t="str">
        <f t="shared" si="14"/>
        <v>177_C0021_0543.jpg</v>
      </c>
    </row>
    <row r="180" spans="1:39" x14ac:dyDescent="0.35">
      <c r="A180">
        <v>176</v>
      </c>
      <c r="B180">
        <v>177</v>
      </c>
      <c r="C180">
        <v>146.82186494300001</v>
      </c>
      <c r="D180">
        <v>-19.170015639999999</v>
      </c>
      <c r="F180" s="64" t="s">
        <v>4105</v>
      </c>
      <c r="G180" s="64"/>
      <c r="H180" s="64"/>
      <c r="I180" s="64">
        <v>0</v>
      </c>
      <c r="J180" s="32" t="str">
        <f>IF(AND(I180=1,OR(I179=0,I179="")),MAX($J$4:$J179)+1,IF(AND(I180=1,I179=1),J179,""))</f>
        <v/>
      </c>
      <c r="K180" s="32" t="str">
        <f t="shared" si="13"/>
        <v/>
      </c>
      <c r="L180" s="32" t="str">
        <f t="shared" si="11"/>
        <v/>
      </c>
      <c r="M180" s="32" t="str">
        <f t="shared" si="12"/>
        <v/>
      </c>
      <c r="N180" s="4">
        <v>1</v>
      </c>
      <c r="O180" s="4">
        <v>0</v>
      </c>
      <c r="P180" s="4">
        <v>0</v>
      </c>
      <c r="Q180" s="4">
        <v>2</v>
      </c>
      <c r="R180" s="58">
        <v>0</v>
      </c>
      <c r="S180" s="58">
        <v>0</v>
      </c>
      <c r="T180" s="58">
        <v>0</v>
      </c>
      <c r="U180" s="5">
        <v>0</v>
      </c>
      <c r="V180" s="4" t="s">
        <v>6905</v>
      </c>
      <c r="AG180" t="s">
        <v>220</v>
      </c>
      <c r="AM180" s="1" t="str">
        <f t="shared" si="14"/>
        <v>178_C0021_0537.jpg</v>
      </c>
    </row>
    <row r="181" spans="1:39" x14ac:dyDescent="0.35">
      <c r="A181">
        <v>177</v>
      </c>
      <c r="B181">
        <v>178</v>
      </c>
      <c r="C181">
        <v>146.82177873800001</v>
      </c>
      <c r="D181">
        <v>-19.169991775</v>
      </c>
      <c r="F181" s="64" t="s">
        <v>4106</v>
      </c>
      <c r="G181" s="64"/>
      <c r="H181" s="64"/>
      <c r="I181" s="64">
        <v>1</v>
      </c>
      <c r="J181" s="32">
        <f>IF(AND(I181=1,OR(I180=0,I180="")),MAX($J$4:$J180)+1,IF(AND(I181=1,I180=1),J180,""))</f>
        <v>8</v>
      </c>
      <c r="K181" s="32">
        <f t="shared" si="13"/>
        <v>10</v>
      </c>
      <c r="L181" s="32" t="str">
        <f t="shared" si="11"/>
        <v/>
      </c>
      <c r="M181" s="32">
        <f t="shared" si="12"/>
        <v>100</v>
      </c>
      <c r="N181" s="4">
        <v>1</v>
      </c>
      <c r="O181" s="4">
        <v>0</v>
      </c>
      <c r="P181" s="4">
        <v>0</v>
      </c>
      <c r="Q181" s="4">
        <v>0</v>
      </c>
      <c r="R181" s="58">
        <v>0</v>
      </c>
      <c r="S181" s="58">
        <v>0</v>
      </c>
      <c r="T181" s="58">
        <v>0</v>
      </c>
      <c r="U181" s="5">
        <v>0</v>
      </c>
      <c r="V181" s="4">
        <v>0</v>
      </c>
      <c r="AG181" t="s">
        <v>221</v>
      </c>
      <c r="AM181" s="1" t="str">
        <f t="shared" si="14"/>
        <v>179_C0021_0532.jpg</v>
      </c>
    </row>
    <row r="182" spans="1:39" x14ac:dyDescent="0.35">
      <c r="A182">
        <v>178</v>
      </c>
      <c r="B182">
        <v>179</v>
      </c>
      <c r="C182">
        <v>146.821692533</v>
      </c>
      <c r="D182">
        <v>-19.16996791</v>
      </c>
      <c r="F182" s="64" t="s">
        <v>4107</v>
      </c>
      <c r="G182" s="64"/>
      <c r="H182" s="64"/>
      <c r="I182" s="64">
        <v>0</v>
      </c>
      <c r="J182" s="32" t="str">
        <f>IF(AND(I182=1,OR(I181=0,I181="")),MAX($J$4:$J181)+1,IF(AND(I182=1,I181=1),J181,""))</f>
        <v/>
      </c>
      <c r="K182" s="32" t="str">
        <f t="shared" si="13"/>
        <v/>
      </c>
      <c r="L182" s="32" t="str">
        <f t="shared" si="11"/>
        <v/>
      </c>
      <c r="M182" s="32" t="str">
        <f t="shared" si="12"/>
        <v/>
      </c>
      <c r="N182" s="4">
        <v>1</v>
      </c>
      <c r="O182" s="4">
        <v>1</v>
      </c>
      <c r="P182" s="4">
        <v>0</v>
      </c>
      <c r="Q182" s="4">
        <v>0</v>
      </c>
      <c r="R182" s="58">
        <v>0</v>
      </c>
      <c r="S182" s="58">
        <v>0</v>
      </c>
      <c r="T182" s="58">
        <v>0</v>
      </c>
      <c r="U182" s="5">
        <v>0</v>
      </c>
      <c r="V182" s="4">
        <v>0</v>
      </c>
      <c r="AG182" t="s">
        <v>222</v>
      </c>
      <c r="AM182" s="1" t="str">
        <f t="shared" si="14"/>
        <v>180_C0021_0527.jpg</v>
      </c>
    </row>
    <row r="183" spans="1:39" x14ac:dyDescent="0.35">
      <c r="A183">
        <v>179</v>
      </c>
      <c r="B183">
        <v>180</v>
      </c>
      <c r="C183">
        <v>146.82160632700001</v>
      </c>
      <c r="D183">
        <v>-19.169944045000001</v>
      </c>
      <c r="E183">
        <v>50</v>
      </c>
      <c r="F183" s="64" t="s">
        <v>4108</v>
      </c>
      <c r="G183" s="64"/>
      <c r="H183" s="64"/>
      <c r="I183" s="64">
        <v>0</v>
      </c>
      <c r="J183" s="32" t="str">
        <f>IF(AND(I183=1,OR(I182=0,I182="")),MAX($J$4:$J182)+1,IF(AND(I183=1,I182=1),J182,""))</f>
        <v/>
      </c>
      <c r="K183" s="32" t="str">
        <f t="shared" si="13"/>
        <v/>
      </c>
      <c r="L183" s="32" t="str">
        <f t="shared" si="11"/>
        <v/>
      </c>
      <c r="M183" s="32" t="str">
        <f t="shared" si="12"/>
        <v/>
      </c>
      <c r="N183" s="4">
        <v>1</v>
      </c>
      <c r="O183" s="4">
        <v>0</v>
      </c>
      <c r="P183" s="4">
        <v>0</v>
      </c>
      <c r="Q183" s="4">
        <v>0</v>
      </c>
      <c r="R183" s="58">
        <v>0</v>
      </c>
      <c r="S183" s="58">
        <v>0</v>
      </c>
      <c r="T183" s="58">
        <v>0</v>
      </c>
      <c r="U183" s="5">
        <v>0</v>
      </c>
      <c r="V183" s="4">
        <v>0</v>
      </c>
      <c r="AG183" t="s">
        <v>223</v>
      </c>
      <c r="AM183" s="1" t="str">
        <f t="shared" si="14"/>
        <v>181_C0021_0521.jpg</v>
      </c>
    </row>
    <row r="184" spans="1:39" x14ac:dyDescent="0.35">
      <c r="A184">
        <v>180</v>
      </c>
      <c r="B184">
        <v>181</v>
      </c>
      <c r="C184">
        <v>146.82152012200001</v>
      </c>
      <c r="D184">
        <v>-19.169920180999998</v>
      </c>
      <c r="F184" s="64" t="s">
        <v>4109</v>
      </c>
      <c r="G184" s="64"/>
      <c r="H184" s="64"/>
      <c r="I184" s="64">
        <v>0</v>
      </c>
      <c r="J184" s="32" t="str">
        <f>IF(AND(I184=1,OR(I183=0,I183="")),MAX($J$4:$J183)+1,IF(AND(I184=1,I183=1),J183,""))</f>
        <v/>
      </c>
      <c r="K184" s="32" t="str">
        <f t="shared" si="13"/>
        <v/>
      </c>
      <c r="L184" s="32" t="str">
        <f t="shared" si="11"/>
        <v/>
      </c>
      <c r="M184" s="32" t="str">
        <f t="shared" si="12"/>
        <v/>
      </c>
      <c r="N184" s="4">
        <v>1</v>
      </c>
      <c r="O184" s="4">
        <v>0</v>
      </c>
      <c r="P184" s="4">
        <v>0</v>
      </c>
      <c r="Q184" s="4">
        <v>0</v>
      </c>
      <c r="R184" s="58">
        <v>0</v>
      </c>
      <c r="S184" s="58">
        <v>0</v>
      </c>
      <c r="T184" s="58">
        <v>0</v>
      </c>
      <c r="U184" s="5">
        <v>0</v>
      </c>
      <c r="V184" s="4">
        <v>0</v>
      </c>
      <c r="AG184" t="s">
        <v>224</v>
      </c>
      <c r="AM184" s="1" t="str">
        <f t="shared" si="14"/>
        <v>182_C0021_0517.jpg</v>
      </c>
    </row>
    <row r="185" spans="1:39" x14ac:dyDescent="0.35">
      <c r="A185">
        <v>181</v>
      </c>
      <c r="B185">
        <v>182</v>
      </c>
      <c r="C185">
        <v>146.821439142</v>
      </c>
      <c r="D185">
        <v>-19.169884610999901</v>
      </c>
      <c r="F185" s="64" t="s">
        <v>4110</v>
      </c>
      <c r="G185" s="64"/>
      <c r="H185" s="64"/>
      <c r="I185" s="64">
        <v>0</v>
      </c>
      <c r="J185" s="32" t="str">
        <f>IF(AND(I185=1,OR(I184=0,I184="")),MAX($J$4:$J184)+1,IF(AND(I185=1,I184=1),J184,""))</f>
        <v/>
      </c>
      <c r="K185" s="32" t="str">
        <f t="shared" si="13"/>
        <v/>
      </c>
      <c r="L185" s="32" t="str">
        <f t="shared" si="11"/>
        <v/>
      </c>
      <c r="M185" s="32" t="str">
        <f t="shared" si="12"/>
        <v/>
      </c>
      <c r="N185" s="4">
        <v>1</v>
      </c>
      <c r="O185" s="4">
        <v>0</v>
      </c>
      <c r="P185" s="4">
        <v>0</v>
      </c>
      <c r="Q185" s="4">
        <v>0</v>
      </c>
      <c r="R185" s="58">
        <v>0</v>
      </c>
      <c r="S185" s="58">
        <v>0</v>
      </c>
      <c r="T185" s="58">
        <v>0</v>
      </c>
      <c r="U185" s="5">
        <v>0</v>
      </c>
      <c r="V185" s="4">
        <v>0</v>
      </c>
      <c r="AG185" t="s">
        <v>225</v>
      </c>
      <c r="AM185" s="1" t="str">
        <f t="shared" si="14"/>
        <v>183_C0021_0512.jpg</v>
      </c>
    </row>
    <row r="186" spans="1:39" x14ac:dyDescent="0.35">
      <c r="A186">
        <v>182</v>
      </c>
      <c r="B186">
        <v>183</v>
      </c>
      <c r="C186">
        <v>146.82136086899999</v>
      </c>
      <c r="D186">
        <v>-19.169842973999899</v>
      </c>
      <c r="F186" s="64" t="s">
        <v>4111</v>
      </c>
      <c r="G186" s="64"/>
      <c r="H186" s="64"/>
      <c r="I186" s="64">
        <v>0</v>
      </c>
      <c r="J186" s="32" t="str">
        <f>IF(AND(I186=1,OR(I185=0,I185="")),MAX($J$4:$J185)+1,IF(AND(I186=1,I185=1),J185,""))</f>
        <v/>
      </c>
      <c r="K186" s="32" t="str">
        <f t="shared" si="13"/>
        <v/>
      </c>
      <c r="L186" s="32" t="str">
        <f t="shared" si="11"/>
        <v/>
      </c>
      <c r="M186" s="32" t="str">
        <f t="shared" si="12"/>
        <v/>
      </c>
      <c r="N186" s="4">
        <v>1</v>
      </c>
      <c r="O186" s="4">
        <v>0</v>
      </c>
      <c r="P186" s="4">
        <v>0</v>
      </c>
      <c r="Q186" s="4">
        <v>0</v>
      </c>
      <c r="R186" s="58">
        <v>0</v>
      </c>
      <c r="S186" s="58">
        <v>0</v>
      </c>
      <c r="T186" s="58">
        <v>0</v>
      </c>
      <c r="U186" s="5">
        <v>0</v>
      </c>
      <c r="V186" s="4">
        <v>0</v>
      </c>
      <c r="AG186" t="s">
        <v>226</v>
      </c>
      <c r="AM186" s="1" t="str">
        <f t="shared" si="14"/>
        <v>184_C0021_0507.jpg</v>
      </c>
    </row>
    <row r="187" spans="1:39" x14ac:dyDescent="0.35">
      <c r="A187">
        <v>183</v>
      </c>
      <c r="B187">
        <v>184</v>
      </c>
      <c r="C187">
        <v>146.82128259699999</v>
      </c>
      <c r="D187">
        <v>-19.169801337999999</v>
      </c>
      <c r="F187" s="64" t="s">
        <v>4112</v>
      </c>
      <c r="G187" s="64"/>
      <c r="H187" s="64"/>
      <c r="I187" s="64">
        <v>1</v>
      </c>
      <c r="J187" s="32">
        <f>IF(AND(I187=1,OR(I186=0,I186="")),MAX($J$4:$J186)+1,IF(AND(I187=1,I186=1),J186,""))</f>
        <v>9</v>
      </c>
      <c r="K187" s="32">
        <f t="shared" si="13"/>
        <v>60</v>
      </c>
      <c r="L187" s="32" t="str">
        <f t="shared" si="11"/>
        <v/>
      </c>
      <c r="M187" s="32">
        <f t="shared" si="12"/>
        <v>3600</v>
      </c>
      <c r="N187" s="4">
        <v>1</v>
      </c>
      <c r="O187" s="4">
        <v>0</v>
      </c>
      <c r="P187" s="4">
        <v>0</v>
      </c>
      <c r="Q187" s="4">
        <v>0</v>
      </c>
      <c r="R187" s="58">
        <v>0</v>
      </c>
      <c r="S187" s="58">
        <v>0</v>
      </c>
      <c r="T187" s="58">
        <v>0</v>
      </c>
      <c r="U187" s="5">
        <v>0</v>
      </c>
      <c r="V187" s="4">
        <v>0</v>
      </c>
      <c r="AG187" t="s">
        <v>227</v>
      </c>
      <c r="AM187" s="1" t="str">
        <f t="shared" si="14"/>
        <v>185_C0021_0503.jpg</v>
      </c>
    </row>
    <row r="188" spans="1:39" x14ac:dyDescent="0.35">
      <c r="A188">
        <v>184</v>
      </c>
      <c r="B188">
        <v>185</v>
      </c>
      <c r="C188">
        <v>146.82120432400001</v>
      </c>
      <c r="D188">
        <v>-19.169759702</v>
      </c>
      <c r="E188">
        <v>50</v>
      </c>
      <c r="F188" s="64" t="s">
        <v>4113</v>
      </c>
      <c r="G188" s="64"/>
      <c r="H188" s="64"/>
      <c r="I188" s="64">
        <v>1</v>
      </c>
      <c r="J188" s="32">
        <f>IF(AND(I188=1,OR(I187=0,I187="")),MAX($J$4:$J187)+1,IF(AND(I188=1,I187=1),J187,""))</f>
        <v>9</v>
      </c>
      <c r="K188" s="32">
        <f t="shared" si="13"/>
        <v>60</v>
      </c>
      <c r="L188" s="32" t="str">
        <f t="shared" si="11"/>
        <v/>
      </c>
      <c r="M188" s="32">
        <f t="shared" si="12"/>
        <v>3600</v>
      </c>
      <c r="N188" s="4">
        <v>1</v>
      </c>
      <c r="O188" s="4">
        <v>0</v>
      </c>
      <c r="P188" s="4">
        <v>0</v>
      </c>
      <c r="Q188" s="4">
        <v>0</v>
      </c>
      <c r="R188" s="58">
        <v>0</v>
      </c>
      <c r="S188" s="58">
        <v>0</v>
      </c>
      <c r="T188" s="58">
        <v>0</v>
      </c>
      <c r="U188" s="5">
        <v>0</v>
      </c>
      <c r="V188" s="4">
        <v>0</v>
      </c>
      <c r="AG188" t="s">
        <v>228</v>
      </c>
      <c r="AM188" s="1" t="str">
        <f t="shared" si="14"/>
        <v>186_C0021_0502.jpg</v>
      </c>
    </row>
    <row r="189" spans="1:39" x14ac:dyDescent="0.35">
      <c r="A189">
        <v>185</v>
      </c>
      <c r="B189">
        <v>186</v>
      </c>
      <c r="C189">
        <v>146.82112605099999</v>
      </c>
      <c r="D189">
        <v>-19.169718064999898</v>
      </c>
      <c r="F189" s="64" t="s">
        <v>4114</v>
      </c>
      <c r="G189" s="64"/>
      <c r="H189" s="64"/>
      <c r="I189" s="64">
        <v>1</v>
      </c>
      <c r="J189" s="32">
        <f>IF(AND(I189=1,OR(I188=0,I188="")),MAX($J$4:$J188)+1,IF(AND(I189=1,I188=1),J188,""))</f>
        <v>9</v>
      </c>
      <c r="K189" s="32">
        <f t="shared" si="13"/>
        <v>60</v>
      </c>
      <c r="L189" s="32" t="str">
        <f t="shared" si="11"/>
        <v/>
      </c>
      <c r="M189" s="32">
        <f t="shared" si="12"/>
        <v>3600</v>
      </c>
      <c r="N189" s="4">
        <v>1</v>
      </c>
      <c r="O189" s="4">
        <v>0</v>
      </c>
      <c r="P189" s="4">
        <v>0</v>
      </c>
      <c r="Q189" s="4">
        <v>0</v>
      </c>
      <c r="R189" s="58">
        <v>0</v>
      </c>
      <c r="S189" s="58">
        <v>0</v>
      </c>
      <c r="T189" s="58">
        <v>0</v>
      </c>
      <c r="U189" s="5">
        <v>0</v>
      </c>
      <c r="V189" s="4">
        <v>0</v>
      </c>
      <c r="AG189" t="s">
        <v>229</v>
      </c>
      <c r="AM189" s="1" t="str">
        <f t="shared" si="14"/>
        <v>187_C0021_0499.jpg</v>
      </c>
    </row>
    <row r="190" spans="1:39" x14ac:dyDescent="0.35">
      <c r="A190">
        <v>186</v>
      </c>
      <c r="B190">
        <v>187</v>
      </c>
      <c r="C190">
        <v>146.821047779</v>
      </c>
      <c r="D190">
        <v>-19.1696764289999</v>
      </c>
      <c r="F190" s="64" t="s">
        <v>4115</v>
      </c>
      <c r="G190" s="64"/>
      <c r="H190" s="64"/>
      <c r="I190" s="64">
        <v>1</v>
      </c>
      <c r="J190" s="32">
        <f>IF(AND(I190=1,OR(I189=0,I189="")),MAX($J$4:$J189)+1,IF(AND(I190=1,I189=1),J189,""))</f>
        <v>9</v>
      </c>
      <c r="K190" s="32">
        <f t="shared" si="13"/>
        <v>60</v>
      </c>
      <c r="L190" s="32" t="str">
        <f t="shared" si="11"/>
        <v/>
      </c>
      <c r="M190" s="32">
        <f t="shared" si="12"/>
        <v>3600</v>
      </c>
      <c r="N190" s="4">
        <v>1</v>
      </c>
      <c r="O190" s="4">
        <v>0</v>
      </c>
      <c r="P190" s="4">
        <v>0</v>
      </c>
      <c r="Q190" s="4">
        <v>0</v>
      </c>
      <c r="R190" s="58">
        <v>0</v>
      </c>
      <c r="S190" s="58">
        <v>0</v>
      </c>
      <c r="T190" s="58">
        <v>0</v>
      </c>
      <c r="U190" s="5">
        <v>0</v>
      </c>
      <c r="V190" s="4">
        <v>0</v>
      </c>
      <c r="AG190" t="s">
        <v>230</v>
      </c>
      <c r="AM190" s="1" t="str">
        <f t="shared" si="14"/>
        <v>188_C0021_0497.jpg</v>
      </c>
    </row>
    <row r="191" spans="1:39" x14ac:dyDescent="0.35">
      <c r="A191">
        <v>187</v>
      </c>
      <c r="B191">
        <v>188</v>
      </c>
      <c r="C191">
        <v>146.82096950600001</v>
      </c>
      <c r="D191">
        <v>-19.169634792</v>
      </c>
      <c r="F191" s="64" t="s">
        <v>4116</v>
      </c>
      <c r="G191" s="64"/>
      <c r="H191" s="64"/>
      <c r="I191" s="64">
        <v>1</v>
      </c>
      <c r="J191" s="32">
        <f>IF(AND(I191=1,OR(I190=0,I190="")),MAX($J$4:$J190)+1,IF(AND(I191=1,I190=1),J190,""))</f>
        <v>9</v>
      </c>
      <c r="K191" s="32">
        <f t="shared" si="13"/>
        <v>60</v>
      </c>
      <c r="L191" s="32" t="str">
        <f t="shared" si="11"/>
        <v/>
      </c>
      <c r="M191" s="32">
        <f t="shared" si="12"/>
        <v>3600</v>
      </c>
      <c r="N191" s="4">
        <v>1</v>
      </c>
      <c r="O191" s="4">
        <v>0</v>
      </c>
      <c r="P191" s="4">
        <v>0</v>
      </c>
      <c r="Q191" s="4">
        <v>0</v>
      </c>
      <c r="R191" s="58">
        <v>0</v>
      </c>
      <c r="S191" s="58">
        <v>0</v>
      </c>
      <c r="T191" s="58">
        <v>0</v>
      </c>
      <c r="U191" s="5">
        <v>0</v>
      </c>
      <c r="V191" s="4">
        <v>0</v>
      </c>
      <c r="AG191" t="s">
        <v>231</v>
      </c>
      <c r="AM191" s="1" t="str">
        <f t="shared" si="14"/>
        <v>189_C0021_0496.jpg</v>
      </c>
    </row>
    <row r="192" spans="1:39" x14ac:dyDescent="0.35">
      <c r="A192">
        <v>188</v>
      </c>
      <c r="B192">
        <v>189</v>
      </c>
      <c r="C192">
        <v>146.820890324</v>
      </c>
      <c r="D192">
        <v>-19.169594738999901</v>
      </c>
      <c r="F192" s="64" t="s">
        <v>4117</v>
      </c>
      <c r="G192" s="64"/>
      <c r="H192" s="64"/>
      <c r="I192" s="64">
        <v>1</v>
      </c>
      <c r="J192" s="32">
        <f>IF(AND(I192=1,OR(I191=0,I191="")),MAX($J$4:$J191)+1,IF(AND(I192=1,I191=1),J191,""))</f>
        <v>9</v>
      </c>
      <c r="K192" s="32">
        <f t="shared" si="13"/>
        <v>60</v>
      </c>
      <c r="L192" s="32" t="str">
        <f t="shared" si="11"/>
        <v/>
      </c>
      <c r="M192" s="32">
        <f t="shared" si="12"/>
        <v>3600</v>
      </c>
      <c r="N192" s="4">
        <v>1</v>
      </c>
      <c r="O192" s="4">
        <v>0</v>
      </c>
      <c r="P192" s="4">
        <v>0</v>
      </c>
      <c r="Q192" s="4">
        <v>0</v>
      </c>
      <c r="R192" s="58">
        <v>0</v>
      </c>
      <c r="S192" s="58">
        <v>0</v>
      </c>
      <c r="T192" s="58">
        <v>0</v>
      </c>
      <c r="U192" s="5">
        <v>0</v>
      </c>
      <c r="V192" s="4">
        <v>0</v>
      </c>
      <c r="AG192" t="s">
        <v>232</v>
      </c>
      <c r="AM192" s="1" t="str">
        <f t="shared" si="14"/>
        <v>190_C0021_0495.jpg</v>
      </c>
    </row>
    <row r="193" spans="1:39" x14ac:dyDescent="0.35">
      <c r="A193">
        <v>189</v>
      </c>
      <c r="B193">
        <v>190</v>
      </c>
      <c r="C193">
        <v>146.820810728</v>
      </c>
      <c r="D193">
        <v>-19.169555402999901</v>
      </c>
      <c r="E193">
        <v>50</v>
      </c>
      <c r="F193" s="64" t="s">
        <v>4118</v>
      </c>
      <c r="G193" s="64"/>
      <c r="H193" s="64"/>
      <c r="I193" s="64">
        <v>0</v>
      </c>
      <c r="J193" s="32" t="str">
        <f>IF(AND(I193=1,OR(I192=0,I192="")),MAX($J$4:$J192)+1,IF(AND(I193=1,I192=1),J192,""))</f>
        <v/>
      </c>
      <c r="K193" s="32" t="str">
        <f t="shared" si="13"/>
        <v/>
      </c>
      <c r="L193" s="32" t="str">
        <f t="shared" si="11"/>
        <v/>
      </c>
      <c r="M193" s="32" t="str">
        <f t="shared" si="12"/>
        <v/>
      </c>
      <c r="N193" s="4">
        <v>1</v>
      </c>
      <c r="O193" s="4">
        <v>0</v>
      </c>
      <c r="P193" s="4">
        <v>0</v>
      </c>
      <c r="Q193" s="4">
        <v>0</v>
      </c>
      <c r="R193" s="58">
        <v>0</v>
      </c>
      <c r="S193" s="58">
        <v>0</v>
      </c>
      <c r="T193" s="58">
        <v>0</v>
      </c>
      <c r="U193" s="5">
        <v>0</v>
      </c>
      <c r="V193" s="4">
        <v>0</v>
      </c>
      <c r="AG193" t="s">
        <v>233</v>
      </c>
      <c r="AM193" s="1" t="str">
        <f t="shared" ref="AM193:AM204" si="15">HYPERLINK("E:\CAFNEC_GBRF\2023\JohnstoneRiver\Frames_for_Analysis\" &amp; F194, F194)</f>
        <v>191_C0021_0494.jpg</v>
      </c>
    </row>
    <row r="194" spans="1:39" x14ac:dyDescent="0.35">
      <c r="A194">
        <v>190</v>
      </c>
      <c r="B194">
        <v>191</v>
      </c>
      <c r="C194">
        <v>146.82073113300001</v>
      </c>
      <c r="D194">
        <v>-19.169516068</v>
      </c>
      <c r="F194" s="64" t="s">
        <v>4119</v>
      </c>
      <c r="G194" s="64"/>
      <c r="H194" s="64"/>
      <c r="I194" s="64">
        <v>0</v>
      </c>
      <c r="J194" s="32" t="str">
        <f>IF(AND(I194=1,OR(I193=0,I193="")),MAX($J$4:$J193)+1,IF(AND(I194=1,I193=1),J193,""))</f>
        <v/>
      </c>
      <c r="K194" s="32" t="str">
        <f t="shared" si="13"/>
        <v/>
      </c>
      <c r="L194" s="32" t="str">
        <f t="shared" si="11"/>
        <v/>
      </c>
      <c r="M194" s="32" t="str">
        <f t="shared" si="12"/>
        <v/>
      </c>
      <c r="N194" s="4">
        <v>1</v>
      </c>
      <c r="O194" s="4">
        <v>0</v>
      </c>
      <c r="P194" s="4">
        <v>0</v>
      </c>
      <c r="Q194" s="4">
        <v>0</v>
      </c>
      <c r="R194" s="58">
        <v>0</v>
      </c>
      <c r="S194" s="58">
        <v>0</v>
      </c>
      <c r="T194" s="58">
        <v>0</v>
      </c>
      <c r="U194" s="5">
        <v>0</v>
      </c>
      <c r="V194" s="4">
        <v>0</v>
      </c>
      <c r="AG194" t="s">
        <v>234</v>
      </c>
      <c r="AM194" s="1" t="str">
        <f t="shared" si="15"/>
        <v>192_C0021_0489.jpg</v>
      </c>
    </row>
    <row r="195" spans="1:39" x14ac:dyDescent="0.35">
      <c r="A195">
        <v>191</v>
      </c>
      <c r="B195">
        <v>192</v>
      </c>
      <c r="C195">
        <v>146.820651537</v>
      </c>
      <c r="D195">
        <v>-19.169476732</v>
      </c>
      <c r="F195" s="64" t="s">
        <v>4120</v>
      </c>
      <c r="G195" s="64"/>
      <c r="H195" s="64"/>
      <c r="I195" s="64">
        <v>1</v>
      </c>
      <c r="J195" s="32">
        <f>IF(AND(I195=1,OR(I194=0,I194="")),MAX($J$4:$J194)+1,IF(AND(I195=1,I194=1),J194,""))</f>
        <v>10</v>
      </c>
      <c r="K195" s="32">
        <f t="shared" si="13"/>
        <v>110</v>
      </c>
      <c r="L195" s="32" t="str">
        <f t="shared" si="11"/>
        <v>HV</v>
      </c>
      <c r="M195" s="32">
        <f t="shared" si="12"/>
        <v>12100</v>
      </c>
      <c r="N195" s="4">
        <v>1</v>
      </c>
      <c r="O195" s="4">
        <v>0</v>
      </c>
      <c r="P195" s="4">
        <v>0</v>
      </c>
      <c r="Q195" s="4">
        <v>0</v>
      </c>
      <c r="R195" s="58">
        <v>0</v>
      </c>
      <c r="S195" s="58">
        <v>0</v>
      </c>
      <c r="T195" s="58">
        <v>0</v>
      </c>
      <c r="U195" s="5">
        <v>0</v>
      </c>
      <c r="V195" s="4">
        <v>0</v>
      </c>
      <c r="AG195" t="s">
        <v>235</v>
      </c>
      <c r="AM195" s="1" t="str">
        <f t="shared" si="15"/>
        <v>193_C0021_0483.jpg</v>
      </c>
    </row>
    <row r="196" spans="1:39" x14ac:dyDescent="0.35">
      <c r="A196">
        <v>192</v>
      </c>
      <c r="B196">
        <v>193</v>
      </c>
      <c r="C196">
        <v>146.82057194199999</v>
      </c>
      <c r="D196">
        <v>-19.169437396999999</v>
      </c>
      <c r="F196" s="64" t="s">
        <v>4121</v>
      </c>
      <c r="G196" s="64"/>
      <c r="H196" s="64"/>
      <c r="I196" s="64">
        <v>1</v>
      </c>
      <c r="J196" s="32">
        <f>IF(AND(I196=1,OR(I195=0,I195="")),MAX($J$4:$J195)+1,IF(AND(I196=1,I195=1),J195,""))</f>
        <v>10</v>
      </c>
      <c r="K196" s="32">
        <f t="shared" si="13"/>
        <v>110</v>
      </c>
      <c r="L196" s="32" t="str">
        <f t="shared" ref="L196:L259" si="16">IF(K196="","",IF(K196&gt;=100,"HV",""))</f>
        <v>HV</v>
      </c>
      <c r="M196" s="32">
        <f t="shared" ref="M196:M259" si="17">IF(K196&lt;&gt;"",K196^2,"")</f>
        <v>12100</v>
      </c>
      <c r="N196" s="4">
        <v>1</v>
      </c>
      <c r="O196" s="4">
        <v>0</v>
      </c>
      <c r="P196" s="4">
        <v>0</v>
      </c>
      <c r="Q196" s="4">
        <v>0</v>
      </c>
      <c r="R196" s="58">
        <v>0</v>
      </c>
      <c r="S196" s="58">
        <v>0</v>
      </c>
      <c r="T196" s="58">
        <v>0</v>
      </c>
      <c r="U196" s="5">
        <v>0</v>
      </c>
      <c r="V196" s="4">
        <v>0</v>
      </c>
      <c r="AG196" t="s">
        <v>236</v>
      </c>
      <c r="AM196" s="1" t="str">
        <f t="shared" si="15"/>
        <v>194_C0021_0480.jpg</v>
      </c>
    </row>
    <row r="197" spans="1:39" x14ac:dyDescent="0.35">
      <c r="A197">
        <v>193</v>
      </c>
      <c r="B197">
        <v>194</v>
      </c>
      <c r="C197">
        <v>146.820492347</v>
      </c>
      <c r="D197">
        <v>-19.169398060999999</v>
      </c>
      <c r="F197" s="64" t="s">
        <v>4122</v>
      </c>
      <c r="G197" s="64"/>
      <c r="H197" s="64"/>
      <c r="I197" s="64">
        <v>1</v>
      </c>
      <c r="J197" s="32">
        <f>IF(AND(I197=1,OR(I196=0,I196="")),MAX($J$4:$J196)+1,IF(AND(I197=1,I196=1),J196,""))</f>
        <v>10</v>
      </c>
      <c r="K197" s="32">
        <f t="shared" si="13"/>
        <v>110</v>
      </c>
      <c r="L197" s="32" t="str">
        <f t="shared" si="16"/>
        <v>HV</v>
      </c>
      <c r="M197" s="32">
        <f t="shared" si="17"/>
        <v>12100</v>
      </c>
      <c r="N197" s="4">
        <v>1</v>
      </c>
      <c r="O197" s="4">
        <v>0</v>
      </c>
      <c r="P197" s="4">
        <v>0</v>
      </c>
      <c r="Q197" s="4">
        <v>0</v>
      </c>
      <c r="R197" s="58">
        <v>0</v>
      </c>
      <c r="S197" s="58">
        <v>0</v>
      </c>
      <c r="T197" s="58">
        <v>0</v>
      </c>
      <c r="U197" s="5">
        <v>0</v>
      </c>
      <c r="V197" s="4">
        <v>0</v>
      </c>
      <c r="AG197" t="s">
        <v>237</v>
      </c>
      <c r="AM197" s="1" t="str">
        <f t="shared" si="15"/>
        <v>195_C0021_0472.jpg</v>
      </c>
    </row>
    <row r="198" spans="1:39" x14ac:dyDescent="0.35">
      <c r="A198">
        <v>194</v>
      </c>
      <c r="B198">
        <v>195</v>
      </c>
      <c r="C198">
        <v>146.82041275099999</v>
      </c>
      <c r="D198">
        <v>-19.169358725999899</v>
      </c>
      <c r="E198">
        <v>50</v>
      </c>
      <c r="F198" s="64" t="s">
        <v>4123</v>
      </c>
      <c r="G198" s="64"/>
      <c r="H198" s="64"/>
      <c r="I198" s="64">
        <v>1</v>
      </c>
      <c r="J198" s="32">
        <f>IF(AND(I198=1,OR(I197=0,I197="")),MAX($J$4:$J197)+1,IF(AND(I198=1,I197=1),J197,""))</f>
        <v>10</v>
      </c>
      <c r="K198" s="32">
        <f t="shared" si="13"/>
        <v>110</v>
      </c>
      <c r="L198" s="32" t="str">
        <f t="shared" si="16"/>
        <v>HV</v>
      </c>
      <c r="M198" s="32">
        <f t="shared" si="17"/>
        <v>12100</v>
      </c>
      <c r="N198" s="4">
        <v>1</v>
      </c>
      <c r="O198" s="4">
        <v>0</v>
      </c>
      <c r="P198" s="4">
        <v>0</v>
      </c>
      <c r="Q198" s="4">
        <v>0</v>
      </c>
      <c r="R198" s="58">
        <v>0</v>
      </c>
      <c r="S198" s="58">
        <v>0</v>
      </c>
      <c r="T198" s="58">
        <v>0</v>
      </c>
      <c r="U198" s="5">
        <v>0</v>
      </c>
      <c r="V198" s="4">
        <v>0</v>
      </c>
      <c r="AG198" t="s">
        <v>238</v>
      </c>
      <c r="AM198" s="1" t="str">
        <f t="shared" si="15"/>
        <v>196_C0021_0475.jpg</v>
      </c>
    </row>
    <row r="199" spans="1:39" x14ac:dyDescent="0.35">
      <c r="A199">
        <v>195</v>
      </c>
      <c r="B199">
        <v>196</v>
      </c>
      <c r="C199">
        <v>146.820334102</v>
      </c>
      <c r="D199">
        <v>-19.1693177349999</v>
      </c>
      <c r="F199" s="64" t="s">
        <v>4124</v>
      </c>
      <c r="G199" s="64"/>
      <c r="H199" s="64"/>
      <c r="I199" s="64">
        <v>1</v>
      </c>
      <c r="J199" s="32">
        <f>IF(AND(I199=1,OR(I198=0,I198="")),MAX($J$4:$J198)+1,IF(AND(I199=1,I198=1),J198,""))</f>
        <v>10</v>
      </c>
      <c r="K199" s="32">
        <f t="shared" si="13"/>
        <v>110</v>
      </c>
      <c r="L199" s="32" t="str">
        <f t="shared" si="16"/>
        <v>HV</v>
      </c>
      <c r="M199" s="32">
        <f t="shared" si="17"/>
        <v>12100</v>
      </c>
      <c r="N199" s="4">
        <v>1</v>
      </c>
      <c r="O199" s="4">
        <v>0</v>
      </c>
      <c r="P199" s="4">
        <v>0</v>
      </c>
      <c r="Q199" s="4">
        <v>0</v>
      </c>
      <c r="R199" s="58">
        <v>0</v>
      </c>
      <c r="S199" s="58">
        <v>0</v>
      </c>
      <c r="T199" s="58">
        <v>0</v>
      </c>
      <c r="U199" s="5">
        <v>0</v>
      </c>
      <c r="V199" s="4">
        <v>0</v>
      </c>
      <c r="AG199" t="s">
        <v>239</v>
      </c>
      <c r="AM199" s="1" t="str">
        <f t="shared" si="15"/>
        <v>197_C0021_0476.jpg</v>
      </c>
    </row>
    <row r="200" spans="1:39" x14ac:dyDescent="0.35">
      <c r="A200">
        <v>196</v>
      </c>
      <c r="B200">
        <v>197</v>
      </c>
      <c r="C200">
        <v>146.82025559100001</v>
      </c>
      <c r="D200">
        <v>-19.169276499999999</v>
      </c>
      <c r="F200" s="64" t="s">
        <v>4125</v>
      </c>
      <c r="G200" s="64"/>
      <c r="H200" s="64"/>
      <c r="I200" s="64">
        <v>1</v>
      </c>
      <c r="J200" s="32">
        <f>IF(AND(I200=1,OR(I199=0,I199="")),MAX($J$4:$J199)+1,IF(AND(I200=1,I199=1),J199,""))</f>
        <v>10</v>
      </c>
      <c r="K200" s="32">
        <f t="shared" si="13"/>
        <v>110</v>
      </c>
      <c r="L200" s="32" t="str">
        <f t="shared" si="16"/>
        <v>HV</v>
      </c>
      <c r="M200" s="32">
        <f t="shared" si="17"/>
        <v>12100</v>
      </c>
      <c r="N200" s="4">
        <v>1</v>
      </c>
      <c r="O200" s="4">
        <v>0</v>
      </c>
      <c r="P200" s="4">
        <v>0</v>
      </c>
      <c r="Q200" s="4">
        <v>0</v>
      </c>
      <c r="R200" s="58">
        <v>0</v>
      </c>
      <c r="S200" s="58">
        <v>0</v>
      </c>
      <c r="T200" s="58">
        <v>0</v>
      </c>
      <c r="U200" s="5">
        <v>0</v>
      </c>
      <c r="V200" s="4">
        <v>0</v>
      </c>
      <c r="AG200" t="s">
        <v>240</v>
      </c>
      <c r="AM200" s="1" t="str">
        <f t="shared" si="15"/>
        <v>198_C0021_0451.jpg</v>
      </c>
    </row>
    <row r="201" spans="1:39" x14ac:dyDescent="0.35">
      <c r="A201">
        <v>197</v>
      </c>
      <c r="B201">
        <v>198</v>
      </c>
      <c r="C201">
        <v>146.82017708000001</v>
      </c>
      <c r="D201">
        <v>-19.169235265999902</v>
      </c>
      <c r="F201" s="64" t="s">
        <v>4126</v>
      </c>
      <c r="G201" s="64"/>
      <c r="H201" s="64"/>
      <c r="I201" s="64">
        <v>1</v>
      </c>
      <c r="J201" s="32">
        <f>IF(AND(I201=1,OR(I200=0,I200="")),MAX($J$4:$J200)+1,IF(AND(I201=1,I200=1),J200,""))</f>
        <v>10</v>
      </c>
      <c r="K201" s="32">
        <f t="shared" si="13"/>
        <v>110</v>
      </c>
      <c r="L201" s="32" t="str">
        <f t="shared" si="16"/>
        <v>HV</v>
      </c>
      <c r="M201" s="32">
        <f t="shared" si="17"/>
        <v>12100</v>
      </c>
      <c r="N201" s="4">
        <v>1</v>
      </c>
      <c r="O201" s="4">
        <v>0</v>
      </c>
      <c r="P201" s="4">
        <v>0</v>
      </c>
      <c r="Q201" s="4">
        <v>0</v>
      </c>
      <c r="R201" s="58">
        <v>0</v>
      </c>
      <c r="S201" s="58">
        <v>0</v>
      </c>
      <c r="T201" s="58">
        <v>0</v>
      </c>
      <c r="U201" s="5">
        <v>0</v>
      </c>
      <c r="V201" s="4">
        <v>0</v>
      </c>
      <c r="AG201" t="s">
        <v>241</v>
      </c>
      <c r="AM201" s="1" t="str">
        <f t="shared" si="15"/>
        <v>199_C0021_0436.jpg</v>
      </c>
    </row>
    <row r="202" spans="1:39" x14ac:dyDescent="0.35">
      <c r="A202">
        <v>198</v>
      </c>
      <c r="B202">
        <v>199</v>
      </c>
      <c r="C202">
        <v>146.82009856900001</v>
      </c>
      <c r="D202">
        <v>-19.169194031</v>
      </c>
      <c r="F202" s="64" t="s">
        <v>4127</v>
      </c>
      <c r="G202" s="64"/>
      <c r="H202" s="64"/>
      <c r="I202" s="64">
        <v>1</v>
      </c>
      <c r="J202" s="32">
        <f>IF(AND(I202=1,OR(I201=0,I201="")),MAX($J$4:$J201)+1,IF(AND(I202=1,I201=1),J201,""))</f>
        <v>10</v>
      </c>
      <c r="K202" s="32">
        <f t="shared" si="13"/>
        <v>110</v>
      </c>
      <c r="L202" s="32" t="str">
        <f t="shared" si="16"/>
        <v>HV</v>
      </c>
      <c r="M202" s="32">
        <f t="shared" si="17"/>
        <v>12100</v>
      </c>
      <c r="N202" s="4">
        <v>1</v>
      </c>
      <c r="O202" s="4">
        <v>0</v>
      </c>
      <c r="P202" s="4">
        <v>0</v>
      </c>
      <c r="Q202" s="4">
        <v>0</v>
      </c>
      <c r="R202" s="58">
        <v>0</v>
      </c>
      <c r="S202" s="58">
        <v>0</v>
      </c>
      <c r="T202" s="58">
        <v>0</v>
      </c>
      <c r="U202" s="5">
        <v>0</v>
      </c>
      <c r="V202" s="4">
        <v>0</v>
      </c>
      <c r="AG202" t="s">
        <v>242</v>
      </c>
      <c r="AM202" s="1" t="str">
        <f t="shared" si="15"/>
        <v>200_C0021_0424.jpg</v>
      </c>
    </row>
    <row r="203" spans="1:39" x14ac:dyDescent="0.35">
      <c r="A203">
        <v>199</v>
      </c>
      <c r="B203">
        <v>200</v>
      </c>
      <c r="C203">
        <v>146.82002005800001</v>
      </c>
      <c r="D203">
        <v>-19.169152796999999</v>
      </c>
      <c r="E203">
        <v>50</v>
      </c>
      <c r="F203" s="64" t="s">
        <v>4128</v>
      </c>
      <c r="G203" s="64"/>
      <c r="H203" s="64"/>
      <c r="I203" s="64">
        <v>1</v>
      </c>
      <c r="J203" s="32">
        <f>IF(AND(I203=1,OR(I202=0,I202="")),MAX($J$4:$J202)+1,IF(AND(I203=1,I202=1),J202,""))</f>
        <v>10</v>
      </c>
      <c r="K203" s="32">
        <f t="shared" si="13"/>
        <v>110</v>
      </c>
      <c r="L203" s="32" t="str">
        <f t="shared" si="16"/>
        <v>HV</v>
      </c>
      <c r="M203" s="32">
        <f t="shared" si="17"/>
        <v>12100</v>
      </c>
      <c r="N203" s="4">
        <v>1</v>
      </c>
      <c r="O203" s="4">
        <v>0</v>
      </c>
      <c r="P203" s="4">
        <v>0</v>
      </c>
      <c r="Q203" s="4">
        <v>0</v>
      </c>
      <c r="R203" s="58">
        <v>0</v>
      </c>
      <c r="S203" s="58">
        <v>0</v>
      </c>
      <c r="T203" s="58">
        <v>0</v>
      </c>
      <c r="U203" s="5">
        <v>0</v>
      </c>
      <c r="V203" s="4">
        <v>0</v>
      </c>
      <c r="AG203" t="s">
        <v>243</v>
      </c>
      <c r="AM203" s="1" t="str">
        <f t="shared" si="15"/>
        <v>201_C0021_0411.jpg</v>
      </c>
    </row>
    <row r="204" spans="1:39" x14ac:dyDescent="0.35">
      <c r="A204">
        <v>200</v>
      </c>
      <c r="B204">
        <v>201</v>
      </c>
      <c r="C204">
        <v>146.819941548</v>
      </c>
      <c r="D204">
        <v>-19.169111562000001</v>
      </c>
      <c r="F204" s="64" t="s">
        <v>4129</v>
      </c>
      <c r="G204" s="64"/>
      <c r="H204" s="64"/>
      <c r="I204" s="64">
        <v>1</v>
      </c>
      <c r="J204" s="32">
        <f>IF(AND(I204=1,OR(I203=0,I203="")),MAX($J$4:$J203)+1,IF(AND(I204=1,I203=1),J203,""))</f>
        <v>10</v>
      </c>
      <c r="K204" s="32">
        <f t="shared" si="13"/>
        <v>110</v>
      </c>
      <c r="L204" s="32" t="str">
        <f t="shared" si="16"/>
        <v>HV</v>
      </c>
      <c r="M204" s="32">
        <f t="shared" si="17"/>
        <v>12100</v>
      </c>
      <c r="N204" s="4">
        <v>1</v>
      </c>
      <c r="O204" s="4">
        <v>0</v>
      </c>
      <c r="P204" s="4">
        <v>0</v>
      </c>
      <c r="Q204" s="4">
        <v>0</v>
      </c>
      <c r="R204" s="58">
        <v>0</v>
      </c>
      <c r="S204" s="58">
        <v>0</v>
      </c>
      <c r="T204" s="58">
        <v>0</v>
      </c>
      <c r="U204" s="5">
        <v>0</v>
      </c>
      <c r="V204" s="4">
        <v>0</v>
      </c>
      <c r="AG204" t="s">
        <v>244</v>
      </c>
      <c r="AM204" s="1" t="str">
        <f t="shared" si="15"/>
        <v>202_C0021_0410.jpg</v>
      </c>
    </row>
    <row r="205" spans="1:39" x14ac:dyDescent="0.35">
      <c r="A205">
        <v>201</v>
      </c>
      <c r="B205">
        <v>202</v>
      </c>
      <c r="C205">
        <v>146.819863037</v>
      </c>
      <c r="D205">
        <v>-19.169070328</v>
      </c>
      <c r="F205" s="64" t="s">
        <v>4130</v>
      </c>
      <c r="G205" s="64"/>
      <c r="H205" s="64"/>
      <c r="I205" s="64">
        <v>1</v>
      </c>
      <c r="J205" s="32">
        <f>IF(AND(I205=1,OR(I204=0,I204="")),MAX($J$4:$J204)+1,IF(AND(I205=1,I204=1),J204,""))</f>
        <v>10</v>
      </c>
      <c r="K205" s="32">
        <f t="shared" si="13"/>
        <v>110</v>
      </c>
      <c r="L205" s="32" t="str">
        <f t="shared" si="16"/>
        <v>HV</v>
      </c>
      <c r="M205" s="32">
        <f t="shared" si="17"/>
        <v>12100</v>
      </c>
      <c r="N205" s="4">
        <v>1</v>
      </c>
      <c r="O205" s="4">
        <v>0</v>
      </c>
      <c r="P205" s="4">
        <v>0</v>
      </c>
      <c r="Q205" s="4">
        <v>0</v>
      </c>
      <c r="R205" s="58">
        <v>0</v>
      </c>
      <c r="S205" s="58">
        <v>0</v>
      </c>
      <c r="T205" s="58">
        <v>0</v>
      </c>
      <c r="U205" s="5">
        <v>0</v>
      </c>
      <c r="V205" s="4">
        <v>0</v>
      </c>
      <c r="AG205" t="s">
        <v>245</v>
      </c>
      <c r="AM205" s="1"/>
    </row>
    <row r="206" spans="1:39" x14ac:dyDescent="0.35">
      <c r="A206">
        <v>202</v>
      </c>
      <c r="B206">
        <v>203</v>
      </c>
      <c r="C206">
        <v>146.81978452600001</v>
      </c>
      <c r="D206">
        <v>-19.169029092999899</v>
      </c>
      <c r="F206" s="64"/>
      <c r="G206" s="64"/>
      <c r="H206" s="64" t="s">
        <v>26</v>
      </c>
      <c r="I206" s="64"/>
      <c r="J206" s="32" t="str">
        <f>IF(AND(I206=1,OR(I205=0,I205="")),MAX($J$4:$J205)+1,IF(AND(I206=1,I205=1),J205,""))</f>
        <v/>
      </c>
      <c r="K206" s="32" t="str">
        <f t="shared" si="13"/>
        <v/>
      </c>
      <c r="L206" s="32" t="str">
        <f t="shared" si="16"/>
        <v/>
      </c>
      <c r="M206" s="32" t="str">
        <f t="shared" si="17"/>
        <v/>
      </c>
      <c r="N206" s="4"/>
      <c r="O206" s="4"/>
      <c r="P206" s="4"/>
      <c r="Q206" s="4"/>
      <c r="U206" s="5"/>
      <c r="V206" s="4"/>
      <c r="AG206" t="s">
        <v>246</v>
      </c>
      <c r="AM206" s="1" t="str">
        <f t="shared" ref="AM206:AM237" si="18">HYPERLINK("E:\CAFNEC_GBRF\2023\JohnstoneRiver\Frames_for_Analysis\" &amp; F207, F207)</f>
        <v>204_C0021_0408.jpg</v>
      </c>
    </row>
    <row r="207" spans="1:39" x14ac:dyDescent="0.35">
      <c r="A207">
        <v>203</v>
      </c>
      <c r="B207">
        <v>204</v>
      </c>
      <c r="C207">
        <v>146.81970615099999</v>
      </c>
      <c r="D207">
        <v>-19.168987629999901</v>
      </c>
      <c r="F207" s="64" t="s">
        <v>4131</v>
      </c>
      <c r="G207" s="64"/>
      <c r="H207" s="64"/>
      <c r="I207" s="64">
        <v>1</v>
      </c>
      <c r="J207" s="32">
        <f>IF(AND(I207=1,OR(I206=0,I206="")),MAX($J$4:$J206)+1,IF(AND(I207=1,I206=1),J206,""))</f>
        <v>11</v>
      </c>
      <c r="K207" s="32">
        <f t="shared" si="13"/>
        <v>90</v>
      </c>
      <c r="L207" s="32" t="str">
        <f t="shared" si="16"/>
        <v/>
      </c>
      <c r="M207" s="32">
        <f t="shared" si="17"/>
        <v>8100</v>
      </c>
      <c r="N207" s="4">
        <v>1</v>
      </c>
      <c r="O207" s="4">
        <v>0</v>
      </c>
      <c r="P207" s="4">
        <v>0</v>
      </c>
      <c r="Q207" s="4">
        <v>0</v>
      </c>
      <c r="R207" s="58">
        <v>0</v>
      </c>
      <c r="S207" s="58">
        <v>0</v>
      </c>
      <c r="T207" s="58">
        <v>0</v>
      </c>
      <c r="U207" s="5">
        <v>0</v>
      </c>
      <c r="V207" s="4">
        <v>0</v>
      </c>
      <c r="AG207" t="s">
        <v>247</v>
      </c>
      <c r="AM207" s="1" t="str">
        <f t="shared" si="18"/>
        <v>205_C0021_0404.jpg</v>
      </c>
    </row>
    <row r="208" spans="1:39" x14ac:dyDescent="0.35">
      <c r="A208">
        <v>204</v>
      </c>
      <c r="B208">
        <v>205</v>
      </c>
      <c r="C208">
        <v>146.81962779</v>
      </c>
      <c r="D208">
        <v>-19.168946141999999</v>
      </c>
      <c r="E208">
        <v>50</v>
      </c>
      <c r="F208" s="64" t="s">
        <v>4132</v>
      </c>
      <c r="G208" s="64"/>
      <c r="H208" s="64"/>
      <c r="I208" s="64">
        <v>1</v>
      </c>
      <c r="J208" s="32">
        <f>IF(AND(I208=1,OR(I207=0,I207="")),MAX($J$4:$J207)+1,IF(AND(I208=1,I207=1),J207,""))</f>
        <v>11</v>
      </c>
      <c r="K208" s="32">
        <f t="shared" si="13"/>
        <v>90</v>
      </c>
      <c r="L208" s="32" t="str">
        <f t="shared" si="16"/>
        <v/>
      </c>
      <c r="M208" s="32">
        <f t="shared" si="17"/>
        <v>8100</v>
      </c>
      <c r="N208" s="4">
        <v>1</v>
      </c>
      <c r="O208" s="4">
        <v>0</v>
      </c>
      <c r="P208" s="4">
        <v>0</v>
      </c>
      <c r="Q208" s="4">
        <v>0</v>
      </c>
      <c r="R208" s="58">
        <v>0</v>
      </c>
      <c r="S208" s="58">
        <v>0</v>
      </c>
      <c r="T208" s="58">
        <v>0</v>
      </c>
      <c r="U208" s="5">
        <v>0</v>
      </c>
      <c r="V208" s="4">
        <v>0</v>
      </c>
      <c r="AG208" t="s">
        <v>248</v>
      </c>
      <c r="AM208" s="1" t="str">
        <f t="shared" si="18"/>
        <v>206_C0021_0402.jpg</v>
      </c>
    </row>
    <row r="209" spans="1:39" x14ac:dyDescent="0.35">
      <c r="A209">
        <v>205</v>
      </c>
      <c r="B209">
        <v>206</v>
      </c>
      <c r="C209">
        <v>146.81954942900001</v>
      </c>
      <c r="D209">
        <v>-19.168904653999999</v>
      </c>
      <c r="F209" s="64" t="s">
        <v>4133</v>
      </c>
      <c r="G209" s="64"/>
      <c r="H209" s="64"/>
      <c r="I209" s="64">
        <v>1</v>
      </c>
      <c r="J209" s="32">
        <f>IF(AND(I209=1,OR(I208=0,I208="")),MAX($J$4:$J208)+1,IF(AND(I209=1,I208=1),J208,""))</f>
        <v>11</v>
      </c>
      <c r="K209" s="32">
        <f t="shared" si="13"/>
        <v>90</v>
      </c>
      <c r="L209" s="32" t="str">
        <f t="shared" si="16"/>
        <v/>
      </c>
      <c r="M209" s="32">
        <f t="shared" si="17"/>
        <v>8100</v>
      </c>
      <c r="N209" s="4">
        <v>1</v>
      </c>
      <c r="O209" s="4">
        <v>0</v>
      </c>
      <c r="P209" s="4">
        <v>0</v>
      </c>
      <c r="Q209" s="4">
        <v>0</v>
      </c>
      <c r="R209" s="58">
        <v>0</v>
      </c>
      <c r="S209" s="58">
        <v>0</v>
      </c>
      <c r="T209" s="58">
        <v>0</v>
      </c>
      <c r="U209" s="5">
        <v>0</v>
      </c>
      <c r="V209" s="4">
        <v>0</v>
      </c>
      <c r="AG209" t="s">
        <v>249</v>
      </c>
      <c r="AM209" s="1" t="str">
        <f t="shared" si="18"/>
        <v>207_C0021_0400.jpg</v>
      </c>
    </row>
    <row r="210" spans="1:39" x14ac:dyDescent="0.35">
      <c r="A210">
        <v>206</v>
      </c>
      <c r="B210">
        <v>207</v>
      </c>
      <c r="C210">
        <v>146.81947106800001</v>
      </c>
      <c r="D210">
        <v>-19.168863165999898</v>
      </c>
      <c r="F210" s="64" t="s">
        <v>4134</v>
      </c>
      <c r="G210" s="64"/>
      <c r="H210" s="64"/>
      <c r="I210" s="64">
        <v>1</v>
      </c>
      <c r="J210" s="32">
        <f>IF(AND(I210=1,OR(I209=0,I209="")),MAX($J$4:$J209)+1,IF(AND(I210=1,I209=1),J209,""))</f>
        <v>11</v>
      </c>
      <c r="K210" s="32">
        <f t="shared" si="13"/>
        <v>90</v>
      </c>
      <c r="L210" s="32" t="str">
        <f t="shared" si="16"/>
        <v/>
      </c>
      <c r="M210" s="32">
        <f t="shared" si="17"/>
        <v>8100</v>
      </c>
      <c r="N210" s="4">
        <v>1</v>
      </c>
      <c r="O210" s="4">
        <v>0</v>
      </c>
      <c r="P210" s="4">
        <v>0</v>
      </c>
      <c r="Q210" s="4">
        <v>0</v>
      </c>
      <c r="R210" s="58">
        <v>0</v>
      </c>
      <c r="S210" s="58">
        <v>0</v>
      </c>
      <c r="T210" s="58">
        <v>0</v>
      </c>
      <c r="U210" s="5">
        <v>0</v>
      </c>
      <c r="V210" s="4">
        <v>0</v>
      </c>
      <c r="AG210" t="s">
        <v>250</v>
      </c>
      <c r="AM210" s="1" t="str">
        <f t="shared" si="18"/>
        <v>208_C0021_0398.jpg</v>
      </c>
    </row>
    <row r="211" spans="1:39" x14ac:dyDescent="0.35">
      <c r="A211">
        <v>207</v>
      </c>
      <c r="B211">
        <v>208</v>
      </c>
      <c r="C211">
        <v>146.81939270699999</v>
      </c>
      <c r="D211">
        <v>-19.168821678</v>
      </c>
      <c r="F211" s="64" t="s">
        <v>4135</v>
      </c>
      <c r="G211" s="64"/>
      <c r="H211" s="64"/>
      <c r="I211" s="64">
        <v>1</v>
      </c>
      <c r="J211" s="32">
        <f>IF(AND(I211=1,OR(I210=0,I210="")),MAX($J$4:$J210)+1,IF(AND(I211=1,I210=1),J210,""))</f>
        <v>11</v>
      </c>
      <c r="K211" s="32">
        <f t="shared" si="13"/>
        <v>90</v>
      </c>
      <c r="L211" s="32" t="str">
        <f t="shared" si="16"/>
        <v/>
      </c>
      <c r="M211" s="32">
        <f t="shared" si="17"/>
        <v>8100</v>
      </c>
      <c r="N211" s="4">
        <v>1</v>
      </c>
      <c r="O211" s="4">
        <v>0</v>
      </c>
      <c r="P211" s="4">
        <v>0</v>
      </c>
      <c r="Q211" s="4">
        <v>0</v>
      </c>
      <c r="R211" s="58">
        <v>0</v>
      </c>
      <c r="S211" s="58">
        <v>0</v>
      </c>
      <c r="T211" s="58">
        <v>0</v>
      </c>
      <c r="U211" s="5">
        <v>0</v>
      </c>
      <c r="V211" s="4">
        <v>0</v>
      </c>
      <c r="AG211" t="s">
        <v>251</v>
      </c>
      <c r="AM211" s="1" t="str">
        <f t="shared" si="18"/>
        <v>209_C0021_0383.jpg</v>
      </c>
    </row>
    <row r="212" spans="1:39" x14ac:dyDescent="0.35">
      <c r="A212">
        <v>208</v>
      </c>
      <c r="B212">
        <v>209</v>
      </c>
      <c r="C212">
        <v>146.81931014599999</v>
      </c>
      <c r="D212">
        <v>-19.168788272</v>
      </c>
      <c r="F212" s="64" t="s">
        <v>4136</v>
      </c>
      <c r="G212" s="64"/>
      <c r="H212" s="64"/>
      <c r="I212" s="64">
        <v>1</v>
      </c>
      <c r="J212" s="32">
        <f>IF(AND(I212=1,OR(I211=0,I211="")),MAX($J$4:$J211)+1,IF(AND(I212=1,I211=1),J211,""))</f>
        <v>11</v>
      </c>
      <c r="K212" s="32">
        <f t="shared" si="13"/>
        <v>90</v>
      </c>
      <c r="L212" s="32" t="str">
        <f t="shared" si="16"/>
        <v/>
      </c>
      <c r="M212" s="32">
        <f t="shared" si="17"/>
        <v>8100</v>
      </c>
      <c r="N212" s="4">
        <v>1</v>
      </c>
      <c r="O212" s="4">
        <v>0</v>
      </c>
      <c r="P212" s="4">
        <v>0</v>
      </c>
      <c r="Q212" s="4">
        <v>0</v>
      </c>
      <c r="R212" s="58">
        <v>0</v>
      </c>
      <c r="S212" s="58">
        <v>0</v>
      </c>
      <c r="T212" s="58">
        <v>0</v>
      </c>
      <c r="U212" s="5">
        <v>0</v>
      </c>
      <c r="V212" s="4">
        <v>0</v>
      </c>
      <c r="AG212" t="s">
        <v>252</v>
      </c>
      <c r="AM212" s="1" t="str">
        <f t="shared" si="18"/>
        <v>210_C0021_0388.jpg</v>
      </c>
    </row>
    <row r="213" spans="1:39" x14ac:dyDescent="0.35">
      <c r="A213">
        <v>209</v>
      </c>
      <c r="B213">
        <v>210</v>
      </c>
      <c r="C213">
        <v>146.81922746399999</v>
      </c>
      <c r="D213">
        <v>-19.168755099999899</v>
      </c>
      <c r="E213">
        <v>50</v>
      </c>
      <c r="F213" s="64" t="s">
        <v>4137</v>
      </c>
      <c r="G213" s="64"/>
      <c r="H213" s="64"/>
      <c r="I213" s="64">
        <v>1</v>
      </c>
      <c r="J213" s="32">
        <f>IF(AND(I213=1,OR(I212=0,I212="")),MAX($J$4:$J212)+1,IF(AND(I213=1,I212=1),J212,""))</f>
        <v>11</v>
      </c>
      <c r="K213" s="32">
        <f t="shared" si="13"/>
        <v>90</v>
      </c>
      <c r="L213" s="32" t="str">
        <f t="shared" si="16"/>
        <v/>
      </c>
      <c r="M213" s="32">
        <f t="shared" si="17"/>
        <v>8100</v>
      </c>
      <c r="N213" s="4">
        <v>1</v>
      </c>
      <c r="O213" s="4">
        <v>0</v>
      </c>
      <c r="P213" s="4">
        <v>0</v>
      </c>
      <c r="Q213" s="4">
        <v>0</v>
      </c>
      <c r="R213" s="58">
        <v>0</v>
      </c>
      <c r="S213" s="58">
        <v>0</v>
      </c>
      <c r="T213" s="58">
        <v>0</v>
      </c>
      <c r="U213" s="5">
        <v>0</v>
      </c>
      <c r="V213" s="4">
        <v>0</v>
      </c>
      <c r="AG213" t="s">
        <v>253</v>
      </c>
      <c r="AM213" s="1" t="str">
        <f t="shared" si="18"/>
        <v>211_C0021_0368.jpg</v>
      </c>
    </row>
    <row r="214" spans="1:39" x14ac:dyDescent="0.35">
      <c r="A214">
        <v>210</v>
      </c>
      <c r="B214">
        <v>211</v>
      </c>
      <c r="C214">
        <v>146.819144782</v>
      </c>
      <c r="D214">
        <v>-19.168721927</v>
      </c>
      <c r="F214" s="64" t="s">
        <v>4138</v>
      </c>
      <c r="G214" s="64"/>
      <c r="H214" s="64"/>
      <c r="I214" s="64">
        <v>1</v>
      </c>
      <c r="J214" s="32">
        <f>IF(AND(I214=1,OR(I213=0,I213="")),MAX($J$4:$J213)+1,IF(AND(I214=1,I213=1),J213,""))</f>
        <v>11</v>
      </c>
      <c r="K214" s="32">
        <f t="shared" si="13"/>
        <v>90</v>
      </c>
      <c r="L214" s="32" t="str">
        <f t="shared" si="16"/>
        <v/>
      </c>
      <c r="M214" s="32">
        <f t="shared" si="17"/>
        <v>8100</v>
      </c>
      <c r="N214" s="4">
        <v>2</v>
      </c>
      <c r="O214" s="4">
        <v>0</v>
      </c>
      <c r="P214" s="4">
        <v>0</v>
      </c>
      <c r="Q214" s="4">
        <v>0</v>
      </c>
      <c r="R214" s="58">
        <v>0</v>
      </c>
      <c r="S214" s="58">
        <v>0</v>
      </c>
      <c r="T214" s="58">
        <v>0</v>
      </c>
      <c r="U214" s="5">
        <v>0</v>
      </c>
      <c r="V214" s="4">
        <v>0</v>
      </c>
      <c r="AG214" t="s">
        <v>254</v>
      </c>
      <c r="AM214" s="1" t="str">
        <f t="shared" si="18"/>
        <v>212_C0021_0369.jpg</v>
      </c>
    </row>
    <row r="215" spans="1:39" x14ac:dyDescent="0.35">
      <c r="A215">
        <v>211</v>
      </c>
      <c r="B215">
        <v>212</v>
      </c>
      <c r="C215">
        <v>146.8190621</v>
      </c>
      <c r="D215">
        <v>-19.168688754000001</v>
      </c>
      <c r="F215" s="64" t="s">
        <v>4139</v>
      </c>
      <c r="G215" s="64"/>
      <c r="H215" s="64"/>
      <c r="I215" s="64">
        <v>1</v>
      </c>
      <c r="J215" s="32">
        <f>IF(AND(I215=1,OR(I214=0,I214="")),MAX($J$4:$J214)+1,IF(AND(I215=1,I214=1),J214,""))</f>
        <v>11</v>
      </c>
      <c r="K215" s="32">
        <f t="shared" si="13"/>
        <v>90</v>
      </c>
      <c r="L215" s="32" t="str">
        <f t="shared" si="16"/>
        <v/>
      </c>
      <c r="M215" s="32">
        <f t="shared" si="17"/>
        <v>8100</v>
      </c>
      <c r="N215" s="4">
        <v>1</v>
      </c>
      <c r="O215" s="4">
        <v>0</v>
      </c>
      <c r="P215" s="4">
        <v>0</v>
      </c>
      <c r="Q215" s="4">
        <v>0</v>
      </c>
      <c r="R215" s="58">
        <v>0</v>
      </c>
      <c r="S215" s="58">
        <v>0</v>
      </c>
      <c r="T215" s="58">
        <v>0</v>
      </c>
      <c r="U215" s="5">
        <v>0</v>
      </c>
      <c r="V215" s="4">
        <v>0</v>
      </c>
      <c r="AG215" t="s">
        <v>255</v>
      </c>
      <c r="AM215" s="1" t="str">
        <f t="shared" si="18"/>
        <v>213_C0021_0362.jpg</v>
      </c>
    </row>
    <row r="216" spans="1:39" x14ac:dyDescent="0.35">
      <c r="A216">
        <v>212</v>
      </c>
      <c r="B216">
        <v>213</v>
      </c>
      <c r="C216">
        <v>146.818979418</v>
      </c>
      <c r="D216">
        <v>-19.1686555819999</v>
      </c>
      <c r="F216" s="64" t="s">
        <v>4140</v>
      </c>
      <c r="G216" s="64"/>
      <c r="H216" s="64"/>
      <c r="I216" s="64">
        <v>0</v>
      </c>
      <c r="J216" s="32" t="str">
        <f>IF(AND(I216=1,OR(I215=0,I215="")),MAX($J$4:$J215)+1,IF(AND(I216=1,I215=1),J215,""))</f>
        <v/>
      </c>
      <c r="K216" s="32" t="str">
        <f t="shared" si="13"/>
        <v/>
      </c>
      <c r="L216" s="32" t="str">
        <f t="shared" si="16"/>
        <v/>
      </c>
      <c r="M216" s="32" t="str">
        <f t="shared" si="17"/>
        <v/>
      </c>
      <c r="N216" s="4">
        <v>1</v>
      </c>
      <c r="O216" s="4">
        <v>0</v>
      </c>
      <c r="P216" s="4">
        <v>0</v>
      </c>
      <c r="Q216" s="4">
        <v>0</v>
      </c>
      <c r="R216" s="58">
        <v>0</v>
      </c>
      <c r="S216" s="58">
        <v>0</v>
      </c>
      <c r="T216" s="58">
        <v>0</v>
      </c>
      <c r="U216" s="5">
        <v>0</v>
      </c>
      <c r="V216" s="4">
        <v>0</v>
      </c>
      <c r="AG216" t="s">
        <v>256</v>
      </c>
      <c r="AM216" s="1" t="str">
        <f t="shared" si="18"/>
        <v>214_C0021_0359.jpg</v>
      </c>
    </row>
    <row r="217" spans="1:39" x14ac:dyDescent="0.35">
      <c r="A217">
        <v>213</v>
      </c>
      <c r="B217">
        <v>214</v>
      </c>
      <c r="C217">
        <v>146.818896736</v>
      </c>
      <c r="D217">
        <v>-19.168622409000001</v>
      </c>
      <c r="F217" s="64" t="s">
        <v>4141</v>
      </c>
      <c r="G217" s="64"/>
      <c r="H217" s="64"/>
      <c r="I217" s="64">
        <v>1</v>
      </c>
      <c r="J217" s="32">
        <f>IF(AND(I217=1,OR(I216=0,I216="")),MAX($J$4:$J216)+1,IF(AND(I217=1,I216=1),J216,""))</f>
        <v>12</v>
      </c>
      <c r="K217" s="32">
        <f t="shared" si="13"/>
        <v>50</v>
      </c>
      <c r="L217" s="32" t="str">
        <f t="shared" si="16"/>
        <v/>
      </c>
      <c r="M217" s="32">
        <f t="shared" si="17"/>
        <v>2500</v>
      </c>
      <c r="N217" s="4">
        <v>1</v>
      </c>
      <c r="O217" s="4">
        <v>0</v>
      </c>
      <c r="P217" s="4">
        <v>0</v>
      </c>
      <c r="Q217" s="4">
        <v>0</v>
      </c>
      <c r="R217" s="58">
        <v>0</v>
      </c>
      <c r="S217" s="58">
        <v>0</v>
      </c>
      <c r="T217" s="58">
        <v>0</v>
      </c>
      <c r="U217" s="5">
        <v>0</v>
      </c>
      <c r="V217" s="4">
        <v>0</v>
      </c>
      <c r="AG217" t="s">
        <v>257</v>
      </c>
      <c r="AM217" s="1" t="str">
        <f t="shared" si="18"/>
        <v>215_C0021_0354.jpg</v>
      </c>
    </row>
    <row r="218" spans="1:39" x14ac:dyDescent="0.35">
      <c r="A218">
        <v>214</v>
      </c>
      <c r="B218">
        <v>215</v>
      </c>
      <c r="C218">
        <v>146.81881372000001</v>
      </c>
      <c r="D218">
        <v>-19.168590025999901</v>
      </c>
      <c r="E218">
        <v>50</v>
      </c>
      <c r="F218" s="64" t="s">
        <v>4142</v>
      </c>
      <c r="G218" s="64"/>
      <c r="H218" s="64"/>
      <c r="I218" s="64">
        <v>1</v>
      </c>
      <c r="J218" s="32">
        <f>IF(AND(I218=1,OR(I217=0,I217="")),MAX($J$4:$J217)+1,IF(AND(I218=1,I217=1),J217,""))</f>
        <v>12</v>
      </c>
      <c r="K218" s="32">
        <f t="shared" si="13"/>
        <v>50</v>
      </c>
      <c r="L218" s="32" t="str">
        <f t="shared" si="16"/>
        <v/>
      </c>
      <c r="M218" s="32">
        <f t="shared" si="17"/>
        <v>2500</v>
      </c>
      <c r="N218" s="4">
        <v>1</v>
      </c>
      <c r="O218" s="4">
        <v>0</v>
      </c>
      <c r="P218" s="4">
        <v>0</v>
      </c>
      <c r="Q218" s="4">
        <v>0</v>
      </c>
      <c r="R218" s="58">
        <v>0</v>
      </c>
      <c r="S218" s="58">
        <v>0</v>
      </c>
      <c r="T218" s="58">
        <v>0</v>
      </c>
      <c r="U218" s="5">
        <v>0</v>
      </c>
      <c r="V218" s="4">
        <v>0</v>
      </c>
      <c r="AG218" t="s">
        <v>258</v>
      </c>
      <c r="AM218" s="1" t="str">
        <f t="shared" si="18"/>
        <v>216_C0021_0350.jpg</v>
      </c>
    </row>
    <row r="219" spans="1:39" x14ac:dyDescent="0.35">
      <c r="A219">
        <v>215</v>
      </c>
      <c r="B219">
        <v>216</v>
      </c>
      <c r="C219">
        <v>146.818729623</v>
      </c>
      <c r="D219">
        <v>-19.168560194999898</v>
      </c>
      <c r="F219" s="64" t="s">
        <v>4143</v>
      </c>
      <c r="G219" s="64"/>
      <c r="H219" s="64"/>
      <c r="I219" s="64">
        <v>1</v>
      </c>
      <c r="J219" s="32">
        <f>IF(AND(I219=1,OR(I218=0,I218="")),MAX($J$4:$J218)+1,IF(AND(I219=1,I218=1),J218,""))</f>
        <v>12</v>
      </c>
      <c r="K219" s="32">
        <f t="shared" si="13"/>
        <v>50</v>
      </c>
      <c r="L219" s="32" t="str">
        <f t="shared" si="16"/>
        <v/>
      </c>
      <c r="M219" s="32">
        <f t="shared" si="17"/>
        <v>2500</v>
      </c>
      <c r="N219" s="4">
        <v>1</v>
      </c>
      <c r="O219" s="4">
        <v>0</v>
      </c>
      <c r="P219" s="4">
        <v>0</v>
      </c>
      <c r="Q219" s="4">
        <v>0</v>
      </c>
      <c r="R219" s="58">
        <v>0</v>
      </c>
      <c r="S219" s="58">
        <v>0</v>
      </c>
      <c r="T219" s="58">
        <v>0</v>
      </c>
      <c r="U219" s="5">
        <v>0</v>
      </c>
      <c r="V219" s="4">
        <v>0</v>
      </c>
      <c r="AG219" t="s">
        <v>259</v>
      </c>
      <c r="AM219" s="1" t="str">
        <f t="shared" si="18"/>
        <v>217_C0021_0349.jpg</v>
      </c>
    </row>
    <row r="220" spans="1:39" x14ac:dyDescent="0.35">
      <c r="A220">
        <v>216</v>
      </c>
      <c r="B220">
        <v>217</v>
      </c>
      <c r="C220">
        <v>146.81864552600001</v>
      </c>
      <c r="D220">
        <v>-19.168530364999999</v>
      </c>
      <c r="F220" s="64" t="s">
        <v>4144</v>
      </c>
      <c r="G220" s="64"/>
      <c r="H220" s="64"/>
      <c r="I220" s="64">
        <v>1</v>
      </c>
      <c r="J220" s="32">
        <f>IF(AND(I220=1,OR(I219=0,I219="")),MAX($J$4:$J219)+1,IF(AND(I220=1,I219=1),J219,""))</f>
        <v>12</v>
      </c>
      <c r="K220" s="32">
        <f t="shared" si="13"/>
        <v>50</v>
      </c>
      <c r="L220" s="32" t="str">
        <f t="shared" si="16"/>
        <v/>
      </c>
      <c r="M220" s="32">
        <f t="shared" si="17"/>
        <v>2500</v>
      </c>
      <c r="N220" s="4">
        <v>1</v>
      </c>
      <c r="O220" s="4">
        <v>0</v>
      </c>
      <c r="P220" s="4">
        <v>0</v>
      </c>
      <c r="Q220" s="4">
        <v>2</v>
      </c>
      <c r="R220" s="58">
        <v>0</v>
      </c>
      <c r="S220" s="58">
        <v>0</v>
      </c>
      <c r="T220" s="58">
        <v>0</v>
      </c>
      <c r="U220" s="5">
        <v>0</v>
      </c>
      <c r="V220" s="4">
        <v>0</v>
      </c>
      <c r="AG220" t="s">
        <v>260</v>
      </c>
      <c r="AM220" s="1" t="str">
        <f t="shared" si="18"/>
        <v>218_C0021_0345.jpg</v>
      </c>
    </row>
    <row r="221" spans="1:39" x14ac:dyDescent="0.35">
      <c r="A221">
        <v>217</v>
      </c>
      <c r="B221">
        <v>218</v>
      </c>
      <c r="C221">
        <v>146.818561429</v>
      </c>
      <c r="D221">
        <v>-19.168500534</v>
      </c>
      <c r="F221" s="64" t="s">
        <v>4145</v>
      </c>
      <c r="G221" s="64"/>
      <c r="H221" s="64"/>
      <c r="I221" s="64">
        <v>1</v>
      </c>
      <c r="J221" s="32">
        <f>IF(AND(I221=1,OR(I220=0,I220="")),MAX($J$4:$J220)+1,IF(AND(I221=1,I220=1),J220,""))</f>
        <v>12</v>
      </c>
      <c r="K221" s="32">
        <f t="shared" si="13"/>
        <v>50</v>
      </c>
      <c r="L221" s="32" t="str">
        <f t="shared" si="16"/>
        <v/>
      </c>
      <c r="M221" s="32">
        <f t="shared" si="17"/>
        <v>2500</v>
      </c>
      <c r="N221" s="4">
        <v>2</v>
      </c>
      <c r="O221" s="4">
        <v>1</v>
      </c>
      <c r="P221" s="4">
        <v>1</v>
      </c>
      <c r="Q221" s="4">
        <v>0</v>
      </c>
      <c r="R221" s="58">
        <v>0</v>
      </c>
      <c r="S221" s="58">
        <v>0</v>
      </c>
      <c r="T221" s="58">
        <v>0</v>
      </c>
      <c r="U221" s="5">
        <v>0</v>
      </c>
      <c r="V221" s="4">
        <v>0</v>
      </c>
      <c r="AG221" t="s">
        <v>261</v>
      </c>
      <c r="AM221" s="1" t="str">
        <f t="shared" si="18"/>
        <v>219_C0021_0340.jpg</v>
      </c>
    </row>
    <row r="222" spans="1:39" x14ac:dyDescent="0.35">
      <c r="A222">
        <v>218</v>
      </c>
      <c r="B222">
        <v>219</v>
      </c>
      <c r="C222">
        <v>146.81847733199999</v>
      </c>
      <c r="D222">
        <v>-19.168470703000001</v>
      </c>
      <c r="F222" s="64" t="s">
        <v>4146</v>
      </c>
      <c r="G222" s="64"/>
      <c r="H222" s="64"/>
      <c r="I222" s="64">
        <v>0</v>
      </c>
      <c r="J222" s="32" t="str">
        <f>IF(AND(I222=1,OR(I221=0,I221="")),MAX($J$4:$J221)+1,IF(AND(I222=1,I221=1),J221,""))</f>
        <v/>
      </c>
      <c r="K222" s="32" t="str">
        <f t="shared" si="13"/>
        <v/>
      </c>
      <c r="L222" s="32" t="str">
        <f t="shared" si="16"/>
        <v/>
      </c>
      <c r="M222" s="32" t="str">
        <f t="shared" si="17"/>
        <v/>
      </c>
      <c r="N222" s="4">
        <v>1</v>
      </c>
      <c r="O222" s="4">
        <v>0</v>
      </c>
      <c r="P222" s="4">
        <v>1</v>
      </c>
      <c r="Q222" s="4">
        <v>0</v>
      </c>
      <c r="R222" s="58">
        <v>0</v>
      </c>
      <c r="S222" s="58">
        <v>0</v>
      </c>
      <c r="T222" s="58">
        <v>0</v>
      </c>
      <c r="U222" s="5">
        <v>0</v>
      </c>
      <c r="V222" s="4">
        <v>0</v>
      </c>
      <c r="AG222" t="s">
        <v>262</v>
      </c>
      <c r="AM222" s="1" t="str">
        <f t="shared" si="18"/>
        <v>220_C0021_0337.jpg</v>
      </c>
    </row>
    <row r="223" spans="1:39" x14ac:dyDescent="0.35">
      <c r="A223">
        <v>219</v>
      </c>
      <c r="B223">
        <v>220</v>
      </c>
      <c r="C223">
        <v>146.818393235</v>
      </c>
      <c r="D223">
        <v>-19.168440873000002</v>
      </c>
      <c r="E223">
        <v>50</v>
      </c>
      <c r="F223" s="64" t="s">
        <v>4147</v>
      </c>
      <c r="G223" s="64"/>
      <c r="H223" s="64"/>
      <c r="I223" s="64">
        <v>1</v>
      </c>
      <c r="J223" s="32">
        <f>IF(AND(I223=1,OR(I222=0,I222="")),MAX($J$4:$J222)+1,IF(AND(I223=1,I222=1),J222,""))</f>
        <v>13</v>
      </c>
      <c r="K223" s="32">
        <f t="shared" ref="K223:K286" si="19">IF(J223="","",COUNTIF(J:J,J223)*10)</f>
        <v>10</v>
      </c>
      <c r="L223" s="32" t="str">
        <f t="shared" si="16"/>
        <v/>
      </c>
      <c r="M223" s="32">
        <f t="shared" si="17"/>
        <v>100</v>
      </c>
      <c r="N223" s="4">
        <v>1</v>
      </c>
      <c r="O223" s="4">
        <v>0</v>
      </c>
      <c r="P223" s="4">
        <v>0</v>
      </c>
      <c r="Q223" s="4">
        <v>0</v>
      </c>
      <c r="R223" s="58">
        <v>0</v>
      </c>
      <c r="S223" s="58">
        <v>0</v>
      </c>
      <c r="T223" s="58">
        <v>0</v>
      </c>
      <c r="U223" s="5">
        <v>0</v>
      </c>
      <c r="V223" s="4">
        <v>0</v>
      </c>
      <c r="AG223" t="s">
        <v>263</v>
      </c>
      <c r="AM223" s="1" t="str">
        <f t="shared" si="18"/>
        <v>221_C0021_0333.jpg</v>
      </c>
    </row>
    <row r="224" spans="1:39" x14ac:dyDescent="0.35">
      <c r="A224">
        <v>220</v>
      </c>
      <c r="B224">
        <v>221</v>
      </c>
      <c r="C224">
        <v>146.81830866499999</v>
      </c>
      <c r="D224">
        <v>-19.168412540999999</v>
      </c>
      <c r="F224" s="64" t="s">
        <v>4148</v>
      </c>
      <c r="G224" s="64"/>
      <c r="H224" s="64"/>
      <c r="I224" s="64">
        <v>0</v>
      </c>
      <c r="J224" s="32" t="str">
        <f>IF(AND(I224=1,OR(I223=0,I223="")),MAX($J$4:$J223)+1,IF(AND(I224=1,I223=1),J223,""))</f>
        <v/>
      </c>
      <c r="K224" s="32" t="str">
        <f t="shared" si="19"/>
        <v/>
      </c>
      <c r="L224" s="32" t="str">
        <f t="shared" si="16"/>
        <v/>
      </c>
      <c r="M224" s="32" t="str">
        <f t="shared" si="17"/>
        <v/>
      </c>
      <c r="N224" s="4">
        <v>1</v>
      </c>
      <c r="O224" s="4">
        <v>0</v>
      </c>
      <c r="P224" s="4">
        <v>0</v>
      </c>
      <c r="Q224" s="4">
        <v>0</v>
      </c>
      <c r="R224" s="58">
        <v>0</v>
      </c>
      <c r="S224" s="58">
        <v>0</v>
      </c>
      <c r="T224" s="58">
        <v>0</v>
      </c>
      <c r="U224" s="5">
        <v>0</v>
      </c>
      <c r="V224" s="4">
        <v>0</v>
      </c>
      <c r="AG224" t="s">
        <v>264</v>
      </c>
      <c r="AM224" s="1" t="str">
        <f t="shared" si="18"/>
        <v>222_C0021_0330.jpg</v>
      </c>
    </row>
    <row r="225" spans="1:39" x14ac:dyDescent="0.35">
      <c r="A225">
        <v>221</v>
      </c>
      <c r="B225">
        <v>222</v>
      </c>
      <c r="C225">
        <v>146.81822100400001</v>
      </c>
      <c r="D225">
        <v>-19.168394000999999</v>
      </c>
      <c r="F225" s="64" t="s">
        <v>4149</v>
      </c>
      <c r="G225" s="64"/>
      <c r="H225" s="64"/>
      <c r="I225" s="64">
        <v>1</v>
      </c>
      <c r="J225" s="32">
        <f>IF(AND(I225=1,OR(I224=0,I224="")),MAX($J$4:$J224)+1,IF(AND(I225=1,I224=1),J224,""))</f>
        <v>14</v>
      </c>
      <c r="K225" s="32">
        <f t="shared" si="19"/>
        <v>470</v>
      </c>
      <c r="L225" s="32" t="str">
        <f t="shared" si="16"/>
        <v>HV</v>
      </c>
      <c r="M225" s="32">
        <f t="shared" si="17"/>
        <v>220900</v>
      </c>
      <c r="N225" s="4">
        <v>1</v>
      </c>
      <c r="O225" s="4">
        <v>0</v>
      </c>
      <c r="P225" s="4">
        <v>0</v>
      </c>
      <c r="Q225" s="4">
        <v>0</v>
      </c>
      <c r="R225" s="58">
        <v>0</v>
      </c>
      <c r="S225" s="58">
        <v>0</v>
      </c>
      <c r="T225" s="58">
        <v>0</v>
      </c>
      <c r="U225" s="5">
        <v>0</v>
      </c>
      <c r="V225" s="4">
        <v>0</v>
      </c>
      <c r="AG225" t="s">
        <v>265</v>
      </c>
      <c r="AM225" s="1" t="str">
        <f t="shared" si="18"/>
        <v>223_C0021_0325.jpg</v>
      </c>
    </row>
    <row r="226" spans="1:39" x14ac:dyDescent="0.35">
      <c r="A226">
        <v>222</v>
      </c>
      <c r="B226">
        <v>223</v>
      </c>
      <c r="C226">
        <v>146.818133343</v>
      </c>
      <c r="D226">
        <v>-19.168375459999901</v>
      </c>
      <c r="F226" s="64" t="s">
        <v>4150</v>
      </c>
      <c r="G226" s="64"/>
      <c r="H226" s="64"/>
      <c r="I226" s="64">
        <v>1</v>
      </c>
      <c r="J226" s="32">
        <f>IF(AND(I226=1,OR(I225=0,I225="")),MAX($J$4:$J225)+1,IF(AND(I226=1,I225=1),J225,""))</f>
        <v>14</v>
      </c>
      <c r="K226" s="32">
        <f t="shared" si="19"/>
        <v>470</v>
      </c>
      <c r="L226" s="32" t="str">
        <f t="shared" si="16"/>
        <v>HV</v>
      </c>
      <c r="M226" s="32">
        <f t="shared" si="17"/>
        <v>220900</v>
      </c>
      <c r="N226" s="4">
        <v>1</v>
      </c>
      <c r="O226" s="4">
        <v>0</v>
      </c>
      <c r="P226" s="4">
        <v>0</v>
      </c>
      <c r="Q226" s="4">
        <v>0</v>
      </c>
      <c r="R226" s="58">
        <v>0</v>
      </c>
      <c r="S226" s="58">
        <v>0</v>
      </c>
      <c r="T226" s="58">
        <v>0</v>
      </c>
      <c r="U226" s="5">
        <v>0</v>
      </c>
      <c r="V226" s="4">
        <v>0</v>
      </c>
      <c r="AG226" t="s">
        <v>266</v>
      </c>
      <c r="AM226" s="1" t="str">
        <f t="shared" si="18"/>
        <v>224_C0021_0321.jpg</v>
      </c>
    </row>
    <row r="227" spans="1:39" x14ac:dyDescent="0.35">
      <c r="A227">
        <v>223</v>
      </c>
      <c r="B227">
        <v>224</v>
      </c>
      <c r="C227">
        <v>146.81804568199999</v>
      </c>
      <c r="D227">
        <v>-19.168356920000001</v>
      </c>
      <c r="F227" s="64" t="s">
        <v>4151</v>
      </c>
      <c r="G227" s="64"/>
      <c r="H227" s="64"/>
      <c r="I227" s="64">
        <v>1</v>
      </c>
      <c r="J227" s="32">
        <f>IF(AND(I227=1,OR(I226=0,I226="")),MAX($J$4:$J226)+1,IF(AND(I227=1,I226=1),J226,""))</f>
        <v>14</v>
      </c>
      <c r="K227" s="32">
        <f t="shared" si="19"/>
        <v>470</v>
      </c>
      <c r="L227" s="32" t="str">
        <f t="shared" si="16"/>
        <v>HV</v>
      </c>
      <c r="M227" s="32">
        <f t="shared" si="17"/>
        <v>220900</v>
      </c>
      <c r="N227" s="4">
        <v>1</v>
      </c>
      <c r="O227" s="4">
        <v>0</v>
      </c>
      <c r="P227" s="4">
        <v>0</v>
      </c>
      <c r="Q227" s="4">
        <v>0</v>
      </c>
      <c r="R227" s="58">
        <v>0</v>
      </c>
      <c r="S227" s="58">
        <v>0</v>
      </c>
      <c r="T227" s="58">
        <v>0</v>
      </c>
      <c r="U227" s="5">
        <v>0</v>
      </c>
      <c r="V227" s="4">
        <v>0</v>
      </c>
      <c r="AG227" t="s">
        <v>267</v>
      </c>
      <c r="AM227" s="1" t="str">
        <f t="shared" si="18"/>
        <v>225_C0021_0319.jpg</v>
      </c>
    </row>
    <row r="228" spans="1:39" x14ac:dyDescent="0.35">
      <c r="A228">
        <v>224</v>
      </c>
      <c r="B228">
        <v>225</v>
      </c>
      <c r="C228">
        <v>146.81795802100001</v>
      </c>
      <c r="D228">
        <v>-19.168338380000002</v>
      </c>
      <c r="E228">
        <v>50</v>
      </c>
      <c r="F228" s="64" t="s">
        <v>4152</v>
      </c>
      <c r="G228" s="64"/>
      <c r="H228" s="64"/>
      <c r="I228" s="64">
        <v>1</v>
      </c>
      <c r="J228" s="32">
        <f>IF(AND(I228=1,OR(I227=0,I227="")),MAX($J$4:$J227)+1,IF(AND(I228=1,I227=1),J227,""))</f>
        <v>14</v>
      </c>
      <c r="K228" s="32">
        <f t="shared" si="19"/>
        <v>470</v>
      </c>
      <c r="L228" s="32" t="str">
        <f t="shared" si="16"/>
        <v>HV</v>
      </c>
      <c r="M228" s="32">
        <f t="shared" si="17"/>
        <v>220900</v>
      </c>
      <c r="N228" s="4">
        <v>1</v>
      </c>
      <c r="O228" s="4">
        <v>0</v>
      </c>
      <c r="P228" s="4">
        <v>0</v>
      </c>
      <c r="Q228" s="4">
        <v>0</v>
      </c>
      <c r="R228" s="58">
        <v>0</v>
      </c>
      <c r="S228" s="58">
        <v>0</v>
      </c>
      <c r="T228" s="58">
        <v>0</v>
      </c>
      <c r="U228" s="5">
        <v>0</v>
      </c>
      <c r="V228" s="4">
        <v>0</v>
      </c>
      <c r="AG228" t="s">
        <v>268</v>
      </c>
      <c r="AM228" s="1" t="str">
        <f t="shared" si="18"/>
        <v>226_C0021_0317.jpg</v>
      </c>
    </row>
    <row r="229" spans="1:39" x14ac:dyDescent="0.35">
      <c r="A229">
        <v>225</v>
      </c>
      <c r="B229">
        <v>226</v>
      </c>
      <c r="C229">
        <v>146.81787036099999</v>
      </c>
      <c r="D229">
        <v>-19.168319838999899</v>
      </c>
      <c r="F229" s="64" t="s">
        <v>4153</v>
      </c>
      <c r="G229" s="64"/>
      <c r="H229" s="64"/>
      <c r="I229" s="64">
        <v>1</v>
      </c>
      <c r="J229" s="32">
        <f>IF(AND(I229=1,OR(I228=0,I228="")),MAX($J$4:$J228)+1,IF(AND(I229=1,I228=1),J228,""))</f>
        <v>14</v>
      </c>
      <c r="K229" s="32">
        <f t="shared" si="19"/>
        <v>470</v>
      </c>
      <c r="L229" s="32" t="str">
        <f t="shared" si="16"/>
        <v>HV</v>
      </c>
      <c r="M229" s="32">
        <f t="shared" si="17"/>
        <v>220900</v>
      </c>
      <c r="N229" s="4">
        <v>1</v>
      </c>
      <c r="O229" s="4">
        <v>0</v>
      </c>
      <c r="P229" s="4">
        <v>0</v>
      </c>
      <c r="Q229" s="4">
        <v>0</v>
      </c>
      <c r="R229" s="58">
        <v>0</v>
      </c>
      <c r="S229" s="58">
        <v>0</v>
      </c>
      <c r="T229" s="58">
        <v>0</v>
      </c>
      <c r="U229" s="5">
        <v>0</v>
      </c>
      <c r="V229" s="4">
        <v>0</v>
      </c>
      <c r="AG229" t="s">
        <v>269</v>
      </c>
      <c r="AM229" s="1" t="str">
        <f t="shared" si="18"/>
        <v>227_C0021_0310.jpg</v>
      </c>
    </row>
    <row r="230" spans="1:39" x14ac:dyDescent="0.35">
      <c r="A230">
        <v>226</v>
      </c>
      <c r="B230">
        <v>227</v>
      </c>
      <c r="C230">
        <v>146.817784566</v>
      </c>
      <c r="D230">
        <v>-19.168294957999901</v>
      </c>
      <c r="F230" s="64" t="s">
        <v>4154</v>
      </c>
      <c r="G230" s="64"/>
      <c r="H230" s="64"/>
      <c r="I230" s="64">
        <v>1</v>
      </c>
      <c r="J230" s="32">
        <f>IF(AND(I230=1,OR(I229=0,I229="")),MAX($J$4:$J229)+1,IF(AND(I230=1,I229=1),J229,""))</f>
        <v>14</v>
      </c>
      <c r="K230" s="32">
        <f t="shared" si="19"/>
        <v>470</v>
      </c>
      <c r="L230" s="32" t="str">
        <f t="shared" si="16"/>
        <v>HV</v>
      </c>
      <c r="M230" s="32">
        <f t="shared" si="17"/>
        <v>220900</v>
      </c>
      <c r="N230" s="4">
        <v>2</v>
      </c>
      <c r="O230" s="4">
        <v>0</v>
      </c>
      <c r="P230" s="4">
        <v>1</v>
      </c>
      <c r="Q230" s="4">
        <v>0</v>
      </c>
      <c r="R230" s="58">
        <v>0</v>
      </c>
      <c r="S230" s="58">
        <v>0</v>
      </c>
      <c r="T230" s="58">
        <v>0</v>
      </c>
      <c r="U230" s="5">
        <v>0</v>
      </c>
      <c r="V230" s="4">
        <v>0</v>
      </c>
      <c r="AG230" t="s">
        <v>270</v>
      </c>
      <c r="AM230" s="1" t="str">
        <f t="shared" si="18"/>
        <v>228_C0021_0306.jpg</v>
      </c>
    </row>
    <row r="231" spans="1:39" x14ac:dyDescent="0.35">
      <c r="A231">
        <v>227</v>
      </c>
      <c r="B231">
        <v>228</v>
      </c>
      <c r="C231">
        <v>146.81769935400001</v>
      </c>
      <c r="D231">
        <v>-19.168268097999899</v>
      </c>
      <c r="F231" s="64" t="s">
        <v>4155</v>
      </c>
      <c r="G231" s="64"/>
      <c r="H231" s="64"/>
      <c r="I231" s="64">
        <v>1</v>
      </c>
      <c r="J231" s="32">
        <f>IF(AND(I231=1,OR(I230=0,I230="")),MAX($J$4:$J230)+1,IF(AND(I231=1,I230=1),J230,""))</f>
        <v>14</v>
      </c>
      <c r="K231" s="32">
        <f t="shared" si="19"/>
        <v>470</v>
      </c>
      <c r="L231" s="32" t="str">
        <f t="shared" si="16"/>
        <v>HV</v>
      </c>
      <c r="M231" s="32">
        <f t="shared" si="17"/>
        <v>220900</v>
      </c>
      <c r="N231" s="4">
        <v>1</v>
      </c>
      <c r="O231" s="4">
        <v>0</v>
      </c>
      <c r="P231" s="4">
        <v>0</v>
      </c>
      <c r="Q231" s="4">
        <v>0</v>
      </c>
      <c r="R231" s="58">
        <v>0</v>
      </c>
      <c r="S231" s="58">
        <v>0</v>
      </c>
      <c r="T231" s="58">
        <v>0</v>
      </c>
      <c r="U231" s="5">
        <v>0</v>
      </c>
      <c r="V231" s="4">
        <v>0</v>
      </c>
      <c r="AG231" t="s">
        <v>271</v>
      </c>
      <c r="AM231" s="1" t="str">
        <f t="shared" si="18"/>
        <v>229_C0021_0304.jpg</v>
      </c>
    </row>
    <row r="232" spans="1:39" x14ac:dyDescent="0.35">
      <c r="A232">
        <v>228</v>
      </c>
      <c r="B232">
        <v>229</v>
      </c>
      <c r="C232">
        <v>146.817614142</v>
      </c>
      <c r="D232">
        <v>-19.168241238999901</v>
      </c>
      <c r="F232" s="64" t="s">
        <v>4156</v>
      </c>
      <c r="G232" s="64"/>
      <c r="H232" s="64"/>
      <c r="I232" s="64">
        <v>1</v>
      </c>
      <c r="J232" s="32">
        <f>IF(AND(I232=1,OR(I231=0,I231="")),MAX($J$4:$J231)+1,IF(AND(I232=1,I231=1),J231,""))</f>
        <v>14</v>
      </c>
      <c r="K232" s="32">
        <f t="shared" si="19"/>
        <v>470</v>
      </c>
      <c r="L232" s="32" t="str">
        <f t="shared" si="16"/>
        <v>HV</v>
      </c>
      <c r="M232" s="32">
        <f t="shared" si="17"/>
        <v>220900</v>
      </c>
      <c r="N232" s="4">
        <v>1</v>
      </c>
      <c r="O232" s="4">
        <v>0</v>
      </c>
      <c r="P232" s="4">
        <v>0</v>
      </c>
      <c r="Q232" s="4">
        <v>0</v>
      </c>
      <c r="R232" s="58">
        <v>0</v>
      </c>
      <c r="S232" s="58">
        <v>0</v>
      </c>
      <c r="T232" s="58">
        <v>0</v>
      </c>
      <c r="U232" s="5">
        <v>0</v>
      </c>
      <c r="V232" s="4">
        <v>0</v>
      </c>
      <c r="AG232" t="s">
        <v>272</v>
      </c>
      <c r="AM232" s="1" t="str">
        <f t="shared" si="18"/>
        <v>230_C0021_0298.jpg</v>
      </c>
    </row>
    <row r="233" spans="1:39" x14ac:dyDescent="0.35">
      <c r="A233">
        <v>229</v>
      </c>
      <c r="B233">
        <v>230</v>
      </c>
      <c r="C233">
        <v>146.81752893000001</v>
      </c>
      <c r="D233">
        <v>-19.168214378999899</v>
      </c>
      <c r="E233">
        <v>50</v>
      </c>
      <c r="F233" s="64" t="s">
        <v>4157</v>
      </c>
      <c r="G233" s="64"/>
      <c r="H233" s="64"/>
      <c r="I233" s="64">
        <v>1</v>
      </c>
      <c r="J233" s="32">
        <f>IF(AND(I233=1,OR(I232=0,I232="")),MAX($J$4:$J232)+1,IF(AND(I233=1,I232=1),J232,""))</f>
        <v>14</v>
      </c>
      <c r="K233" s="32">
        <f t="shared" si="19"/>
        <v>470</v>
      </c>
      <c r="L233" s="32" t="str">
        <f t="shared" si="16"/>
        <v>HV</v>
      </c>
      <c r="M233" s="32">
        <f t="shared" si="17"/>
        <v>220900</v>
      </c>
      <c r="N233" s="4">
        <v>1</v>
      </c>
      <c r="O233" s="4">
        <v>0</v>
      </c>
      <c r="P233" s="4">
        <v>0</v>
      </c>
      <c r="Q233" s="4">
        <v>0</v>
      </c>
      <c r="R233" s="58">
        <v>0</v>
      </c>
      <c r="S233" s="58">
        <v>0</v>
      </c>
      <c r="T233" s="58">
        <v>0</v>
      </c>
      <c r="U233" s="5">
        <v>0</v>
      </c>
      <c r="V233" s="4">
        <v>0</v>
      </c>
      <c r="AG233" t="s">
        <v>273</v>
      </c>
      <c r="AM233" s="1" t="str">
        <f t="shared" si="18"/>
        <v>231_C0021_0297.jpg</v>
      </c>
    </row>
    <row r="234" spans="1:39" x14ac:dyDescent="0.35">
      <c r="A234">
        <v>230</v>
      </c>
      <c r="B234">
        <v>231</v>
      </c>
      <c r="C234">
        <v>146.81744371799999</v>
      </c>
      <c r="D234">
        <v>-19.168187519</v>
      </c>
      <c r="F234" s="64" t="s">
        <v>4158</v>
      </c>
      <c r="G234" s="64"/>
      <c r="H234" s="64"/>
      <c r="I234" s="64">
        <v>1</v>
      </c>
      <c r="J234" s="32">
        <f>IF(AND(I234=1,OR(I233=0,I233="")),MAX($J$4:$J233)+1,IF(AND(I234=1,I233=1),J233,""))</f>
        <v>14</v>
      </c>
      <c r="K234" s="32">
        <f t="shared" si="19"/>
        <v>470</v>
      </c>
      <c r="L234" s="32" t="str">
        <f t="shared" si="16"/>
        <v>HV</v>
      </c>
      <c r="M234" s="32">
        <f t="shared" si="17"/>
        <v>220900</v>
      </c>
      <c r="N234" s="4">
        <v>1</v>
      </c>
      <c r="O234" s="4">
        <v>0</v>
      </c>
      <c r="P234" s="4">
        <v>0</v>
      </c>
      <c r="Q234" s="4">
        <v>0</v>
      </c>
      <c r="R234" s="58">
        <v>0</v>
      </c>
      <c r="S234" s="58">
        <v>0</v>
      </c>
      <c r="T234" s="58">
        <v>0</v>
      </c>
      <c r="U234" s="5">
        <v>0</v>
      </c>
      <c r="V234" s="4">
        <v>0</v>
      </c>
      <c r="AG234" t="s">
        <v>274</v>
      </c>
      <c r="AM234" s="1" t="str">
        <f t="shared" si="18"/>
        <v>232_C0021_0294.jpg</v>
      </c>
    </row>
    <row r="235" spans="1:39" x14ac:dyDescent="0.35">
      <c r="A235">
        <v>231</v>
      </c>
      <c r="B235">
        <v>232</v>
      </c>
      <c r="C235">
        <v>146.81735850600001</v>
      </c>
      <c r="D235">
        <v>-19.168160660000002</v>
      </c>
      <c r="F235" s="64" t="s">
        <v>4159</v>
      </c>
      <c r="G235" s="64"/>
      <c r="H235" s="64"/>
      <c r="I235" s="64">
        <v>1</v>
      </c>
      <c r="J235" s="32">
        <f>IF(AND(I235=1,OR(I234=0,I234="")),MAX($J$4:$J234)+1,IF(AND(I235=1,I234=1),J234,""))</f>
        <v>14</v>
      </c>
      <c r="K235" s="32">
        <f t="shared" si="19"/>
        <v>470</v>
      </c>
      <c r="L235" s="32" t="str">
        <f t="shared" si="16"/>
        <v>HV</v>
      </c>
      <c r="M235" s="32">
        <f t="shared" si="17"/>
        <v>220900</v>
      </c>
      <c r="N235" s="4">
        <v>1</v>
      </c>
      <c r="O235" s="4">
        <v>0</v>
      </c>
      <c r="P235" s="4">
        <v>0</v>
      </c>
      <c r="Q235" s="4">
        <v>0</v>
      </c>
      <c r="R235" s="58">
        <v>0</v>
      </c>
      <c r="S235" s="58">
        <v>0</v>
      </c>
      <c r="T235" s="58">
        <v>0</v>
      </c>
      <c r="U235" s="5">
        <v>0</v>
      </c>
      <c r="V235" s="4">
        <v>0</v>
      </c>
      <c r="AG235" t="s">
        <v>275</v>
      </c>
      <c r="AM235" s="1" t="str">
        <f t="shared" si="18"/>
        <v>233_C0021_0291.jpg</v>
      </c>
    </row>
    <row r="236" spans="1:39" x14ac:dyDescent="0.35">
      <c r="A236">
        <v>232</v>
      </c>
      <c r="B236">
        <v>233</v>
      </c>
      <c r="C236">
        <v>146.817275677</v>
      </c>
      <c r="D236">
        <v>-19.168128031999998</v>
      </c>
      <c r="F236" s="64" t="s">
        <v>4160</v>
      </c>
      <c r="G236" s="64"/>
      <c r="H236" s="64"/>
      <c r="I236" s="64">
        <v>1</v>
      </c>
      <c r="J236" s="32">
        <f>IF(AND(I236=1,OR(I235=0,I235="")),MAX($J$4:$J235)+1,IF(AND(I236=1,I235=1),J235,""))</f>
        <v>14</v>
      </c>
      <c r="K236" s="32">
        <f t="shared" si="19"/>
        <v>470</v>
      </c>
      <c r="L236" s="32" t="str">
        <f t="shared" si="16"/>
        <v>HV</v>
      </c>
      <c r="M236" s="32">
        <f t="shared" si="17"/>
        <v>220900</v>
      </c>
      <c r="N236" s="4">
        <v>1</v>
      </c>
      <c r="O236" s="4">
        <v>0</v>
      </c>
      <c r="P236" s="4">
        <v>0</v>
      </c>
      <c r="Q236" s="4">
        <v>0</v>
      </c>
      <c r="R236" s="58">
        <v>0</v>
      </c>
      <c r="S236" s="58">
        <v>0</v>
      </c>
      <c r="T236" s="58">
        <v>0</v>
      </c>
      <c r="U236" s="5">
        <v>0</v>
      </c>
      <c r="V236" s="4">
        <v>0</v>
      </c>
      <c r="AG236" t="s">
        <v>276</v>
      </c>
      <c r="AM236" s="1" t="str">
        <f t="shared" si="18"/>
        <v>234_C0021_0288.jpg</v>
      </c>
    </row>
    <row r="237" spans="1:39" x14ac:dyDescent="0.35">
      <c r="A237">
        <v>233</v>
      </c>
      <c r="B237">
        <v>234</v>
      </c>
      <c r="C237">
        <v>146.81719372000001</v>
      </c>
      <c r="D237">
        <v>-19.168093289999899</v>
      </c>
      <c r="F237" s="64" t="s">
        <v>4161</v>
      </c>
      <c r="G237" s="64"/>
      <c r="H237" s="64"/>
      <c r="I237" s="64">
        <v>1</v>
      </c>
      <c r="J237" s="32">
        <f>IF(AND(I237=1,OR(I236=0,I236="")),MAX($J$4:$J236)+1,IF(AND(I237=1,I236=1),J236,""))</f>
        <v>14</v>
      </c>
      <c r="K237" s="32">
        <f t="shared" si="19"/>
        <v>470</v>
      </c>
      <c r="L237" s="32" t="str">
        <f t="shared" si="16"/>
        <v>HV</v>
      </c>
      <c r="M237" s="32">
        <f t="shared" si="17"/>
        <v>220900</v>
      </c>
      <c r="N237" s="4">
        <v>1</v>
      </c>
      <c r="O237" s="4">
        <v>0</v>
      </c>
      <c r="P237" s="4">
        <v>0</v>
      </c>
      <c r="Q237" s="4">
        <v>0</v>
      </c>
      <c r="R237" s="58">
        <v>0</v>
      </c>
      <c r="S237" s="58">
        <v>0</v>
      </c>
      <c r="T237" s="58">
        <v>0</v>
      </c>
      <c r="U237" s="5">
        <v>0</v>
      </c>
      <c r="V237" s="4">
        <v>0</v>
      </c>
      <c r="AG237" t="s">
        <v>277</v>
      </c>
      <c r="AM237" s="1" t="str">
        <f t="shared" si="18"/>
        <v>235_C0021_0285.jpg</v>
      </c>
    </row>
    <row r="238" spans="1:39" x14ac:dyDescent="0.35">
      <c r="A238">
        <v>234</v>
      </c>
      <c r="B238">
        <v>235</v>
      </c>
      <c r="C238">
        <v>146.817111764</v>
      </c>
      <c r="D238">
        <v>-19.168058548000001</v>
      </c>
      <c r="E238">
        <v>50</v>
      </c>
      <c r="F238" s="64" t="s">
        <v>4162</v>
      </c>
      <c r="G238" s="64"/>
      <c r="H238" s="64"/>
      <c r="I238" s="64">
        <v>1</v>
      </c>
      <c r="J238" s="32">
        <f>IF(AND(I238=1,OR(I237=0,I237="")),MAX($J$4:$J237)+1,IF(AND(I238=1,I237=1),J237,""))</f>
        <v>14</v>
      </c>
      <c r="K238" s="32">
        <f t="shared" si="19"/>
        <v>470</v>
      </c>
      <c r="L238" s="32" t="str">
        <f t="shared" si="16"/>
        <v>HV</v>
      </c>
      <c r="M238" s="32">
        <f t="shared" si="17"/>
        <v>220900</v>
      </c>
      <c r="N238" s="4">
        <v>1</v>
      </c>
      <c r="O238" s="4">
        <v>0</v>
      </c>
      <c r="P238" s="4">
        <v>0</v>
      </c>
      <c r="Q238" s="4">
        <v>0</v>
      </c>
      <c r="R238" s="58">
        <v>0</v>
      </c>
      <c r="S238" s="58">
        <v>0</v>
      </c>
      <c r="T238" s="58">
        <v>0</v>
      </c>
      <c r="U238" s="5">
        <v>0</v>
      </c>
      <c r="V238" s="4">
        <v>0</v>
      </c>
      <c r="AG238" t="s">
        <v>278</v>
      </c>
      <c r="AM238" s="1" t="str">
        <f t="shared" ref="AM238:AM270" si="20">HYPERLINK("E:\CAFNEC_GBRF\2023\JohnstoneRiver\Frames_for_Analysis\" &amp; F239, F239)</f>
        <v>236_C0021_0282.jpg</v>
      </c>
    </row>
    <row r="239" spans="1:39" x14ac:dyDescent="0.35">
      <c r="A239">
        <v>235</v>
      </c>
      <c r="B239">
        <v>236</v>
      </c>
      <c r="C239">
        <v>146.81702980700001</v>
      </c>
      <c r="D239">
        <v>-19.168023806000001</v>
      </c>
      <c r="F239" s="64" t="s">
        <v>4163</v>
      </c>
      <c r="G239" s="64"/>
      <c r="H239" s="64"/>
      <c r="I239" s="64">
        <v>1</v>
      </c>
      <c r="J239" s="32">
        <f>IF(AND(I239=1,OR(I238=0,I238="")),MAX($J$4:$J238)+1,IF(AND(I239=1,I238=1),J238,""))</f>
        <v>14</v>
      </c>
      <c r="K239" s="32">
        <f t="shared" si="19"/>
        <v>470</v>
      </c>
      <c r="L239" s="32" t="str">
        <f t="shared" si="16"/>
        <v>HV</v>
      </c>
      <c r="M239" s="32">
        <f t="shared" si="17"/>
        <v>220900</v>
      </c>
      <c r="N239" s="4">
        <v>1</v>
      </c>
      <c r="O239" s="4">
        <v>0</v>
      </c>
      <c r="P239" s="4">
        <v>0</v>
      </c>
      <c r="Q239" s="4">
        <v>0</v>
      </c>
      <c r="R239" s="58">
        <v>0</v>
      </c>
      <c r="S239" s="58">
        <v>0</v>
      </c>
      <c r="T239" s="58">
        <v>0</v>
      </c>
      <c r="U239" s="5">
        <v>0</v>
      </c>
      <c r="V239" s="4">
        <v>0</v>
      </c>
      <c r="AG239" t="s">
        <v>279</v>
      </c>
      <c r="AM239" s="1" t="str">
        <f t="shared" si="20"/>
        <v>237_C0021_0280.jpg</v>
      </c>
    </row>
    <row r="240" spans="1:39" x14ac:dyDescent="0.35">
      <c r="A240">
        <v>236</v>
      </c>
      <c r="B240">
        <v>237</v>
      </c>
      <c r="C240">
        <v>146.81694785100001</v>
      </c>
      <c r="D240">
        <v>-19.167989064</v>
      </c>
      <c r="F240" s="64" t="s">
        <v>4164</v>
      </c>
      <c r="G240" s="64"/>
      <c r="H240" s="64"/>
      <c r="I240" s="64">
        <v>1</v>
      </c>
      <c r="J240" s="32">
        <f>IF(AND(I240=1,OR(I239=0,I239="")),MAX($J$4:$J239)+1,IF(AND(I240=1,I239=1),J239,""))</f>
        <v>14</v>
      </c>
      <c r="K240" s="32">
        <f t="shared" si="19"/>
        <v>470</v>
      </c>
      <c r="L240" s="32" t="str">
        <f t="shared" si="16"/>
        <v>HV</v>
      </c>
      <c r="M240" s="32">
        <f t="shared" si="17"/>
        <v>220900</v>
      </c>
      <c r="N240" s="4">
        <v>1</v>
      </c>
      <c r="O240" s="4">
        <v>0</v>
      </c>
      <c r="P240" s="4">
        <v>0</v>
      </c>
      <c r="Q240" s="4">
        <v>0</v>
      </c>
      <c r="R240" s="58">
        <v>0</v>
      </c>
      <c r="S240" s="58">
        <v>0</v>
      </c>
      <c r="T240" s="58">
        <v>0</v>
      </c>
      <c r="U240" s="5">
        <v>0</v>
      </c>
      <c r="V240" s="4">
        <v>0</v>
      </c>
      <c r="AG240" t="s">
        <v>280</v>
      </c>
      <c r="AM240" s="1" t="str">
        <f t="shared" si="20"/>
        <v>238_C0021_0278.jpg</v>
      </c>
    </row>
    <row r="241" spans="1:39" x14ac:dyDescent="0.35">
      <c r="A241">
        <v>237</v>
      </c>
      <c r="B241">
        <v>238</v>
      </c>
      <c r="C241">
        <v>146.81686589500001</v>
      </c>
      <c r="D241">
        <v>-19.167954322</v>
      </c>
      <c r="F241" s="64" t="s">
        <v>4165</v>
      </c>
      <c r="G241" s="64"/>
      <c r="H241" s="64"/>
      <c r="I241" s="64">
        <v>1</v>
      </c>
      <c r="J241" s="32">
        <f>IF(AND(I241=1,OR(I240=0,I240="")),MAX($J$4:$J240)+1,IF(AND(I241=1,I240=1),J240,""))</f>
        <v>14</v>
      </c>
      <c r="K241" s="32">
        <f t="shared" si="19"/>
        <v>470</v>
      </c>
      <c r="L241" s="32" t="str">
        <f t="shared" si="16"/>
        <v>HV</v>
      </c>
      <c r="M241" s="32">
        <f t="shared" si="17"/>
        <v>220900</v>
      </c>
      <c r="N241" s="4">
        <v>1</v>
      </c>
      <c r="O241" s="4">
        <v>0</v>
      </c>
      <c r="P241" s="4">
        <v>0</v>
      </c>
      <c r="Q241" s="4">
        <v>0</v>
      </c>
      <c r="R241" s="58">
        <v>0</v>
      </c>
      <c r="S241" s="58">
        <v>0</v>
      </c>
      <c r="T241" s="58">
        <v>0</v>
      </c>
      <c r="U241" s="5">
        <v>0</v>
      </c>
      <c r="V241" s="4">
        <v>0</v>
      </c>
      <c r="AG241" t="s">
        <v>281</v>
      </c>
      <c r="AM241" s="1" t="str">
        <f t="shared" si="20"/>
        <v>239_C0021_0276.jpg</v>
      </c>
    </row>
    <row r="242" spans="1:39" x14ac:dyDescent="0.35">
      <c r="A242">
        <v>238</v>
      </c>
      <c r="B242">
        <v>239</v>
      </c>
      <c r="C242">
        <v>146.81678393799999</v>
      </c>
      <c r="D242">
        <v>-19.1679195799999</v>
      </c>
      <c r="F242" s="64" t="s">
        <v>4166</v>
      </c>
      <c r="G242" s="64"/>
      <c r="H242" s="64"/>
      <c r="I242" s="64">
        <v>1</v>
      </c>
      <c r="J242" s="32">
        <f>IF(AND(I242=1,OR(I241=0,I241="")),MAX($J$4:$J241)+1,IF(AND(I242=1,I241=1),J241,""))</f>
        <v>14</v>
      </c>
      <c r="K242" s="32">
        <f t="shared" si="19"/>
        <v>470</v>
      </c>
      <c r="L242" s="32" t="str">
        <f t="shared" si="16"/>
        <v>HV</v>
      </c>
      <c r="M242" s="32">
        <f t="shared" si="17"/>
        <v>220900</v>
      </c>
      <c r="N242" s="4">
        <v>1</v>
      </c>
      <c r="O242" s="4">
        <v>0</v>
      </c>
      <c r="P242" s="4">
        <v>0</v>
      </c>
      <c r="Q242" s="4">
        <v>0</v>
      </c>
      <c r="R242" s="58">
        <v>0</v>
      </c>
      <c r="S242" s="58">
        <v>0</v>
      </c>
      <c r="T242" s="58">
        <v>0</v>
      </c>
      <c r="U242" s="5">
        <v>0</v>
      </c>
      <c r="V242" s="4">
        <v>0</v>
      </c>
      <c r="AG242" t="s">
        <v>282</v>
      </c>
      <c r="AM242" s="1" t="str">
        <f t="shared" si="20"/>
        <v>240_C0021_0270.jpg</v>
      </c>
    </row>
    <row r="243" spans="1:39" x14ac:dyDescent="0.35">
      <c r="A243">
        <v>239</v>
      </c>
      <c r="B243">
        <v>240</v>
      </c>
      <c r="C243">
        <v>146.81669754699999</v>
      </c>
      <c r="D243">
        <v>-19.167898733999898</v>
      </c>
      <c r="E243">
        <v>50</v>
      </c>
      <c r="F243" s="64" t="s">
        <v>4167</v>
      </c>
      <c r="G243" s="64"/>
      <c r="H243" s="64"/>
      <c r="I243" s="64">
        <v>1</v>
      </c>
      <c r="J243" s="32">
        <f>IF(AND(I243=1,OR(I242=0,I242="")),MAX($J$4:$J242)+1,IF(AND(I243=1,I242=1),J242,""))</f>
        <v>14</v>
      </c>
      <c r="K243" s="32">
        <f t="shared" si="19"/>
        <v>470</v>
      </c>
      <c r="L243" s="32" t="str">
        <f t="shared" si="16"/>
        <v>HV</v>
      </c>
      <c r="M243" s="32">
        <f t="shared" si="17"/>
        <v>220900</v>
      </c>
      <c r="N243" s="4">
        <v>1</v>
      </c>
      <c r="O243" s="4">
        <v>0</v>
      </c>
      <c r="P243" s="4">
        <v>0</v>
      </c>
      <c r="Q243" s="4">
        <v>0</v>
      </c>
      <c r="R243" s="58">
        <v>0</v>
      </c>
      <c r="S243" s="58">
        <v>0</v>
      </c>
      <c r="T243" s="58">
        <v>0</v>
      </c>
      <c r="U243" s="5">
        <v>0</v>
      </c>
      <c r="V243" s="4">
        <v>0</v>
      </c>
      <c r="AG243" t="s">
        <v>283</v>
      </c>
      <c r="AM243" s="1" t="str">
        <f t="shared" si="20"/>
        <v>241_C0021_0267.jpg</v>
      </c>
    </row>
    <row r="244" spans="1:39" x14ac:dyDescent="0.35">
      <c r="A244">
        <v>240</v>
      </c>
      <c r="B244">
        <v>241</v>
      </c>
      <c r="C244">
        <v>146.816608917</v>
      </c>
      <c r="D244">
        <v>-19.167884904999902</v>
      </c>
      <c r="F244" s="64" t="s">
        <v>4168</v>
      </c>
      <c r="G244" s="64"/>
      <c r="H244" s="64"/>
      <c r="I244" s="64">
        <v>1</v>
      </c>
      <c r="J244" s="32">
        <f>IF(AND(I244=1,OR(I243=0,I243="")),MAX($J$4:$J243)+1,IF(AND(I244=1,I243=1),J243,""))</f>
        <v>14</v>
      </c>
      <c r="K244" s="32">
        <f t="shared" si="19"/>
        <v>470</v>
      </c>
      <c r="L244" s="32" t="str">
        <f t="shared" si="16"/>
        <v>HV</v>
      </c>
      <c r="M244" s="32">
        <f t="shared" si="17"/>
        <v>220900</v>
      </c>
      <c r="N244" s="4">
        <v>1</v>
      </c>
      <c r="O244" s="4">
        <v>0</v>
      </c>
      <c r="P244" s="4">
        <v>0</v>
      </c>
      <c r="Q244" s="4">
        <v>0</v>
      </c>
      <c r="R244" s="58">
        <v>0</v>
      </c>
      <c r="S244" s="58">
        <v>0</v>
      </c>
      <c r="T244" s="58">
        <v>0</v>
      </c>
      <c r="U244" s="5">
        <v>0</v>
      </c>
      <c r="V244" s="4">
        <v>0</v>
      </c>
      <c r="AG244" t="s">
        <v>284</v>
      </c>
      <c r="AM244" s="1" t="str">
        <f t="shared" si="20"/>
        <v>242_C0021_0263.jpg</v>
      </c>
    </row>
    <row r="245" spans="1:39" x14ac:dyDescent="0.35">
      <c r="A245">
        <v>241</v>
      </c>
      <c r="B245">
        <v>242</v>
      </c>
      <c r="C245">
        <v>146.81654139299999</v>
      </c>
      <c r="D245">
        <v>-19.167839688000001</v>
      </c>
      <c r="F245" s="64" t="s">
        <v>4169</v>
      </c>
      <c r="G245" s="64"/>
      <c r="H245" s="64"/>
      <c r="I245" s="64">
        <v>1</v>
      </c>
      <c r="J245" s="32">
        <f>IF(AND(I245=1,OR(I244=0,I244="")),MAX($J$4:$J244)+1,IF(AND(I245=1,I244=1),J244,""))</f>
        <v>14</v>
      </c>
      <c r="K245" s="32">
        <f t="shared" si="19"/>
        <v>470</v>
      </c>
      <c r="L245" s="32" t="str">
        <f t="shared" si="16"/>
        <v>HV</v>
      </c>
      <c r="M245" s="32">
        <f t="shared" si="17"/>
        <v>220900</v>
      </c>
      <c r="N245" s="4">
        <v>1</v>
      </c>
      <c r="O245" s="4">
        <v>0</v>
      </c>
      <c r="P245" s="4">
        <v>0</v>
      </c>
      <c r="Q245" s="4">
        <v>0</v>
      </c>
      <c r="R245" s="58">
        <v>0</v>
      </c>
      <c r="S245" s="58">
        <v>0</v>
      </c>
      <c r="T245" s="58">
        <v>0</v>
      </c>
      <c r="U245" s="5">
        <v>0</v>
      </c>
      <c r="V245" s="4">
        <v>0</v>
      </c>
      <c r="AG245" t="s">
        <v>285</v>
      </c>
      <c r="AM245" s="1" t="str">
        <f t="shared" si="20"/>
        <v>243_C0021_0257.jpg</v>
      </c>
    </row>
    <row r="246" spans="1:39" x14ac:dyDescent="0.35">
      <c r="A246">
        <v>242</v>
      </c>
      <c r="B246">
        <v>243</v>
      </c>
      <c r="C246">
        <v>146.816484223</v>
      </c>
      <c r="D246">
        <v>-19.167779970000002</v>
      </c>
      <c r="F246" s="64" t="s">
        <v>4170</v>
      </c>
      <c r="G246" s="64"/>
      <c r="H246" s="64"/>
      <c r="I246" s="64">
        <v>1</v>
      </c>
      <c r="J246" s="32">
        <f>IF(AND(I246=1,OR(I245=0,I245="")),MAX($J$4:$J245)+1,IF(AND(I246=1,I245=1),J245,""))</f>
        <v>14</v>
      </c>
      <c r="K246" s="32">
        <f t="shared" si="19"/>
        <v>470</v>
      </c>
      <c r="L246" s="32" t="str">
        <f t="shared" si="16"/>
        <v>HV</v>
      </c>
      <c r="M246" s="32">
        <f t="shared" si="17"/>
        <v>220900</v>
      </c>
      <c r="N246" s="4">
        <v>1</v>
      </c>
      <c r="O246" s="4">
        <v>0</v>
      </c>
      <c r="P246" s="4">
        <v>0</v>
      </c>
      <c r="Q246" s="4">
        <v>0</v>
      </c>
      <c r="R246" s="58">
        <v>0</v>
      </c>
      <c r="S246" s="58">
        <v>0</v>
      </c>
      <c r="T246" s="58">
        <v>0</v>
      </c>
      <c r="U246" s="5">
        <v>0</v>
      </c>
      <c r="V246" s="4">
        <v>0</v>
      </c>
      <c r="AG246" t="s">
        <v>286</v>
      </c>
      <c r="AM246" s="1" t="str">
        <f t="shared" si="20"/>
        <v>244_C0021_0253.jpg</v>
      </c>
    </row>
    <row r="247" spans="1:39" x14ac:dyDescent="0.35">
      <c r="A247">
        <v>243</v>
      </c>
      <c r="B247">
        <v>244</v>
      </c>
      <c r="C247">
        <v>146.816394694</v>
      </c>
      <c r="D247">
        <v>-19.167773019999998</v>
      </c>
      <c r="F247" s="64" t="s">
        <v>4171</v>
      </c>
      <c r="G247" s="64"/>
      <c r="H247" s="64"/>
      <c r="I247" s="64">
        <v>1</v>
      </c>
      <c r="J247" s="32">
        <f>IF(AND(I247=1,OR(I246=0,I246="")),MAX($J$4:$J246)+1,IF(AND(I247=1,I246=1),J246,""))</f>
        <v>14</v>
      </c>
      <c r="K247" s="32">
        <f t="shared" si="19"/>
        <v>470</v>
      </c>
      <c r="L247" s="32" t="str">
        <f t="shared" si="16"/>
        <v>HV</v>
      </c>
      <c r="M247" s="32">
        <f t="shared" si="17"/>
        <v>220900</v>
      </c>
      <c r="N247" s="4">
        <v>1</v>
      </c>
      <c r="O247" s="4">
        <v>0</v>
      </c>
      <c r="P247" s="4">
        <v>0</v>
      </c>
      <c r="Q247" s="4">
        <v>0</v>
      </c>
      <c r="R247" s="58">
        <v>0</v>
      </c>
      <c r="S247" s="58">
        <v>0</v>
      </c>
      <c r="T247" s="58">
        <v>0</v>
      </c>
      <c r="U247" s="5">
        <v>0</v>
      </c>
      <c r="V247" s="4">
        <v>0</v>
      </c>
      <c r="AG247" t="s">
        <v>287</v>
      </c>
      <c r="AM247" s="1" t="str">
        <f t="shared" si="20"/>
        <v>245_C0021_0248.jpg</v>
      </c>
    </row>
    <row r="248" spans="1:39" x14ac:dyDescent="0.35">
      <c r="A248">
        <v>244</v>
      </c>
      <c r="B248">
        <v>245</v>
      </c>
      <c r="C248">
        <v>146.816305164</v>
      </c>
      <c r="D248">
        <v>-19.167766069999999</v>
      </c>
      <c r="E248">
        <v>50</v>
      </c>
      <c r="F248" s="64" t="s">
        <v>4172</v>
      </c>
      <c r="G248" s="64"/>
      <c r="H248" s="64"/>
      <c r="I248" s="64">
        <v>1</v>
      </c>
      <c r="J248" s="32">
        <f>IF(AND(I248=1,OR(I247=0,I247="")),MAX($J$4:$J247)+1,IF(AND(I248=1,I247=1),J247,""))</f>
        <v>14</v>
      </c>
      <c r="K248" s="32">
        <f t="shared" si="19"/>
        <v>470</v>
      </c>
      <c r="L248" s="32" t="str">
        <f t="shared" si="16"/>
        <v>HV</v>
      </c>
      <c r="M248" s="32">
        <f t="shared" si="17"/>
        <v>220900</v>
      </c>
      <c r="N248" s="4">
        <v>1</v>
      </c>
      <c r="O248" s="4">
        <v>0</v>
      </c>
      <c r="P248" s="4">
        <v>0</v>
      </c>
      <c r="Q248" s="4">
        <v>0</v>
      </c>
      <c r="R248" s="58">
        <v>0</v>
      </c>
      <c r="S248" s="58">
        <v>0</v>
      </c>
      <c r="T248" s="58">
        <v>0</v>
      </c>
      <c r="U248" s="5">
        <v>0</v>
      </c>
      <c r="V248" s="4">
        <v>0</v>
      </c>
      <c r="AG248" t="s">
        <v>288</v>
      </c>
      <c r="AM248" s="1" t="str">
        <f t="shared" si="20"/>
        <v>246_C0021_0244.jpg</v>
      </c>
    </row>
    <row r="249" spans="1:39" x14ac:dyDescent="0.35">
      <c r="A249">
        <v>245</v>
      </c>
      <c r="B249">
        <v>246</v>
      </c>
      <c r="C249">
        <v>146.81623405400001</v>
      </c>
      <c r="D249">
        <v>-19.16771855</v>
      </c>
      <c r="F249" s="64" t="s">
        <v>4173</v>
      </c>
      <c r="G249" s="64"/>
      <c r="H249" s="64"/>
      <c r="I249" s="64">
        <v>1</v>
      </c>
      <c r="J249" s="32">
        <f>IF(AND(I249=1,OR(I248=0,I248="")),MAX($J$4:$J248)+1,IF(AND(I249=1,I248=1),J248,""))</f>
        <v>14</v>
      </c>
      <c r="K249" s="32">
        <f t="shared" si="19"/>
        <v>470</v>
      </c>
      <c r="L249" s="32" t="str">
        <f t="shared" si="16"/>
        <v>HV</v>
      </c>
      <c r="M249" s="32">
        <f t="shared" si="17"/>
        <v>220900</v>
      </c>
      <c r="N249" s="4">
        <v>2</v>
      </c>
      <c r="O249" s="4">
        <v>1</v>
      </c>
      <c r="P249" s="4">
        <v>1</v>
      </c>
      <c r="Q249" s="4">
        <v>0</v>
      </c>
      <c r="R249" s="58">
        <v>1</v>
      </c>
      <c r="S249" s="58">
        <v>0</v>
      </c>
      <c r="T249" s="58">
        <v>0</v>
      </c>
      <c r="U249" s="5">
        <v>0</v>
      </c>
      <c r="V249" s="4">
        <v>0</v>
      </c>
      <c r="AG249" t="s">
        <v>289</v>
      </c>
      <c r="AM249" s="1" t="str">
        <f t="shared" si="20"/>
        <v>247_C0021_0239.jpg</v>
      </c>
    </row>
    <row r="250" spans="1:39" x14ac:dyDescent="0.35">
      <c r="A250">
        <v>246</v>
      </c>
      <c r="B250">
        <v>247</v>
      </c>
      <c r="C250">
        <v>146.816155608</v>
      </c>
      <c r="D250">
        <v>-19.1676869469999</v>
      </c>
      <c r="F250" s="64" t="s">
        <v>4174</v>
      </c>
      <c r="G250" s="64"/>
      <c r="H250" s="64"/>
      <c r="I250" s="64">
        <v>1</v>
      </c>
      <c r="J250" s="32">
        <f>IF(AND(I250=1,OR(I249=0,I249="")),MAX($J$4:$J249)+1,IF(AND(I250=1,I249=1),J249,""))</f>
        <v>14</v>
      </c>
      <c r="K250" s="32">
        <f t="shared" si="19"/>
        <v>470</v>
      </c>
      <c r="L250" s="32" t="str">
        <f t="shared" si="16"/>
        <v>HV</v>
      </c>
      <c r="M250" s="32">
        <f t="shared" si="17"/>
        <v>220900</v>
      </c>
      <c r="N250" s="4">
        <v>1</v>
      </c>
      <c r="O250" s="4">
        <v>0</v>
      </c>
      <c r="P250" s="4">
        <v>0</v>
      </c>
      <c r="Q250" s="4">
        <v>0</v>
      </c>
      <c r="R250" s="58">
        <v>0</v>
      </c>
      <c r="S250" s="58">
        <v>0</v>
      </c>
      <c r="T250" s="58">
        <v>0</v>
      </c>
      <c r="U250" s="5">
        <v>0</v>
      </c>
      <c r="V250" s="4">
        <v>0</v>
      </c>
      <c r="AG250" t="s">
        <v>290</v>
      </c>
      <c r="AM250" s="1" t="str">
        <f t="shared" si="20"/>
        <v>248_C0021_0235.jpg</v>
      </c>
    </row>
    <row r="251" spans="1:39" x14ac:dyDescent="0.35">
      <c r="A251">
        <v>247</v>
      </c>
      <c r="B251">
        <v>248</v>
      </c>
      <c r="C251">
        <v>146.81606613299999</v>
      </c>
      <c r="D251">
        <v>-19.167679399000001</v>
      </c>
      <c r="F251" s="64" t="s">
        <v>4175</v>
      </c>
      <c r="G251" s="64"/>
      <c r="H251" s="64"/>
      <c r="I251" s="64">
        <v>1</v>
      </c>
      <c r="J251" s="32">
        <f>IF(AND(I251=1,OR(I250=0,I250="")),MAX($J$4:$J250)+1,IF(AND(I251=1,I250=1),J250,""))</f>
        <v>14</v>
      </c>
      <c r="K251" s="32">
        <f t="shared" si="19"/>
        <v>470</v>
      </c>
      <c r="L251" s="32" t="str">
        <f t="shared" si="16"/>
        <v>HV</v>
      </c>
      <c r="M251" s="32">
        <f t="shared" si="17"/>
        <v>220900</v>
      </c>
      <c r="N251" s="4">
        <v>1</v>
      </c>
      <c r="O251" s="4">
        <v>0</v>
      </c>
      <c r="P251" s="4">
        <v>0</v>
      </c>
      <c r="Q251" s="4">
        <v>0</v>
      </c>
      <c r="R251" s="58">
        <v>0</v>
      </c>
      <c r="S251" s="58">
        <v>0</v>
      </c>
      <c r="T251" s="58">
        <v>0</v>
      </c>
      <c r="U251" s="5">
        <v>0</v>
      </c>
      <c r="V251" s="4">
        <v>0</v>
      </c>
      <c r="AG251" t="s">
        <v>291</v>
      </c>
      <c r="AM251" s="1" t="str">
        <f t="shared" si="20"/>
        <v>249_C0021_0229.jpg</v>
      </c>
    </row>
    <row r="252" spans="1:39" x14ac:dyDescent="0.35">
      <c r="A252">
        <v>248</v>
      </c>
      <c r="B252">
        <v>249</v>
      </c>
      <c r="C252">
        <v>146.81598692</v>
      </c>
      <c r="D252">
        <v>-19.167652334</v>
      </c>
      <c r="F252" s="64" t="s">
        <v>4176</v>
      </c>
      <c r="G252" s="64"/>
      <c r="H252" s="64"/>
      <c r="I252" s="64">
        <v>1</v>
      </c>
      <c r="J252" s="32">
        <f>IF(AND(I252=1,OR(I251=0,I251="")),MAX($J$4:$J251)+1,IF(AND(I252=1,I251=1),J251,""))</f>
        <v>14</v>
      </c>
      <c r="K252" s="32">
        <f t="shared" si="19"/>
        <v>470</v>
      </c>
      <c r="L252" s="32" t="str">
        <f t="shared" si="16"/>
        <v>HV</v>
      </c>
      <c r="M252" s="32">
        <f t="shared" si="17"/>
        <v>220900</v>
      </c>
      <c r="N252" s="4">
        <v>1</v>
      </c>
      <c r="O252" s="4">
        <v>0</v>
      </c>
      <c r="P252" s="4">
        <v>0</v>
      </c>
      <c r="Q252" s="4">
        <v>0</v>
      </c>
      <c r="R252" s="58">
        <v>0</v>
      </c>
      <c r="S252" s="58">
        <v>0</v>
      </c>
      <c r="T252" s="58">
        <v>0</v>
      </c>
      <c r="U252" s="5">
        <v>0</v>
      </c>
      <c r="V252" s="4">
        <v>0</v>
      </c>
      <c r="AG252" t="s">
        <v>292</v>
      </c>
      <c r="AM252" s="1" t="str">
        <f t="shared" si="20"/>
        <v>250_C0021_0223.jpg</v>
      </c>
    </row>
    <row r="253" spans="1:39" x14ac:dyDescent="0.35">
      <c r="A253">
        <v>249</v>
      </c>
      <c r="B253">
        <v>250</v>
      </c>
      <c r="C253">
        <v>146.815926486</v>
      </c>
      <c r="D253">
        <v>-19.1675895549999</v>
      </c>
      <c r="E253">
        <v>50</v>
      </c>
      <c r="F253" s="64" t="s">
        <v>4177</v>
      </c>
      <c r="G253" s="64"/>
      <c r="H253" s="64"/>
      <c r="I253" s="64">
        <v>1</v>
      </c>
      <c r="J253" s="32">
        <f>IF(AND(I253=1,OR(I252=0,I252="")),MAX($J$4:$J252)+1,IF(AND(I253=1,I252=1),J252,""))</f>
        <v>14</v>
      </c>
      <c r="K253" s="32">
        <f t="shared" si="19"/>
        <v>470</v>
      </c>
      <c r="L253" s="32" t="str">
        <f t="shared" si="16"/>
        <v>HV</v>
      </c>
      <c r="M253" s="32">
        <f t="shared" si="17"/>
        <v>220900</v>
      </c>
      <c r="N253" s="4">
        <v>1</v>
      </c>
      <c r="O253" s="4">
        <v>0</v>
      </c>
      <c r="P253" s="4">
        <v>0</v>
      </c>
      <c r="Q253" s="4">
        <v>0</v>
      </c>
      <c r="R253" s="58">
        <v>0</v>
      </c>
      <c r="S253" s="58">
        <v>0</v>
      </c>
      <c r="T253" s="58">
        <v>0</v>
      </c>
      <c r="U253" s="5">
        <v>0</v>
      </c>
      <c r="V253" s="4">
        <v>0</v>
      </c>
      <c r="AG253" t="s">
        <v>293</v>
      </c>
      <c r="AM253" s="1" t="str">
        <f t="shared" si="20"/>
        <v>251_C0021_0219.jpg</v>
      </c>
    </row>
    <row r="254" spans="1:39" x14ac:dyDescent="0.35">
      <c r="A254">
        <v>250</v>
      </c>
      <c r="B254">
        <v>251</v>
      </c>
      <c r="C254">
        <v>146.815852353</v>
      </c>
      <c r="D254">
        <v>-19.167548699999902</v>
      </c>
      <c r="F254" s="64" t="s">
        <v>4178</v>
      </c>
      <c r="G254" s="64"/>
      <c r="H254" s="64"/>
      <c r="I254" s="64">
        <v>1</v>
      </c>
      <c r="J254" s="32">
        <f>IF(AND(I254=1,OR(I253=0,I253="")),MAX($J$4:$J253)+1,IF(AND(I254=1,I253=1),J253,""))</f>
        <v>14</v>
      </c>
      <c r="K254" s="32">
        <f t="shared" si="19"/>
        <v>470</v>
      </c>
      <c r="L254" s="32" t="str">
        <f t="shared" si="16"/>
        <v>HV</v>
      </c>
      <c r="M254" s="32">
        <f t="shared" si="17"/>
        <v>220900</v>
      </c>
      <c r="N254" s="4">
        <v>1</v>
      </c>
      <c r="O254" s="4">
        <v>0</v>
      </c>
      <c r="P254" s="4">
        <v>0</v>
      </c>
      <c r="Q254" s="4">
        <v>0</v>
      </c>
      <c r="R254" s="58">
        <v>0</v>
      </c>
      <c r="S254" s="58">
        <v>0</v>
      </c>
      <c r="T254" s="58">
        <v>0</v>
      </c>
      <c r="U254" s="5">
        <v>0</v>
      </c>
      <c r="V254" s="4">
        <v>0</v>
      </c>
      <c r="AG254" t="s">
        <v>294</v>
      </c>
      <c r="AM254" s="1" t="str">
        <f t="shared" si="20"/>
        <v>252_C0021_0215.jpg</v>
      </c>
    </row>
    <row r="255" spans="1:39" x14ac:dyDescent="0.35">
      <c r="A255">
        <v>251</v>
      </c>
      <c r="B255">
        <v>252</v>
      </c>
      <c r="C255">
        <v>146.815769437</v>
      </c>
      <c r="D255">
        <v>-19.1675214119999</v>
      </c>
      <c r="F255" s="64" t="s">
        <v>4179</v>
      </c>
      <c r="G255" s="64"/>
      <c r="H255" s="64"/>
      <c r="I255" s="64">
        <v>1</v>
      </c>
      <c r="J255" s="32">
        <f>IF(AND(I255=1,OR(I254=0,I254="")),MAX($J$4:$J254)+1,IF(AND(I255=1,I254=1),J254,""))</f>
        <v>14</v>
      </c>
      <c r="K255" s="32">
        <f t="shared" si="19"/>
        <v>470</v>
      </c>
      <c r="L255" s="32" t="str">
        <f t="shared" si="16"/>
        <v>HV</v>
      </c>
      <c r="M255" s="32">
        <f t="shared" si="17"/>
        <v>220900</v>
      </c>
      <c r="N255" s="4">
        <v>1</v>
      </c>
      <c r="O255" s="4">
        <v>0</v>
      </c>
      <c r="P255" s="4">
        <v>0</v>
      </c>
      <c r="Q255" s="4">
        <v>0</v>
      </c>
      <c r="R255" s="58">
        <v>0</v>
      </c>
      <c r="S255" s="58">
        <v>0</v>
      </c>
      <c r="T255" s="58">
        <v>0</v>
      </c>
      <c r="U255" s="5">
        <v>0</v>
      </c>
      <c r="V255" s="4">
        <v>0</v>
      </c>
      <c r="AG255" t="s">
        <v>295</v>
      </c>
      <c r="AM255" s="1" t="str">
        <f t="shared" si="20"/>
        <v>253_C0021_0211.jpg</v>
      </c>
    </row>
    <row r="256" spans="1:39" x14ac:dyDescent="0.35">
      <c r="A256">
        <v>252</v>
      </c>
      <c r="B256">
        <v>253</v>
      </c>
      <c r="C256">
        <v>146.81570532999999</v>
      </c>
      <c r="D256">
        <v>-19.167461972999899</v>
      </c>
      <c r="F256" s="64" t="s">
        <v>4180</v>
      </c>
      <c r="G256" s="64"/>
      <c r="H256" s="64"/>
      <c r="I256" s="64">
        <v>1</v>
      </c>
      <c r="J256" s="32">
        <f>IF(AND(I256=1,OR(I255=0,I255="")),MAX($J$4:$J255)+1,IF(AND(I256=1,I255=1),J255,""))</f>
        <v>14</v>
      </c>
      <c r="K256" s="32">
        <f t="shared" si="19"/>
        <v>470</v>
      </c>
      <c r="L256" s="32" t="str">
        <f t="shared" si="16"/>
        <v>HV</v>
      </c>
      <c r="M256" s="32">
        <f t="shared" si="17"/>
        <v>220900</v>
      </c>
      <c r="N256" s="4">
        <v>1</v>
      </c>
      <c r="O256" s="4">
        <v>0</v>
      </c>
      <c r="P256" s="4">
        <v>0</v>
      </c>
      <c r="Q256" s="4">
        <v>0</v>
      </c>
      <c r="R256" s="58">
        <v>0</v>
      </c>
      <c r="S256" s="58">
        <v>0</v>
      </c>
      <c r="T256" s="58">
        <v>0</v>
      </c>
      <c r="U256" s="5">
        <v>0</v>
      </c>
      <c r="V256" s="4">
        <v>0</v>
      </c>
      <c r="AG256" t="s">
        <v>296</v>
      </c>
      <c r="AM256" s="1" t="str">
        <f t="shared" si="20"/>
        <v>254_C0021_0207.jpg</v>
      </c>
    </row>
    <row r="257" spans="1:39" x14ac:dyDescent="0.35">
      <c r="A257">
        <v>253</v>
      </c>
      <c r="B257">
        <v>254</v>
      </c>
      <c r="C257">
        <v>146.81563675500001</v>
      </c>
      <c r="D257">
        <v>-19.1674172039999</v>
      </c>
      <c r="F257" s="64" t="s">
        <v>4181</v>
      </c>
      <c r="G257" s="64"/>
      <c r="H257" s="64"/>
      <c r="I257" s="64">
        <v>1</v>
      </c>
      <c r="J257" s="32">
        <f>IF(AND(I257=1,OR(I256=0,I256="")),MAX($J$4:$J256)+1,IF(AND(I257=1,I256=1),J256,""))</f>
        <v>14</v>
      </c>
      <c r="K257" s="32">
        <f t="shared" si="19"/>
        <v>470</v>
      </c>
      <c r="L257" s="32" t="str">
        <f t="shared" si="16"/>
        <v>HV</v>
      </c>
      <c r="M257" s="32">
        <f t="shared" si="17"/>
        <v>220900</v>
      </c>
      <c r="N257" s="4">
        <v>1</v>
      </c>
      <c r="O257" s="4">
        <v>0</v>
      </c>
      <c r="P257" s="4">
        <v>0</v>
      </c>
      <c r="Q257" s="4">
        <v>0</v>
      </c>
      <c r="R257" s="58">
        <v>0</v>
      </c>
      <c r="S257" s="58">
        <v>0</v>
      </c>
      <c r="T257" s="58">
        <v>0</v>
      </c>
      <c r="U257" s="5">
        <v>0</v>
      </c>
      <c r="V257" s="4">
        <v>0</v>
      </c>
      <c r="AG257" t="s">
        <v>297</v>
      </c>
      <c r="AM257" s="1" t="str">
        <f t="shared" si="20"/>
        <v>255_C0021_0202.jpg</v>
      </c>
    </row>
    <row r="258" spans="1:39" x14ac:dyDescent="0.35">
      <c r="A258">
        <v>254</v>
      </c>
      <c r="B258">
        <v>255</v>
      </c>
      <c r="C258">
        <v>146.81554901000001</v>
      </c>
      <c r="D258">
        <v>-19.167435386000001</v>
      </c>
      <c r="E258">
        <v>50</v>
      </c>
      <c r="F258" s="64" t="s">
        <v>4182</v>
      </c>
      <c r="G258" s="64"/>
      <c r="H258" s="64"/>
      <c r="I258" s="64">
        <v>1</v>
      </c>
      <c r="J258" s="32">
        <f>IF(AND(I258=1,OR(I257=0,I257="")),MAX($J$4:$J257)+1,IF(AND(I258=1,I257=1),J257,""))</f>
        <v>14</v>
      </c>
      <c r="K258" s="32">
        <f t="shared" si="19"/>
        <v>470</v>
      </c>
      <c r="L258" s="32" t="str">
        <f t="shared" si="16"/>
        <v>HV</v>
      </c>
      <c r="M258" s="32">
        <f t="shared" si="17"/>
        <v>220900</v>
      </c>
      <c r="N258" s="4">
        <v>1</v>
      </c>
      <c r="O258" s="4">
        <v>0</v>
      </c>
      <c r="P258" s="4">
        <v>0</v>
      </c>
      <c r="Q258" s="4">
        <v>0</v>
      </c>
      <c r="R258" s="58">
        <v>0</v>
      </c>
      <c r="S258" s="58">
        <v>0</v>
      </c>
      <c r="T258" s="58">
        <v>0</v>
      </c>
      <c r="U258" s="5">
        <v>0</v>
      </c>
      <c r="V258" s="4">
        <v>0</v>
      </c>
      <c r="AG258" t="s">
        <v>298</v>
      </c>
      <c r="AM258" s="1" t="str">
        <f t="shared" si="20"/>
        <v>256_C0021_0197.jpg</v>
      </c>
    </row>
    <row r="259" spans="1:39" x14ac:dyDescent="0.35">
      <c r="A259">
        <v>255</v>
      </c>
      <c r="B259">
        <v>256</v>
      </c>
      <c r="C259">
        <v>146.815467211</v>
      </c>
      <c r="D259">
        <v>-19.167416069000001</v>
      </c>
      <c r="F259" s="64" t="s">
        <v>4183</v>
      </c>
      <c r="G259" s="64"/>
      <c r="H259" s="64"/>
      <c r="I259" s="64">
        <v>1</v>
      </c>
      <c r="J259" s="32">
        <f>IF(AND(I259=1,OR(I258=0,I258="")),MAX($J$4:$J258)+1,IF(AND(I259=1,I258=1),J258,""))</f>
        <v>14</v>
      </c>
      <c r="K259" s="32">
        <f t="shared" si="19"/>
        <v>470</v>
      </c>
      <c r="L259" s="32" t="str">
        <f t="shared" si="16"/>
        <v>HV</v>
      </c>
      <c r="M259" s="32">
        <f t="shared" si="17"/>
        <v>220900</v>
      </c>
      <c r="N259" s="4">
        <v>1</v>
      </c>
      <c r="O259" s="4">
        <v>0</v>
      </c>
      <c r="P259" s="4">
        <v>0</v>
      </c>
      <c r="Q259" s="4">
        <v>0</v>
      </c>
      <c r="R259" s="58">
        <v>0</v>
      </c>
      <c r="S259" s="58">
        <v>0</v>
      </c>
      <c r="T259" s="58">
        <v>0</v>
      </c>
      <c r="U259" s="5">
        <v>0</v>
      </c>
      <c r="V259" s="4">
        <v>0</v>
      </c>
      <c r="AG259" t="s">
        <v>299</v>
      </c>
      <c r="AM259" s="1" t="str">
        <f t="shared" si="20"/>
        <v>257_C0021_0194.jpg</v>
      </c>
    </row>
    <row r="260" spans="1:39" x14ac:dyDescent="0.35">
      <c r="A260">
        <v>256</v>
      </c>
      <c r="B260">
        <v>257</v>
      </c>
      <c r="C260">
        <v>146.81538287999999</v>
      </c>
      <c r="D260">
        <v>-19.167387090999998</v>
      </c>
      <c r="F260" s="64" t="s">
        <v>4184</v>
      </c>
      <c r="G260" s="64"/>
      <c r="H260" s="64"/>
      <c r="I260" s="64">
        <v>1</v>
      </c>
      <c r="J260" s="32">
        <f>IF(AND(I260=1,OR(I259=0,I259="")),MAX($J$4:$J259)+1,IF(AND(I260=1,I259=1),J259,""))</f>
        <v>14</v>
      </c>
      <c r="K260" s="32">
        <f t="shared" si="19"/>
        <v>470</v>
      </c>
      <c r="L260" s="32" t="str">
        <f t="shared" ref="L260:L323" si="21">IF(K260="","",IF(K260&gt;=100,"HV",""))</f>
        <v>HV</v>
      </c>
      <c r="M260" s="32">
        <f t="shared" ref="M260:M323" si="22">IF(K260&lt;&gt;"",K260^2,"")</f>
        <v>220900</v>
      </c>
      <c r="N260" s="4">
        <v>1</v>
      </c>
      <c r="O260" s="4">
        <v>0</v>
      </c>
      <c r="P260" s="4">
        <v>0</v>
      </c>
      <c r="Q260" s="4">
        <v>0</v>
      </c>
      <c r="R260" s="58">
        <v>0</v>
      </c>
      <c r="S260" s="58">
        <v>0</v>
      </c>
      <c r="T260" s="58">
        <v>0</v>
      </c>
      <c r="U260" s="5">
        <v>0</v>
      </c>
      <c r="V260" s="4">
        <v>0</v>
      </c>
      <c r="AG260" t="s">
        <v>300</v>
      </c>
      <c r="AM260" s="1" t="str">
        <f t="shared" si="20"/>
        <v>258_C0021_0188.jpg</v>
      </c>
    </row>
    <row r="261" spans="1:39" x14ac:dyDescent="0.35">
      <c r="A261">
        <v>257</v>
      </c>
      <c r="B261">
        <v>258</v>
      </c>
      <c r="C261">
        <v>146.81529807800001</v>
      </c>
      <c r="D261">
        <v>-19.167359095999899</v>
      </c>
      <c r="F261" s="64" t="s">
        <v>4185</v>
      </c>
      <c r="G261" s="64"/>
      <c r="H261" s="64"/>
      <c r="I261" s="64">
        <v>1</v>
      </c>
      <c r="J261" s="32">
        <f>IF(AND(I261=1,OR(I260=0,I260="")),MAX($J$4:$J260)+1,IF(AND(I261=1,I260=1),J260,""))</f>
        <v>14</v>
      </c>
      <c r="K261" s="32">
        <f t="shared" si="19"/>
        <v>470</v>
      </c>
      <c r="L261" s="32" t="str">
        <f t="shared" si="21"/>
        <v>HV</v>
      </c>
      <c r="M261" s="32">
        <f t="shared" si="22"/>
        <v>220900</v>
      </c>
      <c r="N261" s="4">
        <v>1</v>
      </c>
      <c r="O261" s="4">
        <v>0</v>
      </c>
      <c r="P261" s="4">
        <v>0</v>
      </c>
      <c r="Q261" s="4">
        <v>0</v>
      </c>
      <c r="R261" s="58">
        <v>0</v>
      </c>
      <c r="S261" s="58">
        <v>0</v>
      </c>
      <c r="T261" s="58">
        <v>0</v>
      </c>
      <c r="U261" s="5">
        <v>0</v>
      </c>
      <c r="V261" s="4">
        <v>0</v>
      </c>
      <c r="AG261" t="s">
        <v>301</v>
      </c>
      <c r="AM261" s="1" t="str">
        <f t="shared" si="20"/>
        <v>259_C0021_0184.jpg</v>
      </c>
    </row>
    <row r="262" spans="1:39" x14ac:dyDescent="0.35">
      <c r="A262">
        <v>258</v>
      </c>
      <c r="B262">
        <v>259</v>
      </c>
      <c r="C262">
        <v>146.815213632</v>
      </c>
      <c r="D262">
        <v>-19.167331218999902</v>
      </c>
      <c r="F262" s="64" t="s">
        <v>4186</v>
      </c>
      <c r="G262" s="64"/>
      <c r="H262" s="64"/>
      <c r="I262" s="64">
        <v>1</v>
      </c>
      <c r="J262" s="32">
        <f>IF(AND(I262=1,OR(I261=0,I261="")),MAX($J$4:$J261)+1,IF(AND(I262=1,I261=1),J261,""))</f>
        <v>14</v>
      </c>
      <c r="K262" s="32">
        <f t="shared" si="19"/>
        <v>470</v>
      </c>
      <c r="L262" s="32" t="str">
        <f t="shared" si="21"/>
        <v>HV</v>
      </c>
      <c r="M262" s="32">
        <f t="shared" si="22"/>
        <v>220900</v>
      </c>
      <c r="N262" s="4">
        <v>1</v>
      </c>
      <c r="O262" s="4">
        <v>0</v>
      </c>
      <c r="P262" s="4">
        <v>0</v>
      </c>
      <c r="Q262" s="4">
        <v>0</v>
      </c>
      <c r="R262" s="58">
        <v>0</v>
      </c>
      <c r="S262" s="58">
        <v>0</v>
      </c>
      <c r="T262" s="58">
        <v>0</v>
      </c>
      <c r="U262" s="5">
        <v>0</v>
      </c>
      <c r="V262" s="4">
        <v>0</v>
      </c>
      <c r="AG262" t="s">
        <v>302</v>
      </c>
      <c r="AM262" s="1" t="str">
        <f t="shared" si="20"/>
        <v>260_C0021_0181.jpg</v>
      </c>
    </row>
    <row r="263" spans="1:39" x14ac:dyDescent="0.35">
      <c r="A263">
        <v>259</v>
      </c>
      <c r="B263">
        <v>260</v>
      </c>
      <c r="C263">
        <v>146.81512883100001</v>
      </c>
      <c r="D263">
        <v>-19.167303224000001</v>
      </c>
      <c r="E263">
        <v>50</v>
      </c>
      <c r="F263" s="64" t="s">
        <v>4187</v>
      </c>
      <c r="G263" s="64"/>
      <c r="H263" s="64"/>
      <c r="I263" s="64">
        <v>1</v>
      </c>
      <c r="J263" s="32">
        <f>IF(AND(I263=1,OR(I262=0,I262="")),MAX($J$4:$J262)+1,IF(AND(I263=1,I262=1),J262,""))</f>
        <v>14</v>
      </c>
      <c r="K263" s="32">
        <f t="shared" si="19"/>
        <v>470</v>
      </c>
      <c r="L263" s="32" t="str">
        <f t="shared" si="21"/>
        <v>HV</v>
      </c>
      <c r="M263" s="32">
        <f t="shared" si="22"/>
        <v>220900</v>
      </c>
      <c r="N263" s="4">
        <v>1</v>
      </c>
      <c r="O263" s="4">
        <v>0</v>
      </c>
      <c r="P263" s="4">
        <v>0</v>
      </c>
      <c r="Q263" s="4">
        <v>0</v>
      </c>
      <c r="R263" s="58">
        <v>0</v>
      </c>
      <c r="S263" s="58">
        <v>0</v>
      </c>
      <c r="T263" s="58">
        <v>0</v>
      </c>
      <c r="U263" s="5">
        <v>0</v>
      </c>
      <c r="V263" s="4">
        <v>0</v>
      </c>
      <c r="AG263" t="s">
        <v>303</v>
      </c>
      <c r="AM263" s="1" t="str">
        <f t="shared" si="20"/>
        <v>261_C0021_0177.jpg</v>
      </c>
    </row>
    <row r="264" spans="1:39" x14ac:dyDescent="0.35">
      <c r="A264">
        <v>260</v>
      </c>
      <c r="B264">
        <v>261</v>
      </c>
      <c r="C264">
        <v>146.81504402900001</v>
      </c>
      <c r="D264">
        <v>-19.167275230000001</v>
      </c>
      <c r="F264" s="64" t="s">
        <v>4188</v>
      </c>
      <c r="G264" s="64"/>
      <c r="H264" s="64"/>
      <c r="I264" s="64">
        <v>1</v>
      </c>
      <c r="J264" s="32">
        <f>IF(AND(I264=1,OR(I263=0,I263="")),MAX($J$4:$J263)+1,IF(AND(I264=1,I263=1),J263,""))</f>
        <v>14</v>
      </c>
      <c r="K264" s="32">
        <f t="shared" si="19"/>
        <v>470</v>
      </c>
      <c r="L264" s="32" t="str">
        <f t="shared" si="21"/>
        <v>HV</v>
      </c>
      <c r="M264" s="32">
        <f t="shared" si="22"/>
        <v>220900</v>
      </c>
      <c r="N264" s="4">
        <v>1</v>
      </c>
      <c r="O264" s="4">
        <v>0</v>
      </c>
      <c r="P264" s="4">
        <v>0</v>
      </c>
      <c r="Q264" s="4">
        <v>0</v>
      </c>
      <c r="R264" s="58">
        <v>0</v>
      </c>
      <c r="S264" s="58">
        <v>0</v>
      </c>
      <c r="T264" s="58">
        <v>0</v>
      </c>
      <c r="U264" s="5">
        <v>0</v>
      </c>
      <c r="V264" s="4">
        <v>0</v>
      </c>
      <c r="AG264" t="s">
        <v>304</v>
      </c>
      <c r="AM264" s="1" t="str">
        <f t="shared" si="20"/>
        <v>262_C0021_0172.jpg</v>
      </c>
    </row>
    <row r="265" spans="1:39" x14ac:dyDescent="0.35">
      <c r="A265">
        <v>261</v>
      </c>
      <c r="B265">
        <v>262</v>
      </c>
      <c r="C265">
        <v>146.814959227</v>
      </c>
      <c r="D265">
        <v>-19.167247234999898</v>
      </c>
      <c r="F265" s="64" t="s">
        <v>4189</v>
      </c>
      <c r="G265" s="64"/>
      <c r="H265" s="64"/>
      <c r="I265" s="64">
        <v>1</v>
      </c>
      <c r="J265" s="32">
        <f>IF(AND(I265=1,OR(I264=0,I264="")),MAX($J$4:$J264)+1,IF(AND(I265=1,I264=1),J264,""))</f>
        <v>14</v>
      </c>
      <c r="K265" s="32">
        <f t="shared" si="19"/>
        <v>470</v>
      </c>
      <c r="L265" s="32" t="str">
        <f t="shared" si="21"/>
        <v>HV</v>
      </c>
      <c r="M265" s="32">
        <f t="shared" si="22"/>
        <v>220900</v>
      </c>
      <c r="N265" s="4">
        <v>1</v>
      </c>
      <c r="O265" s="4">
        <v>0</v>
      </c>
      <c r="P265" s="4">
        <v>0</v>
      </c>
      <c r="Q265" s="4">
        <v>0</v>
      </c>
      <c r="R265" s="58">
        <v>0</v>
      </c>
      <c r="S265" s="58">
        <v>0</v>
      </c>
      <c r="T265" s="58">
        <v>0</v>
      </c>
      <c r="U265" s="5">
        <v>0</v>
      </c>
      <c r="V265" s="4">
        <v>0</v>
      </c>
      <c r="AG265" t="s">
        <v>305</v>
      </c>
      <c r="AM265" s="1" t="str">
        <f t="shared" si="20"/>
        <v>263_C0021_0167.jpg</v>
      </c>
    </row>
    <row r="266" spans="1:39" x14ac:dyDescent="0.35">
      <c r="A266">
        <v>262</v>
      </c>
      <c r="B266">
        <v>263</v>
      </c>
      <c r="C266">
        <v>146.814898148</v>
      </c>
      <c r="D266">
        <v>-19.167186946000001</v>
      </c>
      <c r="F266" s="64" t="s">
        <v>4190</v>
      </c>
      <c r="G266" s="64"/>
      <c r="H266" s="64"/>
      <c r="I266" s="64">
        <v>1</v>
      </c>
      <c r="J266" s="32">
        <f>IF(AND(I266=1,OR(I265=0,I265="")),MAX($J$4:$J265)+1,IF(AND(I266=1,I265=1),J265,""))</f>
        <v>14</v>
      </c>
      <c r="K266" s="32">
        <f t="shared" si="19"/>
        <v>470</v>
      </c>
      <c r="L266" s="32" t="str">
        <f t="shared" si="21"/>
        <v>HV</v>
      </c>
      <c r="M266" s="32">
        <f t="shared" si="22"/>
        <v>220900</v>
      </c>
      <c r="N266" s="4">
        <v>1</v>
      </c>
      <c r="O266" s="4">
        <v>0</v>
      </c>
      <c r="P266" s="4">
        <v>0</v>
      </c>
      <c r="Q266" s="4">
        <v>0</v>
      </c>
      <c r="R266" s="58">
        <v>0</v>
      </c>
      <c r="S266" s="58">
        <v>0</v>
      </c>
      <c r="T266" s="58">
        <v>0</v>
      </c>
      <c r="U266" s="5">
        <v>0</v>
      </c>
      <c r="V266" s="4">
        <v>0</v>
      </c>
      <c r="AG266" t="s">
        <v>306</v>
      </c>
      <c r="AM266" s="1" t="str">
        <f t="shared" si="20"/>
        <v>264_C0021_0165.jpg</v>
      </c>
    </row>
    <row r="267" spans="1:39" x14ac:dyDescent="0.35">
      <c r="A267">
        <v>263</v>
      </c>
      <c r="B267">
        <v>264</v>
      </c>
      <c r="C267">
        <v>146.81483177800001</v>
      </c>
      <c r="D267">
        <v>-19.167129763999998</v>
      </c>
      <c r="F267" s="64" t="s">
        <v>4191</v>
      </c>
      <c r="G267" s="64"/>
      <c r="H267" s="64"/>
      <c r="I267" s="64">
        <v>1</v>
      </c>
      <c r="J267" s="32">
        <f>IF(AND(I267=1,OR(I266=0,I266="")),MAX($J$4:$J266)+1,IF(AND(I267=1,I266=1),J266,""))</f>
        <v>14</v>
      </c>
      <c r="K267" s="32">
        <f t="shared" si="19"/>
        <v>470</v>
      </c>
      <c r="L267" s="32" t="str">
        <f t="shared" si="21"/>
        <v>HV</v>
      </c>
      <c r="M267" s="32">
        <f t="shared" si="22"/>
        <v>220900</v>
      </c>
      <c r="N267" s="4">
        <v>1</v>
      </c>
      <c r="O267" s="4">
        <v>0</v>
      </c>
      <c r="P267" s="4">
        <v>0</v>
      </c>
      <c r="Q267" s="4">
        <v>0</v>
      </c>
      <c r="R267" s="58">
        <v>0</v>
      </c>
      <c r="S267" s="58">
        <v>0</v>
      </c>
      <c r="T267" s="58">
        <v>0</v>
      </c>
      <c r="U267" s="5">
        <v>0</v>
      </c>
      <c r="V267" s="4">
        <v>0</v>
      </c>
      <c r="AG267" t="s">
        <v>307</v>
      </c>
      <c r="AM267" s="1" t="str">
        <f t="shared" si="20"/>
        <v>265_C0021_0161.jpg</v>
      </c>
    </row>
    <row r="268" spans="1:39" x14ac:dyDescent="0.35">
      <c r="A268">
        <v>264</v>
      </c>
      <c r="B268">
        <v>265</v>
      </c>
      <c r="C268">
        <v>146.81476608899999</v>
      </c>
      <c r="D268">
        <v>-19.167071898</v>
      </c>
      <c r="E268">
        <v>50</v>
      </c>
      <c r="F268" s="64" t="s">
        <v>4192</v>
      </c>
      <c r="G268" s="64"/>
      <c r="H268" s="64"/>
      <c r="I268" s="64">
        <v>1</v>
      </c>
      <c r="J268" s="32">
        <f>IF(AND(I268=1,OR(I267=0,I267="")),MAX($J$4:$J267)+1,IF(AND(I268=1,I267=1),J267,""))</f>
        <v>14</v>
      </c>
      <c r="K268" s="32">
        <f t="shared" si="19"/>
        <v>470</v>
      </c>
      <c r="L268" s="32" t="str">
        <f t="shared" si="21"/>
        <v>HV</v>
      </c>
      <c r="M268" s="32">
        <f t="shared" si="22"/>
        <v>220900</v>
      </c>
      <c r="N268" s="4">
        <v>1</v>
      </c>
      <c r="O268" s="4">
        <v>0</v>
      </c>
      <c r="P268" s="4">
        <v>0</v>
      </c>
      <c r="Q268" s="4">
        <v>0</v>
      </c>
      <c r="R268" s="58">
        <v>0</v>
      </c>
      <c r="S268" s="58">
        <v>0</v>
      </c>
      <c r="T268" s="58">
        <v>0</v>
      </c>
      <c r="U268" s="5">
        <v>0</v>
      </c>
      <c r="V268" s="4">
        <v>0</v>
      </c>
      <c r="AG268" t="s">
        <v>308</v>
      </c>
      <c r="AM268" s="1" t="str">
        <f t="shared" si="20"/>
        <v>266_C0021_0158.jpg</v>
      </c>
    </row>
    <row r="269" spans="1:39" x14ac:dyDescent="0.35">
      <c r="A269">
        <v>265</v>
      </c>
      <c r="B269">
        <v>266</v>
      </c>
      <c r="C269">
        <v>146.814701485</v>
      </c>
      <c r="D269">
        <v>-19.1670129399999</v>
      </c>
      <c r="F269" s="64" t="s">
        <v>4193</v>
      </c>
      <c r="G269" s="64"/>
      <c r="H269" s="64"/>
      <c r="I269" s="64">
        <v>1</v>
      </c>
      <c r="J269" s="32">
        <f>IF(AND(I269=1,OR(I268=0,I268="")),MAX($J$4:$J268)+1,IF(AND(I269=1,I268=1),J268,""))</f>
        <v>14</v>
      </c>
      <c r="K269" s="32">
        <f t="shared" si="19"/>
        <v>470</v>
      </c>
      <c r="L269" s="32" t="str">
        <f t="shared" si="21"/>
        <v>HV</v>
      </c>
      <c r="M269" s="32">
        <f t="shared" si="22"/>
        <v>220900</v>
      </c>
      <c r="N269" s="4">
        <v>1</v>
      </c>
      <c r="O269" s="4">
        <v>0</v>
      </c>
      <c r="P269" s="4">
        <v>0</v>
      </c>
      <c r="Q269" s="4">
        <v>0</v>
      </c>
      <c r="R269" s="58">
        <v>0</v>
      </c>
      <c r="S269" s="58">
        <v>0</v>
      </c>
      <c r="T269" s="58">
        <v>0</v>
      </c>
      <c r="U269" s="5">
        <v>0</v>
      </c>
      <c r="V269" s="4">
        <v>0</v>
      </c>
      <c r="AG269" t="s">
        <v>309</v>
      </c>
      <c r="AM269" s="1" t="str">
        <f t="shared" si="20"/>
        <v>267_C0021_0153.jpg</v>
      </c>
    </row>
    <row r="270" spans="1:39" x14ac:dyDescent="0.35">
      <c r="A270">
        <v>266</v>
      </c>
      <c r="B270">
        <v>267</v>
      </c>
      <c r="C270">
        <v>146.81463688100001</v>
      </c>
      <c r="D270">
        <v>-19.1669539819999</v>
      </c>
      <c r="F270" s="64" t="s">
        <v>4194</v>
      </c>
      <c r="G270" s="64"/>
      <c r="H270" s="64"/>
      <c r="I270" s="64">
        <v>1</v>
      </c>
      <c r="J270" s="32">
        <f>IF(AND(I270=1,OR(I269=0,I269="")),MAX($J$4:$J269)+1,IF(AND(I270=1,I269=1),J269,""))</f>
        <v>14</v>
      </c>
      <c r="K270" s="32">
        <f t="shared" si="19"/>
        <v>470</v>
      </c>
      <c r="L270" s="32" t="str">
        <f t="shared" si="21"/>
        <v>HV</v>
      </c>
      <c r="M270" s="32">
        <f t="shared" si="22"/>
        <v>220900</v>
      </c>
      <c r="N270" s="4">
        <v>1</v>
      </c>
      <c r="O270" s="4">
        <v>0</v>
      </c>
      <c r="P270" s="4">
        <v>0</v>
      </c>
      <c r="Q270" s="4">
        <v>0</v>
      </c>
      <c r="R270" s="58">
        <v>0</v>
      </c>
      <c r="S270" s="58">
        <v>0</v>
      </c>
      <c r="T270" s="58">
        <v>0</v>
      </c>
      <c r="U270" s="5">
        <v>0</v>
      </c>
      <c r="V270" s="4">
        <v>0</v>
      </c>
      <c r="AG270" t="s">
        <v>310</v>
      </c>
      <c r="AM270" s="1" t="str">
        <f t="shared" si="20"/>
        <v>268_C0021_0149.jpg</v>
      </c>
    </row>
    <row r="271" spans="1:39" x14ac:dyDescent="0.35">
      <c r="A271">
        <v>267</v>
      </c>
      <c r="B271">
        <v>268</v>
      </c>
      <c r="C271">
        <v>146.81455029</v>
      </c>
      <c r="D271">
        <v>-19.166943226999901</v>
      </c>
      <c r="F271" s="64" t="s">
        <v>4195</v>
      </c>
      <c r="G271" s="64"/>
      <c r="H271" s="64"/>
      <c r="I271" s="64">
        <v>1</v>
      </c>
      <c r="J271" s="32">
        <f>IF(AND(I271=1,OR(I270=0,I270="")),MAX($J$4:$J270)+1,IF(AND(I271=1,I270=1),J270,""))</f>
        <v>14</v>
      </c>
      <c r="K271" s="32">
        <f t="shared" si="19"/>
        <v>470</v>
      </c>
      <c r="L271" s="32" t="str">
        <f t="shared" si="21"/>
        <v>HV</v>
      </c>
      <c r="M271" s="32">
        <f t="shared" si="22"/>
        <v>220900</v>
      </c>
      <c r="N271" s="4">
        <v>1</v>
      </c>
      <c r="O271" s="4">
        <v>0</v>
      </c>
      <c r="P271" s="4">
        <v>0</v>
      </c>
      <c r="Q271" s="4">
        <v>0</v>
      </c>
      <c r="R271" s="58">
        <v>0</v>
      </c>
      <c r="S271" s="58">
        <v>0</v>
      </c>
      <c r="T271" s="58">
        <v>0</v>
      </c>
      <c r="U271" s="5">
        <v>0</v>
      </c>
      <c r="V271" s="4">
        <v>0</v>
      </c>
      <c r="AG271" t="s">
        <v>311</v>
      </c>
      <c r="AM271" s="1"/>
    </row>
    <row r="272" spans="1:39" x14ac:dyDescent="0.35">
      <c r="A272">
        <v>268</v>
      </c>
      <c r="B272">
        <v>269</v>
      </c>
      <c r="C272">
        <v>146.81447868800001</v>
      </c>
      <c r="D272">
        <v>-19.166898194999899</v>
      </c>
      <c r="F272" s="64"/>
      <c r="G272" s="64"/>
      <c r="H272" s="64" t="s">
        <v>26</v>
      </c>
      <c r="I272" s="64"/>
      <c r="J272" s="32" t="str">
        <f>IF(AND(I272=1,OR(I271=0,I271="")),MAX($J$4:$J271)+1,IF(AND(I272=1,I271=1),J271,""))</f>
        <v/>
      </c>
      <c r="K272" s="32" t="str">
        <f t="shared" si="19"/>
        <v/>
      </c>
      <c r="L272" s="32" t="str">
        <f t="shared" si="21"/>
        <v/>
      </c>
      <c r="M272" s="32" t="str">
        <f t="shared" si="22"/>
        <v/>
      </c>
      <c r="N272" s="4"/>
      <c r="O272" s="4"/>
      <c r="P272" s="4"/>
      <c r="Q272" s="4"/>
      <c r="U272" s="5"/>
      <c r="V272" s="4"/>
      <c r="AG272" t="s">
        <v>312</v>
      </c>
      <c r="AM272" s="1" t="str">
        <f t="shared" ref="AM272:AM303" si="23">HYPERLINK("E:\CAFNEC_GBRF\2023\JohnstoneRiver\Frames_for_Analysis\" &amp; F273, F273)</f>
        <v>270_C0021_0146.jpg</v>
      </c>
    </row>
    <row r="273" spans="1:39" x14ac:dyDescent="0.35">
      <c r="A273">
        <v>269</v>
      </c>
      <c r="B273">
        <v>270</v>
      </c>
      <c r="C273">
        <v>146.81441253700001</v>
      </c>
      <c r="D273">
        <v>-19.166840787999899</v>
      </c>
      <c r="E273">
        <v>50</v>
      </c>
      <c r="F273" s="64" t="s">
        <v>4196</v>
      </c>
      <c r="G273" s="64"/>
      <c r="H273" s="64"/>
      <c r="I273" s="64">
        <v>1</v>
      </c>
      <c r="J273" s="32">
        <f>IF(AND(I273=1,OR(I272=0,I272="")),MAX($J$4:$J272)+1,IF(AND(I273=1,I272=1),J272,""))</f>
        <v>15</v>
      </c>
      <c r="K273" s="32">
        <f t="shared" si="19"/>
        <v>40</v>
      </c>
      <c r="L273" s="32" t="str">
        <f t="shared" si="21"/>
        <v/>
      </c>
      <c r="M273" s="32">
        <f t="shared" si="22"/>
        <v>1600</v>
      </c>
      <c r="N273" s="4">
        <v>1</v>
      </c>
      <c r="O273" s="4">
        <v>0</v>
      </c>
      <c r="P273" s="4">
        <v>0</v>
      </c>
      <c r="Q273" s="4">
        <v>0</v>
      </c>
      <c r="R273" s="58">
        <v>0</v>
      </c>
      <c r="S273" s="58">
        <v>0</v>
      </c>
      <c r="T273" s="58">
        <v>0</v>
      </c>
      <c r="U273" s="5">
        <v>0</v>
      </c>
      <c r="V273" s="4">
        <v>0</v>
      </c>
      <c r="AG273" t="s">
        <v>313</v>
      </c>
      <c r="AM273" s="1" t="str">
        <f t="shared" si="23"/>
        <v>271_C0021_0142.jpg</v>
      </c>
    </row>
    <row r="274" spans="1:39" x14ac:dyDescent="0.35">
      <c r="A274">
        <v>270</v>
      </c>
      <c r="B274">
        <v>271</v>
      </c>
      <c r="C274">
        <v>146.81434052</v>
      </c>
      <c r="D274">
        <v>-19.166790229999901</v>
      </c>
      <c r="F274" s="64" t="s">
        <v>4197</v>
      </c>
      <c r="G274" s="64"/>
      <c r="H274" s="64"/>
      <c r="I274" s="64">
        <v>1</v>
      </c>
      <c r="J274" s="32">
        <f>IF(AND(I274=1,OR(I273=0,I273="")),MAX($J$4:$J273)+1,IF(AND(I274=1,I273=1),J273,""))</f>
        <v>15</v>
      </c>
      <c r="K274" s="32">
        <f t="shared" si="19"/>
        <v>40</v>
      </c>
      <c r="L274" s="32" t="str">
        <f t="shared" si="21"/>
        <v/>
      </c>
      <c r="M274" s="32">
        <f t="shared" si="22"/>
        <v>1600</v>
      </c>
      <c r="N274" s="4">
        <v>1</v>
      </c>
      <c r="O274" s="4">
        <v>0</v>
      </c>
      <c r="P274" s="4">
        <v>0</v>
      </c>
      <c r="Q274" s="4">
        <v>0</v>
      </c>
      <c r="R274" s="58">
        <v>0</v>
      </c>
      <c r="S274" s="58">
        <v>0</v>
      </c>
      <c r="T274" s="58">
        <v>0</v>
      </c>
      <c r="U274" s="5">
        <v>0</v>
      </c>
      <c r="V274" s="4">
        <v>0</v>
      </c>
      <c r="AG274" t="s">
        <v>314</v>
      </c>
      <c r="AM274" s="1" t="str">
        <f t="shared" si="23"/>
        <v>272_C0021_0138.jpg</v>
      </c>
    </row>
    <row r="275" spans="1:39" x14ac:dyDescent="0.35">
      <c r="A275">
        <v>271</v>
      </c>
      <c r="B275">
        <v>272</v>
      </c>
      <c r="C275">
        <v>146.81426767100001</v>
      </c>
      <c r="D275">
        <v>-19.1667405819999</v>
      </c>
      <c r="F275" s="64" t="s">
        <v>4198</v>
      </c>
      <c r="G275" s="64"/>
      <c r="H275" s="64"/>
      <c r="I275" s="64">
        <v>1</v>
      </c>
      <c r="J275" s="32">
        <f>IF(AND(I275=1,OR(I274=0,I274="")),MAX($J$4:$J274)+1,IF(AND(I275=1,I274=1),J274,""))</f>
        <v>15</v>
      </c>
      <c r="K275" s="32">
        <f t="shared" si="19"/>
        <v>40</v>
      </c>
      <c r="L275" s="32" t="str">
        <f t="shared" si="21"/>
        <v/>
      </c>
      <c r="M275" s="32">
        <f t="shared" si="22"/>
        <v>1600</v>
      </c>
      <c r="N275" s="4">
        <v>1</v>
      </c>
      <c r="O275" s="4">
        <v>0</v>
      </c>
      <c r="P275" s="4">
        <v>0</v>
      </c>
      <c r="Q275" s="4">
        <v>0</v>
      </c>
      <c r="R275" s="58">
        <v>0</v>
      </c>
      <c r="S275" s="58">
        <v>0</v>
      </c>
      <c r="T275" s="58">
        <v>0</v>
      </c>
      <c r="U275" s="5">
        <v>0</v>
      </c>
      <c r="V275" s="4">
        <v>0</v>
      </c>
      <c r="AG275" t="s">
        <v>315</v>
      </c>
      <c r="AM275" s="1" t="str">
        <f t="shared" si="23"/>
        <v>273_C0021_0134.jpg</v>
      </c>
    </row>
    <row r="276" spans="1:39" x14ac:dyDescent="0.35">
      <c r="A276">
        <v>272</v>
      </c>
      <c r="B276">
        <v>273</v>
      </c>
      <c r="C276">
        <v>146.81419482199999</v>
      </c>
      <c r="D276">
        <v>-19.166690932999899</v>
      </c>
      <c r="F276" s="64" t="s">
        <v>4199</v>
      </c>
      <c r="G276" s="64"/>
      <c r="H276" s="64"/>
      <c r="I276" s="64">
        <v>1</v>
      </c>
      <c r="J276" s="32">
        <f>IF(AND(I276=1,OR(I275=0,I275="")),MAX($J$4:$J275)+1,IF(AND(I276=1,I275=1),J275,""))</f>
        <v>15</v>
      </c>
      <c r="K276" s="32">
        <f t="shared" si="19"/>
        <v>40</v>
      </c>
      <c r="L276" s="32" t="str">
        <f t="shared" si="21"/>
        <v/>
      </c>
      <c r="M276" s="32">
        <f t="shared" si="22"/>
        <v>1600</v>
      </c>
      <c r="N276" s="4">
        <v>1</v>
      </c>
      <c r="O276" s="4">
        <v>0</v>
      </c>
      <c r="P276" s="4">
        <v>0</v>
      </c>
      <c r="Q276" s="4">
        <v>0</v>
      </c>
      <c r="R276" s="58">
        <v>0</v>
      </c>
      <c r="S276" s="58">
        <v>0</v>
      </c>
      <c r="T276" s="58">
        <v>0</v>
      </c>
      <c r="U276" s="5">
        <v>0</v>
      </c>
      <c r="V276" s="4">
        <v>0</v>
      </c>
      <c r="AG276" t="s">
        <v>316</v>
      </c>
      <c r="AM276" s="1" t="str">
        <f t="shared" si="23"/>
        <v>274_C0021_0006.jpg</v>
      </c>
    </row>
    <row r="277" spans="1:39" x14ac:dyDescent="0.35">
      <c r="A277">
        <v>273</v>
      </c>
      <c r="B277">
        <v>274</v>
      </c>
      <c r="C277">
        <v>146.81412197399999</v>
      </c>
      <c r="D277">
        <v>-19.166641285000001</v>
      </c>
      <c r="F277" s="64" t="s">
        <v>4200</v>
      </c>
      <c r="G277" s="64"/>
      <c r="H277" s="64" t="s">
        <v>26</v>
      </c>
      <c r="I277" s="64"/>
      <c r="J277" s="32" t="str">
        <f>IF(AND(I277=1,OR(I276=0,I276="")),MAX($J$4:$J276)+1,IF(AND(I277=1,I276=1),J276,""))</f>
        <v/>
      </c>
      <c r="K277" s="32" t="str">
        <f t="shared" si="19"/>
        <v/>
      </c>
      <c r="L277" s="32" t="str">
        <f t="shared" si="21"/>
        <v/>
      </c>
      <c r="M277" s="32" t="str">
        <f t="shared" si="22"/>
        <v/>
      </c>
      <c r="N277" s="4"/>
      <c r="O277" s="4"/>
      <c r="P277" s="4"/>
      <c r="Q277" s="4"/>
      <c r="U277" s="5"/>
      <c r="V277" s="4"/>
      <c r="AG277" t="s">
        <v>317</v>
      </c>
      <c r="AM277" s="1" t="str">
        <f t="shared" si="23"/>
        <v>275_C0021_0127.jpg</v>
      </c>
    </row>
    <row r="278" spans="1:39" x14ac:dyDescent="0.35">
      <c r="A278">
        <v>274</v>
      </c>
      <c r="B278">
        <v>275</v>
      </c>
      <c r="C278">
        <v>146.81404942899999</v>
      </c>
      <c r="D278">
        <v>-19.1665912469999</v>
      </c>
      <c r="E278">
        <v>50</v>
      </c>
      <c r="F278" s="64" t="s">
        <v>4201</v>
      </c>
      <c r="G278" s="64"/>
      <c r="H278" s="64"/>
      <c r="I278" s="64">
        <v>1</v>
      </c>
      <c r="J278" s="32">
        <f>IF(AND(I278=1,OR(I277=0,I277="")),MAX($J$4:$J277)+1,IF(AND(I278=1,I277=1),J277,""))</f>
        <v>16</v>
      </c>
      <c r="K278" s="32">
        <f t="shared" si="19"/>
        <v>400</v>
      </c>
      <c r="L278" s="32" t="str">
        <f t="shared" si="21"/>
        <v>HV</v>
      </c>
      <c r="M278" s="32">
        <f t="shared" si="22"/>
        <v>160000</v>
      </c>
      <c r="N278" s="4">
        <v>1</v>
      </c>
      <c r="O278" s="4">
        <v>0</v>
      </c>
      <c r="P278" s="4">
        <v>0</v>
      </c>
      <c r="Q278" s="4">
        <v>0</v>
      </c>
      <c r="R278" s="58">
        <v>0</v>
      </c>
      <c r="S278" s="58">
        <v>0</v>
      </c>
      <c r="T278" s="58">
        <v>0</v>
      </c>
      <c r="U278" s="5">
        <v>0</v>
      </c>
      <c r="V278" s="4">
        <v>0</v>
      </c>
      <c r="AG278" t="s">
        <v>318</v>
      </c>
      <c r="AM278" s="1" t="str">
        <f t="shared" si="23"/>
        <v>276_C0021_0097.jpg</v>
      </c>
    </row>
    <row r="279" spans="1:39" x14ac:dyDescent="0.35">
      <c r="A279">
        <v>275</v>
      </c>
      <c r="B279">
        <v>276</v>
      </c>
      <c r="C279">
        <v>146.81397764299999</v>
      </c>
      <c r="D279">
        <v>-19.1665402359999</v>
      </c>
      <c r="F279" s="64" t="s">
        <v>4202</v>
      </c>
      <c r="G279" s="64"/>
      <c r="H279" s="64"/>
      <c r="I279" s="64">
        <v>1</v>
      </c>
      <c r="J279" s="32">
        <f>IF(AND(I279=1,OR(I278=0,I278="")),MAX($J$4:$J278)+1,IF(AND(I279=1,I278=1),J278,""))</f>
        <v>16</v>
      </c>
      <c r="K279" s="32">
        <f t="shared" si="19"/>
        <v>400</v>
      </c>
      <c r="L279" s="32" t="str">
        <f t="shared" si="21"/>
        <v>HV</v>
      </c>
      <c r="M279" s="32">
        <f t="shared" si="22"/>
        <v>160000</v>
      </c>
      <c r="N279" s="4">
        <v>1</v>
      </c>
      <c r="O279" s="4">
        <v>0</v>
      </c>
      <c r="P279" s="4">
        <v>0</v>
      </c>
      <c r="Q279" s="4">
        <v>0</v>
      </c>
      <c r="R279" s="58">
        <v>0</v>
      </c>
      <c r="S279" s="58">
        <v>0</v>
      </c>
      <c r="T279" s="58">
        <v>0</v>
      </c>
      <c r="U279" s="5">
        <v>0</v>
      </c>
      <c r="V279" s="4">
        <v>0</v>
      </c>
      <c r="AG279" t="s">
        <v>319</v>
      </c>
      <c r="AM279" s="1" t="str">
        <f t="shared" si="23"/>
        <v>277_C0021_0117.jpg</v>
      </c>
    </row>
    <row r="280" spans="1:39" x14ac:dyDescent="0.35">
      <c r="A280">
        <v>276</v>
      </c>
      <c r="B280">
        <v>277</v>
      </c>
      <c r="C280">
        <v>146.81390552900001</v>
      </c>
      <c r="D280">
        <v>-19.166489644999999</v>
      </c>
      <c r="F280" s="64" t="s">
        <v>4203</v>
      </c>
      <c r="G280" s="64"/>
      <c r="H280" s="64"/>
      <c r="I280" s="64">
        <v>1</v>
      </c>
      <c r="J280" s="32">
        <f>IF(AND(I280=1,OR(I279=0,I279="")),MAX($J$4:$J279)+1,IF(AND(I280=1,I279=1),J279,""))</f>
        <v>16</v>
      </c>
      <c r="K280" s="32">
        <f t="shared" si="19"/>
        <v>400</v>
      </c>
      <c r="L280" s="32" t="str">
        <f t="shared" si="21"/>
        <v>HV</v>
      </c>
      <c r="M280" s="32">
        <f t="shared" si="22"/>
        <v>160000</v>
      </c>
      <c r="N280" s="4">
        <v>1</v>
      </c>
      <c r="O280" s="4">
        <v>0</v>
      </c>
      <c r="P280" s="4">
        <v>0</v>
      </c>
      <c r="Q280" s="4">
        <v>0</v>
      </c>
      <c r="R280" s="58">
        <v>0</v>
      </c>
      <c r="S280" s="58">
        <v>0</v>
      </c>
      <c r="T280" s="58">
        <v>0</v>
      </c>
      <c r="U280" s="5">
        <v>0</v>
      </c>
      <c r="V280" s="4">
        <v>0</v>
      </c>
      <c r="AG280" t="s">
        <v>320</v>
      </c>
      <c r="AM280" s="1" t="str">
        <f t="shared" si="23"/>
        <v>278_C0021_0059.jpg</v>
      </c>
    </row>
    <row r="281" spans="1:39" x14ac:dyDescent="0.35">
      <c r="A281">
        <v>277</v>
      </c>
      <c r="B281">
        <v>278</v>
      </c>
      <c r="C281">
        <v>146.81383170500001</v>
      </c>
      <c r="D281">
        <v>-19.166441347999999</v>
      </c>
      <c r="F281" s="64" t="s">
        <v>4204</v>
      </c>
      <c r="G281" s="64"/>
      <c r="H281" s="64"/>
      <c r="I281" s="64">
        <v>1</v>
      </c>
      <c r="J281" s="32">
        <f>IF(AND(I281=1,OR(I280=0,I280="")),MAX($J$4:$J280)+1,IF(AND(I281=1,I280=1),J280,""))</f>
        <v>16</v>
      </c>
      <c r="K281" s="32">
        <f t="shared" si="19"/>
        <v>400</v>
      </c>
      <c r="L281" s="32" t="str">
        <f t="shared" si="21"/>
        <v>HV</v>
      </c>
      <c r="M281" s="32">
        <f t="shared" si="22"/>
        <v>160000</v>
      </c>
      <c r="N281" s="4">
        <v>1</v>
      </c>
      <c r="O281" s="4">
        <v>0</v>
      </c>
      <c r="P281" s="4">
        <v>0</v>
      </c>
      <c r="Q281" s="4">
        <v>0</v>
      </c>
      <c r="R281" s="58">
        <v>0</v>
      </c>
      <c r="S281" s="58">
        <v>0</v>
      </c>
      <c r="T281" s="58">
        <v>0</v>
      </c>
      <c r="U281" s="5">
        <v>0</v>
      </c>
      <c r="V281" s="4">
        <v>0</v>
      </c>
      <c r="AG281" t="s">
        <v>321</v>
      </c>
      <c r="AM281" s="1" t="str">
        <f t="shared" si="23"/>
        <v>279_C0021_0053.jpg</v>
      </c>
    </row>
    <row r="282" spans="1:39" x14ac:dyDescent="0.35">
      <c r="A282">
        <v>278</v>
      </c>
      <c r="B282">
        <v>279</v>
      </c>
      <c r="C282">
        <v>146.81375603800001</v>
      </c>
      <c r="D282">
        <v>-19.1663956149999</v>
      </c>
      <c r="F282" s="64" t="s">
        <v>4205</v>
      </c>
      <c r="G282" s="64"/>
      <c r="H282" s="64"/>
      <c r="I282" s="64">
        <v>1</v>
      </c>
      <c r="J282" s="32">
        <f>IF(AND(I282=1,OR(I281=0,I281="")),MAX($J$4:$J281)+1,IF(AND(I282=1,I281=1),J281,""))</f>
        <v>16</v>
      </c>
      <c r="K282" s="32">
        <f t="shared" si="19"/>
        <v>400</v>
      </c>
      <c r="L282" s="32" t="str">
        <f t="shared" si="21"/>
        <v>HV</v>
      </c>
      <c r="M282" s="32">
        <f t="shared" si="22"/>
        <v>160000</v>
      </c>
      <c r="N282" s="4">
        <v>1</v>
      </c>
      <c r="O282" s="4">
        <v>0</v>
      </c>
      <c r="P282" s="4">
        <v>0</v>
      </c>
      <c r="Q282" s="4">
        <v>0</v>
      </c>
      <c r="R282" s="58">
        <v>0</v>
      </c>
      <c r="S282" s="58">
        <v>0</v>
      </c>
      <c r="T282" s="58">
        <v>0</v>
      </c>
      <c r="U282" s="5">
        <v>0</v>
      </c>
      <c r="V282" s="4">
        <v>0</v>
      </c>
      <c r="AG282" t="s">
        <v>322</v>
      </c>
      <c r="AM282" s="1" t="str">
        <f t="shared" si="23"/>
        <v>280_C0021_0043.jpg</v>
      </c>
    </row>
    <row r="283" spans="1:39" x14ac:dyDescent="0.35">
      <c r="A283">
        <v>279</v>
      </c>
      <c r="B283">
        <v>280</v>
      </c>
      <c r="C283">
        <v>146.813680371</v>
      </c>
      <c r="D283">
        <v>-19.166349881999999</v>
      </c>
      <c r="E283">
        <v>50</v>
      </c>
      <c r="F283" s="64" t="s">
        <v>4206</v>
      </c>
      <c r="G283" s="64"/>
      <c r="H283" s="64"/>
      <c r="I283" s="64">
        <v>1</v>
      </c>
      <c r="J283" s="32">
        <f>IF(AND(I283=1,OR(I282=0,I282="")),MAX($J$4:$J282)+1,IF(AND(I283=1,I282=1),J282,""))</f>
        <v>16</v>
      </c>
      <c r="K283" s="32">
        <f t="shared" si="19"/>
        <v>400</v>
      </c>
      <c r="L283" s="32" t="str">
        <f t="shared" si="21"/>
        <v>HV</v>
      </c>
      <c r="M283" s="32">
        <f t="shared" si="22"/>
        <v>160000</v>
      </c>
      <c r="N283" s="4">
        <v>1</v>
      </c>
      <c r="O283" s="4">
        <v>0</v>
      </c>
      <c r="P283" s="4">
        <v>0</v>
      </c>
      <c r="Q283" s="4">
        <v>0</v>
      </c>
      <c r="R283" s="58">
        <v>0</v>
      </c>
      <c r="S283" s="58">
        <v>0</v>
      </c>
      <c r="T283" s="58">
        <v>0</v>
      </c>
      <c r="U283" s="5">
        <v>0</v>
      </c>
      <c r="V283" s="4">
        <v>0</v>
      </c>
      <c r="AG283" t="s">
        <v>323</v>
      </c>
      <c r="AM283" s="1" t="str">
        <f t="shared" si="23"/>
        <v>281_C0021_0036.jpg</v>
      </c>
    </row>
    <row r="284" spans="1:39" x14ac:dyDescent="0.35">
      <c r="A284">
        <v>280</v>
      </c>
      <c r="B284">
        <v>281</v>
      </c>
      <c r="C284">
        <v>146.813604704</v>
      </c>
      <c r="D284">
        <v>-19.166304147999899</v>
      </c>
      <c r="F284" s="64" t="s">
        <v>4207</v>
      </c>
      <c r="G284" s="64"/>
      <c r="H284" s="64"/>
      <c r="I284" s="64">
        <v>1</v>
      </c>
      <c r="J284" s="32">
        <f>IF(AND(I284=1,OR(I283=0,I283="")),MAX($J$4:$J283)+1,IF(AND(I284=1,I283=1),J283,""))</f>
        <v>16</v>
      </c>
      <c r="K284" s="32">
        <f t="shared" si="19"/>
        <v>400</v>
      </c>
      <c r="L284" s="32" t="str">
        <f t="shared" si="21"/>
        <v>HV</v>
      </c>
      <c r="M284" s="32">
        <f t="shared" si="22"/>
        <v>160000</v>
      </c>
      <c r="N284" s="4">
        <v>1</v>
      </c>
      <c r="O284" s="4">
        <v>0</v>
      </c>
      <c r="P284" s="4">
        <v>0</v>
      </c>
      <c r="Q284" s="4">
        <v>0</v>
      </c>
      <c r="R284" s="58">
        <v>0</v>
      </c>
      <c r="S284" s="58">
        <v>0</v>
      </c>
      <c r="T284" s="58">
        <v>0</v>
      </c>
      <c r="U284" s="5">
        <v>0</v>
      </c>
      <c r="V284" s="4">
        <v>0</v>
      </c>
      <c r="AG284" t="s">
        <v>324</v>
      </c>
      <c r="AM284" s="1" t="str">
        <f t="shared" si="23"/>
        <v>282_C0021_0019.jpg</v>
      </c>
    </row>
    <row r="285" spans="1:39" x14ac:dyDescent="0.35">
      <c r="A285">
        <v>281</v>
      </c>
      <c r="B285">
        <v>282</v>
      </c>
      <c r="C285">
        <v>146.813529037</v>
      </c>
      <c r="D285">
        <v>-19.166258415000001</v>
      </c>
      <c r="F285" s="64" t="s">
        <v>4208</v>
      </c>
      <c r="G285" s="64"/>
      <c r="H285" s="64"/>
      <c r="I285" s="64">
        <v>1</v>
      </c>
      <c r="J285" s="32">
        <f>IF(AND(I285=1,OR(I284=0,I284="")),MAX($J$4:$J284)+1,IF(AND(I285=1,I284=1),J284,""))</f>
        <v>16</v>
      </c>
      <c r="K285" s="32">
        <f t="shared" si="19"/>
        <v>400</v>
      </c>
      <c r="L285" s="32" t="str">
        <f t="shared" si="21"/>
        <v>HV</v>
      </c>
      <c r="M285" s="32">
        <f t="shared" si="22"/>
        <v>160000</v>
      </c>
      <c r="N285" s="4">
        <v>1</v>
      </c>
      <c r="O285" s="4">
        <v>0</v>
      </c>
      <c r="P285" s="4">
        <v>0</v>
      </c>
      <c r="Q285" s="4">
        <v>0</v>
      </c>
      <c r="R285" s="58">
        <v>0</v>
      </c>
      <c r="S285" s="58">
        <v>0</v>
      </c>
      <c r="T285" s="58">
        <v>0</v>
      </c>
      <c r="U285" s="5">
        <v>0</v>
      </c>
      <c r="V285" s="4">
        <v>0</v>
      </c>
      <c r="AG285" t="s">
        <v>325</v>
      </c>
      <c r="AM285" s="1" t="str">
        <f t="shared" si="23"/>
        <v>283_C0021_0009.jpg</v>
      </c>
    </row>
    <row r="286" spans="1:39" x14ac:dyDescent="0.35">
      <c r="A286">
        <v>282</v>
      </c>
      <c r="B286">
        <v>283</v>
      </c>
      <c r="C286">
        <v>146.81345337100001</v>
      </c>
      <c r="D286">
        <v>-19.166212682000001</v>
      </c>
      <c r="F286" s="64" t="s">
        <v>4209</v>
      </c>
      <c r="G286" s="64"/>
      <c r="H286" s="64"/>
      <c r="I286" s="64">
        <v>1</v>
      </c>
      <c r="J286" s="32">
        <f>IF(AND(I286=1,OR(I285=0,I285="")),MAX($J$4:$J285)+1,IF(AND(I286=1,I285=1),J285,""))</f>
        <v>16</v>
      </c>
      <c r="K286" s="32">
        <f t="shared" si="19"/>
        <v>400</v>
      </c>
      <c r="L286" s="32" t="str">
        <f t="shared" si="21"/>
        <v>HV</v>
      </c>
      <c r="M286" s="32">
        <f t="shared" si="22"/>
        <v>160000</v>
      </c>
      <c r="N286" s="4">
        <v>1</v>
      </c>
      <c r="O286" s="4">
        <v>0</v>
      </c>
      <c r="P286" s="4">
        <v>0</v>
      </c>
      <c r="Q286" s="4">
        <v>0</v>
      </c>
      <c r="R286" s="58">
        <v>0</v>
      </c>
      <c r="S286" s="58">
        <v>0</v>
      </c>
      <c r="T286" s="58">
        <v>0</v>
      </c>
      <c r="U286" s="5">
        <v>0</v>
      </c>
      <c r="V286" s="4">
        <v>0</v>
      </c>
      <c r="AG286" t="s">
        <v>326</v>
      </c>
      <c r="AM286" s="1" t="str">
        <f t="shared" si="23"/>
        <v>284_C0020_0665.jpg</v>
      </c>
    </row>
    <row r="287" spans="1:39" x14ac:dyDescent="0.35">
      <c r="A287">
        <v>283</v>
      </c>
      <c r="B287">
        <v>284</v>
      </c>
      <c r="C287">
        <v>146.813377704</v>
      </c>
      <c r="D287">
        <v>-19.166166948000001</v>
      </c>
      <c r="F287" s="64" t="s">
        <v>4210</v>
      </c>
      <c r="G287" s="64"/>
      <c r="H287" s="64"/>
      <c r="I287" s="64">
        <v>1</v>
      </c>
      <c r="J287" s="32">
        <f>IF(AND(I287=1,OR(I286=0,I286="")),MAX($J$4:$J286)+1,IF(AND(I287=1,I286=1),J286,""))</f>
        <v>16</v>
      </c>
      <c r="K287" s="32">
        <f t="shared" ref="K287:K350" si="24">IF(J287="","",COUNTIF(J:J,J287)*10)</f>
        <v>400</v>
      </c>
      <c r="L287" s="32" t="str">
        <f t="shared" si="21"/>
        <v>HV</v>
      </c>
      <c r="M287" s="32">
        <f t="shared" si="22"/>
        <v>160000</v>
      </c>
      <c r="N287" s="4">
        <v>1</v>
      </c>
      <c r="O287" s="4">
        <v>0</v>
      </c>
      <c r="P287" s="4">
        <v>0</v>
      </c>
      <c r="Q287" s="4">
        <v>0</v>
      </c>
      <c r="R287" s="58">
        <v>0</v>
      </c>
      <c r="S287" s="58">
        <v>0</v>
      </c>
      <c r="T287" s="58">
        <v>0</v>
      </c>
      <c r="U287" s="5">
        <v>0</v>
      </c>
      <c r="V287" s="4">
        <v>0</v>
      </c>
      <c r="AG287" t="s">
        <v>327</v>
      </c>
      <c r="AM287" s="1" t="str">
        <f t="shared" si="23"/>
        <v>285_C0020_0667.jpg</v>
      </c>
    </row>
    <row r="288" spans="1:39" x14ac:dyDescent="0.35">
      <c r="A288">
        <v>284</v>
      </c>
      <c r="B288">
        <v>285</v>
      </c>
      <c r="C288">
        <v>146.813302037</v>
      </c>
      <c r="D288">
        <v>-19.166121215</v>
      </c>
      <c r="E288">
        <v>50</v>
      </c>
      <c r="F288" s="64" t="s">
        <v>4211</v>
      </c>
      <c r="G288" s="64"/>
      <c r="H288" s="64"/>
      <c r="I288" s="64">
        <v>1</v>
      </c>
      <c r="J288" s="32">
        <f>IF(AND(I288=1,OR(I287=0,I287="")),MAX($J$4:$J287)+1,IF(AND(I288=1,I287=1),J287,""))</f>
        <v>16</v>
      </c>
      <c r="K288" s="32">
        <f t="shared" si="24"/>
        <v>400</v>
      </c>
      <c r="L288" s="32" t="str">
        <f t="shared" si="21"/>
        <v>HV</v>
      </c>
      <c r="M288" s="32">
        <f t="shared" si="22"/>
        <v>160000</v>
      </c>
      <c r="N288" s="4">
        <v>1</v>
      </c>
      <c r="O288" s="4">
        <v>0</v>
      </c>
      <c r="P288" s="4">
        <v>0</v>
      </c>
      <c r="Q288" s="4">
        <v>0</v>
      </c>
      <c r="R288" s="58">
        <v>0</v>
      </c>
      <c r="S288" s="58">
        <v>0</v>
      </c>
      <c r="T288" s="58">
        <v>0</v>
      </c>
      <c r="U288" s="5">
        <v>0</v>
      </c>
      <c r="V288" s="4">
        <v>0</v>
      </c>
      <c r="AG288" t="s">
        <v>328</v>
      </c>
      <c r="AM288" s="1" t="str">
        <f t="shared" si="23"/>
        <v>286_C0020_0656.jpg</v>
      </c>
    </row>
    <row r="289" spans="1:39" x14ac:dyDescent="0.35">
      <c r="A289">
        <v>285</v>
      </c>
      <c r="B289">
        <v>286</v>
      </c>
      <c r="C289">
        <v>146.81322688</v>
      </c>
      <c r="D289">
        <v>-19.166074742999999</v>
      </c>
      <c r="F289" s="64" t="s">
        <v>4212</v>
      </c>
      <c r="G289" s="64"/>
      <c r="H289" s="64"/>
      <c r="I289" s="64">
        <v>1</v>
      </c>
      <c r="J289" s="32">
        <f>IF(AND(I289=1,OR(I288=0,I288="")),MAX($J$4:$J288)+1,IF(AND(I289=1,I288=1),J288,""))</f>
        <v>16</v>
      </c>
      <c r="K289" s="32">
        <f t="shared" si="24"/>
        <v>400</v>
      </c>
      <c r="L289" s="32" t="str">
        <f t="shared" si="21"/>
        <v>HV</v>
      </c>
      <c r="M289" s="32">
        <f t="shared" si="22"/>
        <v>160000</v>
      </c>
      <c r="N289" s="4">
        <v>1</v>
      </c>
      <c r="O289" s="4">
        <v>0</v>
      </c>
      <c r="P289" s="4">
        <v>0</v>
      </c>
      <c r="Q289" s="4">
        <v>0</v>
      </c>
      <c r="R289" s="58">
        <v>0</v>
      </c>
      <c r="S289" s="58">
        <v>0</v>
      </c>
      <c r="T289" s="58">
        <v>0</v>
      </c>
      <c r="U289" s="5">
        <v>0</v>
      </c>
      <c r="V289" s="4">
        <v>0</v>
      </c>
      <c r="AG289" t="s">
        <v>329</v>
      </c>
      <c r="AM289" s="1" t="str">
        <f t="shared" si="23"/>
        <v>287_C0020_0651.jpg</v>
      </c>
    </row>
    <row r="290" spans="1:39" x14ac:dyDescent="0.35">
      <c r="A290">
        <v>286</v>
      </c>
      <c r="B290">
        <v>287</v>
      </c>
      <c r="C290">
        <v>146.81315208500001</v>
      </c>
      <c r="D290">
        <v>-19.166027748000001</v>
      </c>
      <c r="F290" s="64" t="s">
        <v>4213</v>
      </c>
      <c r="G290" s="64"/>
      <c r="H290" s="64"/>
      <c r="I290" s="64">
        <v>1</v>
      </c>
      <c r="J290" s="32">
        <f>IF(AND(I290=1,OR(I289=0,I289="")),MAX($J$4:$J289)+1,IF(AND(I290=1,I289=1),J289,""))</f>
        <v>16</v>
      </c>
      <c r="K290" s="32">
        <f t="shared" si="24"/>
        <v>400</v>
      </c>
      <c r="L290" s="32" t="str">
        <f t="shared" si="21"/>
        <v>HV</v>
      </c>
      <c r="M290" s="32">
        <f t="shared" si="22"/>
        <v>160000</v>
      </c>
      <c r="N290" s="4">
        <v>1</v>
      </c>
      <c r="O290" s="4">
        <v>0</v>
      </c>
      <c r="P290" s="4">
        <v>0</v>
      </c>
      <c r="Q290" s="4">
        <v>0</v>
      </c>
      <c r="R290" s="58">
        <v>0</v>
      </c>
      <c r="S290" s="58">
        <v>0</v>
      </c>
      <c r="T290" s="58">
        <v>0</v>
      </c>
      <c r="U290" s="5">
        <v>0</v>
      </c>
      <c r="V290" s="4">
        <v>0</v>
      </c>
      <c r="AG290" t="s">
        <v>330</v>
      </c>
      <c r="AM290" s="1" t="str">
        <f t="shared" si="23"/>
        <v>288_C0020_0643.jpg</v>
      </c>
    </row>
    <row r="291" spans="1:39" x14ac:dyDescent="0.35">
      <c r="A291">
        <v>287</v>
      </c>
      <c r="B291">
        <v>288</v>
      </c>
      <c r="C291">
        <v>146.81307729</v>
      </c>
      <c r="D291">
        <v>-19.1659807519999</v>
      </c>
      <c r="F291" s="64" t="s">
        <v>4214</v>
      </c>
      <c r="G291" s="64"/>
      <c r="H291" s="64"/>
      <c r="I291" s="64">
        <v>1</v>
      </c>
      <c r="J291" s="32">
        <f>IF(AND(I291=1,OR(I290=0,I290="")),MAX($J$4:$J290)+1,IF(AND(I291=1,I290=1),J290,""))</f>
        <v>16</v>
      </c>
      <c r="K291" s="32">
        <f t="shared" si="24"/>
        <v>400</v>
      </c>
      <c r="L291" s="32" t="str">
        <f t="shared" si="21"/>
        <v>HV</v>
      </c>
      <c r="M291" s="32">
        <f t="shared" si="22"/>
        <v>160000</v>
      </c>
      <c r="N291" s="4">
        <v>1</v>
      </c>
      <c r="O291" s="4">
        <v>0</v>
      </c>
      <c r="P291" s="4">
        <v>0</v>
      </c>
      <c r="Q291" s="4">
        <v>0</v>
      </c>
      <c r="R291" s="58">
        <v>0</v>
      </c>
      <c r="S291" s="58">
        <v>0</v>
      </c>
      <c r="T291" s="58">
        <v>0</v>
      </c>
      <c r="U291" s="5">
        <v>0</v>
      </c>
      <c r="V291" s="4">
        <v>0</v>
      </c>
      <c r="AG291" t="s">
        <v>331</v>
      </c>
      <c r="AM291" s="1" t="str">
        <f t="shared" si="23"/>
        <v>289_C0020_0638.jpg</v>
      </c>
    </row>
    <row r="292" spans="1:39" x14ac:dyDescent="0.35">
      <c r="A292">
        <v>288</v>
      </c>
      <c r="B292">
        <v>289</v>
      </c>
      <c r="C292">
        <v>146.81300249500001</v>
      </c>
      <c r="D292">
        <v>-19.165933756000001</v>
      </c>
      <c r="F292" s="64" t="s">
        <v>4215</v>
      </c>
      <c r="G292" s="64"/>
      <c r="H292" s="64"/>
      <c r="I292" s="64">
        <v>1</v>
      </c>
      <c r="J292" s="32">
        <f>IF(AND(I292=1,OR(I291=0,I291="")),MAX($J$4:$J291)+1,IF(AND(I292=1,I291=1),J291,""))</f>
        <v>16</v>
      </c>
      <c r="K292" s="32">
        <f t="shared" si="24"/>
        <v>400</v>
      </c>
      <c r="L292" s="32" t="str">
        <f t="shared" si="21"/>
        <v>HV</v>
      </c>
      <c r="M292" s="32">
        <f t="shared" si="22"/>
        <v>160000</v>
      </c>
      <c r="N292" s="4">
        <v>1</v>
      </c>
      <c r="O292" s="4">
        <v>0</v>
      </c>
      <c r="P292" s="4">
        <v>0</v>
      </c>
      <c r="Q292" s="4">
        <v>0</v>
      </c>
      <c r="R292" s="58">
        <v>0</v>
      </c>
      <c r="S292" s="58">
        <v>0</v>
      </c>
      <c r="T292" s="58">
        <v>0</v>
      </c>
      <c r="U292" s="5">
        <v>0</v>
      </c>
      <c r="V292" s="4">
        <v>0</v>
      </c>
      <c r="AG292" t="s">
        <v>332</v>
      </c>
      <c r="AM292" s="1" t="str">
        <f t="shared" si="23"/>
        <v>290_C0020_0633.jpg</v>
      </c>
    </row>
    <row r="293" spans="1:39" x14ac:dyDescent="0.35">
      <c r="A293">
        <v>289</v>
      </c>
      <c r="B293">
        <v>290</v>
      </c>
      <c r="C293">
        <v>146.81292769999999</v>
      </c>
      <c r="D293">
        <v>-19.165886759999999</v>
      </c>
      <c r="E293">
        <v>50</v>
      </c>
      <c r="F293" s="64" t="s">
        <v>4216</v>
      </c>
      <c r="G293" s="64"/>
      <c r="H293" s="64"/>
      <c r="I293" s="64">
        <v>1</v>
      </c>
      <c r="J293" s="32">
        <f>IF(AND(I293=1,OR(I292=0,I292="")),MAX($J$4:$J292)+1,IF(AND(I293=1,I292=1),J292,""))</f>
        <v>16</v>
      </c>
      <c r="K293" s="32">
        <f t="shared" si="24"/>
        <v>400</v>
      </c>
      <c r="L293" s="32" t="str">
        <f t="shared" si="21"/>
        <v>HV</v>
      </c>
      <c r="M293" s="32">
        <f t="shared" si="22"/>
        <v>160000</v>
      </c>
      <c r="N293" s="4">
        <v>1</v>
      </c>
      <c r="O293" s="4">
        <v>0</v>
      </c>
      <c r="P293" s="4">
        <v>0</v>
      </c>
      <c r="Q293" s="4">
        <v>0</v>
      </c>
      <c r="R293" s="58">
        <v>0</v>
      </c>
      <c r="S293" s="58">
        <v>0</v>
      </c>
      <c r="T293" s="58">
        <v>0</v>
      </c>
      <c r="U293" s="5">
        <v>0</v>
      </c>
      <c r="V293" s="4">
        <v>0</v>
      </c>
      <c r="AG293" t="s">
        <v>333</v>
      </c>
      <c r="AM293" s="1" t="str">
        <f t="shared" si="23"/>
        <v>291_C0020_0628.jpg</v>
      </c>
    </row>
    <row r="294" spans="1:39" x14ac:dyDescent="0.35">
      <c r="A294">
        <v>290</v>
      </c>
      <c r="B294">
        <v>291</v>
      </c>
      <c r="C294">
        <v>146.812852905</v>
      </c>
      <c r="D294">
        <v>-19.165839763999902</v>
      </c>
      <c r="F294" s="64" t="s">
        <v>4217</v>
      </c>
      <c r="G294" s="64"/>
      <c r="H294" s="64"/>
      <c r="I294" s="64">
        <v>1</v>
      </c>
      <c r="J294" s="32">
        <f>IF(AND(I294=1,OR(I293=0,I293="")),MAX($J$4:$J293)+1,IF(AND(I294=1,I293=1),J293,""))</f>
        <v>16</v>
      </c>
      <c r="K294" s="32">
        <f t="shared" si="24"/>
        <v>400</v>
      </c>
      <c r="L294" s="32" t="str">
        <f t="shared" si="21"/>
        <v>HV</v>
      </c>
      <c r="M294" s="32">
        <f t="shared" si="22"/>
        <v>160000</v>
      </c>
      <c r="N294" s="4">
        <v>1</v>
      </c>
      <c r="O294" s="4">
        <v>0</v>
      </c>
      <c r="P294" s="4">
        <v>0</v>
      </c>
      <c r="Q294" s="4">
        <v>0</v>
      </c>
      <c r="R294" s="58">
        <v>0</v>
      </c>
      <c r="S294" s="58">
        <v>0</v>
      </c>
      <c r="T294" s="58">
        <v>0</v>
      </c>
      <c r="U294" s="5">
        <v>0</v>
      </c>
      <c r="V294" s="4">
        <v>0</v>
      </c>
      <c r="AG294" t="s">
        <v>334</v>
      </c>
      <c r="AM294" s="1" t="str">
        <f t="shared" si="23"/>
        <v>292_C0020_0623.jpg</v>
      </c>
    </row>
    <row r="295" spans="1:39" x14ac:dyDescent="0.35">
      <c r="A295">
        <v>291</v>
      </c>
      <c r="B295">
        <v>292</v>
      </c>
      <c r="C295">
        <v>146.81277811000001</v>
      </c>
      <c r="D295">
        <v>-19.165792767999999</v>
      </c>
      <c r="F295" s="64" t="s">
        <v>4218</v>
      </c>
      <c r="G295" s="64"/>
      <c r="H295" s="64"/>
      <c r="I295" s="64">
        <v>1</v>
      </c>
      <c r="J295" s="32">
        <f>IF(AND(I295=1,OR(I294=0,I294="")),MAX($J$4:$J294)+1,IF(AND(I295=1,I294=1),J294,""))</f>
        <v>16</v>
      </c>
      <c r="K295" s="32">
        <f t="shared" si="24"/>
        <v>400</v>
      </c>
      <c r="L295" s="32" t="str">
        <f t="shared" si="21"/>
        <v>HV</v>
      </c>
      <c r="M295" s="32">
        <f t="shared" si="22"/>
        <v>160000</v>
      </c>
      <c r="N295" s="4">
        <v>1</v>
      </c>
      <c r="O295" s="4">
        <v>0</v>
      </c>
      <c r="P295" s="4">
        <v>0</v>
      </c>
      <c r="Q295" s="4">
        <v>0</v>
      </c>
      <c r="R295" s="58">
        <v>0</v>
      </c>
      <c r="S295" s="58">
        <v>0</v>
      </c>
      <c r="T295" s="58">
        <v>0</v>
      </c>
      <c r="U295" s="5">
        <v>0</v>
      </c>
      <c r="V295" s="4">
        <v>0</v>
      </c>
      <c r="AG295" t="s">
        <v>335</v>
      </c>
      <c r="AM295" s="1" t="str">
        <f t="shared" si="23"/>
        <v>293_C0020_0620.jpg</v>
      </c>
    </row>
    <row r="296" spans="1:39" x14ac:dyDescent="0.35">
      <c r="A296">
        <v>292</v>
      </c>
      <c r="B296">
        <v>293</v>
      </c>
      <c r="C296">
        <v>146.81270347099999</v>
      </c>
      <c r="D296">
        <v>-19.165745567999998</v>
      </c>
      <c r="F296" s="64" t="s">
        <v>4219</v>
      </c>
      <c r="G296" s="64"/>
      <c r="H296" s="64"/>
      <c r="I296" s="64">
        <v>1</v>
      </c>
      <c r="J296" s="32">
        <f>IF(AND(I296=1,OR(I295=0,I295="")),MAX($J$4:$J295)+1,IF(AND(I296=1,I295=1),J295,""))</f>
        <v>16</v>
      </c>
      <c r="K296" s="32">
        <f t="shared" si="24"/>
        <v>400</v>
      </c>
      <c r="L296" s="32" t="str">
        <f t="shared" si="21"/>
        <v>HV</v>
      </c>
      <c r="M296" s="32">
        <f t="shared" si="22"/>
        <v>160000</v>
      </c>
      <c r="N296" s="4">
        <v>1</v>
      </c>
      <c r="O296" s="4">
        <v>0</v>
      </c>
      <c r="P296" s="4">
        <v>0</v>
      </c>
      <c r="Q296" s="4">
        <v>0</v>
      </c>
      <c r="R296" s="58">
        <v>0</v>
      </c>
      <c r="S296" s="58">
        <v>0</v>
      </c>
      <c r="T296" s="58">
        <v>0</v>
      </c>
      <c r="U296" s="5">
        <v>0</v>
      </c>
      <c r="V296" s="4">
        <v>0</v>
      </c>
      <c r="AG296" t="s">
        <v>336</v>
      </c>
      <c r="AM296" s="1" t="str">
        <f t="shared" si="23"/>
        <v>294_C0020_0615.jpg</v>
      </c>
    </row>
    <row r="297" spans="1:39" x14ac:dyDescent="0.35">
      <c r="A297">
        <v>293</v>
      </c>
      <c r="B297">
        <v>294</v>
      </c>
      <c r="C297">
        <v>146.81263275000001</v>
      </c>
      <c r="D297">
        <v>-19.165693247</v>
      </c>
      <c r="F297" s="64" t="s">
        <v>4220</v>
      </c>
      <c r="G297" s="64"/>
      <c r="H297" s="64"/>
      <c r="I297" s="64">
        <v>1</v>
      </c>
      <c r="J297" s="32">
        <f>IF(AND(I297=1,OR(I296=0,I296="")),MAX($J$4:$J296)+1,IF(AND(I297=1,I296=1),J296,""))</f>
        <v>16</v>
      </c>
      <c r="K297" s="32">
        <f t="shared" si="24"/>
        <v>400</v>
      </c>
      <c r="L297" s="32" t="str">
        <f t="shared" si="21"/>
        <v>HV</v>
      </c>
      <c r="M297" s="32">
        <f t="shared" si="22"/>
        <v>160000</v>
      </c>
      <c r="N297" s="4">
        <v>1</v>
      </c>
      <c r="O297" s="4">
        <v>0</v>
      </c>
      <c r="P297" s="4">
        <v>0</v>
      </c>
      <c r="Q297" s="4">
        <v>0</v>
      </c>
      <c r="R297" s="58">
        <v>0</v>
      </c>
      <c r="S297" s="58">
        <v>0</v>
      </c>
      <c r="T297" s="58">
        <v>0</v>
      </c>
      <c r="U297" s="5">
        <v>0</v>
      </c>
      <c r="V297" s="4">
        <v>0</v>
      </c>
      <c r="AG297" t="s">
        <v>337</v>
      </c>
      <c r="AM297" s="1" t="str">
        <f t="shared" si="23"/>
        <v>295_C0020_0609.jpg</v>
      </c>
    </row>
    <row r="298" spans="1:39" x14ac:dyDescent="0.35">
      <c r="A298">
        <v>294</v>
      </c>
      <c r="B298">
        <v>295</v>
      </c>
      <c r="C298">
        <v>146.81256202899999</v>
      </c>
      <c r="D298">
        <v>-19.165640924999899</v>
      </c>
      <c r="E298">
        <v>50</v>
      </c>
      <c r="F298" s="64" t="s">
        <v>4221</v>
      </c>
      <c r="G298" s="64"/>
      <c r="H298" s="64"/>
      <c r="I298" s="64">
        <v>1</v>
      </c>
      <c r="J298" s="32">
        <f>IF(AND(I298=1,OR(I297=0,I297="")),MAX($J$4:$J297)+1,IF(AND(I298=1,I297=1),J297,""))</f>
        <v>16</v>
      </c>
      <c r="K298" s="32">
        <f t="shared" si="24"/>
        <v>400</v>
      </c>
      <c r="L298" s="32" t="str">
        <f t="shared" si="21"/>
        <v>HV</v>
      </c>
      <c r="M298" s="32">
        <f t="shared" si="22"/>
        <v>160000</v>
      </c>
      <c r="N298" s="4">
        <v>1</v>
      </c>
      <c r="O298" s="4">
        <v>0</v>
      </c>
      <c r="P298" s="4">
        <v>0</v>
      </c>
      <c r="Q298" s="4">
        <v>0</v>
      </c>
      <c r="R298" s="58">
        <v>0</v>
      </c>
      <c r="S298" s="58">
        <v>0</v>
      </c>
      <c r="T298" s="58">
        <v>0</v>
      </c>
      <c r="U298" s="5">
        <v>0</v>
      </c>
      <c r="V298" s="4">
        <v>0</v>
      </c>
      <c r="AG298" t="s">
        <v>338</v>
      </c>
      <c r="AM298" s="1" t="str">
        <f t="shared" si="23"/>
        <v>296_C0020_0603.jpg</v>
      </c>
    </row>
    <row r="299" spans="1:39" x14ac:dyDescent="0.35">
      <c r="A299">
        <v>295</v>
      </c>
      <c r="B299">
        <v>296</v>
      </c>
      <c r="C299">
        <v>146.81249130800001</v>
      </c>
      <c r="D299">
        <v>-19.1655886029999</v>
      </c>
      <c r="F299" s="64" t="s">
        <v>4222</v>
      </c>
      <c r="G299" s="64"/>
      <c r="H299" s="64"/>
      <c r="I299" s="64">
        <v>1</v>
      </c>
      <c r="J299" s="32">
        <f>IF(AND(I299=1,OR(I298=0,I298="")),MAX($J$4:$J298)+1,IF(AND(I299=1,I298=1),J298,""))</f>
        <v>16</v>
      </c>
      <c r="K299" s="32">
        <f t="shared" si="24"/>
        <v>400</v>
      </c>
      <c r="L299" s="32" t="str">
        <f t="shared" si="21"/>
        <v>HV</v>
      </c>
      <c r="M299" s="32">
        <f t="shared" si="22"/>
        <v>160000</v>
      </c>
      <c r="N299" s="4">
        <v>1</v>
      </c>
      <c r="O299" s="4">
        <v>0</v>
      </c>
      <c r="P299" s="4">
        <v>0</v>
      </c>
      <c r="Q299" s="4">
        <v>0</v>
      </c>
      <c r="R299" s="58">
        <v>0</v>
      </c>
      <c r="S299" s="58">
        <v>0</v>
      </c>
      <c r="T299" s="58">
        <v>0</v>
      </c>
      <c r="U299" s="5">
        <v>0</v>
      </c>
      <c r="V299" s="4">
        <v>0</v>
      </c>
      <c r="AG299" t="s">
        <v>339</v>
      </c>
      <c r="AM299" s="1" t="str">
        <f t="shared" si="23"/>
        <v>297_C0020_0597.jpg</v>
      </c>
    </row>
    <row r="300" spans="1:39" x14ac:dyDescent="0.35">
      <c r="A300">
        <v>296</v>
      </c>
      <c r="B300">
        <v>297</v>
      </c>
      <c r="C300">
        <v>146.81242058699999</v>
      </c>
      <c r="D300">
        <v>-19.165536281999898</v>
      </c>
      <c r="F300" s="64" t="s">
        <v>4223</v>
      </c>
      <c r="G300" s="64"/>
      <c r="H300" s="64"/>
      <c r="I300" s="64">
        <v>1</v>
      </c>
      <c r="J300" s="32">
        <f>IF(AND(I300=1,OR(I299=0,I299="")),MAX($J$4:$J299)+1,IF(AND(I300=1,I299=1),J299,""))</f>
        <v>16</v>
      </c>
      <c r="K300" s="32">
        <f t="shared" si="24"/>
        <v>400</v>
      </c>
      <c r="L300" s="32" t="str">
        <f t="shared" si="21"/>
        <v>HV</v>
      </c>
      <c r="M300" s="32">
        <f t="shared" si="22"/>
        <v>160000</v>
      </c>
      <c r="N300" s="4">
        <v>1</v>
      </c>
      <c r="O300" s="4">
        <v>0</v>
      </c>
      <c r="P300" s="4">
        <v>0</v>
      </c>
      <c r="Q300" s="4">
        <v>0</v>
      </c>
      <c r="R300" s="58">
        <v>0</v>
      </c>
      <c r="S300" s="58">
        <v>0</v>
      </c>
      <c r="T300" s="58">
        <v>0</v>
      </c>
      <c r="U300" s="5">
        <v>0</v>
      </c>
      <c r="V300" s="4">
        <v>0</v>
      </c>
      <c r="AG300" t="s">
        <v>340</v>
      </c>
      <c r="AM300" s="1" t="str">
        <f t="shared" si="23"/>
        <v>298_C0020_0592.jpg</v>
      </c>
    </row>
    <row r="301" spans="1:39" x14ac:dyDescent="0.35">
      <c r="A301">
        <v>297</v>
      </c>
      <c r="B301">
        <v>298</v>
      </c>
      <c r="C301">
        <v>146.81234986699999</v>
      </c>
      <c r="D301">
        <v>-19.16548396</v>
      </c>
      <c r="F301" s="64" t="s">
        <v>4224</v>
      </c>
      <c r="G301" s="64"/>
      <c r="H301" s="64"/>
      <c r="I301" s="64">
        <v>1</v>
      </c>
      <c r="J301" s="32">
        <f>IF(AND(I301=1,OR(I300=0,I300="")),MAX($J$4:$J300)+1,IF(AND(I301=1,I300=1),J300,""))</f>
        <v>16</v>
      </c>
      <c r="K301" s="32">
        <f t="shared" si="24"/>
        <v>400</v>
      </c>
      <c r="L301" s="32" t="str">
        <f t="shared" si="21"/>
        <v>HV</v>
      </c>
      <c r="M301" s="32">
        <f t="shared" si="22"/>
        <v>160000</v>
      </c>
      <c r="N301" s="4">
        <v>1</v>
      </c>
      <c r="O301" s="4">
        <v>0</v>
      </c>
      <c r="P301" s="4">
        <v>0</v>
      </c>
      <c r="Q301" s="4">
        <v>0</v>
      </c>
      <c r="R301" s="58">
        <v>0</v>
      </c>
      <c r="S301" s="58">
        <v>0</v>
      </c>
      <c r="T301" s="58">
        <v>0</v>
      </c>
      <c r="U301" s="5">
        <v>0</v>
      </c>
      <c r="V301" s="4">
        <v>0</v>
      </c>
      <c r="AG301" t="s">
        <v>341</v>
      </c>
      <c r="AM301" s="1" t="str">
        <f t="shared" si="23"/>
        <v>299_C0020_0587.jpg</v>
      </c>
    </row>
    <row r="302" spans="1:39" x14ac:dyDescent="0.35">
      <c r="A302">
        <v>298</v>
      </c>
      <c r="B302">
        <v>299</v>
      </c>
      <c r="C302">
        <v>146.81227914600001</v>
      </c>
      <c r="D302">
        <v>-19.165431638000001</v>
      </c>
      <c r="F302" s="64" t="s">
        <v>4225</v>
      </c>
      <c r="G302" s="64"/>
      <c r="H302" s="64"/>
      <c r="I302" s="64">
        <v>1</v>
      </c>
      <c r="J302" s="32">
        <f>IF(AND(I302=1,OR(I301=0,I301="")),MAX($J$4:$J301)+1,IF(AND(I302=1,I301=1),J301,""))</f>
        <v>16</v>
      </c>
      <c r="K302" s="32">
        <f t="shared" si="24"/>
        <v>400</v>
      </c>
      <c r="L302" s="32" t="str">
        <f t="shared" si="21"/>
        <v>HV</v>
      </c>
      <c r="M302" s="32">
        <f t="shared" si="22"/>
        <v>160000</v>
      </c>
      <c r="N302" s="4">
        <v>1</v>
      </c>
      <c r="O302" s="4">
        <v>0</v>
      </c>
      <c r="P302" s="4">
        <v>0</v>
      </c>
      <c r="Q302" s="4">
        <v>0</v>
      </c>
      <c r="R302" s="58">
        <v>0</v>
      </c>
      <c r="S302" s="58">
        <v>0</v>
      </c>
      <c r="T302" s="58">
        <v>0</v>
      </c>
      <c r="U302" s="5">
        <v>0</v>
      </c>
      <c r="V302" s="4">
        <v>0</v>
      </c>
      <c r="AG302" t="s">
        <v>342</v>
      </c>
      <c r="AM302" s="1" t="str">
        <f t="shared" si="23"/>
        <v>300_C0020_0580.jpg</v>
      </c>
    </row>
    <row r="303" spans="1:39" x14ac:dyDescent="0.35">
      <c r="A303">
        <v>299</v>
      </c>
      <c r="B303">
        <v>300</v>
      </c>
      <c r="C303">
        <v>146.81220842499999</v>
      </c>
      <c r="D303">
        <v>-19.1653793159999</v>
      </c>
      <c r="E303">
        <v>50</v>
      </c>
      <c r="F303" s="64" t="s">
        <v>4226</v>
      </c>
      <c r="G303" s="64"/>
      <c r="H303" s="64"/>
      <c r="I303" s="64">
        <v>1</v>
      </c>
      <c r="J303" s="32">
        <f>IF(AND(I303=1,OR(I302=0,I302="")),MAX($J$4:$J302)+1,IF(AND(I303=1,I302=1),J302,""))</f>
        <v>16</v>
      </c>
      <c r="K303" s="32">
        <f t="shared" si="24"/>
        <v>400</v>
      </c>
      <c r="L303" s="32" t="str">
        <f t="shared" si="21"/>
        <v>HV</v>
      </c>
      <c r="M303" s="32">
        <f t="shared" si="22"/>
        <v>160000</v>
      </c>
      <c r="N303" s="4">
        <v>1</v>
      </c>
      <c r="O303" s="4">
        <v>0</v>
      </c>
      <c r="P303" s="4">
        <v>0</v>
      </c>
      <c r="Q303" s="4">
        <v>0</v>
      </c>
      <c r="R303" s="58">
        <v>0</v>
      </c>
      <c r="S303" s="58">
        <v>0</v>
      </c>
      <c r="T303" s="58">
        <v>0</v>
      </c>
      <c r="U303" s="5">
        <v>0</v>
      </c>
      <c r="V303" s="4">
        <v>0</v>
      </c>
      <c r="AG303" t="s">
        <v>343</v>
      </c>
      <c r="AM303" s="1" t="str">
        <f t="shared" si="23"/>
        <v>301_C0020_0576.jpg</v>
      </c>
    </row>
    <row r="304" spans="1:39" x14ac:dyDescent="0.35">
      <c r="A304">
        <v>300</v>
      </c>
      <c r="B304">
        <v>301</v>
      </c>
      <c r="C304">
        <v>146.81213746700001</v>
      </c>
      <c r="D304">
        <v>-19.165327306999899</v>
      </c>
      <c r="F304" s="64" t="s">
        <v>4227</v>
      </c>
      <c r="G304" s="64"/>
      <c r="H304" s="64"/>
      <c r="I304" s="64">
        <v>1</v>
      </c>
      <c r="J304" s="32">
        <f>IF(AND(I304=1,OR(I303=0,I303="")),MAX($J$4:$J303)+1,IF(AND(I304=1,I303=1),J303,""))</f>
        <v>16</v>
      </c>
      <c r="K304" s="32">
        <f t="shared" si="24"/>
        <v>400</v>
      </c>
      <c r="L304" s="32" t="str">
        <f t="shared" si="21"/>
        <v>HV</v>
      </c>
      <c r="M304" s="32">
        <f t="shared" si="22"/>
        <v>160000</v>
      </c>
      <c r="N304" s="4">
        <v>1</v>
      </c>
      <c r="O304" s="4">
        <v>0</v>
      </c>
      <c r="P304" s="4">
        <v>0</v>
      </c>
      <c r="Q304" s="4">
        <v>0</v>
      </c>
      <c r="R304" s="58">
        <v>0</v>
      </c>
      <c r="S304" s="58">
        <v>0</v>
      </c>
      <c r="T304" s="58">
        <v>0</v>
      </c>
      <c r="U304" s="5">
        <v>0</v>
      </c>
      <c r="V304" s="4">
        <v>0</v>
      </c>
      <c r="AG304" t="s">
        <v>344</v>
      </c>
      <c r="AM304" s="1" t="str">
        <f t="shared" ref="AM304:AM335" si="25">HYPERLINK("E:\CAFNEC_GBRF\2023\JohnstoneRiver\Frames_for_Analysis\" &amp; F305, F305)</f>
        <v>302_C0020_0573.jpg</v>
      </c>
    </row>
    <row r="305" spans="1:39" x14ac:dyDescent="0.35">
      <c r="A305">
        <v>301</v>
      </c>
      <c r="B305">
        <v>302</v>
      </c>
      <c r="C305">
        <v>146.812062242</v>
      </c>
      <c r="D305">
        <v>-19.165280927000001</v>
      </c>
      <c r="F305" s="64" t="s">
        <v>4228</v>
      </c>
      <c r="G305" s="64"/>
      <c r="H305" s="64"/>
      <c r="I305" s="64">
        <v>1</v>
      </c>
      <c r="J305" s="32">
        <f>IF(AND(I305=1,OR(I304=0,I304="")),MAX($J$4:$J304)+1,IF(AND(I305=1,I304=1),J304,""))</f>
        <v>16</v>
      </c>
      <c r="K305" s="32">
        <f t="shared" si="24"/>
        <v>400</v>
      </c>
      <c r="L305" s="32" t="str">
        <f t="shared" si="21"/>
        <v>HV</v>
      </c>
      <c r="M305" s="32">
        <f t="shared" si="22"/>
        <v>160000</v>
      </c>
      <c r="N305" s="4">
        <v>1</v>
      </c>
      <c r="O305" s="4">
        <v>0</v>
      </c>
      <c r="P305" s="4">
        <v>0</v>
      </c>
      <c r="Q305" s="4">
        <v>0</v>
      </c>
      <c r="R305" s="58">
        <v>0</v>
      </c>
      <c r="S305" s="58">
        <v>0</v>
      </c>
      <c r="T305" s="58">
        <v>0</v>
      </c>
      <c r="U305" s="5">
        <v>0</v>
      </c>
      <c r="V305" s="4">
        <v>0</v>
      </c>
      <c r="AG305" t="s">
        <v>345</v>
      </c>
      <c r="AM305" s="1" t="str">
        <f t="shared" si="25"/>
        <v>303_C0020_0567.jpg</v>
      </c>
    </row>
    <row r="306" spans="1:39" x14ac:dyDescent="0.35">
      <c r="A306">
        <v>302</v>
      </c>
      <c r="B306">
        <v>303</v>
      </c>
      <c r="C306">
        <v>146.811987018</v>
      </c>
      <c r="D306">
        <v>-19.165234547000001</v>
      </c>
      <c r="F306" s="64" t="s">
        <v>4229</v>
      </c>
      <c r="G306" s="64"/>
      <c r="H306" s="64"/>
      <c r="I306" s="64">
        <v>1</v>
      </c>
      <c r="J306" s="32">
        <f>IF(AND(I306=1,OR(I305=0,I305="")),MAX($J$4:$J305)+1,IF(AND(I306=1,I305=1),J305,""))</f>
        <v>16</v>
      </c>
      <c r="K306" s="32">
        <f t="shared" si="24"/>
        <v>400</v>
      </c>
      <c r="L306" s="32" t="str">
        <f t="shared" si="21"/>
        <v>HV</v>
      </c>
      <c r="M306" s="32">
        <f t="shared" si="22"/>
        <v>160000</v>
      </c>
      <c r="N306" s="4">
        <v>1</v>
      </c>
      <c r="O306" s="4">
        <v>0</v>
      </c>
      <c r="P306" s="4">
        <v>0</v>
      </c>
      <c r="Q306" s="4">
        <v>0</v>
      </c>
      <c r="R306" s="58">
        <v>0</v>
      </c>
      <c r="S306" s="58">
        <v>0</v>
      </c>
      <c r="T306" s="58">
        <v>0</v>
      </c>
      <c r="U306" s="5">
        <v>0</v>
      </c>
      <c r="V306" s="4">
        <v>0</v>
      </c>
      <c r="AG306" t="s">
        <v>346</v>
      </c>
      <c r="AM306" s="1" t="str">
        <f t="shared" si="25"/>
        <v>304_C0020_0563.jpg</v>
      </c>
    </row>
    <row r="307" spans="1:39" x14ac:dyDescent="0.35">
      <c r="A307">
        <v>303</v>
      </c>
      <c r="B307">
        <v>304</v>
      </c>
      <c r="C307">
        <v>146.81191179300001</v>
      </c>
      <c r="D307">
        <v>-19.165188166</v>
      </c>
      <c r="F307" s="64" t="s">
        <v>4230</v>
      </c>
      <c r="G307" s="64"/>
      <c r="H307" s="64"/>
      <c r="I307" s="64">
        <v>1</v>
      </c>
      <c r="J307" s="32">
        <f>IF(AND(I307=1,OR(I306=0,I306="")),MAX($J$4:$J306)+1,IF(AND(I307=1,I306=1),J306,""))</f>
        <v>16</v>
      </c>
      <c r="K307" s="32">
        <f t="shared" si="24"/>
        <v>400</v>
      </c>
      <c r="L307" s="32" t="str">
        <f t="shared" si="21"/>
        <v>HV</v>
      </c>
      <c r="M307" s="32">
        <f t="shared" si="22"/>
        <v>160000</v>
      </c>
      <c r="N307" s="4">
        <v>1</v>
      </c>
      <c r="O307" s="4">
        <v>0</v>
      </c>
      <c r="P307" s="4">
        <v>0</v>
      </c>
      <c r="Q307" s="4">
        <v>0</v>
      </c>
      <c r="R307" s="58">
        <v>0</v>
      </c>
      <c r="S307" s="58">
        <v>0</v>
      </c>
      <c r="T307" s="58">
        <v>0</v>
      </c>
      <c r="U307" s="5">
        <v>0</v>
      </c>
      <c r="V307" s="4">
        <v>0</v>
      </c>
      <c r="AG307" t="s">
        <v>347</v>
      </c>
      <c r="AM307" s="1" t="str">
        <f t="shared" si="25"/>
        <v>305_C0020_0558.jpg</v>
      </c>
    </row>
    <row r="308" spans="1:39" x14ac:dyDescent="0.35">
      <c r="A308">
        <v>304</v>
      </c>
      <c r="B308">
        <v>305</v>
      </c>
      <c r="C308">
        <v>146.81183656900001</v>
      </c>
      <c r="D308">
        <v>-19.1651417859999</v>
      </c>
      <c r="E308">
        <v>50</v>
      </c>
      <c r="F308" s="64" t="s">
        <v>4231</v>
      </c>
      <c r="G308" s="64"/>
      <c r="H308" s="64"/>
      <c r="I308" s="64">
        <v>1</v>
      </c>
      <c r="J308" s="32">
        <f>IF(AND(I308=1,OR(I307=0,I307="")),MAX($J$4:$J307)+1,IF(AND(I308=1,I307=1),J307,""))</f>
        <v>16</v>
      </c>
      <c r="K308" s="32">
        <f t="shared" si="24"/>
        <v>400</v>
      </c>
      <c r="L308" s="32" t="str">
        <f t="shared" si="21"/>
        <v>HV</v>
      </c>
      <c r="M308" s="32">
        <f t="shared" si="22"/>
        <v>160000</v>
      </c>
      <c r="N308" s="4">
        <v>1</v>
      </c>
      <c r="O308" s="4">
        <v>0</v>
      </c>
      <c r="P308" s="4">
        <v>0</v>
      </c>
      <c r="Q308" s="4">
        <v>0</v>
      </c>
      <c r="R308" s="58">
        <v>0</v>
      </c>
      <c r="S308" s="58">
        <v>0</v>
      </c>
      <c r="T308" s="58">
        <v>0</v>
      </c>
      <c r="U308" s="5">
        <v>0</v>
      </c>
      <c r="V308" s="4">
        <v>0</v>
      </c>
      <c r="AG308" t="s">
        <v>348</v>
      </c>
      <c r="AM308" s="1" t="str">
        <f t="shared" si="25"/>
        <v>306_C0020_0555.jpg</v>
      </c>
    </row>
    <row r="309" spans="1:39" x14ac:dyDescent="0.35">
      <c r="A309">
        <v>305</v>
      </c>
      <c r="B309">
        <v>306</v>
      </c>
      <c r="C309">
        <v>146.81176134399999</v>
      </c>
      <c r="D309">
        <v>-19.165095405999999</v>
      </c>
      <c r="F309" s="64" t="s">
        <v>4232</v>
      </c>
      <c r="G309" s="64"/>
      <c r="H309" s="64"/>
      <c r="I309" s="64">
        <v>1</v>
      </c>
      <c r="J309" s="32">
        <f>IF(AND(I309=1,OR(I308=0,I308="")),MAX($J$4:$J308)+1,IF(AND(I309=1,I308=1),J308,""))</f>
        <v>16</v>
      </c>
      <c r="K309" s="32">
        <f t="shared" si="24"/>
        <v>400</v>
      </c>
      <c r="L309" s="32" t="str">
        <f t="shared" si="21"/>
        <v>HV</v>
      </c>
      <c r="M309" s="32">
        <f t="shared" si="22"/>
        <v>160000</v>
      </c>
      <c r="N309" s="4">
        <v>1</v>
      </c>
      <c r="O309" s="4">
        <v>0</v>
      </c>
      <c r="P309" s="4">
        <v>0</v>
      </c>
      <c r="Q309" s="4">
        <v>0</v>
      </c>
      <c r="R309" s="58">
        <v>0</v>
      </c>
      <c r="S309" s="58">
        <v>0</v>
      </c>
      <c r="T309" s="58">
        <v>0</v>
      </c>
      <c r="U309" s="5">
        <v>0</v>
      </c>
      <c r="V309" s="4">
        <v>0</v>
      </c>
      <c r="AG309" t="s">
        <v>349</v>
      </c>
      <c r="AM309" s="1" t="str">
        <f t="shared" si="25"/>
        <v>307_C0020_0552.jpg</v>
      </c>
    </row>
    <row r="310" spans="1:39" x14ac:dyDescent="0.35">
      <c r="A310">
        <v>306</v>
      </c>
      <c r="B310">
        <v>307</v>
      </c>
      <c r="C310">
        <v>146.81168611999999</v>
      </c>
      <c r="D310">
        <v>-19.165049024999998</v>
      </c>
      <c r="F310" s="64" t="s">
        <v>4233</v>
      </c>
      <c r="G310" s="64"/>
      <c r="H310" s="64"/>
      <c r="I310" s="64">
        <v>1</v>
      </c>
      <c r="J310" s="32">
        <f>IF(AND(I310=1,OR(I309=0,I309="")),MAX($J$4:$J309)+1,IF(AND(I310=1,I309=1),J309,""))</f>
        <v>16</v>
      </c>
      <c r="K310" s="32">
        <f t="shared" si="24"/>
        <v>400</v>
      </c>
      <c r="L310" s="32" t="str">
        <f t="shared" si="21"/>
        <v>HV</v>
      </c>
      <c r="M310" s="32">
        <f t="shared" si="22"/>
        <v>160000</v>
      </c>
      <c r="N310" s="4">
        <v>1</v>
      </c>
      <c r="O310" s="4">
        <v>0</v>
      </c>
      <c r="P310" s="4">
        <v>0</v>
      </c>
      <c r="Q310" s="4">
        <v>0</v>
      </c>
      <c r="R310" s="58">
        <v>0</v>
      </c>
      <c r="S310" s="58">
        <v>0</v>
      </c>
      <c r="T310" s="58">
        <v>0</v>
      </c>
      <c r="U310" s="5">
        <v>0</v>
      </c>
      <c r="V310" s="4">
        <v>0</v>
      </c>
      <c r="AG310" t="s">
        <v>350</v>
      </c>
      <c r="AM310" s="1" t="str">
        <f t="shared" si="25"/>
        <v>308_C0020_0548.jpg</v>
      </c>
    </row>
    <row r="311" spans="1:39" x14ac:dyDescent="0.35">
      <c r="A311">
        <v>307</v>
      </c>
      <c r="B311">
        <v>308</v>
      </c>
      <c r="C311">
        <v>146.811610895</v>
      </c>
      <c r="D311">
        <v>-19.165002645000001</v>
      </c>
      <c r="F311" s="64" t="s">
        <v>4234</v>
      </c>
      <c r="G311" s="64"/>
      <c r="H311" s="64"/>
      <c r="I311" s="64">
        <v>1</v>
      </c>
      <c r="J311" s="32">
        <f>IF(AND(I311=1,OR(I310=0,I310="")),MAX($J$4:$J310)+1,IF(AND(I311=1,I310=1),J310,""))</f>
        <v>16</v>
      </c>
      <c r="K311" s="32">
        <f t="shared" si="24"/>
        <v>400</v>
      </c>
      <c r="L311" s="32" t="str">
        <f t="shared" si="21"/>
        <v>HV</v>
      </c>
      <c r="M311" s="32">
        <f t="shared" si="22"/>
        <v>160000</v>
      </c>
      <c r="N311" s="4">
        <v>1</v>
      </c>
      <c r="O311" s="4">
        <v>0</v>
      </c>
      <c r="P311" s="4">
        <v>0</v>
      </c>
      <c r="Q311" s="4">
        <v>0</v>
      </c>
      <c r="R311" s="58">
        <v>0</v>
      </c>
      <c r="S311" s="58">
        <v>0</v>
      </c>
      <c r="T311" s="58">
        <v>0</v>
      </c>
      <c r="U311" s="5">
        <v>0</v>
      </c>
      <c r="V311" s="4">
        <v>0</v>
      </c>
      <c r="AG311" t="s">
        <v>351</v>
      </c>
      <c r="AM311" s="1" t="str">
        <f t="shared" si="25"/>
        <v>309_C0020_0543.jpg</v>
      </c>
    </row>
    <row r="312" spans="1:39" x14ac:dyDescent="0.35">
      <c r="A312">
        <v>308</v>
      </c>
      <c r="B312">
        <v>309</v>
      </c>
      <c r="C312">
        <v>146.81153616899999</v>
      </c>
      <c r="D312">
        <v>-19.164955644999999</v>
      </c>
      <c r="F312" s="64" t="s">
        <v>4235</v>
      </c>
      <c r="G312" s="64"/>
      <c r="H312" s="64"/>
      <c r="I312" s="64">
        <v>1</v>
      </c>
      <c r="J312" s="32">
        <f>IF(AND(I312=1,OR(I311=0,I311="")),MAX($J$4:$J311)+1,IF(AND(I312=1,I311=1),J311,""))</f>
        <v>16</v>
      </c>
      <c r="K312" s="32">
        <f t="shared" si="24"/>
        <v>400</v>
      </c>
      <c r="L312" s="32" t="str">
        <f t="shared" si="21"/>
        <v>HV</v>
      </c>
      <c r="M312" s="32">
        <f t="shared" si="22"/>
        <v>160000</v>
      </c>
      <c r="N312" s="4">
        <v>1</v>
      </c>
      <c r="O312" s="4">
        <v>0</v>
      </c>
      <c r="P312" s="4">
        <v>0</v>
      </c>
      <c r="Q312" s="4">
        <v>0</v>
      </c>
      <c r="R312" s="58">
        <v>0</v>
      </c>
      <c r="S312" s="58">
        <v>0</v>
      </c>
      <c r="T312" s="58">
        <v>0</v>
      </c>
      <c r="U312" s="5">
        <v>0</v>
      </c>
      <c r="V312" s="4">
        <v>0</v>
      </c>
      <c r="AG312" t="s">
        <v>352</v>
      </c>
      <c r="AM312" s="1" t="str">
        <f t="shared" si="25"/>
        <v>310_C0020_0534.jpg</v>
      </c>
    </row>
    <row r="313" spans="1:39" x14ac:dyDescent="0.35">
      <c r="A313">
        <v>309</v>
      </c>
      <c r="B313">
        <v>310</v>
      </c>
      <c r="C313">
        <v>146.81145880400001</v>
      </c>
      <c r="D313">
        <v>-19.164912521000002</v>
      </c>
      <c r="E313">
        <v>50</v>
      </c>
      <c r="F313" s="64" t="s">
        <v>4236</v>
      </c>
      <c r="G313" s="64"/>
      <c r="H313" s="64"/>
      <c r="I313" s="64">
        <v>1</v>
      </c>
      <c r="J313" s="32">
        <f>IF(AND(I313=1,OR(I312=0,I312="")),MAX($J$4:$J312)+1,IF(AND(I313=1,I312=1),J312,""))</f>
        <v>16</v>
      </c>
      <c r="K313" s="32">
        <f t="shared" si="24"/>
        <v>400</v>
      </c>
      <c r="L313" s="32" t="str">
        <f t="shared" si="21"/>
        <v>HV</v>
      </c>
      <c r="M313" s="32">
        <f t="shared" si="22"/>
        <v>160000</v>
      </c>
      <c r="N313" s="4">
        <v>1</v>
      </c>
      <c r="O313" s="4">
        <v>0</v>
      </c>
      <c r="P313" s="4">
        <v>0</v>
      </c>
      <c r="Q313" s="4">
        <v>0</v>
      </c>
      <c r="R313" s="58">
        <v>0</v>
      </c>
      <c r="S313" s="58">
        <v>0</v>
      </c>
      <c r="T313" s="58">
        <v>0</v>
      </c>
      <c r="U313" s="5">
        <v>0</v>
      </c>
      <c r="V313" s="4">
        <v>0</v>
      </c>
      <c r="AG313" t="s">
        <v>353</v>
      </c>
      <c r="AM313" s="1" t="str">
        <f t="shared" si="25"/>
        <v>311_C0020_0531.jpg</v>
      </c>
    </row>
    <row r="314" spans="1:39" x14ac:dyDescent="0.35">
      <c r="A314">
        <v>310</v>
      </c>
      <c r="B314">
        <v>311</v>
      </c>
      <c r="C314">
        <v>146.811381439</v>
      </c>
      <c r="D314">
        <v>-19.164869397</v>
      </c>
      <c r="F314" s="64" t="s">
        <v>4237</v>
      </c>
      <c r="G314" s="64"/>
      <c r="H314" s="64"/>
      <c r="I314" s="64">
        <v>1</v>
      </c>
      <c r="J314" s="32">
        <f>IF(AND(I314=1,OR(I313=0,I313="")),MAX($J$4:$J313)+1,IF(AND(I314=1,I313=1),J313,""))</f>
        <v>16</v>
      </c>
      <c r="K314" s="32">
        <f t="shared" si="24"/>
        <v>400</v>
      </c>
      <c r="L314" s="32" t="str">
        <f t="shared" si="21"/>
        <v>HV</v>
      </c>
      <c r="M314" s="32">
        <f t="shared" si="22"/>
        <v>160000</v>
      </c>
      <c r="N314" s="4">
        <v>1</v>
      </c>
      <c r="O314" s="4">
        <v>0</v>
      </c>
      <c r="P314" s="4">
        <v>0</v>
      </c>
      <c r="Q314" s="4">
        <v>0</v>
      </c>
      <c r="R314" s="58">
        <v>0</v>
      </c>
      <c r="S314" s="58">
        <v>0</v>
      </c>
      <c r="T314" s="58">
        <v>0</v>
      </c>
      <c r="U314" s="5">
        <v>0</v>
      </c>
      <c r="V314" s="4">
        <v>0</v>
      </c>
      <c r="AG314" t="s">
        <v>354</v>
      </c>
      <c r="AM314" s="1" t="str">
        <f t="shared" si="25"/>
        <v>312_C0020_0525.jpg</v>
      </c>
    </row>
    <row r="315" spans="1:39" x14ac:dyDescent="0.35">
      <c r="A315">
        <v>311</v>
      </c>
      <c r="B315">
        <v>312</v>
      </c>
      <c r="C315">
        <v>146.81130325500001</v>
      </c>
      <c r="D315">
        <v>-19.164827615</v>
      </c>
      <c r="F315" s="64" t="s">
        <v>4238</v>
      </c>
      <c r="G315" s="64"/>
      <c r="H315" s="64"/>
      <c r="I315" s="64">
        <v>1</v>
      </c>
      <c r="J315" s="32">
        <f>IF(AND(I315=1,OR(I314=0,I314="")),MAX($J$4:$J314)+1,IF(AND(I315=1,I314=1),J314,""))</f>
        <v>16</v>
      </c>
      <c r="K315" s="32">
        <f t="shared" si="24"/>
        <v>400</v>
      </c>
      <c r="L315" s="32" t="str">
        <f t="shared" si="21"/>
        <v>HV</v>
      </c>
      <c r="M315" s="32">
        <f t="shared" si="22"/>
        <v>160000</v>
      </c>
      <c r="N315" s="4">
        <v>1</v>
      </c>
      <c r="O315" s="4">
        <v>0</v>
      </c>
      <c r="P315" s="4">
        <v>0</v>
      </c>
      <c r="Q315" s="4">
        <v>0</v>
      </c>
      <c r="R315" s="58">
        <v>0</v>
      </c>
      <c r="S315" s="58">
        <v>0</v>
      </c>
      <c r="T315" s="58">
        <v>0</v>
      </c>
      <c r="U315" s="5">
        <v>0</v>
      </c>
      <c r="V315" s="4">
        <v>0</v>
      </c>
      <c r="AG315" t="s">
        <v>355</v>
      </c>
      <c r="AM315" s="1" t="str">
        <f t="shared" si="25"/>
        <v>313_C0020_0523.jpg</v>
      </c>
    </row>
    <row r="316" spans="1:39" x14ac:dyDescent="0.35">
      <c r="A316">
        <v>312</v>
      </c>
      <c r="B316">
        <v>313</v>
      </c>
      <c r="C316">
        <v>146.81122494900001</v>
      </c>
      <c r="D316">
        <v>-19.164786032999899</v>
      </c>
      <c r="F316" s="64" t="s">
        <v>4239</v>
      </c>
      <c r="G316" s="64"/>
      <c r="H316" s="64"/>
      <c r="I316" s="64">
        <v>1</v>
      </c>
      <c r="J316" s="32">
        <f>IF(AND(I316=1,OR(I315=0,I315="")),MAX($J$4:$J315)+1,IF(AND(I316=1,I315=1),J315,""))</f>
        <v>16</v>
      </c>
      <c r="K316" s="32">
        <f t="shared" si="24"/>
        <v>400</v>
      </c>
      <c r="L316" s="32" t="str">
        <f t="shared" si="21"/>
        <v>HV</v>
      </c>
      <c r="M316" s="32">
        <f t="shared" si="22"/>
        <v>160000</v>
      </c>
      <c r="N316" s="4">
        <v>1</v>
      </c>
      <c r="O316" s="4">
        <v>0</v>
      </c>
      <c r="P316" s="4">
        <v>0</v>
      </c>
      <c r="Q316" s="4">
        <v>0</v>
      </c>
      <c r="R316" s="58">
        <v>0</v>
      </c>
      <c r="S316" s="58">
        <v>0</v>
      </c>
      <c r="T316" s="58">
        <v>0</v>
      </c>
      <c r="U316" s="5">
        <v>0</v>
      </c>
      <c r="V316" s="4">
        <v>0</v>
      </c>
      <c r="AG316" t="s">
        <v>356</v>
      </c>
      <c r="AM316" s="1" t="str">
        <f t="shared" si="25"/>
        <v>314_C0020_0518.jpg</v>
      </c>
    </row>
    <row r="317" spans="1:39" x14ac:dyDescent="0.35">
      <c r="A317">
        <v>313</v>
      </c>
      <c r="B317">
        <v>314</v>
      </c>
      <c r="C317">
        <v>146.81114664399999</v>
      </c>
      <c r="D317">
        <v>-19.164744450999901</v>
      </c>
      <c r="F317" s="64" t="s">
        <v>4240</v>
      </c>
      <c r="G317" s="64"/>
      <c r="H317" s="64"/>
      <c r="I317" s="64">
        <v>1</v>
      </c>
      <c r="J317" s="32">
        <f>IF(AND(I317=1,OR(I316=0,I316="")),MAX($J$4:$J316)+1,IF(AND(I317=1,I316=1),J316,""))</f>
        <v>16</v>
      </c>
      <c r="K317" s="32">
        <f t="shared" si="24"/>
        <v>400</v>
      </c>
      <c r="L317" s="32" t="str">
        <f t="shared" si="21"/>
        <v>HV</v>
      </c>
      <c r="M317" s="32">
        <f t="shared" si="22"/>
        <v>160000</v>
      </c>
      <c r="N317" s="4">
        <v>1</v>
      </c>
      <c r="O317" s="4">
        <v>0</v>
      </c>
      <c r="P317" s="4">
        <v>0</v>
      </c>
      <c r="Q317" s="4">
        <v>0</v>
      </c>
      <c r="R317" s="58">
        <v>0</v>
      </c>
      <c r="S317" s="58">
        <v>0</v>
      </c>
      <c r="T317" s="58">
        <v>0</v>
      </c>
      <c r="U317" s="5">
        <v>0</v>
      </c>
      <c r="V317" s="4">
        <v>0</v>
      </c>
      <c r="AG317" t="s">
        <v>357</v>
      </c>
      <c r="AM317" s="1" t="str">
        <f t="shared" si="25"/>
        <v>315_C0020_0513.jpg</v>
      </c>
    </row>
    <row r="318" spans="1:39" x14ac:dyDescent="0.35">
      <c r="A318">
        <v>314</v>
      </c>
      <c r="B318">
        <v>315</v>
      </c>
      <c r="C318">
        <v>146.81106529799999</v>
      </c>
      <c r="D318">
        <v>-19.164710243999899</v>
      </c>
      <c r="E318">
        <v>50</v>
      </c>
      <c r="F318" s="64" t="s">
        <v>4241</v>
      </c>
      <c r="G318" s="64"/>
      <c r="H318" s="64"/>
      <c r="I318" s="64">
        <v>0</v>
      </c>
      <c r="J318" s="32" t="str">
        <f>IF(AND(I318=1,OR(I317=0,I317="")),MAX($J$4:$J317)+1,IF(AND(I318=1,I317=1),J317,""))</f>
        <v/>
      </c>
      <c r="K318" s="32" t="str">
        <f t="shared" si="24"/>
        <v/>
      </c>
      <c r="L318" s="32" t="str">
        <f t="shared" si="21"/>
        <v/>
      </c>
      <c r="M318" s="32" t="str">
        <f t="shared" si="22"/>
        <v/>
      </c>
      <c r="N318" s="4">
        <v>1</v>
      </c>
      <c r="O318" s="4">
        <v>0</v>
      </c>
      <c r="P318" s="4">
        <v>0</v>
      </c>
      <c r="Q318" s="4">
        <v>0</v>
      </c>
      <c r="R318" s="58">
        <v>0</v>
      </c>
      <c r="S318" s="58">
        <v>0</v>
      </c>
      <c r="T318" s="58">
        <v>0</v>
      </c>
      <c r="U318" s="5">
        <v>0</v>
      </c>
      <c r="V318" s="4">
        <v>0</v>
      </c>
      <c r="AG318" t="s">
        <v>358</v>
      </c>
      <c r="AM318" s="1" t="str">
        <f t="shared" si="25"/>
        <v>316_C0020_0508.jpg</v>
      </c>
    </row>
    <row r="319" spans="1:39" x14ac:dyDescent="0.35">
      <c r="A319">
        <v>315</v>
      </c>
      <c r="B319">
        <v>316</v>
      </c>
      <c r="C319">
        <v>146.81098238000001</v>
      </c>
      <c r="D319">
        <v>-19.164677599000001</v>
      </c>
      <c r="F319" s="64" t="s">
        <v>4242</v>
      </c>
      <c r="G319" s="64"/>
      <c r="H319" s="64"/>
      <c r="I319" s="64">
        <v>0</v>
      </c>
      <c r="J319" s="32" t="str">
        <f>IF(AND(I319=1,OR(I318=0,I318="")),MAX($J$4:$J318)+1,IF(AND(I319=1,I318=1),J318,""))</f>
        <v/>
      </c>
      <c r="K319" s="32" t="str">
        <f t="shared" si="24"/>
        <v/>
      </c>
      <c r="L319" s="32" t="str">
        <f t="shared" si="21"/>
        <v/>
      </c>
      <c r="M319" s="32" t="str">
        <f t="shared" si="22"/>
        <v/>
      </c>
      <c r="N319" s="4">
        <v>1</v>
      </c>
      <c r="O319" s="4">
        <v>0</v>
      </c>
      <c r="P319" s="4">
        <v>0</v>
      </c>
      <c r="Q319" s="4">
        <v>0</v>
      </c>
      <c r="R319" s="58">
        <v>0</v>
      </c>
      <c r="S319" s="58">
        <v>0</v>
      </c>
      <c r="T319" s="58">
        <v>0</v>
      </c>
      <c r="U319" s="5">
        <v>0</v>
      </c>
      <c r="V319" s="4">
        <v>0</v>
      </c>
      <c r="AG319" t="s">
        <v>359</v>
      </c>
      <c r="AM319" s="1" t="str">
        <f t="shared" si="25"/>
        <v>317_C0020_0504.jpg</v>
      </c>
    </row>
    <row r="320" spans="1:39" x14ac:dyDescent="0.35">
      <c r="A320">
        <v>316</v>
      </c>
      <c r="B320">
        <v>317</v>
      </c>
      <c r="C320">
        <v>146.810899463</v>
      </c>
      <c r="D320">
        <v>-19.164644954</v>
      </c>
      <c r="F320" s="64" t="s">
        <v>4243</v>
      </c>
      <c r="G320" s="64"/>
      <c r="H320" s="64"/>
      <c r="I320" s="64">
        <v>0</v>
      </c>
      <c r="J320" s="32" t="str">
        <f>IF(AND(I320=1,OR(I319=0,I319="")),MAX($J$4:$J319)+1,IF(AND(I320=1,I319=1),J319,""))</f>
        <v/>
      </c>
      <c r="K320" s="32" t="str">
        <f t="shared" si="24"/>
        <v/>
      </c>
      <c r="L320" s="32" t="str">
        <f t="shared" si="21"/>
        <v/>
      </c>
      <c r="M320" s="32" t="str">
        <f t="shared" si="22"/>
        <v/>
      </c>
      <c r="N320" s="4">
        <v>1</v>
      </c>
      <c r="O320" s="4">
        <v>0</v>
      </c>
      <c r="P320" s="4">
        <v>0</v>
      </c>
      <c r="Q320" s="4">
        <v>0</v>
      </c>
      <c r="R320" s="58">
        <v>0</v>
      </c>
      <c r="S320" s="58">
        <v>0</v>
      </c>
      <c r="T320" s="58">
        <v>0</v>
      </c>
      <c r="U320" s="5">
        <v>0</v>
      </c>
      <c r="V320" s="4">
        <v>0</v>
      </c>
      <c r="AG320" t="s">
        <v>360</v>
      </c>
      <c r="AM320" s="1" t="str">
        <f t="shared" si="25"/>
        <v>318_C0020_0500.jpg</v>
      </c>
    </row>
    <row r="321" spans="1:39" x14ac:dyDescent="0.35">
      <c r="A321">
        <v>317</v>
      </c>
      <c r="B321">
        <v>318</v>
      </c>
      <c r="C321">
        <v>146.81081654600001</v>
      </c>
      <c r="D321">
        <v>-19.164612308999899</v>
      </c>
      <c r="F321" s="64" t="s">
        <v>4244</v>
      </c>
      <c r="G321" s="64"/>
      <c r="H321" s="64"/>
      <c r="I321" s="64">
        <v>0</v>
      </c>
      <c r="J321" s="32" t="str">
        <f>IF(AND(I321=1,OR(I320=0,I320="")),MAX($J$4:$J320)+1,IF(AND(I321=1,I320=1),J320,""))</f>
        <v/>
      </c>
      <c r="K321" s="32" t="str">
        <f t="shared" si="24"/>
        <v/>
      </c>
      <c r="L321" s="32" t="str">
        <f t="shared" si="21"/>
        <v/>
      </c>
      <c r="M321" s="32" t="str">
        <f t="shared" si="22"/>
        <v/>
      </c>
      <c r="N321" s="4">
        <v>1</v>
      </c>
      <c r="O321" s="4">
        <v>0</v>
      </c>
      <c r="P321" s="4">
        <v>0</v>
      </c>
      <c r="Q321" s="4">
        <v>0</v>
      </c>
      <c r="R321" s="58">
        <v>0</v>
      </c>
      <c r="S321" s="58">
        <v>0</v>
      </c>
      <c r="T321" s="58">
        <v>0</v>
      </c>
      <c r="U321" s="5">
        <v>0</v>
      </c>
      <c r="V321" s="4">
        <v>0</v>
      </c>
      <c r="AG321" t="s">
        <v>361</v>
      </c>
      <c r="AM321" s="1" t="str">
        <f t="shared" si="25"/>
        <v>319_C0020_0496.jpg</v>
      </c>
    </row>
    <row r="322" spans="1:39" x14ac:dyDescent="0.35">
      <c r="A322">
        <v>318</v>
      </c>
      <c r="B322">
        <v>319</v>
      </c>
      <c r="C322">
        <v>146.810736502</v>
      </c>
      <c r="D322">
        <v>-19.164574532</v>
      </c>
      <c r="F322" s="64" t="s">
        <v>4245</v>
      </c>
      <c r="G322" s="64"/>
      <c r="H322" s="64"/>
      <c r="I322" s="64">
        <v>0</v>
      </c>
      <c r="J322" s="32" t="str">
        <f>IF(AND(I322=1,OR(I321=0,I321="")),MAX($J$4:$J321)+1,IF(AND(I322=1,I321=1),J321,""))</f>
        <v/>
      </c>
      <c r="K322" s="32" t="str">
        <f t="shared" si="24"/>
        <v/>
      </c>
      <c r="L322" s="32" t="str">
        <f t="shared" si="21"/>
        <v/>
      </c>
      <c r="M322" s="32" t="str">
        <f t="shared" si="22"/>
        <v/>
      </c>
      <c r="N322" s="4">
        <v>1</v>
      </c>
      <c r="O322" s="4">
        <v>0</v>
      </c>
      <c r="P322" s="4">
        <v>0</v>
      </c>
      <c r="Q322" s="4">
        <v>0</v>
      </c>
      <c r="R322" s="58">
        <v>0</v>
      </c>
      <c r="S322" s="58">
        <v>0</v>
      </c>
      <c r="T322" s="58">
        <v>0</v>
      </c>
      <c r="U322" s="5">
        <v>0</v>
      </c>
      <c r="V322" s="4">
        <v>0</v>
      </c>
      <c r="AG322" t="s">
        <v>362</v>
      </c>
      <c r="AM322" s="1" t="str">
        <f t="shared" si="25"/>
        <v>320_C0020_0490.jpg</v>
      </c>
    </row>
    <row r="323" spans="1:39" x14ac:dyDescent="0.35">
      <c r="A323">
        <v>319</v>
      </c>
      <c r="B323">
        <v>320</v>
      </c>
      <c r="C323">
        <v>146.81066126900001</v>
      </c>
      <c r="D323">
        <v>-19.1645281629999</v>
      </c>
      <c r="E323">
        <v>50</v>
      </c>
      <c r="F323" s="64" t="s">
        <v>4246</v>
      </c>
      <c r="G323" s="64"/>
      <c r="H323" s="64"/>
      <c r="I323" s="64">
        <v>1</v>
      </c>
      <c r="J323" s="32">
        <f>IF(AND(I323=1,OR(I322=0,I322="")),MAX($J$4:$J322)+1,IF(AND(I323=1,I322=1),J322,""))</f>
        <v>17</v>
      </c>
      <c r="K323" s="32">
        <f t="shared" si="24"/>
        <v>80</v>
      </c>
      <c r="L323" s="32" t="str">
        <f t="shared" si="21"/>
        <v/>
      </c>
      <c r="M323" s="32">
        <f t="shared" si="22"/>
        <v>6400</v>
      </c>
      <c r="N323" s="4">
        <v>1</v>
      </c>
      <c r="O323" s="4">
        <v>0</v>
      </c>
      <c r="P323" s="4">
        <v>0</v>
      </c>
      <c r="Q323" s="4">
        <v>0</v>
      </c>
      <c r="R323" s="58">
        <v>0</v>
      </c>
      <c r="S323" s="58">
        <v>0</v>
      </c>
      <c r="T323" s="58">
        <v>0</v>
      </c>
      <c r="U323" s="5">
        <v>0</v>
      </c>
      <c r="V323" s="4">
        <v>0</v>
      </c>
      <c r="AG323" t="s">
        <v>363</v>
      </c>
      <c r="AM323" s="1" t="str">
        <f t="shared" si="25"/>
        <v>321_C0020_0485.jpg</v>
      </c>
    </row>
    <row r="324" spans="1:39" x14ac:dyDescent="0.35">
      <c r="A324">
        <v>320</v>
      </c>
      <c r="B324">
        <v>321</v>
      </c>
      <c r="C324">
        <v>146.81058603700001</v>
      </c>
      <c r="D324">
        <v>-19.164481795</v>
      </c>
      <c r="F324" s="64" t="s">
        <v>4247</v>
      </c>
      <c r="G324" s="64"/>
      <c r="H324" s="64"/>
      <c r="I324" s="64">
        <v>1</v>
      </c>
      <c r="J324" s="32">
        <f>IF(AND(I324=1,OR(I323=0,I323="")),MAX($J$4:$J323)+1,IF(AND(I324=1,I323=1),J323,""))</f>
        <v>17</v>
      </c>
      <c r="K324" s="32">
        <f t="shared" si="24"/>
        <v>80</v>
      </c>
      <c r="L324" s="32" t="str">
        <f t="shared" ref="L324:L387" si="26">IF(K324="","",IF(K324&gt;=100,"HV",""))</f>
        <v/>
      </c>
      <c r="M324" s="32">
        <f t="shared" ref="M324:M387" si="27">IF(K324&lt;&gt;"",K324^2,"")</f>
        <v>6400</v>
      </c>
      <c r="N324" s="4">
        <v>1</v>
      </c>
      <c r="O324" s="4">
        <v>0</v>
      </c>
      <c r="P324" s="4">
        <v>0</v>
      </c>
      <c r="Q324" s="4">
        <v>0</v>
      </c>
      <c r="R324" s="58">
        <v>0</v>
      </c>
      <c r="S324" s="58">
        <v>0</v>
      </c>
      <c r="T324" s="58">
        <v>0</v>
      </c>
      <c r="U324" s="5">
        <v>0</v>
      </c>
      <c r="V324" s="4">
        <v>0</v>
      </c>
      <c r="AG324" t="s">
        <v>364</v>
      </c>
      <c r="AM324" s="1" t="str">
        <f t="shared" si="25"/>
        <v>322_C0020_0480.jpg</v>
      </c>
    </row>
    <row r="325" spans="1:39" x14ac:dyDescent="0.35">
      <c r="A325">
        <v>321</v>
      </c>
      <c r="B325">
        <v>322</v>
      </c>
      <c r="C325">
        <v>146.81051080399999</v>
      </c>
      <c r="D325">
        <v>-19.164435426000001</v>
      </c>
      <c r="F325" s="64" t="s">
        <v>4248</v>
      </c>
      <c r="G325" s="64"/>
      <c r="H325" s="64"/>
      <c r="I325" s="64">
        <v>1</v>
      </c>
      <c r="J325" s="32">
        <f>IF(AND(I325=1,OR(I324=0,I324="")),MAX($J$4:$J324)+1,IF(AND(I325=1,I324=1),J324,""))</f>
        <v>17</v>
      </c>
      <c r="K325" s="32">
        <f t="shared" si="24"/>
        <v>80</v>
      </c>
      <c r="L325" s="32" t="str">
        <f t="shared" si="26"/>
        <v/>
      </c>
      <c r="M325" s="32">
        <f t="shared" si="27"/>
        <v>6400</v>
      </c>
      <c r="N325" s="4">
        <v>1</v>
      </c>
      <c r="O325" s="4">
        <v>0</v>
      </c>
      <c r="P325" s="4">
        <v>0</v>
      </c>
      <c r="Q325" s="4">
        <v>0</v>
      </c>
      <c r="R325" s="58">
        <v>0</v>
      </c>
      <c r="S325" s="58">
        <v>0</v>
      </c>
      <c r="T325" s="58">
        <v>0</v>
      </c>
      <c r="U325" s="5">
        <v>0</v>
      </c>
      <c r="V325" s="4">
        <v>0</v>
      </c>
      <c r="AG325" t="s">
        <v>365</v>
      </c>
      <c r="AM325" s="1" t="str">
        <f t="shared" si="25"/>
        <v>323_C0020_0471.jpg</v>
      </c>
    </row>
    <row r="326" spans="1:39" x14ac:dyDescent="0.35">
      <c r="A326">
        <v>322</v>
      </c>
      <c r="B326">
        <v>323</v>
      </c>
      <c r="C326">
        <v>146.810435571</v>
      </c>
      <c r="D326">
        <v>-19.164389056999902</v>
      </c>
      <c r="F326" s="64" t="s">
        <v>4249</v>
      </c>
      <c r="G326" s="64"/>
      <c r="H326" s="64"/>
      <c r="I326" s="64">
        <v>1</v>
      </c>
      <c r="J326" s="32">
        <f>IF(AND(I326=1,OR(I325=0,I325="")),MAX($J$4:$J325)+1,IF(AND(I326=1,I325=1),J325,""))</f>
        <v>17</v>
      </c>
      <c r="K326" s="32">
        <f t="shared" si="24"/>
        <v>80</v>
      </c>
      <c r="L326" s="32" t="str">
        <f t="shared" si="26"/>
        <v/>
      </c>
      <c r="M326" s="32">
        <f t="shared" si="27"/>
        <v>6400</v>
      </c>
      <c r="N326" s="4">
        <v>1</v>
      </c>
      <c r="O326" s="4">
        <v>0</v>
      </c>
      <c r="P326" s="4">
        <v>0</v>
      </c>
      <c r="Q326" s="4">
        <v>0</v>
      </c>
      <c r="R326" s="58">
        <v>0</v>
      </c>
      <c r="S326" s="58">
        <v>0</v>
      </c>
      <c r="T326" s="58">
        <v>0</v>
      </c>
      <c r="U326" s="5">
        <v>0</v>
      </c>
      <c r="V326" s="4">
        <v>0</v>
      </c>
      <c r="AG326" t="s">
        <v>366</v>
      </c>
      <c r="AM326" s="1" t="str">
        <f t="shared" si="25"/>
        <v>324_C0020_0463.jpg</v>
      </c>
    </row>
    <row r="327" spans="1:39" x14ac:dyDescent="0.35">
      <c r="A327">
        <v>323</v>
      </c>
      <c r="B327">
        <v>324</v>
      </c>
      <c r="C327">
        <v>146.810360339</v>
      </c>
      <c r="D327">
        <v>-19.164342689000001</v>
      </c>
      <c r="F327" s="64" t="s">
        <v>4250</v>
      </c>
      <c r="G327" s="64"/>
      <c r="H327" s="64"/>
      <c r="I327" s="64">
        <v>1</v>
      </c>
      <c r="J327" s="32">
        <f>IF(AND(I327=1,OR(I326=0,I326="")),MAX($J$4:$J326)+1,IF(AND(I327=1,I326=1),J326,""))</f>
        <v>17</v>
      </c>
      <c r="K327" s="32">
        <f t="shared" si="24"/>
        <v>80</v>
      </c>
      <c r="L327" s="32" t="str">
        <f t="shared" si="26"/>
        <v/>
      </c>
      <c r="M327" s="32">
        <f t="shared" si="27"/>
        <v>6400</v>
      </c>
      <c r="N327" s="4">
        <v>1</v>
      </c>
      <c r="O327" s="4">
        <v>0</v>
      </c>
      <c r="P327" s="4">
        <v>0</v>
      </c>
      <c r="Q327" s="4">
        <v>0</v>
      </c>
      <c r="R327" s="58">
        <v>0</v>
      </c>
      <c r="S327" s="58">
        <v>0</v>
      </c>
      <c r="T327" s="58">
        <v>0</v>
      </c>
      <c r="U327" s="5">
        <v>0</v>
      </c>
      <c r="V327" s="4">
        <v>0</v>
      </c>
      <c r="AG327" t="s">
        <v>367</v>
      </c>
      <c r="AM327" s="1" t="str">
        <f t="shared" si="25"/>
        <v>325_C0020_0459.jpg</v>
      </c>
    </row>
    <row r="328" spans="1:39" x14ac:dyDescent="0.35">
      <c r="A328">
        <v>324</v>
      </c>
      <c r="B328">
        <v>325</v>
      </c>
      <c r="C328">
        <v>146.810282817</v>
      </c>
      <c r="D328">
        <v>-19.164300566000001</v>
      </c>
      <c r="E328">
        <v>50</v>
      </c>
      <c r="F328" s="64" t="s">
        <v>4251</v>
      </c>
      <c r="G328" s="64"/>
      <c r="H328" s="64"/>
      <c r="I328" s="64">
        <v>1</v>
      </c>
      <c r="J328" s="32">
        <f>IF(AND(I328=1,OR(I327=0,I327="")),MAX($J$4:$J327)+1,IF(AND(I328=1,I327=1),J327,""))</f>
        <v>17</v>
      </c>
      <c r="K328" s="32">
        <f t="shared" si="24"/>
        <v>80</v>
      </c>
      <c r="L328" s="32" t="str">
        <f t="shared" si="26"/>
        <v/>
      </c>
      <c r="M328" s="32">
        <f t="shared" si="27"/>
        <v>6400</v>
      </c>
      <c r="N328" s="4">
        <v>1</v>
      </c>
      <c r="O328" s="4">
        <v>0</v>
      </c>
      <c r="P328" s="4">
        <v>0</v>
      </c>
      <c r="Q328" s="4">
        <v>0</v>
      </c>
      <c r="R328" s="58">
        <v>0</v>
      </c>
      <c r="S328" s="58">
        <v>0</v>
      </c>
      <c r="T328" s="58">
        <v>0</v>
      </c>
      <c r="U328" s="5">
        <v>0</v>
      </c>
      <c r="V328" s="4">
        <v>0</v>
      </c>
      <c r="AG328" t="s">
        <v>368</v>
      </c>
      <c r="AM328" s="1" t="str">
        <f t="shared" si="25"/>
        <v>326_C0020_0453.jpg</v>
      </c>
    </row>
    <row r="329" spans="1:39" x14ac:dyDescent="0.35">
      <c r="A329">
        <v>325</v>
      </c>
      <c r="B329">
        <v>326</v>
      </c>
      <c r="C329">
        <v>146.81019886799999</v>
      </c>
      <c r="D329">
        <v>-19.164270363999901</v>
      </c>
      <c r="F329" s="64" t="s">
        <v>4252</v>
      </c>
      <c r="G329" s="64"/>
      <c r="H329" s="64"/>
      <c r="I329" s="64">
        <v>1</v>
      </c>
      <c r="J329" s="32">
        <f>IF(AND(I329=1,OR(I328=0,I328="")),MAX($J$4:$J328)+1,IF(AND(I329=1,I328=1),J328,""))</f>
        <v>17</v>
      </c>
      <c r="K329" s="32">
        <f t="shared" si="24"/>
        <v>80</v>
      </c>
      <c r="L329" s="32" t="str">
        <f t="shared" si="26"/>
        <v/>
      </c>
      <c r="M329" s="32">
        <f t="shared" si="27"/>
        <v>6400</v>
      </c>
      <c r="N329" s="4">
        <v>1</v>
      </c>
      <c r="O329" s="4">
        <v>0</v>
      </c>
      <c r="P329" s="4">
        <v>0</v>
      </c>
      <c r="Q329" s="4">
        <v>0</v>
      </c>
      <c r="R329" s="58">
        <v>0</v>
      </c>
      <c r="S329" s="58">
        <v>0</v>
      </c>
      <c r="T329" s="58">
        <v>0</v>
      </c>
      <c r="U329" s="5">
        <v>0</v>
      </c>
      <c r="V329" s="4">
        <v>0</v>
      </c>
      <c r="AG329" t="s">
        <v>369</v>
      </c>
      <c r="AM329" s="1" t="str">
        <f t="shared" si="25"/>
        <v>327_C0020_0448.jpg</v>
      </c>
    </row>
    <row r="330" spans="1:39" x14ac:dyDescent="0.35">
      <c r="A330">
        <v>326</v>
      </c>
      <c r="B330">
        <v>327</v>
      </c>
      <c r="C330">
        <v>146.81011491999999</v>
      </c>
      <c r="D330">
        <v>-19.164240161999899</v>
      </c>
      <c r="F330" s="64" t="s">
        <v>4253</v>
      </c>
      <c r="G330" s="64"/>
      <c r="H330" s="64"/>
      <c r="I330" s="64">
        <v>1</v>
      </c>
      <c r="J330" s="32">
        <f>IF(AND(I330=1,OR(I329=0,I329="")),MAX($J$4:$J329)+1,IF(AND(I330=1,I329=1),J329,""))</f>
        <v>17</v>
      </c>
      <c r="K330" s="32">
        <f t="shared" si="24"/>
        <v>80</v>
      </c>
      <c r="L330" s="32" t="str">
        <f t="shared" si="26"/>
        <v/>
      </c>
      <c r="M330" s="32">
        <f t="shared" si="27"/>
        <v>6400</v>
      </c>
      <c r="N330" s="4">
        <v>1</v>
      </c>
      <c r="O330" s="4">
        <v>0</v>
      </c>
      <c r="P330" s="4">
        <v>0</v>
      </c>
      <c r="Q330" s="4">
        <v>0</v>
      </c>
      <c r="R330" s="58">
        <v>0</v>
      </c>
      <c r="S330" s="58">
        <v>0</v>
      </c>
      <c r="T330" s="58">
        <v>0</v>
      </c>
      <c r="U330" s="5">
        <v>0</v>
      </c>
      <c r="V330" s="4">
        <v>0</v>
      </c>
      <c r="AG330" t="s">
        <v>370</v>
      </c>
      <c r="AM330" s="1" t="str">
        <f t="shared" si="25"/>
        <v>328_C0020_0442.jpg</v>
      </c>
    </row>
    <row r="331" spans="1:39" x14ac:dyDescent="0.35">
      <c r="A331">
        <v>327</v>
      </c>
      <c r="B331">
        <v>328</v>
      </c>
      <c r="C331">
        <v>146.810030971</v>
      </c>
      <c r="D331">
        <v>-19.164209959999901</v>
      </c>
      <c r="F331" s="64" t="s">
        <v>4254</v>
      </c>
      <c r="G331" s="64"/>
      <c r="H331" s="64"/>
      <c r="I331" s="64">
        <v>0</v>
      </c>
      <c r="J331" s="32" t="str">
        <f>IF(AND(I331=1,OR(I330=0,I330="")),MAX($J$4:$J330)+1,IF(AND(I331=1,I330=1),J330,""))</f>
        <v/>
      </c>
      <c r="K331" s="32" t="str">
        <f t="shared" si="24"/>
        <v/>
      </c>
      <c r="L331" s="32" t="str">
        <f t="shared" si="26"/>
        <v/>
      </c>
      <c r="M331" s="32" t="str">
        <f t="shared" si="27"/>
        <v/>
      </c>
      <c r="N331" s="4">
        <v>1</v>
      </c>
      <c r="O331" s="4">
        <v>0</v>
      </c>
      <c r="P331" s="4">
        <v>0</v>
      </c>
      <c r="Q331" s="4">
        <v>0</v>
      </c>
      <c r="R331" s="58">
        <v>0</v>
      </c>
      <c r="S331" s="58">
        <v>0</v>
      </c>
      <c r="T331" s="58">
        <v>0</v>
      </c>
      <c r="U331" s="5">
        <v>0</v>
      </c>
      <c r="V331" s="4">
        <v>0</v>
      </c>
      <c r="AG331" t="s">
        <v>371</v>
      </c>
      <c r="AM331" s="1" t="str">
        <f t="shared" si="25"/>
        <v>329_C0020_0437.jpg</v>
      </c>
    </row>
    <row r="332" spans="1:39" x14ac:dyDescent="0.35">
      <c r="A332">
        <v>328</v>
      </c>
      <c r="B332">
        <v>329</v>
      </c>
      <c r="C332">
        <v>146.80994702300001</v>
      </c>
      <c r="D332">
        <v>-19.1641797579999</v>
      </c>
      <c r="F332" s="64" t="s">
        <v>4255</v>
      </c>
      <c r="G332" s="64"/>
      <c r="H332" s="64"/>
      <c r="I332" s="64">
        <v>0</v>
      </c>
      <c r="J332" s="32" t="str">
        <f>IF(AND(I332=1,OR(I331=0,I331="")),MAX($J$4:$J331)+1,IF(AND(I332=1,I331=1),J331,""))</f>
        <v/>
      </c>
      <c r="K332" s="32" t="str">
        <f t="shared" si="24"/>
        <v/>
      </c>
      <c r="L332" s="32" t="str">
        <f t="shared" si="26"/>
        <v/>
      </c>
      <c r="M332" s="32" t="str">
        <f t="shared" si="27"/>
        <v/>
      </c>
      <c r="N332" s="4">
        <v>1</v>
      </c>
      <c r="O332" s="4">
        <v>0</v>
      </c>
      <c r="P332" s="4">
        <v>0</v>
      </c>
      <c r="Q332" s="4">
        <v>0</v>
      </c>
      <c r="R332" s="58">
        <v>0</v>
      </c>
      <c r="S332" s="58">
        <v>0</v>
      </c>
      <c r="T332" s="58">
        <v>0</v>
      </c>
      <c r="U332" s="5">
        <v>0</v>
      </c>
      <c r="V332" s="4">
        <v>0</v>
      </c>
      <c r="AG332" t="s">
        <v>372</v>
      </c>
      <c r="AM332" s="1" t="str">
        <f t="shared" si="25"/>
        <v>330_C0020_0434.jpg</v>
      </c>
    </row>
    <row r="333" spans="1:39" x14ac:dyDescent="0.35">
      <c r="A333">
        <v>329</v>
      </c>
      <c r="B333">
        <v>330</v>
      </c>
      <c r="C333">
        <v>146.80987428700001</v>
      </c>
      <c r="D333">
        <v>-19.164129997</v>
      </c>
      <c r="E333">
        <v>50</v>
      </c>
      <c r="F333" s="64" t="s">
        <v>4256</v>
      </c>
      <c r="G333" s="64"/>
      <c r="H333" s="64"/>
      <c r="I333" s="64">
        <v>1</v>
      </c>
      <c r="J333" s="32">
        <f>IF(AND(I333=1,OR(I332=0,I332="")),MAX($J$4:$J332)+1,IF(AND(I333=1,I332=1),J332,""))</f>
        <v>18</v>
      </c>
      <c r="K333" s="32">
        <f t="shared" si="24"/>
        <v>10</v>
      </c>
      <c r="L333" s="32" t="str">
        <f t="shared" si="26"/>
        <v/>
      </c>
      <c r="M333" s="32">
        <f t="shared" si="27"/>
        <v>100</v>
      </c>
      <c r="N333" s="4">
        <v>1</v>
      </c>
      <c r="O333" s="4">
        <v>0</v>
      </c>
      <c r="P333" s="4">
        <v>0</v>
      </c>
      <c r="Q333" s="4">
        <v>0</v>
      </c>
      <c r="R333" s="58">
        <v>0</v>
      </c>
      <c r="S333" s="58">
        <v>0</v>
      </c>
      <c r="T333" s="58">
        <v>0</v>
      </c>
      <c r="U333" s="5">
        <v>0</v>
      </c>
      <c r="V333" s="4">
        <v>0</v>
      </c>
      <c r="AG333" t="s">
        <v>373</v>
      </c>
      <c r="AM333" s="1" t="str">
        <f t="shared" si="25"/>
        <v>331_C0020_0432.jpg</v>
      </c>
    </row>
    <row r="334" spans="1:39" x14ac:dyDescent="0.35">
      <c r="A334">
        <v>330</v>
      </c>
      <c r="B334">
        <v>331</v>
      </c>
      <c r="C334">
        <v>146.80980163300001</v>
      </c>
      <c r="D334">
        <v>-19.1640800939999</v>
      </c>
      <c r="F334" s="64" t="s">
        <v>4257</v>
      </c>
      <c r="G334" s="64"/>
      <c r="H334" s="64"/>
      <c r="I334" s="64">
        <v>0</v>
      </c>
      <c r="J334" s="32" t="str">
        <f>IF(AND(I334=1,OR(I333=0,I333="")),MAX($J$4:$J333)+1,IF(AND(I334=1,I333=1),J333,""))</f>
        <v/>
      </c>
      <c r="K334" s="32" t="str">
        <f t="shared" si="24"/>
        <v/>
      </c>
      <c r="L334" s="32" t="str">
        <f t="shared" si="26"/>
        <v/>
      </c>
      <c r="M334" s="32" t="str">
        <f t="shared" si="27"/>
        <v/>
      </c>
      <c r="N334" s="4">
        <v>1</v>
      </c>
      <c r="O334" s="4">
        <v>0</v>
      </c>
      <c r="P334" s="4">
        <v>0</v>
      </c>
      <c r="Q334" s="4">
        <v>0</v>
      </c>
      <c r="R334" s="58">
        <v>0</v>
      </c>
      <c r="S334" s="58">
        <v>0</v>
      </c>
      <c r="T334" s="58">
        <v>0</v>
      </c>
      <c r="U334" s="5">
        <v>0</v>
      </c>
      <c r="V334" s="4">
        <v>0</v>
      </c>
      <c r="AG334" t="s">
        <v>374</v>
      </c>
      <c r="AM334" s="1" t="str">
        <f t="shared" si="25"/>
        <v>332_C0020_0426.jpg</v>
      </c>
    </row>
    <row r="335" spans="1:39" x14ac:dyDescent="0.35">
      <c r="A335">
        <v>331</v>
      </c>
      <c r="B335">
        <v>332</v>
      </c>
      <c r="C335">
        <v>146.809728979</v>
      </c>
      <c r="D335">
        <v>-19.164030189999899</v>
      </c>
      <c r="F335" s="64" t="s">
        <v>4258</v>
      </c>
      <c r="G335" s="64"/>
      <c r="H335" s="64"/>
      <c r="I335" s="64">
        <v>1</v>
      </c>
      <c r="J335" s="32">
        <f>IF(AND(I335=1,OR(I334=0,I334="")),MAX($J$4:$J334)+1,IF(AND(I335=1,I334=1),J334,""))</f>
        <v>19</v>
      </c>
      <c r="K335" s="32">
        <f t="shared" si="24"/>
        <v>30</v>
      </c>
      <c r="L335" s="32" t="str">
        <f t="shared" si="26"/>
        <v/>
      </c>
      <c r="M335" s="32">
        <f t="shared" si="27"/>
        <v>900</v>
      </c>
      <c r="N335" s="4">
        <v>1</v>
      </c>
      <c r="O335" s="4">
        <v>0</v>
      </c>
      <c r="P335" s="4">
        <v>0</v>
      </c>
      <c r="Q335" s="4">
        <v>0</v>
      </c>
      <c r="R335" s="58">
        <v>0</v>
      </c>
      <c r="S335" s="58">
        <v>0</v>
      </c>
      <c r="T335" s="58">
        <v>0</v>
      </c>
      <c r="U335" s="5">
        <v>0</v>
      </c>
      <c r="V335" s="4">
        <v>0</v>
      </c>
      <c r="AG335" t="s">
        <v>375</v>
      </c>
      <c r="AM335" s="1" t="str">
        <f t="shared" si="25"/>
        <v>333_C0020_0423.jpg</v>
      </c>
    </row>
    <row r="336" spans="1:39" x14ac:dyDescent="0.35">
      <c r="A336">
        <v>332</v>
      </c>
      <c r="B336">
        <v>333</v>
      </c>
      <c r="C336">
        <v>146.80965632499999</v>
      </c>
      <c r="D336">
        <v>-19.163980287000001</v>
      </c>
      <c r="F336" s="64" t="s">
        <v>4259</v>
      </c>
      <c r="G336" s="64"/>
      <c r="H336" s="64"/>
      <c r="I336" s="64">
        <v>1</v>
      </c>
      <c r="J336" s="32">
        <f>IF(AND(I336=1,OR(I335=0,I335="")),MAX($J$4:$J335)+1,IF(AND(I336=1,I335=1),J335,""))</f>
        <v>19</v>
      </c>
      <c r="K336" s="32">
        <f t="shared" si="24"/>
        <v>30</v>
      </c>
      <c r="L336" s="32" t="str">
        <f t="shared" si="26"/>
        <v/>
      </c>
      <c r="M336" s="32">
        <f t="shared" si="27"/>
        <v>900</v>
      </c>
      <c r="N336" s="4">
        <v>1</v>
      </c>
      <c r="O336" s="4">
        <v>0</v>
      </c>
      <c r="P336" s="4">
        <v>0</v>
      </c>
      <c r="Q336" s="4">
        <v>0</v>
      </c>
      <c r="R336" s="58">
        <v>0</v>
      </c>
      <c r="S336" s="58">
        <v>0</v>
      </c>
      <c r="T336" s="58">
        <v>0</v>
      </c>
      <c r="U336" s="5">
        <v>0</v>
      </c>
      <c r="V336" s="4">
        <v>0</v>
      </c>
      <c r="AG336" t="s">
        <v>376</v>
      </c>
      <c r="AM336" s="1" t="str">
        <f t="shared" ref="AM336:AM367" si="28">HYPERLINK("E:\CAFNEC_GBRF\2023\JohnstoneRiver\Frames_for_Analysis\" &amp; F337, F337)</f>
        <v>334_C0020_0421.jpg</v>
      </c>
    </row>
    <row r="337" spans="1:39" x14ac:dyDescent="0.35">
      <c r="A337">
        <v>333</v>
      </c>
      <c r="B337">
        <v>334</v>
      </c>
      <c r="C337">
        <v>146.80958283000001</v>
      </c>
      <c r="D337">
        <v>-19.163931615999999</v>
      </c>
      <c r="F337" s="64" t="s">
        <v>4260</v>
      </c>
      <c r="G337" s="64"/>
      <c r="H337" s="64"/>
      <c r="I337" s="64">
        <v>1</v>
      </c>
      <c r="J337" s="32">
        <f>IF(AND(I337=1,OR(I336=0,I336="")),MAX($J$4:$J336)+1,IF(AND(I337=1,I336=1),J336,""))</f>
        <v>19</v>
      </c>
      <c r="K337" s="32">
        <f t="shared" si="24"/>
        <v>30</v>
      </c>
      <c r="L337" s="32" t="str">
        <f t="shared" si="26"/>
        <v/>
      </c>
      <c r="M337" s="32">
        <f t="shared" si="27"/>
        <v>900</v>
      </c>
      <c r="N337" s="4">
        <v>1</v>
      </c>
      <c r="O337" s="4">
        <v>0</v>
      </c>
      <c r="P337" s="4">
        <v>0</v>
      </c>
      <c r="Q337" s="4">
        <v>0</v>
      </c>
      <c r="R337" s="58">
        <v>0</v>
      </c>
      <c r="S337" s="58">
        <v>0</v>
      </c>
      <c r="T337" s="58">
        <v>0</v>
      </c>
      <c r="U337" s="5">
        <v>0</v>
      </c>
      <c r="V337" s="4">
        <v>0</v>
      </c>
      <c r="AG337" t="s">
        <v>377</v>
      </c>
      <c r="AM337" s="1" t="str">
        <f t="shared" si="28"/>
        <v>335_C0020_0416.jpg</v>
      </c>
    </row>
    <row r="338" spans="1:39" x14ac:dyDescent="0.35">
      <c r="A338">
        <v>334</v>
      </c>
      <c r="B338">
        <v>335</v>
      </c>
      <c r="C338">
        <v>146.809504715</v>
      </c>
      <c r="D338">
        <v>-19.163889716</v>
      </c>
      <c r="E338">
        <v>50</v>
      </c>
      <c r="F338" s="64" t="s">
        <v>4261</v>
      </c>
      <c r="G338" s="64"/>
      <c r="H338" s="64"/>
      <c r="I338" s="64">
        <v>0</v>
      </c>
      <c r="J338" s="32" t="str">
        <f>IF(AND(I338=1,OR(I337=0,I337="")),MAX($J$4:$J337)+1,IF(AND(I338=1,I337=1),J337,""))</f>
        <v/>
      </c>
      <c r="K338" s="32" t="str">
        <f t="shared" si="24"/>
        <v/>
      </c>
      <c r="L338" s="32" t="str">
        <f t="shared" si="26"/>
        <v/>
      </c>
      <c r="M338" s="32" t="str">
        <f t="shared" si="27"/>
        <v/>
      </c>
      <c r="N338" s="4">
        <v>1</v>
      </c>
      <c r="O338" s="4">
        <v>0</v>
      </c>
      <c r="P338" s="4">
        <v>0</v>
      </c>
      <c r="Q338" s="4">
        <v>0</v>
      </c>
      <c r="R338" s="58">
        <v>0</v>
      </c>
      <c r="S338" s="58">
        <v>0</v>
      </c>
      <c r="T338" s="58">
        <v>0</v>
      </c>
      <c r="U338" s="5">
        <v>0</v>
      </c>
      <c r="V338" s="4">
        <v>0</v>
      </c>
      <c r="AG338" t="s">
        <v>378</v>
      </c>
      <c r="AM338" s="1" t="str">
        <f t="shared" si="28"/>
        <v>336_C0020_0413.jpg</v>
      </c>
    </row>
    <row r="339" spans="1:39" x14ac:dyDescent="0.35">
      <c r="A339">
        <v>335</v>
      </c>
      <c r="B339">
        <v>336</v>
      </c>
      <c r="C339">
        <v>146.80942659900001</v>
      </c>
      <c r="D339">
        <v>-19.163847815999901</v>
      </c>
      <c r="F339" s="64" t="s">
        <v>4262</v>
      </c>
      <c r="G339" s="64"/>
      <c r="H339" s="64"/>
      <c r="I339" s="64">
        <v>1</v>
      </c>
      <c r="J339" s="32">
        <f>IF(AND(I339=1,OR(I338=0,I338="")),MAX($J$4:$J338)+1,IF(AND(I339=1,I338=1),J338,""))</f>
        <v>20</v>
      </c>
      <c r="K339" s="32">
        <f t="shared" si="24"/>
        <v>10</v>
      </c>
      <c r="L339" s="32" t="str">
        <f t="shared" si="26"/>
        <v/>
      </c>
      <c r="M339" s="32">
        <f t="shared" si="27"/>
        <v>100</v>
      </c>
      <c r="N339" s="4">
        <v>1</v>
      </c>
      <c r="O339" s="4">
        <v>0</v>
      </c>
      <c r="P339" s="4">
        <v>0</v>
      </c>
      <c r="Q339" s="4">
        <v>0</v>
      </c>
      <c r="R339" s="58">
        <v>0</v>
      </c>
      <c r="S339" s="58">
        <v>0</v>
      </c>
      <c r="T339" s="58">
        <v>0</v>
      </c>
      <c r="U339" s="5">
        <v>0</v>
      </c>
      <c r="V339" s="4">
        <v>0</v>
      </c>
      <c r="AG339" t="s">
        <v>379</v>
      </c>
      <c r="AM339" s="1" t="str">
        <f t="shared" si="28"/>
        <v>337_C0020_0409.jpg</v>
      </c>
    </row>
    <row r="340" spans="1:39" x14ac:dyDescent="0.35">
      <c r="A340">
        <v>336</v>
      </c>
      <c r="B340">
        <v>337</v>
      </c>
      <c r="C340">
        <v>146.809348484</v>
      </c>
      <c r="D340">
        <v>-19.163805915000001</v>
      </c>
      <c r="F340" s="64" t="s">
        <v>4263</v>
      </c>
      <c r="G340" s="64"/>
      <c r="H340" s="64"/>
      <c r="I340" s="64">
        <v>0</v>
      </c>
      <c r="J340" s="32" t="str">
        <f>IF(AND(I340=1,OR(I339=0,I339="")),MAX($J$4:$J339)+1,IF(AND(I340=1,I339=1),J339,""))</f>
        <v/>
      </c>
      <c r="K340" s="32" t="str">
        <f t="shared" si="24"/>
        <v/>
      </c>
      <c r="L340" s="32" t="str">
        <f t="shared" si="26"/>
        <v/>
      </c>
      <c r="M340" s="32" t="str">
        <f t="shared" si="27"/>
        <v/>
      </c>
      <c r="N340" s="4">
        <v>1</v>
      </c>
      <c r="O340" s="4">
        <v>0</v>
      </c>
      <c r="P340" s="4">
        <v>0</v>
      </c>
      <c r="Q340" s="4">
        <v>0</v>
      </c>
      <c r="R340" s="58">
        <v>0</v>
      </c>
      <c r="S340" s="58">
        <v>0</v>
      </c>
      <c r="T340" s="58">
        <v>0</v>
      </c>
      <c r="U340" s="5">
        <v>0</v>
      </c>
      <c r="V340" s="4">
        <v>0</v>
      </c>
      <c r="AG340" t="s">
        <v>380</v>
      </c>
      <c r="AM340" s="1" t="str">
        <f t="shared" si="28"/>
        <v>338_C0020_0405.jpg</v>
      </c>
    </row>
    <row r="341" spans="1:39" x14ac:dyDescent="0.35">
      <c r="A341">
        <v>337</v>
      </c>
      <c r="B341">
        <v>338</v>
      </c>
      <c r="C341">
        <v>146.80927036899999</v>
      </c>
      <c r="D341">
        <v>-19.163764015000002</v>
      </c>
      <c r="F341" s="64" t="s">
        <v>4264</v>
      </c>
      <c r="G341" s="64"/>
      <c r="H341" s="64"/>
      <c r="I341" s="64">
        <v>1</v>
      </c>
      <c r="J341" s="32">
        <f>IF(AND(I341=1,OR(I340=0,I340="")),MAX($J$4:$J340)+1,IF(AND(I341=1,I340=1),J340,""))</f>
        <v>21</v>
      </c>
      <c r="K341" s="32">
        <f t="shared" si="24"/>
        <v>470</v>
      </c>
      <c r="L341" s="32" t="str">
        <f t="shared" si="26"/>
        <v>HV</v>
      </c>
      <c r="M341" s="32">
        <f t="shared" si="27"/>
        <v>220900</v>
      </c>
      <c r="N341" s="4">
        <v>1</v>
      </c>
      <c r="O341" s="4">
        <v>0</v>
      </c>
      <c r="P341" s="4">
        <v>0</v>
      </c>
      <c r="Q341" s="4">
        <v>0</v>
      </c>
      <c r="R341" s="58">
        <v>0</v>
      </c>
      <c r="S341" s="58">
        <v>0</v>
      </c>
      <c r="T341" s="58">
        <v>0</v>
      </c>
      <c r="U341" s="5">
        <v>0</v>
      </c>
      <c r="V341" s="4">
        <v>0</v>
      </c>
      <c r="AG341" t="s">
        <v>381</v>
      </c>
      <c r="AM341" s="1" t="str">
        <f t="shared" si="28"/>
        <v>339_C0020_0400.jpg</v>
      </c>
    </row>
    <row r="342" spans="1:39" x14ac:dyDescent="0.35">
      <c r="A342">
        <v>338</v>
      </c>
      <c r="B342">
        <v>339</v>
      </c>
      <c r="C342">
        <v>146.80919226899999</v>
      </c>
      <c r="D342">
        <v>-19.16372209</v>
      </c>
      <c r="F342" s="64" t="s">
        <v>4265</v>
      </c>
      <c r="G342" s="64"/>
      <c r="H342" s="64"/>
      <c r="I342" s="64">
        <v>1</v>
      </c>
      <c r="J342" s="32">
        <f>IF(AND(I342=1,OR(I341=0,I341="")),MAX($J$4:$J341)+1,IF(AND(I342=1,I341=1),J341,""))</f>
        <v>21</v>
      </c>
      <c r="K342" s="32">
        <f t="shared" si="24"/>
        <v>470</v>
      </c>
      <c r="L342" s="32" t="str">
        <f t="shared" si="26"/>
        <v>HV</v>
      </c>
      <c r="M342" s="32">
        <f t="shared" si="27"/>
        <v>220900</v>
      </c>
      <c r="N342" s="4">
        <v>1</v>
      </c>
      <c r="O342" s="4">
        <v>0</v>
      </c>
      <c r="P342" s="4">
        <v>0</v>
      </c>
      <c r="Q342" s="4">
        <v>0</v>
      </c>
      <c r="R342" s="58">
        <v>0</v>
      </c>
      <c r="S342" s="58">
        <v>0</v>
      </c>
      <c r="T342" s="58">
        <v>0</v>
      </c>
      <c r="U342" s="5">
        <v>0</v>
      </c>
      <c r="V342" s="4">
        <v>0</v>
      </c>
      <c r="AG342" t="s">
        <v>382</v>
      </c>
      <c r="AM342" s="1" t="str">
        <f t="shared" si="28"/>
        <v>340_C0020_0396.jpg</v>
      </c>
    </row>
    <row r="343" spans="1:39" x14ac:dyDescent="0.35">
      <c r="A343">
        <v>339</v>
      </c>
      <c r="B343">
        <v>340</v>
      </c>
      <c r="C343">
        <v>146.809118781</v>
      </c>
      <c r="D343">
        <v>-19.163673288999998</v>
      </c>
      <c r="E343">
        <v>50</v>
      </c>
      <c r="F343" s="64" t="s">
        <v>4266</v>
      </c>
      <c r="G343" s="64"/>
      <c r="H343" s="64"/>
      <c r="I343" s="64">
        <v>1</v>
      </c>
      <c r="J343" s="32">
        <f>IF(AND(I343=1,OR(I342=0,I342="")),MAX($J$4:$J342)+1,IF(AND(I343=1,I342=1),J342,""))</f>
        <v>21</v>
      </c>
      <c r="K343" s="32">
        <f t="shared" si="24"/>
        <v>470</v>
      </c>
      <c r="L343" s="32" t="str">
        <f t="shared" si="26"/>
        <v>HV</v>
      </c>
      <c r="M343" s="32">
        <f t="shared" si="27"/>
        <v>220900</v>
      </c>
      <c r="N343" s="4">
        <v>1</v>
      </c>
      <c r="O343" s="4">
        <v>0</v>
      </c>
      <c r="P343" s="4">
        <v>0</v>
      </c>
      <c r="Q343" s="4">
        <v>0</v>
      </c>
      <c r="R343" s="58">
        <v>0</v>
      </c>
      <c r="S343" s="58">
        <v>0</v>
      </c>
      <c r="T343" s="58">
        <v>0</v>
      </c>
      <c r="U343" s="5">
        <v>0</v>
      </c>
      <c r="V343" s="4">
        <v>0</v>
      </c>
      <c r="AG343" t="s">
        <v>383</v>
      </c>
      <c r="AM343" s="1" t="str">
        <f t="shared" si="28"/>
        <v>341_C0020_0392.jpg</v>
      </c>
    </row>
    <row r="344" spans="1:39" x14ac:dyDescent="0.35">
      <c r="A344">
        <v>340</v>
      </c>
      <c r="B344">
        <v>341</v>
      </c>
      <c r="C344">
        <v>146.80904355999999</v>
      </c>
      <c r="D344">
        <v>-19.163627048999999</v>
      </c>
      <c r="F344" s="64" t="s">
        <v>4267</v>
      </c>
      <c r="G344" s="64"/>
      <c r="H344" s="64"/>
      <c r="I344" s="64">
        <v>1</v>
      </c>
      <c r="J344" s="32">
        <f>IF(AND(I344=1,OR(I343=0,I343="")),MAX($J$4:$J343)+1,IF(AND(I344=1,I343=1),J343,""))</f>
        <v>21</v>
      </c>
      <c r="K344" s="32">
        <f t="shared" si="24"/>
        <v>470</v>
      </c>
      <c r="L344" s="32" t="str">
        <f t="shared" si="26"/>
        <v>HV</v>
      </c>
      <c r="M344" s="32">
        <f t="shared" si="27"/>
        <v>220900</v>
      </c>
      <c r="N344" s="4">
        <v>1</v>
      </c>
      <c r="O344" s="4">
        <v>0</v>
      </c>
      <c r="P344" s="4">
        <v>0</v>
      </c>
      <c r="Q344" s="4">
        <v>0</v>
      </c>
      <c r="R344" s="58">
        <v>0</v>
      </c>
      <c r="S344" s="58">
        <v>0</v>
      </c>
      <c r="T344" s="58">
        <v>0</v>
      </c>
      <c r="U344" s="5">
        <v>0</v>
      </c>
      <c r="V344" s="4">
        <v>0</v>
      </c>
      <c r="AG344" t="s">
        <v>384</v>
      </c>
      <c r="AM344" s="1" t="str">
        <f t="shared" si="28"/>
        <v>342_C0020_0387.jpg</v>
      </c>
    </row>
    <row r="345" spans="1:39" x14ac:dyDescent="0.35">
      <c r="A345">
        <v>341</v>
      </c>
      <c r="B345">
        <v>342</v>
      </c>
      <c r="C345">
        <v>146.80896666500001</v>
      </c>
      <c r="D345">
        <v>-19.163583182</v>
      </c>
      <c r="F345" s="64" t="s">
        <v>4268</v>
      </c>
      <c r="G345" s="64"/>
      <c r="H345" s="64"/>
      <c r="I345" s="64">
        <v>1</v>
      </c>
      <c r="J345" s="32">
        <f>IF(AND(I345=1,OR(I344=0,I344="")),MAX($J$4:$J344)+1,IF(AND(I345=1,I344=1),J344,""))</f>
        <v>21</v>
      </c>
      <c r="K345" s="32">
        <f t="shared" si="24"/>
        <v>470</v>
      </c>
      <c r="L345" s="32" t="str">
        <f t="shared" si="26"/>
        <v>HV</v>
      </c>
      <c r="M345" s="32">
        <f t="shared" si="27"/>
        <v>220900</v>
      </c>
      <c r="N345" s="4">
        <v>1</v>
      </c>
      <c r="O345" s="4">
        <v>0</v>
      </c>
      <c r="P345" s="4">
        <v>0</v>
      </c>
      <c r="Q345" s="4">
        <v>0</v>
      </c>
      <c r="R345" s="58">
        <v>0</v>
      </c>
      <c r="S345" s="58">
        <v>0</v>
      </c>
      <c r="T345" s="58">
        <v>0</v>
      </c>
      <c r="U345" s="5">
        <v>0</v>
      </c>
      <c r="V345" s="4">
        <v>0</v>
      </c>
      <c r="AG345" t="s">
        <v>385</v>
      </c>
      <c r="AM345" s="1" t="str">
        <f t="shared" si="28"/>
        <v>343_C0020_0383.jpg</v>
      </c>
    </row>
    <row r="346" spans="1:39" x14ac:dyDescent="0.35">
      <c r="A346">
        <v>342</v>
      </c>
      <c r="B346">
        <v>343</v>
      </c>
      <c r="C346">
        <v>146.80888976899999</v>
      </c>
      <c r="D346">
        <v>-19.163539315000001</v>
      </c>
      <c r="F346" s="64" t="s">
        <v>4269</v>
      </c>
      <c r="G346" s="64"/>
      <c r="H346" s="64"/>
      <c r="I346" s="64">
        <v>1</v>
      </c>
      <c r="J346" s="32">
        <f>IF(AND(I346=1,OR(I345=0,I345="")),MAX($J$4:$J345)+1,IF(AND(I346=1,I345=1),J345,""))</f>
        <v>21</v>
      </c>
      <c r="K346" s="32">
        <f t="shared" si="24"/>
        <v>470</v>
      </c>
      <c r="L346" s="32" t="str">
        <f t="shared" si="26"/>
        <v>HV</v>
      </c>
      <c r="M346" s="32">
        <f t="shared" si="27"/>
        <v>220900</v>
      </c>
      <c r="N346" s="4">
        <v>1</v>
      </c>
      <c r="O346" s="4">
        <v>0</v>
      </c>
      <c r="P346" s="4">
        <v>0</v>
      </c>
      <c r="Q346" s="4">
        <v>0</v>
      </c>
      <c r="R346" s="58">
        <v>0</v>
      </c>
      <c r="S346" s="58">
        <v>0</v>
      </c>
      <c r="T346" s="58">
        <v>0</v>
      </c>
      <c r="U346" s="5">
        <v>0</v>
      </c>
      <c r="V346" s="4">
        <v>0</v>
      </c>
      <c r="AG346" t="s">
        <v>386</v>
      </c>
      <c r="AM346" s="1" t="str">
        <f t="shared" si="28"/>
        <v>344_C0020_0378.jpg</v>
      </c>
    </row>
    <row r="347" spans="1:39" x14ac:dyDescent="0.35">
      <c r="A347">
        <v>343</v>
      </c>
      <c r="B347">
        <v>344</v>
      </c>
      <c r="C347">
        <v>146.80881287299999</v>
      </c>
      <c r="D347">
        <v>-19.163495446999899</v>
      </c>
      <c r="F347" s="64" t="s">
        <v>4270</v>
      </c>
      <c r="G347" s="64"/>
      <c r="H347" s="64"/>
      <c r="I347" s="64">
        <v>1</v>
      </c>
      <c r="J347" s="32">
        <f>IF(AND(I347=1,OR(I346=0,I346="")),MAX($J$4:$J346)+1,IF(AND(I347=1,I346=1),J346,""))</f>
        <v>21</v>
      </c>
      <c r="K347" s="32">
        <f t="shared" si="24"/>
        <v>470</v>
      </c>
      <c r="L347" s="32" t="str">
        <f t="shared" si="26"/>
        <v>HV</v>
      </c>
      <c r="M347" s="32">
        <f t="shared" si="27"/>
        <v>220900</v>
      </c>
      <c r="N347" s="4">
        <v>1</v>
      </c>
      <c r="O347" s="4">
        <v>0</v>
      </c>
      <c r="P347" s="4">
        <v>0</v>
      </c>
      <c r="Q347" s="4">
        <v>0</v>
      </c>
      <c r="R347" s="58">
        <v>0</v>
      </c>
      <c r="S347" s="58">
        <v>0</v>
      </c>
      <c r="T347" s="58">
        <v>0</v>
      </c>
      <c r="U347" s="5">
        <v>0</v>
      </c>
      <c r="V347" s="4">
        <v>0</v>
      </c>
      <c r="AG347" t="s">
        <v>387</v>
      </c>
      <c r="AM347" s="1" t="str">
        <f t="shared" si="28"/>
        <v>345_C0020_0375.jpg</v>
      </c>
    </row>
    <row r="348" spans="1:39" x14ac:dyDescent="0.35">
      <c r="A348">
        <v>344</v>
      </c>
      <c r="B348">
        <v>345</v>
      </c>
      <c r="C348">
        <v>146.80873597799999</v>
      </c>
      <c r="D348">
        <v>-19.16345158</v>
      </c>
      <c r="E348">
        <v>50</v>
      </c>
      <c r="F348" s="64" t="s">
        <v>4271</v>
      </c>
      <c r="G348" s="64"/>
      <c r="H348" s="64"/>
      <c r="I348" s="64">
        <v>1</v>
      </c>
      <c r="J348" s="32">
        <f>IF(AND(I348=1,OR(I347=0,I347="")),MAX($J$4:$J347)+1,IF(AND(I348=1,I347=1),J347,""))</f>
        <v>21</v>
      </c>
      <c r="K348" s="32">
        <f t="shared" si="24"/>
        <v>470</v>
      </c>
      <c r="L348" s="32" t="str">
        <f t="shared" si="26"/>
        <v>HV</v>
      </c>
      <c r="M348" s="32">
        <f t="shared" si="27"/>
        <v>220900</v>
      </c>
      <c r="N348" s="4">
        <v>1</v>
      </c>
      <c r="O348" s="4">
        <v>0</v>
      </c>
      <c r="P348" s="4">
        <v>0</v>
      </c>
      <c r="Q348" s="4">
        <v>0</v>
      </c>
      <c r="R348" s="58">
        <v>0</v>
      </c>
      <c r="S348" s="58">
        <v>0</v>
      </c>
      <c r="T348" s="58">
        <v>0</v>
      </c>
      <c r="U348" s="5">
        <v>0</v>
      </c>
      <c r="V348" s="4">
        <v>0</v>
      </c>
      <c r="AG348" t="s">
        <v>388</v>
      </c>
      <c r="AM348" s="1" t="str">
        <f t="shared" si="28"/>
        <v>346_C0020_0370.jpg</v>
      </c>
    </row>
    <row r="349" spans="1:39" x14ac:dyDescent="0.35">
      <c r="A349">
        <v>345</v>
      </c>
      <c r="B349">
        <v>346</v>
      </c>
      <c r="C349">
        <v>146.80865908199999</v>
      </c>
      <c r="D349">
        <v>-19.163407713000002</v>
      </c>
      <c r="F349" s="64" t="s">
        <v>4272</v>
      </c>
      <c r="G349" s="64"/>
      <c r="H349" s="64"/>
      <c r="I349" s="64">
        <v>1</v>
      </c>
      <c r="J349" s="32">
        <f>IF(AND(I349=1,OR(I348=0,I348="")),MAX($J$4:$J348)+1,IF(AND(I349=1,I348=1),J348,""))</f>
        <v>21</v>
      </c>
      <c r="K349" s="32">
        <f t="shared" si="24"/>
        <v>470</v>
      </c>
      <c r="L349" s="32" t="str">
        <f t="shared" si="26"/>
        <v>HV</v>
      </c>
      <c r="M349" s="32">
        <f t="shared" si="27"/>
        <v>220900</v>
      </c>
      <c r="N349" s="4">
        <v>1</v>
      </c>
      <c r="O349" s="4">
        <v>0</v>
      </c>
      <c r="P349" s="4">
        <v>0</v>
      </c>
      <c r="Q349" s="4">
        <v>0</v>
      </c>
      <c r="R349" s="58">
        <v>0</v>
      </c>
      <c r="S349" s="58">
        <v>0</v>
      </c>
      <c r="T349" s="58">
        <v>0</v>
      </c>
      <c r="U349" s="5">
        <v>0</v>
      </c>
      <c r="V349" s="4">
        <v>0</v>
      </c>
      <c r="AG349" t="s">
        <v>389</v>
      </c>
      <c r="AM349" s="1" t="str">
        <f t="shared" si="28"/>
        <v>347_C0020_0365.jpg</v>
      </c>
    </row>
    <row r="350" spans="1:39" x14ac:dyDescent="0.35">
      <c r="A350">
        <v>346</v>
      </c>
      <c r="B350">
        <v>347</v>
      </c>
      <c r="C350">
        <v>146.80857858799999</v>
      </c>
      <c r="D350">
        <v>-19.163372029000001</v>
      </c>
      <c r="F350" s="64" t="s">
        <v>4273</v>
      </c>
      <c r="G350" s="64"/>
      <c r="H350" s="64"/>
      <c r="I350" s="64">
        <v>1</v>
      </c>
      <c r="J350" s="32">
        <f>IF(AND(I350=1,OR(I349=0,I349="")),MAX($J$4:$J349)+1,IF(AND(I350=1,I349=1),J349,""))</f>
        <v>21</v>
      </c>
      <c r="K350" s="32">
        <f t="shared" si="24"/>
        <v>470</v>
      </c>
      <c r="L350" s="32" t="str">
        <f t="shared" si="26"/>
        <v>HV</v>
      </c>
      <c r="M350" s="32">
        <f t="shared" si="27"/>
        <v>220900</v>
      </c>
      <c r="N350" s="4">
        <v>1</v>
      </c>
      <c r="O350" s="4">
        <v>0</v>
      </c>
      <c r="P350" s="4">
        <v>0</v>
      </c>
      <c r="Q350" s="4">
        <v>0</v>
      </c>
      <c r="R350" s="58">
        <v>0</v>
      </c>
      <c r="S350" s="58">
        <v>0</v>
      </c>
      <c r="T350" s="58">
        <v>0</v>
      </c>
      <c r="U350" s="5">
        <v>0</v>
      </c>
      <c r="V350" s="4">
        <v>0</v>
      </c>
      <c r="AG350" t="s">
        <v>390</v>
      </c>
      <c r="AM350" s="1" t="str">
        <f t="shared" si="28"/>
        <v>348_C0020_0362.jpg</v>
      </c>
    </row>
    <row r="351" spans="1:39" x14ac:dyDescent="0.35">
      <c r="A351">
        <v>347</v>
      </c>
      <c r="B351">
        <v>348</v>
      </c>
      <c r="C351">
        <v>146.80849304200001</v>
      </c>
      <c r="D351">
        <v>-19.163355967000001</v>
      </c>
      <c r="F351" s="64" t="s">
        <v>4274</v>
      </c>
      <c r="G351" s="64"/>
      <c r="H351" s="64"/>
      <c r="I351" s="64">
        <v>1</v>
      </c>
      <c r="J351" s="32">
        <f>IF(AND(I351=1,OR(I350=0,I350="")),MAX($J$4:$J350)+1,IF(AND(I351=1,I350=1),J350,""))</f>
        <v>21</v>
      </c>
      <c r="K351" s="32">
        <f t="shared" ref="K351:K414" si="29">IF(J351="","",COUNTIF(J:J,J351)*10)</f>
        <v>470</v>
      </c>
      <c r="L351" s="32" t="str">
        <f t="shared" si="26"/>
        <v>HV</v>
      </c>
      <c r="M351" s="32">
        <f t="shared" si="27"/>
        <v>220900</v>
      </c>
      <c r="N351" s="4">
        <v>1</v>
      </c>
      <c r="O351" s="4">
        <v>0</v>
      </c>
      <c r="P351" s="4">
        <v>0</v>
      </c>
      <c r="Q351" s="4">
        <v>0</v>
      </c>
      <c r="R351" s="58">
        <v>0</v>
      </c>
      <c r="S351" s="58">
        <v>0</v>
      </c>
      <c r="T351" s="58">
        <v>0</v>
      </c>
      <c r="U351" s="5">
        <v>0</v>
      </c>
      <c r="V351" s="4">
        <v>0</v>
      </c>
      <c r="AG351" t="s">
        <v>391</v>
      </c>
      <c r="AM351" s="1" t="str">
        <f t="shared" si="28"/>
        <v>349_C0020_0358.jpg</v>
      </c>
    </row>
    <row r="352" spans="1:39" x14ac:dyDescent="0.35">
      <c r="A352">
        <v>348</v>
      </c>
      <c r="B352">
        <v>349</v>
      </c>
      <c r="C352">
        <v>146.80843807799999</v>
      </c>
      <c r="D352">
        <v>-19.163423083999898</v>
      </c>
      <c r="F352" s="64" t="s">
        <v>4275</v>
      </c>
      <c r="G352" s="64"/>
      <c r="H352" s="64"/>
      <c r="I352" s="64">
        <v>1</v>
      </c>
      <c r="J352" s="32">
        <f>IF(AND(I352=1,OR(I351=0,I351="")),MAX($J$4:$J351)+1,IF(AND(I352=1,I351=1),J351,""))</f>
        <v>21</v>
      </c>
      <c r="K352" s="32">
        <f t="shared" si="29"/>
        <v>470</v>
      </c>
      <c r="L352" s="32" t="str">
        <f t="shared" si="26"/>
        <v>HV</v>
      </c>
      <c r="M352" s="32">
        <f t="shared" si="27"/>
        <v>220900</v>
      </c>
      <c r="N352" s="4">
        <v>1</v>
      </c>
      <c r="O352" s="4">
        <v>0</v>
      </c>
      <c r="P352" s="4">
        <v>0</v>
      </c>
      <c r="Q352" s="4">
        <v>0</v>
      </c>
      <c r="R352" s="58">
        <v>0</v>
      </c>
      <c r="S352" s="58">
        <v>0</v>
      </c>
      <c r="T352" s="58">
        <v>0</v>
      </c>
      <c r="U352" s="5">
        <v>0</v>
      </c>
      <c r="V352" s="4">
        <v>0</v>
      </c>
      <c r="AG352" t="s">
        <v>392</v>
      </c>
      <c r="AM352" s="1" t="str">
        <f t="shared" si="28"/>
        <v>350_C0020_0354.jpg</v>
      </c>
    </row>
    <row r="353" spans="1:39" x14ac:dyDescent="0.35">
      <c r="A353">
        <v>349</v>
      </c>
      <c r="B353">
        <v>350</v>
      </c>
      <c r="C353">
        <v>146.80838311400001</v>
      </c>
      <c r="D353">
        <v>-19.163490200999899</v>
      </c>
      <c r="E353">
        <v>50</v>
      </c>
      <c r="F353" s="64" t="s">
        <v>4276</v>
      </c>
      <c r="G353" s="64"/>
      <c r="H353" s="64"/>
      <c r="I353" s="64">
        <v>1</v>
      </c>
      <c r="J353" s="32">
        <f>IF(AND(I353=1,OR(I352=0,I352="")),MAX($J$4:$J352)+1,IF(AND(I353=1,I352=1),J352,""))</f>
        <v>21</v>
      </c>
      <c r="K353" s="32">
        <f t="shared" si="29"/>
        <v>470</v>
      </c>
      <c r="L353" s="32" t="str">
        <f t="shared" si="26"/>
        <v>HV</v>
      </c>
      <c r="M353" s="32">
        <f t="shared" si="27"/>
        <v>220900</v>
      </c>
      <c r="N353" s="4">
        <v>1</v>
      </c>
      <c r="O353" s="4">
        <v>0</v>
      </c>
      <c r="P353" s="4">
        <v>0</v>
      </c>
      <c r="Q353" s="4">
        <v>0</v>
      </c>
      <c r="R353" s="58">
        <v>0</v>
      </c>
      <c r="S353" s="58">
        <v>0</v>
      </c>
      <c r="T353" s="58">
        <v>0</v>
      </c>
      <c r="U353" s="5">
        <v>0</v>
      </c>
      <c r="V353" s="4">
        <v>0</v>
      </c>
      <c r="AG353" t="s">
        <v>393</v>
      </c>
      <c r="AM353" s="1" t="str">
        <f t="shared" si="28"/>
        <v>351_C0020_0348.jpg</v>
      </c>
    </row>
    <row r="354" spans="1:39" x14ac:dyDescent="0.35">
      <c r="A354">
        <v>350</v>
      </c>
      <c r="B354">
        <v>351</v>
      </c>
      <c r="C354">
        <v>146.80832774999999</v>
      </c>
      <c r="D354">
        <v>-19.163556997999901</v>
      </c>
      <c r="F354" s="64" t="s">
        <v>4277</v>
      </c>
      <c r="G354" s="64"/>
      <c r="H354" s="64"/>
      <c r="I354" s="64">
        <v>1</v>
      </c>
      <c r="J354" s="32">
        <f>IF(AND(I354=1,OR(I353=0,I353="")),MAX($J$4:$J353)+1,IF(AND(I354=1,I353=1),J353,""))</f>
        <v>21</v>
      </c>
      <c r="K354" s="32">
        <f t="shared" si="29"/>
        <v>470</v>
      </c>
      <c r="L354" s="32" t="str">
        <f t="shared" si="26"/>
        <v>HV</v>
      </c>
      <c r="M354" s="32">
        <f t="shared" si="27"/>
        <v>220900</v>
      </c>
      <c r="N354" s="4">
        <v>1</v>
      </c>
      <c r="O354" s="4">
        <v>0</v>
      </c>
      <c r="P354" s="4">
        <v>0</v>
      </c>
      <c r="Q354" s="4">
        <v>0</v>
      </c>
      <c r="R354" s="58">
        <v>0</v>
      </c>
      <c r="S354" s="58">
        <v>0</v>
      </c>
      <c r="T354" s="58">
        <v>0</v>
      </c>
      <c r="U354" s="5">
        <v>0</v>
      </c>
      <c r="V354" s="4">
        <v>0</v>
      </c>
      <c r="AG354" t="s">
        <v>394</v>
      </c>
      <c r="AM354" s="1" t="str">
        <f t="shared" si="28"/>
        <v>352_C0020_0343.jpg</v>
      </c>
    </row>
    <row r="355" spans="1:39" x14ac:dyDescent="0.35">
      <c r="A355">
        <v>351</v>
      </c>
      <c r="B355">
        <v>352</v>
      </c>
      <c r="C355">
        <v>146.80826696299999</v>
      </c>
      <c r="D355">
        <v>-19.163619474000001</v>
      </c>
      <c r="F355" s="64" t="s">
        <v>4278</v>
      </c>
      <c r="G355" s="64"/>
      <c r="H355" s="64"/>
      <c r="I355" s="64">
        <v>1</v>
      </c>
      <c r="J355" s="32">
        <f>IF(AND(I355=1,OR(I354=0,I354="")),MAX($J$4:$J354)+1,IF(AND(I355=1,I354=1),J354,""))</f>
        <v>21</v>
      </c>
      <c r="K355" s="32">
        <f t="shared" si="29"/>
        <v>470</v>
      </c>
      <c r="L355" s="32" t="str">
        <f t="shared" si="26"/>
        <v>HV</v>
      </c>
      <c r="M355" s="32">
        <f t="shared" si="27"/>
        <v>220900</v>
      </c>
      <c r="N355" s="4">
        <v>1</v>
      </c>
      <c r="O355" s="4">
        <v>0</v>
      </c>
      <c r="P355" s="4">
        <v>0</v>
      </c>
      <c r="Q355" s="4">
        <v>0</v>
      </c>
      <c r="R355" s="58">
        <v>0</v>
      </c>
      <c r="S355" s="58">
        <v>0</v>
      </c>
      <c r="T355" s="58">
        <v>0</v>
      </c>
      <c r="U355" s="5">
        <v>0</v>
      </c>
      <c r="V355" s="4">
        <v>0</v>
      </c>
      <c r="AG355" t="s">
        <v>395</v>
      </c>
      <c r="AM355" s="1" t="str">
        <f t="shared" si="28"/>
        <v>353_C0020_0338.jpg</v>
      </c>
    </row>
    <row r="356" spans="1:39" x14ac:dyDescent="0.35">
      <c r="A356">
        <v>352</v>
      </c>
      <c r="B356">
        <v>353</v>
      </c>
      <c r="C356">
        <v>146.808206176</v>
      </c>
      <c r="D356">
        <v>-19.163681950000001</v>
      </c>
      <c r="F356" s="64" t="s">
        <v>4279</v>
      </c>
      <c r="G356" s="64"/>
      <c r="H356" s="64"/>
      <c r="I356" s="64">
        <v>1</v>
      </c>
      <c r="J356" s="32">
        <f>IF(AND(I356=1,OR(I355=0,I355="")),MAX($J$4:$J355)+1,IF(AND(I356=1,I355=1),J355,""))</f>
        <v>21</v>
      </c>
      <c r="K356" s="32">
        <f t="shared" si="29"/>
        <v>470</v>
      </c>
      <c r="L356" s="32" t="str">
        <f t="shared" si="26"/>
        <v>HV</v>
      </c>
      <c r="M356" s="32">
        <f t="shared" si="27"/>
        <v>220900</v>
      </c>
      <c r="N356" s="4">
        <v>1</v>
      </c>
      <c r="O356" s="4">
        <v>0</v>
      </c>
      <c r="P356" s="4">
        <v>0</v>
      </c>
      <c r="Q356" s="4">
        <v>0</v>
      </c>
      <c r="R356" s="58">
        <v>0</v>
      </c>
      <c r="S356" s="58">
        <v>0</v>
      </c>
      <c r="T356" s="58">
        <v>0</v>
      </c>
      <c r="U356" s="5">
        <v>0</v>
      </c>
      <c r="V356" s="4">
        <v>0</v>
      </c>
      <c r="AG356" t="s">
        <v>396</v>
      </c>
      <c r="AM356" s="1" t="str">
        <f t="shared" si="28"/>
        <v>354_C0020_0333.jpg</v>
      </c>
    </row>
    <row r="357" spans="1:39" x14ac:dyDescent="0.35">
      <c r="A357">
        <v>353</v>
      </c>
      <c r="B357">
        <v>354</v>
      </c>
      <c r="C357">
        <v>146.80814538800001</v>
      </c>
      <c r="D357">
        <v>-19.163744425999901</v>
      </c>
      <c r="F357" s="64" t="s">
        <v>4280</v>
      </c>
      <c r="G357" s="64"/>
      <c r="H357" s="64"/>
      <c r="I357" s="64">
        <v>1</v>
      </c>
      <c r="J357" s="32">
        <f>IF(AND(I357=1,OR(I356=0,I356="")),MAX($J$4:$J356)+1,IF(AND(I357=1,I356=1),J356,""))</f>
        <v>21</v>
      </c>
      <c r="K357" s="32">
        <f t="shared" si="29"/>
        <v>470</v>
      </c>
      <c r="L357" s="32" t="str">
        <f t="shared" si="26"/>
        <v>HV</v>
      </c>
      <c r="M357" s="32">
        <f t="shared" si="27"/>
        <v>220900</v>
      </c>
      <c r="N357" s="4">
        <v>1</v>
      </c>
      <c r="O357" s="4">
        <v>0</v>
      </c>
      <c r="P357" s="4">
        <v>0</v>
      </c>
      <c r="Q357" s="4">
        <v>0</v>
      </c>
      <c r="R357" s="58">
        <v>0</v>
      </c>
      <c r="S357" s="58">
        <v>0</v>
      </c>
      <c r="T357" s="58">
        <v>0</v>
      </c>
      <c r="U357" s="5">
        <v>0</v>
      </c>
      <c r="V357" s="4">
        <v>0</v>
      </c>
      <c r="AG357" t="s">
        <v>397</v>
      </c>
      <c r="AM357" s="1" t="str">
        <f t="shared" si="28"/>
        <v>355_C0020_0329.jpg</v>
      </c>
    </row>
    <row r="358" spans="1:39" x14ac:dyDescent="0.35">
      <c r="A358">
        <v>354</v>
      </c>
      <c r="B358">
        <v>355</v>
      </c>
      <c r="C358">
        <v>146.80808460099999</v>
      </c>
      <c r="D358">
        <v>-19.163806900999901</v>
      </c>
      <c r="E358">
        <v>50</v>
      </c>
      <c r="F358" s="64" t="s">
        <v>4281</v>
      </c>
      <c r="G358" s="64"/>
      <c r="H358" s="64"/>
      <c r="I358" s="64">
        <v>1</v>
      </c>
      <c r="J358" s="32">
        <f>IF(AND(I358=1,OR(I357=0,I357="")),MAX($J$4:$J357)+1,IF(AND(I358=1,I357=1),J357,""))</f>
        <v>21</v>
      </c>
      <c r="K358" s="32">
        <f t="shared" si="29"/>
        <v>470</v>
      </c>
      <c r="L358" s="32" t="str">
        <f t="shared" si="26"/>
        <v>HV</v>
      </c>
      <c r="M358" s="32">
        <f t="shared" si="27"/>
        <v>220900</v>
      </c>
      <c r="N358" s="4">
        <v>1</v>
      </c>
      <c r="O358" s="4">
        <v>0</v>
      </c>
      <c r="P358" s="4">
        <v>0</v>
      </c>
      <c r="Q358" s="4">
        <v>0</v>
      </c>
      <c r="R358" s="58">
        <v>0</v>
      </c>
      <c r="S358" s="58">
        <v>0</v>
      </c>
      <c r="T358" s="58">
        <v>0</v>
      </c>
      <c r="U358" s="5">
        <v>0</v>
      </c>
      <c r="V358" s="4">
        <v>0</v>
      </c>
      <c r="AG358" t="s">
        <v>398</v>
      </c>
      <c r="AM358" s="1" t="str">
        <f t="shared" si="28"/>
        <v>356_C0020_0323.jpg</v>
      </c>
    </row>
    <row r="359" spans="1:39" x14ac:dyDescent="0.35">
      <c r="A359">
        <v>355</v>
      </c>
      <c r="B359">
        <v>356</v>
      </c>
      <c r="C359">
        <v>146.80802381399999</v>
      </c>
      <c r="D359">
        <v>-19.163869377000001</v>
      </c>
      <c r="F359" s="64" t="s">
        <v>4282</v>
      </c>
      <c r="G359" s="64"/>
      <c r="H359" s="64"/>
      <c r="I359" s="64">
        <v>1</v>
      </c>
      <c r="J359" s="32">
        <f>IF(AND(I359=1,OR(I358=0,I358="")),MAX($J$4:$J358)+1,IF(AND(I359=1,I358=1),J358,""))</f>
        <v>21</v>
      </c>
      <c r="K359" s="32">
        <f t="shared" si="29"/>
        <v>470</v>
      </c>
      <c r="L359" s="32" t="str">
        <f t="shared" si="26"/>
        <v>HV</v>
      </c>
      <c r="M359" s="32">
        <f t="shared" si="27"/>
        <v>220900</v>
      </c>
      <c r="N359" s="4">
        <v>1</v>
      </c>
      <c r="O359" s="4">
        <v>0</v>
      </c>
      <c r="P359" s="4">
        <v>0</v>
      </c>
      <c r="Q359" s="4">
        <v>0</v>
      </c>
      <c r="R359" s="58">
        <v>0</v>
      </c>
      <c r="S359" s="58">
        <v>0</v>
      </c>
      <c r="T359" s="58">
        <v>0</v>
      </c>
      <c r="U359" s="5">
        <v>0</v>
      </c>
      <c r="V359" s="4">
        <v>0</v>
      </c>
      <c r="AG359" t="s">
        <v>399</v>
      </c>
      <c r="AM359" s="1" t="str">
        <f t="shared" si="28"/>
        <v>357_C0020_0317.jpg</v>
      </c>
    </row>
    <row r="360" spans="1:39" x14ac:dyDescent="0.35">
      <c r="A360">
        <v>356</v>
      </c>
      <c r="B360">
        <v>357</v>
      </c>
      <c r="C360">
        <v>146.80795235599999</v>
      </c>
      <c r="D360">
        <v>-19.163920185999899</v>
      </c>
      <c r="F360" s="64" t="s">
        <v>4283</v>
      </c>
      <c r="G360" s="64"/>
      <c r="H360" s="64"/>
      <c r="I360" s="64">
        <v>1</v>
      </c>
      <c r="J360" s="32">
        <f>IF(AND(I360=1,OR(I359=0,I359="")),MAX($J$4:$J359)+1,IF(AND(I360=1,I359=1),J359,""))</f>
        <v>21</v>
      </c>
      <c r="K360" s="32">
        <f t="shared" si="29"/>
        <v>470</v>
      </c>
      <c r="L360" s="32" t="str">
        <f t="shared" si="26"/>
        <v>HV</v>
      </c>
      <c r="M360" s="32">
        <f t="shared" si="27"/>
        <v>220900</v>
      </c>
      <c r="N360" s="4">
        <v>1</v>
      </c>
      <c r="O360" s="4">
        <v>0</v>
      </c>
      <c r="P360" s="4">
        <v>0</v>
      </c>
      <c r="Q360" s="4">
        <v>0</v>
      </c>
      <c r="R360" s="58">
        <v>0</v>
      </c>
      <c r="S360" s="58">
        <v>0</v>
      </c>
      <c r="T360" s="58">
        <v>0</v>
      </c>
      <c r="U360" s="5">
        <v>0</v>
      </c>
      <c r="V360" s="4">
        <v>0</v>
      </c>
      <c r="AG360" t="s">
        <v>400</v>
      </c>
      <c r="AM360" s="1" t="str">
        <f t="shared" si="28"/>
        <v>358_C0020_0310.jpg</v>
      </c>
    </row>
    <row r="361" spans="1:39" x14ac:dyDescent="0.35">
      <c r="A361">
        <v>357</v>
      </c>
      <c r="B361">
        <v>358</v>
      </c>
      <c r="C361">
        <v>146.807876819</v>
      </c>
      <c r="D361">
        <v>-19.1639596969999</v>
      </c>
      <c r="F361" s="64" t="s">
        <v>4284</v>
      </c>
      <c r="G361" s="64"/>
      <c r="H361" s="64"/>
      <c r="I361" s="64">
        <v>1</v>
      </c>
      <c r="J361" s="32">
        <f>IF(AND(I361=1,OR(I360=0,I360="")),MAX($J$4:$J360)+1,IF(AND(I361=1,I360=1),J360,""))</f>
        <v>21</v>
      </c>
      <c r="K361" s="32">
        <f t="shared" si="29"/>
        <v>470</v>
      </c>
      <c r="L361" s="32" t="str">
        <f t="shared" si="26"/>
        <v>HV</v>
      </c>
      <c r="M361" s="32">
        <f t="shared" si="27"/>
        <v>220900</v>
      </c>
      <c r="N361" s="4">
        <v>1</v>
      </c>
      <c r="O361" s="4">
        <v>0</v>
      </c>
      <c r="P361" s="4">
        <v>0</v>
      </c>
      <c r="Q361" s="4">
        <v>0</v>
      </c>
      <c r="R361" s="58">
        <v>0</v>
      </c>
      <c r="S361" s="58">
        <v>0</v>
      </c>
      <c r="T361" s="58">
        <v>0</v>
      </c>
      <c r="U361" s="5">
        <v>0</v>
      </c>
      <c r="V361" s="4">
        <v>0</v>
      </c>
      <c r="AG361" t="s">
        <v>401</v>
      </c>
      <c r="AM361" s="1" t="str">
        <f t="shared" si="28"/>
        <v>359_C0020_0303.jpg</v>
      </c>
    </row>
    <row r="362" spans="1:39" x14ac:dyDescent="0.35">
      <c r="A362">
        <v>358</v>
      </c>
      <c r="B362">
        <v>359</v>
      </c>
      <c r="C362">
        <v>146.80779887899999</v>
      </c>
      <c r="D362">
        <v>-19.163929971999899</v>
      </c>
      <c r="F362" s="64" t="s">
        <v>4285</v>
      </c>
      <c r="G362" s="64"/>
      <c r="H362" s="64"/>
      <c r="I362" s="64">
        <v>1</v>
      </c>
      <c r="J362" s="32">
        <f>IF(AND(I362=1,OR(I361=0,I361="")),MAX($J$4:$J361)+1,IF(AND(I362=1,I361=1),J361,""))</f>
        <v>21</v>
      </c>
      <c r="K362" s="32">
        <f t="shared" si="29"/>
        <v>470</v>
      </c>
      <c r="L362" s="32" t="str">
        <f t="shared" si="26"/>
        <v>HV</v>
      </c>
      <c r="M362" s="32">
        <f t="shared" si="27"/>
        <v>220900</v>
      </c>
      <c r="N362" s="4">
        <v>1</v>
      </c>
      <c r="O362" s="4">
        <v>0</v>
      </c>
      <c r="P362" s="4">
        <v>0</v>
      </c>
      <c r="Q362" s="4">
        <v>0</v>
      </c>
      <c r="R362" s="58">
        <v>0</v>
      </c>
      <c r="S362" s="58">
        <v>0</v>
      </c>
      <c r="T362" s="58">
        <v>0</v>
      </c>
      <c r="U362" s="5">
        <v>0</v>
      </c>
      <c r="V362" s="4">
        <v>0</v>
      </c>
      <c r="AG362" t="s">
        <v>402</v>
      </c>
      <c r="AM362" s="1" t="str">
        <f t="shared" si="28"/>
        <v>360_C0020_0287.jpg</v>
      </c>
    </row>
    <row r="363" spans="1:39" x14ac:dyDescent="0.35">
      <c r="A363">
        <v>359</v>
      </c>
      <c r="B363">
        <v>360</v>
      </c>
      <c r="C363">
        <v>146.807820822</v>
      </c>
      <c r="D363">
        <v>-19.163847689000001</v>
      </c>
      <c r="E363">
        <v>50</v>
      </c>
      <c r="F363" s="64" t="s">
        <v>4286</v>
      </c>
      <c r="G363" s="64"/>
      <c r="H363" s="64"/>
      <c r="I363" s="64">
        <v>1</v>
      </c>
      <c r="J363" s="32">
        <f>IF(AND(I363=1,OR(I362=0,I362="")),MAX($J$4:$J362)+1,IF(AND(I363=1,I362=1),J362,""))</f>
        <v>21</v>
      </c>
      <c r="K363" s="32">
        <f t="shared" si="29"/>
        <v>470</v>
      </c>
      <c r="L363" s="32" t="str">
        <f t="shared" si="26"/>
        <v>HV</v>
      </c>
      <c r="M363" s="32">
        <f t="shared" si="27"/>
        <v>220900</v>
      </c>
      <c r="N363" s="4">
        <v>1</v>
      </c>
      <c r="O363" s="4">
        <v>0</v>
      </c>
      <c r="P363" s="4">
        <v>0</v>
      </c>
      <c r="Q363" s="4">
        <v>0</v>
      </c>
      <c r="R363" s="58">
        <v>0</v>
      </c>
      <c r="S363" s="58">
        <v>0</v>
      </c>
      <c r="T363" s="58">
        <v>0</v>
      </c>
      <c r="U363" s="5">
        <v>0</v>
      </c>
      <c r="V363" s="4">
        <v>0</v>
      </c>
      <c r="AG363" t="s">
        <v>403</v>
      </c>
      <c r="AM363" s="1" t="str">
        <f t="shared" si="28"/>
        <v>361_C0020_0282.jpg</v>
      </c>
    </row>
    <row r="364" spans="1:39" x14ac:dyDescent="0.35">
      <c r="A364">
        <v>360</v>
      </c>
      <c r="B364">
        <v>361</v>
      </c>
      <c r="C364">
        <v>146.807864776</v>
      </c>
      <c r="D364">
        <v>-19.163779048999999</v>
      </c>
      <c r="F364" s="64" t="s">
        <v>4287</v>
      </c>
      <c r="G364" s="64"/>
      <c r="H364" s="64"/>
      <c r="I364" s="64">
        <v>1</v>
      </c>
      <c r="J364" s="32">
        <f>IF(AND(I364=1,OR(I363=0,I363="")),MAX($J$4:$J363)+1,IF(AND(I364=1,I363=1),J363,""))</f>
        <v>21</v>
      </c>
      <c r="K364" s="32">
        <f t="shared" si="29"/>
        <v>470</v>
      </c>
      <c r="L364" s="32" t="str">
        <f t="shared" si="26"/>
        <v>HV</v>
      </c>
      <c r="M364" s="32">
        <f t="shared" si="27"/>
        <v>220900</v>
      </c>
      <c r="N364" s="4">
        <v>1</v>
      </c>
      <c r="O364" s="4">
        <v>0</v>
      </c>
      <c r="P364" s="4">
        <v>0</v>
      </c>
      <c r="Q364" s="4">
        <v>0</v>
      </c>
      <c r="R364" s="58">
        <v>0</v>
      </c>
      <c r="S364" s="58">
        <v>0</v>
      </c>
      <c r="T364" s="58">
        <v>0</v>
      </c>
      <c r="U364" s="5">
        <v>0</v>
      </c>
      <c r="V364" s="4">
        <v>0</v>
      </c>
      <c r="AG364" t="s">
        <v>404</v>
      </c>
      <c r="AM364" s="1" t="str">
        <f t="shared" si="28"/>
        <v>362_C0020_0272.jpg</v>
      </c>
    </row>
    <row r="365" spans="1:39" x14ac:dyDescent="0.35">
      <c r="A365">
        <v>361</v>
      </c>
      <c r="B365">
        <v>362</v>
      </c>
      <c r="C365">
        <v>146.80793485999999</v>
      </c>
      <c r="D365">
        <v>-19.163726238999999</v>
      </c>
      <c r="F365" s="64" t="s">
        <v>4288</v>
      </c>
      <c r="G365" s="64"/>
      <c r="H365" s="64"/>
      <c r="I365" s="64">
        <v>1</v>
      </c>
      <c r="J365" s="32">
        <f>IF(AND(I365=1,OR(I364=0,I364="")),MAX($J$4:$J364)+1,IF(AND(I365=1,I364=1),J364,""))</f>
        <v>21</v>
      </c>
      <c r="K365" s="32">
        <f t="shared" si="29"/>
        <v>470</v>
      </c>
      <c r="L365" s="32" t="str">
        <f t="shared" si="26"/>
        <v>HV</v>
      </c>
      <c r="M365" s="32">
        <f t="shared" si="27"/>
        <v>220900</v>
      </c>
      <c r="N365" s="4">
        <v>1</v>
      </c>
      <c r="O365" s="4">
        <v>0</v>
      </c>
      <c r="P365" s="4">
        <v>0</v>
      </c>
      <c r="Q365" s="4">
        <v>0</v>
      </c>
      <c r="R365" s="58">
        <v>0</v>
      </c>
      <c r="S365" s="58">
        <v>0</v>
      </c>
      <c r="T365" s="58">
        <v>0</v>
      </c>
      <c r="U365" s="5">
        <v>0</v>
      </c>
      <c r="V365" s="4">
        <v>0</v>
      </c>
      <c r="AG365" t="s">
        <v>405</v>
      </c>
      <c r="AM365" s="1" t="str">
        <f t="shared" si="28"/>
        <v>363_C0020_0268.jpg</v>
      </c>
    </row>
    <row r="366" spans="1:39" x14ac:dyDescent="0.35">
      <c r="A366">
        <v>362</v>
      </c>
      <c r="B366">
        <v>363</v>
      </c>
      <c r="C366">
        <v>146.80799042300001</v>
      </c>
      <c r="D366">
        <v>-19.163659563</v>
      </c>
      <c r="F366" s="64" t="s">
        <v>4289</v>
      </c>
      <c r="G366" s="64"/>
      <c r="H366" s="64"/>
      <c r="I366" s="64">
        <v>1</v>
      </c>
      <c r="J366" s="32">
        <f>IF(AND(I366=1,OR(I365=0,I365="")),MAX($J$4:$J365)+1,IF(AND(I366=1,I365=1),J365,""))</f>
        <v>21</v>
      </c>
      <c r="K366" s="32">
        <f t="shared" si="29"/>
        <v>470</v>
      </c>
      <c r="L366" s="32" t="str">
        <f t="shared" si="26"/>
        <v>HV</v>
      </c>
      <c r="M366" s="32">
        <f t="shared" si="27"/>
        <v>220900</v>
      </c>
      <c r="N366" s="4">
        <v>1</v>
      </c>
      <c r="O366" s="4">
        <v>0</v>
      </c>
      <c r="P366" s="4">
        <v>0</v>
      </c>
      <c r="Q366" s="4">
        <v>0</v>
      </c>
      <c r="R366" s="58">
        <v>0</v>
      </c>
      <c r="S366" s="58">
        <v>0</v>
      </c>
      <c r="T366" s="58">
        <v>0</v>
      </c>
      <c r="U366" s="5">
        <v>0</v>
      </c>
      <c r="V366" s="4">
        <v>0</v>
      </c>
      <c r="AG366" t="s">
        <v>406</v>
      </c>
      <c r="AM366" s="1" t="str">
        <f t="shared" si="28"/>
        <v>364_C0020_0264.jpg</v>
      </c>
    </row>
    <row r="367" spans="1:39" x14ac:dyDescent="0.35">
      <c r="A367">
        <v>363</v>
      </c>
      <c r="B367">
        <v>364</v>
      </c>
      <c r="C367">
        <v>146.80805618599999</v>
      </c>
      <c r="D367">
        <v>-19.163603923</v>
      </c>
      <c r="F367" s="64" t="s">
        <v>4290</v>
      </c>
      <c r="G367" s="64"/>
      <c r="H367" s="64"/>
      <c r="I367" s="64">
        <v>1</v>
      </c>
      <c r="J367" s="32">
        <f>IF(AND(I367=1,OR(I366=0,I366="")),MAX($J$4:$J366)+1,IF(AND(I367=1,I366=1),J366,""))</f>
        <v>21</v>
      </c>
      <c r="K367" s="32">
        <f t="shared" si="29"/>
        <v>470</v>
      </c>
      <c r="L367" s="32" t="str">
        <f t="shared" si="26"/>
        <v>HV</v>
      </c>
      <c r="M367" s="32">
        <f t="shared" si="27"/>
        <v>220900</v>
      </c>
      <c r="N367" s="4">
        <v>1</v>
      </c>
      <c r="O367" s="4">
        <v>0</v>
      </c>
      <c r="P367" s="4">
        <v>0</v>
      </c>
      <c r="Q367" s="4">
        <v>0</v>
      </c>
      <c r="R367" s="58">
        <v>0</v>
      </c>
      <c r="S367" s="58">
        <v>0</v>
      </c>
      <c r="T367" s="58">
        <v>0</v>
      </c>
      <c r="U367" s="5">
        <v>0</v>
      </c>
      <c r="V367" s="4">
        <v>0</v>
      </c>
      <c r="AG367" t="s">
        <v>407</v>
      </c>
      <c r="AM367" s="1" t="str">
        <f t="shared" si="28"/>
        <v>365_C0020_0261.jpg</v>
      </c>
    </row>
    <row r="368" spans="1:39" x14ac:dyDescent="0.35">
      <c r="A368">
        <v>364</v>
      </c>
      <c r="B368">
        <v>365</v>
      </c>
      <c r="C368">
        <v>146.80809080700001</v>
      </c>
      <c r="D368">
        <v>-19.163543989999901</v>
      </c>
      <c r="E368">
        <v>50</v>
      </c>
      <c r="F368" s="64" t="s">
        <v>4291</v>
      </c>
      <c r="G368" s="64"/>
      <c r="H368" s="64"/>
      <c r="I368" s="64">
        <v>1</v>
      </c>
      <c r="J368" s="32">
        <f>IF(AND(I368=1,OR(I367=0,I367="")),MAX($J$4:$J367)+1,IF(AND(I368=1,I367=1),J367,""))</f>
        <v>21</v>
      </c>
      <c r="K368" s="32">
        <f t="shared" si="29"/>
        <v>470</v>
      </c>
      <c r="L368" s="32" t="str">
        <f t="shared" si="26"/>
        <v>HV</v>
      </c>
      <c r="M368" s="32">
        <f t="shared" si="27"/>
        <v>220900</v>
      </c>
      <c r="N368" s="4">
        <v>1</v>
      </c>
      <c r="O368" s="4">
        <v>0</v>
      </c>
      <c r="P368" s="4">
        <v>0</v>
      </c>
      <c r="Q368" s="4">
        <v>0</v>
      </c>
      <c r="R368" s="58">
        <v>0</v>
      </c>
      <c r="S368" s="58">
        <v>1</v>
      </c>
      <c r="T368" s="58">
        <v>0</v>
      </c>
      <c r="U368" s="5">
        <v>0</v>
      </c>
      <c r="V368" s="4">
        <v>0</v>
      </c>
      <c r="AG368" t="s">
        <v>408</v>
      </c>
      <c r="AM368" s="1" t="str">
        <f t="shared" ref="AM368:AM399" si="30">HYPERLINK("E:\CAFNEC_GBRF\2023\JohnstoneRiver\Frames_for_Analysis\" &amp; F369, F369)</f>
        <v>366_C0020_0253.jpg</v>
      </c>
    </row>
    <row r="369" spans="1:39" x14ac:dyDescent="0.35">
      <c r="A369">
        <v>365</v>
      </c>
      <c r="B369">
        <v>366</v>
      </c>
      <c r="C369">
        <v>146.808068865</v>
      </c>
      <c r="D369">
        <v>-19.163461706</v>
      </c>
      <c r="F369" s="64" t="s">
        <v>4292</v>
      </c>
      <c r="G369" s="64"/>
      <c r="H369" s="64"/>
      <c r="I369" s="64">
        <v>1</v>
      </c>
      <c r="J369" s="32">
        <f>IF(AND(I369=1,OR(I368=0,I368="")),MAX($J$4:$J368)+1,IF(AND(I369=1,I368=1),J368,""))</f>
        <v>21</v>
      </c>
      <c r="K369" s="32">
        <f t="shared" si="29"/>
        <v>470</v>
      </c>
      <c r="L369" s="32" t="str">
        <f t="shared" si="26"/>
        <v>HV</v>
      </c>
      <c r="M369" s="32">
        <f t="shared" si="27"/>
        <v>220900</v>
      </c>
      <c r="N369" s="4">
        <v>1</v>
      </c>
      <c r="O369" s="4">
        <v>0</v>
      </c>
      <c r="P369" s="4">
        <v>0</v>
      </c>
      <c r="Q369" s="4">
        <v>0</v>
      </c>
      <c r="R369" s="58">
        <v>0</v>
      </c>
      <c r="S369" s="58">
        <v>0</v>
      </c>
      <c r="T369" s="58">
        <v>0</v>
      </c>
      <c r="U369" s="5">
        <v>0</v>
      </c>
      <c r="V369" s="4">
        <v>0</v>
      </c>
      <c r="AG369" t="s">
        <v>409</v>
      </c>
      <c r="AM369" s="1" t="str">
        <f t="shared" si="30"/>
        <v>367_C0020_0249.jpg</v>
      </c>
    </row>
    <row r="370" spans="1:39" x14ac:dyDescent="0.35">
      <c r="A370">
        <v>366</v>
      </c>
      <c r="B370">
        <v>367</v>
      </c>
      <c r="C370">
        <v>146.807996299</v>
      </c>
      <c r="D370">
        <v>-19.163423010999999</v>
      </c>
      <c r="F370" s="64" t="s">
        <v>4293</v>
      </c>
      <c r="G370" s="64"/>
      <c r="H370" s="64"/>
      <c r="I370" s="64">
        <v>1</v>
      </c>
      <c r="J370" s="32">
        <f>IF(AND(I370=1,OR(I369=0,I369="")),MAX($J$4:$J369)+1,IF(AND(I370=1,I369=1),J369,""))</f>
        <v>21</v>
      </c>
      <c r="K370" s="32">
        <f t="shared" si="29"/>
        <v>470</v>
      </c>
      <c r="L370" s="32" t="str">
        <f t="shared" si="26"/>
        <v>HV</v>
      </c>
      <c r="M370" s="32">
        <f t="shared" si="27"/>
        <v>220900</v>
      </c>
      <c r="N370" s="4">
        <v>1</v>
      </c>
      <c r="O370" s="4">
        <v>0</v>
      </c>
      <c r="P370" s="4">
        <v>0</v>
      </c>
      <c r="Q370" s="4">
        <v>0</v>
      </c>
      <c r="R370" s="58">
        <v>0</v>
      </c>
      <c r="S370" s="58">
        <v>0</v>
      </c>
      <c r="T370" s="58">
        <v>0</v>
      </c>
      <c r="U370" s="5">
        <v>0</v>
      </c>
      <c r="V370" s="4">
        <v>0</v>
      </c>
      <c r="AG370" t="s">
        <v>410</v>
      </c>
      <c r="AM370" s="1" t="str">
        <f t="shared" si="30"/>
        <v>368_C0020_0242.jpg</v>
      </c>
    </row>
    <row r="371" spans="1:39" x14ac:dyDescent="0.35">
      <c r="A371">
        <v>367</v>
      </c>
      <c r="B371">
        <v>368</v>
      </c>
      <c r="C371">
        <v>146.807907185</v>
      </c>
      <c r="D371">
        <v>-19.163419053999998</v>
      </c>
      <c r="F371" s="64" t="s">
        <v>4294</v>
      </c>
      <c r="G371" s="64"/>
      <c r="H371" s="64"/>
      <c r="I371" s="64">
        <v>1</v>
      </c>
      <c r="J371" s="32">
        <f>IF(AND(I371=1,OR(I370=0,I370="")),MAX($J$4:$J370)+1,IF(AND(I371=1,I370=1),J370,""))</f>
        <v>21</v>
      </c>
      <c r="K371" s="32">
        <f t="shared" si="29"/>
        <v>470</v>
      </c>
      <c r="L371" s="32" t="str">
        <f t="shared" si="26"/>
        <v>HV</v>
      </c>
      <c r="M371" s="32">
        <f t="shared" si="27"/>
        <v>220900</v>
      </c>
      <c r="N371" s="4">
        <v>1</v>
      </c>
      <c r="O371" s="4">
        <v>0</v>
      </c>
      <c r="P371" s="4">
        <v>0</v>
      </c>
      <c r="Q371" s="4">
        <v>0</v>
      </c>
      <c r="R371" s="58">
        <v>0</v>
      </c>
      <c r="S371" s="58">
        <v>0</v>
      </c>
      <c r="T371" s="58">
        <v>0</v>
      </c>
      <c r="U371" s="5">
        <v>0</v>
      </c>
      <c r="V371" s="4">
        <v>0</v>
      </c>
      <c r="AG371" t="s">
        <v>411</v>
      </c>
      <c r="AM371" s="1" t="str">
        <f t="shared" si="30"/>
        <v>369_C0020_0237.jpg</v>
      </c>
    </row>
    <row r="372" spans="1:39" x14ac:dyDescent="0.35">
      <c r="A372">
        <v>368</v>
      </c>
      <c r="B372">
        <v>369</v>
      </c>
      <c r="C372">
        <v>146.80783042799999</v>
      </c>
      <c r="D372">
        <v>-19.163386758999899</v>
      </c>
      <c r="F372" s="64" t="s">
        <v>4295</v>
      </c>
      <c r="G372" s="64"/>
      <c r="H372" s="64"/>
      <c r="I372" s="64">
        <v>1</v>
      </c>
      <c r="J372" s="32">
        <f>IF(AND(I372=1,OR(I371=0,I371="")),MAX($J$4:$J371)+1,IF(AND(I372=1,I371=1),J371,""))</f>
        <v>21</v>
      </c>
      <c r="K372" s="32">
        <f t="shared" si="29"/>
        <v>470</v>
      </c>
      <c r="L372" s="32" t="str">
        <f t="shared" si="26"/>
        <v>HV</v>
      </c>
      <c r="M372" s="32">
        <f t="shared" si="27"/>
        <v>220900</v>
      </c>
      <c r="N372" s="4">
        <v>1</v>
      </c>
      <c r="O372" s="4">
        <v>0</v>
      </c>
      <c r="P372" s="4">
        <v>0</v>
      </c>
      <c r="Q372" s="4">
        <v>0</v>
      </c>
      <c r="R372" s="58">
        <v>0</v>
      </c>
      <c r="S372" s="58">
        <v>0</v>
      </c>
      <c r="T372" s="58">
        <v>0</v>
      </c>
      <c r="U372" s="5">
        <v>0</v>
      </c>
      <c r="V372" s="4">
        <v>0</v>
      </c>
      <c r="AG372" t="s">
        <v>412</v>
      </c>
      <c r="AM372" s="1" t="str">
        <f t="shared" si="30"/>
        <v>370_C0020_0234.jpg</v>
      </c>
    </row>
    <row r="373" spans="1:39" x14ac:dyDescent="0.35">
      <c r="A373">
        <v>369</v>
      </c>
      <c r="B373">
        <v>370</v>
      </c>
      <c r="C373">
        <v>146.80776351700001</v>
      </c>
      <c r="D373">
        <v>-19.1633301419999</v>
      </c>
      <c r="E373">
        <v>50</v>
      </c>
      <c r="F373" s="64" t="s">
        <v>4296</v>
      </c>
      <c r="G373" s="64"/>
      <c r="H373" s="64"/>
      <c r="I373" s="64">
        <v>1</v>
      </c>
      <c r="J373" s="32">
        <f>IF(AND(I373=1,OR(I372=0,I372="")),MAX($J$4:$J372)+1,IF(AND(I373=1,I372=1),J372,""))</f>
        <v>21</v>
      </c>
      <c r="K373" s="32">
        <f t="shared" si="29"/>
        <v>470</v>
      </c>
      <c r="L373" s="32" t="str">
        <f t="shared" si="26"/>
        <v>HV</v>
      </c>
      <c r="M373" s="32">
        <f t="shared" si="27"/>
        <v>220900</v>
      </c>
      <c r="N373" s="4">
        <v>1</v>
      </c>
      <c r="O373" s="4">
        <v>0</v>
      </c>
      <c r="P373" s="4">
        <v>0</v>
      </c>
      <c r="Q373" s="4">
        <v>0</v>
      </c>
      <c r="R373" s="58">
        <v>0</v>
      </c>
      <c r="S373" s="58">
        <v>0</v>
      </c>
      <c r="T373" s="58">
        <v>0</v>
      </c>
      <c r="U373" s="5">
        <v>0</v>
      </c>
      <c r="V373" s="4">
        <v>0</v>
      </c>
      <c r="AG373" t="s">
        <v>413</v>
      </c>
      <c r="AM373" s="1" t="str">
        <f t="shared" si="30"/>
        <v>371_C0020_0228.jpg</v>
      </c>
    </row>
    <row r="374" spans="1:39" x14ac:dyDescent="0.35">
      <c r="A374">
        <v>370</v>
      </c>
      <c r="B374">
        <v>371</v>
      </c>
      <c r="C374">
        <v>146.80781805199999</v>
      </c>
      <c r="D374">
        <v>-19.163285429999998</v>
      </c>
      <c r="F374" s="64" t="s">
        <v>4297</v>
      </c>
      <c r="G374" s="64"/>
      <c r="H374" s="64"/>
      <c r="I374" s="64">
        <v>1</v>
      </c>
      <c r="J374" s="32">
        <f>IF(AND(I374=1,OR(I373=0,I373="")),MAX($J$4:$J373)+1,IF(AND(I374=1,I373=1),J373,""))</f>
        <v>21</v>
      </c>
      <c r="K374" s="32">
        <f t="shared" si="29"/>
        <v>470</v>
      </c>
      <c r="L374" s="32" t="str">
        <f t="shared" si="26"/>
        <v>HV</v>
      </c>
      <c r="M374" s="32">
        <f t="shared" si="27"/>
        <v>220900</v>
      </c>
      <c r="N374" s="4">
        <v>1</v>
      </c>
      <c r="O374" s="4">
        <v>0</v>
      </c>
      <c r="P374" s="4">
        <v>0</v>
      </c>
      <c r="Q374" s="4">
        <v>0</v>
      </c>
      <c r="R374" s="58">
        <v>0</v>
      </c>
      <c r="S374" s="58">
        <v>0</v>
      </c>
      <c r="T374" s="58">
        <v>0</v>
      </c>
      <c r="U374" s="5">
        <v>0</v>
      </c>
      <c r="V374" s="4">
        <v>0</v>
      </c>
      <c r="AG374" t="s">
        <v>414</v>
      </c>
      <c r="AM374" s="1" t="str">
        <f t="shared" si="30"/>
        <v>372_C0020_0225.jpg</v>
      </c>
    </row>
    <row r="375" spans="1:39" x14ac:dyDescent="0.35">
      <c r="A375">
        <v>371</v>
      </c>
      <c r="B375">
        <v>372</v>
      </c>
      <c r="C375">
        <v>146.807863758</v>
      </c>
      <c r="D375">
        <v>-19.163219974</v>
      </c>
      <c r="F375" s="64" t="s">
        <v>4298</v>
      </c>
      <c r="G375" s="64"/>
      <c r="H375" s="64"/>
      <c r="I375" s="64">
        <v>1</v>
      </c>
      <c r="J375" s="32">
        <f>IF(AND(I375=1,OR(I374=0,I374="")),MAX($J$4:$J374)+1,IF(AND(I375=1,I374=1),J374,""))</f>
        <v>21</v>
      </c>
      <c r="K375" s="32">
        <f t="shared" si="29"/>
        <v>470</v>
      </c>
      <c r="L375" s="32" t="str">
        <f t="shared" si="26"/>
        <v>HV</v>
      </c>
      <c r="M375" s="32">
        <f t="shared" si="27"/>
        <v>220900</v>
      </c>
      <c r="N375" s="4">
        <v>1</v>
      </c>
      <c r="O375" s="4">
        <v>0</v>
      </c>
      <c r="P375" s="4">
        <v>0</v>
      </c>
      <c r="Q375" s="4">
        <v>0</v>
      </c>
      <c r="R375" s="58">
        <v>0</v>
      </c>
      <c r="S375" s="58">
        <v>0</v>
      </c>
      <c r="T375" s="58">
        <v>0</v>
      </c>
      <c r="U375" s="5">
        <v>0</v>
      </c>
      <c r="V375" s="4">
        <v>0</v>
      </c>
      <c r="AG375" t="s">
        <v>415</v>
      </c>
      <c r="AM375" s="1" t="str">
        <f t="shared" si="30"/>
        <v>373_C0020_0221.jpg</v>
      </c>
    </row>
    <row r="376" spans="1:39" x14ac:dyDescent="0.35">
      <c r="A376">
        <v>372</v>
      </c>
      <c r="B376">
        <v>373</v>
      </c>
      <c r="C376">
        <v>146.80788616800001</v>
      </c>
      <c r="D376">
        <v>-19.163137802999898</v>
      </c>
      <c r="F376" s="64" t="s">
        <v>4299</v>
      </c>
      <c r="G376" s="64"/>
      <c r="H376" s="64"/>
      <c r="I376" s="64">
        <v>1</v>
      </c>
      <c r="J376" s="32">
        <f>IF(AND(I376=1,OR(I375=0,I375="")),MAX($J$4:$J375)+1,IF(AND(I376=1,I375=1),J375,""))</f>
        <v>21</v>
      </c>
      <c r="K376" s="32">
        <f t="shared" si="29"/>
        <v>470</v>
      </c>
      <c r="L376" s="32" t="str">
        <f t="shared" si="26"/>
        <v>HV</v>
      </c>
      <c r="M376" s="32">
        <f t="shared" si="27"/>
        <v>220900</v>
      </c>
      <c r="N376" s="4">
        <v>1</v>
      </c>
      <c r="O376" s="4">
        <v>0</v>
      </c>
      <c r="P376" s="4">
        <v>0</v>
      </c>
      <c r="Q376" s="4">
        <v>2</v>
      </c>
      <c r="R376" s="58">
        <v>0</v>
      </c>
      <c r="S376" s="58">
        <v>0</v>
      </c>
      <c r="T376" s="58">
        <v>0</v>
      </c>
      <c r="U376" s="5">
        <v>0</v>
      </c>
      <c r="V376" s="4">
        <v>0</v>
      </c>
      <c r="AG376" t="s">
        <v>416</v>
      </c>
      <c r="AM376" s="1" t="str">
        <f t="shared" si="30"/>
        <v>374_C0020_0214.jpg</v>
      </c>
    </row>
    <row r="377" spans="1:39" x14ac:dyDescent="0.35">
      <c r="A377">
        <v>373</v>
      </c>
      <c r="B377">
        <v>374</v>
      </c>
      <c r="C377">
        <v>146.807890281</v>
      </c>
      <c r="D377">
        <v>-19.163061724999999</v>
      </c>
      <c r="F377" s="64" t="s">
        <v>4300</v>
      </c>
      <c r="G377" s="64"/>
      <c r="H377" s="64"/>
      <c r="I377" s="64">
        <v>1</v>
      </c>
      <c r="J377" s="32">
        <f>IF(AND(I377=1,OR(I376=0,I376="")),MAX($J$4:$J376)+1,IF(AND(I377=1,I376=1),J376,""))</f>
        <v>21</v>
      </c>
      <c r="K377" s="32">
        <f t="shared" si="29"/>
        <v>470</v>
      </c>
      <c r="L377" s="32" t="str">
        <f t="shared" si="26"/>
        <v>HV</v>
      </c>
      <c r="M377" s="32">
        <f t="shared" si="27"/>
        <v>220900</v>
      </c>
      <c r="N377" s="4">
        <v>1</v>
      </c>
      <c r="O377" s="4">
        <v>1</v>
      </c>
      <c r="P377" s="4">
        <v>0</v>
      </c>
      <c r="Q377" s="4">
        <v>2</v>
      </c>
      <c r="R377" s="58">
        <v>0</v>
      </c>
      <c r="S377" s="58">
        <v>0</v>
      </c>
      <c r="T377" s="58">
        <v>0</v>
      </c>
      <c r="U377" s="5">
        <v>0</v>
      </c>
      <c r="V377" s="4">
        <v>0</v>
      </c>
      <c r="AG377" t="s">
        <v>417</v>
      </c>
      <c r="AM377" s="1" t="str">
        <f t="shared" si="30"/>
        <v>375_C0020_0210.jpg</v>
      </c>
    </row>
    <row r="378" spans="1:39" x14ac:dyDescent="0.35">
      <c r="A378">
        <v>374</v>
      </c>
      <c r="B378">
        <v>375</v>
      </c>
      <c r="C378">
        <v>146.807818271</v>
      </c>
      <c r="D378">
        <v>-19.163010996000001</v>
      </c>
      <c r="E378">
        <v>50</v>
      </c>
      <c r="F378" s="64" t="s">
        <v>4301</v>
      </c>
      <c r="G378" s="64"/>
      <c r="H378" s="64"/>
      <c r="I378" s="64">
        <v>1</v>
      </c>
      <c r="J378" s="32">
        <f>IF(AND(I378=1,OR(I377=0,I377="")),MAX($J$4:$J377)+1,IF(AND(I378=1,I377=1),J377,""))</f>
        <v>21</v>
      </c>
      <c r="K378" s="32">
        <f t="shared" si="29"/>
        <v>470</v>
      </c>
      <c r="L378" s="32" t="str">
        <f t="shared" si="26"/>
        <v>HV</v>
      </c>
      <c r="M378" s="32">
        <f t="shared" si="27"/>
        <v>220900</v>
      </c>
      <c r="N378" s="4">
        <v>1</v>
      </c>
      <c r="O378" s="4">
        <v>0</v>
      </c>
      <c r="P378" s="4">
        <v>0</v>
      </c>
      <c r="Q378" s="4">
        <v>2</v>
      </c>
      <c r="R378" s="58">
        <v>0</v>
      </c>
      <c r="S378" s="58">
        <v>0</v>
      </c>
      <c r="T378" s="58">
        <v>0</v>
      </c>
      <c r="U378" s="5">
        <v>0</v>
      </c>
      <c r="V378" s="4">
        <v>0</v>
      </c>
      <c r="AG378" t="s">
        <v>418</v>
      </c>
      <c r="AM378" s="1" t="str">
        <f t="shared" si="30"/>
        <v>376_C0020_0206.jpg</v>
      </c>
    </row>
    <row r="379" spans="1:39" x14ac:dyDescent="0.35">
      <c r="A379">
        <v>375</v>
      </c>
      <c r="B379">
        <v>376</v>
      </c>
      <c r="C379">
        <v>146.80774592</v>
      </c>
      <c r="D379">
        <v>-19.162960800999901</v>
      </c>
      <c r="F379" s="64" t="s">
        <v>4302</v>
      </c>
      <c r="G379" s="64"/>
      <c r="H379" s="64"/>
      <c r="I379" s="64">
        <v>1</v>
      </c>
      <c r="J379" s="32">
        <f>IF(AND(I379=1,OR(I378=0,I378="")),MAX($J$4:$J378)+1,IF(AND(I379=1,I378=1),J378,""))</f>
        <v>21</v>
      </c>
      <c r="K379" s="32">
        <f t="shared" si="29"/>
        <v>470</v>
      </c>
      <c r="L379" s="32" t="str">
        <f t="shared" si="26"/>
        <v>HV</v>
      </c>
      <c r="M379" s="32">
        <f t="shared" si="27"/>
        <v>220900</v>
      </c>
      <c r="N379" s="4">
        <v>1</v>
      </c>
      <c r="O379" s="4">
        <v>0</v>
      </c>
      <c r="P379" s="4">
        <v>0</v>
      </c>
      <c r="Q379" s="4">
        <v>1</v>
      </c>
      <c r="R379" s="58">
        <v>0</v>
      </c>
      <c r="S379" s="58">
        <v>0</v>
      </c>
      <c r="T379" s="58">
        <v>0</v>
      </c>
      <c r="U379" s="5">
        <v>0</v>
      </c>
      <c r="V379" s="4">
        <v>0</v>
      </c>
      <c r="AG379" t="s">
        <v>419</v>
      </c>
      <c r="AM379" s="1" t="str">
        <f t="shared" si="30"/>
        <v>377_C0020_0200.jpg</v>
      </c>
    </row>
    <row r="380" spans="1:39" x14ac:dyDescent="0.35">
      <c r="A380">
        <v>376</v>
      </c>
      <c r="B380">
        <v>377</v>
      </c>
      <c r="C380">
        <v>146.80766484099999</v>
      </c>
      <c r="D380">
        <v>-19.162924266999902</v>
      </c>
      <c r="F380" s="64" t="s">
        <v>4303</v>
      </c>
      <c r="G380" s="64"/>
      <c r="H380" s="64"/>
      <c r="I380" s="64">
        <v>1</v>
      </c>
      <c r="J380" s="32">
        <f>IF(AND(I380=1,OR(I379=0,I379="")),MAX($J$4:$J379)+1,IF(AND(I380=1,I379=1),J379,""))</f>
        <v>21</v>
      </c>
      <c r="K380" s="32">
        <f t="shared" si="29"/>
        <v>470</v>
      </c>
      <c r="L380" s="32" t="str">
        <f t="shared" si="26"/>
        <v>HV</v>
      </c>
      <c r="M380" s="32">
        <f t="shared" si="27"/>
        <v>220900</v>
      </c>
      <c r="N380" s="4">
        <v>1</v>
      </c>
      <c r="O380" s="4">
        <v>0</v>
      </c>
      <c r="P380" s="4">
        <v>0</v>
      </c>
      <c r="Q380" s="4">
        <v>0</v>
      </c>
      <c r="R380" s="58">
        <v>0</v>
      </c>
      <c r="S380" s="58">
        <v>0</v>
      </c>
      <c r="T380" s="58">
        <v>0</v>
      </c>
      <c r="U380" s="5">
        <v>0</v>
      </c>
      <c r="V380" s="4">
        <v>0</v>
      </c>
      <c r="AG380" t="s">
        <v>420</v>
      </c>
      <c r="AM380" s="1" t="str">
        <f t="shared" si="30"/>
        <v>378_C0020_0195.jpg</v>
      </c>
    </row>
    <row r="381" spans="1:39" x14ac:dyDescent="0.35">
      <c r="A381">
        <v>377</v>
      </c>
      <c r="B381">
        <v>378</v>
      </c>
      <c r="C381">
        <v>146.80758376200001</v>
      </c>
      <c r="D381">
        <v>-19.162887732999899</v>
      </c>
      <c r="F381" s="64" t="s">
        <v>4304</v>
      </c>
      <c r="G381" s="64"/>
      <c r="H381" s="64"/>
      <c r="I381" s="64">
        <v>1</v>
      </c>
      <c r="J381" s="32">
        <f>IF(AND(I381=1,OR(I380=0,I380="")),MAX($J$4:$J380)+1,IF(AND(I381=1,I380=1),J380,""))</f>
        <v>21</v>
      </c>
      <c r="K381" s="32">
        <f t="shared" si="29"/>
        <v>470</v>
      </c>
      <c r="L381" s="32" t="str">
        <f t="shared" si="26"/>
        <v>HV</v>
      </c>
      <c r="M381" s="32">
        <f t="shared" si="27"/>
        <v>220900</v>
      </c>
      <c r="N381" s="4">
        <v>1</v>
      </c>
      <c r="O381" s="4">
        <v>0</v>
      </c>
      <c r="P381" s="4">
        <v>0</v>
      </c>
      <c r="Q381" s="4">
        <v>1</v>
      </c>
      <c r="R381" s="58">
        <v>0</v>
      </c>
      <c r="S381" s="58">
        <v>0</v>
      </c>
      <c r="T381" s="58">
        <v>0</v>
      </c>
      <c r="U381" s="5">
        <v>0</v>
      </c>
      <c r="V381" s="4">
        <v>0</v>
      </c>
      <c r="AG381" t="s">
        <v>421</v>
      </c>
      <c r="AM381" s="1" t="str">
        <f t="shared" si="30"/>
        <v>379_C0020_0192.jpg</v>
      </c>
    </row>
    <row r="382" spans="1:39" x14ac:dyDescent="0.35">
      <c r="A382">
        <v>378</v>
      </c>
      <c r="B382">
        <v>379</v>
      </c>
      <c r="C382">
        <v>146.807502683</v>
      </c>
      <c r="D382">
        <v>-19.162851198999899</v>
      </c>
      <c r="F382" s="64" t="s">
        <v>4305</v>
      </c>
      <c r="G382" s="64"/>
      <c r="H382" s="64"/>
      <c r="I382" s="64">
        <v>1</v>
      </c>
      <c r="J382" s="32">
        <f>IF(AND(I382=1,OR(I381=0,I381="")),MAX($J$4:$J381)+1,IF(AND(I382=1,I381=1),J381,""))</f>
        <v>21</v>
      </c>
      <c r="K382" s="32">
        <f t="shared" si="29"/>
        <v>470</v>
      </c>
      <c r="L382" s="32" t="str">
        <f t="shared" si="26"/>
        <v>HV</v>
      </c>
      <c r="M382" s="32">
        <f t="shared" si="27"/>
        <v>220900</v>
      </c>
      <c r="N382" s="4">
        <v>1</v>
      </c>
      <c r="O382" s="4">
        <v>0</v>
      </c>
      <c r="P382" s="4">
        <v>0</v>
      </c>
      <c r="Q382" s="4">
        <v>0</v>
      </c>
      <c r="R382" s="58">
        <v>0</v>
      </c>
      <c r="S382" s="58">
        <v>0</v>
      </c>
      <c r="T382" s="58">
        <v>0</v>
      </c>
      <c r="U382" s="5">
        <v>0</v>
      </c>
      <c r="V382" s="4">
        <v>0</v>
      </c>
      <c r="AG382" t="s">
        <v>422</v>
      </c>
      <c r="AM382" s="1" t="str">
        <f t="shared" si="30"/>
        <v>380_C0020_0189.jpg</v>
      </c>
    </row>
    <row r="383" spans="1:39" x14ac:dyDescent="0.35">
      <c r="A383">
        <v>379</v>
      </c>
      <c r="B383">
        <v>380</v>
      </c>
      <c r="C383">
        <v>146.80742160400001</v>
      </c>
      <c r="D383">
        <v>-19.1628146649999</v>
      </c>
      <c r="E383">
        <v>50</v>
      </c>
      <c r="F383" s="64" t="s">
        <v>4306</v>
      </c>
      <c r="G383" s="64"/>
      <c r="H383" s="64"/>
      <c r="I383" s="64">
        <v>1</v>
      </c>
      <c r="J383" s="32">
        <f>IF(AND(I383=1,OR(I382=0,I382="")),MAX($J$4:$J382)+1,IF(AND(I383=1,I382=1),J382,""))</f>
        <v>21</v>
      </c>
      <c r="K383" s="32">
        <f t="shared" si="29"/>
        <v>470</v>
      </c>
      <c r="L383" s="32" t="str">
        <f t="shared" si="26"/>
        <v>HV</v>
      </c>
      <c r="M383" s="32">
        <f t="shared" si="27"/>
        <v>220900</v>
      </c>
      <c r="N383" s="4">
        <v>1</v>
      </c>
      <c r="O383" s="4">
        <v>0</v>
      </c>
      <c r="P383" s="4">
        <v>0</v>
      </c>
      <c r="Q383" s="4">
        <v>0</v>
      </c>
      <c r="R383" s="58">
        <v>0</v>
      </c>
      <c r="S383" s="58">
        <v>0</v>
      </c>
      <c r="T383" s="58">
        <v>0</v>
      </c>
      <c r="U383" s="5">
        <v>0</v>
      </c>
      <c r="V383" s="4">
        <v>0</v>
      </c>
      <c r="AG383" t="s">
        <v>423</v>
      </c>
      <c r="AM383" s="1" t="str">
        <f t="shared" si="30"/>
        <v>381_C0020_0184.jpg</v>
      </c>
    </row>
    <row r="384" spans="1:39" x14ac:dyDescent="0.35">
      <c r="A384">
        <v>380</v>
      </c>
      <c r="B384">
        <v>381</v>
      </c>
      <c r="C384">
        <v>146.807340525</v>
      </c>
      <c r="D384">
        <v>-19.162778131</v>
      </c>
      <c r="F384" s="64" t="s">
        <v>4307</v>
      </c>
      <c r="G384" s="64"/>
      <c r="H384" s="64"/>
      <c r="I384" s="64">
        <v>1</v>
      </c>
      <c r="J384" s="32">
        <f>IF(AND(I384=1,OR(I383=0,I383="")),MAX($J$4:$J383)+1,IF(AND(I384=1,I383=1),J383,""))</f>
        <v>21</v>
      </c>
      <c r="K384" s="32">
        <f t="shared" si="29"/>
        <v>470</v>
      </c>
      <c r="L384" s="32" t="str">
        <f t="shared" si="26"/>
        <v>HV</v>
      </c>
      <c r="M384" s="32">
        <f t="shared" si="27"/>
        <v>220900</v>
      </c>
      <c r="N384" s="4">
        <v>1</v>
      </c>
      <c r="O384" s="4">
        <v>0</v>
      </c>
      <c r="P384" s="4">
        <v>0</v>
      </c>
      <c r="Q384" s="4">
        <v>0</v>
      </c>
      <c r="R384" s="58">
        <v>0</v>
      </c>
      <c r="S384" s="58">
        <v>0</v>
      </c>
      <c r="T384" s="58">
        <v>0</v>
      </c>
      <c r="U384" s="5">
        <v>0</v>
      </c>
      <c r="V384" s="4">
        <v>0</v>
      </c>
      <c r="AG384" t="s">
        <v>424</v>
      </c>
      <c r="AM384" s="1" t="str">
        <f t="shared" si="30"/>
        <v>382_C0020_0182.jpg</v>
      </c>
    </row>
    <row r="385" spans="1:39" x14ac:dyDescent="0.35">
      <c r="A385">
        <v>381</v>
      </c>
      <c r="B385">
        <v>382</v>
      </c>
      <c r="C385">
        <v>146.80725944599999</v>
      </c>
      <c r="D385">
        <v>-19.162741597</v>
      </c>
      <c r="F385" s="64" t="s">
        <v>4308</v>
      </c>
      <c r="G385" s="64"/>
      <c r="H385" s="64"/>
      <c r="I385" s="64">
        <v>1</v>
      </c>
      <c r="J385" s="32">
        <f>IF(AND(I385=1,OR(I384=0,I384="")),MAX($J$4:$J384)+1,IF(AND(I385=1,I384=1),J384,""))</f>
        <v>21</v>
      </c>
      <c r="K385" s="32">
        <f t="shared" si="29"/>
        <v>470</v>
      </c>
      <c r="L385" s="32" t="str">
        <f t="shared" si="26"/>
        <v>HV</v>
      </c>
      <c r="M385" s="32">
        <f t="shared" si="27"/>
        <v>220900</v>
      </c>
      <c r="N385" s="4">
        <v>1</v>
      </c>
      <c r="O385" s="4">
        <v>0</v>
      </c>
      <c r="P385" s="4">
        <v>0</v>
      </c>
      <c r="Q385" s="4">
        <v>0</v>
      </c>
      <c r="R385" s="58">
        <v>0</v>
      </c>
      <c r="S385" s="58">
        <v>0</v>
      </c>
      <c r="T385" s="58">
        <v>0</v>
      </c>
      <c r="U385" s="5">
        <v>0</v>
      </c>
      <c r="V385" s="4">
        <v>0</v>
      </c>
      <c r="AG385" t="s">
        <v>425</v>
      </c>
      <c r="AM385" s="1" t="str">
        <f t="shared" si="30"/>
        <v>383_C0020_0177.jpg</v>
      </c>
    </row>
    <row r="386" spans="1:39" x14ac:dyDescent="0.35">
      <c r="A386">
        <v>382</v>
      </c>
      <c r="B386">
        <v>383</v>
      </c>
      <c r="C386">
        <v>146.80717893299999</v>
      </c>
      <c r="D386">
        <v>-19.1627040569999</v>
      </c>
      <c r="F386" s="64" t="s">
        <v>4309</v>
      </c>
      <c r="G386" s="64"/>
      <c r="H386" s="64"/>
      <c r="I386" s="64">
        <v>1</v>
      </c>
      <c r="J386" s="32">
        <f>IF(AND(I386=1,OR(I385=0,I385="")),MAX($J$4:$J385)+1,IF(AND(I386=1,I385=1),J385,""))</f>
        <v>21</v>
      </c>
      <c r="K386" s="32">
        <f t="shared" si="29"/>
        <v>470</v>
      </c>
      <c r="L386" s="32" t="str">
        <f t="shared" si="26"/>
        <v>HV</v>
      </c>
      <c r="M386" s="32">
        <f t="shared" si="27"/>
        <v>220900</v>
      </c>
      <c r="N386" s="4">
        <v>1</v>
      </c>
      <c r="O386" s="4">
        <v>0</v>
      </c>
      <c r="P386" s="4">
        <v>0</v>
      </c>
      <c r="Q386" s="4">
        <v>0</v>
      </c>
      <c r="R386" s="58">
        <v>0</v>
      </c>
      <c r="S386" s="58">
        <v>0</v>
      </c>
      <c r="T386" s="58">
        <v>0</v>
      </c>
      <c r="U386" s="5">
        <v>0</v>
      </c>
      <c r="V386" s="4">
        <v>0</v>
      </c>
      <c r="AG386" t="s">
        <v>426</v>
      </c>
      <c r="AM386" s="1" t="str">
        <f t="shared" si="30"/>
        <v>384_C0020_0175.jpg</v>
      </c>
    </row>
    <row r="387" spans="1:39" x14ac:dyDescent="0.35">
      <c r="A387">
        <v>383</v>
      </c>
      <c r="B387">
        <v>384</v>
      </c>
      <c r="C387">
        <v>146.80710149800001</v>
      </c>
      <c r="D387">
        <v>-19.162661044999901</v>
      </c>
      <c r="F387" s="64" t="s">
        <v>4310</v>
      </c>
      <c r="G387" s="64"/>
      <c r="H387" s="64"/>
      <c r="I387" s="64">
        <v>1</v>
      </c>
      <c r="J387" s="32">
        <f>IF(AND(I387=1,OR(I386=0,I386="")),MAX($J$4:$J386)+1,IF(AND(I387=1,I386=1),J386,""))</f>
        <v>21</v>
      </c>
      <c r="K387" s="32">
        <f t="shared" si="29"/>
        <v>470</v>
      </c>
      <c r="L387" s="32" t="str">
        <f t="shared" si="26"/>
        <v>HV</v>
      </c>
      <c r="M387" s="32">
        <f t="shared" si="27"/>
        <v>220900</v>
      </c>
      <c r="N387" s="4">
        <v>1</v>
      </c>
      <c r="O387" s="4">
        <v>0</v>
      </c>
      <c r="P387" s="4">
        <v>0</v>
      </c>
      <c r="Q387" s="4">
        <v>0</v>
      </c>
      <c r="R387" s="58">
        <v>0</v>
      </c>
      <c r="S387" s="58">
        <v>0</v>
      </c>
      <c r="T387" s="58">
        <v>0</v>
      </c>
      <c r="U387" s="5">
        <v>0</v>
      </c>
      <c r="V387" s="4">
        <v>0</v>
      </c>
      <c r="AG387" t="s">
        <v>427</v>
      </c>
      <c r="AM387" s="1" t="str">
        <f t="shared" si="30"/>
        <v>385_C0020_0171.jpg</v>
      </c>
    </row>
    <row r="388" spans="1:39" x14ac:dyDescent="0.35">
      <c r="A388">
        <v>384</v>
      </c>
      <c r="B388">
        <v>385</v>
      </c>
      <c r="C388">
        <v>146.80702406200001</v>
      </c>
      <c r="D388">
        <v>-19.162618032999902</v>
      </c>
      <c r="E388">
        <v>50</v>
      </c>
      <c r="F388" s="64" t="s">
        <v>4311</v>
      </c>
      <c r="G388" s="64"/>
      <c r="H388" s="64"/>
      <c r="I388" s="64">
        <v>0</v>
      </c>
      <c r="J388" s="32" t="str">
        <f>IF(AND(I388=1,OR(I387=0,I387="")),MAX($J$4:$J387)+1,IF(AND(I388=1,I387=1),J387,""))</f>
        <v/>
      </c>
      <c r="K388" s="32" t="str">
        <f t="shared" si="29"/>
        <v/>
      </c>
      <c r="L388" s="32" t="str">
        <f t="shared" ref="L388:L451" si="31">IF(K388="","",IF(K388&gt;=100,"HV",""))</f>
        <v/>
      </c>
      <c r="M388" s="32" t="str">
        <f t="shared" ref="M388:M451" si="32">IF(K388&lt;&gt;"",K388^2,"")</f>
        <v/>
      </c>
      <c r="N388" s="4">
        <v>1</v>
      </c>
      <c r="O388" s="4">
        <v>0</v>
      </c>
      <c r="P388" s="4">
        <v>0</v>
      </c>
      <c r="Q388" s="4">
        <v>0</v>
      </c>
      <c r="R388" s="58">
        <v>0</v>
      </c>
      <c r="S388" s="58">
        <v>0</v>
      </c>
      <c r="T388" s="58">
        <v>0</v>
      </c>
      <c r="U388" s="5">
        <v>0</v>
      </c>
      <c r="V388" s="4">
        <v>0</v>
      </c>
      <c r="AG388" t="s">
        <v>428</v>
      </c>
      <c r="AM388" s="1" t="str">
        <f t="shared" si="30"/>
        <v>386_C0020_0168.jpg</v>
      </c>
    </row>
    <row r="389" spans="1:39" x14ac:dyDescent="0.35">
      <c r="A389">
        <v>385</v>
      </c>
      <c r="B389">
        <v>386</v>
      </c>
      <c r="C389">
        <v>146.806946627</v>
      </c>
      <c r="D389">
        <v>-19.162575020999999</v>
      </c>
      <c r="F389" s="64" t="s">
        <v>4312</v>
      </c>
      <c r="G389" s="64"/>
      <c r="H389" s="64"/>
      <c r="I389" s="64">
        <v>1</v>
      </c>
      <c r="J389" s="32">
        <f>IF(AND(I389=1,OR(I388=0,I388="")),MAX($J$4:$J388)+1,IF(AND(I389=1,I388=1),J388,""))</f>
        <v>22</v>
      </c>
      <c r="K389" s="32">
        <f t="shared" si="29"/>
        <v>30</v>
      </c>
      <c r="L389" s="32" t="str">
        <f t="shared" si="31"/>
        <v/>
      </c>
      <c r="M389" s="32">
        <f t="shared" si="32"/>
        <v>900</v>
      </c>
      <c r="N389" s="4">
        <v>1</v>
      </c>
      <c r="O389" s="4">
        <v>0</v>
      </c>
      <c r="P389" s="4">
        <v>0</v>
      </c>
      <c r="Q389" s="4">
        <v>0</v>
      </c>
      <c r="R389" s="58">
        <v>0</v>
      </c>
      <c r="S389" s="58">
        <v>0</v>
      </c>
      <c r="T389" s="58">
        <v>0</v>
      </c>
      <c r="U389" s="5">
        <v>0</v>
      </c>
      <c r="V389" s="4">
        <v>0</v>
      </c>
      <c r="AG389" t="s">
        <v>429</v>
      </c>
      <c r="AM389" s="1" t="str">
        <f t="shared" si="30"/>
        <v>387_C0020_0165.jpg</v>
      </c>
    </row>
    <row r="390" spans="1:39" x14ac:dyDescent="0.35">
      <c r="A390">
        <v>386</v>
      </c>
      <c r="B390">
        <v>387</v>
      </c>
      <c r="C390">
        <v>146.806869191</v>
      </c>
      <c r="D390">
        <v>-19.162532009</v>
      </c>
      <c r="F390" s="64" t="s">
        <v>4313</v>
      </c>
      <c r="G390" s="64"/>
      <c r="H390" s="64"/>
      <c r="I390" s="64">
        <v>1</v>
      </c>
      <c r="J390" s="32">
        <f>IF(AND(I390=1,OR(I389=0,I389="")),MAX($J$4:$J389)+1,IF(AND(I390=1,I389=1),J389,""))</f>
        <v>22</v>
      </c>
      <c r="K390" s="32">
        <f t="shared" si="29"/>
        <v>30</v>
      </c>
      <c r="L390" s="32" t="str">
        <f t="shared" si="31"/>
        <v/>
      </c>
      <c r="M390" s="32">
        <f t="shared" si="32"/>
        <v>900</v>
      </c>
      <c r="N390" s="4">
        <v>1</v>
      </c>
      <c r="O390" s="4">
        <v>0</v>
      </c>
      <c r="P390" s="4">
        <v>0</v>
      </c>
      <c r="Q390" s="4">
        <v>0</v>
      </c>
      <c r="R390" s="58">
        <v>0</v>
      </c>
      <c r="S390" s="58">
        <v>0</v>
      </c>
      <c r="T390" s="58">
        <v>0</v>
      </c>
      <c r="U390" s="5">
        <v>0</v>
      </c>
      <c r="V390" s="4">
        <v>0</v>
      </c>
      <c r="AG390" t="s">
        <v>430</v>
      </c>
      <c r="AM390" s="1" t="str">
        <f t="shared" si="30"/>
        <v>388_C0020_0159.jpg</v>
      </c>
    </row>
    <row r="391" spans="1:39" x14ac:dyDescent="0.35">
      <c r="A391">
        <v>387</v>
      </c>
      <c r="B391">
        <v>388</v>
      </c>
      <c r="C391">
        <v>146.806791756</v>
      </c>
      <c r="D391">
        <v>-19.162488997000001</v>
      </c>
      <c r="F391" s="64" t="s">
        <v>4314</v>
      </c>
      <c r="G391" s="64"/>
      <c r="H391" s="64"/>
      <c r="I391" s="64">
        <v>1</v>
      </c>
      <c r="J391" s="32">
        <f>IF(AND(I391=1,OR(I390=0,I390="")),MAX($J$4:$J390)+1,IF(AND(I391=1,I390=1),J390,""))</f>
        <v>22</v>
      </c>
      <c r="K391" s="32">
        <f t="shared" si="29"/>
        <v>30</v>
      </c>
      <c r="L391" s="32" t="str">
        <f t="shared" si="31"/>
        <v/>
      </c>
      <c r="M391" s="32">
        <f t="shared" si="32"/>
        <v>900</v>
      </c>
      <c r="N391" s="4">
        <v>1</v>
      </c>
      <c r="O391" s="4">
        <v>0</v>
      </c>
      <c r="P391" s="4">
        <v>0</v>
      </c>
      <c r="Q391" s="4">
        <v>0</v>
      </c>
      <c r="R391" s="58">
        <v>0</v>
      </c>
      <c r="S391" s="58">
        <v>0</v>
      </c>
      <c r="T391" s="58">
        <v>0</v>
      </c>
      <c r="U391" s="5">
        <v>0</v>
      </c>
      <c r="V391" s="4">
        <v>0</v>
      </c>
      <c r="AG391" t="s">
        <v>431</v>
      </c>
      <c r="AM391" s="1" t="str">
        <f t="shared" si="30"/>
        <v>389_C0020_0156.jpg</v>
      </c>
    </row>
    <row r="392" spans="1:39" x14ac:dyDescent="0.35">
      <c r="A392">
        <v>388</v>
      </c>
      <c r="B392">
        <v>389</v>
      </c>
      <c r="C392">
        <v>146.80671432</v>
      </c>
      <c r="D392">
        <v>-19.162445985000002</v>
      </c>
      <c r="F392" s="64" t="s">
        <v>4315</v>
      </c>
      <c r="G392" s="64"/>
      <c r="H392" s="64"/>
      <c r="I392" s="64">
        <v>0</v>
      </c>
      <c r="J392" s="32" t="str">
        <f>IF(AND(I392=1,OR(I391=0,I391="")),MAX($J$4:$J391)+1,IF(AND(I392=1,I391=1),J391,""))</f>
        <v/>
      </c>
      <c r="K392" s="32" t="str">
        <f t="shared" si="29"/>
        <v/>
      </c>
      <c r="L392" s="32" t="str">
        <f t="shared" si="31"/>
        <v/>
      </c>
      <c r="M392" s="32" t="str">
        <f t="shared" si="32"/>
        <v/>
      </c>
      <c r="N392" s="4">
        <v>1</v>
      </c>
      <c r="O392" s="4">
        <v>0</v>
      </c>
      <c r="P392" s="4">
        <v>0</v>
      </c>
      <c r="Q392" s="4">
        <v>0</v>
      </c>
      <c r="R392" s="58">
        <v>0</v>
      </c>
      <c r="S392" s="58">
        <v>0</v>
      </c>
      <c r="T392" s="58">
        <v>0</v>
      </c>
      <c r="U392" s="5">
        <v>0</v>
      </c>
      <c r="V392" s="4">
        <v>0</v>
      </c>
      <c r="AG392" t="s">
        <v>432</v>
      </c>
      <c r="AM392" s="1" t="str">
        <f t="shared" si="30"/>
        <v>390_C0020_0153.jpg</v>
      </c>
    </row>
    <row r="393" spans="1:39" x14ac:dyDescent="0.35">
      <c r="A393">
        <v>389</v>
      </c>
      <c r="B393">
        <v>390</v>
      </c>
      <c r="C393">
        <v>146.80663282899999</v>
      </c>
      <c r="D393">
        <v>-19.162410300000001</v>
      </c>
      <c r="E393">
        <v>50</v>
      </c>
      <c r="F393" s="64" t="s">
        <v>4316</v>
      </c>
      <c r="G393" s="64"/>
      <c r="H393" s="64"/>
      <c r="I393" s="64">
        <v>1</v>
      </c>
      <c r="J393" s="32">
        <f>IF(AND(I393=1,OR(I392=0,I392="")),MAX($J$4:$J392)+1,IF(AND(I393=1,I392=1),J392,""))</f>
        <v>23</v>
      </c>
      <c r="K393" s="32">
        <f t="shared" si="29"/>
        <v>50</v>
      </c>
      <c r="L393" s="32" t="str">
        <f t="shared" si="31"/>
        <v/>
      </c>
      <c r="M393" s="32">
        <f t="shared" si="32"/>
        <v>2500</v>
      </c>
      <c r="N393" s="4">
        <v>1</v>
      </c>
      <c r="O393" s="4">
        <v>0</v>
      </c>
      <c r="P393" s="4">
        <v>0</v>
      </c>
      <c r="Q393" s="4">
        <v>0</v>
      </c>
      <c r="R393" s="58">
        <v>0</v>
      </c>
      <c r="S393" s="58">
        <v>0</v>
      </c>
      <c r="T393" s="58">
        <v>0</v>
      </c>
      <c r="U393" s="5">
        <v>0</v>
      </c>
      <c r="V393" s="4">
        <v>0</v>
      </c>
      <c r="AG393" t="s">
        <v>433</v>
      </c>
      <c r="AM393" s="1" t="str">
        <f t="shared" si="30"/>
        <v>391_C0020_0150.jpg</v>
      </c>
    </row>
    <row r="394" spans="1:39" x14ac:dyDescent="0.35">
      <c r="A394">
        <v>390</v>
      </c>
      <c r="B394">
        <v>391</v>
      </c>
      <c r="C394">
        <v>146.806551246</v>
      </c>
      <c r="D394">
        <v>-19.162374782000001</v>
      </c>
      <c r="F394" s="64" t="s">
        <v>4317</v>
      </c>
      <c r="G394" s="64"/>
      <c r="H394" s="64"/>
      <c r="I394" s="64">
        <v>1</v>
      </c>
      <c r="J394" s="32">
        <f>IF(AND(I394=1,OR(I393=0,I393="")),MAX($J$4:$J393)+1,IF(AND(I394=1,I393=1),J393,""))</f>
        <v>23</v>
      </c>
      <c r="K394" s="32">
        <f t="shared" si="29"/>
        <v>50</v>
      </c>
      <c r="L394" s="32" t="str">
        <f t="shared" si="31"/>
        <v/>
      </c>
      <c r="M394" s="32">
        <f t="shared" si="32"/>
        <v>2500</v>
      </c>
      <c r="N394" s="4">
        <v>2</v>
      </c>
      <c r="O394" s="4">
        <v>0</v>
      </c>
      <c r="P394" s="4">
        <v>1</v>
      </c>
      <c r="Q394" s="4">
        <v>0</v>
      </c>
      <c r="R394" s="58">
        <v>0</v>
      </c>
      <c r="S394" s="58">
        <v>0</v>
      </c>
      <c r="T394" s="58">
        <v>0</v>
      </c>
      <c r="U394" s="5">
        <v>0</v>
      </c>
      <c r="V394" s="4">
        <v>0</v>
      </c>
      <c r="AG394" t="s">
        <v>434</v>
      </c>
      <c r="AM394" s="1" t="str">
        <f t="shared" si="30"/>
        <v>392_C0020_0147.jpg</v>
      </c>
    </row>
    <row r="395" spans="1:39" x14ac:dyDescent="0.35">
      <c r="A395">
        <v>391</v>
      </c>
      <c r="B395">
        <v>392</v>
      </c>
      <c r="C395">
        <v>146.80646966200001</v>
      </c>
      <c r="D395">
        <v>-19.162339265</v>
      </c>
      <c r="F395" s="64" t="s">
        <v>4318</v>
      </c>
      <c r="G395" s="64"/>
      <c r="H395" s="64"/>
      <c r="I395" s="64">
        <v>1</v>
      </c>
      <c r="J395" s="32">
        <f>IF(AND(I395=1,OR(I394=0,I394="")),MAX($J$4:$J394)+1,IF(AND(I395=1,I394=1),J394,""))</f>
        <v>23</v>
      </c>
      <c r="K395" s="32">
        <f t="shared" si="29"/>
        <v>50</v>
      </c>
      <c r="L395" s="32" t="str">
        <f t="shared" si="31"/>
        <v/>
      </c>
      <c r="M395" s="32">
        <f t="shared" si="32"/>
        <v>2500</v>
      </c>
      <c r="N395" s="4">
        <v>2</v>
      </c>
      <c r="O395" s="4">
        <v>0</v>
      </c>
      <c r="P395" s="4">
        <v>1</v>
      </c>
      <c r="Q395" s="4">
        <v>0</v>
      </c>
      <c r="R395" s="58">
        <v>0</v>
      </c>
      <c r="S395" s="58">
        <v>0</v>
      </c>
      <c r="T395" s="58">
        <v>0</v>
      </c>
      <c r="U395" s="5">
        <v>0</v>
      </c>
      <c r="V395" s="4">
        <v>0</v>
      </c>
      <c r="AG395" t="s">
        <v>435</v>
      </c>
      <c r="AM395" s="1" t="str">
        <f t="shared" si="30"/>
        <v>393_C0020_0143.jpg</v>
      </c>
    </row>
    <row r="396" spans="1:39" x14ac:dyDescent="0.35">
      <c r="A396">
        <v>392</v>
      </c>
      <c r="B396">
        <v>393</v>
      </c>
      <c r="C396">
        <v>146.80638604999999</v>
      </c>
      <c r="D396">
        <v>-19.162308499999899</v>
      </c>
      <c r="F396" s="64" t="s">
        <v>4319</v>
      </c>
      <c r="G396" s="64"/>
      <c r="H396" s="64"/>
      <c r="I396" s="64">
        <v>1</v>
      </c>
      <c r="J396" s="32">
        <f>IF(AND(I396=1,OR(I395=0,I395="")),MAX($J$4:$J395)+1,IF(AND(I396=1,I395=1),J395,""))</f>
        <v>23</v>
      </c>
      <c r="K396" s="32">
        <f t="shared" si="29"/>
        <v>50</v>
      </c>
      <c r="L396" s="32" t="str">
        <f t="shared" si="31"/>
        <v/>
      </c>
      <c r="M396" s="32">
        <f t="shared" si="32"/>
        <v>2500</v>
      </c>
      <c r="N396" s="4">
        <v>2</v>
      </c>
      <c r="O396" s="4">
        <v>0</v>
      </c>
      <c r="P396" s="4">
        <v>1</v>
      </c>
      <c r="Q396" s="4">
        <v>0</v>
      </c>
      <c r="R396" s="58">
        <v>0</v>
      </c>
      <c r="S396" s="58">
        <v>0</v>
      </c>
      <c r="T396" s="58">
        <v>0</v>
      </c>
      <c r="U396" s="5">
        <v>0</v>
      </c>
      <c r="V396" s="4">
        <v>0</v>
      </c>
      <c r="AG396" t="s">
        <v>436</v>
      </c>
      <c r="AM396" s="1" t="str">
        <f t="shared" si="30"/>
        <v>394_C0020_0140.jpg</v>
      </c>
    </row>
    <row r="397" spans="1:39" x14ac:dyDescent="0.35">
      <c r="A397">
        <v>393</v>
      </c>
      <c r="B397">
        <v>394</v>
      </c>
      <c r="C397">
        <v>146.806301198</v>
      </c>
      <c r="D397">
        <v>-19.162280641999899</v>
      </c>
      <c r="F397" s="64" t="s">
        <v>4320</v>
      </c>
      <c r="G397" s="64"/>
      <c r="H397" s="64"/>
      <c r="I397" s="64">
        <v>1</v>
      </c>
      <c r="J397" s="32">
        <f>IF(AND(I397=1,OR(I396=0,I396="")),MAX($J$4:$J396)+1,IF(AND(I397=1,I396=1),J396,""))</f>
        <v>23</v>
      </c>
      <c r="K397" s="32">
        <f t="shared" si="29"/>
        <v>50</v>
      </c>
      <c r="L397" s="32" t="str">
        <f t="shared" si="31"/>
        <v/>
      </c>
      <c r="M397" s="32">
        <f t="shared" si="32"/>
        <v>2500</v>
      </c>
      <c r="N397" s="4">
        <v>1</v>
      </c>
      <c r="O397" s="4">
        <v>0</v>
      </c>
      <c r="P397" s="4">
        <v>0</v>
      </c>
      <c r="Q397" s="4">
        <v>0</v>
      </c>
      <c r="R397" s="58">
        <v>0</v>
      </c>
      <c r="S397" s="58">
        <v>0</v>
      </c>
      <c r="T397" s="58">
        <v>0</v>
      </c>
      <c r="U397" s="5">
        <v>0</v>
      </c>
      <c r="V397" s="4">
        <v>0</v>
      </c>
      <c r="AG397" t="s">
        <v>437</v>
      </c>
      <c r="AM397" s="1" t="str">
        <f t="shared" si="30"/>
        <v>395_C0020_0135.jpg</v>
      </c>
    </row>
    <row r="398" spans="1:39" x14ac:dyDescent="0.35">
      <c r="A398">
        <v>394</v>
      </c>
      <c r="B398">
        <v>395</v>
      </c>
      <c r="C398">
        <v>146.80621786099999</v>
      </c>
      <c r="D398">
        <v>-19.162249738</v>
      </c>
      <c r="E398">
        <v>50</v>
      </c>
      <c r="F398" s="64" t="s">
        <v>4321</v>
      </c>
      <c r="G398" s="64"/>
      <c r="H398" s="64"/>
      <c r="I398" s="64">
        <v>0</v>
      </c>
      <c r="J398" s="32" t="str">
        <f>IF(AND(I398=1,OR(I397=0,I397="")),MAX($J$4:$J397)+1,IF(AND(I398=1,I397=1),J397,""))</f>
        <v/>
      </c>
      <c r="K398" s="32" t="str">
        <f t="shared" si="29"/>
        <v/>
      </c>
      <c r="L398" s="32" t="str">
        <f t="shared" si="31"/>
        <v/>
      </c>
      <c r="M398" s="32" t="str">
        <f t="shared" si="32"/>
        <v/>
      </c>
      <c r="N398" s="4">
        <v>1</v>
      </c>
      <c r="O398" s="4">
        <v>0</v>
      </c>
      <c r="P398" s="4">
        <v>0</v>
      </c>
      <c r="Q398" s="4">
        <v>0</v>
      </c>
      <c r="R398" s="58">
        <v>0</v>
      </c>
      <c r="S398" s="58">
        <v>0</v>
      </c>
      <c r="T398" s="58">
        <v>0</v>
      </c>
      <c r="U398" s="5">
        <v>0</v>
      </c>
      <c r="V398" s="4">
        <v>0</v>
      </c>
      <c r="AG398" t="s">
        <v>438</v>
      </c>
      <c r="AM398" s="1" t="str">
        <f t="shared" si="30"/>
        <v>396_C0020_0132.jpg</v>
      </c>
    </row>
    <row r="399" spans="1:39" x14ac:dyDescent="0.35">
      <c r="A399">
        <v>395</v>
      </c>
      <c r="B399">
        <v>396</v>
      </c>
      <c r="C399">
        <v>146.80614100599999</v>
      </c>
      <c r="D399">
        <v>-19.162205806999999</v>
      </c>
      <c r="F399" s="64" t="s">
        <v>4322</v>
      </c>
      <c r="G399" s="64"/>
      <c r="H399" s="64"/>
      <c r="I399" s="64">
        <v>0</v>
      </c>
      <c r="J399" s="32" t="str">
        <f>IF(AND(I399=1,OR(I398=0,I398="")),MAX($J$4:$J398)+1,IF(AND(I399=1,I398=1),J398,""))</f>
        <v/>
      </c>
      <c r="K399" s="32" t="str">
        <f t="shared" si="29"/>
        <v/>
      </c>
      <c r="L399" s="32" t="str">
        <f t="shared" si="31"/>
        <v/>
      </c>
      <c r="M399" s="32" t="str">
        <f t="shared" si="32"/>
        <v/>
      </c>
      <c r="N399" s="4">
        <v>1</v>
      </c>
      <c r="O399" s="4">
        <v>0</v>
      </c>
      <c r="P399" s="4">
        <v>0</v>
      </c>
      <c r="Q399" s="4">
        <v>0</v>
      </c>
      <c r="R399" s="58">
        <v>0</v>
      </c>
      <c r="S399" s="58">
        <v>0</v>
      </c>
      <c r="T399" s="58">
        <v>0</v>
      </c>
      <c r="U399" s="5">
        <v>0</v>
      </c>
      <c r="V399" s="4">
        <v>0</v>
      </c>
      <c r="AG399" t="s">
        <v>439</v>
      </c>
      <c r="AM399" s="1" t="str">
        <f t="shared" si="30"/>
        <v>397_C0020_0129.jpg</v>
      </c>
    </row>
    <row r="400" spans="1:39" x14ac:dyDescent="0.35">
      <c r="A400">
        <v>396</v>
      </c>
      <c r="B400">
        <v>397</v>
      </c>
      <c r="C400">
        <v>146.80605995900001</v>
      </c>
      <c r="D400">
        <v>-19.162171072</v>
      </c>
      <c r="F400" s="64" t="s">
        <v>4323</v>
      </c>
      <c r="G400" s="64"/>
      <c r="H400" s="64"/>
      <c r="I400" s="64">
        <v>0</v>
      </c>
      <c r="J400" s="32" t="str">
        <f>IF(AND(I400=1,OR(I399=0,I399="")),MAX($J$4:$J399)+1,IF(AND(I400=1,I399=1),J399,""))</f>
        <v/>
      </c>
      <c r="K400" s="32" t="str">
        <f t="shared" si="29"/>
        <v/>
      </c>
      <c r="L400" s="32" t="str">
        <f t="shared" si="31"/>
        <v/>
      </c>
      <c r="M400" s="32" t="str">
        <f t="shared" si="32"/>
        <v/>
      </c>
      <c r="N400" s="4">
        <v>1</v>
      </c>
      <c r="O400" s="4">
        <v>0</v>
      </c>
      <c r="P400" s="4">
        <v>0</v>
      </c>
      <c r="Q400" s="4">
        <v>0</v>
      </c>
      <c r="R400" s="58">
        <v>0</v>
      </c>
      <c r="S400" s="58">
        <v>0</v>
      </c>
      <c r="T400" s="58">
        <v>0</v>
      </c>
      <c r="U400" s="5">
        <v>0</v>
      </c>
      <c r="V400" s="4">
        <v>0</v>
      </c>
      <c r="AG400" t="s">
        <v>440</v>
      </c>
      <c r="AM400" s="1" t="str">
        <f t="shared" ref="AM400:AM421" si="33">HYPERLINK("E:\CAFNEC_GBRF\2023\JohnstoneRiver\Frames_for_Analysis\" &amp; F401, F401)</f>
        <v>398_C0020_0123.jpg</v>
      </c>
    </row>
    <row r="401" spans="1:39" x14ac:dyDescent="0.35">
      <c r="A401">
        <v>397</v>
      </c>
      <c r="B401">
        <v>398</v>
      </c>
      <c r="C401">
        <v>146.80597335600001</v>
      </c>
      <c r="D401">
        <v>-19.162148529</v>
      </c>
      <c r="F401" s="64" t="s">
        <v>4324</v>
      </c>
      <c r="G401" s="64"/>
      <c r="H401" s="64"/>
      <c r="I401" s="64">
        <v>0</v>
      </c>
      <c r="J401" s="32" t="str">
        <f>IF(AND(I401=1,OR(I400=0,I400="")),MAX($J$4:$J400)+1,IF(AND(I401=1,I400=1),J400,""))</f>
        <v/>
      </c>
      <c r="K401" s="32" t="str">
        <f t="shared" si="29"/>
        <v/>
      </c>
      <c r="L401" s="32" t="str">
        <f t="shared" si="31"/>
        <v/>
      </c>
      <c r="M401" s="32" t="str">
        <f t="shared" si="32"/>
        <v/>
      </c>
      <c r="N401" s="4">
        <v>1</v>
      </c>
      <c r="O401" s="4">
        <v>0</v>
      </c>
      <c r="P401" s="4">
        <v>0</v>
      </c>
      <c r="Q401" s="4">
        <v>0</v>
      </c>
      <c r="R401" s="58">
        <v>0</v>
      </c>
      <c r="S401" s="58">
        <v>0</v>
      </c>
      <c r="T401" s="58">
        <v>0</v>
      </c>
      <c r="U401" s="5">
        <v>0</v>
      </c>
      <c r="V401" s="4">
        <v>0</v>
      </c>
      <c r="AG401" t="s">
        <v>441</v>
      </c>
      <c r="AM401" s="1" t="str">
        <f t="shared" si="33"/>
        <v>399_C0020_0119.jpg</v>
      </c>
    </row>
    <row r="402" spans="1:39" x14ac:dyDescent="0.35">
      <c r="A402">
        <v>398</v>
      </c>
      <c r="B402">
        <v>399</v>
      </c>
      <c r="C402">
        <v>146.80588584200001</v>
      </c>
      <c r="D402">
        <v>-19.162132319000001</v>
      </c>
      <c r="F402" s="64" t="s">
        <v>4325</v>
      </c>
      <c r="G402" s="64"/>
      <c r="H402" s="64"/>
      <c r="I402" s="64">
        <v>0</v>
      </c>
      <c r="J402" s="32" t="str">
        <f>IF(AND(I402=1,OR(I401=0,I401="")),MAX($J$4:$J401)+1,IF(AND(I402=1,I401=1),J401,""))</f>
        <v/>
      </c>
      <c r="K402" s="32" t="str">
        <f t="shared" si="29"/>
        <v/>
      </c>
      <c r="L402" s="32" t="str">
        <f t="shared" si="31"/>
        <v/>
      </c>
      <c r="M402" s="32" t="str">
        <f t="shared" si="32"/>
        <v/>
      </c>
      <c r="N402" s="4">
        <v>1</v>
      </c>
      <c r="O402" s="4">
        <v>0</v>
      </c>
      <c r="P402" s="4">
        <v>0</v>
      </c>
      <c r="Q402" s="4">
        <v>0</v>
      </c>
      <c r="R402" s="58">
        <v>0</v>
      </c>
      <c r="S402" s="58">
        <v>0</v>
      </c>
      <c r="T402" s="58">
        <v>0</v>
      </c>
      <c r="U402" s="5">
        <v>0</v>
      </c>
      <c r="V402" s="4">
        <v>0</v>
      </c>
      <c r="AG402" t="s">
        <v>442</v>
      </c>
      <c r="AM402" s="1" t="str">
        <f t="shared" si="33"/>
        <v>400_C0020_0114.jpg</v>
      </c>
    </row>
    <row r="403" spans="1:39" x14ac:dyDescent="0.35">
      <c r="A403">
        <v>399</v>
      </c>
      <c r="B403">
        <v>400</v>
      </c>
      <c r="C403">
        <v>146.80579600999999</v>
      </c>
      <c r="D403">
        <v>-19.162132223999901</v>
      </c>
      <c r="E403">
        <v>50</v>
      </c>
      <c r="F403" s="64" t="s">
        <v>4326</v>
      </c>
      <c r="G403" s="64"/>
      <c r="H403" s="64"/>
      <c r="I403" s="64">
        <v>0</v>
      </c>
      <c r="J403" s="32" t="str">
        <f>IF(AND(I403=1,OR(I402=0,I402="")),MAX($J$4:$J402)+1,IF(AND(I403=1,I402=1),J402,""))</f>
        <v/>
      </c>
      <c r="K403" s="32" t="str">
        <f t="shared" si="29"/>
        <v/>
      </c>
      <c r="L403" s="32" t="str">
        <f t="shared" si="31"/>
        <v/>
      </c>
      <c r="M403" s="32" t="str">
        <f t="shared" si="32"/>
        <v/>
      </c>
      <c r="N403" s="4">
        <v>1</v>
      </c>
      <c r="O403" s="4">
        <v>0</v>
      </c>
      <c r="P403" s="4">
        <v>0</v>
      </c>
      <c r="Q403" s="4">
        <v>0</v>
      </c>
      <c r="R403" s="58">
        <v>0</v>
      </c>
      <c r="S403" s="58">
        <v>0</v>
      </c>
      <c r="T403" s="58">
        <v>0</v>
      </c>
      <c r="U403" s="5">
        <v>0</v>
      </c>
      <c r="V403" s="4">
        <v>0</v>
      </c>
      <c r="AG403" t="s">
        <v>443</v>
      </c>
      <c r="AM403" s="1" t="str">
        <f t="shared" si="33"/>
        <v>401_C0020_0109.jpg</v>
      </c>
    </row>
    <row r="404" spans="1:39" x14ac:dyDescent="0.35">
      <c r="A404">
        <v>400</v>
      </c>
      <c r="B404">
        <v>401</v>
      </c>
      <c r="C404">
        <v>146.805707571</v>
      </c>
      <c r="D404">
        <v>-19.162118490999902</v>
      </c>
      <c r="F404" s="64" t="s">
        <v>4327</v>
      </c>
      <c r="G404" s="64"/>
      <c r="H404" s="64"/>
      <c r="I404" s="64">
        <v>0</v>
      </c>
      <c r="J404" s="32" t="str">
        <f>IF(AND(I404=1,OR(I403=0,I403="")),MAX($J$4:$J403)+1,IF(AND(I404=1,I403=1),J403,""))</f>
        <v/>
      </c>
      <c r="K404" s="32" t="str">
        <f t="shared" si="29"/>
        <v/>
      </c>
      <c r="L404" s="32" t="str">
        <f t="shared" si="31"/>
        <v/>
      </c>
      <c r="M404" s="32" t="str">
        <f t="shared" si="32"/>
        <v/>
      </c>
      <c r="N404" s="4">
        <v>1</v>
      </c>
      <c r="O404" s="4">
        <v>0</v>
      </c>
      <c r="P404" s="4">
        <v>0</v>
      </c>
      <c r="Q404" s="4">
        <v>0</v>
      </c>
      <c r="R404" s="58">
        <v>0</v>
      </c>
      <c r="S404" s="58">
        <v>0</v>
      </c>
      <c r="T404" s="58">
        <v>0</v>
      </c>
      <c r="U404" s="5">
        <v>0</v>
      </c>
      <c r="V404" s="4">
        <v>0</v>
      </c>
      <c r="AG404" t="s">
        <v>444</v>
      </c>
      <c r="AM404" s="1" t="str">
        <f t="shared" si="33"/>
        <v>402_C0020_0105.jpg</v>
      </c>
    </row>
    <row r="405" spans="1:39" x14ac:dyDescent="0.35">
      <c r="A405">
        <v>401</v>
      </c>
      <c r="B405">
        <v>402</v>
      </c>
      <c r="C405">
        <v>146.80561937499999</v>
      </c>
      <c r="D405">
        <v>-19.1621023709999</v>
      </c>
      <c r="F405" s="64" t="s">
        <v>4328</v>
      </c>
      <c r="G405" s="64"/>
      <c r="H405" s="64"/>
      <c r="I405" s="64">
        <v>1</v>
      </c>
      <c r="J405" s="32">
        <f>IF(AND(I405=1,OR(I404=0,I404="")),MAX($J$4:$J404)+1,IF(AND(I405=1,I404=1),J404,""))</f>
        <v>24</v>
      </c>
      <c r="K405" s="32">
        <f t="shared" si="29"/>
        <v>180</v>
      </c>
      <c r="L405" s="32" t="str">
        <f t="shared" si="31"/>
        <v>HV</v>
      </c>
      <c r="M405" s="32">
        <f t="shared" si="32"/>
        <v>32400</v>
      </c>
      <c r="N405" s="4">
        <v>1</v>
      </c>
      <c r="O405" s="4">
        <v>0</v>
      </c>
      <c r="P405" s="4">
        <v>0</v>
      </c>
      <c r="Q405" s="4">
        <v>0</v>
      </c>
      <c r="R405" s="58">
        <v>0</v>
      </c>
      <c r="S405" s="58">
        <v>0</v>
      </c>
      <c r="T405" s="58">
        <v>0</v>
      </c>
      <c r="U405" s="5">
        <v>0</v>
      </c>
      <c r="V405" s="4">
        <v>0</v>
      </c>
      <c r="AG405" t="s">
        <v>445</v>
      </c>
      <c r="AM405" s="1" t="str">
        <f t="shared" si="33"/>
        <v>403_C0020_0101.jpg</v>
      </c>
    </row>
    <row r="406" spans="1:39" x14ac:dyDescent="0.35">
      <c r="A406">
        <v>402</v>
      </c>
      <c r="B406">
        <v>403</v>
      </c>
      <c r="C406">
        <v>146.80553078299999</v>
      </c>
      <c r="D406">
        <v>-19.162090452000001</v>
      </c>
      <c r="F406" s="64" t="s">
        <v>4329</v>
      </c>
      <c r="G406" s="64"/>
      <c r="H406" s="64"/>
      <c r="I406" s="64">
        <v>1</v>
      </c>
      <c r="J406" s="32">
        <f>IF(AND(I406=1,OR(I405=0,I405="")),MAX($J$4:$J405)+1,IF(AND(I406=1,I405=1),J405,""))</f>
        <v>24</v>
      </c>
      <c r="K406" s="32">
        <f t="shared" si="29"/>
        <v>180</v>
      </c>
      <c r="L406" s="32" t="str">
        <f t="shared" si="31"/>
        <v>HV</v>
      </c>
      <c r="M406" s="32">
        <f t="shared" si="32"/>
        <v>32400</v>
      </c>
      <c r="N406" s="4">
        <v>1</v>
      </c>
      <c r="O406" s="4">
        <v>0</v>
      </c>
      <c r="P406" s="4">
        <v>0</v>
      </c>
      <c r="Q406" s="4">
        <v>0</v>
      </c>
      <c r="R406" s="58">
        <v>0</v>
      </c>
      <c r="S406" s="58">
        <v>0</v>
      </c>
      <c r="T406" s="58">
        <v>0</v>
      </c>
      <c r="U406" s="5">
        <v>0</v>
      </c>
      <c r="V406" s="4">
        <v>0</v>
      </c>
      <c r="AG406" t="s">
        <v>446</v>
      </c>
      <c r="AM406" s="1" t="str">
        <f t="shared" si="33"/>
        <v>404_C0020_0097.jpg</v>
      </c>
    </row>
    <row r="407" spans="1:39" x14ac:dyDescent="0.35">
      <c r="A407">
        <v>403</v>
      </c>
      <c r="B407">
        <v>404</v>
      </c>
      <c r="C407">
        <v>146.80544096</v>
      </c>
      <c r="D407">
        <v>-19.1620915939999</v>
      </c>
      <c r="F407" s="64" t="s">
        <v>4330</v>
      </c>
      <c r="G407" s="64"/>
      <c r="H407" s="64"/>
      <c r="I407" s="64">
        <v>1</v>
      </c>
      <c r="J407" s="32">
        <f>IF(AND(I407=1,OR(I406=0,I406="")),MAX($J$4:$J406)+1,IF(AND(I407=1,I406=1),J406,""))</f>
        <v>24</v>
      </c>
      <c r="K407" s="32">
        <f t="shared" si="29"/>
        <v>180</v>
      </c>
      <c r="L407" s="32" t="str">
        <f t="shared" si="31"/>
        <v>HV</v>
      </c>
      <c r="M407" s="32">
        <f t="shared" si="32"/>
        <v>32400</v>
      </c>
      <c r="N407" s="4">
        <v>1</v>
      </c>
      <c r="O407" s="4">
        <v>0</v>
      </c>
      <c r="P407" s="4">
        <v>0</v>
      </c>
      <c r="Q407" s="4">
        <v>0</v>
      </c>
      <c r="R407" s="58">
        <v>0</v>
      </c>
      <c r="S407" s="58">
        <v>0</v>
      </c>
      <c r="T407" s="58">
        <v>0</v>
      </c>
      <c r="U407" s="5">
        <v>0</v>
      </c>
      <c r="V407" s="4">
        <v>0</v>
      </c>
      <c r="AG407" t="s">
        <v>447</v>
      </c>
      <c r="AM407" s="1" t="str">
        <f t="shared" si="33"/>
        <v>405_C0020_0092.jpg</v>
      </c>
    </row>
    <row r="408" spans="1:39" x14ac:dyDescent="0.35">
      <c r="A408">
        <v>404</v>
      </c>
      <c r="B408">
        <v>405</v>
      </c>
      <c r="C408">
        <v>146.80535113600001</v>
      </c>
      <c r="D408">
        <v>-19.162092736999998</v>
      </c>
      <c r="E408">
        <v>50</v>
      </c>
      <c r="F408" s="64" t="s">
        <v>4331</v>
      </c>
      <c r="G408" s="64"/>
      <c r="H408" s="64"/>
      <c r="I408" s="64">
        <v>1</v>
      </c>
      <c r="J408" s="32">
        <f>IF(AND(I408=1,OR(I407=0,I407="")),MAX($J$4:$J407)+1,IF(AND(I408=1,I407=1),J407,""))</f>
        <v>24</v>
      </c>
      <c r="K408" s="32">
        <f t="shared" si="29"/>
        <v>180</v>
      </c>
      <c r="L408" s="32" t="str">
        <f t="shared" si="31"/>
        <v>HV</v>
      </c>
      <c r="M408" s="32">
        <f t="shared" si="32"/>
        <v>32400</v>
      </c>
      <c r="N408" s="4">
        <v>1</v>
      </c>
      <c r="O408" s="4">
        <v>0</v>
      </c>
      <c r="P408" s="4">
        <v>0</v>
      </c>
      <c r="Q408" s="4">
        <v>0</v>
      </c>
      <c r="R408" s="58">
        <v>0</v>
      </c>
      <c r="S408" s="58">
        <v>0</v>
      </c>
      <c r="T408" s="58">
        <v>0</v>
      </c>
      <c r="U408" s="5">
        <v>0</v>
      </c>
      <c r="V408" s="4">
        <v>0</v>
      </c>
      <c r="AG408" t="s">
        <v>448</v>
      </c>
      <c r="AM408" s="1" t="str">
        <f t="shared" si="33"/>
        <v>406_C0020_0087.jpg</v>
      </c>
    </row>
    <row r="409" spans="1:39" x14ac:dyDescent="0.35">
      <c r="A409">
        <v>405</v>
      </c>
      <c r="B409">
        <v>406</v>
      </c>
      <c r="C409">
        <v>146.805264784</v>
      </c>
      <c r="D409">
        <v>-19.162074475999901</v>
      </c>
      <c r="F409" s="64" t="s">
        <v>4332</v>
      </c>
      <c r="G409" s="64"/>
      <c r="H409" s="64"/>
      <c r="I409" s="64">
        <v>1</v>
      </c>
      <c r="J409" s="32">
        <f>IF(AND(I409=1,OR(I408=0,I408="")),MAX($J$4:$J408)+1,IF(AND(I409=1,I408=1),J408,""))</f>
        <v>24</v>
      </c>
      <c r="K409" s="32">
        <f t="shared" si="29"/>
        <v>180</v>
      </c>
      <c r="L409" s="32" t="str">
        <f t="shared" si="31"/>
        <v>HV</v>
      </c>
      <c r="M409" s="32">
        <f t="shared" si="32"/>
        <v>32400</v>
      </c>
      <c r="N409" s="4">
        <v>1</v>
      </c>
      <c r="O409" s="4">
        <v>0</v>
      </c>
      <c r="P409" s="4">
        <v>0</v>
      </c>
      <c r="Q409" s="4">
        <v>0</v>
      </c>
      <c r="R409" s="58">
        <v>0</v>
      </c>
      <c r="S409" s="58">
        <v>0</v>
      </c>
      <c r="T409" s="58">
        <v>0</v>
      </c>
      <c r="U409" s="5">
        <v>0</v>
      </c>
      <c r="V409" s="4">
        <v>0</v>
      </c>
      <c r="AG409" t="s">
        <v>449</v>
      </c>
      <c r="AM409" s="1" t="str">
        <f t="shared" si="33"/>
        <v>407_C0020_0082.jpg</v>
      </c>
    </row>
    <row r="410" spans="1:39" x14ac:dyDescent="0.35">
      <c r="A410">
        <v>406</v>
      </c>
      <c r="B410">
        <v>407</v>
      </c>
      <c r="C410">
        <v>146.80518034599999</v>
      </c>
      <c r="D410">
        <v>-19.162045515999999</v>
      </c>
      <c r="F410" s="64" t="s">
        <v>4333</v>
      </c>
      <c r="G410" s="64"/>
      <c r="H410" s="64"/>
      <c r="I410" s="64">
        <v>1</v>
      </c>
      <c r="J410" s="32">
        <f>IF(AND(I410=1,OR(I409=0,I409="")),MAX($J$4:$J409)+1,IF(AND(I410=1,I409=1),J409,""))</f>
        <v>24</v>
      </c>
      <c r="K410" s="32">
        <f t="shared" si="29"/>
        <v>180</v>
      </c>
      <c r="L410" s="32" t="str">
        <f t="shared" si="31"/>
        <v>HV</v>
      </c>
      <c r="M410" s="32">
        <f t="shared" si="32"/>
        <v>32400</v>
      </c>
      <c r="N410" s="4">
        <v>1</v>
      </c>
      <c r="O410" s="4">
        <v>0</v>
      </c>
      <c r="P410" s="4">
        <v>0</v>
      </c>
      <c r="Q410" s="4">
        <v>0</v>
      </c>
      <c r="R410" s="58">
        <v>0</v>
      </c>
      <c r="S410" s="58">
        <v>0</v>
      </c>
      <c r="T410" s="58">
        <v>0</v>
      </c>
      <c r="U410" s="5">
        <v>0</v>
      </c>
      <c r="V410" s="4">
        <v>0</v>
      </c>
      <c r="AG410" t="s">
        <v>450</v>
      </c>
      <c r="AM410" s="1" t="str">
        <f t="shared" si="33"/>
        <v>408_C0020_0076.jpg</v>
      </c>
    </row>
    <row r="411" spans="1:39" x14ac:dyDescent="0.35">
      <c r="A411">
        <v>407</v>
      </c>
      <c r="B411">
        <v>408</v>
      </c>
      <c r="C411">
        <v>146.805095908</v>
      </c>
      <c r="D411">
        <v>-19.162016557000001</v>
      </c>
      <c r="F411" s="64" t="s">
        <v>4334</v>
      </c>
      <c r="G411" s="64"/>
      <c r="H411" s="64"/>
      <c r="I411" s="64">
        <v>1</v>
      </c>
      <c r="J411" s="32">
        <f>IF(AND(I411=1,OR(I410=0,I410="")),MAX($J$4:$J410)+1,IF(AND(I411=1,I410=1),J410,""))</f>
        <v>24</v>
      </c>
      <c r="K411" s="32">
        <f t="shared" si="29"/>
        <v>180</v>
      </c>
      <c r="L411" s="32" t="str">
        <f t="shared" si="31"/>
        <v>HV</v>
      </c>
      <c r="M411" s="32">
        <f t="shared" si="32"/>
        <v>32400</v>
      </c>
      <c r="N411" s="4">
        <v>1</v>
      </c>
      <c r="O411" s="4">
        <v>0</v>
      </c>
      <c r="P411" s="4">
        <v>0</v>
      </c>
      <c r="Q411" s="4">
        <v>0</v>
      </c>
      <c r="R411" s="58">
        <v>0</v>
      </c>
      <c r="S411" s="58">
        <v>0</v>
      </c>
      <c r="T411" s="58">
        <v>0</v>
      </c>
      <c r="U411" s="5">
        <v>0</v>
      </c>
      <c r="V411" s="4">
        <v>0</v>
      </c>
      <c r="AG411" t="s">
        <v>451</v>
      </c>
      <c r="AM411" s="1" t="str">
        <f t="shared" si="33"/>
        <v>409_C0020_0072.jpg</v>
      </c>
    </row>
    <row r="412" spans="1:39" x14ac:dyDescent="0.35">
      <c r="A412">
        <v>408</v>
      </c>
      <c r="B412">
        <v>409</v>
      </c>
      <c r="C412">
        <v>146.80501147000001</v>
      </c>
      <c r="D412">
        <v>-19.1619875979999</v>
      </c>
      <c r="F412" s="64" t="s">
        <v>4335</v>
      </c>
      <c r="G412" s="64"/>
      <c r="H412" s="64"/>
      <c r="I412" s="64">
        <v>1</v>
      </c>
      <c r="J412" s="32">
        <f>IF(AND(I412=1,OR(I411=0,I411="")),MAX($J$4:$J411)+1,IF(AND(I412=1,I411=1),J411,""))</f>
        <v>24</v>
      </c>
      <c r="K412" s="32">
        <f t="shared" si="29"/>
        <v>180</v>
      </c>
      <c r="L412" s="32" t="str">
        <f t="shared" si="31"/>
        <v>HV</v>
      </c>
      <c r="M412" s="32">
        <f t="shared" si="32"/>
        <v>32400</v>
      </c>
      <c r="N412" s="4">
        <v>1</v>
      </c>
      <c r="O412" s="4">
        <v>0</v>
      </c>
      <c r="P412" s="4">
        <v>0</v>
      </c>
      <c r="Q412" s="4">
        <v>0</v>
      </c>
      <c r="R412" s="58">
        <v>0</v>
      </c>
      <c r="S412" s="58">
        <v>0</v>
      </c>
      <c r="T412" s="58">
        <v>0</v>
      </c>
      <c r="U412" s="5">
        <v>0</v>
      </c>
      <c r="V412" s="4">
        <v>0</v>
      </c>
      <c r="AG412" t="s">
        <v>452</v>
      </c>
      <c r="AM412" s="1" t="str">
        <f t="shared" si="33"/>
        <v>410_C0020_0066.jpg</v>
      </c>
    </row>
    <row r="413" spans="1:39" x14ac:dyDescent="0.35">
      <c r="A413">
        <v>409</v>
      </c>
      <c r="B413">
        <v>410</v>
      </c>
      <c r="C413">
        <v>146.80492736599999</v>
      </c>
      <c r="D413">
        <v>-19.161957905999898</v>
      </c>
      <c r="E413">
        <v>50</v>
      </c>
      <c r="F413" s="64" t="s">
        <v>4336</v>
      </c>
      <c r="G413" s="64"/>
      <c r="H413" s="64"/>
      <c r="I413" s="64">
        <v>1</v>
      </c>
      <c r="J413" s="32">
        <f>IF(AND(I413=1,OR(I412=0,I412="")),MAX($J$4:$J412)+1,IF(AND(I413=1,I412=1),J412,""))</f>
        <v>24</v>
      </c>
      <c r="K413" s="32">
        <f t="shared" si="29"/>
        <v>180</v>
      </c>
      <c r="L413" s="32" t="str">
        <f t="shared" si="31"/>
        <v>HV</v>
      </c>
      <c r="M413" s="32">
        <f t="shared" si="32"/>
        <v>32400</v>
      </c>
      <c r="N413" s="4">
        <v>1</v>
      </c>
      <c r="O413" s="4">
        <v>0</v>
      </c>
      <c r="P413" s="4">
        <v>0</v>
      </c>
      <c r="Q413" s="4">
        <v>0</v>
      </c>
      <c r="R413" s="58">
        <v>0</v>
      </c>
      <c r="S413" s="58">
        <v>0</v>
      </c>
      <c r="T413" s="58">
        <v>0</v>
      </c>
      <c r="U413" s="5">
        <v>0</v>
      </c>
      <c r="V413" s="4">
        <v>0</v>
      </c>
      <c r="AG413" t="s">
        <v>453</v>
      </c>
      <c r="AM413" s="1" t="str">
        <f t="shared" si="33"/>
        <v>411_C0020_0060.jpg</v>
      </c>
    </row>
    <row r="414" spans="1:39" x14ac:dyDescent="0.35">
      <c r="A414">
        <v>410</v>
      </c>
      <c r="B414">
        <v>411</v>
      </c>
      <c r="C414">
        <v>146.804847161</v>
      </c>
      <c r="D414">
        <v>-19.161919691000001</v>
      </c>
      <c r="F414" s="64" t="s">
        <v>4337</v>
      </c>
      <c r="G414" s="64"/>
      <c r="H414" s="64"/>
      <c r="I414" s="64">
        <v>1</v>
      </c>
      <c r="J414" s="32">
        <f>IF(AND(I414=1,OR(I413=0,I413="")),MAX($J$4:$J413)+1,IF(AND(I414=1,I413=1),J413,""))</f>
        <v>24</v>
      </c>
      <c r="K414" s="32">
        <f t="shared" si="29"/>
        <v>180</v>
      </c>
      <c r="L414" s="32" t="str">
        <f t="shared" si="31"/>
        <v>HV</v>
      </c>
      <c r="M414" s="32">
        <f t="shared" si="32"/>
        <v>32400</v>
      </c>
      <c r="N414" s="4">
        <v>1</v>
      </c>
      <c r="O414" s="4">
        <v>0</v>
      </c>
      <c r="P414" s="4">
        <v>0</v>
      </c>
      <c r="Q414" s="4">
        <v>0</v>
      </c>
      <c r="R414" s="58">
        <v>0</v>
      </c>
      <c r="S414" s="58">
        <v>0</v>
      </c>
      <c r="T414" s="58">
        <v>0</v>
      </c>
      <c r="U414" s="5">
        <v>0</v>
      </c>
      <c r="V414" s="4">
        <v>0</v>
      </c>
      <c r="AG414" t="s">
        <v>454</v>
      </c>
      <c r="AM414" s="1" t="str">
        <f t="shared" si="33"/>
        <v>412_C0020_0055.jpg</v>
      </c>
    </row>
    <row r="415" spans="1:39" x14ac:dyDescent="0.35">
      <c r="A415">
        <v>411</v>
      </c>
      <c r="B415">
        <v>412</v>
      </c>
      <c r="C415">
        <v>146.80476695499999</v>
      </c>
      <c r="D415">
        <v>-19.161881475000001</v>
      </c>
      <c r="F415" s="64" t="s">
        <v>4338</v>
      </c>
      <c r="G415" s="64"/>
      <c r="H415" s="64"/>
      <c r="I415" s="64">
        <v>1</v>
      </c>
      <c r="J415" s="32">
        <f>IF(AND(I415=1,OR(I414=0,I414="")),MAX($J$4:$J414)+1,IF(AND(I415=1,I414=1),J414,""))</f>
        <v>24</v>
      </c>
      <c r="K415" s="32">
        <f t="shared" ref="K415:K478" si="34">IF(J415="","",COUNTIF(J:J,J415)*10)</f>
        <v>180</v>
      </c>
      <c r="L415" s="32" t="str">
        <f t="shared" si="31"/>
        <v>HV</v>
      </c>
      <c r="M415" s="32">
        <f t="shared" si="32"/>
        <v>32400</v>
      </c>
      <c r="N415" s="4">
        <v>1</v>
      </c>
      <c r="O415" s="4">
        <v>0</v>
      </c>
      <c r="P415" s="4">
        <v>0</v>
      </c>
      <c r="Q415" s="4">
        <v>0</v>
      </c>
      <c r="R415" s="58">
        <v>0</v>
      </c>
      <c r="S415" s="58">
        <v>0</v>
      </c>
      <c r="T415" s="58">
        <v>0</v>
      </c>
      <c r="U415" s="5">
        <v>0</v>
      </c>
      <c r="V415" s="4">
        <v>0</v>
      </c>
      <c r="AG415" t="s">
        <v>455</v>
      </c>
      <c r="AM415" s="1" t="str">
        <f t="shared" si="33"/>
        <v>413_C0020_0049.jpg</v>
      </c>
    </row>
    <row r="416" spans="1:39" x14ac:dyDescent="0.35">
      <c r="A416">
        <v>412</v>
      </c>
      <c r="B416">
        <v>413</v>
      </c>
      <c r="C416">
        <v>146.80468675</v>
      </c>
      <c r="D416">
        <v>-19.161843260000001</v>
      </c>
      <c r="F416" s="64" t="s">
        <v>4339</v>
      </c>
      <c r="G416" s="64"/>
      <c r="H416" s="64"/>
      <c r="I416" s="64">
        <v>1</v>
      </c>
      <c r="J416" s="32">
        <f>IF(AND(I416=1,OR(I415=0,I415="")),MAX($J$4:$J415)+1,IF(AND(I416=1,I415=1),J415,""))</f>
        <v>24</v>
      </c>
      <c r="K416" s="32">
        <f t="shared" si="34"/>
        <v>180</v>
      </c>
      <c r="L416" s="32" t="str">
        <f t="shared" si="31"/>
        <v>HV</v>
      </c>
      <c r="M416" s="32">
        <f t="shared" si="32"/>
        <v>32400</v>
      </c>
      <c r="N416" s="4">
        <v>1</v>
      </c>
      <c r="O416" s="4">
        <v>0</v>
      </c>
      <c r="P416" s="4">
        <v>0</v>
      </c>
      <c r="Q416" s="4">
        <v>0</v>
      </c>
      <c r="R416" s="58">
        <v>0</v>
      </c>
      <c r="S416" s="58">
        <v>0</v>
      </c>
      <c r="T416" s="58">
        <v>0</v>
      </c>
      <c r="U416" s="5">
        <v>0</v>
      </c>
      <c r="V416" s="4">
        <v>0</v>
      </c>
      <c r="AG416" t="s">
        <v>456</v>
      </c>
      <c r="AM416" s="1" t="str">
        <f t="shared" si="33"/>
        <v>414_C0020_0043.jpg</v>
      </c>
    </row>
    <row r="417" spans="1:39" x14ac:dyDescent="0.35">
      <c r="A417">
        <v>413</v>
      </c>
      <c r="B417">
        <v>414</v>
      </c>
      <c r="C417">
        <v>146.80460654399999</v>
      </c>
      <c r="D417">
        <v>-19.161805043999902</v>
      </c>
      <c r="F417" s="64" t="s">
        <v>4340</v>
      </c>
      <c r="G417" s="64"/>
      <c r="H417" s="64"/>
      <c r="I417" s="64">
        <v>1</v>
      </c>
      <c r="J417" s="32">
        <f>IF(AND(I417=1,OR(I416=0,I416="")),MAX($J$4:$J416)+1,IF(AND(I417=1,I416=1),J416,""))</f>
        <v>24</v>
      </c>
      <c r="K417" s="32">
        <f t="shared" si="34"/>
        <v>180</v>
      </c>
      <c r="L417" s="32" t="str">
        <f t="shared" si="31"/>
        <v>HV</v>
      </c>
      <c r="M417" s="32">
        <f t="shared" si="32"/>
        <v>32400</v>
      </c>
      <c r="N417" s="4">
        <v>1</v>
      </c>
      <c r="O417" s="4">
        <v>0</v>
      </c>
      <c r="P417" s="4">
        <v>0</v>
      </c>
      <c r="Q417" s="4">
        <v>0</v>
      </c>
      <c r="R417" s="58">
        <v>0</v>
      </c>
      <c r="S417" s="58">
        <v>0</v>
      </c>
      <c r="T417" s="58">
        <v>0</v>
      </c>
      <c r="U417" s="5">
        <v>0</v>
      </c>
      <c r="V417" s="4">
        <v>0</v>
      </c>
      <c r="AG417" t="s">
        <v>457</v>
      </c>
      <c r="AM417" s="1" t="str">
        <f t="shared" si="33"/>
        <v>415_C0020_0037.jpg</v>
      </c>
    </row>
    <row r="418" spans="1:39" x14ac:dyDescent="0.35">
      <c r="A418">
        <v>414</v>
      </c>
      <c r="B418">
        <v>415</v>
      </c>
      <c r="C418">
        <v>146.80452806400001</v>
      </c>
      <c r="D418">
        <v>-19.161764085000002</v>
      </c>
      <c r="E418">
        <v>50</v>
      </c>
      <c r="F418" s="64" t="s">
        <v>4341</v>
      </c>
      <c r="G418" s="64"/>
      <c r="H418" s="64"/>
      <c r="I418" s="64">
        <v>1</v>
      </c>
      <c r="J418" s="32">
        <f>IF(AND(I418=1,OR(I417=0,I417="")),MAX($J$4:$J417)+1,IF(AND(I418=1,I417=1),J417,""))</f>
        <v>24</v>
      </c>
      <c r="K418" s="32">
        <f t="shared" si="34"/>
        <v>180</v>
      </c>
      <c r="L418" s="32" t="str">
        <f t="shared" si="31"/>
        <v>HV</v>
      </c>
      <c r="M418" s="32">
        <f t="shared" si="32"/>
        <v>32400</v>
      </c>
      <c r="N418" s="4">
        <v>1</v>
      </c>
      <c r="O418" s="4">
        <v>0</v>
      </c>
      <c r="P418" s="4">
        <v>0</v>
      </c>
      <c r="Q418" s="4">
        <v>0</v>
      </c>
      <c r="R418" s="58">
        <v>0</v>
      </c>
      <c r="S418" s="58">
        <v>0</v>
      </c>
      <c r="T418" s="58">
        <v>0</v>
      </c>
      <c r="U418" s="5">
        <v>0</v>
      </c>
      <c r="V418" s="4">
        <v>0</v>
      </c>
      <c r="AG418" t="s">
        <v>458</v>
      </c>
      <c r="AM418" s="1" t="str">
        <f t="shared" si="33"/>
        <v>416_C0020_0026.jpg</v>
      </c>
    </row>
    <row r="419" spans="1:39" x14ac:dyDescent="0.35">
      <c r="A419">
        <v>415</v>
      </c>
      <c r="B419">
        <v>416</v>
      </c>
      <c r="C419">
        <v>146.80445416800001</v>
      </c>
      <c r="D419">
        <v>-19.1617158359999</v>
      </c>
      <c r="F419" s="64" t="s">
        <v>4342</v>
      </c>
      <c r="G419" s="64"/>
      <c r="H419" s="64"/>
      <c r="I419" s="64">
        <v>1</v>
      </c>
      <c r="J419" s="32">
        <f>IF(AND(I419=1,OR(I418=0,I418="")),MAX($J$4:$J418)+1,IF(AND(I419=1,I418=1),J418,""))</f>
        <v>24</v>
      </c>
      <c r="K419" s="32">
        <f t="shared" si="34"/>
        <v>180</v>
      </c>
      <c r="L419" s="32" t="str">
        <f t="shared" si="31"/>
        <v>HV</v>
      </c>
      <c r="M419" s="32">
        <f t="shared" si="32"/>
        <v>32400</v>
      </c>
      <c r="N419" s="4">
        <v>1</v>
      </c>
      <c r="O419" s="4">
        <v>0</v>
      </c>
      <c r="P419" s="4">
        <v>0</v>
      </c>
      <c r="Q419" s="4">
        <v>0</v>
      </c>
      <c r="R419" s="58">
        <v>0</v>
      </c>
      <c r="S419" s="58">
        <v>0</v>
      </c>
      <c r="T419" s="58">
        <v>0</v>
      </c>
      <c r="U419" s="5">
        <v>0</v>
      </c>
      <c r="V419" s="4">
        <v>0</v>
      </c>
      <c r="AG419" t="s">
        <v>459</v>
      </c>
      <c r="AM419" s="1" t="str">
        <f t="shared" si="33"/>
        <v>417_C0020_0023.jpg</v>
      </c>
    </row>
    <row r="420" spans="1:39" x14ac:dyDescent="0.35">
      <c r="A420">
        <v>416</v>
      </c>
      <c r="B420">
        <v>417</v>
      </c>
      <c r="C420">
        <v>146.804380272</v>
      </c>
      <c r="D420">
        <v>-19.161667586</v>
      </c>
      <c r="F420" s="64" t="s">
        <v>4343</v>
      </c>
      <c r="G420" s="64"/>
      <c r="H420" s="64"/>
      <c r="I420" s="64">
        <v>1</v>
      </c>
      <c r="J420" s="32">
        <f>IF(AND(I420=1,OR(I419=0,I419="")),MAX($J$4:$J419)+1,IF(AND(I420=1,I419=1),J419,""))</f>
        <v>24</v>
      </c>
      <c r="K420" s="32">
        <f t="shared" si="34"/>
        <v>180</v>
      </c>
      <c r="L420" s="32" t="str">
        <f t="shared" si="31"/>
        <v>HV</v>
      </c>
      <c r="M420" s="32">
        <f t="shared" si="32"/>
        <v>32400</v>
      </c>
      <c r="N420" s="4">
        <v>1</v>
      </c>
      <c r="O420" s="4">
        <v>0</v>
      </c>
      <c r="P420" s="4">
        <v>0</v>
      </c>
      <c r="Q420" s="4">
        <v>0</v>
      </c>
      <c r="R420" s="58">
        <v>0</v>
      </c>
      <c r="S420" s="58">
        <v>0</v>
      </c>
      <c r="T420" s="58">
        <v>0</v>
      </c>
      <c r="U420" s="5">
        <v>0</v>
      </c>
      <c r="V420" s="4">
        <v>0</v>
      </c>
      <c r="AG420" t="s">
        <v>460</v>
      </c>
      <c r="AM420" s="1" t="str">
        <f t="shared" si="33"/>
        <v>418_C0020_0010.jpg</v>
      </c>
    </row>
    <row r="421" spans="1:39" x14ac:dyDescent="0.35">
      <c r="A421">
        <v>417</v>
      </c>
      <c r="B421">
        <v>418</v>
      </c>
      <c r="C421">
        <v>146.804306376</v>
      </c>
      <c r="D421">
        <v>-19.161619336999902</v>
      </c>
      <c r="F421" s="64" t="s">
        <v>4344</v>
      </c>
      <c r="G421" s="64"/>
      <c r="H421" s="64"/>
      <c r="I421" s="64">
        <v>1</v>
      </c>
      <c r="J421" s="32">
        <f>IF(AND(I421=1,OR(I420=0,I420="")),MAX($J$4:$J420)+1,IF(AND(I421=1,I420=1),J420,""))</f>
        <v>24</v>
      </c>
      <c r="K421" s="32">
        <f t="shared" si="34"/>
        <v>180</v>
      </c>
      <c r="L421" s="32" t="str">
        <f t="shared" si="31"/>
        <v>HV</v>
      </c>
      <c r="M421" s="32">
        <f t="shared" si="32"/>
        <v>32400</v>
      </c>
      <c r="N421" s="4">
        <v>1</v>
      </c>
      <c r="O421" s="4">
        <v>0</v>
      </c>
      <c r="P421" s="4">
        <v>0</v>
      </c>
      <c r="Q421" s="4">
        <v>0</v>
      </c>
      <c r="R421" s="58">
        <v>0</v>
      </c>
      <c r="S421" s="58">
        <v>0</v>
      </c>
      <c r="T421" s="58">
        <v>0</v>
      </c>
      <c r="U421" s="5">
        <v>0</v>
      </c>
      <c r="V421" s="4">
        <v>0</v>
      </c>
      <c r="AG421" t="s">
        <v>461</v>
      </c>
      <c r="AM421" s="1" t="str">
        <f t="shared" si="33"/>
        <v>419_C0020_0004.jpg</v>
      </c>
    </row>
    <row r="422" spans="1:39" x14ac:dyDescent="0.35">
      <c r="A422">
        <v>418</v>
      </c>
      <c r="B422">
        <v>419</v>
      </c>
      <c r="C422">
        <v>146.80423248100001</v>
      </c>
      <c r="D422">
        <v>-19.161571086999999</v>
      </c>
      <c r="F422" s="64" t="s">
        <v>4345</v>
      </c>
      <c r="G422" s="64"/>
      <c r="H422" s="64"/>
      <c r="I422" s="64">
        <v>1</v>
      </c>
      <c r="J422" s="32">
        <f>IF(AND(I422=1,OR(I421=0,I421="")),MAX($J$4:$J421)+1,IF(AND(I422=1,I421=1),J421,""))</f>
        <v>24</v>
      </c>
      <c r="K422" s="32">
        <f t="shared" si="34"/>
        <v>180</v>
      </c>
      <c r="L422" s="32" t="str">
        <f t="shared" si="31"/>
        <v>HV</v>
      </c>
      <c r="M422" s="32">
        <f t="shared" si="32"/>
        <v>32400</v>
      </c>
      <c r="N422" s="4">
        <v>1</v>
      </c>
      <c r="O422" s="4">
        <v>0</v>
      </c>
      <c r="P422" s="4">
        <v>0</v>
      </c>
      <c r="Q422" s="4">
        <v>0</v>
      </c>
      <c r="R422" s="58">
        <v>0</v>
      </c>
      <c r="S422" s="58">
        <v>0</v>
      </c>
      <c r="T422" s="58">
        <v>0</v>
      </c>
      <c r="U422" s="5">
        <v>0</v>
      </c>
      <c r="V422" s="4">
        <v>0</v>
      </c>
      <c r="AG422" t="s">
        <v>462</v>
      </c>
      <c r="AM422" s="1"/>
    </row>
    <row r="423" spans="1:39" x14ac:dyDescent="0.35">
      <c r="A423">
        <v>419</v>
      </c>
      <c r="B423">
        <v>420</v>
      </c>
      <c r="C423">
        <v>146.80415858500001</v>
      </c>
      <c r="D423">
        <v>-19.1615228379999</v>
      </c>
      <c r="E423">
        <v>50</v>
      </c>
      <c r="F423" s="64"/>
      <c r="G423" s="64"/>
      <c r="H423" s="64" t="s">
        <v>26</v>
      </c>
      <c r="I423" s="64"/>
      <c r="J423" s="32" t="str">
        <f>IF(AND(I423=1,OR(I422=0,I422="")),MAX($J$4:$J422)+1,IF(AND(I423=1,I422=1),J422,""))</f>
        <v/>
      </c>
      <c r="K423" s="32" t="str">
        <f t="shared" si="34"/>
        <v/>
      </c>
      <c r="L423" s="32" t="str">
        <f t="shared" si="31"/>
        <v/>
      </c>
      <c r="M423" s="32" t="str">
        <f t="shared" si="32"/>
        <v/>
      </c>
      <c r="N423" s="4"/>
      <c r="O423" s="4"/>
      <c r="P423" s="4"/>
      <c r="Q423" s="4"/>
      <c r="U423" s="5"/>
      <c r="V423" s="4"/>
      <c r="AG423" t="s">
        <v>463</v>
      </c>
      <c r="AM423" s="1"/>
    </row>
    <row r="424" spans="1:39" x14ac:dyDescent="0.35">
      <c r="A424">
        <v>420</v>
      </c>
      <c r="B424">
        <v>421</v>
      </c>
      <c r="C424">
        <v>146.80408468900001</v>
      </c>
      <c r="D424">
        <v>-19.161474588000001</v>
      </c>
      <c r="F424" s="64"/>
      <c r="G424" s="64"/>
      <c r="H424" s="64" t="s">
        <v>26</v>
      </c>
      <c r="I424" s="64"/>
      <c r="J424" s="32" t="str">
        <f>IF(AND(I424=1,OR(I423=0,I423="")),MAX($J$4:$J423)+1,IF(AND(I424=1,I423=1),J423,""))</f>
        <v/>
      </c>
      <c r="K424" s="32" t="str">
        <f t="shared" si="34"/>
        <v/>
      </c>
      <c r="L424" s="32" t="str">
        <f t="shared" si="31"/>
        <v/>
      </c>
      <c r="M424" s="32" t="str">
        <f t="shared" si="32"/>
        <v/>
      </c>
      <c r="N424" s="4"/>
      <c r="O424" s="4"/>
      <c r="P424" s="4"/>
      <c r="Q424" s="4"/>
      <c r="U424" s="5"/>
      <c r="V424" s="4"/>
      <c r="AG424" t="s">
        <v>464</v>
      </c>
      <c r="AM424" s="1"/>
    </row>
    <row r="425" spans="1:39" x14ac:dyDescent="0.35">
      <c r="A425">
        <v>421</v>
      </c>
      <c r="B425">
        <v>422</v>
      </c>
      <c r="C425">
        <v>146.804010793</v>
      </c>
      <c r="D425">
        <v>-19.161426338999899</v>
      </c>
      <c r="F425" s="64"/>
      <c r="G425" s="64"/>
      <c r="H425" s="64" t="s">
        <v>26</v>
      </c>
      <c r="I425" s="64"/>
      <c r="J425" s="32" t="str">
        <f>IF(AND(I425=1,OR(I424=0,I424="")),MAX($J$4:$J424)+1,IF(AND(I425=1,I424=1),J424,""))</f>
        <v/>
      </c>
      <c r="K425" s="32" t="str">
        <f t="shared" si="34"/>
        <v/>
      </c>
      <c r="L425" s="32" t="str">
        <f t="shared" si="31"/>
        <v/>
      </c>
      <c r="M425" s="32" t="str">
        <f t="shared" si="32"/>
        <v/>
      </c>
      <c r="N425" s="4"/>
      <c r="O425" s="4"/>
      <c r="P425" s="4"/>
      <c r="Q425" s="4"/>
      <c r="U425" s="5"/>
      <c r="V425" s="4"/>
      <c r="AG425" t="s">
        <v>465</v>
      </c>
      <c r="AM425" s="1"/>
    </row>
    <row r="426" spans="1:39" x14ac:dyDescent="0.35">
      <c r="A426">
        <v>422</v>
      </c>
      <c r="B426">
        <v>423</v>
      </c>
      <c r="C426">
        <v>146.803935225</v>
      </c>
      <c r="D426">
        <v>-19.161380529999999</v>
      </c>
      <c r="F426" s="64"/>
      <c r="G426" s="64"/>
      <c r="H426" s="64" t="s">
        <v>26</v>
      </c>
      <c r="I426" s="64"/>
      <c r="J426" s="32" t="str">
        <f>IF(AND(I426=1,OR(I425=0,I425="")),MAX($J$4:$J425)+1,IF(AND(I426=1,I425=1),J425,""))</f>
        <v/>
      </c>
      <c r="K426" s="32" t="str">
        <f t="shared" si="34"/>
        <v/>
      </c>
      <c r="L426" s="32" t="str">
        <f t="shared" si="31"/>
        <v/>
      </c>
      <c r="M426" s="32" t="str">
        <f t="shared" si="32"/>
        <v/>
      </c>
      <c r="N426" s="4"/>
      <c r="O426" s="4"/>
      <c r="P426" s="4"/>
      <c r="Q426" s="4"/>
      <c r="U426" s="5"/>
      <c r="V426" s="4"/>
      <c r="AG426" t="s">
        <v>466</v>
      </c>
      <c r="AM426" s="1"/>
    </row>
    <row r="427" spans="1:39" x14ac:dyDescent="0.35">
      <c r="A427">
        <v>423</v>
      </c>
      <c r="B427">
        <v>424</v>
      </c>
      <c r="C427">
        <v>146.80385837</v>
      </c>
      <c r="D427">
        <v>-19.161336597999899</v>
      </c>
      <c r="F427" s="64"/>
      <c r="G427" s="64"/>
      <c r="H427" s="64" t="s">
        <v>26</v>
      </c>
      <c r="I427" s="64"/>
      <c r="J427" s="32" t="str">
        <f>IF(AND(I427=1,OR(I426=0,I426="")),MAX($J$4:$J426)+1,IF(AND(I427=1,I426=1),J426,""))</f>
        <v/>
      </c>
      <c r="K427" s="32" t="str">
        <f t="shared" si="34"/>
        <v/>
      </c>
      <c r="L427" s="32" t="str">
        <f t="shared" si="31"/>
        <v/>
      </c>
      <c r="M427" s="32" t="str">
        <f t="shared" si="32"/>
        <v/>
      </c>
      <c r="N427" s="4"/>
      <c r="O427" s="4"/>
      <c r="P427" s="4"/>
      <c r="Q427" s="4"/>
      <c r="U427" s="5"/>
      <c r="V427" s="4"/>
      <c r="AG427" t="s">
        <v>467</v>
      </c>
      <c r="AM427" s="1"/>
    </row>
    <row r="428" spans="1:39" x14ac:dyDescent="0.35">
      <c r="A428">
        <v>424</v>
      </c>
      <c r="B428">
        <v>425</v>
      </c>
      <c r="C428">
        <v>146.803781515</v>
      </c>
      <c r="D428">
        <v>-19.161292666999898</v>
      </c>
      <c r="E428">
        <v>50</v>
      </c>
      <c r="F428" s="64"/>
      <c r="G428" s="64"/>
      <c r="H428" s="64" t="s">
        <v>26</v>
      </c>
      <c r="I428" s="64"/>
      <c r="J428" s="32" t="str">
        <f>IF(AND(I428=1,OR(I427=0,I427="")),MAX($J$4:$J427)+1,IF(AND(I428=1,I427=1),J427,""))</f>
        <v/>
      </c>
      <c r="K428" s="32" t="str">
        <f t="shared" si="34"/>
        <v/>
      </c>
      <c r="L428" s="32" t="str">
        <f t="shared" si="31"/>
        <v/>
      </c>
      <c r="M428" s="32" t="str">
        <f t="shared" si="32"/>
        <v/>
      </c>
      <c r="N428" s="4"/>
      <c r="O428" s="4"/>
      <c r="P428" s="4"/>
      <c r="Q428" s="4"/>
      <c r="U428" s="5"/>
      <c r="V428" s="4"/>
      <c r="AG428" t="s">
        <v>468</v>
      </c>
      <c r="AM428" s="1"/>
    </row>
    <row r="429" spans="1:39" x14ac:dyDescent="0.35">
      <c r="A429">
        <v>425</v>
      </c>
      <c r="B429">
        <v>426</v>
      </c>
      <c r="C429">
        <v>146.80370465999999</v>
      </c>
      <c r="D429">
        <v>-19.161248735000001</v>
      </c>
      <c r="F429" s="64"/>
      <c r="G429" s="64"/>
      <c r="H429" s="64" t="s">
        <v>26</v>
      </c>
      <c r="I429" s="64"/>
      <c r="J429" s="32" t="str">
        <f>IF(AND(I429=1,OR(I428=0,I428="")),MAX($J$4:$J428)+1,IF(AND(I429=1,I428=1),J428,""))</f>
        <v/>
      </c>
      <c r="K429" s="32" t="str">
        <f t="shared" si="34"/>
        <v/>
      </c>
      <c r="L429" s="32" t="str">
        <f t="shared" si="31"/>
        <v/>
      </c>
      <c r="M429" s="32" t="str">
        <f t="shared" si="32"/>
        <v/>
      </c>
      <c r="N429" s="4"/>
      <c r="O429" s="4"/>
      <c r="P429" s="4"/>
      <c r="Q429" s="4"/>
      <c r="U429" s="5"/>
      <c r="V429" s="4"/>
      <c r="AG429" t="s">
        <v>469</v>
      </c>
      <c r="AM429" s="1"/>
    </row>
    <row r="430" spans="1:39" x14ac:dyDescent="0.35">
      <c r="A430">
        <v>426</v>
      </c>
      <c r="B430">
        <v>427</v>
      </c>
      <c r="C430">
        <v>146.80362780499999</v>
      </c>
      <c r="D430">
        <v>-19.161204803</v>
      </c>
      <c r="F430" s="64"/>
      <c r="G430" s="64"/>
      <c r="H430" s="64" t="s">
        <v>26</v>
      </c>
      <c r="I430" s="64"/>
      <c r="J430" s="32" t="str">
        <f>IF(AND(I430=1,OR(I429=0,I429="")),MAX($J$4:$J429)+1,IF(AND(I430=1,I429=1),J429,""))</f>
        <v/>
      </c>
      <c r="K430" s="32" t="str">
        <f t="shared" si="34"/>
        <v/>
      </c>
      <c r="L430" s="32" t="str">
        <f t="shared" si="31"/>
        <v/>
      </c>
      <c r="M430" s="32" t="str">
        <f t="shared" si="32"/>
        <v/>
      </c>
      <c r="N430" s="4"/>
      <c r="O430" s="4"/>
      <c r="P430" s="4"/>
      <c r="Q430" s="4"/>
      <c r="U430" s="5"/>
      <c r="V430" s="4"/>
      <c r="AG430" t="s">
        <v>470</v>
      </c>
      <c r="AM430" s="1"/>
    </row>
    <row r="431" spans="1:39" x14ac:dyDescent="0.35">
      <c r="A431">
        <v>427</v>
      </c>
      <c r="B431">
        <v>428</v>
      </c>
      <c r="C431">
        <v>146.80355175700001</v>
      </c>
      <c r="D431">
        <v>-19.161159690000002</v>
      </c>
      <c r="F431" s="64"/>
      <c r="G431" s="64"/>
      <c r="H431" s="64" t="s">
        <v>26</v>
      </c>
      <c r="I431" s="64"/>
      <c r="J431" s="32" t="str">
        <f>IF(AND(I431=1,OR(I430=0,I430="")),MAX($J$4:$J430)+1,IF(AND(I431=1,I430=1),J430,""))</f>
        <v/>
      </c>
      <c r="K431" s="32" t="str">
        <f t="shared" si="34"/>
        <v/>
      </c>
      <c r="L431" s="32" t="str">
        <f t="shared" si="31"/>
        <v/>
      </c>
      <c r="M431" s="32" t="str">
        <f t="shared" si="32"/>
        <v/>
      </c>
      <c r="N431" s="4"/>
      <c r="O431" s="4"/>
      <c r="P431" s="4"/>
      <c r="Q431" s="4"/>
      <c r="U431" s="5"/>
      <c r="V431" s="4"/>
      <c r="AG431" t="s">
        <v>471</v>
      </c>
      <c r="AM431" s="1"/>
    </row>
    <row r="432" spans="1:39" x14ac:dyDescent="0.35">
      <c r="A432">
        <v>428</v>
      </c>
      <c r="B432">
        <v>429</v>
      </c>
      <c r="C432">
        <v>146.803477716</v>
      </c>
      <c r="D432">
        <v>-19.161111639999898</v>
      </c>
      <c r="F432" s="64"/>
      <c r="G432" s="64"/>
      <c r="H432" s="64" t="s">
        <v>26</v>
      </c>
      <c r="I432" s="64"/>
      <c r="J432" s="32" t="str">
        <f>IF(AND(I432=1,OR(I431=0,I431="")),MAX($J$4:$J431)+1,IF(AND(I432=1,I431=1),J431,""))</f>
        <v/>
      </c>
      <c r="K432" s="32" t="str">
        <f t="shared" si="34"/>
        <v/>
      </c>
      <c r="L432" s="32" t="str">
        <f t="shared" si="31"/>
        <v/>
      </c>
      <c r="M432" s="32" t="str">
        <f t="shared" si="32"/>
        <v/>
      </c>
      <c r="N432" s="4"/>
      <c r="O432" s="4"/>
      <c r="P432" s="4"/>
      <c r="Q432" s="4"/>
      <c r="U432" s="5"/>
      <c r="V432" s="4"/>
      <c r="AG432" t="s">
        <v>472</v>
      </c>
      <c r="AM432" s="1"/>
    </row>
    <row r="433" spans="1:39" x14ac:dyDescent="0.35">
      <c r="A433">
        <v>429</v>
      </c>
      <c r="B433">
        <v>430</v>
      </c>
      <c r="C433">
        <v>146.80340367400001</v>
      </c>
      <c r="D433">
        <v>-19.161063591000001</v>
      </c>
      <c r="E433">
        <v>50</v>
      </c>
      <c r="F433" s="64"/>
      <c r="G433" s="64"/>
      <c r="H433" s="64" t="s">
        <v>26</v>
      </c>
      <c r="I433" s="64"/>
      <c r="J433" s="32" t="str">
        <f>IF(AND(I433=1,OR(I432=0,I432="")),MAX($J$4:$J432)+1,IF(AND(I433=1,I432=1),J432,""))</f>
        <v/>
      </c>
      <c r="K433" s="32" t="str">
        <f t="shared" si="34"/>
        <v/>
      </c>
      <c r="L433" s="32" t="str">
        <f t="shared" si="31"/>
        <v/>
      </c>
      <c r="M433" s="32" t="str">
        <f t="shared" si="32"/>
        <v/>
      </c>
      <c r="N433" s="4"/>
      <c r="O433" s="4"/>
      <c r="P433" s="4"/>
      <c r="Q433" s="4"/>
      <c r="U433" s="5"/>
      <c r="V433" s="4"/>
      <c r="AG433" t="s">
        <v>473</v>
      </c>
      <c r="AM433" s="1"/>
    </row>
    <row r="434" spans="1:39" x14ac:dyDescent="0.35">
      <c r="A434">
        <v>430</v>
      </c>
      <c r="B434">
        <v>431</v>
      </c>
      <c r="C434">
        <v>146.80332963199999</v>
      </c>
      <c r="D434">
        <v>-19.161015540999902</v>
      </c>
      <c r="F434" s="64"/>
      <c r="G434" s="64"/>
      <c r="H434" s="64" t="s">
        <v>26</v>
      </c>
      <c r="I434" s="64"/>
      <c r="J434" s="32" t="str">
        <f>IF(AND(I434=1,OR(I433=0,I433="")),MAX($J$4:$J433)+1,IF(AND(I434=1,I433=1),J433,""))</f>
        <v/>
      </c>
      <c r="K434" s="32" t="str">
        <f t="shared" si="34"/>
        <v/>
      </c>
      <c r="L434" s="32" t="str">
        <f t="shared" si="31"/>
        <v/>
      </c>
      <c r="M434" s="32" t="str">
        <f t="shared" si="32"/>
        <v/>
      </c>
      <c r="N434" s="4"/>
      <c r="O434" s="4"/>
      <c r="P434" s="4"/>
      <c r="Q434" s="4"/>
      <c r="U434" s="5"/>
      <c r="V434" s="4"/>
      <c r="AG434" t="s">
        <v>474</v>
      </c>
      <c r="AM434" s="1"/>
    </row>
    <row r="435" spans="1:39" x14ac:dyDescent="0.35">
      <c r="A435">
        <v>431</v>
      </c>
      <c r="B435">
        <v>432</v>
      </c>
      <c r="C435">
        <v>146.80325558999999</v>
      </c>
      <c r="D435">
        <v>-19.160967491999902</v>
      </c>
      <c r="F435" s="64"/>
      <c r="G435" s="64"/>
      <c r="H435" s="64" t="s">
        <v>26</v>
      </c>
      <c r="I435" s="64"/>
      <c r="J435" s="32" t="str">
        <f>IF(AND(I435=1,OR(I434=0,I434="")),MAX($J$4:$J434)+1,IF(AND(I435=1,I434=1),J434,""))</f>
        <v/>
      </c>
      <c r="K435" s="32" t="str">
        <f t="shared" si="34"/>
        <v/>
      </c>
      <c r="L435" s="32" t="str">
        <f t="shared" si="31"/>
        <v/>
      </c>
      <c r="M435" s="32" t="str">
        <f t="shared" si="32"/>
        <v/>
      </c>
      <c r="N435" s="4"/>
      <c r="O435" s="4"/>
      <c r="P435" s="4"/>
      <c r="Q435" s="4"/>
      <c r="U435" s="5"/>
      <c r="V435" s="4"/>
      <c r="AG435" t="s">
        <v>475</v>
      </c>
      <c r="AM435" s="1"/>
    </row>
    <row r="436" spans="1:39" x14ac:dyDescent="0.35">
      <c r="A436">
        <v>432</v>
      </c>
      <c r="B436">
        <v>433</v>
      </c>
      <c r="C436">
        <v>146.803181548</v>
      </c>
      <c r="D436">
        <v>-19.160919442000001</v>
      </c>
      <c r="F436" s="64"/>
      <c r="G436" s="64"/>
      <c r="H436" s="64" t="s">
        <v>26</v>
      </c>
      <c r="I436" s="64"/>
      <c r="J436" s="32" t="str">
        <f>IF(AND(I436=1,OR(I435=0,I435="")),MAX($J$4:$J435)+1,IF(AND(I436=1,I435=1),J435,""))</f>
        <v/>
      </c>
      <c r="K436" s="32" t="str">
        <f t="shared" si="34"/>
        <v/>
      </c>
      <c r="L436" s="32" t="str">
        <f t="shared" si="31"/>
        <v/>
      </c>
      <c r="M436" s="32" t="str">
        <f t="shared" si="32"/>
        <v/>
      </c>
      <c r="N436" s="4"/>
      <c r="O436" s="4"/>
      <c r="P436" s="4"/>
      <c r="Q436" s="4"/>
      <c r="U436" s="5"/>
      <c r="V436" s="4"/>
      <c r="AG436" t="s">
        <v>476</v>
      </c>
      <c r="AM436" s="1"/>
    </row>
    <row r="437" spans="1:39" x14ac:dyDescent="0.35">
      <c r="A437">
        <v>433</v>
      </c>
      <c r="B437">
        <v>434</v>
      </c>
      <c r="C437">
        <v>146.80310750699999</v>
      </c>
      <c r="D437">
        <v>-19.160871391999901</v>
      </c>
      <c r="F437" s="64"/>
      <c r="G437" s="64"/>
      <c r="H437" s="64" t="s">
        <v>26</v>
      </c>
      <c r="I437" s="64"/>
      <c r="J437" s="32" t="str">
        <f>IF(AND(I437=1,OR(I436=0,I436="")),MAX($J$4:$J436)+1,IF(AND(I437=1,I436=1),J436,""))</f>
        <v/>
      </c>
      <c r="K437" s="32" t="str">
        <f t="shared" si="34"/>
        <v/>
      </c>
      <c r="L437" s="32" t="str">
        <f t="shared" si="31"/>
        <v/>
      </c>
      <c r="M437" s="32" t="str">
        <f t="shared" si="32"/>
        <v/>
      </c>
      <c r="N437" s="4"/>
      <c r="O437" s="4"/>
      <c r="P437" s="4"/>
      <c r="Q437" s="4"/>
      <c r="U437" s="5"/>
      <c r="V437" s="4"/>
      <c r="AG437" t="s">
        <v>477</v>
      </c>
      <c r="AM437" s="1"/>
    </row>
    <row r="438" spans="1:39" x14ac:dyDescent="0.35">
      <c r="A438">
        <v>434</v>
      </c>
      <c r="B438">
        <v>435</v>
      </c>
      <c r="C438">
        <v>146.803033465</v>
      </c>
      <c r="D438">
        <v>-19.160823342999901</v>
      </c>
      <c r="E438">
        <v>50</v>
      </c>
      <c r="F438" s="64"/>
      <c r="G438" s="64"/>
      <c r="H438" s="64" t="s">
        <v>26</v>
      </c>
      <c r="I438" s="64"/>
      <c r="J438" s="32" t="str">
        <f>IF(AND(I438=1,OR(I437=0,I437="")),MAX($J$4:$J437)+1,IF(AND(I438=1,I437=1),J437,""))</f>
        <v/>
      </c>
      <c r="K438" s="32" t="str">
        <f t="shared" si="34"/>
        <v/>
      </c>
      <c r="L438" s="32" t="str">
        <f t="shared" si="31"/>
        <v/>
      </c>
      <c r="M438" s="32" t="str">
        <f t="shared" si="32"/>
        <v/>
      </c>
      <c r="N438" s="4"/>
      <c r="O438" s="4"/>
      <c r="P438" s="4"/>
      <c r="Q438" s="4"/>
      <c r="U438" s="5"/>
      <c r="V438" s="4"/>
      <c r="AG438" t="s">
        <v>478</v>
      </c>
      <c r="AM438" s="1"/>
    </row>
    <row r="439" spans="1:39" x14ac:dyDescent="0.35">
      <c r="A439">
        <v>435</v>
      </c>
      <c r="B439">
        <v>436</v>
      </c>
      <c r="C439">
        <v>146.80298123899999</v>
      </c>
      <c r="D439">
        <v>-19.1607544149999</v>
      </c>
      <c r="F439" s="64"/>
      <c r="G439" s="64"/>
      <c r="H439" s="64" t="s">
        <v>26</v>
      </c>
      <c r="I439" s="64"/>
      <c r="J439" s="32" t="str">
        <f>IF(AND(I439=1,OR(I438=0,I438="")),MAX($J$4:$J438)+1,IF(AND(I439=1,I438=1),J438,""))</f>
        <v/>
      </c>
      <c r="K439" s="32" t="str">
        <f t="shared" si="34"/>
        <v/>
      </c>
      <c r="L439" s="32" t="str">
        <f t="shared" si="31"/>
        <v/>
      </c>
      <c r="M439" s="32" t="str">
        <f t="shared" si="32"/>
        <v/>
      </c>
      <c r="N439" s="4"/>
      <c r="O439" s="4"/>
      <c r="P439" s="4"/>
      <c r="Q439" s="4"/>
      <c r="U439" s="5"/>
      <c r="V439" s="4"/>
      <c r="AG439" t="s">
        <v>479</v>
      </c>
      <c r="AM439" s="1"/>
    </row>
    <row r="440" spans="1:39" x14ac:dyDescent="0.35">
      <c r="A440">
        <v>436</v>
      </c>
      <c r="B440">
        <v>437</v>
      </c>
      <c r="C440">
        <v>146.80292940999999</v>
      </c>
      <c r="D440">
        <v>-19.1606851079999</v>
      </c>
      <c r="F440" s="64"/>
      <c r="G440" s="64"/>
      <c r="H440" s="64" t="s">
        <v>26</v>
      </c>
      <c r="I440" s="64"/>
      <c r="J440" s="32" t="str">
        <f>IF(AND(I440=1,OR(I439=0,I439="")),MAX($J$4:$J439)+1,IF(AND(I440=1,I439=1),J439,""))</f>
        <v/>
      </c>
      <c r="K440" s="32" t="str">
        <f t="shared" si="34"/>
        <v/>
      </c>
      <c r="L440" s="32" t="str">
        <f t="shared" si="31"/>
        <v/>
      </c>
      <c r="M440" s="32" t="str">
        <f t="shared" si="32"/>
        <v/>
      </c>
      <c r="N440" s="4"/>
      <c r="O440" s="4"/>
      <c r="P440" s="4"/>
      <c r="Q440" s="4"/>
      <c r="U440" s="5"/>
      <c r="V440" s="4"/>
      <c r="AG440" t="s">
        <v>480</v>
      </c>
      <c r="AM440" s="1"/>
    </row>
    <row r="441" spans="1:39" x14ac:dyDescent="0.35">
      <c r="A441">
        <v>437</v>
      </c>
      <c r="B441">
        <v>438</v>
      </c>
      <c r="C441">
        <v>146.80287758099999</v>
      </c>
      <c r="D441">
        <v>-19.160615800999899</v>
      </c>
      <c r="F441" s="64"/>
      <c r="G441" s="64"/>
      <c r="H441" s="64" t="s">
        <v>26</v>
      </c>
      <c r="I441" s="64"/>
      <c r="J441" s="32" t="str">
        <f>IF(AND(I441=1,OR(I440=0,I440="")),MAX($J$4:$J440)+1,IF(AND(I441=1,I440=1),J440,""))</f>
        <v/>
      </c>
      <c r="K441" s="32" t="str">
        <f t="shared" si="34"/>
        <v/>
      </c>
      <c r="L441" s="32" t="str">
        <f t="shared" si="31"/>
        <v/>
      </c>
      <c r="M441" s="32" t="str">
        <f t="shared" si="32"/>
        <v/>
      </c>
      <c r="N441" s="4"/>
      <c r="O441" s="4"/>
      <c r="P441" s="4"/>
      <c r="Q441" s="4"/>
      <c r="U441" s="5"/>
      <c r="V441" s="4"/>
      <c r="AG441" t="s">
        <v>481</v>
      </c>
      <c r="AM441" s="1"/>
    </row>
    <row r="442" spans="1:39" x14ac:dyDescent="0.35">
      <c r="A442">
        <v>438</v>
      </c>
      <c r="B442">
        <v>439</v>
      </c>
      <c r="C442">
        <v>146.802825004</v>
      </c>
      <c r="D442">
        <v>-19.160547001999898</v>
      </c>
      <c r="F442" s="64"/>
      <c r="G442" s="64"/>
      <c r="H442" s="64" t="s">
        <v>26</v>
      </c>
      <c r="I442" s="64"/>
      <c r="J442" s="32" t="str">
        <f>IF(AND(I442=1,OR(I441=0,I441="")),MAX($J$4:$J441)+1,IF(AND(I442=1,I441=1),J441,""))</f>
        <v/>
      </c>
      <c r="K442" s="32" t="str">
        <f t="shared" si="34"/>
        <v/>
      </c>
      <c r="L442" s="32" t="str">
        <f t="shared" si="31"/>
        <v/>
      </c>
      <c r="M442" s="32" t="str">
        <f t="shared" si="32"/>
        <v/>
      </c>
      <c r="N442" s="4"/>
      <c r="O442" s="4"/>
      <c r="P442" s="4"/>
      <c r="Q442" s="4"/>
      <c r="U442" s="5"/>
      <c r="V442" s="4"/>
      <c r="AG442" t="s">
        <v>482</v>
      </c>
      <c r="AM442" s="1"/>
    </row>
    <row r="443" spans="1:39" x14ac:dyDescent="0.35">
      <c r="A443">
        <v>439</v>
      </c>
      <c r="B443">
        <v>440</v>
      </c>
      <c r="C443">
        <v>146.80276861799999</v>
      </c>
      <c r="D443">
        <v>-19.160481054999899</v>
      </c>
      <c r="E443">
        <v>50</v>
      </c>
      <c r="F443" s="64"/>
      <c r="G443" s="64"/>
      <c r="H443" s="64" t="s">
        <v>26</v>
      </c>
      <c r="I443" s="64"/>
      <c r="J443" s="32" t="str">
        <f>IF(AND(I443=1,OR(I442=0,I442="")),MAX($J$4:$J442)+1,IF(AND(I443=1,I442=1),J442,""))</f>
        <v/>
      </c>
      <c r="K443" s="32" t="str">
        <f t="shared" si="34"/>
        <v/>
      </c>
      <c r="L443" s="32" t="str">
        <f t="shared" si="31"/>
        <v/>
      </c>
      <c r="M443" s="32" t="str">
        <f t="shared" si="32"/>
        <v/>
      </c>
      <c r="N443" s="4"/>
      <c r="O443" s="4"/>
      <c r="P443" s="4"/>
      <c r="Q443" s="4"/>
      <c r="U443" s="5"/>
      <c r="V443" s="4"/>
      <c r="AG443" t="s">
        <v>483</v>
      </c>
      <c r="AM443" s="1"/>
    </row>
    <row r="444" spans="1:39" x14ac:dyDescent="0.35">
      <c r="A444">
        <v>440</v>
      </c>
      <c r="B444">
        <v>441</v>
      </c>
      <c r="C444">
        <v>146.802709206</v>
      </c>
      <c r="D444">
        <v>-19.160417410000001</v>
      </c>
      <c r="F444" s="64"/>
      <c r="G444" s="64"/>
      <c r="H444" s="64" t="s">
        <v>26</v>
      </c>
      <c r="I444" s="64"/>
      <c r="J444" s="32" t="str">
        <f>IF(AND(I444=1,OR(I443=0,I443="")),MAX($J$4:$J443)+1,IF(AND(I444=1,I443=1),J443,""))</f>
        <v/>
      </c>
      <c r="K444" s="32" t="str">
        <f t="shared" si="34"/>
        <v/>
      </c>
      <c r="L444" s="32" t="str">
        <f t="shared" si="31"/>
        <v/>
      </c>
      <c r="M444" s="32" t="str">
        <f t="shared" si="32"/>
        <v/>
      </c>
      <c r="N444" s="4"/>
      <c r="O444" s="4"/>
      <c r="P444" s="4"/>
      <c r="Q444" s="4"/>
      <c r="U444" s="5"/>
      <c r="V444" s="4"/>
      <c r="AG444" t="s">
        <v>484</v>
      </c>
      <c r="AM444" s="1"/>
    </row>
    <row r="445" spans="1:39" x14ac:dyDescent="0.35">
      <c r="A445">
        <v>441</v>
      </c>
      <c r="B445">
        <v>442</v>
      </c>
      <c r="C445">
        <v>146.802649793</v>
      </c>
      <c r="D445">
        <v>-19.160353764</v>
      </c>
      <c r="F445" s="64"/>
      <c r="G445" s="64"/>
      <c r="H445" s="64" t="s">
        <v>26</v>
      </c>
      <c r="I445" s="64"/>
      <c r="J445" s="32" t="str">
        <f>IF(AND(I445=1,OR(I444=0,I444="")),MAX($J$4:$J444)+1,IF(AND(I445=1,I444=1),J444,""))</f>
        <v/>
      </c>
      <c r="K445" s="32" t="str">
        <f t="shared" si="34"/>
        <v/>
      </c>
      <c r="L445" s="32" t="str">
        <f t="shared" si="31"/>
        <v/>
      </c>
      <c r="M445" s="32" t="str">
        <f t="shared" si="32"/>
        <v/>
      </c>
      <c r="N445" s="4"/>
      <c r="O445" s="4"/>
      <c r="P445" s="4"/>
      <c r="Q445" s="4"/>
      <c r="U445" s="5"/>
      <c r="V445" s="4"/>
      <c r="AG445" t="s">
        <v>485</v>
      </c>
      <c r="AM445" s="1"/>
    </row>
    <row r="446" spans="1:39" x14ac:dyDescent="0.35">
      <c r="A446">
        <v>442</v>
      </c>
      <c r="B446">
        <v>443</v>
      </c>
      <c r="C446">
        <v>146.80260767600001</v>
      </c>
      <c r="D446">
        <v>-19.160278872999999</v>
      </c>
      <c r="F446" s="64"/>
      <c r="G446" s="64"/>
      <c r="H446" s="64" t="s">
        <v>26</v>
      </c>
      <c r="I446" s="64"/>
      <c r="J446" s="32" t="str">
        <f>IF(AND(I446=1,OR(I445=0,I445="")),MAX($J$4:$J445)+1,IF(AND(I446=1,I445=1),J445,""))</f>
        <v/>
      </c>
      <c r="K446" s="32" t="str">
        <f t="shared" si="34"/>
        <v/>
      </c>
      <c r="L446" s="32" t="str">
        <f t="shared" si="31"/>
        <v/>
      </c>
      <c r="M446" s="32" t="str">
        <f t="shared" si="32"/>
        <v/>
      </c>
      <c r="N446" s="4"/>
      <c r="O446" s="4"/>
      <c r="P446" s="4"/>
      <c r="Q446" s="4"/>
      <c r="U446" s="5"/>
      <c r="V446" s="4"/>
      <c r="AG446" t="s">
        <v>486</v>
      </c>
      <c r="AM446" s="1"/>
    </row>
    <row r="447" spans="1:39" x14ac:dyDescent="0.35">
      <c r="A447">
        <v>443</v>
      </c>
      <c r="B447">
        <v>444</v>
      </c>
      <c r="C447">
        <v>146.80256101800001</v>
      </c>
      <c r="D447">
        <v>-19.160206633000001</v>
      </c>
      <c r="F447" s="64"/>
      <c r="G447" s="64"/>
      <c r="H447" s="64" t="s">
        <v>26</v>
      </c>
      <c r="I447" s="64"/>
      <c r="J447" s="32" t="str">
        <f>IF(AND(I447=1,OR(I446=0,I446="")),MAX($J$4:$J446)+1,IF(AND(I447=1,I446=1),J446,""))</f>
        <v/>
      </c>
      <c r="K447" s="32" t="str">
        <f t="shared" si="34"/>
        <v/>
      </c>
      <c r="L447" s="32" t="str">
        <f t="shared" si="31"/>
        <v/>
      </c>
      <c r="M447" s="32" t="str">
        <f t="shared" si="32"/>
        <v/>
      </c>
      <c r="N447" s="4"/>
      <c r="O447" s="4"/>
      <c r="P447" s="4"/>
      <c r="Q447" s="4"/>
      <c r="U447" s="5"/>
      <c r="V447" s="4"/>
      <c r="AG447" t="s">
        <v>487</v>
      </c>
      <c r="AM447" s="1"/>
    </row>
    <row r="448" spans="1:39" x14ac:dyDescent="0.35">
      <c r="A448">
        <v>444</v>
      </c>
      <c r="B448">
        <v>445</v>
      </c>
      <c r="C448">
        <v>146.80252156700001</v>
      </c>
      <c r="D448">
        <v>-19.160130744999901</v>
      </c>
      <c r="E448">
        <v>50</v>
      </c>
      <c r="F448" s="64"/>
      <c r="G448" s="64"/>
      <c r="H448" s="64" t="s">
        <v>26</v>
      </c>
      <c r="I448" s="64"/>
      <c r="J448" s="32" t="str">
        <f>IF(AND(I448=1,OR(I447=0,I447="")),MAX($J$4:$J447)+1,IF(AND(I448=1,I447=1),J447,""))</f>
        <v/>
      </c>
      <c r="K448" s="32" t="str">
        <f t="shared" si="34"/>
        <v/>
      </c>
      <c r="L448" s="32" t="str">
        <f t="shared" si="31"/>
        <v/>
      </c>
      <c r="M448" s="32" t="str">
        <f t="shared" si="32"/>
        <v/>
      </c>
      <c r="N448" s="4"/>
      <c r="O448" s="4"/>
      <c r="P448" s="4"/>
      <c r="Q448" s="4"/>
      <c r="U448" s="5"/>
      <c r="V448" s="4"/>
      <c r="AG448" t="s">
        <v>488</v>
      </c>
      <c r="AM448" s="1"/>
    </row>
    <row r="449" spans="1:39" x14ac:dyDescent="0.35">
      <c r="A449">
        <v>445</v>
      </c>
      <c r="B449">
        <v>446</v>
      </c>
      <c r="C449">
        <v>146.80248225599999</v>
      </c>
      <c r="D449">
        <v>-19.160054549999899</v>
      </c>
      <c r="F449" s="64"/>
      <c r="G449" s="64"/>
      <c r="H449" s="64" t="s">
        <v>26</v>
      </c>
      <c r="I449" s="64"/>
      <c r="J449" s="32" t="str">
        <f>IF(AND(I449=1,OR(I448=0,I448="")),MAX($J$4:$J448)+1,IF(AND(I449=1,I448=1),J448,""))</f>
        <v/>
      </c>
      <c r="K449" s="32" t="str">
        <f t="shared" si="34"/>
        <v/>
      </c>
      <c r="L449" s="32" t="str">
        <f t="shared" si="31"/>
        <v/>
      </c>
      <c r="M449" s="32" t="str">
        <f t="shared" si="32"/>
        <v/>
      </c>
      <c r="N449" s="4"/>
      <c r="O449" s="4"/>
      <c r="P449" s="4"/>
      <c r="Q449" s="4"/>
      <c r="U449" s="5"/>
      <c r="V449" s="4"/>
      <c r="AG449" t="s">
        <v>489</v>
      </c>
      <c r="AM449" s="1"/>
    </row>
    <row r="450" spans="1:39" x14ac:dyDescent="0.35">
      <c r="A450">
        <v>446</v>
      </c>
      <c r="B450">
        <v>447</v>
      </c>
      <c r="C450">
        <v>146.802436328</v>
      </c>
      <c r="D450">
        <v>-19.159981624</v>
      </c>
      <c r="F450" s="64"/>
      <c r="G450" s="64"/>
      <c r="H450" s="64" t="s">
        <v>26</v>
      </c>
      <c r="I450" s="64"/>
      <c r="J450" s="32" t="str">
        <f>IF(AND(I450=1,OR(I449=0,I449="")),MAX($J$4:$J449)+1,IF(AND(I450=1,I449=1),J449,""))</f>
        <v/>
      </c>
      <c r="K450" s="32" t="str">
        <f t="shared" si="34"/>
        <v/>
      </c>
      <c r="L450" s="32" t="str">
        <f t="shared" si="31"/>
        <v/>
      </c>
      <c r="M450" s="32" t="str">
        <f t="shared" si="32"/>
        <v/>
      </c>
      <c r="N450" s="4"/>
      <c r="O450" s="4"/>
      <c r="P450" s="4"/>
      <c r="Q450" s="4"/>
      <c r="U450" s="5"/>
      <c r="V450" s="4"/>
      <c r="AG450" t="s">
        <v>490</v>
      </c>
      <c r="AM450" s="1"/>
    </row>
    <row r="451" spans="1:39" x14ac:dyDescent="0.35">
      <c r="A451">
        <v>447</v>
      </c>
      <c r="B451">
        <v>448</v>
      </c>
      <c r="C451">
        <v>146.802390401</v>
      </c>
      <c r="D451">
        <v>-19.159908696999899</v>
      </c>
      <c r="F451" s="64"/>
      <c r="G451" s="64"/>
      <c r="H451" s="64" t="s">
        <v>26</v>
      </c>
      <c r="I451" s="64"/>
      <c r="J451" s="32" t="str">
        <f>IF(AND(I451=1,OR(I450=0,I450="")),MAX($J$4:$J450)+1,IF(AND(I451=1,I450=1),J450,""))</f>
        <v/>
      </c>
      <c r="K451" s="32" t="str">
        <f t="shared" si="34"/>
        <v/>
      </c>
      <c r="L451" s="32" t="str">
        <f t="shared" si="31"/>
        <v/>
      </c>
      <c r="M451" s="32" t="str">
        <f t="shared" si="32"/>
        <v/>
      </c>
      <c r="N451" s="4"/>
      <c r="O451" s="4"/>
      <c r="P451" s="4"/>
      <c r="Q451" s="4"/>
      <c r="U451" s="5"/>
      <c r="V451" s="4"/>
      <c r="AG451" t="s">
        <v>491</v>
      </c>
      <c r="AM451" s="1"/>
    </row>
    <row r="452" spans="1:39" x14ac:dyDescent="0.35">
      <c r="A452">
        <v>448</v>
      </c>
      <c r="B452">
        <v>449</v>
      </c>
      <c r="C452">
        <v>146.80233895699999</v>
      </c>
      <c r="D452">
        <v>-19.159839494</v>
      </c>
      <c r="F452" s="64"/>
      <c r="G452" s="64"/>
      <c r="H452" s="64" t="s">
        <v>26</v>
      </c>
      <c r="I452" s="64"/>
      <c r="J452" s="32" t="str">
        <f>IF(AND(I452=1,OR(I451=0,I451="")),MAX($J$4:$J451)+1,IF(AND(I452=1,I451=1),J451,""))</f>
        <v/>
      </c>
      <c r="K452" s="32" t="str">
        <f t="shared" si="34"/>
        <v/>
      </c>
      <c r="L452" s="32" t="str">
        <f t="shared" ref="L452:L515" si="35">IF(K452="","",IF(K452&gt;=100,"HV",""))</f>
        <v/>
      </c>
      <c r="M452" s="32" t="str">
        <f t="shared" ref="M452:M515" si="36">IF(K452&lt;&gt;"",K452^2,"")</f>
        <v/>
      </c>
      <c r="N452" s="4"/>
      <c r="O452" s="4"/>
      <c r="P452" s="4"/>
      <c r="Q452" s="4"/>
      <c r="U452" s="5"/>
      <c r="V452" s="4"/>
      <c r="AG452" t="s">
        <v>492</v>
      </c>
      <c r="AM452" s="1"/>
    </row>
    <row r="453" spans="1:39" x14ac:dyDescent="0.35">
      <c r="A453">
        <v>449</v>
      </c>
      <c r="B453">
        <v>450</v>
      </c>
      <c r="C453">
        <v>146.80228077500001</v>
      </c>
      <c r="D453">
        <v>-19.159774841999901</v>
      </c>
      <c r="E453">
        <v>50</v>
      </c>
      <c r="F453" s="64"/>
      <c r="G453" s="64"/>
      <c r="H453" s="64" t="s">
        <v>26</v>
      </c>
      <c r="I453" s="64"/>
      <c r="J453" s="32" t="str">
        <f>IF(AND(I453=1,OR(I452=0,I452="")),MAX($J$4:$J452)+1,IF(AND(I453=1,I452=1),J452,""))</f>
        <v/>
      </c>
      <c r="K453" s="32" t="str">
        <f t="shared" si="34"/>
        <v/>
      </c>
      <c r="L453" s="32" t="str">
        <f t="shared" si="35"/>
        <v/>
      </c>
      <c r="M453" s="32" t="str">
        <f t="shared" si="36"/>
        <v/>
      </c>
      <c r="N453" s="4"/>
      <c r="O453" s="4"/>
      <c r="P453" s="4"/>
      <c r="Q453" s="4"/>
      <c r="U453" s="5"/>
      <c r="V453" s="4"/>
      <c r="AG453" t="s">
        <v>493</v>
      </c>
      <c r="AM453" s="1"/>
    </row>
    <row r="454" spans="1:39" x14ac:dyDescent="0.35">
      <c r="A454">
        <v>450</v>
      </c>
      <c r="B454">
        <v>451</v>
      </c>
      <c r="C454">
        <v>146.80225951400001</v>
      </c>
      <c r="D454">
        <v>-19.159696018999998</v>
      </c>
      <c r="F454" s="64"/>
      <c r="G454" s="64"/>
      <c r="H454" s="64" t="s">
        <v>26</v>
      </c>
      <c r="I454" s="64"/>
      <c r="J454" s="32" t="str">
        <f>IF(AND(I454=1,OR(I453=0,I453="")),MAX($J$4:$J453)+1,IF(AND(I454=1,I453=1),J453,""))</f>
        <v/>
      </c>
      <c r="K454" s="32" t="str">
        <f t="shared" si="34"/>
        <v/>
      </c>
      <c r="L454" s="32" t="str">
        <f t="shared" si="35"/>
        <v/>
      </c>
      <c r="M454" s="32" t="str">
        <f t="shared" si="36"/>
        <v/>
      </c>
      <c r="N454" s="4"/>
      <c r="O454" s="4"/>
      <c r="P454" s="4"/>
      <c r="Q454" s="4"/>
      <c r="U454" s="5"/>
      <c r="V454" s="4"/>
      <c r="AG454" t="s">
        <v>494</v>
      </c>
      <c r="AM454" s="1"/>
    </row>
    <row r="455" spans="1:39" x14ac:dyDescent="0.35">
      <c r="A455">
        <v>451</v>
      </c>
      <c r="B455">
        <v>452</v>
      </c>
      <c r="C455">
        <v>146.802253471</v>
      </c>
      <c r="D455">
        <v>-19.159611355999999</v>
      </c>
      <c r="F455" s="64"/>
      <c r="G455" s="64"/>
      <c r="H455" s="64" t="s">
        <v>26</v>
      </c>
      <c r="I455" s="64"/>
      <c r="J455" s="32" t="str">
        <f>IF(AND(I455=1,OR(I454=0,I454="")),MAX($J$4:$J454)+1,IF(AND(I455=1,I454=1),J454,""))</f>
        <v/>
      </c>
      <c r="K455" s="32" t="str">
        <f t="shared" si="34"/>
        <v/>
      </c>
      <c r="L455" s="32" t="str">
        <f t="shared" si="35"/>
        <v/>
      </c>
      <c r="M455" s="32" t="str">
        <f t="shared" si="36"/>
        <v/>
      </c>
      <c r="N455" s="4"/>
      <c r="O455" s="4"/>
      <c r="P455" s="4"/>
      <c r="Q455" s="4"/>
      <c r="U455" s="5"/>
      <c r="V455" s="4"/>
      <c r="AG455" t="s">
        <v>495</v>
      </c>
      <c r="AM455" s="1"/>
    </row>
    <row r="456" spans="1:39" x14ac:dyDescent="0.35">
      <c r="A456">
        <v>452</v>
      </c>
      <c r="B456">
        <v>453</v>
      </c>
      <c r="C456">
        <v>146.802246446</v>
      </c>
      <c r="D456">
        <v>-19.159526764999999</v>
      </c>
      <c r="F456" s="64"/>
      <c r="G456" s="64"/>
      <c r="H456" s="64" t="s">
        <v>26</v>
      </c>
      <c r="I456" s="64"/>
      <c r="J456" s="32" t="str">
        <f>IF(AND(I456=1,OR(I455=0,I455="")),MAX($J$4:$J455)+1,IF(AND(I456=1,I455=1),J455,""))</f>
        <v/>
      </c>
      <c r="K456" s="32" t="str">
        <f t="shared" si="34"/>
        <v/>
      </c>
      <c r="L456" s="32" t="str">
        <f t="shared" si="35"/>
        <v/>
      </c>
      <c r="M456" s="32" t="str">
        <f t="shared" si="36"/>
        <v/>
      </c>
      <c r="N456" s="4"/>
      <c r="O456" s="4"/>
      <c r="P456" s="4"/>
      <c r="Q456" s="4"/>
      <c r="U456" s="5"/>
      <c r="V456" s="4"/>
      <c r="AG456" t="s">
        <v>496</v>
      </c>
      <c r="AM456" s="1"/>
    </row>
    <row r="457" spans="1:39" x14ac:dyDescent="0.35">
      <c r="A457">
        <v>453</v>
      </c>
      <c r="B457">
        <v>454</v>
      </c>
      <c r="C457">
        <v>146.80223846300001</v>
      </c>
      <c r="D457">
        <v>-19.159442245000001</v>
      </c>
      <c r="F457" s="64"/>
      <c r="G457" s="64"/>
      <c r="H457" s="64" t="s">
        <v>26</v>
      </c>
      <c r="I457" s="64"/>
      <c r="J457" s="32" t="str">
        <f>IF(AND(I457=1,OR(I456=0,I456="")),MAX($J$4:$J456)+1,IF(AND(I457=1,I456=1),J456,""))</f>
        <v/>
      </c>
      <c r="K457" s="32" t="str">
        <f t="shared" si="34"/>
        <v/>
      </c>
      <c r="L457" s="32" t="str">
        <f t="shared" si="35"/>
        <v/>
      </c>
      <c r="M457" s="32" t="str">
        <f t="shared" si="36"/>
        <v/>
      </c>
      <c r="N457" s="4"/>
      <c r="O457" s="4"/>
      <c r="P457" s="4"/>
      <c r="Q457" s="4"/>
      <c r="U457" s="5"/>
      <c r="V457" s="4"/>
      <c r="AG457" t="s">
        <v>497</v>
      </c>
      <c r="AM457" s="1"/>
    </row>
    <row r="458" spans="1:39" x14ac:dyDescent="0.35">
      <c r="A458">
        <v>454</v>
      </c>
      <c r="B458">
        <v>455</v>
      </c>
      <c r="C458">
        <v>146.80223250399999</v>
      </c>
      <c r="D458">
        <v>-19.159357606999901</v>
      </c>
      <c r="E458">
        <v>50</v>
      </c>
      <c r="F458" s="64"/>
      <c r="G458" s="64"/>
      <c r="H458" s="64" t="s">
        <v>26</v>
      </c>
      <c r="I458" s="64"/>
      <c r="J458" s="32" t="str">
        <f>IF(AND(I458=1,OR(I457=0,I457="")),MAX($J$4:$J457)+1,IF(AND(I458=1,I457=1),J457,""))</f>
        <v/>
      </c>
      <c r="K458" s="32" t="str">
        <f t="shared" si="34"/>
        <v/>
      </c>
      <c r="L458" s="32" t="str">
        <f t="shared" si="35"/>
        <v/>
      </c>
      <c r="M458" s="32" t="str">
        <f t="shared" si="36"/>
        <v/>
      </c>
      <c r="N458" s="4"/>
      <c r="O458" s="4"/>
      <c r="P458" s="4"/>
      <c r="Q458" s="4"/>
      <c r="U458" s="5"/>
      <c r="V458" s="4"/>
      <c r="AG458" t="s">
        <v>498</v>
      </c>
      <c r="AM458" s="1"/>
    </row>
    <row r="459" spans="1:39" x14ac:dyDescent="0.35">
      <c r="A459">
        <v>455</v>
      </c>
      <c r="B459">
        <v>456</v>
      </c>
      <c r="C459">
        <v>146.80224666399999</v>
      </c>
      <c r="D459">
        <v>-19.159276978000001</v>
      </c>
      <c r="F459" s="64"/>
      <c r="G459" s="64"/>
      <c r="H459" s="64" t="s">
        <v>26</v>
      </c>
      <c r="I459" s="64"/>
      <c r="J459" s="32" t="str">
        <f>IF(AND(I459=1,OR(I458=0,I458="")),MAX($J$4:$J458)+1,IF(AND(I459=1,I458=1),J458,""))</f>
        <v/>
      </c>
      <c r="K459" s="32" t="str">
        <f t="shared" si="34"/>
        <v/>
      </c>
      <c r="L459" s="32" t="str">
        <f t="shared" si="35"/>
        <v/>
      </c>
      <c r="M459" s="32" t="str">
        <f t="shared" si="36"/>
        <v/>
      </c>
      <c r="N459" s="4"/>
      <c r="O459" s="4"/>
      <c r="P459" s="4"/>
      <c r="Q459" s="4"/>
      <c r="U459" s="5"/>
      <c r="V459" s="4"/>
      <c r="AG459" t="s">
        <v>499</v>
      </c>
      <c r="AM459" s="1"/>
    </row>
    <row r="460" spans="1:39" x14ac:dyDescent="0.35">
      <c r="A460">
        <v>456</v>
      </c>
      <c r="B460">
        <v>457</v>
      </c>
      <c r="C460">
        <v>146.80229256600001</v>
      </c>
      <c r="D460">
        <v>-19.159204036999899</v>
      </c>
      <c r="F460" s="64"/>
      <c r="G460" s="64"/>
      <c r="H460" s="64" t="s">
        <v>26</v>
      </c>
      <c r="I460" s="64"/>
      <c r="J460" s="32" t="str">
        <f>IF(AND(I460=1,OR(I459=0,I459="")),MAX($J$4:$J459)+1,IF(AND(I460=1,I459=1),J459,""))</f>
        <v/>
      </c>
      <c r="K460" s="32" t="str">
        <f t="shared" si="34"/>
        <v/>
      </c>
      <c r="L460" s="32" t="str">
        <f t="shared" si="35"/>
        <v/>
      </c>
      <c r="M460" s="32" t="str">
        <f t="shared" si="36"/>
        <v/>
      </c>
      <c r="N460" s="4"/>
      <c r="O460" s="4"/>
      <c r="P460" s="4"/>
      <c r="Q460" s="4"/>
      <c r="U460" s="5"/>
      <c r="V460" s="4"/>
      <c r="AG460" t="s">
        <v>500</v>
      </c>
      <c r="AM460" s="1"/>
    </row>
    <row r="461" spans="1:39" x14ac:dyDescent="0.35">
      <c r="A461">
        <v>457</v>
      </c>
      <c r="B461">
        <v>458</v>
      </c>
      <c r="C461">
        <v>146.80233846900001</v>
      </c>
      <c r="D461">
        <v>-19.159131095999999</v>
      </c>
      <c r="F461" s="64"/>
      <c r="G461" s="64"/>
      <c r="H461" s="64" t="s">
        <v>26</v>
      </c>
      <c r="I461" s="64"/>
      <c r="J461" s="32" t="str">
        <f>IF(AND(I461=1,OR(I460=0,I460="")),MAX($J$4:$J460)+1,IF(AND(I461=1,I460=1),J460,""))</f>
        <v/>
      </c>
      <c r="K461" s="32" t="str">
        <f t="shared" si="34"/>
        <v/>
      </c>
      <c r="L461" s="32" t="str">
        <f t="shared" si="35"/>
        <v/>
      </c>
      <c r="M461" s="32" t="str">
        <f t="shared" si="36"/>
        <v/>
      </c>
      <c r="N461" s="4"/>
      <c r="O461" s="4"/>
      <c r="P461" s="4"/>
      <c r="Q461" s="4"/>
      <c r="U461" s="5"/>
      <c r="V461" s="4"/>
      <c r="AG461" t="s">
        <v>501</v>
      </c>
      <c r="AM461" s="1"/>
    </row>
    <row r="462" spans="1:39" x14ac:dyDescent="0.35">
      <c r="A462">
        <v>458</v>
      </c>
      <c r="B462">
        <v>459</v>
      </c>
      <c r="C462">
        <v>146.80239041999999</v>
      </c>
      <c r="D462">
        <v>-19.159061934</v>
      </c>
      <c r="F462" s="64"/>
      <c r="G462" s="64"/>
      <c r="H462" s="64" t="s">
        <v>26</v>
      </c>
      <c r="I462" s="64"/>
      <c r="J462" s="32" t="str">
        <f>IF(AND(I462=1,OR(I461=0,I461="")),MAX($J$4:$J461)+1,IF(AND(I462=1,I461=1),J461,""))</f>
        <v/>
      </c>
      <c r="K462" s="32" t="str">
        <f t="shared" si="34"/>
        <v/>
      </c>
      <c r="L462" s="32" t="str">
        <f t="shared" si="35"/>
        <v/>
      </c>
      <c r="M462" s="32" t="str">
        <f t="shared" si="36"/>
        <v/>
      </c>
      <c r="N462" s="4"/>
      <c r="O462" s="4"/>
      <c r="P462" s="4"/>
      <c r="Q462" s="4"/>
      <c r="U462" s="5"/>
      <c r="V462" s="4"/>
      <c r="AG462" t="s">
        <v>502</v>
      </c>
      <c r="AM462" s="1"/>
    </row>
    <row r="463" spans="1:39" x14ac:dyDescent="0.35">
      <c r="A463">
        <v>459</v>
      </c>
      <c r="B463">
        <v>460</v>
      </c>
      <c r="C463">
        <v>146.80244350999999</v>
      </c>
      <c r="D463">
        <v>-19.158993482</v>
      </c>
      <c r="E463">
        <v>50</v>
      </c>
      <c r="F463" s="64"/>
      <c r="G463" s="64"/>
      <c r="H463" s="64" t="s">
        <v>26</v>
      </c>
      <c r="I463" s="64"/>
      <c r="J463" s="32" t="str">
        <f>IF(AND(I463=1,OR(I462=0,I462="")),MAX($J$4:$J462)+1,IF(AND(I463=1,I462=1),J462,""))</f>
        <v/>
      </c>
      <c r="K463" s="32" t="str">
        <f t="shared" si="34"/>
        <v/>
      </c>
      <c r="L463" s="32" t="str">
        <f t="shared" si="35"/>
        <v/>
      </c>
      <c r="M463" s="32" t="str">
        <f t="shared" si="36"/>
        <v/>
      </c>
      <c r="N463" s="4"/>
      <c r="O463" s="4"/>
      <c r="P463" s="4"/>
      <c r="Q463" s="4"/>
      <c r="U463" s="5"/>
      <c r="V463" s="4"/>
      <c r="AG463" t="s">
        <v>503</v>
      </c>
      <c r="AM463" s="1"/>
    </row>
    <row r="464" spans="1:39" x14ac:dyDescent="0.35">
      <c r="A464">
        <v>460</v>
      </c>
      <c r="B464">
        <v>461</v>
      </c>
      <c r="C464">
        <v>146.80249536100001</v>
      </c>
      <c r="D464">
        <v>-19.158926629</v>
      </c>
      <c r="F464" s="64"/>
      <c r="G464" s="64"/>
      <c r="H464" s="64" t="s">
        <v>26</v>
      </c>
      <c r="I464" s="64"/>
      <c r="J464" s="32" t="str">
        <f>IF(AND(I464=1,OR(I463=0,I463="")),MAX($J$4:$J463)+1,IF(AND(I464=1,I463=1),J463,""))</f>
        <v/>
      </c>
      <c r="K464" s="32" t="str">
        <f t="shared" si="34"/>
        <v/>
      </c>
      <c r="L464" s="32" t="str">
        <f t="shared" si="35"/>
        <v/>
      </c>
      <c r="M464" s="32" t="str">
        <f t="shared" si="36"/>
        <v/>
      </c>
      <c r="N464" s="4"/>
      <c r="O464" s="4"/>
      <c r="P464" s="4"/>
      <c r="Q464" s="4"/>
      <c r="U464" s="5"/>
      <c r="V464" s="4"/>
      <c r="AG464" t="s">
        <v>504</v>
      </c>
      <c r="AM464" s="1"/>
    </row>
    <row r="465" spans="1:39" x14ac:dyDescent="0.35">
      <c r="A465">
        <v>461</v>
      </c>
      <c r="B465">
        <v>462</v>
      </c>
      <c r="C465">
        <v>146.802559161</v>
      </c>
      <c r="D465">
        <v>-19.158867876999999</v>
      </c>
      <c r="F465" s="64"/>
      <c r="G465" s="64"/>
      <c r="H465" s="64" t="s">
        <v>26</v>
      </c>
      <c r="I465" s="64"/>
      <c r="J465" s="32" t="str">
        <f>IF(AND(I465=1,OR(I464=0,I464="")),MAX($J$4:$J464)+1,IF(AND(I465=1,I464=1),J464,""))</f>
        <v/>
      </c>
      <c r="K465" s="32" t="str">
        <f t="shared" si="34"/>
        <v/>
      </c>
      <c r="L465" s="32" t="str">
        <f t="shared" si="35"/>
        <v/>
      </c>
      <c r="M465" s="32" t="str">
        <f t="shared" si="36"/>
        <v/>
      </c>
      <c r="N465" s="4"/>
      <c r="O465" s="4"/>
      <c r="P465" s="4"/>
      <c r="Q465" s="4"/>
      <c r="U465" s="5"/>
      <c r="V465" s="4"/>
      <c r="AG465" t="s">
        <v>505</v>
      </c>
      <c r="AM465" s="1"/>
    </row>
    <row r="466" spans="1:39" x14ac:dyDescent="0.35">
      <c r="A466">
        <v>462</v>
      </c>
      <c r="B466">
        <v>463</v>
      </c>
      <c r="C466">
        <v>146.80262932299999</v>
      </c>
      <c r="D466">
        <v>-19.158814885999998</v>
      </c>
      <c r="F466" s="64"/>
      <c r="G466" s="64"/>
      <c r="H466" s="64" t="s">
        <v>26</v>
      </c>
      <c r="I466" s="64"/>
      <c r="J466" s="32" t="str">
        <f>IF(AND(I466=1,OR(I465=0,I465="")),MAX($J$4:$J465)+1,IF(AND(I466=1,I465=1),J465,""))</f>
        <v/>
      </c>
      <c r="K466" s="32" t="str">
        <f t="shared" si="34"/>
        <v/>
      </c>
      <c r="L466" s="32" t="str">
        <f t="shared" si="35"/>
        <v/>
      </c>
      <c r="M466" s="32" t="str">
        <f t="shared" si="36"/>
        <v/>
      </c>
      <c r="N466" s="4"/>
      <c r="O466" s="4"/>
      <c r="P466" s="4"/>
      <c r="Q466" s="4"/>
      <c r="U466" s="5"/>
      <c r="V466" s="4"/>
      <c r="AG466" t="s">
        <v>506</v>
      </c>
      <c r="AM466" s="1"/>
    </row>
    <row r="467" spans="1:39" x14ac:dyDescent="0.35">
      <c r="A467">
        <v>463</v>
      </c>
      <c r="B467">
        <v>464</v>
      </c>
      <c r="C467">
        <v>146.80269948599999</v>
      </c>
      <c r="D467">
        <v>-19.158761895999898</v>
      </c>
      <c r="F467" s="64"/>
      <c r="G467" s="64"/>
      <c r="H467" s="64" t="s">
        <v>26</v>
      </c>
      <c r="I467" s="64"/>
      <c r="J467" s="32" t="str">
        <f>IF(AND(I467=1,OR(I466=0,I466="")),MAX($J$4:$J466)+1,IF(AND(I467=1,I466=1),J466,""))</f>
        <v/>
      </c>
      <c r="K467" s="32" t="str">
        <f t="shared" si="34"/>
        <v/>
      </c>
      <c r="L467" s="32" t="str">
        <f t="shared" si="35"/>
        <v/>
      </c>
      <c r="M467" s="32" t="str">
        <f t="shared" si="36"/>
        <v/>
      </c>
      <c r="N467" s="4"/>
      <c r="O467" s="4"/>
      <c r="P467" s="4"/>
      <c r="Q467" s="4"/>
      <c r="U467" s="5"/>
      <c r="V467" s="4"/>
      <c r="AG467" t="s">
        <v>507</v>
      </c>
      <c r="AM467" s="1"/>
    </row>
    <row r="468" spans="1:39" x14ac:dyDescent="0.35">
      <c r="A468">
        <v>464</v>
      </c>
      <c r="B468">
        <v>465</v>
      </c>
      <c r="C468">
        <v>146.80277365200001</v>
      </c>
      <c r="D468">
        <v>-19.1587350779999</v>
      </c>
      <c r="E468">
        <v>50</v>
      </c>
      <c r="F468" s="64"/>
      <c r="G468" s="64"/>
      <c r="H468" s="64" t="s">
        <v>26</v>
      </c>
      <c r="I468" s="64"/>
      <c r="J468" s="32" t="str">
        <f>IF(AND(I468=1,OR(I467=0,I467="")),MAX($J$4:$J467)+1,IF(AND(I468=1,I467=1),J467,""))</f>
        <v/>
      </c>
      <c r="K468" s="32" t="str">
        <f t="shared" si="34"/>
        <v/>
      </c>
      <c r="L468" s="32" t="str">
        <f t="shared" si="35"/>
        <v/>
      </c>
      <c r="M468" s="32" t="str">
        <f t="shared" si="36"/>
        <v/>
      </c>
      <c r="N468" s="4"/>
      <c r="O468" s="4"/>
      <c r="P468" s="4"/>
      <c r="Q468" s="4"/>
      <c r="U468" s="5"/>
      <c r="V468" s="4"/>
      <c r="AG468" t="s">
        <v>508</v>
      </c>
      <c r="AM468" s="1"/>
    </row>
    <row r="469" spans="1:39" x14ac:dyDescent="0.35">
      <c r="A469">
        <v>465</v>
      </c>
      <c r="B469">
        <v>466</v>
      </c>
      <c r="C469">
        <v>146.80281367200001</v>
      </c>
      <c r="D469">
        <v>-19.158665056</v>
      </c>
      <c r="F469" s="64"/>
      <c r="G469" s="64"/>
      <c r="H469" s="64" t="s">
        <v>26</v>
      </c>
      <c r="I469" s="64"/>
      <c r="J469" s="32" t="str">
        <f>IF(AND(I469=1,OR(I468=0,I468="")),MAX($J$4:$J468)+1,IF(AND(I469=1,I468=1),J468,""))</f>
        <v/>
      </c>
      <c r="K469" s="32" t="str">
        <f t="shared" si="34"/>
        <v/>
      </c>
      <c r="L469" s="32" t="str">
        <f t="shared" si="35"/>
        <v/>
      </c>
      <c r="M469" s="32" t="str">
        <f t="shared" si="36"/>
        <v/>
      </c>
      <c r="N469" s="4"/>
      <c r="O469" s="4"/>
      <c r="P469" s="4"/>
      <c r="Q469" s="4"/>
      <c r="U469" s="5"/>
      <c r="V469" s="4"/>
      <c r="AG469" t="s">
        <v>509</v>
      </c>
      <c r="AM469" s="1"/>
    </row>
    <row r="470" spans="1:39" x14ac:dyDescent="0.35">
      <c r="A470">
        <v>466</v>
      </c>
      <c r="B470">
        <v>467</v>
      </c>
      <c r="C470">
        <v>146.80280346399999</v>
      </c>
      <c r="D470">
        <v>-19.158591601000001</v>
      </c>
      <c r="F470" s="64"/>
      <c r="G470" s="64"/>
      <c r="H470" s="64" t="s">
        <v>26</v>
      </c>
      <c r="I470" s="64"/>
      <c r="J470" s="32" t="str">
        <f>IF(AND(I470=1,OR(I469=0,I469="")),MAX($J$4:$J469)+1,IF(AND(I470=1,I469=1),J469,""))</f>
        <v/>
      </c>
      <c r="K470" s="32" t="str">
        <f t="shared" si="34"/>
        <v/>
      </c>
      <c r="L470" s="32" t="str">
        <f t="shared" si="35"/>
        <v/>
      </c>
      <c r="M470" s="32" t="str">
        <f t="shared" si="36"/>
        <v/>
      </c>
      <c r="N470" s="4"/>
      <c r="O470" s="4"/>
      <c r="P470" s="4"/>
      <c r="Q470" s="4"/>
      <c r="U470" s="5"/>
      <c r="V470" s="4"/>
      <c r="AG470" t="s">
        <v>510</v>
      </c>
      <c r="AM470" s="1"/>
    </row>
    <row r="471" spans="1:39" x14ac:dyDescent="0.35">
      <c r="A471">
        <v>467</v>
      </c>
      <c r="B471">
        <v>468</v>
      </c>
      <c r="C471">
        <v>146.80278956500001</v>
      </c>
      <c r="D471">
        <v>-19.158509854999998</v>
      </c>
      <c r="F471" s="64"/>
      <c r="G471" s="64"/>
      <c r="H471" s="64" t="s">
        <v>26</v>
      </c>
      <c r="I471" s="64"/>
      <c r="J471" s="32" t="str">
        <f>IF(AND(I471=1,OR(I470=0,I470="")),MAX($J$4:$J470)+1,IF(AND(I471=1,I470=1),J470,""))</f>
        <v/>
      </c>
      <c r="K471" s="32" t="str">
        <f t="shared" si="34"/>
        <v/>
      </c>
      <c r="L471" s="32" t="str">
        <f t="shared" si="35"/>
        <v/>
      </c>
      <c r="M471" s="32" t="str">
        <f t="shared" si="36"/>
        <v/>
      </c>
      <c r="N471" s="4"/>
      <c r="O471" s="4"/>
      <c r="P471" s="4"/>
      <c r="Q471" s="4"/>
      <c r="U471" s="5"/>
      <c r="V471" s="4"/>
      <c r="AG471" t="s">
        <v>511</v>
      </c>
      <c r="AM471" s="1"/>
    </row>
    <row r="472" spans="1:39" x14ac:dyDescent="0.35">
      <c r="A472">
        <v>468</v>
      </c>
      <c r="B472">
        <v>469</v>
      </c>
      <c r="C472">
        <v>146.80271188399999</v>
      </c>
      <c r="D472">
        <v>-19.158475291999899</v>
      </c>
      <c r="F472" s="64"/>
      <c r="G472" s="64"/>
      <c r="H472" s="64" t="s">
        <v>26</v>
      </c>
      <c r="I472" s="64"/>
      <c r="J472" s="32" t="str">
        <f>IF(AND(I472=1,OR(I471=0,I471="")),MAX($J$4:$J471)+1,IF(AND(I472=1,I471=1),J471,""))</f>
        <v/>
      </c>
      <c r="K472" s="32" t="str">
        <f t="shared" si="34"/>
        <v/>
      </c>
      <c r="L472" s="32" t="str">
        <f t="shared" si="35"/>
        <v/>
      </c>
      <c r="M472" s="32" t="str">
        <f t="shared" si="36"/>
        <v/>
      </c>
      <c r="N472" s="4"/>
      <c r="O472" s="4"/>
      <c r="P472" s="4"/>
      <c r="Q472" s="4"/>
      <c r="U472" s="5"/>
      <c r="V472" s="4"/>
      <c r="AG472" t="s">
        <v>512</v>
      </c>
      <c r="AM472" s="1"/>
    </row>
    <row r="473" spans="1:39" x14ac:dyDescent="0.35">
      <c r="A473">
        <v>469</v>
      </c>
      <c r="B473">
        <v>470</v>
      </c>
      <c r="C473">
        <v>146.80262469499999</v>
      </c>
      <c r="D473">
        <v>-19.158457335000001</v>
      </c>
      <c r="E473">
        <v>50</v>
      </c>
      <c r="F473" s="64"/>
      <c r="G473" s="64"/>
      <c r="H473" s="64" t="s">
        <v>26</v>
      </c>
      <c r="I473" s="64"/>
      <c r="J473" s="32" t="str">
        <f>IF(AND(I473=1,OR(I472=0,I472="")),MAX($J$4:$J472)+1,IF(AND(I473=1,I472=1),J472,""))</f>
        <v/>
      </c>
      <c r="K473" s="32" t="str">
        <f t="shared" si="34"/>
        <v/>
      </c>
      <c r="L473" s="32" t="str">
        <f t="shared" si="35"/>
        <v/>
      </c>
      <c r="M473" s="32" t="str">
        <f t="shared" si="36"/>
        <v/>
      </c>
      <c r="N473" s="4"/>
      <c r="O473" s="4"/>
      <c r="P473" s="4"/>
      <c r="Q473" s="4"/>
      <c r="U473" s="5"/>
      <c r="V473" s="4"/>
      <c r="AG473" t="s">
        <v>513</v>
      </c>
      <c r="AM473" s="1"/>
    </row>
    <row r="474" spans="1:39" x14ac:dyDescent="0.35">
      <c r="A474">
        <v>470</v>
      </c>
      <c r="B474">
        <v>471</v>
      </c>
      <c r="C474">
        <v>146.802548715</v>
      </c>
      <c r="D474">
        <v>-19.1584181919999</v>
      </c>
      <c r="F474" s="64"/>
      <c r="G474" s="64"/>
      <c r="H474" s="64" t="s">
        <v>26</v>
      </c>
      <c r="I474" s="64"/>
      <c r="J474" s="32" t="str">
        <f>IF(AND(I474=1,OR(I473=0,I473="")),MAX($J$4:$J473)+1,IF(AND(I474=1,I473=1),J473,""))</f>
        <v/>
      </c>
      <c r="K474" s="32" t="str">
        <f t="shared" si="34"/>
        <v/>
      </c>
      <c r="L474" s="32" t="str">
        <f t="shared" si="35"/>
        <v/>
      </c>
      <c r="M474" s="32" t="str">
        <f t="shared" si="36"/>
        <v/>
      </c>
      <c r="N474" s="4"/>
      <c r="O474" s="4"/>
      <c r="P474" s="4"/>
      <c r="Q474" s="4"/>
      <c r="U474" s="5"/>
      <c r="V474" s="4"/>
      <c r="AG474" t="s">
        <v>514</v>
      </c>
      <c r="AM474" s="1"/>
    </row>
    <row r="475" spans="1:39" x14ac:dyDescent="0.35">
      <c r="A475">
        <v>471</v>
      </c>
      <c r="B475">
        <v>472</v>
      </c>
      <c r="C475">
        <v>146.80250665400001</v>
      </c>
      <c r="D475">
        <v>-19.158348404000002</v>
      </c>
      <c r="F475" s="64"/>
      <c r="G475" s="64"/>
      <c r="H475" s="64" t="s">
        <v>26</v>
      </c>
      <c r="I475" s="64"/>
      <c r="J475" s="32" t="str">
        <f>IF(AND(I475=1,OR(I474=0,I474="")),MAX($J$4:$J474)+1,IF(AND(I475=1,I474=1),J474,""))</f>
        <v/>
      </c>
      <c r="K475" s="32" t="str">
        <f t="shared" si="34"/>
        <v/>
      </c>
      <c r="L475" s="32" t="str">
        <f t="shared" si="35"/>
        <v/>
      </c>
      <c r="M475" s="32" t="str">
        <f t="shared" si="36"/>
        <v/>
      </c>
      <c r="N475" s="4"/>
      <c r="O475" s="4"/>
      <c r="P475" s="4"/>
      <c r="Q475" s="4"/>
      <c r="U475" s="5"/>
      <c r="V475" s="4"/>
      <c r="AG475" t="s">
        <v>515</v>
      </c>
      <c r="AM475" s="1"/>
    </row>
    <row r="476" spans="1:39" x14ac:dyDescent="0.35">
      <c r="A476">
        <v>472</v>
      </c>
      <c r="B476">
        <v>473</v>
      </c>
      <c r="C476">
        <v>146.80251055100001</v>
      </c>
      <c r="D476">
        <v>-19.158263626999901</v>
      </c>
      <c r="F476" s="64"/>
      <c r="G476" s="64"/>
      <c r="H476" s="64" t="s">
        <v>26</v>
      </c>
      <c r="I476" s="64"/>
      <c r="J476" s="32" t="str">
        <f>IF(AND(I476=1,OR(I475=0,I475="")),MAX($J$4:$J475)+1,IF(AND(I476=1,I475=1),J475,""))</f>
        <v/>
      </c>
      <c r="K476" s="32" t="str">
        <f t="shared" si="34"/>
        <v/>
      </c>
      <c r="L476" s="32" t="str">
        <f t="shared" si="35"/>
        <v/>
      </c>
      <c r="M476" s="32" t="str">
        <f t="shared" si="36"/>
        <v/>
      </c>
      <c r="N476" s="4"/>
      <c r="O476" s="4"/>
      <c r="P476" s="4"/>
      <c r="Q476" s="4"/>
      <c r="U476" s="5"/>
      <c r="V476" s="4"/>
      <c r="AG476" t="s">
        <v>516</v>
      </c>
      <c r="AM476" s="1"/>
    </row>
    <row r="477" spans="1:39" x14ac:dyDescent="0.35">
      <c r="A477">
        <v>473</v>
      </c>
      <c r="B477">
        <v>474</v>
      </c>
      <c r="C477">
        <v>146.80251579399999</v>
      </c>
      <c r="D477">
        <v>-19.158178925999898</v>
      </c>
      <c r="F477" s="64"/>
      <c r="G477" s="64"/>
      <c r="H477" s="64" t="s">
        <v>26</v>
      </c>
      <c r="I477" s="64"/>
      <c r="J477" s="32" t="str">
        <f>IF(AND(I477=1,OR(I476=0,I476="")),MAX($J$4:$J476)+1,IF(AND(I477=1,I476=1),J476,""))</f>
        <v/>
      </c>
      <c r="K477" s="32" t="str">
        <f t="shared" si="34"/>
        <v/>
      </c>
      <c r="L477" s="32" t="str">
        <f t="shared" si="35"/>
        <v/>
      </c>
      <c r="M477" s="32" t="str">
        <f t="shared" si="36"/>
        <v/>
      </c>
      <c r="N477" s="4"/>
      <c r="O477" s="4"/>
      <c r="P477" s="4"/>
      <c r="Q477" s="4"/>
      <c r="U477" s="5"/>
      <c r="V477" s="4"/>
      <c r="AG477" t="s">
        <v>517</v>
      </c>
      <c r="AM477" s="1"/>
    </row>
    <row r="478" spans="1:39" x14ac:dyDescent="0.35">
      <c r="A478">
        <v>474</v>
      </c>
      <c r="B478">
        <v>475</v>
      </c>
      <c r="C478">
        <v>146.802517123</v>
      </c>
      <c r="D478">
        <v>-19.158094402</v>
      </c>
      <c r="E478">
        <v>50</v>
      </c>
      <c r="F478" s="64"/>
      <c r="G478" s="64"/>
      <c r="H478" s="64" t="s">
        <v>26</v>
      </c>
      <c r="I478" s="64"/>
      <c r="J478" s="32" t="str">
        <f>IF(AND(I478=1,OR(I477=0,I477="")),MAX($J$4:$J477)+1,IF(AND(I478=1,I477=1),J477,""))</f>
        <v/>
      </c>
      <c r="K478" s="32" t="str">
        <f t="shared" si="34"/>
        <v/>
      </c>
      <c r="L478" s="32" t="str">
        <f t="shared" si="35"/>
        <v/>
      </c>
      <c r="M478" s="32" t="str">
        <f t="shared" si="36"/>
        <v/>
      </c>
      <c r="N478" s="4"/>
      <c r="O478" s="4"/>
      <c r="P478" s="4"/>
      <c r="Q478" s="4"/>
      <c r="U478" s="5"/>
      <c r="V478" s="4"/>
      <c r="AG478" t="s">
        <v>518</v>
      </c>
      <c r="AM478" s="1"/>
    </row>
    <row r="479" spans="1:39" x14ac:dyDescent="0.35">
      <c r="A479">
        <v>475</v>
      </c>
      <c r="B479">
        <v>476</v>
      </c>
      <c r="C479">
        <v>146.80250703900001</v>
      </c>
      <c r="D479">
        <v>-19.158010082000001</v>
      </c>
      <c r="F479" s="64"/>
      <c r="G479" s="64"/>
      <c r="H479" s="64" t="s">
        <v>26</v>
      </c>
      <c r="I479" s="64"/>
      <c r="J479" s="32" t="str">
        <f>IF(AND(I479=1,OR(I478=0,I478="")),MAX($J$4:$J478)+1,IF(AND(I479=1,I478=1),J478,""))</f>
        <v/>
      </c>
      <c r="K479" s="32" t="str">
        <f t="shared" ref="K479:K542" si="37">IF(J479="","",COUNTIF(J:J,J479)*10)</f>
        <v/>
      </c>
      <c r="L479" s="32" t="str">
        <f t="shared" si="35"/>
        <v/>
      </c>
      <c r="M479" s="32" t="str">
        <f t="shared" si="36"/>
        <v/>
      </c>
      <c r="N479" s="4"/>
      <c r="O479" s="4"/>
      <c r="P479" s="4"/>
      <c r="Q479" s="4"/>
      <c r="U479" s="5"/>
      <c r="V479" s="4"/>
      <c r="AG479" t="s">
        <v>519</v>
      </c>
      <c r="AM479" s="1"/>
    </row>
    <row r="480" spans="1:39" x14ac:dyDescent="0.35">
      <c r="A480">
        <v>476</v>
      </c>
      <c r="B480">
        <v>477</v>
      </c>
      <c r="C480">
        <v>146.802505454</v>
      </c>
      <c r="D480">
        <v>-19.1579253099999</v>
      </c>
      <c r="F480" s="64"/>
      <c r="G480" s="64"/>
      <c r="H480" s="64" t="s">
        <v>26</v>
      </c>
      <c r="I480" s="64"/>
      <c r="J480" s="32" t="str">
        <f>IF(AND(I480=1,OR(I479=0,I479="")),MAX($J$4:$J479)+1,IF(AND(I480=1,I479=1),J479,""))</f>
        <v/>
      </c>
      <c r="K480" s="32" t="str">
        <f t="shared" si="37"/>
        <v/>
      </c>
      <c r="L480" s="32" t="str">
        <f t="shared" si="35"/>
        <v/>
      </c>
      <c r="M480" s="32" t="str">
        <f t="shared" si="36"/>
        <v/>
      </c>
      <c r="N480" s="4"/>
      <c r="O480" s="4"/>
      <c r="P480" s="4"/>
      <c r="Q480" s="4"/>
      <c r="U480" s="5"/>
      <c r="V480" s="4"/>
      <c r="AG480" t="s">
        <v>520</v>
      </c>
      <c r="AM480" s="1"/>
    </row>
    <row r="481" spans="1:39" x14ac:dyDescent="0.35">
      <c r="A481">
        <v>477</v>
      </c>
      <c r="B481">
        <v>478</v>
      </c>
      <c r="C481">
        <v>146.802505454</v>
      </c>
      <c r="D481">
        <v>-19.157840452999899</v>
      </c>
      <c r="F481" s="64"/>
      <c r="G481" s="64"/>
      <c r="H481" s="64" t="s">
        <v>26</v>
      </c>
      <c r="I481" s="64"/>
      <c r="J481" s="32" t="str">
        <f>IF(AND(I481=1,OR(I480=0,I480="")),MAX($J$4:$J480)+1,IF(AND(I481=1,I480=1),J480,""))</f>
        <v/>
      </c>
      <c r="K481" s="32" t="str">
        <f t="shared" si="37"/>
        <v/>
      </c>
      <c r="L481" s="32" t="str">
        <f t="shared" si="35"/>
        <v/>
      </c>
      <c r="M481" s="32" t="str">
        <f t="shared" si="36"/>
        <v/>
      </c>
      <c r="N481" s="4"/>
      <c r="O481" s="4"/>
      <c r="P481" s="4"/>
      <c r="Q481" s="4"/>
      <c r="U481" s="5"/>
      <c r="V481" s="4"/>
      <c r="AG481" t="s">
        <v>521</v>
      </c>
      <c r="AM481" s="1"/>
    </row>
    <row r="482" spans="1:39" x14ac:dyDescent="0.35">
      <c r="A482">
        <v>478</v>
      </c>
      <c r="B482">
        <v>479</v>
      </c>
      <c r="C482">
        <v>146.802503108</v>
      </c>
      <c r="D482">
        <v>-19.1577557909999</v>
      </c>
      <c r="F482" s="64"/>
      <c r="G482" s="64"/>
      <c r="H482" s="64" t="s">
        <v>26</v>
      </c>
      <c r="I482" s="64"/>
      <c r="J482" s="32" t="str">
        <f>IF(AND(I482=1,OR(I481=0,I481="")),MAX($J$4:$J481)+1,IF(AND(I482=1,I481=1),J481,""))</f>
        <v/>
      </c>
      <c r="K482" s="32" t="str">
        <f t="shared" si="37"/>
        <v/>
      </c>
      <c r="L482" s="32" t="str">
        <f t="shared" si="35"/>
        <v/>
      </c>
      <c r="M482" s="32" t="str">
        <f t="shared" si="36"/>
        <v/>
      </c>
      <c r="N482" s="4"/>
      <c r="O482" s="4"/>
      <c r="P482" s="4"/>
      <c r="Q482" s="4"/>
      <c r="U482" s="5"/>
      <c r="V482" s="4"/>
      <c r="AG482" t="s">
        <v>522</v>
      </c>
      <c r="AM482" s="1"/>
    </row>
    <row r="483" spans="1:39" x14ac:dyDescent="0.35">
      <c r="A483">
        <v>479</v>
      </c>
      <c r="B483">
        <v>480</v>
      </c>
      <c r="C483">
        <v>146.802478339</v>
      </c>
      <c r="D483">
        <v>-19.157680136</v>
      </c>
      <c r="E483">
        <v>50</v>
      </c>
      <c r="F483" s="64"/>
      <c r="G483" s="64"/>
      <c r="H483" s="64" t="s">
        <v>26</v>
      </c>
      <c r="I483" s="64"/>
      <c r="J483" s="32" t="str">
        <f>IF(AND(I483=1,OR(I482=0,I482="")),MAX($J$4:$J482)+1,IF(AND(I483=1,I482=1),J482,""))</f>
        <v/>
      </c>
      <c r="K483" s="32" t="str">
        <f t="shared" si="37"/>
        <v/>
      </c>
      <c r="L483" s="32" t="str">
        <f t="shared" si="35"/>
        <v/>
      </c>
      <c r="M483" s="32" t="str">
        <f t="shared" si="36"/>
        <v/>
      </c>
      <c r="N483" s="4"/>
      <c r="O483" s="4"/>
      <c r="P483" s="4"/>
      <c r="Q483" s="4"/>
      <c r="U483" s="5"/>
      <c r="V483" s="4"/>
      <c r="AG483" t="s">
        <v>523</v>
      </c>
      <c r="AM483" s="1"/>
    </row>
    <row r="484" spans="1:39" x14ac:dyDescent="0.35">
      <c r="A484">
        <v>480</v>
      </c>
      <c r="B484">
        <v>481</v>
      </c>
      <c r="C484">
        <v>146.80247342300001</v>
      </c>
      <c r="D484">
        <v>-19.157597123999899</v>
      </c>
      <c r="F484" s="64"/>
      <c r="G484" s="64"/>
      <c r="H484" s="64" t="s">
        <v>26</v>
      </c>
      <c r="I484" s="64"/>
      <c r="J484" s="32" t="str">
        <f>IF(AND(I484=1,OR(I483=0,I483="")),MAX($J$4:$J483)+1,IF(AND(I484=1,I483=1),J483,""))</f>
        <v/>
      </c>
      <c r="K484" s="32" t="str">
        <f t="shared" si="37"/>
        <v/>
      </c>
      <c r="L484" s="32" t="str">
        <f t="shared" si="35"/>
        <v/>
      </c>
      <c r="M484" s="32" t="str">
        <f t="shared" si="36"/>
        <v/>
      </c>
      <c r="N484" s="4"/>
      <c r="O484" s="4"/>
      <c r="P484" s="4"/>
      <c r="Q484" s="4"/>
      <c r="U484" s="5"/>
      <c r="V484" s="4"/>
      <c r="AG484" t="s">
        <v>524</v>
      </c>
      <c r="AM484" s="1"/>
    </row>
    <row r="485" spans="1:39" x14ac:dyDescent="0.35">
      <c r="A485">
        <v>481</v>
      </c>
      <c r="B485">
        <v>482</v>
      </c>
      <c r="C485">
        <v>146.80245779000001</v>
      </c>
      <c r="D485">
        <v>-19.157513561999998</v>
      </c>
      <c r="F485" s="64"/>
      <c r="G485" s="64"/>
      <c r="H485" s="64" t="s">
        <v>26</v>
      </c>
      <c r="I485" s="64"/>
      <c r="J485" s="32" t="str">
        <f>IF(AND(I485=1,OR(I484=0,I484="")),MAX($J$4:$J484)+1,IF(AND(I485=1,I484=1),J484,""))</f>
        <v/>
      </c>
      <c r="K485" s="32" t="str">
        <f t="shared" si="37"/>
        <v/>
      </c>
      <c r="L485" s="32" t="str">
        <f t="shared" si="35"/>
        <v/>
      </c>
      <c r="M485" s="32" t="str">
        <f t="shared" si="36"/>
        <v/>
      </c>
      <c r="N485" s="4"/>
      <c r="O485" s="4"/>
      <c r="P485" s="4"/>
      <c r="Q485" s="4"/>
      <c r="U485" s="5"/>
      <c r="V485" s="4"/>
      <c r="AG485" t="s">
        <v>525</v>
      </c>
      <c r="AM485" s="1"/>
    </row>
    <row r="486" spans="1:39" x14ac:dyDescent="0.35">
      <c r="A486">
        <v>482</v>
      </c>
      <c r="B486">
        <v>483</v>
      </c>
      <c r="C486">
        <v>146.80244215600001</v>
      </c>
      <c r="D486">
        <v>-19.157430000000002</v>
      </c>
      <c r="F486" s="64"/>
      <c r="G486" s="64"/>
      <c r="H486" s="64" t="s">
        <v>26</v>
      </c>
      <c r="I486" s="64"/>
      <c r="J486" s="32" t="str">
        <f>IF(AND(I486=1,OR(I485=0,I485="")),MAX($J$4:$J485)+1,IF(AND(I486=1,I485=1),J485,""))</f>
        <v/>
      </c>
      <c r="K486" s="32" t="str">
        <f t="shared" si="37"/>
        <v/>
      </c>
      <c r="L486" s="32" t="str">
        <f t="shared" si="35"/>
        <v/>
      </c>
      <c r="M486" s="32" t="str">
        <f t="shared" si="36"/>
        <v/>
      </c>
      <c r="N486" s="4"/>
      <c r="O486" s="4"/>
      <c r="P486" s="4"/>
      <c r="Q486" s="4"/>
      <c r="U486" s="5"/>
      <c r="V486" s="4"/>
      <c r="AG486" t="s">
        <v>526</v>
      </c>
      <c r="AM486" s="1"/>
    </row>
    <row r="487" spans="1:39" x14ac:dyDescent="0.35">
      <c r="A487">
        <v>483</v>
      </c>
      <c r="B487">
        <v>484</v>
      </c>
      <c r="C487">
        <v>146.802407496</v>
      </c>
      <c r="D487">
        <v>-19.1573523449999</v>
      </c>
      <c r="F487" s="64"/>
      <c r="G487" s="64"/>
      <c r="H487" s="64" t="s">
        <v>26</v>
      </c>
      <c r="I487" s="64"/>
      <c r="J487" s="32" t="str">
        <f>IF(AND(I487=1,OR(I486=0,I486="")),MAX($J$4:$J486)+1,IF(AND(I487=1,I486=1),J486,""))</f>
        <v/>
      </c>
      <c r="K487" s="32" t="str">
        <f t="shared" si="37"/>
        <v/>
      </c>
      <c r="L487" s="32" t="str">
        <f t="shared" si="35"/>
        <v/>
      </c>
      <c r="M487" s="32" t="str">
        <f t="shared" si="36"/>
        <v/>
      </c>
      <c r="N487" s="4"/>
      <c r="O487" s="4"/>
      <c r="P487" s="4"/>
      <c r="Q487" s="4"/>
      <c r="U487" s="5"/>
      <c r="V487" s="4"/>
      <c r="AG487" t="s">
        <v>527</v>
      </c>
      <c r="AM487" s="1"/>
    </row>
    <row r="488" spans="1:39" x14ac:dyDescent="0.35">
      <c r="A488">
        <v>484</v>
      </c>
      <c r="B488">
        <v>485</v>
      </c>
      <c r="C488">
        <v>146.80239350100001</v>
      </c>
      <c r="D488">
        <v>-19.1572687459999</v>
      </c>
      <c r="E488">
        <v>50</v>
      </c>
      <c r="F488" s="64"/>
      <c r="G488" s="64"/>
      <c r="H488" s="64" t="s">
        <v>26</v>
      </c>
      <c r="I488" s="64"/>
      <c r="J488" s="32" t="str">
        <f>IF(AND(I488=1,OR(I487=0,I487="")),MAX($J$4:$J487)+1,IF(AND(I488=1,I487=1),J487,""))</f>
        <v/>
      </c>
      <c r="K488" s="32" t="str">
        <f t="shared" si="37"/>
        <v/>
      </c>
      <c r="L488" s="32" t="str">
        <f t="shared" si="35"/>
        <v/>
      </c>
      <c r="M488" s="32" t="str">
        <f t="shared" si="36"/>
        <v/>
      </c>
      <c r="N488" s="4"/>
      <c r="O488" s="4"/>
      <c r="P488" s="4"/>
      <c r="Q488" s="4"/>
      <c r="U488" s="5"/>
      <c r="V488" s="4"/>
      <c r="AG488" t="s">
        <v>528</v>
      </c>
      <c r="AM488" s="1"/>
    </row>
    <row r="489" spans="1:39" x14ac:dyDescent="0.35">
      <c r="A489">
        <v>485</v>
      </c>
      <c r="B489">
        <v>486</v>
      </c>
      <c r="C489">
        <v>146.80237603899999</v>
      </c>
      <c r="D489">
        <v>-19.157185548000001</v>
      </c>
      <c r="F489" s="64"/>
      <c r="G489" s="64"/>
      <c r="H489" s="64" t="s">
        <v>26</v>
      </c>
      <c r="I489" s="64"/>
      <c r="J489" s="32" t="str">
        <f>IF(AND(I489=1,OR(I488=0,I488="")),MAX($J$4:$J488)+1,IF(AND(I489=1,I488=1),J488,""))</f>
        <v/>
      </c>
      <c r="K489" s="32" t="str">
        <f t="shared" si="37"/>
        <v/>
      </c>
      <c r="L489" s="32" t="str">
        <f t="shared" si="35"/>
        <v/>
      </c>
      <c r="M489" s="32" t="str">
        <f t="shared" si="36"/>
        <v/>
      </c>
      <c r="N489" s="4"/>
      <c r="O489" s="4"/>
      <c r="P489" s="4"/>
      <c r="Q489" s="4"/>
      <c r="U489" s="5"/>
      <c r="V489" s="4"/>
      <c r="AG489" t="s">
        <v>529</v>
      </c>
      <c r="AM489" s="1"/>
    </row>
    <row r="490" spans="1:39" x14ac:dyDescent="0.35">
      <c r="A490">
        <v>486</v>
      </c>
      <c r="B490">
        <v>487</v>
      </c>
      <c r="C490">
        <v>146.80237373899999</v>
      </c>
      <c r="D490">
        <v>-19.157104536999999</v>
      </c>
      <c r="F490" s="64"/>
      <c r="G490" s="64"/>
      <c r="H490" s="64" t="s">
        <v>26</v>
      </c>
      <c r="I490" s="64"/>
      <c r="J490" s="32" t="str">
        <f>IF(AND(I490=1,OR(I489=0,I489="")),MAX($J$4:$J489)+1,IF(AND(I490=1,I489=1),J489,""))</f>
        <v/>
      </c>
      <c r="K490" s="32" t="str">
        <f t="shared" si="37"/>
        <v/>
      </c>
      <c r="L490" s="32" t="str">
        <f t="shared" si="35"/>
        <v/>
      </c>
      <c r="M490" s="32" t="str">
        <f t="shared" si="36"/>
        <v/>
      </c>
      <c r="N490" s="4"/>
      <c r="O490" s="4"/>
      <c r="P490" s="4"/>
      <c r="Q490" s="4"/>
      <c r="U490" s="5"/>
      <c r="V490" s="4"/>
      <c r="AG490" t="s">
        <v>530</v>
      </c>
      <c r="AM490" s="1"/>
    </row>
    <row r="491" spans="1:39" x14ac:dyDescent="0.35">
      <c r="A491">
        <v>487</v>
      </c>
      <c r="B491">
        <v>488</v>
      </c>
      <c r="C491">
        <v>146.80241175899999</v>
      </c>
      <c r="D491">
        <v>-19.157028027999999</v>
      </c>
      <c r="F491" s="64"/>
      <c r="G491" s="64"/>
      <c r="H491" s="64" t="s">
        <v>26</v>
      </c>
      <c r="I491" s="64"/>
      <c r="J491" s="32" t="str">
        <f>IF(AND(I491=1,OR(I490=0,I490="")),MAX($J$4:$J490)+1,IF(AND(I491=1,I490=1),J490,""))</f>
        <v/>
      </c>
      <c r="K491" s="32" t="str">
        <f t="shared" si="37"/>
        <v/>
      </c>
      <c r="L491" s="32" t="str">
        <f t="shared" si="35"/>
        <v/>
      </c>
      <c r="M491" s="32" t="str">
        <f t="shared" si="36"/>
        <v/>
      </c>
      <c r="N491" s="4"/>
      <c r="O491" s="4"/>
      <c r="P491" s="4"/>
      <c r="Q491" s="4"/>
      <c r="U491" s="5"/>
      <c r="V491" s="4"/>
      <c r="AG491" t="s">
        <v>531</v>
      </c>
      <c r="AM491" s="1"/>
    </row>
    <row r="492" spans="1:39" x14ac:dyDescent="0.35">
      <c r="A492">
        <v>488</v>
      </c>
      <c r="B492">
        <v>489</v>
      </c>
      <c r="C492">
        <v>146.802386493</v>
      </c>
      <c r="D492">
        <v>-19.156948492000001</v>
      </c>
      <c r="F492" s="64"/>
      <c r="G492" s="64"/>
      <c r="H492" s="64" t="s">
        <v>26</v>
      </c>
      <c r="I492" s="64"/>
      <c r="J492" s="32" t="str">
        <f>IF(AND(I492=1,OR(I491=0,I491="")),MAX($J$4:$J491)+1,IF(AND(I492=1,I491=1),J491,""))</f>
        <v/>
      </c>
      <c r="K492" s="32" t="str">
        <f t="shared" si="37"/>
        <v/>
      </c>
      <c r="L492" s="32" t="str">
        <f t="shared" si="35"/>
        <v/>
      </c>
      <c r="M492" s="32" t="str">
        <f t="shared" si="36"/>
        <v/>
      </c>
      <c r="N492" s="4"/>
      <c r="O492" s="4"/>
      <c r="P492" s="4"/>
      <c r="Q492" s="4"/>
      <c r="U492" s="5"/>
      <c r="V492" s="4"/>
      <c r="AG492" t="s">
        <v>532</v>
      </c>
      <c r="AM492" s="1"/>
    </row>
    <row r="493" spans="1:39" x14ac:dyDescent="0.35">
      <c r="A493">
        <v>489</v>
      </c>
      <c r="B493">
        <v>490</v>
      </c>
      <c r="C493">
        <v>146.80238902400001</v>
      </c>
      <c r="D493">
        <v>-19.156863697999899</v>
      </c>
      <c r="E493">
        <v>50</v>
      </c>
      <c r="F493" s="64"/>
      <c r="G493" s="64"/>
      <c r="H493" s="64" t="s">
        <v>26</v>
      </c>
      <c r="I493" s="64"/>
      <c r="J493" s="32" t="str">
        <f>IF(AND(I493=1,OR(I492=0,I492="")),MAX($J$4:$J492)+1,IF(AND(I493=1,I492=1),J492,""))</f>
        <v/>
      </c>
      <c r="K493" s="32" t="str">
        <f t="shared" si="37"/>
        <v/>
      </c>
      <c r="L493" s="32" t="str">
        <f t="shared" si="35"/>
        <v/>
      </c>
      <c r="M493" s="32" t="str">
        <f t="shared" si="36"/>
        <v/>
      </c>
      <c r="N493" s="4"/>
      <c r="O493" s="4"/>
      <c r="P493" s="4"/>
      <c r="Q493" s="4"/>
      <c r="U493" s="5"/>
      <c r="V493" s="4"/>
      <c r="AG493" t="s">
        <v>533</v>
      </c>
      <c r="AM493" s="1"/>
    </row>
    <row r="494" spans="1:39" x14ac:dyDescent="0.35">
      <c r="A494">
        <v>490</v>
      </c>
      <c r="B494">
        <v>491</v>
      </c>
      <c r="C494">
        <v>146.802344218</v>
      </c>
      <c r="D494">
        <v>-19.156798724999899</v>
      </c>
      <c r="F494" s="64"/>
      <c r="G494" s="64"/>
      <c r="H494" s="64" t="s">
        <v>26</v>
      </c>
      <c r="I494" s="64"/>
      <c r="J494" s="32" t="str">
        <f>IF(AND(I494=1,OR(I493=0,I493="")),MAX($J$4:$J493)+1,IF(AND(I494=1,I493=1),J493,""))</f>
        <v/>
      </c>
      <c r="K494" s="32" t="str">
        <f t="shared" si="37"/>
        <v/>
      </c>
      <c r="L494" s="32" t="str">
        <f t="shared" si="35"/>
        <v/>
      </c>
      <c r="M494" s="32" t="str">
        <f t="shared" si="36"/>
        <v/>
      </c>
      <c r="N494" s="4"/>
      <c r="O494" s="4"/>
      <c r="P494" s="4"/>
      <c r="Q494" s="4"/>
      <c r="U494" s="5"/>
      <c r="V494" s="4"/>
      <c r="AG494" t="s">
        <v>534</v>
      </c>
      <c r="AM494" s="1"/>
    </row>
    <row r="495" spans="1:39" x14ac:dyDescent="0.35">
      <c r="A495">
        <v>491</v>
      </c>
      <c r="B495">
        <v>492</v>
      </c>
      <c r="C495">
        <v>146.80227917299999</v>
      </c>
      <c r="D495">
        <v>-19.1567402599999</v>
      </c>
      <c r="F495" s="64"/>
      <c r="G495" s="64"/>
      <c r="H495" s="64" t="s">
        <v>26</v>
      </c>
      <c r="I495" s="64"/>
      <c r="J495" s="32" t="str">
        <f>IF(AND(I495=1,OR(I494=0,I494="")),MAX($J$4:$J494)+1,IF(AND(I495=1,I494=1),J494,""))</f>
        <v/>
      </c>
      <c r="K495" s="32" t="str">
        <f t="shared" si="37"/>
        <v/>
      </c>
      <c r="L495" s="32" t="str">
        <f t="shared" si="35"/>
        <v/>
      </c>
      <c r="M495" s="32" t="str">
        <f t="shared" si="36"/>
        <v/>
      </c>
      <c r="N495" s="4"/>
      <c r="O495" s="4"/>
      <c r="P495" s="4"/>
      <c r="Q495" s="4"/>
      <c r="U495" s="5"/>
      <c r="V495" s="4"/>
      <c r="AG495" t="s">
        <v>535</v>
      </c>
      <c r="AM495" s="1"/>
    </row>
    <row r="496" spans="1:39" x14ac:dyDescent="0.35">
      <c r="A496">
        <v>492</v>
      </c>
      <c r="B496">
        <v>493</v>
      </c>
      <c r="C496">
        <v>146.80221503600001</v>
      </c>
      <c r="D496">
        <v>-19.156680846</v>
      </c>
      <c r="F496" s="64"/>
      <c r="G496" s="64"/>
      <c r="H496" s="64" t="s">
        <v>26</v>
      </c>
      <c r="I496" s="64"/>
      <c r="J496" s="32" t="str">
        <f>IF(AND(I496=1,OR(I495=0,I495="")),MAX($J$4:$J495)+1,IF(AND(I496=1,I495=1),J495,""))</f>
        <v/>
      </c>
      <c r="K496" s="32" t="str">
        <f t="shared" si="37"/>
        <v/>
      </c>
      <c r="L496" s="32" t="str">
        <f t="shared" si="35"/>
        <v/>
      </c>
      <c r="M496" s="32" t="str">
        <f t="shared" si="36"/>
        <v/>
      </c>
      <c r="N496" s="4"/>
      <c r="O496" s="4"/>
      <c r="P496" s="4"/>
      <c r="Q496" s="4"/>
      <c r="U496" s="5"/>
      <c r="V496" s="4"/>
      <c r="AG496" t="s">
        <v>536</v>
      </c>
      <c r="AM496" s="1"/>
    </row>
    <row r="497" spans="1:39" x14ac:dyDescent="0.35">
      <c r="A497">
        <v>493</v>
      </c>
      <c r="B497">
        <v>494</v>
      </c>
      <c r="C497">
        <v>146.80216326199999</v>
      </c>
      <c r="D497">
        <v>-19.156611695999999</v>
      </c>
      <c r="F497" s="64"/>
      <c r="G497" s="64"/>
      <c r="H497" s="64" t="s">
        <v>26</v>
      </c>
      <c r="I497" s="64"/>
      <c r="J497" s="32" t="str">
        <f>IF(AND(I497=1,OR(I496=0,I496="")),MAX($J$4:$J496)+1,IF(AND(I497=1,I496=1),J496,""))</f>
        <v/>
      </c>
      <c r="K497" s="32" t="str">
        <f t="shared" si="37"/>
        <v/>
      </c>
      <c r="L497" s="32" t="str">
        <f t="shared" si="35"/>
        <v/>
      </c>
      <c r="M497" s="32" t="str">
        <f t="shared" si="36"/>
        <v/>
      </c>
      <c r="N497" s="4"/>
      <c r="O497" s="4"/>
      <c r="P497" s="4"/>
      <c r="Q497" s="4"/>
      <c r="U497" s="5"/>
      <c r="V497" s="4"/>
      <c r="AG497" t="s">
        <v>537</v>
      </c>
      <c r="AM497" s="1"/>
    </row>
    <row r="498" spans="1:39" x14ac:dyDescent="0.35">
      <c r="A498">
        <v>494</v>
      </c>
      <c r="B498">
        <v>495</v>
      </c>
      <c r="C498">
        <v>146.802112948</v>
      </c>
      <c r="D498">
        <v>-19.156541397999899</v>
      </c>
      <c r="E498">
        <v>50</v>
      </c>
      <c r="F498" s="64"/>
      <c r="G498" s="64"/>
      <c r="H498" s="64" t="s">
        <v>26</v>
      </c>
      <c r="I498" s="64"/>
      <c r="J498" s="32" t="str">
        <f>IF(AND(I498=1,OR(I497=0,I497="")),MAX($J$4:$J497)+1,IF(AND(I498=1,I497=1),J497,""))</f>
        <v/>
      </c>
      <c r="K498" s="32" t="str">
        <f t="shared" si="37"/>
        <v/>
      </c>
      <c r="L498" s="32" t="str">
        <f t="shared" si="35"/>
        <v/>
      </c>
      <c r="M498" s="32" t="str">
        <f t="shared" si="36"/>
        <v/>
      </c>
      <c r="N498" s="4"/>
      <c r="O498" s="4"/>
      <c r="P498" s="4"/>
      <c r="Q498" s="4"/>
      <c r="U498" s="5"/>
      <c r="V498" s="4"/>
      <c r="AG498" t="s">
        <v>538</v>
      </c>
      <c r="AM498" s="1"/>
    </row>
    <row r="499" spans="1:39" x14ac:dyDescent="0.35">
      <c r="A499">
        <v>495</v>
      </c>
      <c r="B499">
        <v>496</v>
      </c>
      <c r="C499">
        <v>146.80206263400001</v>
      </c>
      <c r="D499">
        <v>-19.156471100000001</v>
      </c>
      <c r="F499" s="64"/>
      <c r="G499" s="64"/>
      <c r="H499" s="64" t="s">
        <v>26</v>
      </c>
      <c r="I499" s="64"/>
      <c r="J499" s="32" t="str">
        <f>IF(AND(I499=1,OR(I498=0,I498="")),MAX($J$4:$J498)+1,IF(AND(I499=1,I498=1),J498,""))</f>
        <v/>
      </c>
      <c r="K499" s="32" t="str">
        <f t="shared" si="37"/>
        <v/>
      </c>
      <c r="L499" s="32" t="str">
        <f t="shared" si="35"/>
        <v/>
      </c>
      <c r="M499" s="32" t="str">
        <f t="shared" si="36"/>
        <v/>
      </c>
      <c r="N499" s="4"/>
      <c r="O499" s="4"/>
      <c r="P499" s="4"/>
      <c r="Q499" s="4"/>
      <c r="U499" s="5"/>
      <c r="V499" s="4"/>
      <c r="AG499" t="s">
        <v>539</v>
      </c>
      <c r="AM499" s="1"/>
    </row>
    <row r="500" spans="1:39" x14ac:dyDescent="0.35">
      <c r="A500">
        <v>496</v>
      </c>
      <c r="B500">
        <v>497</v>
      </c>
      <c r="C500">
        <v>146.80201231999999</v>
      </c>
      <c r="D500">
        <v>-19.156400802</v>
      </c>
      <c r="F500" s="64"/>
      <c r="G500" s="64"/>
      <c r="H500" s="64" t="s">
        <v>26</v>
      </c>
      <c r="I500" s="64"/>
      <c r="J500" s="32" t="str">
        <f>IF(AND(I500=1,OR(I499=0,I499="")),MAX($J$4:$J499)+1,IF(AND(I500=1,I499=1),J499,""))</f>
        <v/>
      </c>
      <c r="K500" s="32" t="str">
        <f t="shared" si="37"/>
        <v/>
      </c>
      <c r="L500" s="32" t="str">
        <f t="shared" si="35"/>
        <v/>
      </c>
      <c r="M500" s="32" t="str">
        <f t="shared" si="36"/>
        <v/>
      </c>
      <c r="N500" s="4"/>
      <c r="O500" s="4"/>
      <c r="P500" s="4"/>
      <c r="Q500" s="4"/>
      <c r="U500" s="5"/>
      <c r="V500" s="4"/>
      <c r="AG500" t="s">
        <v>540</v>
      </c>
      <c r="AM500" s="1"/>
    </row>
    <row r="501" spans="1:39" x14ac:dyDescent="0.35">
      <c r="A501">
        <v>497</v>
      </c>
      <c r="B501">
        <v>498</v>
      </c>
      <c r="C501">
        <v>146.80196267900001</v>
      </c>
      <c r="D501">
        <v>-19.1563300789999</v>
      </c>
      <c r="F501" s="64"/>
      <c r="G501" s="64"/>
      <c r="H501" s="64" t="s">
        <v>26</v>
      </c>
      <c r="I501" s="64"/>
      <c r="J501" s="32" t="str">
        <f>IF(AND(I501=1,OR(I500=0,I500="")),MAX($J$4:$J500)+1,IF(AND(I501=1,I500=1),J500,""))</f>
        <v/>
      </c>
      <c r="K501" s="32" t="str">
        <f t="shared" si="37"/>
        <v/>
      </c>
      <c r="L501" s="32" t="str">
        <f t="shared" si="35"/>
        <v/>
      </c>
      <c r="M501" s="32" t="str">
        <f t="shared" si="36"/>
        <v/>
      </c>
      <c r="N501" s="4"/>
      <c r="O501" s="4"/>
      <c r="P501" s="4"/>
      <c r="Q501" s="4"/>
      <c r="U501" s="5"/>
      <c r="V501" s="4"/>
      <c r="AG501" t="s">
        <v>541</v>
      </c>
      <c r="AM501" s="1"/>
    </row>
    <row r="502" spans="1:39" x14ac:dyDescent="0.35">
      <c r="A502">
        <v>498</v>
      </c>
      <c r="B502">
        <v>499</v>
      </c>
      <c r="C502">
        <v>146.801913141</v>
      </c>
      <c r="D502">
        <v>-19.156259290000001</v>
      </c>
      <c r="F502" s="64"/>
      <c r="G502" s="64"/>
      <c r="H502" s="64" t="s">
        <v>26</v>
      </c>
      <c r="I502" s="64"/>
      <c r="J502" s="32" t="str">
        <f>IF(AND(I502=1,OR(I501=0,I501="")),MAX($J$4:$J501)+1,IF(AND(I502=1,I501=1),J501,""))</f>
        <v/>
      </c>
      <c r="K502" s="32" t="str">
        <f t="shared" si="37"/>
        <v/>
      </c>
      <c r="L502" s="32" t="str">
        <f t="shared" si="35"/>
        <v/>
      </c>
      <c r="M502" s="32" t="str">
        <f t="shared" si="36"/>
        <v/>
      </c>
      <c r="N502" s="4"/>
      <c r="O502" s="4"/>
      <c r="P502" s="4"/>
      <c r="Q502" s="4"/>
      <c r="U502" s="5"/>
      <c r="V502" s="4"/>
      <c r="AG502" t="s">
        <v>542</v>
      </c>
      <c r="AM502" s="1"/>
    </row>
    <row r="503" spans="1:39" x14ac:dyDescent="0.35">
      <c r="A503">
        <v>499</v>
      </c>
      <c r="B503">
        <v>500</v>
      </c>
      <c r="C503">
        <v>146.80189397300001</v>
      </c>
      <c r="D503">
        <v>-19.156176788</v>
      </c>
      <c r="E503">
        <v>50</v>
      </c>
      <c r="F503" s="64"/>
      <c r="G503" s="64"/>
      <c r="H503" s="64" t="s">
        <v>26</v>
      </c>
      <c r="I503" s="64"/>
      <c r="J503" s="32" t="str">
        <f>IF(AND(I503=1,OR(I502=0,I502="")),MAX($J$4:$J502)+1,IF(AND(I503=1,I502=1),J502,""))</f>
        <v/>
      </c>
      <c r="K503" s="32" t="str">
        <f t="shared" si="37"/>
        <v/>
      </c>
      <c r="L503" s="32" t="str">
        <f t="shared" si="35"/>
        <v/>
      </c>
      <c r="M503" s="32" t="str">
        <f t="shared" si="36"/>
        <v/>
      </c>
      <c r="N503" s="4"/>
      <c r="O503" s="4"/>
      <c r="P503" s="4"/>
      <c r="Q503" s="4"/>
      <c r="U503" s="5"/>
      <c r="V503" s="4"/>
      <c r="AG503" t="s">
        <v>543</v>
      </c>
      <c r="AM503" s="1"/>
    </row>
    <row r="504" spans="1:39" x14ac:dyDescent="0.35">
      <c r="A504">
        <v>500</v>
      </c>
      <c r="B504">
        <v>501</v>
      </c>
      <c r="C504">
        <v>146.80188033100001</v>
      </c>
      <c r="D504">
        <v>-19.156093885000001</v>
      </c>
      <c r="F504" s="64"/>
      <c r="G504" s="64"/>
      <c r="H504" s="64" t="s">
        <v>26</v>
      </c>
      <c r="I504" s="64"/>
      <c r="J504" s="32" t="str">
        <f>IF(AND(I504=1,OR(I503=0,I503="")),MAX($J$4:$J503)+1,IF(AND(I504=1,I503=1),J503,""))</f>
        <v/>
      </c>
      <c r="K504" s="32" t="str">
        <f t="shared" si="37"/>
        <v/>
      </c>
      <c r="L504" s="32" t="str">
        <f t="shared" si="35"/>
        <v/>
      </c>
      <c r="M504" s="32" t="str">
        <f t="shared" si="36"/>
        <v/>
      </c>
      <c r="N504" s="4"/>
      <c r="O504" s="4"/>
      <c r="P504" s="4"/>
      <c r="Q504" s="4"/>
      <c r="U504" s="5"/>
      <c r="V504" s="4"/>
      <c r="AG504" t="s">
        <v>544</v>
      </c>
      <c r="AM504" s="1"/>
    </row>
    <row r="505" spans="1:39" x14ac:dyDescent="0.35">
      <c r="A505">
        <v>501</v>
      </c>
      <c r="B505">
        <v>502</v>
      </c>
      <c r="C505">
        <v>146.80185104399999</v>
      </c>
      <c r="D505">
        <v>-19.156014371000001</v>
      </c>
      <c r="F505" s="64"/>
      <c r="G505" s="64"/>
      <c r="H505" s="64" t="s">
        <v>26</v>
      </c>
      <c r="I505" s="64"/>
      <c r="J505" s="32" t="str">
        <f>IF(AND(I505=1,OR(I504=0,I504="")),MAX($J$4:$J504)+1,IF(AND(I505=1,I504=1),J504,""))</f>
        <v/>
      </c>
      <c r="K505" s="32" t="str">
        <f t="shared" si="37"/>
        <v/>
      </c>
      <c r="L505" s="32" t="str">
        <f t="shared" si="35"/>
        <v/>
      </c>
      <c r="M505" s="32" t="str">
        <f t="shared" si="36"/>
        <v/>
      </c>
      <c r="N505" s="4"/>
      <c r="O505" s="4"/>
      <c r="P505" s="4"/>
      <c r="Q505" s="4"/>
      <c r="U505" s="5"/>
      <c r="V505" s="4"/>
      <c r="AG505" t="s">
        <v>545</v>
      </c>
      <c r="AM505" s="1"/>
    </row>
    <row r="506" spans="1:39" x14ac:dyDescent="0.35">
      <c r="A506">
        <v>502</v>
      </c>
      <c r="B506">
        <v>503</v>
      </c>
      <c r="C506">
        <v>146.80183253600001</v>
      </c>
      <c r="D506">
        <v>-19.1559322059999</v>
      </c>
      <c r="F506" s="64"/>
      <c r="G506" s="64"/>
      <c r="H506" s="64" t="s">
        <v>26</v>
      </c>
      <c r="I506" s="64"/>
      <c r="J506" s="32" t="str">
        <f>IF(AND(I506=1,OR(I505=0,I505="")),MAX($J$4:$J505)+1,IF(AND(I506=1,I505=1),J505,""))</f>
        <v/>
      </c>
      <c r="K506" s="32" t="str">
        <f t="shared" si="37"/>
        <v/>
      </c>
      <c r="L506" s="32" t="str">
        <f t="shared" si="35"/>
        <v/>
      </c>
      <c r="M506" s="32" t="str">
        <f t="shared" si="36"/>
        <v/>
      </c>
      <c r="N506" s="4"/>
      <c r="O506" s="4"/>
      <c r="P506" s="4"/>
      <c r="Q506" s="4"/>
      <c r="U506" s="5"/>
      <c r="V506" s="4"/>
      <c r="AG506" t="s">
        <v>546</v>
      </c>
      <c r="AM506" s="1"/>
    </row>
    <row r="507" spans="1:39" x14ac:dyDescent="0.35">
      <c r="A507">
        <v>503</v>
      </c>
      <c r="B507">
        <v>504</v>
      </c>
      <c r="C507">
        <v>146.80182815699999</v>
      </c>
      <c r="D507">
        <v>-19.15584745</v>
      </c>
      <c r="F507" s="64"/>
      <c r="G507" s="64"/>
      <c r="H507" s="64" t="s">
        <v>26</v>
      </c>
      <c r="I507" s="64"/>
      <c r="J507" s="32" t="str">
        <f>IF(AND(I507=1,OR(I506=0,I506="")),MAX($J$4:$J506)+1,IF(AND(I507=1,I506=1),J506,""))</f>
        <v/>
      </c>
      <c r="K507" s="32" t="str">
        <f t="shared" si="37"/>
        <v/>
      </c>
      <c r="L507" s="32" t="str">
        <f t="shared" si="35"/>
        <v/>
      </c>
      <c r="M507" s="32" t="str">
        <f t="shared" si="36"/>
        <v/>
      </c>
      <c r="N507" s="4"/>
      <c r="O507" s="4"/>
      <c r="P507" s="4"/>
      <c r="Q507" s="4"/>
      <c r="U507" s="5"/>
      <c r="V507" s="4"/>
      <c r="AG507" t="s">
        <v>547</v>
      </c>
      <c r="AM507" s="1"/>
    </row>
    <row r="508" spans="1:39" x14ac:dyDescent="0.35">
      <c r="A508">
        <v>504</v>
      </c>
      <c r="B508">
        <v>505</v>
      </c>
      <c r="C508">
        <v>146.80182377899999</v>
      </c>
      <c r="D508">
        <v>-19.1557626929999</v>
      </c>
      <c r="E508">
        <v>50</v>
      </c>
      <c r="F508" s="64"/>
      <c r="G508" s="64"/>
      <c r="H508" s="64" t="s">
        <v>26</v>
      </c>
      <c r="I508" s="64"/>
      <c r="J508" s="32" t="str">
        <f>IF(AND(I508=1,OR(I507=0,I507="")),MAX($J$4:$J507)+1,IF(AND(I508=1,I507=1),J507,""))</f>
        <v/>
      </c>
      <c r="K508" s="32" t="str">
        <f t="shared" si="37"/>
        <v/>
      </c>
      <c r="L508" s="32" t="str">
        <f t="shared" si="35"/>
        <v/>
      </c>
      <c r="M508" s="32" t="str">
        <f t="shared" si="36"/>
        <v/>
      </c>
      <c r="N508" s="4"/>
      <c r="O508" s="4"/>
      <c r="P508" s="4"/>
      <c r="Q508" s="4"/>
      <c r="U508" s="5"/>
      <c r="V508" s="4"/>
      <c r="AG508" t="s">
        <v>548</v>
      </c>
      <c r="AM508" s="1"/>
    </row>
    <row r="509" spans="1:39" x14ac:dyDescent="0.35">
      <c r="A509">
        <v>505</v>
      </c>
      <c r="B509">
        <v>506</v>
      </c>
      <c r="C509">
        <v>146.80181215799999</v>
      </c>
      <c r="D509">
        <v>-19.155678562999999</v>
      </c>
      <c r="F509" s="64"/>
      <c r="G509" s="64"/>
      <c r="H509" s="64" t="s">
        <v>26</v>
      </c>
      <c r="I509" s="64"/>
      <c r="J509" s="32" t="str">
        <f>IF(AND(I509=1,OR(I508=0,I508="")),MAX($J$4:$J508)+1,IF(AND(I509=1,I508=1),J508,""))</f>
        <v/>
      </c>
      <c r="K509" s="32" t="str">
        <f t="shared" si="37"/>
        <v/>
      </c>
      <c r="L509" s="32" t="str">
        <f t="shared" si="35"/>
        <v/>
      </c>
      <c r="M509" s="32" t="str">
        <f t="shared" si="36"/>
        <v/>
      </c>
      <c r="N509" s="4"/>
      <c r="O509" s="4"/>
      <c r="P509" s="4"/>
      <c r="Q509" s="4"/>
      <c r="U509" s="5"/>
      <c r="V509" s="4"/>
      <c r="AG509" t="s">
        <v>549</v>
      </c>
      <c r="AM509" s="1"/>
    </row>
    <row r="510" spans="1:39" x14ac:dyDescent="0.35">
      <c r="A510">
        <v>506</v>
      </c>
      <c r="B510">
        <v>507</v>
      </c>
      <c r="C510">
        <v>146.80180202299999</v>
      </c>
      <c r="D510">
        <v>-19.155594251</v>
      </c>
      <c r="F510" s="64"/>
      <c r="G510" s="64"/>
      <c r="H510" s="64" t="s">
        <v>26</v>
      </c>
      <c r="I510" s="64"/>
      <c r="J510" s="32" t="str">
        <f>IF(AND(I510=1,OR(I509=0,I509="")),MAX($J$4:$J509)+1,IF(AND(I510=1,I509=1),J509,""))</f>
        <v/>
      </c>
      <c r="K510" s="32" t="str">
        <f t="shared" si="37"/>
        <v/>
      </c>
      <c r="L510" s="32" t="str">
        <f t="shared" si="35"/>
        <v/>
      </c>
      <c r="M510" s="32" t="str">
        <f t="shared" si="36"/>
        <v/>
      </c>
      <c r="N510" s="4"/>
      <c r="O510" s="4"/>
      <c r="P510" s="4"/>
      <c r="Q510" s="4"/>
      <c r="U510" s="5"/>
      <c r="V510" s="4"/>
      <c r="AG510" t="s">
        <v>550</v>
      </c>
      <c r="AM510" s="1"/>
    </row>
    <row r="511" spans="1:39" x14ac:dyDescent="0.35">
      <c r="A511">
        <v>507</v>
      </c>
      <c r="B511">
        <v>508</v>
      </c>
      <c r="C511">
        <v>146.80179224</v>
      </c>
      <c r="D511">
        <v>-19.155509897999899</v>
      </c>
      <c r="F511" s="64"/>
      <c r="G511" s="64"/>
      <c r="H511" s="64" t="s">
        <v>26</v>
      </c>
      <c r="I511" s="64"/>
      <c r="J511" s="32" t="str">
        <f>IF(AND(I511=1,OR(I510=0,I510="")),MAX($J$4:$J510)+1,IF(AND(I511=1,I510=1),J510,""))</f>
        <v/>
      </c>
      <c r="K511" s="32" t="str">
        <f t="shared" si="37"/>
        <v/>
      </c>
      <c r="L511" s="32" t="str">
        <f t="shared" si="35"/>
        <v/>
      </c>
      <c r="M511" s="32" t="str">
        <f t="shared" si="36"/>
        <v/>
      </c>
      <c r="N511" s="4"/>
      <c r="O511" s="4"/>
      <c r="P511" s="4"/>
      <c r="Q511" s="4"/>
      <c r="U511" s="5"/>
      <c r="V511" s="4"/>
      <c r="AG511" t="s">
        <v>551</v>
      </c>
      <c r="AM511" s="1"/>
    </row>
    <row r="512" spans="1:39" x14ac:dyDescent="0.35">
      <c r="A512">
        <v>508</v>
      </c>
      <c r="B512">
        <v>509</v>
      </c>
      <c r="C512">
        <v>146.80178245799999</v>
      </c>
      <c r="D512">
        <v>-19.155425545</v>
      </c>
      <c r="F512" s="64"/>
      <c r="G512" s="64"/>
      <c r="H512" s="64" t="s">
        <v>26</v>
      </c>
      <c r="I512" s="64"/>
      <c r="J512" s="32" t="str">
        <f>IF(AND(I512=1,OR(I511=0,I511="")),MAX($J$4:$J511)+1,IF(AND(I512=1,I511=1),J511,""))</f>
        <v/>
      </c>
      <c r="K512" s="32" t="str">
        <f t="shared" si="37"/>
        <v/>
      </c>
      <c r="L512" s="32" t="str">
        <f t="shared" si="35"/>
        <v/>
      </c>
      <c r="M512" s="32" t="str">
        <f t="shared" si="36"/>
        <v/>
      </c>
      <c r="N512" s="4"/>
      <c r="O512" s="4"/>
      <c r="P512" s="4"/>
      <c r="Q512" s="4"/>
      <c r="U512" s="5"/>
      <c r="V512" s="4"/>
      <c r="AG512" t="s">
        <v>552</v>
      </c>
      <c r="AM512" s="1"/>
    </row>
    <row r="513" spans="1:39" x14ac:dyDescent="0.35">
      <c r="A513">
        <v>509</v>
      </c>
      <c r="B513">
        <v>510</v>
      </c>
      <c r="C513">
        <v>146.801772675</v>
      </c>
      <c r="D513">
        <v>-19.155341192000002</v>
      </c>
      <c r="E513">
        <v>50</v>
      </c>
      <c r="F513" s="64"/>
      <c r="G513" s="64"/>
      <c r="H513" s="64" t="s">
        <v>26</v>
      </c>
      <c r="I513" s="64"/>
      <c r="J513" s="32" t="str">
        <f>IF(AND(I513=1,OR(I512=0,I512="")),MAX($J$4:$J512)+1,IF(AND(I513=1,I512=1),J512,""))</f>
        <v/>
      </c>
      <c r="K513" s="32" t="str">
        <f t="shared" si="37"/>
        <v/>
      </c>
      <c r="L513" s="32" t="str">
        <f t="shared" si="35"/>
        <v/>
      </c>
      <c r="M513" s="32" t="str">
        <f t="shared" si="36"/>
        <v/>
      </c>
      <c r="N513" s="4"/>
      <c r="O513" s="4"/>
      <c r="P513" s="4"/>
      <c r="Q513" s="4"/>
      <c r="U513" s="5"/>
      <c r="V513" s="4"/>
      <c r="AG513" t="s">
        <v>553</v>
      </c>
      <c r="AM513" s="1"/>
    </row>
    <row r="514" spans="1:39" x14ac:dyDescent="0.35">
      <c r="A514">
        <v>510</v>
      </c>
      <c r="B514">
        <v>511</v>
      </c>
      <c r="C514">
        <v>146.801762892</v>
      </c>
      <c r="D514">
        <v>-19.1552568389999</v>
      </c>
      <c r="F514" s="64"/>
      <c r="G514" s="64"/>
      <c r="H514" s="64" t="s">
        <v>26</v>
      </c>
      <c r="I514" s="64"/>
      <c r="J514" s="32" t="str">
        <f>IF(AND(I514=1,OR(I513=0,I513="")),MAX($J$4:$J513)+1,IF(AND(I514=1,I513=1),J513,""))</f>
        <v/>
      </c>
      <c r="K514" s="32" t="str">
        <f t="shared" si="37"/>
        <v/>
      </c>
      <c r="L514" s="32" t="str">
        <f t="shared" si="35"/>
        <v/>
      </c>
      <c r="M514" s="32" t="str">
        <f t="shared" si="36"/>
        <v/>
      </c>
      <c r="N514" s="4"/>
      <c r="O514" s="4"/>
      <c r="P514" s="4"/>
      <c r="Q514" s="4"/>
      <c r="U514" s="5"/>
      <c r="V514" s="4"/>
      <c r="AG514" t="s">
        <v>554</v>
      </c>
      <c r="AM514" s="1"/>
    </row>
    <row r="515" spans="1:39" x14ac:dyDescent="0.35">
      <c r="A515">
        <v>511</v>
      </c>
      <c r="B515">
        <v>512</v>
      </c>
      <c r="C515">
        <v>146.80175310999999</v>
      </c>
      <c r="D515">
        <v>-19.155172485000001</v>
      </c>
      <c r="F515" s="64"/>
      <c r="G515" s="64"/>
      <c r="H515" s="64" t="s">
        <v>26</v>
      </c>
      <c r="I515" s="64"/>
      <c r="J515" s="32" t="str">
        <f>IF(AND(I515=1,OR(I514=0,I514="")),MAX($J$4:$J514)+1,IF(AND(I515=1,I514=1),J514,""))</f>
        <v/>
      </c>
      <c r="K515" s="32" t="str">
        <f t="shared" si="37"/>
        <v/>
      </c>
      <c r="L515" s="32" t="str">
        <f t="shared" si="35"/>
        <v/>
      </c>
      <c r="M515" s="32" t="str">
        <f t="shared" si="36"/>
        <v/>
      </c>
      <c r="N515" s="4"/>
      <c r="O515" s="4"/>
      <c r="P515" s="4"/>
      <c r="Q515" s="4"/>
      <c r="U515" s="5"/>
      <c r="V515" s="4"/>
      <c r="AG515" t="s">
        <v>555</v>
      </c>
      <c r="AM515" s="1"/>
    </row>
    <row r="516" spans="1:39" x14ac:dyDescent="0.35">
      <c r="A516">
        <v>512</v>
      </c>
      <c r="B516">
        <v>513</v>
      </c>
      <c r="C516">
        <v>146.80172293300001</v>
      </c>
      <c r="D516">
        <v>-19.155093879999999</v>
      </c>
      <c r="F516" s="64"/>
      <c r="G516" s="64"/>
      <c r="H516" s="64" t="s">
        <v>26</v>
      </c>
      <c r="I516" s="64"/>
      <c r="J516" s="32" t="str">
        <f>IF(AND(I516=1,OR(I515=0,I515="")),MAX($J$4:$J515)+1,IF(AND(I516=1,I515=1),J515,""))</f>
        <v/>
      </c>
      <c r="K516" s="32" t="str">
        <f t="shared" si="37"/>
        <v/>
      </c>
      <c r="L516" s="32" t="str">
        <f t="shared" ref="L516:L579" si="38">IF(K516="","",IF(K516&gt;=100,"HV",""))</f>
        <v/>
      </c>
      <c r="M516" s="32" t="str">
        <f t="shared" ref="M516:M579" si="39">IF(K516&lt;&gt;"",K516^2,"")</f>
        <v/>
      </c>
      <c r="N516" s="4"/>
      <c r="O516" s="4"/>
      <c r="P516" s="4"/>
      <c r="Q516" s="4"/>
      <c r="U516" s="5"/>
      <c r="V516" s="4"/>
      <c r="AG516" t="s">
        <v>556</v>
      </c>
      <c r="AM516" s="1"/>
    </row>
    <row r="517" spans="1:39" x14ac:dyDescent="0.35">
      <c r="A517">
        <v>513</v>
      </c>
      <c r="B517">
        <v>514</v>
      </c>
      <c r="C517">
        <v>146.80168218399999</v>
      </c>
      <c r="D517">
        <v>-19.155018255000002</v>
      </c>
      <c r="F517" s="64"/>
      <c r="G517" s="64"/>
      <c r="H517" s="64" t="s">
        <v>26</v>
      </c>
      <c r="I517" s="64"/>
      <c r="J517" s="32" t="str">
        <f>IF(AND(I517=1,OR(I516=0,I516="")),MAX($J$4:$J516)+1,IF(AND(I517=1,I516=1),J516,""))</f>
        <v/>
      </c>
      <c r="K517" s="32" t="str">
        <f t="shared" si="37"/>
        <v/>
      </c>
      <c r="L517" s="32" t="str">
        <f t="shared" si="38"/>
        <v/>
      </c>
      <c r="M517" s="32" t="str">
        <f t="shared" si="39"/>
        <v/>
      </c>
      <c r="N517" s="4"/>
      <c r="O517" s="4"/>
      <c r="P517" s="4"/>
      <c r="Q517" s="4"/>
      <c r="U517" s="5"/>
      <c r="V517" s="4"/>
      <c r="AG517" t="s">
        <v>557</v>
      </c>
      <c r="AM517" s="1"/>
    </row>
    <row r="518" spans="1:39" x14ac:dyDescent="0.35">
      <c r="A518">
        <v>514</v>
      </c>
      <c r="B518">
        <v>515</v>
      </c>
      <c r="C518">
        <v>146.80164143499999</v>
      </c>
      <c r="D518">
        <v>-19.154942629999901</v>
      </c>
      <c r="E518">
        <v>50</v>
      </c>
      <c r="F518" s="64"/>
      <c r="G518" s="64"/>
      <c r="H518" s="64" t="s">
        <v>26</v>
      </c>
      <c r="I518" s="64"/>
      <c r="J518" s="32" t="str">
        <f>IF(AND(I518=1,OR(I517=0,I517="")),MAX($J$4:$J517)+1,IF(AND(I518=1,I517=1),J517,""))</f>
        <v/>
      </c>
      <c r="K518" s="32" t="str">
        <f t="shared" si="37"/>
        <v/>
      </c>
      <c r="L518" s="32" t="str">
        <f t="shared" si="38"/>
        <v/>
      </c>
      <c r="M518" s="32" t="str">
        <f t="shared" si="39"/>
        <v/>
      </c>
      <c r="N518" s="4"/>
      <c r="O518" s="4"/>
      <c r="P518" s="4"/>
      <c r="Q518" s="4"/>
      <c r="U518" s="5"/>
      <c r="V518" s="4"/>
      <c r="AG518" t="s">
        <v>558</v>
      </c>
      <c r="AM518" s="1"/>
    </row>
    <row r="519" spans="1:39" x14ac:dyDescent="0.35">
      <c r="A519">
        <v>515</v>
      </c>
      <c r="B519">
        <v>516</v>
      </c>
      <c r="C519">
        <v>146.80160068699999</v>
      </c>
      <c r="D519">
        <v>-19.154867005</v>
      </c>
      <c r="F519" s="64"/>
      <c r="G519" s="64"/>
      <c r="H519" s="64" t="s">
        <v>26</v>
      </c>
      <c r="I519" s="64"/>
      <c r="J519" s="32" t="str">
        <f>IF(AND(I519=1,OR(I518=0,I518="")),MAX($J$4:$J518)+1,IF(AND(I519=1,I518=1),J518,""))</f>
        <v/>
      </c>
      <c r="K519" s="32" t="str">
        <f t="shared" si="37"/>
        <v/>
      </c>
      <c r="L519" s="32" t="str">
        <f t="shared" si="38"/>
        <v/>
      </c>
      <c r="M519" s="32" t="str">
        <f t="shared" si="39"/>
        <v/>
      </c>
      <c r="N519" s="4"/>
      <c r="O519" s="4"/>
      <c r="P519" s="4"/>
      <c r="Q519" s="4"/>
      <c r="U519" s="5"/>
      <c r="V519" s="4"/>
      <c r="AG519" t="s">
        <v>559</v>
      </c>
      <c r="AM519" s="1"/>
    </row>
    <row r="520" spans="1:39" x14ac:dyDescent="0.35">
      <c r="A520">
        <v>516</v>
      </c>
      <c r="B520">
        <v>517</v>
      </c>
      <c r="C520">
        <v>146.80155898800001</v>
      </c>
      <c r="D520">
        <v>-19.1547918979999</v>
      </c>
      <c r="F520" s="64"/>
      <c r="G520" s="64"/>
      <c r="H520" s="64" t="s">
        <v>26</v>
      </c>
      <c r="I520" s="64"/>
      <c r="J520" s="32" t="str">
        <f>IF(AND(I520=1,OR(I519=0,I519="")),MAX($J$4:$J519)+1,IF(AND(I520=1,I519=1),J519,""))</f>
        <v/>
      </c>
      <c r="K520" s="32" t="str">
        <f t="shared" si="37"/>
        <v/>
      </c>
      <c r="L520" s="32" t="str">
        <f t="shared" si="38"/>
        <v/>
      </c>
      <c r="M520" s="32" t="str">
        <f t="shared" si="39"/>
        <v/>
      </c>
      <c r="N520" s="4"/>
      <c r="O520" s="4"/>
      <c r="P520" s="4"/>
      <c r="Q520" s="4"/>
      <c r="U520" s="5"/>
      <c r="V520" s="4"/>
      <c r="AG520" t="s">
        <v>560</v>
      </c>
      <c r="AM520" s="1"/>
    </row>
    <row r="521" spans="1:39" x14ac:dyDescent="0.35">
      <c r="A521">
        <v>517</v>
      </c>
      <c r="B521">
        <v>518</v>
      </c>
      <c r="C521">
        <v>146.80151000199999</v>
      </c>
      <c r="D521">
        <v>-19.154720767000001</v>
      </c>
      <c r="F521" s="64"/>
      <c r="G521" s="64"/>
      <c r="H521" s="64" t="s">
        <v>26</v>
      </c>
      <c r="I521" s="64"/>
      <c r="J521" s="32" t="str">
        <f>IF(AND(I521=1,OR(I520=0,I520="")),MAX($J$4:$J520)+1,IF(AND(I521=1,I520=1),J520,""))</f>
        <v/>
      </c>
      <c r="K521" s="32" t="str">
        <f t="shared" si="37"/>
        <v/>
      </c>
      <c r="L521" s="32" t="str">
        <f t="shared" si="38"/>
        <v/>
      </c>
      <c r="M521" s="32" t="str">
        <f t="shared" si="39"/>
        <v/>
      </c>
      <c r="N521" s="4"/>
      <c r="O521" s="4"/>
      <c r="P521" s="4"/>
      <c r="Q521" s="4"/>
      <c r="U521" s="5"/>
      <c r="V521" s="4"/>
      <c r="AG521" t="s">
        <v>561</v>
      </c>
      <c r="AM521" s="1"/>
    </row>
    <row r="522" spans="1:39" x14ac:dyDescent="0.35">
      <c r="A522">
        <v>518</v>
      </c>
      <c r="B522">
        <v>519</v>
      </c>
      <c r="C522">
        <v>146.801461015</v>
      </c>
      <c r="D522">
        <v>-19.154649635999899</v>
      </c>
      <c r="F522" s="64"/>
      <c r="G522" s="64"/>
      <c r="H522" s="64" t="s">
        <v>26</v>
      </c>
      <c r="I522" s="64"/>
      <c r="J522" s="32" t="str">
        <f>IF(AND(I522=1,OR(I521=0,I521="")),MAX($J$4:$J521)+1,IF(AND(I522=1,I521=1),J521,""))</f>
        <v/>
      </c>
      <c r="K522" s="32" t="str">
        <f t="shared" si="37"/>
        <v/>
      </c>
      <c r="L522" s="32" t="str">
        <f t="shared" si="38"/>
        <v/>
      </c>
      <c r="M522" s="32" t="str">
        <f t="shared" si="39"/>
        <v/>
      </c>
      <c r="N522" s="4"/>
      <c r="O522" s="4"/>
      <c r="P522" s="4"/>
      <c r="Q522" s="4"/>
      <c r="U522" s="5"/>
      <c r="V522" s="4"/>
      <c r="AG522" t="s">
        <v>562</v>
      </c>
      <c r="AM522" s="1"/>
    </row>
    <row r="523" spans="1:39" x14ac:dyDescent="0.35">
      <c r="A523">
        <v>519</v>
      </c>
      <c r="B523">
        <v>520</v>
      </c>
      <c r="C523">
        <v>146.80141202900001</v>
      </c>
      <c r="D523">
        <v>-19.154578505</v>
      </c>
      <c r="E523">
        <v>50</v>
      </c>
      <c r="F523" s="64"/>
      <c r="G523" s="64"/>
      <c r="H523" s="64" t="s">
        <v>26</v>
      </c>
      <c r="I523" s="64"/>
      <c r="J523" s="32" t="str">
        <f>IF(AND(I523=1,OR(I522=0,I522="")),MAX($J$4:$J522)+1,IF(AND(I523=1,I522=1),J522,""))</f>
        <v/>
      </c>
      <c r="K523" s="32" t="str">
        <f t="shared" si="37"/>
        <v/>
      </c>
      <c r="L523" s="32" t="str">
        <f t="shared" si="38"/>
        <v/>
      </c>
      <c r="M523" s="32" t="str">
        <f t="shared" si="39"/>
        <v/>
      </c>
      <c r="N523" s="4"/>
      <c r="O523" s="4"/>
      <c r="P523" s="4"/>
      <c r="Q523" s="4"/>
      <c r="U523" s="5"/>
      <c r="V523" s="4"/>
      <c r="AG523" t="s">
        <v>563</v>
      </c>
      <c r="AM523" s="1"/>
    </row>
    <row r="524" spans="1:39" x14ac:dyDescent="0.35">
      <c r="A524">
        <v>520</v>
      </c>
      <c r="B524">
        <v>521</v>
      </c>
      <c r="C524">
        <v>146.80136304300001</v>
      </c>
      <c r="D524">
        <v>-19.154507373999898</v>
      </c>
      <c r="F524" s="64"/>
      <c r="G524" s="64"/>
      <c r="H524" s="64" t="s">
        <v>26</v>
      </c>
      <c r="I524" s="64"/>
      <c r="J524" s="32" t="str">
        <f>IF(AND(I524=1,OR(I523=0,I523="")),MAX($J$4:$J523)+1,IF(AND(I524=1,I523=1),J523,""))</f>
        <v/>
      </c>
      <c r="K524" s="32" t="str">
        <f t="shared" si="37"/>
        <v/>
      </c>
      <c r="L524" s="32" t="str">
        <f t="shared" si="38"/>
        <v/>
      </c>
      <c r="M524" s="32" t="str">
        <f t="shared" si="39"/>
        <v/>
      </c>
      <c r="N524" s="4"/>
      <c r="O524" s="4"/>
      <c r="P524" s="4"/>
      <c r="Q524" s="4"/>
      <c r="U524" s="5"/>
      <c r="V524" s="4"/>
      <c r="AG524" t="s">
        <v>564</v>
      </c>
      <c r="AM524" s="1"/>
    </row>
    <row r="525" spans="1:39" x14ac:dyDescent="0.35">
      <c r="A525">
        <v>521</v>
      </c>
      <c r="B525">
        <v>522</v>
      </c>
      <c r="C525">
        <v>146.80131405700001</v>
      </c>
      <c r="D525">
        <v>-19.154436242999999</v>
      </c>
      <c r="F525" s="64"/>
      <c r="G525" s="64"/>
      <c r="H525" s="64" t="s">
        <v>26</v>
      </c>
      <c r="I525" s="64"/>
      <c r="J525" s="32" t="str">
        <f>IF(AND(I525=1,OR(I524=0,I524="")),MAX($J$4:$J524)+1,IF(AND(I525=1,I524=1),J524,""))</f>
        <v/>
      </c>
      <c r="K525" s="32" t="str">
        <f t="shared" si="37"/>
        <v/>
      </c>
      <c r="L525" s="32" t="str">
        <f t="shared" si="38"/>
        <v/>
      </c>
      <c r="M525" s="32" t="str">
        <f t="shared" si="39"/>
        <v/>
      </c>
      <c r="N525" s="4"/>
      <c r="O525" s="4"/>
      <c r="P525" s="4"/>
      <c r="Q525" s="4"/>
      <c r="U525" s="5"/>
      <c r="V525" s="4"/>
      <c r="AG525" t="s">
        <v>565</v>
      </c>
      <c r="AM525" s="1"/>
    </row>
    <row r="526" spans="1:39" x14ac:dyDescent="0.35">
      <c r="A526">
        <v>522</v>
      </c>
      <c r="B526">
        <v>523</v>
      </c>
      <c r="C526">
        <v>146.80126507099999</v>
      </c>
      <c r="D526">
        <v>-19.154365111999901</v>
      </c>
      <c r="F526" s="64"/>
      <c r="G526" s="64"/>
      <c r="H526" s="64" t="s">
        <v>26</v>
      </c>
      <c r="I526" s="64"/>
      <c r="J526" s="32" t="str">
        <f>IF(AND(I526=1,OR(I525=0,I525="")),MAX($J$4:$J525)+1,IF(AND(I526=1,I525=1),J525,""))</f>
        <v/>
      </c>
      <c r="K526" s="32" t="str">
        <f t="shared" si="37"/>
        <v/>
      </c>
      <c r="L526" s="32" t="str">
        <f t="shared" si="38"/>
        <v/>
      </c>
      <c r="M526" s="32" t="str">
        <f t="shared" si="39"/>
        <v/>
      </c>
      <c r="N526" s="4"/>
      <c r="O526" s="4"/>
      <c r="P526" s="4"/>
      <c r="Q526" s="4"/>
      <c r="U526" s="5"/>
      <c r="V526" s="4"/>
      <c r="AG526" t="s">
        <v>566</v>
      </c>
      <c r="AM526" s="1"/>
    </row>
    <row r="527" spans="1:39" x14ac:dyDescent="0.35">
      <c r="A527">
        <v>523</v>
      </c>
      <c r="B527">
        <v>524</v>
      </c>
      <c r="C527">
        <v>146.801219648</v>
      </c>
      <c r="D527">
        <v>-19.154291920999999</v>
      </c>
      <c r="F527" s="64"/>
      <c r="G527" s="64"/>
      <c r="H527" s="64" t="s">
        <v>26</v>
      </c>
      <c r="I527" s="64"/>
      <c r="J527" s="32" t="str">
        <f>IF(AND(I527=1,OR(I526=0,I526="")),MAX($J$4:$J526)+1,IF(AND(I527=1,I526=1),J526,""))</f>
        <v/>
      </c>
      <c r="K527" s="32" t="str">
        <f t="shared" si="37"/>
        <v/>
      </c>
      <c r="L527" s="32" t="str">
        <f t="shared" si="38"/>
        <v/>
      </c>
      <c r="M527" s="32" t="str">
        <f t="shared" si="39"/>
        <v/>
      </c>
      <c r="N527" s="4"/>
      <c r="O527" s="4"/>
      <c r="P527" s="4"/>
      <c r="Q527" s="4"/>
      <c r="U527" s="5"/>
      <c r="V527" s="4"/>
      <c r="AG527" t="s">
        <v>567</v>
      </c>
      <c r="AM527" s="1"/>
    </row>
    <row r="528" spans="1:39" x14ac:dyDescent="0.35">
      <c r="A528">
        <v>524</v>
      </c>
      <c r="B528">
        <v>525</v>
      </c>
      <c r="C528">
        <v>146.801174919</v>
      </c>
      <c r="D528">
        <v>-19.154218330999999</v>
      </c>
      <c r="E528">
        <v>50</v>
      </c>
      <c r="F528" s="64"/>
      <c r="G528" s="64"/>
      <c r="H528" s="64" t="s">
        <v>26</v>
      </c>
      <c r="I528" s="64"/>
      <c r="J528" s="32" t="str">
        <f>IF(AND(I528=1,OR(I527=0,I527="")),MAX($J$4:$J527)+1,IF(AND(I528=1,I527=1),J527,""))</f>
        <v/>
      </c>
      <c r="K528" s="32" t="str">
        <f t="shared" si="37"/>
        <v/>
      </c>
      <c r="L528" s="32" t="str">
        <f t="shared" si="38"/>
        <v/>
      </c>
      <c r="M528" s="32" t="str">
        <f t="shared" si="39"/>
        <v/>
      </c>
      <c r="N528" s="4"/>
      <c r="O528" s="4"/>
      <c r="P528" s="4"/>
      <c r="Q528" s="4"/>
      <c r="U528" s="5"/>
      <c r="V528" s="4"/>
      <c r="AG528" t="s">
        <v>568</v>
      </c>
      <c r="AM528" s="1"/>
    </row>
    <row r="529" spans="1:39" x14ac:dyDescent="0.35">
      <c r="A529">
        <v>525</v>
      </c>
      <c r="B529">
        <v>526</v>
      </c>
      <c r="C529">
        <v>146.80113018899999</v>
      </c>
      <c r="D529">
        <v>-19.1541447399999</v>
      </c>
      <c r="F529" s="64"/>
      <c r="G529" s="64"/>
      <c r="H529" s="64" t="s">
        <v>26</v>
      </c>
      <c r="I529" s="64"/>
      <c r="J529" s="32" t="str">
        <f>IF(AND(I529=1,OR(I528=0,I528="")),MAX($J$4:$J528)+1,IF(AND(I529=1,I528=1),J528,""))</f>
        <v/>
      </c>
      <c r="K529" s="32" t="str">
        <f t="shared" si="37"/>
        <v/>
      </c>
      <c r="L529" s="32" t="str">
        <f t="shared" si="38"/>
        <v/>
      </c>
      <c r="M529" s="32" t="str">
        <f t="shared" si="39"/>
        <v/>
      </c>
      <c r="N529" s="4"/>
      <c r="O529" s="4"/>
      <c r="P529" s="4"/>
      <c r="Q529" s="4"/>
      <c r="U529" s="5"/>
      <c r="V529" s="4"/>
      <c r="AG529" t="s">
        <v>569</v>
      </c>
      <c r="AM529" s="1"/>
    </row>
    <row r="530" spans="1:39" x14ac:dyDescent="0.35">
      <c r="A530">
        <v>526</v>
      </c>
      <c r="B530">
        <v>527</v>
      </c>
      <c r="C530">
        <v>146.80108546</v>
      </c>
      <c r="D530">
        <v>-19.1540711489999</v>
      </c>
      <c r="F530" s="64"/>
      <c r="G530" s="64"/>
      <c r="H530" s="64" t="s">
        <v>26</v>
      </c>
      <c r="I530" s="64"/>
      <c r="J530" s="32" t="str">
        <f>IF(AND(I530=1,OR(I529=0,I529="")),MAX($J$4:$J529)+1,IF(AND(I530=1,I529=1),J529,""))</f>
        <v/>
      </c>
      <c r="K530" s="32" t="str">
        <f t="shared" si="37"/>
        <v/>
      </c>
      <c r="L530" s="32" t="str">
        <f t="shared" si="38"/>
        <v/>
      </c>
      <c r="M530" s="32" t="str">
        <f t="shared" si="39"/>
        <v/>
      </c>
      <c r="N530" s="4"/>
      <c r="O530" s="4"/>
      <c r="P530" s="4"/>
      <c r="Q530" s="4"/>
      <c r="U530" s="5"/>
      <c r="V530" s="4"/>
      <c r="AG530" t="s">
        <v>570</v>
      </c>
      <c r="AM530" s="1"/>
    </row>
    <row r="531" spans="1:39" x14ac:dyDescent="0.35">
      <c r="A531">
        <v>527</v>
      </c>
      <c r="B531">
        <v>528</v>
      </c>
      <c r="C531">
        <v>146.80104073000001</v>
      </c>
      <c r="D531">
        <v>-19.153997558</v>
      </c>
      <c r="F531" s="64"/>
      <c r="G531" s="64"/>
      <c r="H531" s="64" t="s">
        <v>26</v>
      </c>
      <c r="I531" s="64"/>
      <c r="J531" s="32" t="str">
        <f>IF(AND(I531=1,OR(I530=0,I530="")),MAX($J$4:$J530)+1,IF(AND(I531=1,I530=1),J530,""))</f>
        <v/>
      </c>
      <c r="K531" s="32" t="str">
        <f t="shared" si="37"/>
        <v/>
      </c>
      <c r="L531" s="32" t="str">
        <f t="shared" si="38"/>
        <v/>
      </c>
      <c r="M531" s="32" t="str">
        <f t="shared" si="39"/>
        <v/>
      </c>
      <c r="N531" s="4"/>
      <c r="O531" s="4"/>
      <c r="P531" s="4"/>
      <c r="Q531" s="4"/>
      <c r="U531" s="5"/>
      <c r="V531" s="4"/>
      <c r="AG531" t="s">
        <v>571</v>
      </c>
      <c r="AM531" s="1"/>
    </row>
    <row r="532" spans="1:39" x14ac:dyDescent="0.35">
      <c r="A532">
        <v>528</v>
      </c>
      <c r="B532">
        <v>529</v>
      </c>
      <c r="C532">
        <v>146.80099604700001</v>
      </c>
      <c r="D532">
        <v>-19.153923941999899</v>
      </c>
      <c r="F532" s="64"/>
      <c r="G532" s="64"/>
      <c r="H532" s="64" t="s">
        <v>26</v>
      </c>
      <c r="I532" s="64"/>
      <c r="J532" s="32" t="str">
        <f>IF(AND(I532=1,OR(I531=0,I531="")),MAX($J$4:$J531)+1,IF(AND(I532=1,I531=1),J531,""))</f>
        <v/>
      </c>
      <c r="K532" s="32" t="str">
        <f t="shared" si="37"/>
        <v/>
      </c>
      <c r="L532" s="32" t="str">
        <f t="shared" si="38"/>
        <v/>
      </c>
      <c r="M532" s="32" t="str">
        <f t="shared" si="39"/>
        <v/>
      </c>
      <c r="N532" s="4"/>
      <c r="O532" s="4"/>
      <c r="P532" s="4"/>
      <c r="Q532" s="4"/>
      <c r="U532" s="5"/>
      <c r="V532" s="4"/>
      <c r="AG532" t="s">
        <v>572</v>
      </c>
      <c r="AM532" s="1"/>
    </row>
    <row r="533" spans="1:39" x14ac:dyDescent="0.35">
      <c r="A533">
        <v>529</v>
      </c>
      <c r="B533">
        <v>530</v>
      </c>
      <c r="C533">
        <v>146.800951489</v>
      </c>
      <c r="D533">
        <v>-19.153850257999999</v>
      </c>
      <c r="E533">
        <v>50</v>
      </c>
      <c r="F533" s="64"/>
      <c r="G533" s="64"/>
      <c r="H533" s="64" t="s">
        <v>26</v>
      </c>
      <c r="I533" s="64"/>
      <c r="J533" s="32" t="str">
        <f>IF(AND(I533=1,OR(I532=0,I532="")),MAX($J$4:$J532)+1,IF(AND(I533=1,I532=1),J532,""))</f>
        <v/>
      </c>
      <c r="K533" s="32" t="str">
        <f t="shared" si="37"/>
        <v/>
      </c>
      <c r="L533" s="32" t="str">
        <f t="shared" si="38"/>
        <v/>
      </c>
      <c r="M533" s="32" t="str">
        <f t="shared" si="39"/>
        <v/>
      </c>
      <c r="N533" s="4"/>
      <c r="O533" s="4"/>
      <c r="P533" s="4"/>
      <c r="Q533" s="4"/>
      <c r="U533" s="5"/>
      <c r="V533" s="4"/>
      <c r="AG533" t="s">
        <v>573</v>
      </c>
      <c r="AM533" s="1"/>
    </row>
    <row r="534" spans="1:39" x14ac:dyDescent="0.35">
      <c r="A534">
        <v>530</v>
      </c>
      <c r="B534">
        <v>531</v>
      </c>
      <c r="C534">
        <v>146.800906932</v>
      </c>
      <c r="D534">
        <v>-19.153776573999899</v>
      </c>
      <c r="F534" s="64"/>
      <c r="G534" s="64"/>
      <c r="H534" s="64" t="s">
        <v>26</v>
      </c>
      <c r="I534" s="64"/>
      <c r="J534" s="32" t="str">
        <f>IF(AND(I534=1,OR(I533=0,I533="")),MAX($J$4:$J533)+1,IF(AND(I534=1,I533=1),J533,""))</f>
        <v/>
      </c>
      <c r="K534" s="32" t="str">
        <f t="shared" si="37"/>
        <v/>
      </c>
      <c r="L534" s="32" t="str">
        <f t="shared" si="38"/>
        <v/>
      </c>
      <c r="M534" s="32" t="str">
        <f t="shared" si="39"/>
        <v/>
      </c>
      <c r="N534" s="4"/>
      <c r="O534" s="4"/>
      <c r="P534" s="4"/>
      <c r="Q534" s="4"/>
      <c r="U534" s="5"/>
      <c r="V534" s="4"/>
      <c r="AG534" t="s">
        <v>574</v>
      </c>
      <c r="AM534" s="1"/>
    </row>
    <row r="535" spans="1:39" x14ac:dyDescent="0.35">
      <c r="A535">
        <v>531</v>
      </c>
      <c r="B535">
        <v>532</v>
      </c>
      <c r="C535">
        <v>146.80086237500001</v>
      </c>
      <c r="D535">
        <v>-19.153702890000002</v>
      </c>
      <c r="F535" s="64"/>
      <c r="G535" s="64"/>
      <c r="H535" s="64" t="s">
        <v>26</v>
      </c>
      <c r="I535" s="64"/>
      <c r="J535" s="32" t="str">
        <f>IF(AND(I535=1,OR(I534=0,I534="")),MAX($J$4:$J534)+1,IF(AND(I535=1,I534=1),J534,""))</f>
        <v/>
      </c>
      <c r="K535" s="32" t="str">
        <f t="shared" si="37"/>
        <v/>
      </c>
      <c r="L535" s="32" t="str">
        <f t="shared" si="38"/>
        <v/>
      </c>
      <c r="M535" s="32" t="str">
        <f t="shared" si="39"/>
        <v/>
      </c>
      <c r="N535" s="4"/>
      <c r="O535" s="4"/>
      <c r="P535" s="4"/>
      <c r="Q535" s="4"/>
      <c r="U535" s="5"/>
      <c r="V535" s="4"/>
      <c r="AG535" t="s">
        <v>575</v>
      </c>
      <c r="AM535" s="1"/>
    </row>
    <row r="536" spans="1:39" x14ac:dyDescent="0.35">
      <c r="A536">
        <v>532</v>
      </c>
      <c r="B536">
        <v>533</v>
      </c>
      <c r="C536">
        <v>146.80081781800001</v>
      </c>
      <c r="D536">
        <v>-19.153629205999898</v>
      </c>
      <c r="F536" s="64"/>
      <c r="G536" s="64"/>
      <c r="H536" s="64" t="s">
        <v>26</v>
      </c>
      <c r="I536" s="64"/>
      <c r="J536" s="32" t="str">
        <f>IF(AND(I536=1,OR(I535=0,I535="")),MAX($J$4:$J535)+1,IF(AND(I536=1,I535=1),J535,""))</f>
        <v/>
      </c>
      <c r="K536" s="32" t="str">
        <f t="shared" si="37"/>
        <v/>
      </c>
      <c r="L536" s="32" t="str">
        <f t="shared" si="38"/>
        <v/>
      </c>
      <c r="M536" s="32" t="str">
        <f t="shared" si="39"/>
        <v/>
      </c>
      <c r="N536" s="4"/>
      <c r="O536" s="4"/>
      <c r="P536" s="4"/>
      <c r="Q536" s="4"/>
      <c r="U536" s="5"/>
      <c r="V536" s="4"/>
      <c r="AG536" t="s">
        <v>576</v>
      </c>
      <c r="AM536" s="1"/>
    </row>
    <row r="537" spans="1:39" x14ac:dyDescent="0.35">
      <c r="A537">
        <v>533</v>
      </c>
      <c r="B537">
        <v>534</v>
      </c>
      <c r="C537">
        <v>146.80077326099999</v>
      </c>
      <c r="D537">
        <v>-19.153555520999902</v>
      </c>
      <c r="F537" s="64"/>
      <c r="G537" s="64"/>
      <c r="H537" s="64" t="s">
        <v>26</v>
      </c>
      <c r="I537" s="64"/>
      <c r="J537" s="32" t="str">
        <f>IF(AND(I537=1,OR(I536=0,I536="")),MAX($J$4:$J536)+1,IF(AND(I537=1,I536=1),J536,""))</f>
        <v/>
      </c>
      <c r="K537" s="32" t="str">
        <f t="shared" si="37"/>
        <v/>
      </c>
      <c r="L537" s="32" t="str">
        <f t="shared" si="38"/>
        <v/>
      </c>
      <c r="M537" s="32" t="str">
        <f t="shared" si="39"/>
        <v/>
      </c>
      <c r="N537" s="4"/>
      <c r="O537" s="4"/>
      <c r="P537" s="4"/>
      <c r="Q537" s="4"/>
      <c r="U537" s="5"/>
      <c r="V537" s="4"/>
      <c r="AG537" t="s">
        <v>577</v>
      </c>
      <c r="AM537" s="1"/>
    </row>
    <row r="538" spans="1:39" x14ac:dyDescent="0.35">
      <c r="A538">
        <v>534</v>
      </c>
      <c r="B538">
        <v>535</v>
      </c>
      <c r="C538">
        <v>146.800728703</v>
      </c>
      <c r="D538">
        <v>-19.153481837000001</v>
      </c>
      <c r="E538">
        <v>50</v>
      </c>
      <c r="F538" s="64"/>
      <c r="G538" s="64"/>
      <c r="H538" s="64" t="s">
        <v>26</v>
      </c>
      <c r="I538" s="64"/>
      <c r="J538" s="32" t="str">
        <f>IF(AND(I538=1,OR(I537=0,I537="")),MAX($J$4:$J537)+1,IF(AND(I538=1,I537=1),J537,""))</f>
        <v/>
      </c>
      <c r="K538" s="32" t="str">
        <f t="shared" si="37"/>
        <v/>
      </c>
      <c r="L538" s="32" t="str">
        <f t="shared" si="38"/>
        <v/>
      </c>
      <c r="M538" s="32" t="str">
        <f t="shared" si="39"/>
        <v/>
      </c>
      <c r="N538" s="4"/>
      <c r="O538" s="4"/>
      <c r="P538" s="4"/>
      <c r="Q538" s="4"/>
      <c r="U538" s="5"/>
      <c r="V538" s="4"/>
      <c r="AG538" t="s">
        <v>578</v>
      </c>
      <c r="AM538" s="1"/>
    </row>
    <row r="539" spans="1:39" x14ac:dyDescent="0.35">
      <c r="A539">
        <v>535</v>
      </c>
      <c r="B539">
        <v>536</v>
      </c>
      <c r="C539">
        <v>146.80068854199999</v>
      </c>
      <c r="D539">
        <v>-19.153406054999898</v>
      </c>
      <c r="F539" s="64"/>
      <c r="G539" s="64"/>
      <c r="H539" s="64" t="s">
        <v>26</v>
      </c>
      <c r="I539" s="64"/>
      <c r="J539" s="32" t="str">
        <f>IF(AND(I539=1,OR(I538=0,I538="")),MAX($J$4:$J538)+1,IF(AND(I539=1,I538=1),J538,""))</f>
        <v/>
      </c>
      <c r="K539" s="32" t="str">
        <f t="shared" si="37"/>
        <v/>
      </c>
      <c r="L539" s="32" t="str">
        <f t="shared" si="38"/>
        <v/>
      </c>
      <c r="M539" s="32" t="str">
        <f t="shared" si="39"/>
        <v/>
      </c>
      <c r="N539" s="4"/>
      <c r="O539" s="4"/>
      <c r="P539" s="4"/>
      <c r="Q539" s="4"/>
      <c r="U539" s="5"/>
      <c r="V539" s="4"/>
      <c r="AG539" t="s">
        <v>579</v>
      </c>
      <c r="AM539" s="1"/>
    </row>
    <row r="540" spans="1:39" x14ac:dyDescent="0.35">
      <c r="A540">
        <v>536</v>
      </c>
      <c r="B540">
        <v>537</v>
      </c>
      <c r="C540">
        <v>146.80065217999999</v>
      </c>
      <c r="D540">
        <v>-19.153328459000001</v>
      </c>
      <c r="F540" s="64"/>
      <c r="G540" s="64"/>
      <c r="H540" s="64" t="s">
        <v>26</v>
      </c>
      <c r="I540" s="64"/>
      <c r="J540" s="32" t="str">
        <f>IF(AND(I540=1,OR(I539=0,I539="")),MAX($J$4:$J539)+1,IF(AND(I540=1,I539=1),J539,""))</f>
        <v/>
      </c>
      <c r="K540" s="32" t="str">
        <f t="shared" si="37"/>
        <v/>
      </c>
      <c r="L540" s="32" t="str">
        <f t="shared" si="38"/>
        <v/>
      </c>
      <c r="M540" s="32" t="str">
        <f t="shared" si="39"/>
        <v/>
      </c>
      <c r="N540" s="4"/>
      <c r="O540" s="4"/>
      <c r="P540" s="4"/>
      <c r="Q540" s="4"/>
      <c r="U540" s="5"/>
      <c r="V540" s="4"/>
      <c r="AG540" t="s">
        <v>580</v>
      </c>
      <c r="AM540" s="1"/>
    </row>
    <row r="541" spans="1:39" x14ac:dyDescent="0.35">
      <c r="A541">
        <v>537</v>
      </c>
      <c r="B541">
        <v>538</v>
      </c>
      <c r="C541">
        <v>146.80061581699999</v>
      </c>
      <c r="D541">
        <v>-19.153250863</v>
      </c>
      <c r="F541" s="64"/>
      <c r="G541" s="64"/>
      <c r="H541" s="64" t="s">
        <v>26</v>
      </c>
      <c r="I541" s="64"/>
      <c r="J541" s="32" t="str">
        <f>IF(AND(I541=1,OR(I540=0,I540="")),MAX($J$4:$J540)+1,IF(AND(I541=1,I540=1),J540,""))</f>
        <v/>
      </c>
      <c r="K541" s="32" t="str">
        <f t="shared" si="37"/>
        <v/>
      </c>
      <c r="L541" s="32" t="str">
        <f t="shared" si="38"/>
        <v/>
      </c>
      <c r="M541" s="32" t="str">
        <f t="shared" si="39"/>
        <v/>
      </c>
      <c r="N541" s="4"/>
      <c r="O541" s="4"/>
      <c r="P541" s="4"/>
      <c r="Q541" s="4"/>
      <c r="U541" s="5"/>
      <c r="V541" s="4"/>
      <c r="AG541" t="s">
        <v>581</v>
      </c>
      <c r="AM541" s="1"/>
    </row>
    <row r="542" spans="1:39" x14ac:dyDescent="0.35">
      <c r="A542">
        <v>538</v>
      </c>
      <c r="B542">
        <v>539</v>
      </c>
      <c r="C542">
        <v>146.80057945499999</v>
      </c>
      <c r="D542">
        <v>-19.1531732669999</v>
      </c>
      <c r="F542" s="64"/>
      <c r="G542" s="64"/>
      <c r="H542" s="64" t="s">
        <v>26</v>
      </c>
      <c r="I542" s="64"/>
      <c r="J542" s="32" t="str">
        <f>IF(AND(I542=1,OR(I541=0,I541="")),MAX($J$4:$J541)+1,IF(AND(I542=1,I541=1),J541,""))</f>
        <v/>
      </c>
      <c r="K542" s="32" t="str">
        <f t="shared" si="37"/>
        <v/>
      </c>
      <c r="L542" s="32" t="str">
        <f t="shared" si="38"/>
        <v/>
      </c>
      <c r="M542" s="32" t="str">
        <f t="shared" si="39"/>
        <v/>
      </c>
      <c r="N542" s="4"/>
      <c r="O542" s="4"/>
      <c r="P542" s="4"/>
      <c r="Q542" s="4"/>
      <c r="U542" s="5"/>
      <c r="V542" s="4"/>
      <c r="AG542" t="s">
        <v>582</v>
      </c>
      <c r="AM542" s="1"/>
    </row>
    <row r="543" spans="1:39" x14ac:dyDescent="0.35">
      <c r="A543">
        <v>539</v>
      </c>
      <c r="B543">
        <v>540</v>
      </c>
      <c r="C543">
        <v>146.80053782799999</v>
      </c>
      <c r="D543">
        <v>-19.1530981229999</v>
      </c>
      <c r="E543">
        <v>50</v>
      </c>
      <c r="F543" s="64"/>
      <c r="G543" s="64"/>
      <c r="H543" s="64" t="s">
        <v>26</v>
      </c>
      <c r="I543" s="64"/>
      <c r="J543" s="32" t="str">
        <f>IF(AND(I543=1,OR(I542=0,I542="")),MAX($J$4:$J542)+1,IF(AND(I543=1,I542=1),J542,""))</f>
        <v/>
      </c>
      <c r="K543" s="32" t="str">
        <f t="shared" ref="K543:K606" si="40">IF(J543="","",COUNTIF(J:J,J543)*10)</f>
        <v/>
      </c>
      <c r="L543" s="32" t="str">
        <f t="shared" si="38"/>
        <v/>
      </c>
      <c r="M543" s="32" t="str">
        <f t="shared" si="39"/>
        <v/>
      </c>
      <c r="N543" s="4"/>
      <c r="O543" s="4"/>
      <c r="P543" s="4"/>
      <c r="Q543" s="4"/>
      <c r="U543" s="5"/>
      <c r="V543" s="4"/>
      <c r="AG543" t="s">
        <v>583</v>
      </c>
      <c r="AM543" s="1"/>
    </row>
    <row r="544" spans="1:39" x14ac:dyDescent="0.35">
      <c r="A544">
        <v>540</v>
      </c>
      <c r="B544">
        <v>541</v>
      </c>
      <c r="C544">
        <v>146.80049479499999</v>
      </c>
      <c r="D544">
        <v>-19.153023635</v>
      </c>
      <c r="F544" s="64"/>
      <c r="G544" s="64"/>
      <c r="H544" s="64" t="s">
        <v>26</v>
      </c>
      <c r="I544" s="64"/>
      <c r="J544" s="32" t="str">
        <f>IF(AND(I544=1,OR(I543=0,I543="")),MAX($J$4:$J543)+1,IF(AND(I544=1,I543=1),J543,""))</f>
        <v/>
      </c>
      <c r="K544" s="32" t="str">
        <f t="shared" si="40"/>
        <v/>
      </c>
      <c r="L544" s="32" t="str">
        <f t="shared" si="38"/>
        <v/>
      </c>
      <c r="M544" s="32" t="str">
        <f t="shared" si="39"/>
        <v/>
      </c>
      <c r="N544" s="4"/>
      <c r="O544" s="4"/>
      <c r="P544" s="4"/>
      <c r="Q544" s="4"/>
      <c r="U544" s="5"/>
      <c r="V544" s="4"/>
      <c r="AG544" t="s">
        <v>584</v>
      </c>
      <c r="AM544" s="1"/>
    </row>
    <row r="545" spans="1:39" x14ac:dyDescent="0.35">
      <c r="A545">
        <v>541</v>
      </c>
      <c r="B545">
        <v>542</v>
      </c>
      <c r="C545">
        <v>146.80045176199999</v>
      </c>
      <c r="D545">
        <v>-19.152949146000001</v>
      </c>
      <c r="F545" s="64"/>
      <c r="G545" s="64"/>
      <c r="H545" s="64" t="s">
        <v>26</v>
      </c>
      <c r="I545" s="64"/>
      <c r="J545" s="32" t="str">
        <f>IF(AND(I545=1,OR(I544=0,I544="")),MAX($J$4:$J544)+1,IF(AND(I545=1,I544=1),J544,""))</f>
        <v/>
      </c>
      <c r="K545" s="32" t="str">
        <f t="shared" si="40"/>
        <v/>
      </c>
      <c r="L545" s="32" t="str">
        <f t="shared" si="38"/>
        <v/>
      </c>
      <c r="M545" s="32" t="str">
        <f t="shared" si="39"/>
        <v/>
      </c>
      <c r="N545" s="4"/>
      <c r="O545" s="4"/>
      <c r="P545" s="4"/>
      <c r="Q545" s="4"/>
      <c r="U545" s="5"/>
      <c r="V545" s="4"/>
      <c r="AG545" t="s">
        <v>585</v>
      </c>
      <c r="AM545" s="1"/>
    </row>
    <row r="546" spans="1:39" x14ac:dyDescent="0.35">
      <c r="A546">
        <v>542</v>
      </c>
      <c r="B546">
        <v>543</v>
      </c>
      <c r="C546">
        <v>146.80040872999999</v>
      </c>
      <c r="D546">
        <v>-19.152874656999899</v>
      </c>
      <c r="F546" s="64"/>
      <c r="G546" s="64"/>
      <c r="H546" s="64" t="s">
        <v>26</v>
      </c>
      <c r="I546" s="64"/>
      <c r="J546" s="32" t="str">
        <f>IF(AND(I546=1,OR(I545=0,I545="")),MAX($J$4:$J545)+1,IF(AND(I546=1,I545=1),J545,""))</f>
        <v/>
      </c>
      <c r="K546" s="32" t="str">
        <f t="shared" si="40"/>
        <v/>
      </c>
      <c r="L546" s="32" t="str">
        <f t="shared" si="38"/>
        <v/>
      </c>
      <c r="M546" s="32" t="str">
        <f t="shared" si="39"/>
        <v/>
      </c>
      <c r="N546" s="4"/>
      <c r="O546" s="4"/>
      <c r="P546" s="4"/>
      <c r="Q546" s="4"/>
      <c r="U546" s="5"/>
      <c r="V546" s="4"/>
      <c r="AG546" t="s">
        <v>586</v>
      </c>
      <c r="AM546" s="1"/>
    </row>
    <row r="547" spans="1:39" x14ac:dyDescent="0.35">
      <c r="A547">
        <v>543</v>
      </c>
      <c r="B547">
        <v>544</v>
      </c>
      <c r="C547">
        <v>146.800365696</v>
      </c>
      <c r="D547">
        <v>-19.152800168999899</v>
      </c>
      <c r="F547" s="64"/>
      <c r="G547" s="64"/>
      <c r="H547" s="64" t="s">
        <v>26</v>
      </c>
      <c r="I547" s="64"/>
      <c r="J547" s="32" t="str">
        <f>IF(AND(I547=1,OR(I546=0,I546="")),MAX($J$4:$J546)+1,IF(AND(I547=1,I546=1),J546,""))</f>
        <v/>
      </c>
      <c r="K547" s="32" t="str">
        <f t="shared" si="40"/>
        <v/>
      </c>
      <c r="L547" s="32" t="str">
        <f t="shared" si="38"/>
        <v/>
      </c>
      <c r="M547" s="32" t="str">
        <f t="shared" si="39"/>
        <v/>
      </c>
      <c r="N547" s="4"/>
      <c r="O547" s="4"/>
      <c r="P547" s="4"/>
      <c r="Q547" s="4"/>
      <c r="U547" s="5"/>
      <c r="V547" s="4"/>
      <c r="AG547" t="s">
        <v>587</v>
      </c>
      <c r="AM547" s="1"/>
    </row>
    <row r="548" spans="1:39" x14ac:dyDescent="0.35">
      <c r="A548">
        <v>544</v>
      </c>
      <c r="B548">
        <v>545</v>
      </c>
      <c r="C548">
        <v>146.80030762499999</v>
      </c>
      <c r="D548">
        <v>-19.152735999999901</v>
      </c>
      <c r="E548">
        <v>50</v>
      </c>
      <c r="F548" s="64"/>
      <c r="G548" s="64"/>
      <c r="H548" s="64" t="s">
        <v>26</v>
      </c>
      <c r="I548" s="64"/>
      <c r="J548" s="32" t="str">
        <f>IF(AND(I548=1,OR(I547=0,I547="")),MAX($J$4:$J547)+1,IF(AND(I548=1,I547=1),J547,""))</f>
        <v/>
      </c>
      <c r="K548" s="32" t="str">
        <f t="shared" si="40"/>
        <v/>
      </c>
      <c r="L548" s="32" t="str">
        <f t="shared" si="38"/>
        <v/>
      </c>
      <c r="M548" s="32" t="str">
        <f t="shared" si="39"/>
        <v/>
      </c>
      <c r="N548" s="4"/>
      <c r="O548" s="4"/>
      <c r="P548" s="4"/>
      <c r="Q548" s="4"/>
      <c r="U548" s="5"/>
      <c r="V548" s="4"/>
      <c r="AG548" t="s">
        <v>588</v>
      </c>
      <c r="AM548" s="1"/>
    </row>
    <row r="549" spans="1:39" x14ac:dyDescent="0.35">
      <c r="A549">
        <v>545</v>
      </c>
      <c r="B549">
        <v>546</v>
      </c>
      <c r="C549">
        <v>146.80022498</v>
      </c>
      <c r="D549">
        <v>-19.152704819999901</v>
      </c>
      <c r="F549" s="64"/>
      <c r="G549" s="64"/>
      <c r="H549" s="64" t="s">
        <v>26</v>
      </c>
      <c r="I549" s="64"/>
      <c r="J549" s="32" t="str">
        <f>IF(AND(I549=1,OR(I548=0,I548="")),MAX($J$4:$J548)+1,IF(AND(I549=1,I548=1),J548,""))</f>
        <v/>
      </c>
      <c r="K549" s="32" t="str">
        <f t="shared" si="40"/>
        <v/>
      </c>
      <c r="L549" s="32" t="str">
        <f t="shared" si="38"/>
        <v/>
      </c>
      <c r="M549" s="32" t="str">
        <f t="shared" si="39"/>
        <v/>
      </c>
      <c r="N549" s="4"/>
      <c r="O549" s="4"/>
      <c r="P549" s="4"/>
      <c r="Q549" s="4"/>
      <c r="U549" s="5"/>
      <c r="V549" s="4"/>
      <c r="AG549" t="s">
        <v>589</v>
      </c>
      <c r="AM549" s="1"/>
    </row>
    <row r="550" spans="1:39" x14ac:dyDescent="0.35">
      <c r="A550">
        <v>546</v>
      </c>
      <c r="B550">
        <v>547</v>
      </c>
      <c r="C550">
        <v>146.800137812</v>
      </c>
      <c r="D550">
        <v>-19.1526844979999</v>
      </c>
      <c r="F550" s="64"/>
      <c r="G550" s="64"/>
      <c r="H550" s="64" t="s">
        <v>26</v>
      </c>
      <c r="I550" s="64"/>
      <c r="J550" s="32" t="str">
        <f>IF(AND(I550=1,OR(I549=0,I549="")),MAX($J$4:$J549)+1,IF(AND(I550=1,I549=1),J549,""))</f>
        <v/>
      </c>
      <c r="K550" s="32" t="str">
        <f t="shared" si="40"/>
        <v/>
      </c>
      <c r="L550" s="32" t="str">
        <f t="shared" si="38"/>
        <v/>
      </c>
      <c r="M550" s="32" t="str">
        <f t="shared" si="39"/>
        <v/>
      </c>
      <c r="N550" s="4"/>
      <c r="O550" s="4"/>
      <c r="P550" s="4"/>
      <c r="Q550" s="4"/>
      <c r="U550" s="5"/>
      <c r="V550" s="4"/>
      <c r="AG550" t="s">
        <v>590</v>
      </c>
      <c r="AM550" s="1"/>
    </row>
    <row r="551" spans="1:39" x14ac:dyDescent="0.35">
      <c r="A551">
        <v>547</v>
      </c>
      <c r="B551">
        <v>548</v>
      </c>
      <c r="C551">
        <v>146.800057434</v>
      </c>
      <c r="D551">
        <v>-19.152652528000001</v>
      </c>
      <c r="F551" s="64"/>
      <c r="G551" s="64"/>
      <c r="H551" s="64" t="s">
        <v>26</v>
      </c>
      <c r="I551" s="64"/>
      <c r="J551" s="32" t="str">
        <f>IF(AND(I551=1,OR(I550=0,I550="")),MAX($J$4:$J550)+1,IF(AND(I551=1,I550=1),J550,""))</f>
        <v/>
      </c>
      <c r="K551" s="32" t="str">
        <f t="shared" si="40"/>
        <v/>
      </c>
      <c r="L551" s="32" t="str">
        <f t="shared" si="38"/>
        <v/>
      </c>
      <c r="M551" s="32" t="str">
        <f t="shared" si="39"/>
        <v/>
      </c>
      <c r="N551" s="4"/>
      <c r="O551" s="4"/>
      <c r="P551" s="4"/>
      <c r="Q551" s="4"/>
      <c r="U551" s="5"/>
      <c r="V551" s="4"/>
      <c r="AG551" t="s">
        <v>591</v>
      </c>
      <c r="AM551" s="1"/>
    </row>
    <row r="552" spans="1:39" x14ac:dyDescent="0.35">
      <c r="A552">
        <v>548</v>
      </c>
      <c r="B552">
        <v>549</v>
      </c>
      <c r="C552">
        <v>146.79998727899999</v>
      </c>
      <c r="D552">
        <v>-19.152601611000001</v>
      </c>
      <c r="F552" s="64"/>
      <c r="G552" s="64"/>
      <c r="H552" s="64" t="s">
        <v>26</v>
      </c>
      <c r="I552" s="64"/>
      <c r="J552" s="32" t="str">
        <f>IF(AND(I552=1,OR(I551=0,I551="")),MAX($J$4:$J551)+1,IF(AND(I552=1,I551=1),J551,""))</f>
        <v/>
      </c>
      <c r="K552" s="32" t="str">
        <f t="shared" si="40"/>
        <v/>
      </c>
      <c r="L552" s="32" t="str">
        <f t="shared" si="38"/>
        <v/>
      </c>
      <c r="M552" s="32" t="str">
        <f t="shared" si="39"/>
        <v/>
      </c>
      <c r="N552" s="4"/>
      <c r="O552" s="4"/>
      <c r="P552" s="4"/>
      <c r="Q552" s="4"/>
      <c r="U552" s="5"/>
      <c r="V552" s="4"/>
      <c r="AG552" t="s">
        <v>592</v>
      </c>
      <c r="AM552" s="1"/>
    </row>
    <row r="553" spans="1:39" x14ac:dyDescent="0.35">
      <c r="A553">
        <v>549</v>
      </c>
      <c r="B553">
        <v>550</v>
      </c>
      <c r="C553">
        <v>146.79994683800001</v>
      </c>
      <c r="D553">
        <v>-19.152534574999901</v>
      </c>
      <c r="E553">
        <v>50</v>
      </c>
      <c r="F553" s="64"/>
      <c r="G553" s="64"/>
      <c r="H553" s="64" t="s">
        <v>26</v>
      </c>
      <c r="I553" s="64"/>
      <c r="J553" s="32" t="str">
        <f>IF(AND(I553=1,OR(I552=0,I552="")),MAX($J$4:$J552)+1,IF(AND(I553=1,I552=1),J552,""))</f>
        <v/>
      </c>
      <c r="K553" s="32" t="str">
        <f t="shared" si="40"/>
        <v/>
      </c>
      <c r="L553" s="32" t="str">
        <f t="shared" si="38"/>
        <v/>
      </c>
      <c r="M553" s="32" t="str">
        <f t="shared" si="39"/>
        <v/>
      </c>
      <c r="N553" s="4"/>
      <c r="O553" s="4"/>
      <c r="P553" s="4"/>
      <c r="Q553" s="4"/>
      <c r="U553" s="5"/>
      <c r="V553" s="4"/>
      <c r="AG553" t="s">
        <v>593</v>
      </c>
      <c r="AM553" s="1"/>
    </row>
    <row r="554" spans="1:39" x14ac:dyDescent="0.35">
      <c r="A554">
        <v>550</v>
      </c>
      <c r="B554">
        <v>551</v>
      </c>
      <c r="C554">
        <v>146.79996828200001</v>
      </c>
      <c r="D554">
        <v>-19.152458481999901</v>
      </c>
      <c r="F554" s="64"/>
      <c r="G554" s="64"/>
      <c r="H554" s="64" t="s">
        <v>26</v>
      </c>
      <c r="I554" s="64"/>
      <c r="J554" s="32" t="str">
        <f>IF(AND(I554=1,OR(I553=0,I553="")),MAX($J$4:$J553)+1,IF(AND(I554=1,I553=1),J553,""))</f>
        <v/>
      </c>
      <c r="K554" s="32" t="str">
        <f t="shared" si="40"/>
        <v/>
      </c>
      <c r="L554" s="32" t="str">
        <f t="shared" si="38"/>
        <v/>
      </c>
      <c r="M554" s="32" t="str">
        <f t="shared" si="39"/>
        <v/>
      </c>
      <c r="N554" s="4"/>
      <c r="O554" s="4"/>
      <c r="P554" s="4"/>
      <c r="Q554" s="4"/>
      <c r="U554" s="5"/>
      <c r="V554" s="4"/>
      <c r="AG554" t="s">
        <v>594</v>
      </c>
      <c r="AM554" s="1"/>
    </row>
    <row r="555" spans="1:39" x14ac:dyDescent="0.35">
      <c r="A555">
        <v>551</v>
      </c>
      <c r="B555">
        <v>552</v>
      </c>
      <c r="C555">
        <v>146.80005136700001</v>
      </c>
      <c r="D555">
        <v>-19.152428235999899</v>
      </c>
      <c r="F555" s="64"/>
      <c r="G555" s="64"/>
      <c r="H555" s="64" t="s">
        <v>26</v>
      </c>
      <c r="I555" s="64"/>
      <c r="J555" s="32" t="str">
        <f>IF(AND(I555=1,OR(I554=0,I554="")),MAX($J$4:$J554)+1,IF(AND(I555=1,I554=1),J554,""))</f>
        <v/>
      </c>
      <c r="K555" s="32" t="str">
        <f t="shared" si="40"/>
        <v/>
      </c>
      <c r="L555" s="32" t="str">
        <f t="shared" si="38"/>
        <v/>
      </c>
      <c r="M555" s="32" t="str">
        <f t="shared" si="39"/>
        <v/>
      </c>
      <c r="N555" s="4"/>
      <c r="O555" s="4"/>
      <c r="P555" s="4"/>
      <c r="Q555" s="4"/>
      <c r="U555" s="5"/>
      <c r="V555" s="4"/>
      <c r="AG555" t="s">
        <v>595</v>
      </c>
      <c r="AM555" s="1"/>
    </row>
    <row r="556" spans="1:39" x14ac:dyDescent="0.35">
      <c r="A556">
        <v>552</v>
      </c>
      <c r="B556">
        <v>553</v>
      </c>
      <c r="C556">
        <v>146.80011591300001</v>
      </c>
      <c r="D556">
        <v>-19.152389491000001</v>
      </c>
      <c r="F556" s="64"/>
      <c r="G556" s="64"/>
      <c r="H556" s="64" t="s">
        <v>26</v>
      </c>
      <c r="I556" s="64"/>
      <c r="J556" s="32" t="str">
        <f>IF(AND(I556=1,OR(I555=0,I555="")),MAX($J$4:$J555)+1,IF(AND(I556=1,I555=1),J555,""))</f>
        <v/>
      </c>
      <c r="K556" s="32" t="str">
        <f t="shared" si="40"/>
        <v/>
      </c>
      <c r="L556" s="32" t="str">
        <f t="shared" si="38"/>
        <v/>
      </c>
      <c r="M556" s="32" t="str">
        <f t="shared" si="39"/>
        <v/>
      </c>
      <c r="N556" s="4"/>
      <c r="O556" s="4"/>
      <c r="P556" s="4"/>
      <c r="Q556" s="4"/>
      <c r="U556" s="5"/>
      <c r="V556" s="4"/>
      <c r="AG556" t="s">
        <v>596</v>
      </c>
      <c r="AM556" s="1"/>
    </row>
    <row r="557" spans="1:39" x14ac:dyDescent="0.35">
      <c r="A557">
        <v>553</v>
      </c>
      <c r="B557">
        <v>554</v>
      </c>
      <c r="C557">
        <v>146.800133542</v>
      </c>
      <c r="D557">
        <v>-19.152309021000001</v>
      </c>
      <c r="F557" s="64"/>
      <c r="G557" s="64"/>
      <c r="H557" s="64" t="s">
        <v>26</v>
      </c>
      <c r="I557" s="64"/>
      <c r="J557" s="32" t="str">
        <f>IF(AND(I557=1,OR(I556=0,I556="")),MAX($J$4:$J556)+1,IF(AND(I557=1,I556=1),J556,""))</f>
        <v/>
      </c>
      <c r="K557" s="32" t="str">
        <f t="shared" si="40"/>
        <v/>
      </c>
      <c r="L557" s="32" t="str">
        <f t="shared" si="38"/>
        <v/>
      </c>
      <c r="M557" s="32" t="str">
        <f t="shared" si="39"/>
        <v/>
      </c>
      <c r="N557" s="4"/>
      <c r="O557" s="4"/>
      <c r="P557" s="4"/>
      <c r="Q557" s="4"/>
      <c r="U557" s="5"/>
      <c r="V557" s="4"/>
      <c r="AG557" t="s">
        <v>597</v>
      </c>
      <c r="AM557" s="1"/>
    </row>
    <row r="558" spans="1:39" x14ac:dyDescent="0.35">
      <c r="A558">
        <v>554</v>
      </c>
      <c r="B558">
        <v>555</v>
      </c>
      <c r="C558">
        <v>146.80010707700001</v>
      </c>
      <c r="D558">
        <v>-19.152227927999899</v>
      </c>
      <c r="E558">
        <v>50</v>
      </c>
      <c r="F558" s="64"/>
      <c r="G558" s="64"/>
      <c r="H558" s="64" t="s">
        <v>26</v>
      </c>
      <c r="I558" s="64"/>
      <c r="J558" s="32" t="str">
        <f>IF(AND(I558=1,OR(I557=0,I557="")),MAX($J$4:$J557)+1,IF(AND(I558=1,I557=1),J557,""))</f>
        <v/>
      </c>
      <c r="K558" s="32" t="str">
        <f t="shared" si="40"/>
        <v/>
      </c>
      <c r="L558" s="32" t="str">
        <f t="shared" si="38"/>
        <v/>
      </c>
      <c r="M558" s="32" t="str">
        <f t="shared" si="39"/>
        <v/>
      </c>
      <c r="N558" s="4"/>
      <c r="O558" s="4"/>
      <c r="P558" s="4"/>
      <c r="Q558" s="4"/>
      <c r="U558" s="5"/>
      <c r="V558" s="4"/>
      <c r="AG558" t="s">
        <v>598</v>
      </c>
      <c r="AM558" s="1"/>
    </row>
    <row r="559" spans="1:39" x14ac:dyDescent="0.35">
      <c r="A559">
        <v>555</v>
      </c>
      <c r="B559">
        <v>556</v>
      </c>
      <c r="C559">
        <v>146.800080611</v>
      </c>
      <c r="D559">
        <v>-19.1521468349999</v>
      </c>
      <c r="F559" s="64"/>
      <c r="G559" s="64"/>
      <c r="H559" s="64" t="s">
        <v>26</v>
      </c>
      <c r="I559" s="64"/>
      <c r="J559" s="32" t="str">
        <f>IF(AND(I559=1,OR(I558=0,I558="")),MAX($J$4:$J558)+1,IF(AND(I559=1,I558=1),J558,""))</f>
        <v/>
      </c>
      <c r="K559" s="32" t="str">
        <f t="shared" si="40"/>
        <v/>
      </c>
      <c r="L559" s="32" t="str">
        <f t="shared" si="38"/>
        <v/>
      </c>
      <c r="M559" s="32" t="str">
        <f t="shared" si="39"/>
        <v/>
      </c>
      <c r="N559" s="4"/>
      <c r="O559" s="4"/>
      <c r="P559" s="4"/>
      <c r="Q559" s="4"/>
      <c r="U559" s="5"/>
      <c r="V559" s="4"/>
      <c r="AG559" t="s">
        <v>599</v>
      </c>
      <c r="AM559" s="1"/>
    </row>
    <row r="560" spans="1:39" x14ac:dyDescent="0.35">
      <c r="A560">
        <v>556</v>
      </c>
      <c r="B560">
        <v>557</v>
      </c>
      <c r="C560">
        <v>146.80004454199999</v>
      </c>
      <c r="D560">
        <v>-19.152071007</v>
      </c>
      <c r="F560" s="64"/>
      <c r="G560" s="64"/>
      <c r="H560" s="64" t="s">
        <v>26</v>
      </c>
      <c r="I560" s="64"/>
      <c r="J560" s="32" t="str">
        <f>IF(AND(I560=1,OR(I559=0,I559="")),MAX($J$4:$J559)+1,IF(AND(I560=1,I559=1),J559,""))</f>
        <v/>
      </c>
      <c r="K560" s="32" t="str">
        <f t="shared" si="40"/>
        <v/>
      </c>
      <c r="L560" s="32" t="str">
        <f t="shared" si="38"/>
        <v/>
      </c>
      <c r="M560" s="32" t="str">
        <f t="shared" si="39"/>
        <v/>
      </c>
      <c r="N560" s="4"/>
      <c r="O560" s="4"/>
      <c r="P560" s="4"/>
      <c r="Q560" s="4"/>
      <c r="U560" s="5"/>
      <c r="V560" s="4"/>
      <c r="AG560" t="s">
        <v>600</v>
      </c>
      <c r="AM560" s="1"/>
    </row>
    <row r="561" spans="1:39" x14ac:dyDescent="0.35">
      <c r="A561">
        <v>557</v>
      </c>
      <c r="B561">
        <v>558</v>
      </c>
      <c r="C561">
        <v>146.79998176199999</v>
      </c>
      <c r="D561">
        <v>-19.152010342000001</v>
      </c>
      <c r="F561" s="64"/>
      <c r="G561" s="64"/>
      <c r="H561" s="64" t="s">
        <v>26</v>
      </c>
      <c r="I561" s="64"/>
      <c r="J561" s="32" t="str">
        <f>IF(AND(I561=1,OR(I560=0,I560="")),MAX($J$4:$J560)+1,IF(AND(I561=1,I560=1),J560,""))</f>
        <v/>
      </c>
      <c r="K561" s="32" t="str">
        <f t="shared" si="40"/>
        <v/>
      </c>
      <c r="L561" s="32" t="str">
        <f t="shared" si="38"/>
        <v/>
      </c>
      <c r="M561" s="32" t="str">
        <f t="shared" si="39"/>
        <v/>
      </c>
      <c r="N561" s="4"/>
      <c r="O561" s="4"/>
      <c r="P561" s="4"/>
      <c r="Q561" s="4"/>
      <c r="U561" s="5"/>
      <c r="V561" s="4"/>
      <c r="AG561" t="s">
        <v>601</v>
      </c>
      <c r="AM561" s="1"/>
    </row>
    <row r="562" spans="1:39" x14ac:dyDescent="0.35">
      <c r="A562">
        <v>558</v>
      </c>
      <c r="B562">
        <v>559</v>
      </c>
      <c r="C562">
        <v>146.79991739600001</v>
      </c>
      <c r="D562">
        <v>-19.151951146999998</v>
      </c>
      <c r="F562" s="64"/>
      <c r="G562" s="64"/>
      <c r="H562" s="64" t="s">
        <v>26</v>
      </c>
      <c r="I562" s="64"/>
      <c r="J562" s="32" t="str">
        <f>IF(AND(I562=1,OR(I561=0,I561="")),MAX($J$4:$J561)+1,IF(AND(I562=1,I561=1),J561,""))</f>
        <v/>
      </c>
      <c r="K562" s="32" t="str">
        <f t="shared" si="40"/>
        <v/>
      </c>
      <c r="L562" s="32" t="str">
        <f t="shared" si="38"/>
        <v/>
      </c>
      <c r="M562" s="32" t="str">
        <f t="shared" si="39"/>
        <v/>
      </c>
      <c r="N562" s="4"/>
      <c r="O562" s="4"/>
      <c r="P562" s="4"/>
      <c r="Q562" s="4"/>
      <c r="U562" s="5"/>
      <c r="V562" s="4"/>
      <c r="AG562" t="s">
        <v>602</v>
      </c>
      <c r="AM562" s="1"/>
    </row>
    <row r="563" spans="1:39" x14ac:dyDescent="0.35">
      <c r="A563">
        <v>559</v>
      </c>
      <c r="B563">
        <v>560</v>
      </c>
      <c r="C563">
        <v>146.79985303000001</v>
      </c>
      <c r="D563">
        <v>-19.151891952</v>
      </c>
      <c r="E563">
        <v>50</v>
      </c>
      <c r="F563" s="64"/>
      <c r="G563" s="64"/>
      <c r="H563" s="64" t="s">
        <v>26</v>
      </c>
      <c r="I563" s="64"/>
      <c r="J563" s="32" t="str">
        <f>IF(AND(I563=1,OR(I562=0,I562="")),MAX($J$4:$J562)+1,IF(AND(I563=1,I562=1),J562,""))</f>
        <v/>
      </c>
      <c r="K563" s="32" t="str">
        <f t="shared" si="40"/>
        <v/>
      </c>
      <c r="L563" s="32" t="str">
        <f t="shared" si="38"/>
        <v/>
      </c>
      <c r="M563" s="32" t="str">
        <f t="shared" si="39"/>
        <v/>
      </c>
      <c r="N563" s="4"/>
      <c r="O563" s="4"/>
      <c r="P563" s="4"/>
      <c r="Q563" s="4"/>
      <c r="U563" s="5"/>
      <c r="V563" s="4"/>
      <c r="AG563" t="s">
        <v>603</v>
      </c>
      <c r="AM563" s="1"/>
    </row>
    <row r="564" spans="1:39" x14ac:dyDescent="0.35">
      <c r="A564">
        <v>560</v>
      </c>
      <c r="B564">
        <v>561</v>
      </c>
      <c r="C564">
        <v>146.799788664</v>
      </c>
      <c r="D564">
        <v>-19.151832756000001</v>
      </c>
      <c r="F564" s="64"/>
      <c r="G564" s="64"/>
      <c r="H564" s="64" t="s">
        <v>26</v>
      </c>
      <c r="I564" s="64"/>
      <c r="J564" s="32" t="str">
        <f>IF(AND(I564=1,OR(I563=0,I563="")),MAX($J$4:$J563)+1,IF(AND(I564=1,I563=1),J563,""))</f>
        <v/>
      </c>
      <c r="K564" s="32" t="str">
        <f t="shared" si="40"/>
        <v/>
      </c>
      <c r="L564" s="32" t="str">
        <f t="shared" si="38"/>
        <v/>
      </c>
      <c r="M564" s="32" t="str">
        <f t="shared" si="39"/>
        <v/>
      </c>
      <c r="N564" s="4"/>
      <c r="O564" s="4"/>
      <c r="P564" s="4"/>
      <c r="Q564" s="4"/>
      <c r="U564" s="5"/>
      <c r="V564" s="4"/>
      <c r="AG564" t="s">
        <v>604</v>
      </c>
      <c r="AM564" s="1"/>
    </row>
    <row r="565" spans="1:39" x14ac:dyDescent="0.35">
      <c r="A565">
        <v>561</v>
      </c>
      <c r="B565">
        <v>562</v>
      </c>
      <c r="C565">
        <v>146.799719227</v>
      </c>
      <c r="D565">
        <v>-19.1517792389999</v>
      </c>
      <c r="F565" s="64"/>
      <c r="G565" s="64"/>
      <c r="H565" s="64" t="s">
        <v>26</v>
      </c>
      <c r="I565" s="64"/>
      <c r="J565" s="32" t="str">
        <f>IF(AND(I565=1,OR(I564=0,I564="")),MAX($J$4:$J564)+1,IF(AND(I565=1,I564=1),J564,""))</f>
        <v/>
      </c>
      <c r="K565" s="32" t="str">
        <f t="shared" si="40"/>
        <v/>
      </c>
      <c r="L565" s="32" t="str">
        <f t="shared" si="38"/>
        <v/>
      </c>
      <c r="M565" s="32" t="str">
        <f t="shared" si="39"/>
        <v/>
      </c>
      <c r="N565" s="4"/>
      <c r="O565" s="4"/>
      <c r="P565" s="4"/>
      <c r="Q565" s="4"/>
      <c r="U565" s="5"/>
      <c r="V565" s="4"/>
      <c r="AG565" t="s">
        <v>605</v>
      </c>
      <c r="AM565" s="1"/>
    </row>
    <row r="566" spans="1:39" x14ac:dyDescent="0.35">
      <c r="A566">
        <v>562</v>
      </c>
      <c r="B566">
        <v>563</v>
      </c>
      <c r="C566">
        <v>146.79964662699999</v>
      </c>
      <c r="D566">
        <v>-19.1517292619999</v>
      </c>
      <c r="F566" s="64"/>
      <c r="G566" s="64"/>
      <c r="H566" s="64" t="s">
        <v>26</v>
      </c>
      <c r="I566" s="64"/>
      <c r="J566" s="32" t="str">
        <f>IF(AND(I566=1,OR(I565=0,I565="")),MAX($J$4:$J565)+1,IF(AND(I566=1,I565=1),J565,""))</f>
        <v/>
      </c>
      <c r="K566" s="32" t="str">
        <f t="shared" si="40"/>
        <v/>
      </c>
      <c r="L566" s="32" t="str">
        <f t="shared" si="38"/>
        <v/>
      </c>
      <c r="M566" s="32" t="str">
        <f t="shared" si="39"/>
        <v/>
      </c>
      <c r="N566" s="4"/>
      <c r="O566" s="4"/>
      <c r="P566" s="4"/>
      <c r="Q566" s="4"/>
      <c r="U566" s="5"/>
      <c r="V566" s="4"/>
      <c r="AG566" t="s">
        <v>606</v>
      </c>
      <c r="AM566" s="1"/>
    </row>
    <row r="567" spans="1:39" x14ac:dyDescent="0.35">
      <c r="A567">
        <v>563</v>
      </c>
      <c r="B567">
        <v>564</v>
      </c>
      <c r="C567">
        <v>146.79957780399999</v>
      </c>
      <c r="D567">
        <v>-19.151674767999999</v>
      </c>
      <c r="F567" s="64"/>
      <c r="G567" s="64"/>
      <c r="H567" s="64" t="s">
        <v>26</v>
      </c>
      <c r="I567" s="64"/>
      <c r="J567" s="32" t="str">
        <f>IF(AND(I567=1,OR(I566=0,I566="")),MAX($J$4:$J566)+1,IF(AND(I567=1,I566=1),J566,""))</f>
        <v/>
      </c>
      <c r="K567" s="32" t="str">
        <f t="shared" si="40"/>
        <v/>
      </c>
      <c r="L567" s="32" t="str">
        <f t="shared" si="38"/>
        <v/>
      </c>
      <c r="M567" s="32" t="str">
        <f t="shared" si="39"/>
        <v/>
      </c>
      <c r="N567" s="4"/>
      <c r="O567" s="4"/>
      <c r="P567" s="4"/>
      <c r="Q567" s="4"/>
      <c r="U567" s="5"/>
      <c r="V567" s="4"/>
      <c r="AG567" t="s">
        <v>607</v>
      </c>
      <c r="AM567" s="1"/>
    </row>
    <row r="568" spans="1:39" x14ac:dyDescent="0.35">
      <c r="A568">
        <v>564</v>
      </c>
      <c r="B568">
        <v>565</v>
      </c>
      <c r="C568">
        <v>146.799509524</v>
      </c>
      <c r="D568">
        <v>-19.151619624999999</v>
      </c>
      <c r="E568">
        <v>50</v>
      </c>
      <c r="F568" s="64"/>
      <c r="G568" s="64"/>
      <c r="H568" s="64" t="s">
        <v>26</v>
      </c>
      <c r="I568" s="64"/>
      <c r="J568" s="32" t="str">
        <f>IF(AND(I568=1,OR(I567=0,I567="")),MAX($J$4:$J567)+1,IF(AND(I568=1,I567=1),J567,""))</f>
        <v/>
      </c>
      <c r="K568" s="32" t="str">
        <f t="shared" si="40"/>
        <v/>
      </c>
      <c r="L568" s="32" t="str">
        <f t="shared" si="38"/>
        <v/>
      </c>
      <c r="M568" s="32" t="str">
        <f t="shared" si="39"/>
        <v/>
      </c>
      <c r="N568" s="4"/>
      <c r="O568" s="4"/>
      <c r="P568" s="4"/>
      <c r="Q568" s="4"/>
      <c r="U568" s="5"/>
      <c r="V568" s="4"/>
      <c r="AG568" t="s">
        <v>608</v>
      </c>
      <c r="AM568" s="1"/>
    </row>
    <row r="569" spans="1:39" x14ac:dyDescent="0.35">
      <c r="A569">
        <v>565</v>
      </c>
      <c r="B569">
        <v>566</v>
      </c>
      <c r="C569">
        <v>146.79944124400001</v>
      </c>
      <c r="D569">
        <v>-19.151564482000001</v>
      </c>
      <c r="F569" s="64"/>
      <c r="G569" s="64"/>
      <c r="H569" s="64" t="s">
        <v>26</v>
      </c>
      <c r="I569" s="64"/>
      <c r="J569" s="32" t="str">
        <f>IF(AND(I569=1,OR(I568=0,I568="")),MAX($J$4:$J568)+1,IF(AND(I569=1,I568=1),J568,""))</f>
        <v/>
      </c>
      <c r="K569" s="32" t="str">
        <f t="shared" si="40"/>
        <v/>
      </c>
      <c r="L569" s="32" t="str">
        <f t="shared" si="38"/>
        <v/>
      </c>
      <c r="M569" s="32" t="str">
        <f t="shared" si="39"/>
        <v/>
      </c>
      <c r="N569" s="4"/>
      <c r="O569" s="4"/>
      <c r="P569" s="4"/>
      <c r="Q569" s="4"/>
      <c r="U569" s="5"/>
      <c r="V569" s="4"/>
      <c r="AG569" t="s">
        <v>609</v>
      </c>
      <c r="AM569" s="1"/>
    </row>
    <row r="570" spans="1:39" x14ac:dyDescent="0.35">
      <c r="A570">
        <v>566</v>
      </c>
      <c r="B570">
        <v>567</v>
      </c>
      <c r="C570">
        <v>146.799372963</v>
      </c>
      <c r="D570">
        <v>-19.151509339</v>
      </c>
      <c r="F570" s="64"/>
      <c r="G570" s="64"/>
      <c r="H570" s="64" t="s">
        <v>26</v>
      </c>
      <c r="I570" s="64"/>
      <c r="J570" s="32" t="str">
        <f>IF(AND(I570=1,OR(I569=0,I569="")),MAX($J$4:$J569)+1,IF(AND(I570=1,I569=1),J569,""))</f>
        <v/>
      </c>
      <c r="K570" s="32" t="str">
        <f t="shared" si="40"/>
        <v/>
      </c>
      <c r="L570" s="32" t="str">
        <f t="shared" si="38"/>
        <v/>
      </c>
      <c r="M570" s="32" t="str">
        <f t="shared" si="39"/>
        <v/>
      </c>
      <c r="N570" s="4"/>
      <c r="O570" s="4"/>
      <c r="P570" s="4"/>
      <c r="Q570" s="4"/>
      <c r="U570" s="5"/>
      <c r="V570" s="4"/>
      <c r="AG570" t="s">
        <v>610</v>
      </c>
      <c r="AM570" s="1"/>
    </row>
    <row r="571" spans="1:39" x14ac:dyDescent="0.35">
      <c r="A571">
        <v>567</v>
      </c>
      <c r="B571">
        <v>568</v>
      </c>
      <c r="C571">
        <v>146.799304683</v>
      </c>
      <c r="D571">
        <v>-19.151454196</v>
      </c>
      <c r="F571" s="64"/>
      <c r="G571" s="64"/>
      <c r="H571" s="64" t="s">
        <v>26</v>
      </c>
      <c r="I571" s="64"/>
      <c r="J571" s="32" t="str">
        <f>IF(AND(I571=1,OR(I570=0,I570="")),MAX($J$4:$J570)+1,IF(AND(I571=1,I570=1),J570,""))</f>
        <v/>
      </c>
      <c r="K571" s="32" t="str">
        <f t="shared" si="40"/>
        <v/>
      </c>
      <c r="L571" s="32" t="str">
        <f t="shared" si="38"/>
        <v/>
      </c>
      <c r="M571" s="32" t="str">
        <f t="shared" si="39"/>
        <v/>
      </c>
      <c r="N571" s="4"/>
      <c r="O571" s="4"/>
      <c r="P571" s="4"/>
      <c r="Q571" s="4"/>
      <c r="U571" s="5"/>
      <c r="V571" s="4"/>
      <c r="AG571" t="s">
        <v>611</v>
      </c>
      <c r="AM571" s="1"/>
    </row>
    <row r="572" spans="1:39" x14ac:dyDescent="0.35">
      <c r="A572">
        <v>568</v>
      </c>
      <c r="B572">
        <v>569</v>
      </c>
      <c r="C572">
        <v>146.79923640199999</v>
      </c>
      <c r="D572">
        <v>-19.151399052999999</v>
      </c>
      <c r="F572" s="64"/>
      <c r="G572" s="64"/>
      <c r="H572" s="64" t="s">
        <v>26</v>
      </c>
      <c r="I572" s="64"/>
      <c r="J572" s="32" t="str">
        <f>IF(AND(I572=1,OR(I571=0,I571="")),MAX($J$4:$J571)+1,IF(AND(I572=1,I571=1),J571,""))</f>
        <v/>
      </c>
      <c r="K572" s="32" t="str">
        <f t="shared" si="40"/>
        <v/>
      </c>
      <c r="L572" s="32" t="str">
        <f t="shared" si="38"/>
        <v/>
      </c>
      <c r="M572" s="32" t="str">
        <f t="shared" si="39"/>
        <v/>
      </c>
      <c r="N572" s="4"/>
      <c r="O572" s="4"/>
      <c r="P572" s="4"/>
      <c r="Q572" s="4"/>
      <c r="U572" s="5"/>
      <c r="V572" s="4"/>
      <c r="AG572" t="s">
        <v>612</v>
      </c>
      <c r="AM572" s="1"/>
    </row>
    <row r="573" spans="1:39" x14ac:dyDescent="0.35">
      <c r="A573">
        <v>569</v>
      </c>
      <c r="B573">
        <v>570</v>
      </c>
      <c r="C573">
        <v>146.79916743300001</v>
      </c>
      <c r="D573">
        <v>-19.151344691999999</v>
      </c>
      <c r="E573">
        <v>50</v>
      </c>
      <c r="F573" s="64"/>
      <c r="G573" s="64"/>
      <c r="H573" s="64" t="s">
        <v>26</v>
      </c>
      <c r="I573" s="64"/>
      <c r="J573" s="32" t="str">
        <f>IF(AND(I573=1,OR(I572=0,I572="")),MAX($J$4:$J572)+1,IF(AND(I573=1,I572=1),J572,""))</f>
        <v/>
      </c>
      <c r="K573" s="32" t="str">
        <f t="shared" si="40"/>
        <v/>
      </c>
      <c r="L573" s="32" t="str">
        <f t="shared" si="38"/>
        <v/>
      </c>
      <c r="M573" s="32" t="str">
        <f t="shared" si="39"/>
        <v/>
      </c>
      <c r="N573" s="4"/>
      <c r="O573" s="4"/>
      <c r="P573" s="4"/>
      <c r="Q573" s="4"/>
      <c r="U573" s="5"/>
      <c r="V573" s="4"/>
      <c r="AG573" t="s">
        <v>613</v>
      </c>
      <c r="AM573" s="1"/>
    </row>
    <row r="574" spans="1:39" x14ac:dyDescent="0.35">
      <c r="A574">
        <v>570</v>
      </c>
      <c r="B574">
        <v>571</v>
      </c>
      <c r="C574">
        <v>146.79909760000001</v>
      </c>
      <c r="D574">
        <v>-19.151291312000001</v>
      </c>
      <c r="F574" s="64"/>
      <c r="G574" s="64"/>
      <c r="H574" s="64" t="s">
        <v>26</v>
      </c>
      <c r="I574" s="64"/>
      <c r="J574" s="32" t="str">
        <f>IF(AND(I574=1,OR(I573=0,I573="")),MAX($J$4:$J573)+1,IF(AND(I574=1,I573=1),J573,""))</f>
        <v/>
      </c>
      <c r="K574" s="32" t="str">
        <f t="shared" si="40"/>
        <v/>
      </c>
      <c r="L574" s="32" t="str">
        <f t="shared" si="38"/>
        <v/>
      </c>
      <c r="M574" s="32" t="str">
        <f t="shared" si="39"/>
        <v/>
      </c>
      <c r="N574" s="4"/>
      <c r="O574" s="4"/>
      <c r="P574" s="4"/>
      <c r="Q574" s="4"/>
      <c r="U574" s="5"/>
      <c r="V574" s="4"/>
      <c r="AG574" t="s">
        <v>614</v>
      </c>
      <c r="AM574" s="1"/>
    </row>
    <row r="575" spans="1:39" x14ac:dyDescent="0.35">
      <c r="A575">
        <v>571</v>
      </c>
      <c r="B575">
        <v>572</v>
      </c>
      <c r="C575">
        <v>146.799027768</v>
      </c>
      <c r="D575">
        <v>-19.151237932000001</v>
      </c>
      <c r="F575" s="64"/>
      <c r="G575" s="64"/>
      <c r="H575" s="64" t="s">
        <v>26</v>
      </c>
      <c r="I575" s="64"/>
      <c r="J575" s="32" t="str">
        <f>IF(AND(I575=1,OR(I574=0,I574="")),MAX($J$4:$J574)+1,IF(AND(I575=1,I574=1),J574,""))</f>
        <v/>
      </c>
      <c r="K575" s="32" t="str">
        <f t="shared" si="40"/>
        <v/>
      </c>
      <c r="L575" s="32" t="str">
        <f t="shared" si="38"/>
        <v/>
      </c>
      <c r="M575" s="32" t="str">
        <f t="shared" si="39"/>
        <v/>
      </c>
      <c r="N575" s="4"/>
      <c r="O575" s="4"/>
      <c r="P575" s="4"/>
      <c r="Q575" s="4"/>
      <c r="U575" s="5"/>
      <c r="V575" s="4"/>
      <c r="AG575" t="s">
        <v>615</v>
      </c>
      <c r="AM575" s="1"/>
    </row>
    <row r="576" spans="1:39" x14ac:dyDescent="0.35">
      <c r="A576">
        <v>572</v>
      </c>
      <c r="B576">
        <v>573</v>
      </c>
      <c r="C576">
        <v>146.798957935</v>
      </c>
      <c r="D576">
        <v>-19.151184551</v>
      </c>
      <c r="F576" s="64"/>
      <c r="G576" s="64"/>
      <c r="H576" s="64" t="s">
        <v>26</v>
      </c>
      <c r="I576" s="64"/>
      <c r="J576" s="32" t="str">
        <f>IF(AND(I576=1,OR(I575=0,I575="")),MAX($J$4:$J575)+1,IF(AND(I576=1,I575=1),J575,""))</f>
        <v/>
      </c>
      <c r="K576" s="32" t="str">
        <f t="shared" si="40"/>
        <v/>
      </c>
      <c r="L576" s="32" t="str">
        <f t="shared" si="38"/>
        <v/>
      </c>
      <c r="M576" s="32" t="str">
        <f t="shared" si="39"/>
        <v/>
      </c>
      <c r="N576" s="4"/>
      <c r="O576" s="4"/>
      <c r="P576" s="4"/>
      <c r="Q576" s="4"/>
      <c r="U576" s="5"/>
      <c r="V576" s="4"/>
      <c r="AG576" t="s">
        <v>616</v>
      </c>
      <c r="AM576" s="1"/>
    </row>
    <row r="577" spans="1:39" x14ac:dyDescent="0.35">
      <c r="A577">
        <v>573</v>
      </c>
      <c r="B577">
        <v>574</v>
      </c>
      <c r="C577">
        <v>146.798888103</v>
      </c>
      <c r="D577">
        <v>-19.151131170999999</v>
      </c>
      <c r="F577" s="64"/>
      <c r="G577" s="64"/>
      <c r="H577" s="64" t="s">
        <v>26</v>
      </c>
      <c r="I577" s="64"/>
      <c r="J577" s="32" t="str">
        <f>IF(AND(I577=1,OR(I576=0,I576="")),MAX($J$4:$J576)+1,IF(AND(I577=1,I576=1),J576,""))</f>
        <v/>
      </c>
      <c r="K577" s="32" t="str">
        <f t="shared" si="40"/>
        <v/>
      </c>
      <c r="L577" s="32" t="str">
        <f t="shared" si="38"/>
        <v/>
      </c>
      <c r="M577" s="32" t="str">
        <f t="shared" si="39"/>
        <v/>
      </c>
      <c r="N577" s="4"/>
      <c r="O577" s="4"/>
      <c r="P577" s="4"/>
      <c r="Q577" s="4"/>
      <c r="U577" s="5"/>
      <c r="V577" s="4"/>
      <c r="AG577" t="s">
        <v>617</v>
      </c>
      <c r="AM577" s="1"/>
    </row>
    <row r="578" spans="1:39" x14ac:dyDescent="0.35">
      <c r="A578">
        <v>574</v>
      </c>
      <c r="B578">
        <v>575</v>
      </c>
      <c r="C578">
        <v>146.79881827</v>
      </c>
      <c r="D578">
        <v>-19.151077789999899</v>
      </c>
      <c r="E578">
        <v>50</v>
      </c>
      <c r="F578" s="64"/>
      <c r="G578" s="64"/>
      <c r="H578" s="64" t="s">
        <v>26</v>
      </c>
      <c r="I578" s="64"/>
      <c r="J578" s="32" t="str">
        <f>IF(AND(I578=1,OR(I577=0,I577="")),MAX($J$4:$J577)+1,IF(AND(I578=1,I577=1),J577,""))</f>
        <v/>
      </c>
      <c r="K578" s="32" t="str">
        <f t="shared" si="40"/>
        <v/>
      </c>
      <c r="L578" s="32" t="str">
        <f t="shared" si="38"/>
        <v/>
      </c>
      <c r="M578" s="32" t="str">
        <f t="shared" si="39"/>
        <v/>
      </c>
      <c r="N578" s="4"/>
      <c r="O578" s="4"/>
      <c r="P578" s="4"/>
      <c r="Q578" s="4"/>
      <c r="U578" s="5"/>
      <c r="V578" s="4"/>
      <c r="AG578" t="s">
        <v>618</v>
      </c>
      <c r="AM578" s="1"/>
    </row>
    <row r="579" spans="1:39" x14ac:dyDescent="0.35">
      <c r="A579">
        <v>575</v>
      </c>
      <c r="B579">
        <v>576</v>
      </c>
      <c r="C579">
        <v>146.79874843799999</v>
      </c>
      <c r="D579">
        <v>-19.151024409999899</v>
      </c>
      <c r="F579" s="64"/>
      <c r="G579" s="64"/>
      <c r="H579" s="64" t="s">
        <v>26</v>
      </c>
      <c r="I579" s="64"/>
      <c r="J579" s="32" t="str">
        <f>IF(AND(I579=1,OR(I578=0,I578="")),MAX($J$4:$J578)+1,IF(AND(I579=1,I578=1),J578,""))</f>
        <v/>
      </c>
      <c r="K579" s="32" t="str">
        <f t="shared" si="40"/>
        <v/>
      </c>
      <c r="L579" s="32" t="str">
        <f t="shared" si="38"/>
        <v/>
      </c>
      <c r="M579" s="32" t="str">
        <f t="shared" si="39"/>
        <v/>
      </c>
      <c r="N579" s="4"/>
      <c r="O579" s="4"/>
      <c r="P579" s="4"/>
      <c r="Q579" s="4"/>
      <c r="U579" s="5"/>
      <c r="V579" s="4"/>
      <c r="AG579" t="s">
        <v>619</v>
      </c>
      <c r="AM579" s="1"/>
    </row>
    <row r="580" spans="1:39" x14ac:dyDescent="0.35">
      <c r="A580">
        <v>576</v>
      </c>
      <c r="B580">
        <v>577</v>
      </c>
      <c r="C580">
        <v>146.79868215900001</v>
      </c>
      <c r="D580">
        <v>-19.150967189999999</v>
      </c>
      <c r="F580" s="64"/>
      <c r="G580" s="64"/>
      <c r="H580" s="64" t="s">
        <v>26</v>
      </c>
      <c r="I580" s="64"/>
      <c r="J580" s="32" t="str">
        <f>IF(AND(I580=1,OR(I579=0,I579="")),MAX($J$4:$J579)+1,IF(AND(I580=1,I579=1),J579,""))</f>
        <v/>
      </c>
      <c r="K580" s="32" t="str">
        <f t="shared" si="40"/>
        <v/>
      </c>
      <c r="L580" s="32" t="str">
        <f t="shared" ref="L580:L643" si="41">IF(K580="","",IF(K580&gt;=100,"HV",""))</f>
        <v/>
      </c>
      <c r="M580" s="32" t="str">
        <f t="shared" ref="M580:M643" si="42">IF(K580&lt;&gt;"",K580^2,"")</f>
        <v/>
      </c>
      <c r="N580" s="4"/>
      <c r="O580" s="4"/>
      <c r="P580" s="4"/>
      <c r="Q580" s="4"/>
      <c r="U580" s="5"/>
      <c r="V580" s="4"/>
      <c r="AG580" t="s">
        <v>620</v>
      </c>
      <c r="AM580" s="1"/>
    </row>
    <row r="581" spans="1:39" x14ac:dyDescent="0.35">
      <c r="A581">
        <v>577</v>
      </c>
      <c r="B581">
        <v>578</v>
      </c>
      <c r="C581">
        <v>146.79861683999999</v>
      </c>
      <c r="D581">
        <v>-19.150908934</v>
      </c>
      <c r="F581" s="64"/>
      <c r="G581" s="64"/>
      <c r="H581" s="64" t="s">
        <v>26</v>
      </c>
      <c r="I581" s="64"/>
      <c r="J581" s="32" t="str">
        <f>IF(AND(I581=1,OR(I580=0,I580="")),MAX($J$4:$J580)+1,IF(AND(I581=1,I580=1),J580,""))</f>
        <v/>
      </c>
      <c r="K581" s="32" t="str">
        <f t="shared" si="40"/>
        <v/>
      </c>
      <c r="L581" s="32" t="str">
        <f t="shared" si="41"/>
        <v/>
      </c>
      <c r="M581" s="32" t="str">
        <f t="shared" si="42"/>
        <v/>
      </c>
      <c r="N581" s="4"/>
      <c r="O581" s="4"/>
      <c r="P581" s="4"/>
      <c r="Q581" s="4"/>
      <c r="U581" s="5"/>
      <c r="V581" s="4"/>
      <c r="AG581" t="s">
        <v>621</v>
      </c>
      <c r="AM581" s="1"/>
    </row>
    <row r="582" spans="1:39" x14ac:dyDescent="0.35">
      <c r="A582">
        <v>578</v>
      </c>
      <c r="B582">
        <v>579</v>
      </c>
      <c r="C582">
        <v>146.79855152100001</v>
      </c>
      <c r="D582">
        <v>-19.150850676999902</v>
      </c>
      <c r="F582" s="64"/>
      <c r="G582" s="64"/>
      <c r="H582" s="64" t="s">
        <v>26</v>
      </c>
      <c r="I582" s="64"/>
      <c r="J582" s="32" t="str">
        <f>IF(AND(I582=1,OR(I581=0,I581="")),MAX($J$4:$J581)+1,IF(AND(I582=1,I581=1),J581,""))</f>
        <v/>
      </c>
      <c r="K582" s="32" t="str">
        <f t="shared" si="40"/>
        <v/>
      </c>
      <c r="L582" s="32" t="str">
        <f t="shared" si="41"/>
        <v/>
      </c>
      <c r="M582" s="32" t="str">
        <f t="shared" si="42"/>
        <v/>
      </c>
      <c r="N582" s="4"/>
      <c r="O582" s="4"/>
      <c r="P582" s="4"/>
      <c r="Q582" s="4"/>
      <c r="U582" s="5"/>
      <c r="V582" s="4"/>
      <c r="AG582" t="s">
        <v>622</v>
      </c>
      <c r="AM582" s="1"/>
    </row>
    <row r="583" spans="1:39" x14ac:dyDescent="0.35">
      <c r="A583">
        <v>579</v>
      </c>
      <c r="B583">
        <v>580</v>
      </c>
      <c r="C583">
        <v>146.79848620199999</v>
      </c>
      <c r="D583">
        <v>-19.150792419999998</v>
      </c>
      <c r="E583">
        <v>50</v>
      </c>
      <c r="F583" s="64"/>
      <c r="G583" s="64"/>
      <c r="H583" s="64" t="s">
        <v>26</v>
      </c>
      <c r="I583" s="64"/>
      <c r="J583" s="32" t="str">
        <f>IF(AND(I583=1,OR(I582=0,I582="")),MAX($J$4:$J582)+1,IF(AND(I583=1,I582=1),J582,""))</f>
        <v/>
      </c>
      <c r="K583" s="32" t="str">
        <f t="shared" si="40"/>
        <v/>
      </c>
      <c r="L583" s="32" t="str">
        <f t="shared" si="41"/>
        <v/>
      </c>
      <c r="M583" s="32" t="str">
        <f t="shared" si="42"/>
        <v/>
      </c>
      <c r="N583" s="4"/>
      <c r="O583" s="4"/>
      <c r="P583" s="4"/>
      <c r="Q583" s="4"/>
      <c r="U583" s="5"/>
      <c r="V583" s="4"/>
      <c r="AG583" t="s">
        <v>623</v>
      </c>
      <c r="AM583" s="1"/>
    </row>
    <row r="584" spans="1:39" x14ac:dyDescent="0.35">
      <c r="A584">
        <v>580</v>
      </c>
      <c r="B584">
        <v>581</v>
      </c>
      <c r="C584">
        <v>146.79842088300001</v>
      </c>
      <c r="D584">
        <v>-19.150734163999999</v>
      </c>
      <c r="F584" s="64"/>
      <c r="G584" s="64"/>
      <c r="H584" s="64" t="s">
        <v>26</v>
      </c>
      <c r="I584" s="64"/>
      <c r="J584" s="32" t="str">
        <f>IF(AND(I584=1,OR(I583=0,I583="")),MAX($J$4:$J583)+1,IF(AND(I584=1,I583=1),J583,""))</f>
        <v/>
      </c>
      <c r="K584" s="32" t="str">
        <f t="shared" si="40"/>
        <v/>
      </c>
      <c r="L584" s="32" t="str">
        <f t="shared" si="41"/>
        <v/>
      </c>
      <c r="M584" s="32" t="str">
        <f t="shared" si="42"/>
        <v/>
      </c>
      <c r="N584" s="4"/>
      <c r="O584" s="4"/>
      <c r="P584" s="4"/>
      <c r="Q584" s="4"/>
      <c r="U584" s="5"/>
      <c r="V584" s="4"/>
      <c r="AG584" t="s">
        <v>624</v>
      </c>
      <c r="AM584" s="1"/>
    </row>
    <row r="585" spans="1:39" x14ac:dyDescent="0.35">
      <c r="A585">
        <v>581</v>
      </c>
      <c r="B585">
        <v>582</v>
      </c>
      <c r="C585">
        <v>146.79835556399999</v>
      </c>
      <c r="D585">
        <v>-19.150675906999901</v>
      </c>
      <c r="F585" s="64"/>
      <c r="G585" s="64"/>
      <c r="H585" s="64" t="s">
        <v>26</v>
      </c>
      <c r="I585" s="64"/>
      <c r="J585" s="32" t="str">
        <f>IF(AND(I585=1,OR(I584=0,I584="")),MAX($J$4:$J584)+1,IF(AND(I585=1,I584=1),J584,""))</f>
        <v/>
      </c>
      <c r="K585" s="32" t="str">
        <f t="shared" si="40"/>
        <v/>
      </c>
      <c r="L585" s="32" t="str">
        <f t="shared" si="41"/>
        <v/>
      </c>
      <c r="M585" s="32" t="str">
        <f t="shared" si="42"/>
        <v/>
      </c>
      <c r="N585" s="4"/>
      <c r="O585" s="4"/>
      <c r="P585" s="4"/>
      <c r="Q585" s="4"/>
      <c r="U585" s="5"/>
      <c r="V585" s="4"/>
      <c r="AG585" t="s">
        <v>625</v>
      </c>
      <c r="AM585" s="1"/>
    </row>
    <row r="586" spans="1:39" x14ac:dyDescent="0.35">
      <c r="A586">
        <v>582</v>
      </c>
      <c r="B586">
        <v>583</v>
      </c>
      <c r="C586">
        <v>146.798290245</v>
      </c>
      <c r="D586">
        <v>-19.150617650000001</v>
      </c>
      <c r="F586" s="64"/>
      <c r="G586" s="64"/>
      <c r="H586" s="64" t="s">
        <v>26</v>
      </c>
      <c r="I586" s="64"/>
      <c r="J586" s="32" t="str">
        <f>IF(AND(I586=1,OR(I585=0,I585="")),MAX($J$4:$J585)+1,IF(AND(I586=1,I585=1),J585,""))</f>
        <v/>
      </c>
      <c r="K586" s="32" t="str">
        <f t="shared" si="40"/>
        <v/>
      </c>
      <c r="L586" s="32" t="str">
        <f t="shared" si="41"/>
        <v/>
      </c>
      <c r="M586" s="32" t="str">
        <f t="shared" si="42"/>
        <v/>
      </c>
      <c r="N586" s="4"/>
      <c r="O586" s="4"/>
      <c r="P586" s="4"/>
      <c r="Q586" s="4"/>
      <c r="U586" s="5"/>
      <c r="V586" s="4"/>
      <c r="AG586" t="s">
        <v>626</v>
      </c>
      <c r="AM586" s="1"/>
    </row>
    <row r="587" spans="1:39" x14ac:dyDescent="0.35">
      <c r="A587">
        <v>583</v>
      </c>
      <c r="B587">
        <v>584</v>
      </c>
      <c r="C587">
        <v>146.79822354999999</v>
      </c>
      <c r="D587">
        <v>-19.1505609079999</v>
      </c>
      <c r="F587" s="64"/>
      <c r="G587" s="64"/>
      <c r="H587" s="64" t="s">
        <v>26</v>
      </c>
      <c r="I587" s="64"/>
      <c r="J587" s="32" t="str">
        <f>IF(AND(I587=1,OR(I586=0,I586="")),MAX($J$4:$J586)+1,IF(AND(I587=1,I586=1),J586,""))</f>
        <v/>
      </c>
      <c r="K587" s="32" t="str">
        <f t="shared" si="40"/>
        <v/>
      </c>
      <c r="L587" s="32" t="str">
        <f t="shared" si="41"/>
        <v/>
      </c>
      <c r="M587" s="32" t="str">
        <f t="shared" si="42"/>
        <v/>
      </c>
      <c r="N587" s="4"/>
      <c r="O587" s="4"/>
      <c r="P587" s="4"/>
      <c r="Q587" s="4"/>
      <c r="U587" s="5"/>
      <c r="V587" s="4"/>
      <c r="AG587" t="s">
        <v>627</v>
      </c>
      <c r="AM587" s="1"/>
    </row>
    <row r="588" spans="1:39" x14ac:dyDescent="0.35">
      <c r="A588">
        <v>584</v>
      </c>
      <c r="B588">
        <v>585</v>
      </c>
      <c r="C588">
        <v>146.79815267800001</v>
      </c>
      <c r="D588">
        <v>-19.150508764999898</v>
      </c>
      <c r="E588">
        <v>50</v>
      </c>
      <c r="F588" s="64"/>
      <c r="G588" s="64"/>
      <c r="H588" s="64" t="s">
        <v>26</v>
      </c>
      <c r="I588" s="64"/>
      <c r="J588" s="32" t="str">
        <f>IF(AND(I588=1,OR(I587=0,I587="")),MAX($J$4:$J587)+1,IF(AND(I588=1,I587=1),J587,""))</f>
        <v/>
      </c>
      <c r="K588" s="32" t="str">
        <f t="shared" si="40"/>
        <v/>
      </c>
      <c r="L588" s="32" t="str">
        <f t="shared" si="41"/>
        <v/>
      </c>
      <c r="M588" s="32" t="str">
        <f t="shared" si="42"/>
        <v/>
      </c>
      <c r="N588" s="4"/>
      <c r="O588" s="4"/>
      <c r="P588" s="4"/>
      <c r="Q588" s="4"/>
      <c r="U588" s="5"/>
      <c r="V588" s="4"/>
      <c r="AG588" t="s">
        <v>628</v>
      </c>
      <c r="AM588" s="1"/>
    </row>
    <row r="589" spans="1:39" x14ac:dyDescent="0.35">
      <c r="A589">
        <v>585</v>
      </c>
      <c r="B589">
        <v>586</v>
      </c>
      <c r="C589">
        <v>146.79808180500001</v>
      </c>
      <c r="D589">
        <v>-19.150456622</v>
      </c>
      <c r="F589" s="64"/>
      <c r="G589" s="64"/>
      <c r="H589" s="64" t="s">
        <v>26</v>
      </c>
      <c r="I589" s="64"/>
      <c r="J589" s="32" t="str">
        <f>IF(AND(I589=1,OR(I588=0,I588="")),MAX($J$4:$J588)+1,IF(AND(I589=1,I588=1),J588,""))</f>
        <v/>
      </c>
      <c r="K589" s="32" t="str">
        <f t="shared" si="40"/>
        <v/>
      </c>
      <c r="L589" s="32" t="str">
        <f t="shared" si="41"/>
        <v/>
      </c>
      <c r="M589" s="32" t="str">
        <f t="shared" si="42"/>
        <v/>
      </c>
      <c r="N589" s="4"/>
      <c r="O589" s="4"/>
      <c r="P589" s="4"/>
      <c r="Q589" s="4"/>
      <c r="U589" s="5"/>
      <c r="V589" s="4"/>
      <c r="AG589" t="s">
        <v>629</v>
      </c>
      <c r="AM589" s="1"/>
    </row>
    <row r="590" spans="1:39" x14ac:dyDescent="0.35">
      <c r="A590">
        <v>586</v>
      </c>
      <c r="B590">
        <v>587</v>
      </c>
      <c r="C590">
        <v>146.79801093200001</v>
      </c>
      <c r="D590">
        <v>-19.150404478999999</v>
      </c>
      <c r="F590" s="64"/>
      <c r="G590" s="64"/>
      <c r="H590" s="64" t="s">
        <v>26</v>
      </c>
      <c r="I590" s="64"/>
      <c r="J590" s="32" t="str">
        <f>IF(AND(I590=1,OR(I589=0,I589="")),MAX($J$4:$J589)+1,IF(AND(I590=1,I589=1),J589,""))</f>
        <v/>
      </c>
      <c r="K590" s="32" t="str">
        <f t="shared" si="40"/>
        <v/>
      </c>
      <c r="L590" s="32" t="str">
        <f t="shared" si="41"/>
        <v/>
      </c>
      <c r="M590" s="32" t="str">
        <f t="shared" si="42"/>
        <v/>
      </c>
      <c r="N590" s="4"/>
      <c r="O590" s="4"/>
      <c r="P590" s="4"/>
      <c r="Q590" s="4"/>
      <c r="U590" s="5"/>
      <c r="V590" s="4"/>
      <c r="AG590" t="s">
        <v>630</v>
      </c>
      <c r="AM590" s="1"/>
    </row>
    <row r="591" spans="1:39" x14ac:dyDescent="0.35">
      <c r="A591">
        <v>587</v>
      </c>
      <c r="B591">
        <v>588</v>
      </c>
      <c r="C591">
        <v>146.79794006</v>
      </c>
      <c r="D591">
        <v>-19.150352336000001</v>
      </c>
      <c r="F591" s="64"/>
      <c r="G591" s="64"/>
      <c r="H591" s="64" t="s">
        <v>26</v>
      </c>
      <c r="I591" s="64"/>
      <c r="J591" s="32" t="str">
        <f>IF(AND(I591=1,OR(I590=0,I590="")),MAX($J$4:$J590)+1,IF(AND(I591=1,I590=1),J590,""))</f>
        <v/>
      </c>
      <c r="K591" s="32" t="str">
        <f t="shared" si="40"/>
        <v/>
      </c>
      <c r="L591" s="32" t="str">
        <f t="shared" si="41"/>
        <v/>
      </c>
      <c r="M591" s="32" t="str">
        <f t="shared" si="42"/>
        <v/>
      </c>
      <c r="N591" s="4"/>
      <c r="O591" s="4"/>
      <c r="P591" s="4"/>
      <c r="Q591" s="4"/>
      <c r="U591" s="5"/>
      <c r="V591" s="4"/>
      <c r="AG591" t="s">
        <v>631</v>
      </c>
      <c r="AM591" s="1"/>
    </row>
    <row r="592" spans="1:39" x14ac:dyDescent="0.35">
      <c r="A592">
        <v>588</v>
      </c>
      <c r="B592">
        <v>589</v>
      </c>
      <c r="C592">
        <v>146.797869187</v>
      </c>
      <c r="D592">
        <v>-19.150300193</v>
      </c>
      <c r="F592" s="64"/>
      <c r="G592" s="64"/>
      <c r="H592" s="64" t="s">
        <v>26</v>
      </c>
      <c r="I592" s="64"/>
      <c r="J592" s="32" t="str">
        <f>IF(AND(I592=1,OR(I591=0,I591="")),MAX($J$4:$J591)+1,IF(AND(I592=1,I591=1),J591,""))</f>
        <v/>
      </c>
      <c r="K592" s="32" t="str">
        <f t="shared" si="40"/>
        <v/>
      </c>
      <c r="L592" s="32" t="str">
        <f t="shared" si="41"/>
        <v/>
      </c>
      <c r="M592" s="32" t="str">
        <f t="shared" si="42"/>
        <v/>
      </c>
      <c r="N592" s="4"/>
      <c r="O592" s="4"/>
      <c r="P592" s="4"/>
      <c r="Q592" s="4"/>
      <c r="U592" s="5"/>
      <c r="V592" s="4"/>
      <c r="AG592" t="s">
        <v>632</v>
      </c>
      <c r="AM592" s="1"/>
    </row>
    <row r="593" spans="1:39" x14ac:dyDescent="0.35">
      <c r="A593">
        <v>589</v>
      </c>
      <c r="B593">
        <v>590</v>
      </c>
      <c r="C593">
        <v>146.797798379</v>
      </c>
      <c r="D593">
        <v>-19.150247971999899</v>
      </c>
      <c r="E593">
        <v>50</v>
      </c>
      <c r="F593" s="64"/>
      <c r="G593" s="64"/>
      <c r="H593" s="64" t="s">
        <v>26</v>
      </c>
      <c r="I593" s="64"/>
      <c r="J593" s="32" t="str">
        <f>IF(AND(I593=1,OR(I592=0,I592="")),MAX($J$4:$J592)+1,IF(AND(I593=1,I592=1),J592,""))</f>
        <v/>
      </c>
      <c r="K593" s="32" t="str">
        <f t="shared" si="40"/>
        <v/>
      </c>
      <c r="L593" s="32" t="str">
        <f t="shared" si="41"/>
        <v/>
      </c>
      <c r="M593" s="32" t="str">
        <f t="shared" si="42"/>
        <v/>
      </c>
      <c r="N593" s="4"/>
      <c r="O593" s="4"/>
      <c r="P593" s="4"/>
      <c r="Q593" s="4"/>
      <c r="U593" s="5"/>
      <c r="V593" s="4"/>
      <c r="AG593" t="s">
        <v>633</v>
      </c>
      <c r="AM593" s="1"/>
    </row>
    <row r="594" spans="1:39" x14ac:dyDescent="0.35">
      <c r="A594">
        <v>590</v>
      </c>
      <c r="B594">
        <v>591</v>
      </c>
      <c r="C594">
        <v>146.79772673599999</v>
      </c>
      <c r="D594">
        <v>-19.150196811999901</v>
      </c>
      <c r="F594" s="64"/>
      <c r="G594" s="64"/>
      <c r="H594" s="64" t="s">
        <v>26</v>
      </c>
      <c r="I594" s="64"/>
      <c r="J594" s="32" t="str">
        <f>IF(AND(I594=1,OR(I593=0,I593="")),MAX($J$4:$J593)+1,IF(AND(I594=1,I593=1),J593,""))</f>
        <v/>
      </c>
      <c r="K594" s="32" t="str">
        <f t="shared" si="40"/>
        <v/>
      </c>
      <c r="L594" s="32" t="str">
        <f t="shared" si="41"/>
        <v/>
      </c>
      <c r="M594" s="32" t="str">
        <f t="shared" si="42"/>
        <v/>
      </c>
      <c r="N594" s="4"/>
      <c r="O594" s="4"/>
      <c r="P594" s="4"/>
      <c r="Q594" s="4"/>
      <c r="U594" s="5"/>
      <c r="V594" s="4"/>
      <c r="AG594" t="s">
        <v>634</v>
      </c>
      <c r="AM594" s="1"/>
    </row>
    <row r="595" spans="1:39" x14ac:dyDescent="0.35">
      <c r="A595">
        <v>591</v>
      </c>
      <c r="B595">
        <v>592</v>
      </c>
      <c r="C595">
        <v>146.79765370600001</v>
      </c>
      <c r="D595">
        <v>-19.150147397999898</v>
      </c>
      <c r="F595" s="64"/>
      <c r="G595" s="64"/>
      <c r="H595" s="64" t="s">
        <v>26</v>
      </c>
      <c r="I595" s="64"/>
      <c r="J595" s="32" t="str">
        <f>IF(AND(I595=1,OR(I594=0,I594="")),MAX($J$4:$J594)+1,IF(AND(I595=1,I594=1),J594,""))</f>
        <v/>
      </c>
      <c r="K595" s="32" t="str">
        <f t="shared" si="40"/>
        <v/>
      </c>
      <c r="L595" s="32" t="str">
        <f t="shared" si="41"/>
        <v/>
      </c>
      <c r="M595" s="32" t="str">
        <f t="shared" si="42"/>
        <v/>
      </c>
      <c r="N595" s="4"/>
      <c r="O595" s="4"/>
      <c r="P595" s="4"/>
      <c r="Q595" s="4"/>
      <c r="U595" s="5"/>
      <c r="V595" s="4"/>
      <c r="AG595" t="s">
        <v>635</v>
      </c>
      <c r="AM595" s="1"/>
    </row>
    <row r="596" spans="1:39" x14ac:dyDescent="0.35">
      <c r="A596">
        <v>592</v>
      </c>
      <c r="B596">
        <v>593</v>
      </c>
      <c r="C596">
        <v>146.79758067500001</v>
      </c>
      <c r="D596">
        <v>-19.150097982999998</v>
      </c>
      <c r="F596" s="64"/>
      <c r="G596" s="64"/>
      <c r="H596" s="64" t="s">
        <v>26</v>
      </c>
      <c r="I596" s="64"/>
      <c r="J596" s="32" t="str">
        <f>IF(AND(I596=1,OR(I595=0,I595="")),MAX($J$4:$J595)+1,IF(AND(I596=1,I595=1),J595,""))</f>
        <v/>
      </c>
      <c r="K596" s="32" t="str">
        <f t="shared" si="40"/>
        <v/>
      </c>
      <c r="L596" s="32" t="str">
        <f t="shared" si="41"/>
        <v/>
      </c>
      <c r="M596" s="32" t="str">
        <f t="shared" si="42"/>
        <v/>
      </c>
      <c r="N596" s="4"/>
      <c r="O596" s="4"/>
      <c r="P596" s="4"/>
      <c r="Q596" s="4"/>
      <c r="U596" s="5"/>
      <c r="V596" s="4"/>
      <c r="AG596" t="s">
        <v>636</v>
      </c>
      <c r="AM596" s="1"/>
    </row>
    <row r="597" spans="1:39" x14ac:dyDescent="0.35">
      <c r="A597">
        <v>593</v>
      </c>
      <c r="B597">
        <v>594</v>
      </c>
      <c r="C597">
        <v>146.79750561200001</v>
      </c>
      <c r="D597">
        <v>-19.150051480999899</v>
      </c>
      <c r="F597" s="64"/>
      <c r="G597" s="64"/>
      <c r="H597" s="64" t="s">
        <v>26</v>
      </c>
      <c r="I597" s="64"/>
      <c r="J597" s="32" t="str">
        <f>IF(AND(I597=1,OR(I596=0,I596="")),MAX($J$4:$J596)+1,IF(AND(I597=1,I596=1),J596,""))</f>
        <v/>
      </c>
      <c r="K597" s="32" t="str">
        <f t="shared" si="40"/>
        <v/>
      </c>
      <c r="L597" s="32" t="str">
        <f t="shared" si="41"/>
        <v/>
      </c>
      <c r="M597" s="32" t="str">
        <f t="shared" si="42"/>
        <v/>
      </c>
      <c r="N597" s="4"/>
      <c r="O597" s="4"/>
      <c r="P597" s="4"/>
      <c r="Q597" s="4"/>
      <c r="U597" s="5"/>
      <c r="V597" s="4"/>
      <c r="AG597" t="s">
        <v>637</v>
      </c>
      <c r="AM597" s="1"/>
    </row>
    <row r="598" spans="1:39" x14ac:dyDescent="0.35">
      <c r="A598">
        <v>594</v>
      </c>
      <c r="B598">
        <v>595</v>
      </c>
      <c r="C598">
        <v>146.797428758</v>
      </c>
      <c r="D598">
        <v>-19.150007545999902</v>
      </c>
      <c r="E598">
        <v>50</v>
      </c>
      <c r="F598" s="64"/>
      <c r="G598" s="64"/>
      <c r="H598" s="64" t="s">
        <v>26</v>
      </c>
      <c r="I598" s="64"/>
      <c r="J598" s="32" t="str">
        <f>IF(AND(I598=1,OR(I597=0,I597="")),MAX($J$4:$J597)+1,IF(AND(I598=1,I597=1),J597,""))</f>
        <v/>
      </c>
      <c r="K598" s="32" t="str">
        <f t="shared" si="40"/>
        <v/>
      </c>
      <c r="L598" s="32" t="str">
        <f t="shared" si="41"/>
        <v/>
      </c>
      <c r="M598" s="32" t="str">
        <f t="shared" si="42"/>
        <v/>
      </c>
      <c r="N598" s="4"/>
      <c r="O598" s="4"/>
      <c r="P598" s="4"/>
      <c r="Q598" s="4"/>
      <c r="U598" s="5"/>
      <c r="V598" s="4"/>
      <c r="AG598" t="s">
        <v>638</v>
      </c>
      <c r="AM598" s="1"/>
    </row>
    <row r="599" spans="1:39" x14ac:dyDescent="0.35">
      <c r="A599">
        <v>595</v>
      </c>
      <c r="B599">
        <v>596</v>
      </c>
      <c r="C599">
        <v>146.79735190299999</v>
      </c>
      <c r="D599">
        <v>-19.149963611</v>
      </c>
      <c r="F599" s="64"/>
      <c r="G599" s="64"/>
      <c r="H599" s="64" t="s">
        <v>26</v>
      </c>
      <c r="I599" s="64"/>
      <c r="J599" s="32" t="str">
        <f>IF(AND(I599=1,OR(I598=0,I598="")),MAX($J$4:$J598)+1,IF(AND(I599=1,I598=1),J598,""))</f>
        <v/>
      </c>
      <c r="K599" s="32" t="str">
        <f t="shared" si="40"/>
        <v/>
      </c>
      <c r="L599" s="32" t="str">
        <f t="shared" si="41"/>
        <v/>
      </c>
      <c r="M599" s="32" t="str">
        <f t="shared" si="42"/>
        <v/>
      </c>
      <c r="N599" s="4"/>
      <c r="O599" s="4"/>
      <c r="P599" s="4"/>
      <c r="Q599" s="4"/>
      <c r="U599" s="5"/>
      <c r="V599" s="4"/>
      <c r="AG599" t="s">
        <v>639</v>
      </c>
      <c r="AM599" s="1"/>
    </row>
    <row r="600" spans="1:39" x14ac:dyDescent="0.35">
      <c r="A600">
        <v>596</v>
      </c>
      <c r="B600">
        <v>597</v>
      </c>
      <c r="C600">
        <v>146.79727504799999</v>
      </c>
      <c r="D600">
        <v>-19.149919675</v>
      </c>
      <c r="F600" s="64"/>
      <c r="G600" s="64"/>
      <c r="H600" s="64" t="s">
        <v>26</v>
      </c>
      <c r="I600" s="64"/>
      <c r="J600" s="32" t="str">
        <f>IF(AND(I600=1,OR(I599=0,I599="")),MAX($J$4:$J599)+1,IF(AND(I600=1,I599=1),J599,""))</f>
        <v/>
      </c>
      <c r="K600" s="32" t="str">
        <f t="shared" si="40"/>
        <v/>
      </c>
      <c r="L600" s="32" t="str">
        <f t="shared" si="41"/>
        <v/>
      </c>
      <c r="M600" s="32" t="str">
        <f t="shared" si="42"/>
        <v/>
      </c>
      <c r="N600" s="4"/>
      <c r="O600" s="4"/>
      <c r="P600" s="4"/>
      <c r="Q600" s="4"/>
      <c r="U600" s="5"/>
      <c r="V600" s="4"/>
      <c r="AG600" t="s">
        <v>640</v>
      </c>
      <c r="AM600" s="1"/>
    </row>
    <row r="601" spans="1:39" x14ac:dyDescent="0.35">
      <c r="A601">
        <v>597</v>
      </c>
      <c r="B601">
        <v>598</v>
      </c>
      <c r="C601">
        <v>146.79720489100001</v>
      </c>
      <c r="D601">
        <v>-19.149867301</v>
      </c>
      <c r="F601" s="64"/>
      <c r="G601" s="64"/>
      <c r="H601" s="64" t="s">
        <v>26</v>
      </c>
      <c r="I601" s="64"/>
      <c r="J601" s="32" t="str">
        <f>IF(AND(I601=1,OR(I600=0,I600="")),MAX($J$4:$J600)+1,IF(AND(I601=1,I600=1),J600,""))</f>
        <v/>
      </c>
      <c r="K601" s="32" t="str">
        <f t="shared" si="40"/>
        <v/>
      </c>
      <c r="L601" s="32" t="str">
        <f t="shared" si="41"/>
        <v/>
      </c>
      <c r="M601" s="32" t="str">
        <f t="shared" si="42"/>
        <v/>
      </c>
      <c r="N601" s="4"/>
      <c r="O601" s="4"/>
      <c r="P601" s="4"/>
      <c r="Q601" s="4"/>
      <c r="U601" s="5"/>
      <c r="V601" s="4"/>
      <c r="AG601" t="s">
        <v>641</v>
      </c>
      <c r="AM601" s="1"/>
    </row>
    <row r="602" spans="1:39" x14ac:dyDescent="0.35">
      <c r="A602">
        <v>598</v>
      </c>
      <c r="B602">
        <v>599</v>
      </c>
      <c r="C602">
        <v>146.79713870200001</v>
      </c>
      <c r="D602">
        <v>-19.149809927</v>
      </c>
      <c r="F602" s="64"/>
      <c r="G602" s="64"/>
      <c r="H602" s="64" t="s">
        <v>26</v>
      </c>
      <c r="I602" s="64"/>
      <c r="J602" s="32" t="str">
        <f>IF(AND(I602=1,OR(I601=0,I601="")),MAX($J$4:$J601)+1,IF(AND(I602=1,I601=1),J601,""))</f>
        <v/>
      </c>
      <c r="K602" s="32" t="str">
        <f t="shared" si="40"/>
        <v/>
      </c>
      <c r="L602" s="32" t="str">
        <f t="shared" si="41"/>
        <v/>
      </c>
      <c r="M602" s="32" t="str">
        <f t="shared" si="42"/>
        <v/>
      </c>
      <c r="N602" s="4"/>
      <c r="O602" s="4"/>
      <c r="P602" s="4"/>
      <c r="Q602" s="4"/>
      <c r="U602" s="5"/>
      <c r="V602" s="4"/>
      <c r="AG602" t="s">
        <v>642</v>
      </c>
      <c r="AM602" s="1"/>
    </row>
    <row r="603" spans="1:39" x14ac:dyDescent="0.35">
      <c r="A603">
        <v>599</v>
      </c>
      <c r="B603">
        <v>600</v>
      </c>
      <c r="C603">
        <v>146.79707251400001</v>
      </c>
      <c r="D603">
        <v>-19.1497525529999</v>
      </c>
      <c r="E603">
        <v>50</v>
      </c>
      <c r="F603" s="64"/>
      <c r="G603" s="64"/>
      <c r="H603" s="64" t="s">
        <v>26</v>
      </c>
      <c r="I603" s="64"/>
      <c r="J603" s="32" t="str">
        <f>IF(AND(I603=1,OR(I602=0,I602="")),MAX($J$4:$J602)+1,IF(AND(I603=1,I602=1),J602,""))</f>
        <v/>
      </c>
      <c r="K603" s="32" t="str">
        <f t="shared" si="40"/>
        <v/>
      </c>
      <c r="L603" s="32" t="str">
        <f t="shared" si="41"/>
        <v/>
      </c>
      <c r="M603" s="32" t="str">
        <f t="shared" si="42"/>
        <v/>
      </c>
      <c r="N603" s="4"/>
      <c r="O603" s="4"/>
      <c r="P603" s="4"/>
      <c r="Q603" s="4"/>
      <c r="U603" s="5"/>
      <c r="V603" s="4"/>
      <c r="AG603" t="s">
        <v>643</v>
      </c>
      <c r="AM603" s="1"/>
    </row>
    <row r="604" spans="1:39" x14ac:dyDescent="0.35">
      <c r="A604">
        <v>600</v>
      </c>
      <c r="B604">
        <v>601</v>
      </c>
      <c r="C604">
        <v>146.79700174800001</v>
      </c>
      <c r="D604">
        <v>-19.149700727999999</v>
      </c>
      <c r="F604" s="64"/>
      <c r="G604" s="64"/>
      <c r="H604" s="64" t="s">
        <v>26</v>
      </c>
      <c r="I604" s="64"/>
      <c r="J604" s="32" t="str">
        <f>IF(AND(I604=1,OR(I603=0,I603="")),MAX($J$4:$J603)+1,IF(AND(I604=1,I603=1),J603,""))</f>
        <v/>
      </c>
      <c r="K604" s="32" t="str">
        <f t="shared" si="40"/>
        <v/>
      </c>
      <c r="L604" s="32" t="str">
        <f t="shared" si="41"/>
        <v/>
      </c>
      <c r="M604" s="32" t="str">
        <f t="shared" si="42"/>
        <v/>
      </c>
      <c r="N604" s="4"/>
      <c r="O604" s="4"/>
      <c r="P604" s="4"/>
      <c r="Q604" s="4"/>
      <c r="U604" s="5"/>
      <c r="V604" s="4"/>
      <c r="AG604" t="s">
        <v>644</v>
      </c>
      <c r="AM604" s="1"/>
    </row>
    <row r="605" spans="1:39" x14ac:dyDescent="0.35">
      <c r="A605">
        <v>601</v>
      </c>
      <c r="B605">
        <v>602</v>
      </c>
      <c r="C605">
        <v>146.796926668</v>
      </c>
      <c r="D605">
        <v>-19.149654134999899</v>
      </c>
      <c r="F605" s="64"/>
      <c r="G605" s="64"/>
      <c r="H605" s="64" t="s">
        <v>26</v>
      </c>
      <c r="I605" s="64"/>
      <c r="J605" s="32" t="str">
        <f>IF(AND(I605=1,OR(I604=0,I604="")),MAX($J$4:$J604)+1,IF(AND(I605=1,I604=1),J604,""))</f>
        <v/>
      </c>
      <c r="K605" s="32" t="str">
        <f t="shared" si="40"/>
        <v/>
      </c>
      <c r="L605" s="32" t="str">
        <f t="shared" si="41"/>
        <v/>
      </c>
      <c r="M605" s="32" t="str">
        <f t="shared" si="42"/>
        <v/>
      </c>
      <c r="N605" s="4"/>
      <c r="O605" s="4"/>
      <c r="P605" s="4"/>
      <c r="Q605" s="4"/>
      <c r="U605" s="5"/>
      <c r="V605" s="4"/>
      <c r="AG605" t="s">
        <v>645</v>
      </c>
      <c r="AM605" s="1"/>
    </row>
    <row r="606" spans="1:39" x14ac:dyDescent="0.35">
      <c r="A606">
        <v>602</v>
      </c>
      <c r="B606">
        <v>603</v>
      </c>
      <c r="C606">
        <v>146.79685158699999</v>
      </c>
      <c r="D606">
        <v>-19.149607542999899</v>
      </c>
      <c r="F606" s="64"/>
      <c r="G606" s="64"/>
      <c r="H606" s="64" t="s">
        <v>26</v>
      </c>
      <c r="I606" s="64"/>
      <c r="J606" s="32" t="str">
        <f>IF(AND(I606=1,OR(I605=0,I605="")),MAX($J$4:$J605)+1,IF(AND(I606=1,I605=1),J605,""))</f>
        <v/>
      </c>
      <c r="K606" s="32" t="str">
        <f t="shared" si="40"/>
        <v/>
      </c>
      <c r="L606" s="32" t="str">
        <f t="shared" si="41"/>
        <v/>
      </c>
      <c r="M606" s="32" t="str">
        <f t="shared" si="42"/>
        <v/>
      </c>
      <c r="N606" s="4"/>
      <c r="O606" s="4"/>
      <c r="P606" s="4"/>
      <c r="Q606" s="4"/>
      <c r="U606" s="5"/>
      <c r="V606" s="4"/>
      <c r="AG606" t="s">
        <v>646</v>
      </c>
      <c r="AM606" s="1"/>
    </row>
    <row r="607" spans="1:39" x14ac:dyDescent="0.35">
      <c r="A607">
        <v>603</v>
      </c>
      <c r="B607">
        <v>604</v>
      </c>
      <c r="C607">
        <v>146.796776507</v>
      </c>
      <c r="D607">
        <v>-19.149560950000001</v>
      </c>
      <c r="F607" s="64"/>
      <c r="G607" s="64"/>
      <c r="H607" s="64" t="s">
        <v>26</v>
      </c>
      <c r="I607" s="64"/>
      <c r="J607" s="32" t="str">
        <f>IF(AND(I607=1,OR(I606=0,I606="")),MAX($J$4:$J606)+1,IF(AND(I607=1,I606=1),J606,""))</f>
        <v/>
      </c>
      <c r="K607" s="32" t="str">
        <f t="shared" ref="K607:K670" si="43">IF(J607="","",COUNTIF(J:J,J607)*10)</f>
        <v/>
      </c>
      <c r="L607" s="32" t="str">
        <f t="shared" si="41"/>
        <v/>
      </c>
      <c r="M607" s="32" t="str">
        <f t="shared" si="42"/>
        <v/>
      </c>
      <c r="N607" s="4"/>
      <c r="O607" s="4"/>
      <c r="P607" s="4"/>
      <c r="Q607" s="4"/>
      <c r="U607" s="5"/>
      <c r="V607" s="4"/>
      <c r="AG607" t="s">
        <v>647</v>
      </c>
      <c r="AM607" s="1"/>
    </row>
    <row r="608" spans="1:39" x14ac:dyDescent="0.35">
      <c r="A608">
        <v>604</v>
      </c>
      <c r="B608">
        <v>605</v>
      </c>
      <c r="C608">
        <v>146.796703503</v>
      </c>
      <c r="D608">
        <v>-19.149511518999901</v>
      </c>
      <c r="E608">
        <v>50</v>
      </c>
      <c r="F608" s="64"/>
      <c r="G608" s="64"/>
      <c r="H608" s="64" t="s">
        <v>26</v>
      </c>
      <c r="I608" s="64"/>
      <c r="J608" s="32" t="str">
        <f>IF(AND(I608=1,OR(I607=0,I607="")),MAX($J$4:$J607)+1,IF(AND(I608=1,I607=1),J607,""))</f>
        <v/>
      </c>
      <c r="K608" s="32" t="str">
        <f t="shared" si="43"/>
        <v/>
      </c>
      <c r="L608" s="32" t="str">
        <f t="shared" si="41"/>
        <v/>
      </c>
      <c r="M608" s="32" t="str">
        <f t="shared" si="42"/>
        <v/>
      </c>
      <c r="N608" s="4"/>
      <c r="O608" s="4"/>
      <c r="P608" s="4"/>
      <c r="Q608" s="4"/>
      <c r="U608" s="5"/>
      <c r="V608" s="4"/>
      <c r="AG608" t="s">
        <v>648</v>
      </c>
      <c r="AM608" s="1"/>
    </row>
    <row r="609" spans="1:39" x14ac:dyDescent="0.35">
      <c r="A609">
        <v>605</v>
      </c>
      <c r="B609">
        <v>606</v>
      </c>
      <c r="C609">
        <v>146.796630806</v>
      </c>
      <c r="D609">
        <v>-19.149461667000001</v>
      </c>
      <c r="F609" s="64"/>
      <c r="G609" s="64"/>
      <c r="H609" s="64" t="s">
        <v>26</v>
      </c>
      <c r="I609" s="64"/>
      <c r="J609" s="32" t="str">
        <f>IF(AND(I609=1,OR(I608=0,I608="")),MAX($J$4:$J608)+1,IF(AND(I609=1,I608=1),J608,""))</f>
        <v/>
      </c>
      <c r="K609" s="32" t="str">
        <f t="shared" si="43"/>
        <v/>
      </c>
      <c r="L609" s="32" t="str">
        <f t="shared" si="41"/>
        <v/>
      </c>
      <c r="M609" s="32" t="str">
        <f t="shared" si="42"/>
        <v/>
      </c>
      <c r="N609" s="4"/>
      <c r="O609" s="4"/>
      <c r="P609" s="4"/>
      <c r="Q609" s="4"/>
      <c r="U609" s="5"/>
      <c r="V609" s="4"/>
      <c r="AG609" t="s">
        <v>649</v>
      </c>
      <c r="AM609" s="1"/>
    </row>
    <row r="610" spans="1:39" x14ac:dyDescent="0.35">
      <c r="A610">
        <v>606</v>
      </c>
      <c r="B610">
        <v>607</v>
      </c>
      <c r="C610">
        <v>146.79655810899999</v>
      </c>
      <c r="D610">
        <v>-19.149411815000001</v>
      </c>
      <c r="F610" s="64"/>
      <c r="G610" s="64"/>
      <c r="H610" s="64" t="s">
        <v>26</v>
      </c>
      <c r="I610" s="64"/>
      <c r="J610" s="32" t="str">
        <f>IF(AND(I610=1,OR(I609=0,I609="")),MAX($J$4:$J609)+1,IF(AND(I610=1,I609=1),J609,""))</f>
        <v/>
      </c>
      <c r="K610" s="32" t="str">
        <f t="shared" si="43"/>
        <v/>
      </c>
      <c r="L610" s="32" t="str">
        <f t="shared" si="41"/>
        <v/>
      </c>
      <c r="M610" s="32" t="str">
        <f t="shared" si="42"/>
        <v/>
      </c>
      <c r="N610" s="4"/>
      <c r="O610" s="4"/>
      <c r="P610" s="4"/>
      <c r="Q610" s="4"/>
      <c r="U610" s="5"/>
      <c r="V610" s="4"/>
      <c r="AG610" t="s">
        <v>650</v>
      </c>
      <c r="AM610" s="1"/>
    </row>
    <row r="611" spans="1:39" x14ac:dyDescent="0.35">
      <c r="A611">
        <v>607</v>
      </c>
      <c r="B611">
        <v>608</v>
      </c>
      <c r="C611">
        <v>146.79648541200001</v>
      </c>
      <c r="D611">
        <v>-19.149361962999901</v>
      </c>
      <c r="F611" s="64"/>
      <c r="G611" s="64"/>
      <c r="H611" s="64" t="s">
        <v>26</v>
      </c>
      <c r="I611" s="64"/>
      <c r="J611" s="32" t="str">
        <f>IF(AND(I611=1,OR(I610=0,I610="")),MAX($J$4:$J610)+1,IF(AND(I611=1,I610=1),J610,""))</f>
        <v/>
      </c>
      <c r="K611" s="32" t="str">
        <f t="shared" si="43"/>
        <v/>
      </c>
      <c r="L611" s="32" t="str">
        <f t="shared" si="41"/>
        <v/>
      </c>
      <c r="M611" s="32" t="str">
        <f t="shared" si="42"/>
        <v/>
      </c>
      <c r="N611" s="4"/>
      <c r="O611" s="4"/>
      <c r="P611" s="4"/>
      <c r="Q611" s="4"/>
      <c r="U611" s="5"/>
      <c r="V611" s="4"/>
      <c r="AG611" t="s">
        <v>651</v>
      </c>
      <c r="AM611" s="1"/>
    </row>
    <row r="612" spans="1:39" x14ac:dyDescent="0.35">
      <c r="A612">
        <v>608</v>
      </c>
      <c r="B612">
        <v>609</v>
      </c>
      <c r="C612">
        <v>146.79641271599999</v>
      </c>
      <c r="D612">
        <v>-19.149312111</v>
      </c>
      <c r="F612" s="64"/>
      <c r="G612" s="64"/>
      <c r="H612" s="64" t="s">
        <v>26</v>
      </c>
      <c r="I612" s="64"/>
      <c r="J612" s="32" t="str">
        <f>IF(AND(I612=1,OR(I611=0,I611="")),MAX($J$4:$J611)+1,IF(AND(I612=1,I611=1),J611,""))</f>
        <v/>
      </c>
      <c r="K612" s="32" t="str">
        <f t="shared" si="43"/>
        <v/>
      </c>
      <c r="L612" s="32" t="str">
        <f t="shared" si="41"/>
        <v/>
      </c>
      <c r="M612" s="32" t="str">
        <f t="shared" si="42"/>
        <v/>
      </c>
      <c r="N612" s="4"/>
      <c r="O612" s="4"/>
      <c r="P612" s="4"/>
      <c r="Q612" s="4"/>
      <c r="U612" s="5"/>
      <c r="V612" s="4"/>
      <c r="AG612" t="s">
        <v>652</v>
      </c>
      <c r="AM612" s="1"/>
    </row>
    <row r="613" spans="1:39" x14ac:dyDescent="0.35">
      <c r="A613">
        <v>609</v>
      </c>
      <c r="B613">
        <v>610</v>
      </c>
      <c r="C613">
        <v>146.79634243000001</v>
      </c>
      <c r="D613">
        <v>-19.149260325999901</v>
      </c>
      <c r="E613">
        <v>50</v>
      </c>
      <c r="F613" s="64"/>
      <c r="G613" s="64"/>
      <c r="H613" s="64" t="s">
        <v>26</v>
      </c>
      <c r="I613" s="64"/>
      <c r="J613" s="32" t="str">
        <f>IF(AND(I613=1,OR(I612=0,I612="")),MAX($J$4:$J612)+1,IF(AND(I613=1,I612=1),J612,""))</f>
        <v/>
      </c>
      <c r="K613" s="32" t="str">
        <f t="shared" si="43"/>
        <v/>
      </c>
      <c r="L613" s="32" t="str">
        <f t="shared" si="41"/>
        <v/>
      </c>
      <c r="M613" s="32" t="str">
        <f t="shared" si="42"/>
        <v/>
      </c>
      <c r="N613" s="4"/>
      <c r="O613" s="4"/>
      <c r="P613" s="4"/>
      <c r="Q613" s="4"/>
      <c r="U613" s="5"/>
      <c r="V613" s="4"/>
      <c r="AG613" t="s">
        <v>653</v>
      </c>
      <c r="AM613" s="1"/>
    </row>
    <row r="614" spans="1:39" x14ac:dyDescent="0.35">
      <c r="A614">
        <v>610</v>
      </c>
      <c r="B614">
        <v>611</v>
      </c>
      <c r="C614">
        <v>146.796302172</v>
      </c>
      <c r="D614">
        <v>-19.149184464000001</v>
      </c>
      <c r="F614" s="64"/>
      <c r="G614" s="64"/>
      <c r="H614" s="64" t="s">
        <v>26</v>
      </c>
      <c r="I614" s="64"/>
      <c r="J614" s="32" t="str">
        <f>IF(AND(I614=1,OR(I613=0,I613="")),MAX($J$4:$J613)+1,IF(AND(I614=1,I613=1),J613,""))</f>
        <v/>
      </c>
      <c r="K614" s="32" t="str">
        <f t="shared" si="43"/>
        <v/>
      </c>
      <c r="L614" s="32" t="str">
        <f t="shared" si="41"/>
        <v/>
      </c>
      <c r="M614" s="32" t="str">
        <f t="shared" si="42"/>
        <v/>
      </c>
      <c r="N614" s="4"/>
      <c r="O614" s="4"/>
      <c r="P614" s="4"/>
      <c r="Q614" s="4"/>
      <c r="U614" s="5"/>
      <c r="V614" s="4"/>
      <c r="AG614" t="s">
        <v>654</v>
      </c>
      <c r="AM614" s="1"/>
    </row>
    <row r="615" spans="1:39" x14ac:dyDescent="0.35">
      <c r="A615">
        <v>611</v>
      </c>
      <c r="B615">
        <v>612</v>
      </c>
      <c r="C615">
        <v>146.79626191400001</v>
      </c>
      <c r="D615">
        <v>-19.149108601999998</v>
      </c>
      <c r="F615" s="64"/>
      <c r="G615" s="64"/>
      <c r="H615" s="64" t="s">
        <v>26</v>
      </c>
      <c r="I615" s="64"/>
      <c r="J615" s="32" t="str">
        <f>IF(AND(I615=1,OR(I614=0,I614="")),MAX($J$4:$J614)+1,IF(AND(I615=1,I614=1),J614,""))</f>
        <v/>
      </c>
      <c r="K615" s="32" t="str">
        <f t="shared" si="43"/>
        <v/>
      </c>
      <c r="L615" s="32" t="str">
        <f t="shared" si="41"/>
        <v/>
      </c>
      <c r="M615" s="32" t="str">
        <f t="shared" si="42"/>
        <v/>
      </c>
      <c r="N615" s="4"/>
      <c r="O615" s="4"/>
      <c r="P615" s="4"/>
      <c r="Q615" s="4"/>
      <c r="U615" s="5"/>
      <c r="V615" s="4"/>
      <c r="AG615" t="s">
        <v>655</v>
      </c>
      <c r="AM615" s="1"/>
    </row>
    <row r="616" spans="1:39" x14ac:dyDescent="0.35">
      <c r="A616">
        <v>612</v>
      </c>
      <c r="B616">
        <v>613</v>
      </c>
      <c r="C616">
        <v>146.796221656</v>
      </c>
      <c r="D616">
        <v>-19.1490327399999</v>
      </c>
      <c r="F616" s="64"/>
      <c r="G616" s="64"/>
      <c r="H616" s="64" t="s">
        <v>26</v>
      </c>
      <c r="I616" s="64"/>
      <c r="J616" s="32" t="str">
        <f>IF(AND(I616=1,OR(I615=0,I615="")),MAX($J$4:$J615)+1,IF(AND(I616=1,I615=1),J615,""))</f>
        <v/>
      </c>
      <c r="K616" s="32" t="str">
        <f t="shared" si="43"/>
        <v/>
      </c>
      <c r="L616" s="32" t="str">
        <f t="shared" si="41"/>
        <v/>
      </c>
      <c r="M616" s="32" t="str">
        <f t="shared" si="42"/>
        <v/>
      </c>
      <c r="N616" s="4"/>
      <c r="O616" s="4"/>
      <c r="P616" s="4"/>
      <c r="Q616" s="4"/>
      <c r="U616" s="5"/>
      <c r="V616" s="4"/>
      <c r="AG616" t="s">
        <v>656</v>
      </c>
      <c r="AM616" s="1"/>
    </row>
    <row r="617" spans="1:39" x14ac:dyDescent="0.35">
      <c r="A617">
        <v>613</v>
      </c>
      <c r="B617">
        <v>614</v>
      </c>
      <c r="C617">
        <v>146.796181397</v>
      </c>
      <c r="D617">
        <v>-19.148956878</v>
      </c>
      <c r="F617" s="64"/>
      <c r="G617" s="64"/>
      <c r="H617" s="64" t="s">
        <v>26</v>
      </c>
      <c r="I617" s="64"/>
      <c r="J617" s="32" t="str">
        <f>IF(AND(I617=1,OR(I616=0,I616="")),MAX($J$4:$J616)+1,IF(AND(I617=1,I616=1),J616,""))</f>
        <v/>
      </c>
      <c r="K617" s="32" t="str">
        <f t="shared" si="43"/>
        <v/>
      </c>
      <c r="L617" s="32" t="str">
        <f t="shared" si="41"/>
        <v/>
      </c>
      <c r="M617" s="32" t="str">
        <f t="shared" si="42"/>
        <v/>
      </c>
      <c r="N617" s="4"/>
      <c r="O617" s="4"/>
      <c r="P617" s="4"/>
      <c r="Q617" s="4"/>
      <c r="U617" s="5"/>
      <c r="V617" s="4"/>
      <c r="AG617" t="s">
        <v>657</v>
      </c>
      <c r="AM617" s="1"/>
    </row>
    <row r="618" spans="1:39" x14ac:dyDescent="0.35">
      <c r="A618">
        <v>614</v>
      </c>
      <c r="B618">
        <v>615</v>
      </c>
      <c r="C618">
        <v>146.79611163000001</v>
      </c>
      <c r="D618">
        <v>-19.148904493</v>
      </c>
      <c r="E618">
        <v>50</v>
      </c>
      <c r="F618" s="64"/>
      <c r="G618" s="64"/>
      <c r="H618" s="64" t="s">
        <v>26</v>
      </c>
      <c r="I618" s="64"/>
      <c r="J618" s="32" t="str">
        <f>IF(AND(I618=1,OR(I617=0,I617="")),MAX($J$4:$J617)+1,IF(AND(I618=1,I617=1),J617,""))</f>
        <v/>
      </c>
      <c r="K618" s="32" t="str">
        <f t="shared" si="43"/>
        <v/>
      </c>
      <c r="L618" s="32" t="str">
        <f t="shared" si="41"/>
        <v/>
      </c>
      <c r="M618" s="32" t="str">
        <f t="shared" si="42"/>
        <v/>
      </c>
      <c r="N618" s="4"/>
      <c r="O618" s="4"/>
      <c r="P618" s="4"/>
      <c r="Q618" s="4"/>
      <c r="U618" s="5"/>
      <c r="V618" s="4"/>
      <c r="AG618" t="s">
        <v>658</v>
      </c>
      <c r="AM618" s="1"/>
    </row>
    <row r="619" spans="1:39" x14ac:dyDescent="0.35">
      <c r="A619">
        <v>615</v>
      </c>
      <c r="B619">
        <v>616</v>
      </c>
      <c r="C619">
        <v>146.79603919300001</v>
      </c>
      <c r="D619">
        <v>-19.148940660999902</v>
      </c>
      <c r="F619" s="64"/>
      <c r="G619" s="64"/>
      <c r="H619" s="64" t="s">
        <v>26</v>
      </c>
      <c r="I619" s="64"/>
      <c r="J619" s="32" t="str">
        <f>IF(AND(I619=1,OR(I618=0,I618="")),MAX($J$4:$J618)+1,IF(AND(I619=1,I618=1),J618,""))</f>
        <v/>
      </c>
      <c r="K619" s="32" t="str">
        <f t="shared" si="43"/>
        <v/>
      </c>
      <c r="L619" s="32" t="str">
        <f t="shared" si="41"/>
        <v/>
      </c>
      <c r="M619" s="32" t="str">
        <f t="shared" si="42"/>
        <v/>
      </c>
      <c r="N619" s="4"/>
      <c r="O619" s="4"/>
      <c r="P619" s="4"/>
      <c r="Q619" s="4"/>
      <c r="U619" s="5"/>
      <c r="V619" s="4"/>
      <c r="AG619" t="s">
        <v>659</v>
      </c>
      <c r="AM619" s="1"/>
    </row>
    <row r="620" spans="1:39" x14ac:dyDescent="0.35">
      <c r="A620">
        <v>616</v>
      </c>
      <c r="B620">
        <v>617</v>
      </c>
      <c r="C620">
        <v>146.796018836</v>
      </c>
      <c r="D620">
        <v>-19.149020989</v>
      </c>
      <c r="F620" s="64"/>
      <c r="G620" s="64"/>
      <c r="H620" s="64" t="s">
        <v>26</v>
      </c>
      <c r="I620" s="64"/>
      <c r="J620" s="32" t="str">
        <f>IF(AND(I620=1,OR(I619=0,I619="")),MAX($J$4:$J619)+1,IF(AND(I620=1,I619=1),J619,""))</f>
        <v/>
      </c>
      <c r="K620" s="32" t="str">
        <f t="shared" si="43"/>
        <v/>
      </c>
      <c r="L620" s="32" t="str">
        <f t="shared" si="41"/>
        <v/>
      </c>
      <c r="M620" s="32" t="str">
        <f t="shared" si="42"/>
        <v/>
      </c>
      <c r="N620" s="4"/>
      <c r="O620" s="4"/>
      <c r="P620" s="4"/>
      <c r="Q620" s="4"/>
      <c r="U620" s="5"/>
      <c r="V620" s="4"/>
      <c r="AG620" t="s">
        <v>660</v>
      </c>
      <c r="AM620" s="1"/>
    </row>
    <row r="621" spans="1:39" x14ac:dyDescent="0.35">
      <c r="A621">
        <v>617</v>
      </c>
      <c r="B621">
        <v>618</v>
      </c>
      <c r="C621">
        <v>146.79599768899999</v>
      </c>
      <c r="D621">
        <v>-19.149103281999899</v>
      </c>
      <c r="F621" s="64"/>
      <c r="G621" s="64"/>
      <c r="H621" s="64" t="s">
        <v>26</v>
      </c>
      <c r="I621" s="64"/>
      <c r="J621" s="32" t="str">
        <f>IF(AND(I621=1,OR(I620=0,I620="")),MAX($J$4:$J620)+1,IF(AND(I621=1,I620=1),J620,""))</f>
        <v/>
      </c>
      <c r="K621" s="32" t="str">
        <f t="shared" si="43"/>
        <v/>
      </c>
      <c r="L621" s="32" t="str">
        <f t="shared" si="41"/>
        <v/>
      </c>
      <c r="M621" s="32" t="str">
        <f t="shared" si="42"/>
        <v/>
      </c>
      <c r="N621" s="4"/>
      <c r="O621" s="4"/>
      <c r="P621" s="4"/>
      <c r="Q621" s="4"/>
      <c r="U621" s="5"/>
      <c r="V621" s="4"/>
      <c r="AG621" t="s">
        <v>661</v>
      </c>
      <c r="AM621" s="1"/>
    </row>
    <row r="622" spans="1:39" x14ac:dyDescent="0.35">
      <c r="A622">
        <v>618</v>
      </c>
      <c r="B622">
        <v>619</v>
      </c>
      <c r="C622">
        <v>146.795971917</v>
      </c>
      <c r="D622">
        <v>-19.149184576</v>
      </c>
      <c r="F622" s="64"/>
      <c r="G622" s="64"/>
      <c r="H622" s="64" t="s">
        <v>26</v>
      </c>
      <c r="I622" s="64"/>
      <c r="J622" s="32" t="str">
        <f>IF(AND(I622=1,OR(I621=0,I621="")),MAX($J$4:$J621)+1,IF(AND(I622=1,I621=1),J621,""))</f>
        <v/>
      </c>
      <c r="K622" s="32" t="str">
        <f t="shared" si="43"/>
        <v/>
      </c>
      <c r="L622" s="32" t="str">
        <f t="shared" si="41"/>
        <v/>
      </c>
      <c r="M622" s="32" t="str">
        <f t="shared" si="42"/>
        <v/>
      </c>
      <c r="N622" s="4"/>
      <c r="O622" s="4"/>
      <c r="P622" s="4"/>
      <c r="Q622" s="4"/>
      <c r="U622" s="5"/>
      <c r="V622" s="4"/>
      <c r="AG622" t="s">
        <v>662</v>
      </c>
      <c r="AM622" s="1"/>
    </row>
    <row r="623" spans="1:39" x14ac:dyDescent="0.35">
      <c r="A623">
        <v>619</v>
      </c>
      <c r="B623">
        <v>620</v>
      </c>
      <c r="C623">
        <v>146.7959358</v>
      </c>
      <c r="D623">
        <v>-19.149262087999901</v>
      </c>
      <c r="E623">
        <v>50</v>
      </c>
      <c r="F623" s="64"/>
      <c r="G623" s="64"/>
      <c r="H623" s="64" t="s">
        <v>26</v>
      </c>
      <c r="I623" s="64"/>
      <c r="J623" s="32" t="str">
        <f>IF(AND(I623=1,OR(I622=0,I622="")),MAX($J$4:$J622)+1,IF(AND(I623=1,I622=1),J622,""))</f>
        <v/>
      </c>
      <c r="K623" s="32" t="str">
        <f t="shared" si="43"/>
        <v/>
      </c>
      <c r="L623" s="32" t="str">
        <f t="shared" si="41"/>
        <v/>
      </c>
      <c r="M623" s="32" t="str">
        <f t="shared" si="42"/>
        <v/>
      </c>
      <c r="N623" s="4"/>
      <c r="O623" s="4"/>
      <c r="P623" s="4"/>
      <c r="Q623" s="4"/>
      <c r="U623" s="5"/>
      <c r="V623" s="4"/>
      <c r="AG623" t="s">
        <v>663</v>
      </c>
      <c r="AM623" s="1"/>
    </row>
    <row r="624" spans="1:39" x14ac:dyDescent="0.35">
      <c r="A624">
        <v>620</v>
      </c>
      <c r="B624">
        <v>621</v>
      </c>
      <c r="C624">
        <v>146.79589652600001</v>
      </c>
      <c r="D624">
        <v>-19.149338389</v>
      </c>
      <c r="F624" s="64"/>
      <c r="G624" s="64"/>
      <c r="H624" s="64" t="s">
        <v>26</v>
      </c>
      <c r="I624" s="64"/>
      <c r="J624" s="32" t="str">
        <f>IF(AND(I624=1,OR(I623=0,I623="")),MAX($J$4:$J623)+1,IF(AND(I624=1,I623=1),J623,""))</f>
        <v/>
      </c>
      <c r="K624" s="32" t="str">
        <f t="shared" si="43"/>
        <v/>
      </c>
      <c r="L624" s="32" t="str">
        <f t="shared" si="41"/>
        <v/>
      </c>
      <c r="M624" s="32" t="str">
        <f t="shared" si="42"/>
        <v/>
      </c>
      <c r="N624" s="4"/>
      <c r="O624" s="4"/>
      <c r="P624" s="4"/>
      <c r="Q624" s="4"/>
      <c r="U624" s="5"/>
      <c r="V624" s="4"/>
      <c r="AG624" t="s">
        <v>664</v>
      </c>
      <c r="AM624" s="1"/>
    </row>
    <row r="625" spans="1:39" x14ac:dyDescent="0.35">
      <c r="A625">
        <v>621</v>
      </c>
      <c r="B625">
        <v>622</v>
      </c>
      <c r="C625">
        <v>146.79587876100001</v>
      </c>
      <c r="D625">
        <v>-19.149419677000001</v>
      </c>
      <c r="F625" s="64"/>
      <c r="G625" s="64"/>
      <c r="H625" s="64" t="s">
        <v>26</v>
      </c>
      <c r="I625" s="64"/>
      <c r="J625" s="32" t="str">
        <f>IF(AND(I625=1,OR(I624=0,I624="")),MAX($J$4:$J624)+1,IF(AND(I625=1,I624=1),J624,""))</f>
        <v/>
      </c>
      <c r="K625" s="32" t="str">
        <f t="shared" si="43"/>
        <v/>
      </c>
      <c r="L625" s="32" t="str">
        <f t="shared" si="41"/>
        <v/>
      </c>
      <c r="M625" s="32" t="str">
        <f t="shared" si="42"/>
        <v/>
      </c>
      <c r="N625" s="4"/>
      <c r="O625" s="4"/>
      <c r="P625" s="4"/>
      <c r="Q625" s="4"/>
      <c r="U625" s="5"/>
      <c r="V625" s="4"/>
      <c r="AG625" t="s">
        <v>665</v>
      </c>
      <c r="AM625" s="1"/>
    </row>
    <row r="626" spans="1:39" x14ac:dyDescent="0.35">
      <c r="A626">
        <v>622</v>
      </c>
      <c r="B626">
        <v>623</v>
      </c>
      <c r="C626">
        <v>146.79583280700001</v>
      </c>
      <c r="D626">
        <v>-19.149492294000002</v>
      </c>
      <c r="F626" s="64"/>
      <c r="G626" s="64"/>
      <c r="H626" s="64" t="s">
        <v>26</v>
      </c>
      <c r="I626" s="64"/>
      <c r="J626" s="32" t="str">
        <f>IF(AND(I626=1,OR(I625=0,I625="")),MAX($J$4:$J625)+1,IF(AND(I626=1,I625=1),J625,""))</f>
        <v/>
      </c>
      <c r="K626" s="32" t="str">
        <f t="shared" si="43"/>
        <v/>
      </c>
      <c r="L626" s="32" t="str">
        <f t="shared" si="41"/>
        <v/>
      </c>
      <c r="M626" s="32" t="str">
        <f t="shared" si="42"/>
        <v/>
      </c>
      <c r="N626" s="4"/>
      <c r="O626" s="4"/>
      <c r="P626" s="4"/>
      <c r="Q626" s="4"/>
      <c r="U626" s="5"/>
      <c r="V626" s="4"/>
      <c r="AG626" t="s">
        <v>666</v>
      </c>
      <c r="AM626" s="1"/>
    </row>
    <row r="627" spans="1:39" x14ac:dyDescent="0.35">
      <c r="A627">
        <v>623</v>
      </c>
      <c r="B627">
        <v>624</v>
      </c>
      <c r="C627">
        <v>146.795792347</v>
      </c>
      <c r="D627">
        <v>-19.149567776000001</v>
      </c>
      <c r="F627" s="64"/>
      <c r="G627" s="64"/>
      <c r="H627" s="64" t="s">
        <v>26</v>
      </c>
      <c r="I627" s="64"/>
      <c r="J627" s="32" t="str">
        <f>IF(AND(I627=1,OR(I626=0,I626="")),MAX($J$4:$J626)+1,IF(AND(I627=1,I626=1),J626,""))</f>
        <v/>
      </c>
      <c r="K627" s="32" t="str">
        <f t="shared" si="43"/>
        <v/>
      </c>
      <c r="L627" s="32" t="str">
        <f t="shared" si="41"/>
        <v/>
      </c>
      <c r="M627" s="32" t="str">
        <f t="shared" si="42"/>
        <v/>
      </c>
      <c r="N627" s="4"/>
      <c r="O627" s="4"/>
      <c r="P627" s="4"/>
      <c r="Q627" s="4"/>
      <c r="U627" s="5"/>
      <c r="V627" s="4"/>
      <c r="AG627" t="s">
        <v>667</v>
      </c>
      <c r="AM627" s="1"/>
    </row>
    <row r="628" spans="1:39" x14ac:dyDescent="0.35">
      <c r="A628">
        <v>624</v>
      </c>
      <c r="B628">
        <v>625</v>
      </c>
      <c r="C628">
        <v>146.795753601</v>
      </c>
      <c r="D628">
        <v>-19.149644123000002</v>
      </c>
      <c r="E628">
        <v>50</v>
      </c>
      <c r="F628" s="64"/>
      <c r="G628" s="64"/>
      <c r="H628" s="64" t="s">
        <v>26</v>
      </c>
      <c r="I628" s="64"/>
      <c r="J628" s="32" t="str">
        <f>IF(AND(I628=1,OR(I627=0,I627="")),MAX($J$4:$J627)+1,IF(AND(I628=1,I627=1),J627,""))</f>
        <v/>
      </c>
      <c r="K628" s="32" t="str">
        <f t="shared" si="43"/>
        <v/>
      </c>
      <c r="L628" s="32" t="str">
        <f t="shared" si="41"/>
        <v/>
      </c>
      <c r="M628" s="32" t="str">
        <f t="shared" si="42"/>
        <v/>
      </c>
      <c r="N628" s="4"/>
      <c r="O628" s="4"/>
      <c r="P628" s="4"/>
      <c r="Q628" s="4"/>
      <c r="U628" s="5"/>
      <c r="V628" s="4"/>
      <c r="AG628" t="s">
        <v>668</v>
      </c>
      <c r="AM628" s="1"/>
    </row>
    <row r="629" spans="1:39" x14ac:dyDescent="0.35">
      <c r="A629">
        <v>625</v>
      </c>
      <c r="B629">
        <v>626</v>
      </c>
      <c r="C629">
        <v>146.79567893399999</v>
      </c>
      <c r="D629">
        <v>-19.1496782309999</v>
      </c>
      <c r="F629" s="64"/>
      <c r="G629" s="64"/>
      <c r="H629" s="64" t="s">
        <v>26</v>
      </c>
      <c r="I629" s="64"/>
      <c r="J629" s="32" t="str">
        <f>IF(AND(I629=1,OR(I628=0,I628="")),MAX($J$4:$J628)+1,IF(AND(I629=1,I628=1),J628,""))</f>
        <v/>
      </c>
      <c r="K629" s="32" t="str">
        <f t="shared" si="43"/>
        <v/>
      </c>
      <c r="L629" s="32" t="str">
        <f t="shared" si="41"/>
        <v/>
      </c>
      <c r="M629" s="32" t="str">
        <f t="shared" si="42"/>
        <v/>
      </c>
      <c r="N629" s="4"/>
      <c r="O629" s="4"/>
      <c r="P629" s="4"/>
      <c r="Q629" s="4"/>
      <c r="U629" s="5"/>
      <c r="V629" s="4"/>
      <c r="AG629" t="s">
        <v>669</v>
      </c>
      <c r="AM629" s="1"/>
    </row>
    <row r="630" spans="1:39" x14ac:dyDescent="0.35">
      <c r="A630">
        <v>626</v>
      </c>
      <c r="B630">
        <v>627</v>
      </c>
      <c r="C630">
        <v>146.79560004699999</v>
      </c>
      <c r="D630">
        <v>-19.149648312999901</v>
      </c>
      <c r="F630" s="64"/>
      <c r="G630" s="64"/>
      <c r="H630" s="64" t="s">
        <v>26</v>
      </c>
      <c r="I630" s="64"/>
      <c r="J630" s="32" t="str">
        <f>IF(AND(I630=1,OR(I629=0,I629="")),MAX($J$4:$J629)+1,IF(AND(I630=1,I629=1),J629,""))</f>
        <v/>
      </c>
      <c r="K630" s="32" t="str">
        <f t="shared" si="43"/>
        <v/>
      </c>
      <c r="L630" s="32" t="str">
        <f t="shared" si="41"/>
        <v/>
      </c>
      <c r="M630" s="32" t="str">
        <f t="shared" si="42"/>
        <v/>
      </c>
      <c r="N630" s="4"/>
      <c r="O630" s="4"/>
      <c r="P630" s="4"/>
      <c r="Q630" s="4"/>
      <c r="U630" s="5"/>
      <c r="V630" s="4"/>
      <c r="AG630" t="s">
        <v>670</v>
      </c>
      <c r="AM630" s="1"/>
    </row>
    <row r="631" spans="1:39" x14ac:dyDescent="0.35">
      <c r="A631">
        <v>627</v>
      </c>
      <c r="B631">
        <v>628</v>
      </c>
      <c r="C631">
        <v>146.79557848600001</v>
      </c>
      <c r="D631">
        <v>-19.14956682</v>
      </c>
      <c r="F631" s="64"/>
      <c r="G631" s="64"/>
      <c r="H631" s="64" t="s">
        <v>26</v>
      </c>
      <c r="I631" s="64"/>
      <c r="J631" s="32" t="str">
        <f>IF(AND(I631=1,OR(I630=0,I630="")),MAX($J$4:$J630)+1,IF(AND(I631=1,I630=1),J630,""))</f>
        <v/>
      </c>
      <c r="K631" s="32" t="str">
        <f t="shared" si="43"/>
        <v/>
      </c>
      <c r="L631" s="32" t="str">
        <f t="shared" si="41"/>
        <v/>
      </c>
      <c r="M631" s="32" t="str">
        <f t="shared" si="42"/>
        <v/>
      </c>
      <c r="N631" s="4"/>
      <c r="O631" s="4"/>
      <c r="P631" s="4"/>
      <c r="Q631" s="4"/>
      <c r="U631" s="5"/>
      <c r="V631" s="4"/>
      <c r="AG631" t="s">
        <v>671</v>
      </c>
      <c r="AM631" s="1"/>
    </row>
    <row r="632" spans="1:39" x14ac:dyDescent="0.35">
      <c r="A632">
        <v>628</v>
      </c>
      <c r="B632">
        <v>629</v>
      </c>
      <c r="C632">
        <v>146.79558094399999</v>
      </c>
      <c r="D632">
        <v>-19.149482813999999</v>
      </c>
      <c r="F632" s="64"/>
      <c r="G632" s="64"/>
      <c r="H632" s="64" t="s">
        <v>26</v>
      </c>
      <c r="I632" s="64"/>
      <c r="J632" s="32" t="str">
        <f>IF(AND(I632=1,OR(I631=0,I631="")),MAX($J$4:$J631)+1,IF(AND(I632=1,I631=1),J631,""))</f>
        <v/>
      </c>
      <c r="K632" s="32" t="str">
        <f t="shared" si="43"/>
        <v/>
      </c>
      <c r="L632" s="32" t="str">
        <f t="shared" si="41"/>
        <v/>
      </c>
      <c r="M632" s="32" t="str">
        <f t="shared" si="42"/>
        <v/>
      </c>
      <c r="N632" s="4"/>
      <c r="O632" s="4"/>
      <c r="P632" s="4"/>
      <c r="Q632" s="4"/>
      <c r="U632" s="5"/>
      <c r="V632" s="4"/>
      <c r="AG632" t="s">
        <v>672</v>
      </c>
      <c r="AM632" s="1"/>
    </row>
    <row r="633" spans="1:39" x14ac:dyDescent="0.35">
      <c r="A633">
        <v>629</v>
      </c>
      <c r="B633">
        <v>630</v>
      </c>
      <c r="C633">
        <v>146.795597227</v>
      </c>
      <c r="D633">
        <v>-19.149399359</v>
      </c>
      <c r="E633">
        <v>50</v>
      </c>
      <c r="F633" s="64"/>
      <c r="G633" s="64"/>
      <c r="H633" s="64" t="s">
        <v>26</v>
      </c>
      <c r="I633" s="64"/>
      <c r="J633" s="32" t="str">
        <f>IF(AND(I633=1,OR(I632=0,I632="")),MAX($J$4:$J632)+1,IF(AND(I633=1,I632=1),J632,""))</f>
        <v/>
      </c>
      <c r="K633" s="32" t="str">
        <f t="shared" si="43"/>
        <v/>
      </c>
      <c r="L633" s="32" t="str">
        <f t="shared" si="41"/>
        <v/>
      </c>
      <c r="M633" s="32" t="str">
        <f t="shared" si="42"/>
        <v/>
      </c>
      <c r="N633" s="4"/>
      <c r="O633" s="4"/>
      <c r="P633" s="4"/>
      <c r="Q633" s="4"/>
      <c r="U633" s="5"/>
      <c r="V633" s="4"/>
      <c r="AG633" t="s">
        <v>673</v>
      </c>
      <c r="AM633" s="1"/>
    </row>
    <row r="634" spans="1:39" x14ac:dyDescent="0.35">
      <c r="A634">
        <v>630</v>
      </c>
      <c r="B634">
        <v>631</v>
      </c>
      <c r="C634">
        <v>146.79560810300001</v>
      </c>
      <c r="D634">
        <v>-19.149315692999899</v>
      </c>
      <c r="F634" s="64"/>
      <c r="G634" s="64"/>
      <c r="H634" s="64" t="s">
        <v>26</v>
      </c>
      <c r="I634" s="64"/>
      <c r="J634" s="32" t="str">
        <f>IF(AND(I634=1,OR(I633=0,I633="")),MAX($J$4:$J633)+1,IF(AND(I634=1,I633=1),J633,""))</f>
        <v/>
      </c>
      <c r="K634" s="32" t="str">
        <f t="shared" si="43"/>
        <v/>
      </c>
      <c r="L634" s="32" t="str">
        <f t="shared" si="41"/>
        <v/>
      </c>
      <c r="M634" s="32" t="str">
        <f t="shared" si="42"/>
        <v/>
      </c>
      <c r="N634" s="4"/>
      <c r="O634" s="4"/>
      <c r="P634" s="4"/>
      <c r="Q634" s="4"/>
      <c r="U634" s="5"/>
      <c r="V634" s="4"/>
      <c r="AG634" t="s">
        <v>674</v>
      </c>
      <c r="AM634" s="1"/>
    </row>
    <row r="635" spans="1:39" x14ac:dyDescent="0.35">
      <c r="A635">
        <v>631</v>
      </c>
      <c r="B635">
        <v>632</v>
      </c>
      <c r="C635">
        <v>146.79564597800001</v>
      </c>
      <c r="D635">
        <v>-19.149241624999899</v>
      </c>
      <c r="F635" s="64"/>
      <c r="G635" s="64"/>
      <c r="H635" s="64" t="s">
        <v>26</v>
      </c>
      <c r="I635" s="64"/>
      <c r="J635" s="32" t="str">
        <f>IF(AND(I635=1,OR(I634=0,I634="")),MAX($J$4:$J634)+1,IF(AND(I635=1,I634=1),J634,""))</f>
        <v/>
      </c>
      <c r="K635" s="32" t="str">
        <f t="shared" si="43"/>
        <v/>
      </c>
      <c r="L635" s="32" t="str">
        <f t="shared" si="41"/>
        <v/>
      </c>
      <c r="M635" s="32" t="str">
        <f t="shared" si="42"/>
        <v/>
      </c>
      <c r="N635" s="4"/>
      <c r="O635" s="4"/>
      <c r="P635" s="4"/>
      <c r="Q635" s="4"/>
      <c r="U635" s="5"/>
      <c r="V635" s="4"/>
      <c r="AG635" t="s">
        <v>675</v>
      </c>
      <c r="AM635" s="1"/>
    </row>
    <row r="636" spans="1:39" x14ac:dyDescent="0.35">
      <c r="A636">
        <v>632</v>
      </c>
      <c r="B636">
        <v>633</v>
      </c>
      <c r="C636">
        <v>146.79568822300001</v>
      </c>
      <c r="D636">
        <v>-19.1491674379999</v>
      </c>
      <c r="F636" s="64"/>
      <c r="G636" s="64"/>
      <c r="H636" s="64" t="s">
        <v>26</v>
      </c>
      <c r="I636" s="64"/>
      <c r="J636" s="32" t="str">
        <f>IF(AND(I636=1,OR(I635=0,I635="")),MAX($J$4:$J635)+1,IF(AND(I636=1,I635=1),J635,""))</f>
        <v/>
      </c>
      <c r="K636" s="32" t="str">
        <f t="shared" si="43"/>
        <v/>
      </c>
      <c r="L636" s="32" t="str">
        <f t="shared" si="41"/>
        <v/>
      </c>
      <c r="M636" s="32" t="str">
        <f t="shared" si="42"/>
        <v/>
      </c>
      <c r="N636" s="4"/>
      <c r="O636" s="4"/>
      <c r="P636" s="4"/>
      <c r="Q636" s="4"/>
      <c r="U636" s="5"/>
      <c r="V636" s="4"/>
      <c r="AG636" t="s">
        <v>676</v>
      </c>
      <c r="AM636" s="1"/>
    </row>
    <row r="637" spans="1:39" x14ac:dyDescent="0.35">
      <c r="A637">
        <v>633</v>
      </c>
      <c r="B637">
        <v>634</v>
      </c>
      <c r="C637">
        <v>146.79571257399999</v>
      </c>
      <c r="D637">
        <v>-19.149085753999898</v>
      </c>
      <c r="F637" s="64"/>
      <c r="G637" s="64"/>
      <c r="H637" s="64" t="s">
        <v>26</v>
      </c>
      <c r="I637" s="64"/>
      <c r="J637" s="32" t="str">
        <f>IF(AND(I637=1,OR(I636=0,I636="")),MAX($J$4:$J636)+1,IF(AND(I637=1,I636=1),J636,""))</f>
        <v/>
      </c>
      <c r="K637" s="32" t="str">
        <f t="shared" si="43"/>
        <v/>
      </c>
      <c r="L637" s="32" t="str">
        <f t="shared" si="41"/>
        <v/>
      </c>
      <c r="M637" s="32" t="str">
        <f t="shared" si="42"/>
        <v/>
      </c>
      <c r="N637" s="4"/>
      <c r="O637" s="4"/>
      <c r="P637" s="4"/>
      <c r="Q637" s="4"/>
      <c r="U637" s="5"/>
      <c r="V637" s="4"/>
      <c r="AG637" t="s">
        <v>677</v>
      </c>
      <c r="AM637" s="1"/>
    </row>
    <row r="638" spans="1:39" x14ac:dyDescent="0.35">
      <c r="A638">
        <v>634</v>
      </c>
      <c r="B638">
        <v>635</v>
      </c>
      <c r="C638">
        <v>146.795736925</v>
      </c>
      <c r="D638">
        <v>-19.149004071</v>
      </c>
      <c r="E638">
        <v>50</v>
      </c>
      <c r="F638" s="64"/>
      <c r="G638" s="64"/>
      <c r="H638" s="64" t="s">
        <v>26</v>
      </c>
      <c r="I638" s="64"/>
      <c r="J638" s="32" t="str">
        <f>IF(AND(I638=1,OR(I637=0,I637="")),MAX($J$4:$J637)+1,IF(AND(I638=1,I637=1),J637,""))</f>
        <v/>
      </c>
      <c r="K638" s="32" t="str">
        <f t="shared" si="43"/>
        <v/>
      </c>
      <c r="L638" s="32" t="str">
        <f t="shared" si="41"/>
        <v/>
      </c>
      <c r="M638" s="32" t="str">
        <f t="shared" si="42"/>
        <v/>
      </c>
      <c r="N638" s="4"/>
      <c r="O638" s="4"/>
      <c r="P638" s="4"/>
      <c r="Q638" s="4"/>
      <c r="U638" s="5"/>
      <c r="V638" s="4"/>
      <c r="AG638" t="s">
        <v>678</v>
      </c>
      <c r="AM638" s="1"/>
    </row>
    <row r="639" spans="1:39" x14ac:dyDescent="0.35">
      <c r="A639">
        <v>635</v>
      </c>
      <c r="B639">
        <v>636</v>
      </c>
      <c r="C639">
        <v>146.795763161</v>
      </c>
      <c r="D639">
        <v>-19.1489229119999</v>
      </c>
      <c r="F639" s="64"/>
      <c r="G639" s="64"/>
      <c r="H639" s="64" t="s">
        <v>26</v>
      </c>
      <c r="I639" s="64"/>
      <c r="J639" s="32" t="str">
        <f>IF(AND(I639=1,OR(I638=0,I638="")),MAX($J$4:$J638)+1,IF(AND(I639=1,I638=1),J638,""))</f>
        <v/>
      </c>
      <c r="K639" s="32" t="str">
        <f t="shared" si="43"/>
        <v/>
      </c>
      <c r="L639" s="32" t="str">
        <f t="shared" si="41"/>
        <v/>
      </c>
      <c r="M639" s="32" t="str">
        <f t="shared" si="42"/>
        <v/>
      </c>
      <c r="N639" s="4"/>
      <c r="O639" s="4"/>
      <c r="P639" s="4"/>
      <c r="Q639" s="4"/>
      <c r="U639" s="5"/>
      <c r="V639" s="4"/>
      <c r="AG639" t="s">
        <v>679</v>
      </c>
      <c r="AM639" s="1"/>
    </row>
    <row r="640" spans="1:39" x14ac:dyDescent="0.35">
      <c r="A640">
        <v>636</v>
      </c>
      <c r="B640">
        <v>637</v>
      </c>
      <c r="C640">
        <v>146.79578962299999</v>
      </c>
      <c r="D640">
        <v>-19.148841816000001</v>
      </c>
      <c r="F640" s="64"/>
      <c r="G640" s="64"/>
      <c r="H640" s="64" t="s">
        <v>26</v>
      </c>
      <c r="I640" s="64"/>
      <c r="J640" s="32" t="str">
        <f>IF(AND(I640=1,OR(I639=0,I639="")),MAX($J$4:$J639)+1,IF(AND(I640=1,I639=1),J639,""))</f>
        <v/>
      </c>
      <c r="K640" s="32" t="str">
        <f t="shared" si="43"/>
        <v/>
      </c>
      <c r="L640" s="32" t="str">
        <f t="shared" si="41"/>
        <v/>
      </c>
      <c r="M640" s="32" t="str">
        <f t="shared" si="42"/>
        <v/>
      </c>
      <c r="N640" s="4"/>
      <c r="O640" s="4"/>
      <c r="P640" s="4"/>
      <c r="Q640" s="4"/>
      <c r="U640" s="5"/>
      <c r="V640" s="4"/>
      <c r="AG640" t="s">
        <v>680</v>
      </c>
      <c r="AM640" s="1"/>
    </row>
    <row r="641" spans="1:39" x14ac:dyDescent="0.35">
      <c r="A641">
        <v>637</v>
      </c>
      <c r="B641">
        <v>638</v>
      </c>
      <c r="C641">
        <v>146.79581608500001</v>
      </c>
      <c r="D641">
        <v>-19.148760720999999</v>
      </c>
      <c r="F641" s="64"/>
      <c r="G641" s="64"/>
      <c r="H641" s="64" t="s">
        <v>26</v>
      </c>
      <c r="I641" s="64"/>
      <c r="J641" s="32" t="str">
        <f>IF(AND(I641=1,OR(I640=0,I640="")),MAX($J$4:$J640)+1,IF(AND(I641=1,I640=1),J640,""))</f>
        <v/>
      </c>
      <c r="K641" s="32" t="str">
        <f t="shared" si="43"/>
        <v/>
      </c>
      <c r="L641" s="32" t="str">
        <f t="shared" si="41"/>
        <v/>
      </c>
      <c r="M641" s="32" t="str">
        <f t="shared" si="42"/>
        <v/>
      </c>
      <c r="N641" s="4"/>
      <c r="O641" s="4"/>
      <c r="P641" s="4"/>
      <c r="Q641" s="4"/>
      <c r="U641" s="5"/>
      <c r="V641" s="4"/>
      <c r="AG641" t="s">
        <v>681</v>
      </c>
      <c r="AM641" s="1"/>
    </row>
    <row r="642" spans="1:39" x14ac:dyDescent="0.35">
      <c r="A642">
        <v>638</v>
      </c>
      <c r="B642">
        <v>639</v>
      </c>
      <c r="C642">
        <v>146.79584254700001</v>
      </c>
      <c r="D642">
        <v>-19.1486796249999</v>
      </c>
      <c r="F642" s="64"/>
      <c r="G642" s="64"/>
      <c r="H642" s="64" t="s">
        <v>26</v>
      </c>
      <c r="I642" s="64"/>
      <c r="J642" s="32" t="str">
        <f>IF(AND(I642=1,OR(I641=0,I641="")),MAX($J$4:$J641)+1,IF(AND(I642=1,I641=1),J641,""))</f>
        <v/>
      </c>
      <c r="K642" s="32" t="str">
        <f t="shared" si="43"/>
        <v/>
      </c>
      <c r="L642" s="32" t="str">
        <f t="shared" si="41"/>
        <v/>
      </c>
      <c r="M642" s="32" t="str">
        <f t="shared" si="42"/>
        <v/>
      </c>
      <c r="N642" s="4"/>
      <c r="O642" s="4"/>
      <c r="P642" s="4"/>
      <c r="Q642" s="4"/>
      <c r="U642" s="5"/>
      <c r="V642" s="4"/>
      <c r="AG642" t="s">
        <v>682</v>
      </c>
      <c r="AM642" s="1"/>
    </row>
    <row r="643" spans="1:39" x14ac:dyDescent="0.35">
      <c r="A643">
        <v>639</v>
      </c>
      <c r="B643">
        <v>640</v>
      </c>
      <c r="C643">
        <v>146.79587684200001</v>
      </c>
      <c r="D643">
        <v>-19.148601304</v>
      </c>
      <c r="E643">
        <v>50</v>
      </c>
      <c r="F643" s="64"/>
      <c r="G643" s="64"/>
      <c r="H643" s="64" t="s">
        <v>26</v>
      </c>
      <c r="I643" s="64"/>
      <c r="J643" s="32" t="str">
        <f>IF(AND(I643=1,OR(I642=0,I642="")),MAX($J$4:$J642)+1,IF(AND(I643=1,I642=1),J642,""))</f>
        <v/>
      </c>
      <c r="K643" s="32" t="str">
        <f t="shared" si="43"/>
        <v/>
      </c>
      <c r="L643" s="32" t="str">
        <f t="shared" si="41"/>
        <v/>
      </c>
      <c r="M643" s="32" t="str">
        <f t="shared" si="42"/>
        <v/>
      </c>
      <c r="N643" s="4"/>
      <c r="O643" s="4"/>
      <c r="P643" s="4"/>
      <c r="Q643" s="4"/>
      <c r="U643" s="5"/>
      <c r="V643" s="4"/>
      <c r="AG643" t="s">
        <v>683</v>
      </c>
      <c r="AM643" s="1"/>
    </row>
    <row r="644" spans="1:39" x14ac:dyDescent="0.35">
      <c r="A644">
        <v>640</v>
      </c>
      <c r="B644">
        <v>641</v>
      </c>
      <c r="C644">
        <v>146.795913356</v>
      </c>
      <c r="D644">
        <v>-19.148523769999901</v>
      </c>
      <c r="F644" s="64"/>
      <c r="G644" s="64"/>
      <c r="H644" s="64" t="s">
        <v>26</v>
      </c>
      <c r="I644" s="64"/>
      <c r="J644" s="32" t="str">
        <f>IF(AND(I644=1,OR(I643=0,I643="")),MAX($J$4:$J643)+1,IF(AND(I644=1,I643=1),J643,""))</f>
        <v/>
      </c>
      <c r="K644" s="32" t="str">
        <f t="shared" si="43"/>
        <v/>
      </c>
      <c r="L644" s="32" t="str">
        <f t="shared" ref="L644:L707" si="44">IF(K644="","",IF(K644&gt;=100,"HV",""))</f>
        <v/>
      </c>
      <c r="M644" s="32" t="str">
        <f t="shared" ref="M644:M707" si="45">IF(K644&lt;&gt;"",K644^2,"")</f>
        <v/>
      </c>
      <c r="N644" s="4"/>
      <c r="O644" s="4"/>
      <c r="P644" s="4"/>
      <c r="Q644" s="4"/>
      <c r="U644" s="5"/>
      <c r="V644" s="4"/>
      <c r="AG644" t="s">
        <v>684</v>
      </c>
      <c r="AM644" s="1"/>
    </row>
    <row r="645" spans="1:39" x14ac:dyDescent="0.35">
      <c r="A645">
        <v>641</v>
      </c>
      <c r="B645">
        <v>642</v>
      </c>
      <c r="C645">
        <v>146.79594986999999</v>
      </c>
      <c r="D645">
        <v>-19.148446234999899</v>
      </c>
      <c r="F645" s="64"/>
      <c r="G645" s="64"/>
      <c r="H645" s="64" t="s">
        <v>26</v>
      </c>
      <c r="I645" s="64"/>
      <c r="J645" s="32" t="str">
        <f>IF(AND(I645=1,OR(I644=0,I644="")),MAX($J$4:$J644)+1,IF(AND(I645=1,I644=1),J644,""))</f>
        <v/>
      </c>
      <c r="K645" s="32" t="str">
        <f t="shared" si="43"/>
        <v/>
      </c>
      <c r="L645" s="32" t="str">
        <f t="shared" si="44"/>
        <v/>
      </c>
      <c r="M645" s="32" t="str">
        <f t="shared" si="45"/>
        <v/>
      </c>
      <c r="N645" s="4"/>
      <c r="O645" s="4"/>
      <c r="P645" s="4"/>
      <c r="Q645" s="4"/>
      <c r="U645" s="5"/>
      <c r="V645" s="4"/>
      <c r="AG645" t="s">
        <v>685</v>
      </c>
      <c r="AM645" s="1"/>
    </row>
    <row r="646" spans="1:39" x14ac:dyDescent="0.35">
      <c r="A646">
        <v>642</v>
      </c>
      <c r="B646">
        <v>643</v>
      </c>
      <c r="C646">
        <v>146.795986384</v>
      </c>
      <c r="D646">
        <v>-19.148368699999899</v>
      </c>
      <c r="F646" s="64"/>
      <c r="G646" s="64"/>
      <c r="H646" s="64" t="s">
        <v>26</v>
      </c>
      <c r="I646" s="64"/>
      <c r="J646" s="32" t="str">
        <f>IF(AND(I646=1,OR(I645=0,I645="")),MAX($J$4:$J645)+1,IF(AND(I646=1,I645=1),J645,""))</f>
        <v/>
      </c>
      <c r="K646" s="32" t="str">
        <f t="shared" si="43"/>
        <v/>
      </c>
      <c r="L646" s="32" t="str">
        <f t="shared" si="44"/>
        <v/>
      </c>
      <c r="M646" s="32" t="str">
        <f t="shared" si="45"/>
        <v/>
      </c>
      <c r="N646" s="4"/>
      <c r="O646" s="4"/>
      <c r="P646" s="4"/>
      <c r="Q646" s="4"/>
      <c r="U646" s="5"/>
      <c r="V646" s="4"/>
      <c r="AG646" t="s">
        <v>686</v>
      </c>
      <c r="AM646" s="1"/>
    </row>
    <row r="647" spans="1:39" x14ac:dyDescent="0.35">
      <c r="A647">
        <v>643</v>
      </c>
      <c r="B647">
        <v>644</v>
      </c>
      <c r="C647">
        <v>146.79601434200001</v>
      </c>
      <c r="D647">
        <v>-19.148288280999999</v>
      </c>
      <c r="F647" s="64"/>
      <c r="G647" s="64"/>
      <c r="H647" s="64" t="s">
        <v>26</v>
      </c>
      <c r="I647" s="64"/>
      <c r="J647" s="32" t="str">
        <f>IF(AND(I647=1,OR(I646=0,I646="")),MAX($J$4:$J646)+1,IF(AND(I647=1,I646=1),J646,""))</f>
        <v/>
      </c>
      <c r="K647" s="32" t="str">
        <f t="shared" si="43"/>
        <v/>
      </c>
      <c r="L647" s="32" t="str">
        <f t="shared" si="44"/>
        <v/>
      </c>
      <c r="M647" s="32" t="str">
        <f t="shared" si="45"/>
        <v/>
      </c>
      <c r="N647" s="4"/>
      <c r="O647" s="4"/>
      <c r="P647" s="4"/>
      <c r="Q647" s="4"/>
      <c r="U647" s="5"/>
      <c r="V647" s="4"/>
      <c r="AG647" t="s">
        <v>687</v>
      </c>
      <c r="AM647" s="1"/>
    </row>
    <row r="648" spans="1:39" x14ac:dyDescent="0.35">
      <c r="A648">
        <v>644</v>
      </c>
      <c r="B648">
        <v>645</v>
      </c>
      <c r="C648">
        <v>146.79603803500001</v>
      </c>
      <c r="D648">
        <v>-19.148206425000001</v>
      </c>
      <c r="E648">
        <v>50</v>
      </c>
      <c r="F648" s="64"/>
      <c r="G648" s="64"/>
      <c r="H648" s="64" t="s">
        <v>26</v>
      </c>
      <c r="I648" s="64"/>
      <c r="J648" s="32" t="str">
        <f>IF(AND(I648=1,OR(I647=0,I647="")),MAX($J$4:$J647)+1,IF(AND(I648=1,I647=1),J647,""))</f>
        <v/>
      </c>
      <c r="K648" s="32" t="str">
        <f t="shared" si="43"/>
        <v/>
      </c>
      <c r="L648" s="32" t="str">
        <f t="shared" si="44"/>
        <v/>
      </c>
      <c r="M648" s="32" t="str">
        <f t="shared" si="45"/>
        <v/>
      </c>
      <c r="N648" s="4"/>
      <c r="O648" s="4"/>
      <c r="P648" s="4"/>
      <c r="Q648" s="4"/>
      <c r="U648" s="5"/>
      <c r="V648" s="4"/>
      <c r="AG648" t="s">
        <v>688</v>
      </c>
      <c r="AM648" s="1"/>
    </row>
    <row r="649" spans="1:39" x14ac:dyDescent="0.35">
      <c r="A649">
        <v>645</v>
      </c>
      <c r="B649">
        <v>646</v>
      </c>
      <c r="C649">
        <v>146.79606172699999</v>
      </c>
      <c r="D649">
        <v>-19.148124568</v>
      </c>
      <c r="F649" s="64"/>
      <c r="G649" s="64"/>
      <c r="H649" s="64" t="s">
        <v>26</v>
      </c>
      <c r="I649" s="64"/>
      <c r="J649" s="32" t="str">
        <f>IF(AND(I649=1,OR(I648=0,I648="")),MAX($J$4:$J648)+1,IF(AND(I649=1,I648=1),J648,""))</f>
        <v/>
      </c>
      <c r="K649" s="32" t="str">
        <f t="shared" si="43"/>
        <v/>
      </c>
      <c r="L649" s="32" t="str">
        <f t="shared" si="44"/>
        <v/>
      </c>
      <c r="M649" s="32" t="str">
        <f t="shared" si="45"/>
        <v/>
      </c>
      <c r="N649" s="4"/>
      <c r="O649" s="4"/>
      <c r="P649" s="4"/>
      <c r="Q649" s="4"/>
      <c r="U649" s="5"/>
      <c r="V649" s="4"/>
      <c r="AG649" t="s">
        <v>689</v>
      </c>
      <c r="AM649" s="1"/>
    </row>
    <row r="650" spans="1:39" x14ac:dyDescent="0.35">
      <c r="A650">
        <v>646</v>
      </c>
      <c r="B650">
        <v>647</v>
      </c>
      <c r="C650">
        <v>146.79608541900001</v>
      </c>
      <c r="D650">
        <v>-19.148042710999999</v>
      </c>
      <c r="F650" s="64"/>
      <c r="G650" s="64"/>
      <c r="H650" s="64" t="s">
        <v>26</v>
      </c>
      <c r="I650" s="64"/>
      <c r="J650" s="32" t="str">
        <f>IF(AND(I650=1,OR(I649=0,I649="")),MAX($J$4:$J649)+1,IF(AND(I650=1,I649=1),J649,""))</f>
        <v/>
      </c>
      <c r="K650" s="32" t="str">
        <f t="shared" si="43"/>
        <v/>
      </c>
      <c r="L650" s="32" t="str">
        <f t="shared" si="44"/>
        <v/>
      </c>
      <c r="M650" s="32" t="str">
        <f t="shared" si="45"/>
        <v/>
      </c>
      <c r="N650" s="4"/>
      <c r="O650" s="4"/>
      <c r="P650" s="4"/>
      <c r="Q650" s="4"/>
      <c r="U650" s="5"/>
      <c r="V650" s="4"/>
      <c r="AG650" t="s">
        <v>690</v>
      </c>
      <c r="AM650" s="1"/>
    </row>
    <row r="651" spans="1:39" x14ac:dyDescent="0.35">
      <c r="A651">
        <v>647</v>
      </c>
      <c r="B651">
        <v>648</v>
      </c>
      <c r="C651">
        <v>146.79610911200001</v>
      </c>
      <c r="D651">
        <v>-19.147960854000001</v>
      </c>
      <c r="F651" s="64"/>
      <c r="G651" s="64"/>
      <c r="H651" s="64" t="s">
        <v>26</v>
      </c>
      <c r="I651" s="64"/>
      <c r="J651" s="32" t="str">
        <f>IF(AND(I651=1,OR(I650=0,I650="")),MAX($J$4:$J650)+1,IF(AND(I651=1,I650=1),J650,""))</f>
        <v/>
      </c>
      <c r="K651" s="32" t="str">
        <f t="shared" si="43"/>
        <v/>
      </c>
      <c r="L651" s="32" t="str">
        <f t="shared" si="44"/>
        <v/>
      </c>
      <c r="M651" s="32" t="str">
        <f t="shared" si="45"/>
        <v/>
      </c>
      <c r="N651" s="4"/>
      <c r="O651" s="4"/>
      <c r="P651" s="4"/>
      <c r="Q651" s="4"/>
      <c r="U651" s="5"/>
      <c r="V651" s="4"/>
      <c r="AG651" t="s">
        <v>691</v>
      </c>
      <c r="AM651" s="1"/>
    </row>
    <row r="652" spans="1:39" x14ac:dyDescent="0.35">
      <c r="A652">
        <v>648</v>
      </c>
      <c r="B652">
        <v>649</v>
      </c>
      <c r="C652">
        <v>146.79611787600001</v>
      </c>
      <c r="D652">
        <v>-19.147877095999899</v>
      </c>
      <c r="F652" s="64"/>
      <c r="G652" s="64"/>
      <c r="H652" s="64" t="s">
        <v>26</v>
      </c>
      <c r="I652" s="64"/>
      <c r="J652" s="32" t="str">
        <f>IF(AND(I652=1,OR(I651=0,I651="")),MAX($J$4:$J651)+1,IF(AND(I652=1,I651=1),J651,""))</f>
        <v/>
      </c>
      <c r="K652" s="32" t="str">
        <f t="shared" si="43"/>
        <v/>
      </c>
      <c r="L652" s="32" t="str">
        <f t="shared" si="44"/>
        <v/>
      </c>
      <c r="M652" s="32" t="str">
        <f t="shared" si="45"/>
        <v/>
      </c>
      <c r="N652" s="4"/>
      <c r="O652" s="4"/>
      <c r="P652" s="4"/>
      <c r="Q652" s="4"/>
      <c r="U652" s="5"/>
      <c r="V652" s="4"/>
      <c r="AG652" t="s">
        <v>692</v>
      </c>
      <c r="AM652" s="1"/>
    </row>
    <row r="653" spans="1:39" x14ac:dyDescent="0.35">
      <c r="A653">
        <v>649</v>
      </c>
      <c r="B653">
        <v>650</v>
      </c>
      <c r="C653">
        <v>146.796117979</v>
      </c>
      <c r="D653">
        <v>-19.147792234000001</v>
      </c>
      <c r="E653">
        <v>50</v>
      </c>
      <c r="F653" s="64"/>
      <c r="G653" s="64"/>
      <c r="H653" s="64" t="s">
        <v>26</v>
      </c>
      <c r="I653" s="64"/>
      <c r="J653" s="32" t="str">
        <f>IF(AND(I653=1,OR(I652=0,I652="")),MAX($J$4:$J652)+1,IF(AND(I653=1,I652=1),J652,""))</f>
        <v/>
      </c>
      <c r="K653" s="32" t="str">
        <f t="shared" si="43"/>
        <v/>
      </c>
      <c r="L653" s="32" t="str">
        <f t="shared" si="44"/>
        <v/>
      </c>
      <c r="M653" s="32" t="str">
        <f t="shared" si="45"/>
        <v/>
      </c>
      <c r="N653" s="4"/>
      <c r="O653" s="4"/>
      <c r="P653" s="4"/>
      <c r="Q653" s="4"/>
      <c r="U653" s="5"/>
      <c r="V653" s="4"/>
      <c r="AG653" t="s">
        <v>693</v>
      </c>
      <c r="AM653" s="1"/>
    </row>
    <row r="654" spans="1:39" x14ac:dyDescent="0.35">
      <c r="A654">
        <v>650</v>
      </c>
      <c r="B654">
        <v>651</v>
      </c>
      <c r="C654">
        <v>146.79611351700001</v>
      </c>
      <c r="D654">
        <v>-19.147707531999998</v>
      </c>
      <c r="F654" s="64"/>
      <c r="G654" s="64"/>
      <c r="H654" s="64" t="s">
        <v>26</v>
      </c>
      <c r="I654" s="64"/>
      <c r="J654" s="32" t="str">
        <f>IF(AND(I654=1,OR(I653=0,I653="")),MAX($J$4:$J653)+1,IF(AND(I654=1,I653=1),J653,""))</f>
        <v/>
      </c>
      <c r="K654" s="32" t="str">
        <f t="shared" si="43"/>
        <v/>
      </c>
      <c r="L654" s="32" t="str">
        <f t="shared" si="44"/>
        <v/>
      </c>
      <c r="M654" s="32" t="str">
        <f t="shared" si="45"/>
        <v/>
      </c>
      <c r="N654" s="4"/>
      <c r="O654" s="4"/>
      <c r="P654" s="4"/>
      <c r="Q654" s="4"/>
      <c r="U654" s="5"/>
      <c r="V654" s="4"/>
      <c r="AG654" t="s">
        <v>694</v>
      </c>
      <c r="AM654" s="1"/>
    </row>
    <row r="655" spans="1:39" x14ac:dyDescent="0.35">
      <c r="A655">
        <v>651</v>
      </c>
      <c r="B655">
        <v>652</v>
      </c>
      <c r="C655">
        <v>146.796148077</v>
      </c>
      <c r="D655">
        <v>-19.147629816999899</v>
      </c>
      <c r="F655" s="64"/>
      <c r="G655" s="64"/>
      <c r="H655" s="64" t="s">
        <v>26</v>
      </c>
      <c r="I655" s="64"/>
      <c r="J655" s="32" t="str">
        <f>IF(AND(I655=1,OR(I654=0,I654="")),MAX($J$4:$J654)+1,IF(AND(I655=1,I654=1),J654,""))</f>
        <v/>
      </c>
      <c r="K655" s="32" t="str">
        <f t="shared" si="43"/>
        <v/>
      </c>
      <c r="L655" s="32" t="str">
        <f t="shared" si="44"/>
        <v/>
      </c>
      <c r="M655" s="32" t="str">
        <f t="shared" si="45"/>
        <v/>
      </c>
      <c r="N655" s="4"/>
      <c r="O655" s="4"/>
      <c r="P655" s="4"/>
      <c r="Q655" s="4"/>
      <c r="U655" s="5"/>
      <c r="V655" s="4"/>
      <c r="AG655" t="s">
        <v>695</v>
      </c>
      <c r="AM655" s="1"/>
    </row>
    <row r="656" spans="1:39" x14ac:dyDescent="0.35">
      <c r="A656">
        <v>652</v>
      </c>
      <c r="B656">
        <v>653</v>
      </c>
      <c r="C656">
        <v>146.796175178</v>
      </c>
      <c r="D656">
        <v>-19.147549035999901</v>
      </c>
      <c r="F656" s="64"/>
      <c r="G656" s="64"/>
      <c r="H656" s="64" t="s">
        <v>26</v>
      </c>
      <c r="I656" s="64"/>
      <c r="J656" s="32" t="str">
        <f>IF(AND(I656=1,OR(I655=0,I655="")),MAX($J$4:$J655)+1,IF(AND(I656=1,I655=1),J655,""))</f>
        <v/>
      </c>
      <c r="K656" s="32" t="str">
        <f t="shared" si="43"/>
        <v/>
      </c>
      <c r="L656" s="32" t="str">
        <f t="shared" si="44"/>
        <v/>
      </c>
      <c r="M656" s="32" t="str">
        <f t="shared" si="45"/>
        <v/>
      </c>
      <c r="N656" s="4"/>
      <c r="O656" s="4"/>
      <c r="P656" s="4"/>
      <c r="Q656" s="4"/>
      <c r="U656" s="5"/>
      <c r="V656" s="4"/>
      <c r="AG656" t="s">
        <v>696</v>
      </c>
      <c r="AM656" s="1"/>
    </row>
    <row r="657" spans="1:39" x14ac:dyDescent="0.35">
      <c r="A657">
        <v>653</v>
      </c>
      <c r="B657">
        <v>654</v>
      </c>
      <c r="C657">
        <v>146.79620025099999</v>
      </c>
      <c r="D657">
        <v>-19.147467546000001</v>
      </c>
      <c r="F657" s="64"/>
      <c r="G657" s="64"/>
      <c r="H657" s="64" t="s">
        <v>26</v>
      </c>
      <c r="I657" s="64"/>
      <c r="J657" s="32" t="str">
        <f>IF(AND(I657=1,OR(I656=0,I656="")),MAX($J$4:$J656)+1,IF(AND(I657=1,I656=1),J656,""))</f>
        <v/>
      </c>
      <c r="K657" s="32" t="str">
        <f t="shared" si="43"/>
        <v/>
      </c>
      <c r="L657" s="32" t="str">
        <f t="shared" si="44"/>
        <v/>
      </c>
      <c r="M657" s="32" t="str">
        <f t="shared" si="45"/>
        <v/>
      </c>
      <c r="N657" s="4"/>
      <c r="O657" s="4"/>
      <c r="P657" s="4"/>
      <c r="Q657" s="4"/>
      <c r="U657" s="5"/>
      <c r="V657" s="4"/>
      <c r="AG657" t="s">
        <v>697</v>
      </c>
      <c r="AM657" s="1"/>
    </row>
    <row r="658" spans="1:39" x14ac:dyDescent="0.35">
      <c r="A658">
        <v>654</v>
      </c>
      <c r="B658">
        <v>655</v>
      </c>
      <c r="C658">
        <v>146.79622532299999</v>
      </c>
      <c r="D658">
        <v>-19.147386056999899</v>
      </c>
      <c r="E658">
        <v>50</v>
      </c>
      <c r="F658" s="64"/>
      <c r="G658" s="64"/>
      <c r="H658" s="64" t="s">
        <v>26</v>
      </c>
      <c r="I658" s="64"/>
      <c r="J658" s="32" t="str">
        <f>IF(AND(I658=1,OR(I657=0,I657="")),MAX($J$4:$J657)+1,IF(AND(I658=1,I657=1),J657,""))</f>
        <v/>
      </c>
      <c r="K658" s="32" t="str">
        <f t="shared" si="43"/>
        <v/>
      </c>
      <c r="L658" s="32" t="str">
        <f t="shared" si="44"/>
        <v/>
      </c>
      <c r="M658" s="32" t="str">
        <f t="shared" si="45"/>
        <v/>
      </c>
      <c r="N658" s="4"/>
      <c r="O658" s="4"/>
      <c r="P658" s="4"/>
      <c r="Q658" s="4"/>
      <c r="U658" s="5"/>
      <c r="V658" s="4"/>
      <c r="AG658" t="s">
        <v>698</v>
      </c>
      <c r="AM658" s="1"/>
    </row>
    <row r="659" spans="1:39" x14ac:dyDescent="0.35">
      <c r="A659">
        <v>655</v>
      </c>
      <c r="B659">
        <v>656</v>
      </c>
      <c r="C659">
        <v>146.79625039499999</v>
      </c>
      <c r="D659">
        <v>-19.1473045669999</v>
      </c>
      <c r="F659" s="64"/>
      <c r="G659" s="64"/>
      <c r="H659" s="64" t="s">
        <v>26</v>
      </c>
      <c r="I659" s="64"/>
      <c r="J659" s="32" t="str">
        <f>IF(AND(I659=1,OR(I658=0,I658="")),MAX($J$4:$J658)+1,IF(AND(I659=1,I658=1),J658,""))</f>
        <v/>
      </c>
      <c r="K659" s="32" t="str">
        <f t="shared" si="43"/>
        <v/>
      </c>
      <c r="L659" s="32" t="str">
        <f t="shared" si="44"/>
        <v/>
      </c>
      <c r="M659" s="32" t="str">
        <f t="shared" si="45"/>
        <v/>
      </c>
      <c r="N659" s="4"/>
      <c r="O659" s="4"/>
      <c r="P659" s="4"/>
      <c r="Q659" s="4"/>
      <c r="U659" s="5"/>
      <c r="V659" s="4"/>
      <c r="AG659" t="s">
        <v>699</v>
      </c>
      <c r="AM659" s="1"/>
    </row>
    <row r="660" spans="1:39" x14ac:dyDescent="0.35">
      <c r="A660">
        <v>656</v>
      </c>
      <c r="B660">
        <v>657</v>
      </c>
      <c r="C660">
        <v>146.79627437600001</v>
      </c>
      <c r="D660">
        <v>-19.147222869</v>
      </c>
      <c r="F660" s="64"/>
      <c r="G660" s="64"/>
      <c r="H660" s="64" t="s">
        <v>26</v>
      </c>
      <c r="I660" s="64"/>
      <c r="J660" s="32" t="str">
        <f>IF(AND(I660=1,OR(I659=0,I659="")),MAX($J$4:$J659)+1,IF(AND(I660=1,I659=1),J659,""))</f>
        <v/>
      </c>
      <c r="K660" s="32" t="str">
        <f t="shared" si="43"/>
        <v/>
      </c>
      <c r="L660" s="32" t="str">
        <f t="shared" si="44"/>
        <v/>
      </c>
      <c r="M660" s="32" t="str">
        <f t="shared" si="45"/>
        <v/>
      </c>
      <c r="N660" s="4"/>
      <c r="O660" s="4"/>
      <c r="P660" s="4"/>
      <c r="Q660" s="4"/>
      <c r="U660" s="5"/>
      <c r="V660" s="4"/>
      <c r="AG660" t="s">
        <v>700</v>
      </c>
      <c r="AM660" s="1"/>
    </row>
    <row r="661" spans="1:39" x14ac:dyDescent="0.35">
      <c r="A661">
        <v>657</v>
      </c>
      <c r="B661">
        <v>658</v>
      </c>
      <c r="C661">
        <v>146.796299573</v>
      </c>
      <c r="D661">
        <v>-19.147146417999998</v>
      </c>
      <c r="F661" s="64"/>
      <c r="G661" s="64"/>
      <c r="H661" s="64" t="s">
        <v>26</v>
      </c>
      <c r="I661" s="64"/>
      <c r="J661" s="32" t="str">
        <f>IF(AND(I661=1,OR(I660=0,I660="")),MAX($J$4:$J660)+1,IF(AND(I661=1,I660=1),J660,""))</f>
        <v/>
      </c>
      <c r="K661" s="32" t="str">
        <f t="shared" si="43"/>
        <v/>
      </c>
      <c r="L661" s="32" t="str">
        <f t="shared" si="44"/>
        <v/>
      </c>
      <c r="M661" s="32" t="str">
        <f t="shared" si="45"/>
        <v/>
      </c>
      <c r="N661" s="4"/>
      <c r="O661" s="4"/>
      <c r="P661" s="4"/>
      <c r="Q661" s="4"/>
      <c r="U661" s="5"/>
      <c r="V661" s="4"/>
      <c r="AG661" t="s">
        <v>701</v>
      </c>
      <c r="AM661" s="1"/>
    </row>
    <row r="662" spans="1:39" x14ac:dyDescent="0.35">
      <c r="A662">
        <v>658</v>
      </c>
      <c r="B662">
        <v>659</v>
      </c>
      <c r="C662">
        <v>146.79637056000001</v>
      </c>
      <c r="D662">
        <v>-19.147094412999898</v>
      </c>
      <c r="F662" s="64"/>
      <c r="G662" s="64"/>
      <c r="H662" s="64" t="s">
        <v>26</v>
      </c>
      <c r="I662" s="64"/>
      <c r="J662" s="32" t="str">
        <f>IF(AND(I662=1,OR(I661=0,I661="")),MAX($J$4:$J661)+1,IF(AND(I662=1,I661=1),J661,""))</f>
        <v/>
      </c>
      <c r="K662" s="32" t="str">
        <f t="shared" si="43"/>
        <v/>
      </c>
      <c r="L662" s="32" t="str">
        <f t="shared" si="44"/>
        <v/>
      </c>
      <c r="M662" s="32" t="str">
        <f t="shared" si="45"/>
        <v/>
      </c>
      <c r="N662" s="4"/>
      <c r="O662" s="4"/>
      <c r="P662" s="4"/>
      <c r="Q662" s="4"/>
      <c r="U662" s="5"/>
      <c r="V662" s="4"/>
      <c r="AG662" t="s">
        <v>702</v>
      </c>
      <c r="AM662" s="1"/>
    </row>
    <row r="663" spans="1:39" x14ac:dyDescent="0.35">
      <c r="A663">
        <v>659</v>
      </c>
      <c r="B663">
        <v>660</v>
      </c>
      <c r="C663">
        <v>146.79644672200001</v>
      </c>
      <c r="D663">
        <v>-19.147049678999998</v>
      </c>
      <c r="E663">
        <v>50</v>
      </c>
      <c r="F663" s="64"/>
      <c r="G663" s="64"/>
      <c r="H663" s="64" t="s">
        <v>26</v>
      </c>
      <c r="I663" s="64"/>
      <c r="J663" s="32" t="str">
        <f>IF(AND(I663=1,OR(I662=0,I662="")),MAX($J$4:$J662)+1,IF(AND(I663=1,I662=1),J662,""))</f>
        <v/>
      </c>
      <c r="K663" s="32" t="str">
        <f t="shared" si="43"/>
        <v/>
      </c>
      <c r="L663" s="32" t="str">
        <f t="shared" si="44"/>
        <v/>
      </c>
      <c r="M663" s="32" t="str">
        <f t="shared" si="45"/>
        <v/>
      </c>
      <c r="N663" s="4"/>
      <c r="O663" s="4"/>
      <c r="P663" s="4"/>
      <c r="Q663" s="4"/>
      <c r="U663" s="5"/>
      <c r="V663" s="4"/>
      <c r="AG663" t="s">
        <v>703</v>
      </c>
      <c r="AM663" s="1"/>
    </row>
    <row r="664" spans="1:39" x14ac:dyDescent="0.35">
      <c r="A664">
        <v>660</v>
      </c>
      <c r="B664">
        <v>661</v>
      </c>
      <c r="C664">
        <v>146.79652448900001</v>
      </c>
      <c r="D664">
        <v>-19.147007200000001</v>
      </c>
      <c r="F664" s="64"/>
      <c r="G664" s="64"/>
      <c r="H664" s="64" t="s">
        <v>26</v>
      </c>
      <c r="I664" s="64"/>
      <c r="J664" s="32" t="str">
        <f>IF(AND(I664=1,OR(I663=0,I663="")),MAX($J$4:$J663)+1,IF(AND(I664=1,I663=1),J663,""))</f>
        <v/>
      </c>
      <c r="K664" s="32" t="str">
        <f t="shared" si="43"/>
        <v/>
      </c>
      <c r="L664" s="32" t="str">
        <f t="shared" si="44"/>
        <v/>
      </c>
      <c r="M664" s="32" t="str">
        <f t="shared" si="45"/>
        <v/>
      </c>
      <c r="N664" s="4"/>
      <c r="O664" s="4"/>
      <c r="P664" s="4"/>
      <c r="Q664" s="4"/>
      <c r="U664" s="5"/>
      <c r="V664" s="4"/>
      <c r="AG664" t="s">
        <v>704</v>
      </c>
      <c r="AM664" s="1"/>
    </row>
    <row r="665" spans="1:39" x14ac:dyDescent="0.35">
      <c r="A665">
        <v>661</v>
      </c>
      <c r="B665">
        <v>662</v>
      </c>
      <c r="C665">
        <v>146.796601598</v>
      </c>
      <c r="D665">
        <v>-19.146964125</v>
      </c>
      <c r="F665" s="64"/>
      <c r="G665" s="64"/>
      <c r="H665" s="64" t="s">
        <v>26</v>
      </c>
      <c r="I665" s="64"/>
      <c r="J665" s="32" t="str">
        <f>IF(AND(I665=1,OR(I664=0,I664="")),MAX($J$4:$J664)+1,IF(AND(I665=1,I664=1),J664,""))</f>
        <v/>
      </c>
      <c r="K665" s="32" t="str">
        <f t="shared" si="43"/>
        <v/>
      </c>
      <c r="L665" s="32" t="str">
        <f t="shared" si="44"/>
        <v/>
      </c>
      <c r="M665" s="32" t="str">
        <f t="shared" si="45"/>
        <v/>
      </c>
      <c r="N665" s="4"/>
      <c r="O665" s="4"/>
      <c r="P665" s="4"/>
      <c r="Q665" s="4"/>
      <c r="U665" s="5"/>
      <c r="V665" s="4"/>
      <c r="AG665" t="s">
        <v>705</v>
      </c>
      <c r="AM665" s="1"/>
    </row>
    <row r="666" spans="1:39" x14ac:dyDescent="0.35">
      <c r="A666">
        <v>662</v>
      </c>
      <c r="B666">
        <v>663</v>
      </c>
      <c r="C666">
        <v>146.79661262100001</v>
      </c>
      <c r="D666">
        <v>-19.146883494000001</v>
      </c>
      <c r="F666" s="64"/>
      <c r="G666" s="64"/>
      <c r="H666" s="64" t="s">
        <v>26</v>
      </c>
      <c r="I666" s="64"/>
      <c r="J666" s="32" t="str">
        <f>IF(AND(I666=1,OR(I665=0,I665="")),MAX($J$4:$J665)+1,IF(AND(I666=1,I665=1),J665,""))</f>
        <v/>
      </c>
      <c r="K666" s="32" t="str">
        <f t="shared" si="43"/>
        <v/>
      </c>
      <c r="L666" s="32" t="str">
        <f t="shared" si="44"/>
        <v/>
      </c>
      <c r="M666" s="32" t="str">
        <f t="shared" si="45"/>
        <v/>
      </c>
      <c r="N666" s="4"/>
      <c r="O666" s="4"/>
      <c r="P666" s="4"/>
      <c r="Q666" s="4"/>
      <c r="U666" s="5"/>
      <c r="V666" s="4"/>
      <c r="AG666" t="s">
        <v>706</v>
      </c>
      <c r="AM666" s="1"/>
    </row>
    <row r="667" spans="1:39" x14ac:dyDescent="0.35">
      <c r="A667">
        <v>663</v>
      </c>
      <c r="B667">
        <v>664</v>
      </c>
      <c r="C667">
        <v>146.79660284400001</v>
      </c>
      <c r="D667">
        <v>-19.146799135999998</v>
      </c>
      <c r="F667" s="64"/>
      <c r="G667" s="64"/>
      <c r="H667" s="64" t="s">
        <v>26</v>
      </c>
      <c r="I667" s="64"/>
      <c r="J667" s="32" t="str">
        <f>IF(AND(I667=1,OR(I666=0,I666="")),MAX($J$4:$J666)+1,IF(AND(I667=1,I666=1),J666,""))</f>
        <v/>
      </c>
      <c r="K667" s="32" t="str">
        <f t="shared" si="43"/>
        <v/>
      </c>
      <c r="L667" s="32" t="str">
        <f t="shared" si="44"/>
        <v/>
      </c>
      <c r="M667" s="32" t="str">
        <f t="shared" si="45"/>
        <v/>
      </c>
      <c r="N667" s="4"/>
      <c r="O667" s="4"/>
      <c r="P667" s="4"/>
      <c r="Q667" s="4"/>
      <c r="U667" s="5"/>
      <c r="V667" s="4"/>
      <c r="AG667" t="s">
        <v>707</v>
      </c>
      <c r="AM667" s="1"/>
    </row>
    <row r="668" spans="1:39" x14ac:dyDescent="0.35">
      <c r="A668">
        <v>664</v>
      </c>
      <c r="B668">
        <v>665</v>
      </c>
      <c r="C668">
        <v>146.79659306600001</v>
      </c>
      <c r="D668">
        <v>-19.1467147779999</v>
      </c>
      <c r="E668">
        <v>50</v>
      </c>
      <c r="F668" s="64"/>
      <c r="G668" s="64"/>
      <c r="H668" s="64" t="s">
        <v>26</v>
      </c>
      <c r="I668" s="64"/>
      <c r="J668" s="32" t="str">
        <f>IF(AND(I668=1,OR(I667=0,I667="")),MAX($J$4:$J667)+1,IF(AND(I668=1,I667=1),J667,""))</f>
        <v/>
      </c>
      <c r="K668" s="32" t="str">
        <f t="shared" si="43"/>
        <v/>
      </c>
      <c r="L668" s="32" t="str">
        <f t="shared" si="44"/>
        <v/>
      </c>
      <c r="M668" s="32" t="str">
        <f t="shared" si="45"/>
        <v/>
      </c>
      <c r="N668" s="4"/>
      <c r="O668" s="4"/>
      <c r="P668" s="4"/>
      <c r="Q668" s="4"/>
      <c r="U668" s="5"/>
      <c r="V668" s="4"/>
      <c r="AG668" t="s">
        <v>708</v>
      </c>
      <c r="AM668" s="1"/>
    </row>
    <row r="669" spans="1:39" x14ac:dyDescent="0.35">
      <c r="A669">
        <v>665</v>
      </c>
      <c r="B669">
        <v>666</v>
      </c>
      <c r="C669">
        <v>146.79658328900001</v>
      </c>
      <c r="D669">
        <v>-19.146630420000001</v>
      </c>
      <c r="F669" s="64"/>
      <c r="G669" s="64"/>
      <c r="H669" s="64" t="s">
        <v>26</v>
      </c>
      <c r="I669" s="64"/>
      <c r="J669" s="32" t="str">
        <f>IF(AND(I669=1,OR(I668=0,I668="")),MAX($J$4:$J668)+1,IF(AND(I669=1,I668=1),J668,""))</f>
        <v/>
      </c>
      <c r="K669" s="32" t="str">
        <f t="shared" si="43"/>
        <v/>
      </c>
      <c r="L669" s="32" t="str">
        <f t="shared" si="44"/>
        <v/>
      </c>
      <c r="M669" s="32" t="str">
        <f t="shared" si="45"/>
        <v/>
      </c>
      <c r="N669" s="4"/>
      <c r="O669" s="4"/>
      <c r="P669" s="4"/>
      <c r="Q669" s="4"/>
      <c r="U669" s="5"/>
      <c r="V669" s="4"/>
      <c r="AG669" t="s">
        <v>709</v>
      </c>
      <c r="AM669" s="1"/>
    </row>
    <row r="670" spans="1:39" x14ac:dyDescent="0.35">
      <c r="A670">
        <v>666</v>
      </c>
      <c r="B670">
        <v>667</v>
      </c>
      <c r="C670">
        <v>146.79656949599999</v>
      </c>
      <c r="D670">
        <v>-19.146546927999999</v>
      </c>
      <c r="F670" s="64"/>
      <c r="G670" s="64"/>
      <c r="H670" s="64" t="s">
        <v>26</v>
      </c>
      <c r="I670" s="64"/>
      <c r="J670" s="32" t="str">
        <f>IF(AND(I670=1,OR(I669=0,I669="")),MAX($J$4:$J669)+1,IF(AND(I670=1,I669=1),J669,""))</f>
        <v/>
      </c>
      <c r="K670" s="32" t="str">
        <f t="shared" si="43"/>
        <v/>
      </c>
      <c r="L670" s="32" t="str">
        <f t="shared" si="44"/>
        <v/>
      </c>
      <c r="M670" s="32" t="str">
        <f t="shared" si="45"/>
        <v/>
      </c>
      <c r="N670" s="4"/>
      <c r="O670" s="4"/>
      <c r="P670" s="4"/>
      <c r="Q670" s="4"/>
      <c r="U670" s="5"/>
      <c r="V670" s="4"/>
      <c r="AG670" t="s">
        <v>710</v>
      </c>
      <c r="AM670" s="1"/>
    </row>
    <row r="671" spans="1:39" x14ac:dyDescent="0.35">
      <c r="A671">
        <v>667</v>
      </c>
      <c r="B671">
        <v>668</v>
      </c>
      <c r="C671">
        <v>146.79653951399999</v>
      </c>
      <c r="D671">
        <v>-19.146466931999999</v>
      </c>
      <c r="F671" s="64"/>
      <c r="G671" s="64"/>
      <c r="H671" s="64" t="s">
        <v>26</v>
      </c>
      <c r="I671" s="64"/>
      <c r="J671" s="32" t="str">
        <f>IF(AND(I671=1,OR(I670=0,I670="")),MAX($J$4:$J670)+1,IF(AND(I671=1,I670=1),J670,""))</f>
        <v/>
      </c>
      <c r="K671" s="32" t="str">
        <f t="shared" ref="K671:K734" si="46">IF(J671="","",COUNTIF(J:J,J671)*10)</f>
        <v/>
      </c>
      <c r="L671" s="32" t="str">
        <f t="shared" si="44"/>
        <v/>
      </c>
      <c r="M671" s="32" t="str">
        <f t="shared" si="45"/>
        <v/>
      </c>
      <c r="N671" s="4"/>
      <c r="O671" s="4"/>
      <c r="P671" s="4"/>
      <c r="Q671" s="4"/>
      <c r="U671" s="5"/>
      <c r="V671" s="4"/>
      <c r="AG671" t="s">
        <v>711</v>
      </c>
      <c r="AM671" s="1"/>
    </row>
    <row r="672" spans="1:39" x14ac:dyDescent="0.35">
      <c r="A672">
        <v>668</v>
      </c>
      <c r="B672">
        <v>669</v>
      </c>
      <c r="C672">
        <v>146.79650953300001</v>
      </c>
      <c r="D672">
        <v>-19.146386935999899</v>
      </c>
      <c r="F672" s="64"/>
      <c r="G672" s="64"/>
      <c r="H672" s="64" t="s">
        <v>26</v>
      </c>
      <c r="I672" s="64"/>
      <c r="J672" s="32" t="str">
        <f>IF(AND(I672=1,OR(I671=0,I671="")),MAX($J$4:$J671)+1,IF(AND(I672=1,I671=1),J671,""))</f>
        <v/>
      </c>
      <c r="K672" s="32" t="str">
        <f t="shared" si="46"/>
        <v/>
      </c>
      <c r="L672" s="32" t="str">
        <f t="shared" si="44"/>
        <v/>
      </c>
      <c r="M672" s="32" t="str">
        <f t="shared" si="45"/>
        <v/>
      </c>
      <c r="N672" s="4"/>
      <c r="O672" s="4"/>
      <c r="P672" s="4"/>
      <c r="Q672" s="4"/>
      <c r="U672" s="5"/>
      <c r="V672" s="4"/>
      <c r="AG672" t="s">
        <v>712</v>
      </c>
      <c r="AM672" s="1"/>
    </row>
    <row r="673" spans="1:39" x14ac:dyDescent="0.35">
      <c r="A673">
        <v>669</v>
      </c>
      <c r="B673">
        <v>670</v>
      </c>
      <c r="C673">
        <v>146.79647955199999</v>
      </c>
      <c r="D673">
        <v>-19.146306938999899</v>
      </c>
      <c r="E673">
        <v>50</v>
      </c>
      <c r="F673" s="64"/>
      <c r="G673" s="64"/>
      <c r="H673" s="64" t="s">
        <v>26</v>
      </c>
      <c r="I673" s="64"/>
      <c r="J673" s="32" t="str">
        <f>IF(AND(I673=1,OR(I672=0,I672="")),MAX($J$4:$J672)+1,IF(AND(I673=1,I672=1),J672,""))</f>
        <v/>
      </c>
      <c r="K673" s="32" t="str">
        <f t="shared" si="46"/>
        <v/>
      </c>
      <c r="L673" s="32" t="str">
        <f t="shared" si="44"/>
        <v/>
      </c>
      <c r="M673" s="32" t="str">
        <f t="shared" si="45"/>
        <v/>
      </c>
      <c r="N673" s="4"/>
      <c r="O673" s="4"/>
      <c r="P673" s="4"/>
      <c r="Q673" s="4"/>
      <c r="U673" s="5"/>
      <c r="V673" s="4"/>
      <c r="AG673" t="s">
        <v>713</v>
      </c>
      <c r="AM673" s="1"/>
    </row>
    <row r="674" spans="1:39" x14ac:dyDescent="0.35">
      <c r="A674">
        <v>670</v>
      </c>
      <c r="B674">
        <v>671</v>
      </c>
      <c r="C674">
        <v>146.79644957100001</v>
      </c>
      <c r="D674">
        <v>-19.146226941999899</v>
      </c>
      <c r="F674" s="64"/>
      <c r="G674" s="64"/>
      <c r="H674" s="64" t="s">
        <v>26</v>
      </c>
      <c r="I674" s="64"/>
      <c r="J674" s="32" t="str">
        <f>IF(AND(I674=1,OR(I673=0,I673="")),MAX($J$4:$J673)+1,IF(AND(I674=1,I673=1),J673,""))</f>
        <v/>
      </c>
      <c r="K674" s="32" t="str">
        <f t="shared" si="46"/>
        <v/>
      </c>
      <c r="L674" s="32" t="str">
        <f t="shared" si="44"/>
        <v/>
      </c>
      <c r="M674" s="32" t="str">
        <f t="shared" si="45"/>
        <v/>
      </c>
      <c r="N674" s="4"/>
      <c r="O674" s="4"/>
      <c r="P674" s="4"/>
      <c r="Q674" s="4"/>
      <c r="U674" s="5"/>
      <c r="V674" s="4"/>
      <c r="AG674" t="s">
        <v>714</v>
      </c>
      <c r="AM674" s="1"/>
    </row>
    <row r="675" spans="1:39" x14ac:dyDescent="0.35">
      <c r="A675">
        <v>671</v>
      </c>
      <c r="B675">
        <v>672</v>
      </c>
      <c r="C675">
        <v>146.79641959</v>
      </c>
      <c r="D675">
        <v>-19.146146945999899</v>
      </c>
      <c r="F675" s="64"/>
      <c r="G675" s="64"/>
      <c r="H675" s="64" t="s">
        <v>26</v>
      </c>
      <c r="I675" s="64"/>
      <c r="J675" s="32" t="str">
        <f>IF(AND(I675=1,OR(I674=0,I674="")),MAX($J$4:$J674)+1,IF(AND(I675=1,I674=1),J674,""))</f>
        <v/>
      </c>
      <c r="K675" s="32" t="str">
        <f t="shared" si="46"/>
        <v/>
      </c>
      <c r="L675" s="32" t="str">
        <f t="shared" si="44"/>
        <v/>
      </c>
      <c r="M675" s="32" t="str">
        <f t="shared" si="45"/>
        <v/>
      </c>
      <c r="N675" s="4"/>
      <c r="O675" s="4"/>
      <c r="P675" s="4"/>
      <c r="Q675" s="4"/>
      <c r="U675" s="5"/>
      <c r="V675" s="4"/>
      <c r="AG675" t="s">
        <v>715</v>
      </c>
      <c r="AM675" s="1"/>
    </row>
    <row r="676" spans="1:39" x14ac:dyDescent="0.35">
      <c r="A676">
        <v>672</v>
      </c>
      <c r="B676">
        <v>673</v>
      </c>
      <c r="C676">
        <v>146.796389608</v>
      </c>
      <c r="D676">
        <v>-19.146066948999898</v>
      </c>
      <c r="F676" s="64"/>
      <c r="G676" s="64"/>
      <c r="H676" s="64" t="s">
        <v>26</v>
      </c>
      <c r="I676" s="64"/>
      <c r="J676" s="32" t="str">
        <f>IF(AND(I676=1,OR(I675=0,I675="")),MAX($J$4:$J675)+1,IF(AND(I676=1,I675=1),J675,""))</f>
        <v/>
      </c>
      <c r="K676" s="32" t="str">
        <f t="shared" si="46"/>
        <v/>
      </c>
      <c r="L676" s="32" t="str">
        <f t="shared" si="44"/>
        <v/>
      </c>
      <c r="M676" s="32" t="str">
        <f t="shared" si="45"/>
        <v/>
      </c>
      <c r="N676" s="4"/>
      <c r="O676" s="4"/>
      <c r="P676" s="4"/>
      <c r="Q676" s="4"/>
      <c r="U676" s="5"/>
      <c r="V676" s="4"/>
      <c r="AG676" t="s">
        <v>716</v>
      </c>
      <c r="AM676" s="1"/>
    </row>
    <row r="677" spans="1:39" x14ac:dyDescent="0.35">
      <c r="A677">
        <v>673</v>
      </c>
      <c r="B677">
        <v>674</v>
      </c>
      <c r="C677">
        <v>146.79635856499999</v>
      </c>
      <c r="D677">
        <v>-19.145987433999899</v>
      </c>
      <c r="F677" s="64"/>
      <c r="G677" s="64"/>
      <c r="H677" s="64" t="s">
        <v>26</v>
      </c>
      <c r="I677" s="64"/>
      <c r="J677" s="32" t="str">
        <f>IF(AND(I677=1,OR(I676=0,I676="")),MAX($J$4:$J676)+1,IF(AND(I677=1,I676=1),J676,""))</f>
        <v/>
      </c>
      <c r="K677" s="32" t="str">
        <f t="shared" si="46"/>
        <v/>
      </c>
      <c r="L677" s="32" t="str">
        <f t="shared" si="44"/>
        <v/>
      </c>
      <c r="M677" s="32" t="str">
        <f t="shared" si="45"/>
        <v/>
      </c>
      <c r="N677" s="4"/>
      <c r="O677" s="4"/>
      <c r="P677" s="4"/>
      <c r="Q677" s="4"/>
      <c r="U677" s="5"/>
      <c r="V677" s="4"/>
      <c r="AG677" t="s">
        <v>717</v>
      </c>
      <c r="AM677" s="1"/>
    </row>
    <row r="678" spans="1:39" x14ac:dyDescent="0.35">
      <c r="A678">
        <v>674</v>
      </c>
      <c r="B678">
        <v>675</v>
      </c>
      <c r="C678">
        <v>146.79631117</v>
      </c>
      <c r="D678">
        <v>-19.145915344999899</v>
      </c>
      <c r="E678">
        <v>50</v>
      </c>
      <c r="F678" s="64"/>
      <c r="G678" s="64"/>
      <c r="H678" s="64" t="s">
        <v>26</v>
      </c>
      <c r="I678" s="64"/>
      <c r="J678" s="32" t="str">
        <f>IF(AND(I678=1,OR(I677=0,I677="")),MAX($J$4:$J677)+1,IF(AND(I678=1,I677=1),J677,""))</f>
        <v/>
      </c>
      <c r="K678" s="32" t="str">
        <f t="shared" si="46"/>
        <v/>
      </c>
      <c r="L678" s="32" t="str">
        <f t="shared" si="44"/>
        <v/>
      </c>
      <c r="M678" s="32" t="str">
        <f t="shared" si="45"/>
        <v/>
      </c>
      <c r="N678" s="4"/>
      <c r="O678" s="4"/>
      <c r="P678" s="4"/>
      <c r="Q678" s="4"/>
      <c r="U678" s="5"/>
      <c r="V678" s="4"/>
      <c r="AG678" t="s">
        <v>718</v>
      </c>
      <c r="AM678" s="1"/>
    </row>
    <row r="679" spans="1:39" x14ac:dyDescent="0.35">
      <c r="A679">
        <v>675</v>
      </c>
      <c r="B679">
        <v>676</v>
      </c>
      <c r="C679">
        <v>146.79626377400001</v>
      </c>
      <c r="D679">
        <v>-19.1458432549999</v>
      </c>
      <c r="F679" s="64"/>
      <c r="G679" s="64"/>
      <c r="H679" s="64" t="s">
        <v>26</v>
      </c>
      <c r="I679" s="64"/>
      <c r="J679" s="32" t="str">
        <f>IF(AND(I679=1,OR(I678=0,I678="")),MAX($J$4:$J678)+1,IF(AND(I679=1,I678=1),J678,""))</f>
        <v/>
      </c>
      <c r="K679" s="32" t="str">
        <f t="shared" si="46"/>
        <v/>
      </c>
      <c r="L679" s="32" t="str">
        <f t="shared" si="44"/>
        <v/>
      </c>
      <c r="M679" s="32" t="str">
        <f t="shared" si="45"/>
        <v/>
      </c>
      <c r="N679" s="4"/>
      <c r="O679" s="4"/>
      <c r="P679" s="4"/>
      <c r="Q679" s="4"/>
      <c r="U679" s="5"/>
      <c r="V679" s="4"/>
      <c r="AG679" t="s">
        <v>719</v>
      </c>
      <c r="AM679" s="1"/>
    </row>
    <row r="680" spans="1:39" x14ac:dyDescent="0.35">
      <c r="A680">
        <v>676</v>
      </c>
      <c r="B680">
        <v>677</v>
      </c>
      <c r="C680">
        <v>146.796216378</v>
      </c>
      <c r="D680">
        <v>-19.1457711649999</v>
      </c>
      <c r="F680" s="64"/>
      <c r="G680" s="64"/>
      <c r="H680" s="64" t="s">
        <v>26</v>
      </c>
      <c r="I680" s="64"/>
      <c r="J680" s="32" t="str">
        <f>IF(AND(I680=1,OR(I679=0,I679="")),MAX($J$4:$J679)+1,IF(AND(I680=1,I679=1),J679,""))</f>
        <v/>
      </c>
      <c r="K680" s="32" t="str">
        <f t="shared" si="46"/>
        <v/>
      </c>
      <c r="L680" s="32" t="str">
        <f t="shared" si="44"/>
        <v/>
      </c>
      <c r="M680" s="32" t="str">
        <f t="shared" si="45"/>
        <v/>
      </c>
      <c r="N680" s="4"/>
      <c r="O680" s="4"/>
      <c r="P680" s="4"/>
      <c r="Q680" s="4"/>
      <c r="U680" s="5"/>
      <c r="V680" s="4"/>
      <c r="AG680" t="s">
        <v>720</v>
      </c>
      <c r="AM680" s="1"/>
    </row>
    <row r="681" spans="1:39" x14ac:dyDescent="0.35">
      <c r="A681">
        <v>677</v>
      </c>
      <c r="B681">
        <v>678</v>
      </c>
      <c r="C681">
        <v>146.79616898200001</v>
      </c>
      <c r="D681">
        <v>-19.145699075</v>
      </c>
      <c r="F681" s="64"/>
      <c r="G681" s="64"/>
      <c r="H681" s="64" t="s">
        <v>26</v>
      </c>
      <c r="I681" s="64"/>
      <c r="J681" s="32" t="str">
        <f>IF(AND(I681=1,OR(I680=0,I680="")),MAX($J$4:$J680)+1,IF(AND(I681=1,I680=1),J680,""))</f>
        <v/>
      </c>
      <c r="K681" s="32" t="str">
        <f t="shared" si="46"/>
        <v/>
      </c>
      <c r="L681" s="32" t="str">
        <f t="shared" si="44"/>
        <v/>
      </c>
      <c r="M681" s="32" t="str">
        <f t="shared" si="45"/>
        <v/>
      </c>
      <c r="N681" s="4"/>
      <c r="O681" s="4"/>
      <c r="P681" s="4"/>
      <c r="Q681" s="4"/>
      <c r="U681" s="5"/>
      <c r="V681" s="4"/>
      <c r="AG681" t="s">
        <v>721</v>
      </c>
      <c r="AM681" s="1"/>
    </row>
    <row r="682" spans="1:39" x14ac:dyDescent="0.35">
      <c r="A682">
        <v>678</v>
      </c>
      <c r="B682">
        <v>679</v>
      </c>
      <c r="C682">
        <v>146.796121586</v>
      </c>
      <c r="D682">
        <v>-19.145626986</v>
      </c>
      <c r="F682" s="64"/>
      <c r="G682" s="64"/>
      <c r="H682" s="64" t="s">
        <v>26</v>
      </c>
      <c r="I682" s="64"/>
      <c r="J682" s="32" t="str">
        <f>IF(AND(I682=1,OR(I681=0,I681="")),MAX($J$4:$J681)+1,IF(AND(I682=1,I681=1),J681,""))</f>
        <v/>
      </c>
      <c r="K682" s="32" t="str">
        <f t="shared" si="46"/>
        <v/>
      </c>
      <c r="L682" s="32" t="str">
        <f t="shared" si="44"/>
        <v/>
      </c>
      <c r="M682" s="32" t="str">
        <f t="shared" si="45"/>
        <v/>
      </c>
      <c r="N682" s="4"/>
      <c r="O682" s="4"/>
      <c r="P682" s="4"/>
      <c r="Q682" s="4"/>
      <c r="U682" s="5"/>
      <c r="V682" s="4"/>
      <c r="AG682" t="s">
        <v>722</v>
      </c>
      <c r="AM682" s="1"/>
    </row>
    <row r="683" spans="1:39" x14ac:dyDescent="0.35">
      <c r="A683">
        <v>679</v>
      </c>
      <c r="B683">
        <v>680</v>
      </c>
      <c r="C683">
        <v>146.79607419000001</v>
      </c>
      <c r="D683">
        <v>-19.145554896</v>
      </c>
      <c r="E683">
        <v>50</v>
      </c>
      <c r="F683" s="64"/>
      <c r="G683" s="64"/>
      <c r="H683" s="64" t="s">
        <v>26</v>
      </c>
      <c r="I683" s="64"/>
      <c r="J683" s="32" t="str">
        <f>IF(AND(I683=1,OR(I682=0,I682="")),MAX($J$4:$J682)+1,IF(AND(I683=1,I682=1),J682,""))</f>
        <v/>
      </c>
      <c r="K683" s="32" t="str">
        <f t="shared" si="46"/>
        <v/>
      </c>
      <c r="L683" s="32" t="str">
        <f t="shared" si="44"/>
        <v/>
      </c>
      <c r="M683" s="32" t="str">
        <f t="shared" si="45"/>
        <v/>
      </c>
      <c r="N683" s="4"/>
      <c r="O683" s="4"/>
      <c r="P683" s="4"/>
      <c r="Q683" s="4"/>
      <c r="U683" s="5"/>
      <c r="V683" s="4"/>
      <c r="AG683" t="s">
        <v>723</v>
      </c>
      <c r="AM683" s="1"/>
    </row>
    <row r="684" spans="1:39" x14ac:dyDescent="0.35">
      <c r="A684">
        <v>680</v>
      </c>
      <c r="B684">
        <v>681</v>
      </c>
      <c r="C684">
        <v>146.796026794</v>
      </c>
      <c r="D684">
        <v>-19.145482806</v>
      </c>
      <c r="F684" s="64"/>
      <c r="G684" s="64"/>
      <c r="H684" s="64" t="s">
        <v>26</v>
      </c>
      <c r="I684" s="64"/>
      <c r="J684" s="32" t="str">
        <f>IF(AND(I684=1,OR(I683=0,I683="")),MAX($J$4:$J683)+1,IF(AND(I684=1,I683=1),J683,""))</f>
        <v/>
      </c>
      <c r="K684" s="32" t="str">
        <f t="shared" si="46"/>
        <v/>
      </c>
      <c r="L684" s="32" t="str">
        <f t="shared" si="44"/>
        <v/>
      </c>
      <c r="M684" s="32" t="str">
        <f t="shared" si="45"/>
        <v/>
      </c>
      <c r="N684" s="4"/>
      <c r="O684" s="4"/>
      <c r="P684" s="4"/>
      <c r="Q684" s="4"/>
      <c r="U684" s="5"/>
      <c r="V684" s="4"/>
      <c r="AG684" t="s">
        <v>724</v>
      </c>
      <c r="AM684" s="1"/>
    </row>
    <row r="685" spans="1:39" x14ac:dyDescent="0.35">
      <c r="A685">
        <v>681</v>
      </c>
      <c r="B685">
        <v>682</v>
      </c>
      <c r="C685">
        <v>146.79597623500001</v>
      </c>
      <c r="D685">
        <v>-19.145412743000001</v>
      </c>
      <c r="F685" s="64"/>
      <c r="G685" s="64"/>
      <c r="H685" s="64" t="s">
        <v>26</v>
      </c>
      <c r="I685" s="64"/>
      <c r="J685" s="32" t="str">
        <f>IF(AND(I685=1,OR(I684=0,I684="")),MAX($J$4:$J684)+1,IF(AND(I685=1,I684=1),J684,""))</f>
        <v/>
      </c>
      <c r="K685" s="32" t="str">
        <f t="shared" si="46"/>
        <v/>
      </c>
      <c r="L685" s="32" t="str">
        <f t="shared" si="44"/>
        <v/>
      </c>
      <c r="M685" s="32" t="str">
        <f t="shared" si="45"/>
        <v/>
      </c>
      <c r="N685" s="4"/>
      <c r="O685" s="4"/>
      <c r="P685" s="4"/>
      <c r="Q685" s="4"/>
      <c r="U685" s="5"/>
      <c r="V685" s="4"/>
      <c r="AG685" t="s">
        <v>725</v>
      </c>
      <c r="AM685" s="1"/>
    </row>
    <row r="686" spans="1:39" x14ac:dyDescent="0.35">
      <c r="A686">
        <v>682</v>
      </c>
      <c r="B686">
        <v>683</v>
      </c>
      <c r="C686">
        <v>146.795922856</v>
      </c>
      <c r="D686">
        <v>-19.1453444869999</v>
      </c>
      <c r="F686" s="64"/>
      <c r="G686" s="64"/>
      <c r="H686" s="64" t="s">
        <v>26</v>
      </c>
      <c r="I686" s="64"/>
      <c r="J686" s="32" t="str">
        <f>IF(AND(I686=1,OR(I685=0,I685="")),MAX($J$4:$J685)+1,IF(AND(I686=1,I685=1),J685,""))</f>
        <v/>
      </c>
      <c r="K686" s="32" t="str">
        <f t="shared" si="46"/>
        <v/>
      </c>
      <c r="L686" s="32" t="str">
        <f t="shared" si="44"/>
        <v/>
      </c>
      <c r="M686" s="32" t="str">
        <f t="shared" si="45"/>
        <v/>
      </c>
      <c r="N686" s="4"/>
      <c r="O686" s="4"/>
      <c r="P686" s="4"/>
      <c r="Q686" s="4"/>
      <c r="U686" s="5"/>
      <c r="V686" s="4"/>
      <c r="AG686" t="s">
        <v>726</v>
      </c>
      <c r="AM686" s="1"/>
    </row>
    <row r="687" spans="1:39" x14ac:dyDescent="0.35">
      <c r="A687">
        <v>683</v>
      </c>
      <c r="B687">
        <v>684</v>
      </c>
      <c r="C687">
        <v>146.795869477</v>
      </c>
      <c r="D687">
        <v>-19.145276231</v>
      </c>
      <c r="F687" s="64"/>
      <c r="G687" s="64"/>
      <c r="H687" s="64" t="s">
        <v>26</v>
      </c>
      <c r="I687" s="64"/>
      <c r="J687" s="32" t="str">
        <f>IF(AND(I687=1,OR(I686=0,I686="")),MAX($J$4:$J686)+1,IF(AND(I687=1,I686=1),J686,""))</f>
        <v/>
      </c>
      <c r="K687" s="32" t="str">
        <f t="shared" si="46"/>
        <v/>
      </c>
      <c r="L687" s="32" t="str">
        <f t="shared" si="44"/>
        <v/>
      </c>
      <c r="M687" s="32" t="str">
        <f t="shared" si="45"/>
        <v/>
      </c>
      <c r="N687" s="4"/>
      <c r="O687" s="4"/>
      <c r="P687" s="4"/>
      <c r="Q687" s="4"/>
      <c r="U687" s="5"/>
      <c r="V687" s="4"/>
      <c r="AG687" t="s">
        <v>727</v>
      </c>
      <c r="AM687" s="1"/>
    </row>
    <row r="688" spans="1:39" x14ac:dyDescent="0.35">
      <c r="A688">
        <v>684</v>
      </c>
      <c r="B688">
        <v>685</v>
      </c>
      <c r="C688">
        <v>146.79581609900001</v>
      </c>
      <c r="D688">
        <v>-19.145207974000002</v>
      </c>
      <c r="E688">
        <v>50</v>
      </c>
      <c r="F688" s="64"/>
      <c r="G688" s="64"/>
      <c r="H688" s="64" t="s">
        <v>26</v>
      </c>
      <c r="I688" s="64"/>
      <c r="J688" s="32" t="str">
        <f>IF(AND(I688=1,OR(I687=0,I687="")),MAX($J$4:$J687)+1,IF(AND(I688=1,I687=1),J687,""))</f>
        <v/>
      </c>
      <c r="K688" s="32" t="str">
        <f t="shared" si="46"/>
        <v/>
      </c>
      <c r="L688" s="32" t="str">
        <f t="shared" si="44"/>
        <v/>
      </c>
      <c r="M688" s="32" t="str">
        <f t="shared" si="45"/>
        <v/>
      </c>
      <c r="N688" s="4"/>
      <c r="O688" s="4"/>
      <c r="P688" s="4"/>
      <c r="Q688" s="4"/>
      <c r="U688" s="5"/>
      <c r="V688" s="4"/>
      <c r="AG688" t="s">
        <v>728</v>
      </c>
      <c r="AM688" s="1"/>
    </row>
    <row r="689" spans="1:39" x14ac:dyDescent="0.35">
      <c r="A689">
        <v>685</v>
      </c>
      <c r="B689">
        <v>686</v>
      </c>
      <c r="C689">
        <v>146.79576272</v>
      </c>
      <c r="D689">
        <v>-19.1451397179999</v>
      </c>
      <c r="F689" s="64"/>
      <c r="G689" s="64"/>
      <c r="H689" s="64" t="s">
        <v>26</v>
      </c>
      <c r="I689" s="64"/>
      <c r="J689" s="32" t="str">
        <f>IF(AND(I689=1,OR(I688=0,I688="")),MAX($J$4:$J688)+1,IF(AND(I689=1,I688=1),J688,""))</f>
        <v/>
      </c>
      <c r="K689" s="32" t="str">
        <f t="shared" si="46"/>
        <v/>
      </c>
      <c r="L689" s="32" t="str">
        <f t="shared" si="44"/>
        <v/>
      </c>
      <c r="M689" s="32" t="str">
        <f t="shared" si="45"/>
        <v/>
      </c>
      <c r="N689" s="4"/>
      <c r="O689" s="4"/>
      <c r="P689" s="4"/>
      <c r="Q689" s="4"/>
      <c r="U689" s="5"/>
      <c r="V689" s="4"/>
      <c r="AG689" t="s">
        <v>729</v>
      </c>
      <c r="AM689" s="1"/>
    </row>
    <row r="690" spans="1:39" x14ac:dyDescent="0.35">
      <c r="A690">
        <v>686</v>
      </c>
      <c r="B690">
        <v>687</v>
      </c>
      <c r="C690">
        <v>146.79570934099999</v>
      </c>
      <c r="D690">
        <v>-19.145071462000001</v>
      </c>
      <c r="F690" s="64"/>
      <c r="G690" s="64"/>
      <c r="H690" s="64" t="s">
        <v>26</v>
      </c>
      <c r="I690" s="64"/>
      <c r="J690" s="32" t="str">
        <f>IF(AND(I690=1,OR(I689=0,I689="")),MAX($J$4:$J689)+1,IF(AND(I690=1,I689=1),J689,""))</f>
        <v/>
      </c>
      <c r="K690" s="32" t="str">
        <f t="shared" si="46"/>
        <v/>
      </c>
      <c r="L690" s="32" t="str">
        <f t="shared" si="44"/>
        <v/>
      </c>
      <c r="M690" s="32" t="str">
        <f t="shared" si="45"/>
        <v/>
      </c>
      <c r="N690" s="4"/>
      <c r="O690" s="4"/>
      <c r="P690" s="4"/>
      <c r="Q690" s="4"/>
      <c r="U690" s="5"/>
      <c r="V690" s="4"/>
      <c r="AG690" t="s">
        <v>730</v>
      </c>
      <c r="AM690" s="1"/>
    </row>
    <row r="691" spans="1:39" x14ac:dyDescent="0.35">
      <c r="A691">
        <v>687</v>
      </c>
      <c r="B691">
        <v>688</v>
      </c>
      <c r="C691">
        <v>146.79565596200001</v>
      </c>
      <c r="D691">
        <v>-19.145003205999998</v>
      </c>
      <c r="F691" s="64"/>
      <c r="G691" s="64"/>
      <c r="H691" s="64" t="s">
        <v>26</v>
      </c>
      <c r="I691" s="64"/>
      <c r="J691" s="32" t="str">
        <f>IF(AND(I691=1,OR(I690=0,I690="")),MAX($J$4:$J690)+1,IF(AND(I691=1,I690=1),J690,""))</f>
        <v/>
      </c>
      <c r="K691" s="32" t="str">
        <f t="shared" si="46"/>
        <v/>
      </c>
      <c r="L691" s="32" t="str">
        <f t="shared" si="44"/>
        <v/>
      </c>
      <c r="M691" s="32" t="str">
        <f t="shared" si="45"/>
        <v/>
      </c>
      <c r="N691" s="4"/>
      <c r="O691" s="4"/>
      <c r="P691" s="4"/>
      <c r="Q691" s="4"/>
      <c r="U691" s="5"/>
      <c r="V691" s="4"/>
      <c r="AG691" t="s">
        <v>731</v>
      </c>
      <c r="AM691" s="1"/>
    </row>
    <row r="692" spans="1:39" x14ac:dyDescent="0.35">
      <c r="A692">
        <v>688</v>
      </c>
      <c r="B692">
        <v>689</v>
      </c>
      <c r="C692">
        <v>146.79560334999999</v>
      </c>
      <c r="D692">
        <v>-19.144934421999899</v>
      </c>
      <c r="F692" s="64"/>
      <c r="G692" s="64"/>
      <c r="H692" s="64" t="s">
        <v>26</v>
      </c>
      <c r="I692" s="64"/>
      <c r="J692" s="32" t="str">
        <f>IF(AND(I692=1,OR(I691=0,I691="")),MAX($J$4:$J691)+1,IF(AND(I692=1,I691=1),J691,""))</f>
        <v/>
      </c>
      <c r="K692" s="32" t="str">
        <f t="shared" si="46"/>
        <v/>
      </c>
      <c r="L692" s="32" t="str">
        <f t="shared" si="44"/>
        <v/>
      </c>
      <c r="M692" s="32" t="str">
        <f t="shared" si="45"/>
        <v/>
      </c>
      <c r="N692" s="4"/>
      <c r="O692" s="4"/>
      <c r="P692" s="4"/>
      <c r="Q692" s="4"/>
      <c r="U692" s="5"/>
      <c r="V692" s="4"/>
      <c r="AG692" t="s">
        <v>732</v>
      </c>
      <c r="AM692" s="1"/>
    </row>
    <row r="693" spans="1:39" x14ac:dyDescent="0.35">
      <c r="A693">
        <v>689</v>
      </c>
      <c r="B693">
        <v>690</v>
      </c>
      <c r="C693">
        <v>146.795550883</v>
      </c>
      <c r="D693">
        <v>-19.144865536999902</v>
      </c>
      <c r="E693">
        <v>50</v>
      </c>
      <c r="F693" s="64"/>
      <c r="G693" s="64"/>
      <c r="H693" s="64" t="s">
        <v>26</v>
      </c>
      <c r="I693" s="64"/>
      <c r="J693" s="32" t="str">
        <f>IF(AND(I693=1,OR(I692=0,I692="")),MAX($J$4:$J692)+1,IF(AND(I693=1,I692=1),J692,""))</f>
        <v/>
      </c>
      <c r="K693" s="32" t="str">
        <f t="shared" si="46"/>
        <v/>
      </c>
      <c r="L693" s="32" t="str">
        <f t="shared" si="44"/>
        <v/>
      </c>
      <c r="M693" s="32" t="str">
        <f t="shared" si="45"/>
        <v/>
      </c>
      <c r="N693" s="4"/>
      <c r="O693" s="4"/>
      <c r="P693" s="4"/>
      <c r="Q693" s="4"/>
      <c r="U693" s="5"/>
      <c r="V693" s="4"/>
      <c r="AG693" t="s">
        <v>733</v>
      </c>
      <c r="AM693" s="1"/>
    </row>
    <row r="694" spans="1:39" x14ac:dyDescent="0.35">
      <c r="A694">
        <v>690</v>
      </c>
      <c r="B694">
        <v>691</v>
      </c>
      <c r="C694">
        <v>146.79549841599999</v>
      </c>
      <c r="D694">
        <v>-19.144796653</v>
      </c>
      <c r="F694" s="64"/>
      <c r="G694" s="64"/>
      <c r="H694" s="64" t="s">
        <v>26</v>
      </c>
      <c r="I694" s="64"/>
      <c r="J694" s="32" t="str">
        <f>IF(AND(I694=1,OR(I693=0,I693="")),MAX($J$4:$J693)+1,IF(AND(I694=1,I693=1),J693,""))</f>
        <v/>
      </c>
      <c r="K694" s="32" t="str">
        <f t="shared" si="46"/>
        <v/>
      </c>
      <c r="L694" s="32" t="str">
        <f t="shared" si="44"/>
        <v/>
      </c>
      <c r="M694" s="32" t="str">
        <f t="shared" si="45"/>
        <v/>
      </c>
      <c r="N694" s="4"/>
      <c r="O694" s="4"/>
      <c r="P694" s="4"/>
      <c r="Q694" s="4"/>
      <c r="U694" s="5"/>
      <c r="V694" s="4"/>
      <c r="AG694" t="s">
        <v>734</v>
      </c>
      <c r="AM694" s="1"/>
    </row>
    <row r="695" spans="1:39" x14ac:dyDescent="0.35">
      <c r="A695">
        <v>691</v>
      </c>
      <c r="B695">
        <v>692</v>
      </c>
      <c r="C695">
        <v>146.795445949</v>
      </c>
      <c r="D695">
        <v>-19.1447277679999</v>
      </c>
      <c r="F695" s="64"/>
      <c r="G695" s="64"/>
      <c r="H695" s="64" t="s">
        <v>26</v>
      </c>
      <c r="I695" s="64"/>
      <c r="J695" s="32" t="str">
        <f>IF(AND(I695=1,OR(I694=0,I694="")),MAX($J$4:$J694)+1,IF(AND(I695=1,I694=1),J694,""))</f>
        <v/>
      </c>
      <c r="K695" s="32" t="str">
        <f t="shared" si="46"/>
        <v/>
      </c>
      <c r="L695" s="32" t="str">
        <f t="shared" si="44"/>
        <v/>
      </c>
      <c r="M695" s="32" t="str">
        <f t="shared" si="45"/>
        <v/>
      </c>
      <c r="N695" s="4"/>
      <c r="O695" s="4"/>
      <c r="P695" s="4"/>
      <c r="Q695" s="4"/>
      <c r="U695" s="5"/>
      <c r="V695" s="4"/>
      <c r="AG695" t="s">
        <v>735</v>
      </c>
      <c r="AM695" s="1"/>
    </row>
    <row r="696" spans="1:39" x14ac:dyDescent="0.35">
      <c r="A696">
        <v>692</v>
      </c>
      <c r="B696">
        <v>693</v>
      </c>
      <c r="C696">
        <v>146.795407799</v>
      </c>
      <c r="D696">
        <v>-19.144652496999999</v>
      </c>
      <c r="F696" s="64"/>
      <c r="G696" s="64"/>
      <c r="H696" s="64" t="s">
        <v>26</v>
      </c>
      <c r="I696" s="64"/>
      <c r="J696" s="32" t="str">
        <f>IF(AND(I696=1,OR(I695=0,I695="")),MAX($J$4:$J695)+1,IF(AND(I696=1,I695=1),J695,""))</f>
        <v/>
      </c>
      <c r="K696" s="32" t="str">
        <f t="shared" si="46"/>
        <v/>
      </c>
      <c r="L696" s="32" t="str">
        <f t="shared" si="44"/>
        <v/>
      </c>
      <c r="M696" s="32" t="str">
        <f t="shared" si="45"/>
        <v/>
      </c>
      <c r="N696" s="4"/>
      <c r="O696" s="4"/>
      <c r="P696" s="4"/>
      <c r="Q696" s="4"/>
      <c r="U696" s="5"/>
      <c r="V696" s="4"/>
      <c r="AG696" t="s">
        <v>736</v>
      </c>
      <c r="AM696" s="1"/>
    </row>
    <row r="697" spans="1:39" x14ac:dyDescent="0.35">
      <c r="A697">
        <v>693</v>
      </c>
      <c r="B697">
        <v>694</v>
      </c>
      <c r="C697">
        <v>146.795384818</v>
      </c>
      <c r="D697">
        <v>-19.144570456999901</v>
      </c>
      <c r="F697" s="64"/>
      <c r="G697" s="64"/>
      <c r="H697" s="64" t="s">
        <v>26</v>
      </c>
      <c r="I697" s="64"/>
      <c r="J697" s="32" t="str">
        <f>IF(AND(I697=1,OR(I696=0,I696="")),MAX($J$4:$J696)+1,IF(AND(I697=1,I696=1),J696,""))</f>
        <v/>
      </c>
      <c r="K697" s="32" t="str">
        <f t="shared" si="46"/>
        <v/>
      </c>
      <c r="L697" s="32" t="str">
        <f t="shared" si="44"/>
        <v/>
      </c>
      <c r="M697" s="32" t="str">
        <f t="shared" si="45"/>
        <v/>
      </c>
      <c r="N697" s="4"/>
      <c r="O697" s="4"/>
      <c r="P697" s="4"/>
      <c r="Q697" s="4"/>
      <c r="U697" s="5"/>
      <c r="V697" s="4"/>
      <c r="AG697" t="s">
        <v>737</v>
      </c>
      <c r="AM697" s="1"/>
    </row>
    <row r="698" spans="1:39" x14ac:dyDescent="0.35">
      <c r="A698">
        <v>694</v>
      </c>
      <c r="B698">
        <v>695</v>
      </c>
      <c r="C698">
        <v>146.79536183799999</v>
      </c>
      <c r="D698">
        <v>-19.144488418000002</v>
      </c>
      <c r="E698">
        <v>50</v>
      </c>
      <c r="F698" s="64"/>
      <c r="G698" s="64"/>
      <c r="H698" s="64" t="s">
        <v>26</v>
      </c>
      <c r="I698" s="64"/>
      <c r="J698" s="32" t="str">
        <f>IF(AND(I698=1,OR(I697=0,I697="")),MAX($J$4:$J697)+1,IF(AND(I698=1,I697=1),J697,""))</f>
        <v/>
      </c>
      <c r="K698" s="32" t="str">
        <f t="shared" si="46"/>
        <v/>
      </c>
      <c r="L698" s="32" t="str">
        <f t="shared" si="44"/>
        <v/>
      </c>
      <c r="M698" s="32" t="str">
        <f t="shared" si="45"/>
        <v/>
      </c>
      <c r="N698" s="4"/>
      <c r="O698" s="4"/>
      <c r="P698" s="4"/>
      <c r="Q698" s="4"/>
      <c r="U698" s="5"/>
      <c r="V698" s="4"/>
      <c r="AG698" t="s">
        <v>738</v>
      </c>
      <c r="AM698" s="1"/>
    </row>
    <row r="699" spans="1:39" x14ac:dyDescent="0.35">
      <c r="A699">
        <v>695</v>
      </c>
      <c r="B699">
        <v>696</v>
      </c>
      <c r="C699">
        <v>146.79533885800001</v>
      </c>
      <c r="D699">
        <v>-19.1444063779999</v>
      </c>
      <c r="F699" s="64"/>
      <c r="G699" s="64"/>
      <c r="H699" s="64" t="s">
        <v>26</v>
      </c>
      <c r="I699" s="64"/>
      <c r="J699" s="32" t="str">
        <f>IF(AND(I699=1,OR(I698=0,I698="")),MAX($J$4:$J698)+1,IF(AND(I699=1,I698=1),J698,""))</f>
        <v/>
      </c>
      <c r="K699" s="32" t="str">
        <f t="shared" si="46"/>
        <v/>
      </c>
      <c r="L699" s="32" t="str">
        <f t="shared" si="44"/>
        <v/>
      </c>
      <c r="M699" s="32" t="str">
        <f t="shared" si="45"/>
        <v/>
      </c>
      <c r="N699" s="4"/>
      <c r="O699" s="4"/>
      <c r="P699" s="4"/>
      <c r="Q699" s="4"/>
      <c r="U699" s="5"/>
      <c r="V699" s="4"/>
      <c r="AG699" t="s">
        <v>739</v>
      </c>
      <c r="AM699" s="1"/>
    </row>
    <row r="700" spans="1:39" x14ac:dyDescent="0.35">
      <c r="A700">
        <v>696</v>
      </c>
      <c r="B700">
        <v>697</v>
      </c>
      <c r="C700">
        <v>146.79531456199999</v>
      </c>
      <c r="D700">
        <v>-19.144324744999899</v>
      </c>
      <c r="F700" s="64"/>
      <c r="G700" s="64"/>
      <c r="H700" s="64" t="s">
        <v>26</v>
      </c>
      <c r="I700" s="64"/>
      <c r="J700" s="32" t="str">
        <f>IF(AND(I700=1,OR(I699=0,I699="")),MAX($J$4:$J699)+1,IF(AND(I700=1,I699=1),J699,""))</f>
        <v/>
      </c>
      <c r="K700" s="32" t="str">
        <f t="shared" si="46"/>
        <v/>
      </c>
      <c r="L700" s="32" t="str">
        <f t="shared" si="44"/>
        <v/>
      </c>
      <c r="M700" s="32" t="str">
        <f t="shared" si="45"/>
        <v/>
      </c>
      <c r="N700" s="4"/>
      <c r="O700" s="4"/>
      <c r="P700" s="4"/>
      <c r="Q700" s="4"/>
      <c r="U700" s="5"/>
      <c r="V700" s="4"/>
      <c r="AG700" t="s">
        <v>740</v>
      </c>
      <c r="AM700" s="1"/>
    </row>
    <row r="701" spans="1:39" x14ac:dyDescent="0.35">
      <c r="A701">
        <v>697</v>
      </c>
      <c r="B701">
        <v>698</v>
      </c>
      <c r="C701">
        <v>146.79528175900001</v>
      </c>
      <c r="D701">
        <v>-19.144245741999999</v>
      </c>
      <c r="F701" s="64"/>
      <c r="G701" s="64"/>
      <c r="H701" s="64" t="s">
        <v>26</v>
      </c>
      <c r="I701" s="64"/>
      <c r="J701" s="32" t="str">
        <f>IF(AND(I701=1,OR(I700=0,I700="")),MAX($J$4:$J700)+1,IF(AND(I701=1,I700=1),J700,""))</f>
        <v/>
      </c>
      <c r="K701" s="32" t="str">
        <f t="shared" si="46"/>
        <v/>
      </c>
      <c r="L701" s="32" t="str">
        <f t="shared" si="44"/>
        <v/>
      </c>
      <c r="M701" s="32" t="str">
        <f t="shared" si="45"/>
        <v/>
      </c>
      <c r="N701" s="4"/>
      <c r="O701" s="4"/>
      <c r="P701" s="4"/>
      <c r="Q701" s="4"/>
      <c r="U701" s="5"/>
      <c r="V701" s="4"/>
      <c r="AG701" t="s">
        <v>741</v>
      </c>
      <c r="AM701" s="1"/>
    </row>
    <row r="702" spans="1:39" x14ac:dyDescent="0.35">
      <c r="A702">
        <v>698</v>
      </c>
      <c r="B702">
        <v>699</v>
      </c>
      <c r="C702">
        <v>146.79524895700001</v>
      </c>
      <c r="D702">
        <v>-19.144166738999999</v>
      </c>
      <c r="F702" s="64"/>
      <c r="G702" s="64"/>
      <c r="H702" s="64" t="s">
        <v>26</v>
      </c>
      <c r="I702" s="64"/>
      <c r="J702" s="32" t="str">
        <f>IF(AND(I702=1,OR(I701=0,I701="")),MAX($J$4:$J701)+1,IF(AND(I702=1,I701=1),J701,""))</f>
        <v/>
      </c>
      <c r="K702" s="32" t="str">
        <f t="shared" si="46"/>
        <v/>
      </c>
      <c r="L702" s="32" t="str">
        <f t="shared" si="44"/>
        <v/>
      </c>
      <c r="M702" s="32" t="str">
        <f t="shared" si="45"/>
        <v/>
      </c>
      <c r="N702" s="4"/>
      <c r="O702" s="4"/>
      <c r="P702" s="4"/>
      <c r="Q702" s="4"/>
      <c r="U702" s="5"/>
      <c r="V702" s="4"/>
      <c r="AG702" t="s">
        <v>742</v>
      </c>
      <c r="AM702" s="1"/>
    </row>
    <row r="703" spans="1:39" x14ac:dyDescent="0.35">
      <c r="A703">
        <v>699</v>
      </c>
      <c r="B703">
        <v>700</v>
      </c>
      <c r="C703">
        <v>146.795213096</v>
      </c>
      <c r="D703">
        <v>-19.144088932999999</v>
      </c>
      <c r="E703">
        <v>50</v>
      </c>
      <c r="F703" s="64"/>
      <c r="G703" s="64"/>
      <c r="H703" s="64" t="s">
        <v>26</v>
      </c>
      <c r="I703" s="64"/>
      <c r="J703" s="32" t="str">
        <f>IF(AND(I703=1,OR(I702=0,I702="")),MAX($J$4:$J702)+1,IF(AND(I703=1,I702=1),J702,""))</f>
        <v/>
      </c>
      <c r="K703" s="32" t="str">
        <f t="shared" si="46"/>
        <v/>
      </c>
      <c r="L703" s="32" t="str">
        <f t="shared" si="44"/>
        <v/>
      </c>
      <c r="M703" s="32" t="str">
        <f t="shared" si="45"/>
        <v/>
      </c>
      <c r="N703" s="4"/>
      <c r="O703" s="4"/>
      <c r="P703" s="4"/>
      <c r="Q703" s="4"/>
      <c r="U703" s="5"/>
      <c r="V703" s="4"/>
      <c r="AG703" t="s">
        <v>743</v>
      </c>
      <c r="AM703" s="1"/>
    </row>
    <row r="704" spans="1:39" x14ac:dyDescent="0.35">
      <c r="A704">
        <v>700</v>
      </c>
      <c r="B704">
        <v>701</v>
      </c>
      <c r="C704">
        <v>146.79517713800001</v>
      </c>
      <c r="D704">
        <v>-19.144011163999899</v>
      </c>
      <c r="F704" s="64"/>
      <c r="G704" s="64"/>
      <c r="H704" s="64" t="s">
        <v>26</v>
      </c>
      <c r="I704" s="64"/>
      <c r="J704" s="32" t="str">
        <f>IF(AND(I704=1,OR(I703=0,I703="")),MAX($J$4:$J703)+1,IF(AND(I704=1,I703=1),J703,""))</f>
        <v/>
      </c>
      <c r="K704" s="32" t="str">
        <f t="shared" si="46"/>
        <v/>
      </c>
      <c r="L704" s="32" t="str">
        <f t="shared" si="44"/>
        <v/>
      </c>
      <c r="M704" s="32" t="str">
        <f t="shared" si="45"/>
        <v/>
      </c>
      <c r="N704" s="4"/>
      <c r="O704" s="4"/>
      <c r="P704" s="4"/>
      <c r="Q704" s="4"/>
      <c r="U704" s="5"/>
      <c r="V704" s="4"/>
      <c r="AG704" t="s">
        <v>744</v>
      </c>
      <c r="AM704" s="1"/>
    </row>
    <row r="705" spans="1:39" x14ac:dyDescent="0.35">
      <c r="A705">
        <v>701</v>
      </c>
      <c r="B705">
        <v>702</v>
      </c>
      <c r="C705">
        <v>146.79512349800001</v>
      </c>
      <c r="D705">
        <v>-19.1439454009999</v>
      </c>
      <c r="F705" s="64"/>
      <c r="G705" s="64"/>
      <c r="H705" s="64" t="s">
        <v>26</v>
      </c>
      <c r="I705" s="64"/>
      <c r="J705" s="32" t="str">
        <f>IF(AND(I705=1,OR(I704=0,I704="")),MAX($J$4:$J704)+1,IF(AND(I705=1,I704=1),J704,""))</f>
        <v/>
      </c>
      <c r="K705" s="32" t="str">
        <f t="shared" si="46"/>
        <v/>
      </c>
      <c r="L705" s="32" t="str">
        <f t="shared" si="44"/>
        <v/>
      </c>
      <c r="M705" s="32" t="str">
        <f t="shared" si="45"/>
        <v/>
      </c>
      <c r="N705" s="4"/>
      <c r="O705" s="4"/>
      <c r="P705" s="4"/>
      <c r="Q705" s="4"/>
      <c r="U705" s="5"/>
      <c r="V705" s="4"/>
      <c r="AG705" t="s">
        <v>745</v>
      </c>
      <c r="AM705" s="1"/>
    </row>
    <row r="706" spans="1:39" x14ac:dyDescent="0.35">
      <c r="A706">
        <v>702</v>
      </c>
      <c r="B706">
        <v>703</v>
      </c>
      <c r="C706">
        <v>146.79505693600001</v>
      </c>
      <c r="D706">
        <v>-19.143888411999999</v>
      </c>
      <c r="F706" s="64"/>
      <c r="G706" s="64"/>
      <c r="H706" s="64" t="s">
        <v>26</v>
      </c>
      <c r="I706" s="64"/>
      <c r="J706" s="32" t="str">
        <f>IF(AND(I706=1,OR(I705=0,I705="")),MAX($J$4:$J705)+1,IF(AND(I706=1,I705=1),J705,""))</f>
        <v/>
      </c>
      <c r="K706" s="32" t="str">
        <f t="shared" si="46"/>
        <v/>
      </c>
      <c r="L706" s="32" t="str">
        <f t="shared" si="44"/>
        <v/>
      </c>
      <c r="M706" s="32" t="str">
        <f t="shared" si="45"/>
        <v/>
      </c>
      <c r="N706" s="4"/>
      <c r="O706" s="4"/>
      <c r="P706" s="4"/>
      <c r="Q706" s="4"/>
      <c r="U706" s="5"/>
      <c r="V706" s="4"/>
      <c r="AG706" t="s">
        <v>746</v>
      </c>
      <c r="AM706" s="1"/>
    </row>
    <row r="707" spans="1:39" x14ac:dyDescent="0.35">
      <c r="A707">
        <v>703</v>
      </c>
      <c r="B707">
        <v>704</v>
      </c>
      <c r="C707">
        <v>146.794984427</v>
      </c>
      <c r="D707">
        <v>-19.143840762</v>
      </c>
      <c r="F707" s="64"/>
      <c r="G707" s="64"/>
      <c r="H707" s="64" t="s">
        <v>26</v>
      </c>
      <c r="I707" s="64"/>
      <c r="J707" s="32" t="str">
        <f>IF(AND(I707=1,OR(I706=0,I706="")),MAX($J$4:$J706)+1,IF(AND(I707=1,I706=1),J706,""))</f>
        <v/>
      </c>
      <c r="K707" s="32" t="str">
        <f t="shared" si="46"/>
        <v/>
      </c>
      <c r="L707" s="32" t="str">
        <f t="shared" si="44"/>
        <v/>
      </c>
      <c r="M707" s="32" t="str">
        <f t="shared" si="45"/>
        <v/>
      </c>
      <c r="N707" s="4"/>
      <c r="O707" s="4"/>
      <c r="P707" s="4"/>
      <c r="Q707" s="4"/>
      <c r="U707" s="5"/>
      <c r="V707" s="4"/>
      <c r="AG707" t="s">
        <v>747</v>
      </c>
      <c r="AM707" s="1"/>
    </row>
    <row r="708" spans="1:39" x14ac:dyDescent="0.35">
      <c r="A708">
        <v>704</v>
      </c>
      <c r="B708">
        <v>705</v>
      </c>
      <c r="C708">
        <v>146.79489993999999</v>
      </c>
      <c r="D708">
        <v>-19.143811926999899</v>
      </c>
      <c r="E708">
        <v>50</v>
      </c>
      <c r="F708" s="64"/>
      <c r="G708" s="64"/>
      <c r="H708" s="64" t="s">
        <v>26</v>
      </c>
      <c r="I708" s="64"/>
      <c r="J708" s="32" t="str">
        <f>IF(AND(I708=1,OR(I707=0,I707="")),MAX($J$4:$J707)+1,IF(AND(I708=1,I707=1),J707,""))</f>
        <v/>
      </c>
      <c r="K708" s="32" t="str">
        <f t="shared" si="46"/>
        <v/>
      </c>
      <c r="L708" s="32" t="str">
        <f t="shared" ref="L708:L771" si="47">IF(K708="","",IF(K708&gt;=100,"HV",""))</f>
        <v/>
      </c>
      <c r="M708" s="32" t="str">
        <f t="shared" ref="M708:M771" si="48">IF(K708&lt;&gt;"",K708^2,"")</f>
        <v/>
      </c>
      <c r="N708" s="4"/>
      <c r="O708" s="4"/>
      <c r="P708" s="4"/>
      <c r="Q708" s="4"/>
      <c r="U708" s="5"/>
      <c r="V708" s="4"/>
      <c r="AG708" t="s">
        <v>748</v>
      </c>
      <c r="AM708" s="1"/>
    </row>
    <row r="709" spans="1:39" x14ac:dyDescent="0.35">
      <c r="A709">
        <v>705</v>
      </c>
      <c r="B709">
        <v>706</v>
      </c>
      <c r="C709">
        <v>146.79481545300001</v>
      </c>
      <c r="D709">
        <v>-19.143783092</v>
      </c>
      <c r="F709" s="64"/>
      <c r="G709" s="64"/>
      <c r="H709" s="64" t="s">
        <v>26</v>
      </c>
      <c r="I709" s="64"/>
      <c r="J709" s="32" t="str">
        <f>IF(AND(I709=1,OR(I708=0,I708="")),MAX($J$4:$J708)+1,IF(AND(I709=1,I708=1),J708,""))</f>
        <v/>
      </c>
      <c r="K709" s="32" t="str">
        <f t="shared" si="46"/>
        <v/>
      </c>
      <c r="L709" s="32" t="str">
        <f t="shared" si="47"/>
        <v/>
      </c>
      <c r="M709" s="32" t="str">
        <f t="shared" si="48"/>
        <v/>
      </c>
      <c r="N709" s="4"/>
      <c r="O709" s="4"/>
      <c r="P709" s="4"/>
      <c r="Q709" s="4"/>
      <c r="U709" s="5"/>
      <c r="V709" s="4"/>
      <c r="AG709" t="s">
        <v>749</v>
      </c>
      <c r="AM709" s="1"/>
    </row>
    <row r="710" spans="1:39" x14ac:dyDescent="0.35">
      <c r="A710">
        <v>706</v>
      </c>
      <c r="B710">
        <v>707</v>
      </c>
      <c r="C710">
        <v>146.794730966</v>
      </c>
      <c r="D710">
        <v>-19.143754257000001</v>
      </c>
      <c r="F710" s="64"/>
      <c r="G710" s="64"/>
      <c r="H710" s="64" t="s">
        <v>26</v>
      </c>
      <c r="I710" s="64"/>
      <c r="J710" s="32" t="str">
        <f>IF(AND(I710=1,OR(I709=0,I709="")),MAX($J$4:$J709)+1,IF(AND(I710=1,I709=1),J709,""))</f>
        <v/>
      </c>
      <c r="K710" s="32" t="str">
        <f t="shared" si="46"/>
        <v/>
      </c>
      <c r="L710" s="32" t="str">
        <f t="shared" si="47"/>
        <v/>
      </c>
      <c r="M710" s="32" t="str">
        <f t="shared" si="48"/>
        <v/>
      </c>
      <c r="N710" s="4"/>
      <c r="O710" s="4"/>
      <c r="P710" s="4"/>
      <c r="Q710" s="4"/>
      <c r="U710" s="5"/>
      <c r="V710" s="4"/>
      <c r="AG710" t="s">
        <v>750</v>
      </c>
      <c r="AM710" s="1"/>
    </row>
    <row r="711" spans="1:39" x14ac:dyDescent="0.35">
      <c r="A711">
        <v>707</v>
      </c>
      <c r="B711">
        <v>708</v>
      </c>
      <c r="C711">
        <v>146.79464590200001</v>
      </c>
      <c r="D711">
        <v>-19.143726987000001</v>
      </c>
      <c r="F711" s="64"/>
      <c r="G711" s="64"/>
      <c r="H711" s="64" t="s">
        <v>26</v>
      </c>
      <c r="I711" s="64"/>
      <c r="J711" s="32" t="str">
        <f>IF(AND(I711=1,OR(I710=0,I710="")),MAX($J$4:$J710)+1,IF(AND(I711=1,I710=1),J710,""))</f>
        <v/>
      </c>
      <c r="K711" s="32" t="str">
        <f t="shared" si="46"/>
        <v/>
      </c>
      <c r="L711" s="32" t="str">
        <f t="shared" si="47"/>
        <v/>
      </c>
      <c r="M711" s="32" t="str">
        <f t="shared" si="48"/>
        <v/>
      </c>
      <c r="N711" s="4"/>
      <c r="O711" s="4"/>
      <c r="P711" s="4"/>
      <c r="Q711" s="4"/>
      <c r="U711" s="5"/>
      <c r="V711" s="4"/>
      <c r="AG711" t="s">
        <v>751</v>
      </c>
      <c r="AM711" s="1"/>
    </row>
    <row r="712" spans="1:39" x14ac:dyDescent="0.35">
      <c r="A712">
        <v>708</v>
      </c>
      <c r="B712">
        <v>709</v>
      </c>
      <c r="C712">
        <v>146.79456074699999</v>
      </c>
      <c r="D712">
        <v>-19.143699963</v>
      </c>
      <c r="F712" s="64"/>
      <c r="G712" s="64"/>
      <c r="H712" s="64" t="s">
        <v>26</v>
      </c>
      <c r="I712" s="64"/>
      <c r="J712" s="32" t="str">
        <f>IF(AND(I712=1,OR(I711=0,I711="")),MAX($J$4:$J711)+1,IF(AND(I712=1,I711=1),J711,""))</f>
        <v/>
      </c>
      <c r="K712" s="32" t="str">
        <f t="shared" si="46"/>
        <v/>
      </c>
      <c r="L712" s="32" t="str">
        <f t="shared" si="47"/>
        <v/>
      </c>
      <c r="M712" s="32" t="str">
        <f t="shared" si="48"/>
        <v/>
      </c>
      <c r="N712" s="4"/>
      <c r="O712" s="4"/>
      <c r="P712" s="4"/>
      <c r="Q712" s="4"/>
      <c r="U712" s="5"/>
      <c r="V712" s="4"/>
      <c r="AG712" t="s">
        <v>752</v>
      </c>
      <c r="AM712" s="1"/>
    </row>
    <row r="713" spans="1:39" x14ac:dyDescent="0.35">
      <c r="A713">
        <v>709</v>
      </c>
      <c r="B713">
        <v>710</v>
      </c>
      <c r="C713">
        <v>146.79447559100001</v>
      </c>
      <c r="D713">
        <v>-19.143672939999899</v>
      </c>
      <c r="E713">
        <v>50</v>
      </c>
      <c r="F713" s="64"/>
      <c r="G713" s="64"/>
      <c r="H713" s="64" t="s">
        <v>26</v>
      </c>
      <c r="I713" s="64"/>
      <c r="J713" s="32" t="str">
        <f>IF(AND(I713=1,OR(I712=0,I712="")),MAX($J$4:$J712)+1,IF(AND(I713=1,I712=1),J712,""))</f>
        <v/>
      </c>
      <c r="K713" s="32" t="str">
        <f t="shared" si="46"/>
        <v/>
      </c>
      <c r="L713" s="32" t="str">
        <f t="shared" si="47"/>
        <v/>
      </c>
      <c r="M713" s="32" t="str">
        <f t="shared" si="48"/>
        <v/>
      </c>
      <c r="N713" s="4"/>
      <c r="O713" s="4"/>
      <c r="P713" s="4"/>
      <c r="Q713" s="4"/>
      <c r="U713" s="5"/>
      <c r="V713" s="4"/>
      <c r="AG713" t="s">
        <v>753</v>
      </c>
      <c r="AM713" s="1"/>
    </row>
    <row r="714" spans="1:39" x14ac:dyDescent="0.35">
      <c r="A714">
        <v>710</v>
      </c>
      <c r="B714">
        <v>711</v>
      </c>
      <c r="C714">
        <v>146.79438969500001</v>
      </c>
      <c r="D714">
        <v>-19.14365866</v>
      </c>
      <c r="F714" s="64"/>
      <c r="G714" s="64"/>
      <c r="H714" s="64" t="s">
        <v>26</v>
      </c>
      <c r="I714" s="64"/>
      <c r="J714" s="32" t="str">
        <f>IF(AND(I714=1,OR(I713=0,I713="")),MAX($J$4:$J713)+1,IF(AND(I714=1,I713=1),J713,""))</f>
        <v/>
      </c>
      <c r="K714" s="32" t="str">
        <f t="shared" si="46"/>
        <v/>
      </c>
      <c r="L714" s="32" t="str">
        <f t="shared" si="47"/>
        <v/>
      </c>
      <c r="M714" s="32" t="str">
        <f t="shared" si="48"/>
        <v/>
      </c>
      <c r="N714" s="4"/>
      <c r="O714" s="4"/>
      <c r="P714" s="4"/>
      <c r="Q714" s="4"/>
      <c r="U714" s="5"/>
      <c r="V714" s="4"/>
      <c r="AG714" t="s">
        <v>754</v>
      </c>
      <c r="AM714" s="1"/>
    </row>
    <row r="715" spans="1:39" x14ac:dyDescent="0.35">
      <c r="A715">
        <v>711</v>
      </c>
      <c r="B715">
        <v>712</v>
      </c>
      <c r="C715">
        <v>146.79430677400001</v>
      </c>
      <c r="D715">
        <v>-19.143627121999899</v>
      </c>
      <c r="F715" s="64"/>
      <c r="G715" s="64"/>
      <c r="H715" s="64" t="s">
        <v>26</v>
      </c>
      <c r="I715" s="64"/>
      <c r="J715" s="32" t="str">
        <f>IF(AND(I715=1,OR(I714=0,I714="")),MAX($J$4:$J714)+1,IF(AND(I715=1,I714=1),J714,""))</f>
        <v/>
      </c>
      <c r="K715" s="32" t="str">
        <f t="shared" si="46"/>
        <v/>
      </c>
      <c r="L715" s="32" t="str">
        <f t="shared" si="47"/>
        <v/>
      </c>
      <c r="M715" s="32" t="str">
        <f t="shared" si="48"/>
        <v/>
      </c>
      <c r="N715" s="4"/>
      <c r="O715" s="4"/>
      <c r="P715" s="4"/>
      <c r="Q715" s="4"/>
      <c r="U715" s="5"/>
      <c r="V715" s="4"/>
      <c r="AG715" t="s">
        <v>755</v>
      </c>
      <c r="AM715" s="1"/>
    </row>
    <row r="716" spans="1:39" x14ac:dyDescent="0.35">
      <c r="A716">
        <v>712</v>
      </c>
      <c r="B716">
        <v>713</v>
      </c>
      <c r="C716">
        <v>146.79422406800001</v>
      </c>
      <c r="D716">
        <v>-19.143593998</v>
      </c>
      <c r="F716" s="64"/>
      <c r="G716" s="64"/>
      <c r="H716" s="64" t="s">
        <v>26</v>
      </c>
      <c r="I716" s="64"/>
      <c r="J716" s="32" t="str">
        <f>IF(AND(I716=1,OR(I715=0,I715="")),MAX($J$4:$J715)+1,IF(AND(I716=1,I715=1),J715,""))</f>
        <v/>
      </c>
      <c r="K716" s="32" t="str">
        <f t="shared" si="46"/>
        <v/>
      </c>
      <c r="L716" s="32" t="str">
        <f t="shared" si="47"/>
        <v/>
      </c>
      <c r="M716" s="32" t="str">
        <f t="shared" si="48"/>
        <v/>
      </c>
      <c r="N716" s="4"/>
      <c r="O716" s="4"/>
      <c r="P716" s="4"/>
      <c r="Q716" s="4"/>
      <c r="U716" s="5"/>
      <c r="V716" s="4"/>
      <c r="AG716" t="s">
        <v>756</v>
      </c>
      <c r="AM716" s="1"/>
    </row>
    <row r="717" spans="1:39" x14ac:dyDescent="0.35">
      <c r="A717">
        <v>713</v>
      </c>
      <c r="B717">
        <v>714</v>
      </c>
      <c r="C717">
        <v>146.79416080199999</v>
      </c>
      <c r="D717">
        <v>-19.1435347839999</v>
      </c>
      <c r="F717" s="64"/>
      <c r="G717" s="64"/>
      <c r="H717" s="64" t="s">
        <v>26</v>
      </c>
      <c r="I717" s="64"/>
      <c r="J717" s="32" t="str">
        <f>IF(AND(I717=1,OR(I716=0,I716="")),MAX($J$4:$J716)+1,IF(AND(I717=1,I716=1),J716,""))</f>
        <v/>
      </c>
      <c r="K717" s="32" t="str">
        <f t="shared" si="46"/>
        <v/>
      </c>
      <c r="L717" s="32" t="str">
        <f t="shared" si="47"/>
        <v/>
      </c>
      <c r="M717" s="32" t="str">
        <f t="shared" si="48"/>
        <v/>
      </c>
      <c r="N717" s="4"/>
      <c r="O717" s="4"/>
      <c r="P717" s="4"/>
      <c r="Q717" s="4"/>
      <c r="U717" s="5"/>
      <c r="V717" s="4"/>
      <c r="AG717" t="s">
        <v>757</v>
      </c>
      <c r="AM717" s="1"/>
    </row>
    <row r="718" spans="1:39" x14ac:dyDescent="0.35">
      <c r="A718">
        <v>714</v>
      </c>
      <c r="B718">
        <v>715</v>
      </c>
      <c r="C718">
        <v>146.79409989199999</v>
      </c>
      <c r="D718">
        <v>-19.143472408000001</v>
      </c>
      <c r="E718">
        <v>50</v>
      </c>
      <c r="F718" s="64"/>
      <c r="G718" s="64"/>
      <c r="H718" s="64" t="s">
        <v>26</v>
      </c>
      <c r="I718" s="64"/>
      <c r="J718" s="32" t="str">
        <f>IF(AND(I718=1,OR(I717=0,I717="")),MAX($J$4:$J717)+1,IF(AND(I718=1,I717=1),J717,""))</f>
        <v/>
      </c>
      <c r="K718" s="32" t="str">
        <f t="shared" si="46"/>
        <v/>
      </c>
      <c r="L718" s="32" t="str">
        <f t="shared" si="47"/>
        <v/>
      </c>
      <c r="M718" s="32" t="str">
        <f t="shared" si="48"/>
        <v/>
      </c>
      <c r="N718" s="4"/>
      <c r="O718" s="4"/>
      <c r="P718" s="4"/>
      <c r="Q718" s="4"/>
      <c r="U718" s="5"/>
      <c r="V718" s="4"/>
      <c r="AG718" t="s">
        <v>758</v>
      </c>
      <c r="AM718" s="1"/>
    </row>
    <row r="719" spans="1:39" x14ac:dyDescent="0.35">
      <c r="A719">
        <v>715</v>
      </c>
      <c r="B719">
        <v>716</v>
      </c>
      <c r="C719">
        <v>146.79403898199999</v>
      </c>
      <c r="D719">
        <v>-19.143410030999998</v>
      </c>
      <c r="F719" s="64"/>
      <c r="G719" s="64"/>
      <c r="H719" s="64" t="s">
        <v>26</v>
      </c>
      <c r="I719" s="64"/>
      <c r="J719" s="32" t="str">
        <f>IF(AND(I719=1,OR(I718=0,I718="")),MAX($J$4:$J718)+1,IF(AND(I719=1,I718=1),J718,""))</f>
        <v/>
      </c>
      <c r="K719" s="32" t="str">
        <f t="shared" si="46"/>
        <v/>
      </c>
      <c r="L719" s="32" t="str">
        <f t="shared" si="47"/>
        <v/>
      </c>
      <c r="M719" s="32" t="str">
        <f t="shared" si="48"/>
        <v/>
      </c>
      <c r="N719" s="4"/>
      <c r="O719" s="4"/>
      <c r="P719" s="4"/>
      <c r="Q719" s="4"/>
      <c r="U719" s="5"/>
      <c r="V719" s="4"/>
      <c r="AG719" t="s">
        <v>759</v>
      </c>
      <c r="AM719" s="1"/>
    </row>
    <row r="720" spans="1:39" x14ac:dyDescent="0.35">
      <c r="A720">
        <v>716</v>
      </c>
      <c r="B720">
        <v>717</v>
      </c>
      <c r="C720">
        <v>146.79400168800001</v>
      </c>
      <c r="D720">
        <v>-19.1433368309999</v>
      </c>
      <c r="F720" s="64"/>
      <c r="G720" s="64"/>
      <c r="H720" s="64" t="s">
        <v>26</v>
      </c>
      <c r="I720" s="64"/>
      <c r="J720" s="32" t="str">
        <f>IF(AND(I720=1,OR(I719=0,I719="")),MAX($J$4:$J719)+1,IF(AND(I720=1,I719=1),J719,""))</f>
        <v/>
      </c>
      <c r="K720" s="32" t="str">
        <f t="shared" si="46"/>
        <v/>
      </c>
      <c r="L720" s="32" t="str">
        <f t="shared" si="47"/>
        <v/>
      </c>
      <c r="M720" s="32" t="str">
        <f t="shared" si="48"/>
        <v/>
      </c>
      <c r="N720" s="4"/>
      <c r="O720" s="4"/>
      <c r="P720" s="4"/>
      <c r="Q720" s="4"/>
      <c r="U720" s="5"/>
      <c r="V720" s="4"/>
      <c r="AG720" t="s">
        <v>760</v>
      </c>
      <c r="AM720" s="1"/>
    </row>
    <row r="721" spans="1:39" x14ac:dyDescent="0.35">
      <c r="A721">
        <v>717</v>
      </c>
      <c r="B721">
        <v>718</v>
      </c>
      <c r="C721">
        <v>146.793987531</v>
      </c>
      <c r="D721">
        <v>-19.143253027999901</v>
      </c>
      <c r="F721" s="64"/>
      <c r="G721" s="64"/>
      <c r="H721" s="64" t="s">
        <v>26</v>
      </c>
      <c r="I721" s="64"/>
      <c r="J721" s="32" t="str">
        <f>IF(AND(I721=1,OR(I720=0,I720="")),MAX($J$4:$J720)+1,IF(AND(I721=1,I720=1),J720,""))</f>
        <v/>
      </c>
      <c r="K721" s="32" t="str">
        <f t="shared" si="46"/>
        <v/>
      </c>
      <c r="L721" s="32" t="str">
        <f t="shared" si="47"/>
        <v/>
      </c>
      <c r="M721" s="32" t="str">
        <f t="shared" si="48"/>
        <v/>
      </c>
      <c r="N721" s="4"/>
      <c r="O721" s="4"/>
      <c r="P721" s="4"/>
      <c r="Q721" s="4"/>
      <c r="U721" s="5"/>
      <c r="V721" s="4"/>
      <c r="AG721" t="s">
        <v>761</v>
      </c>
      <c r="AM721" s="1"/>
    </row>
    <row r="722" spans="1:39" x14ac:dyDescent="0.35">
      <c r="A722">
        <v>718</v>
      </c>
      <c r="B722">
        <v>719</v>
      </c>
      <c r="C722">
        <v>146.793973373</v>
      </c>
      <c r="D722">
        <v>-19.143169224000001</v>
      </c>
      <c r="F722" s="64"/>
      <c r="G722" s="64"/>
      <c r="H722" s="64" t="s">
        <v>26</v>
      </c>
      <c r="I722" s="64"/>
      <c r="J722" s="32" t="str">
        <f>IF(AND(I722=1,OR(I721=0,I721="")),MAX($J$4:$J721)+1,IF(AND(I722=1,I721=1),J721,""))</f>
        <v/>
      </c>
      <c r="K722" s="32" t="str">
        <f t="shared" si="46"/>
        <v/>
      </c>
      <c r="L722" s="32" t="str">
        <f t="shared" si="47"/>
        <v/>
      </c>
      <c r="M722" s="32" t="str">
        <f t="shared" si="48"/>
        <v/>
      </c>
      <c r="N722" s="4"/>
      <c r="O722" s="4"/>
      <c r="P722" s="4"/>
      <c r="Q722" s="4"/>
      <c r="U722" s="5"/>
      <c r="V722" s="4"/>
      <c r="AG722" t="s">
        <v>762</v>
      </c>
      <c r="AM722" s="1"/>
    </row>
    <row r="723" spans="1:39" x14ac:dyDescent="0.35">
      <c r="A723">
        <v>719</v>
      </c>
      <c r="B723">
        <v>720</v>
      </c>
      <c r="C723">
        <v>146.79395921599999</v>
      </c>
      <c r="D723">
        <v>-19.143085420999999</v>
      </c>
      <c r="E723">
        <v>50</v>
      </c>
      <c r="F723" s="64"/>
      <c r="G723" s="64"/>
      <c r="H723" s="64" t="s">
        <v>26</v>
      </c>
      <c r="I723" s="64"/>
      <c r="J723" s="32" t="str">
        <f>IF(AND(I723=1,OR(I722=0,I722="")),MAX($J$4:$J722)+1,IF(AND(I723=1,I722=1),J722,""))</f>
        <v/>
      </c>
      <c r="K723" s="32" t="str">
        <f t="shared" si="46"/>
        <v/>
      </c>
      <c r="L723" s="32" t="str">
        <f t="shared" si="47"/>
        <v/>
      </c>
      <c r="M723" s="32" t="str">
        <f t="shared" si="48"/>
        <v/>
      </c>
      <c r="N723" s="4"/>
      <c r="O723" s="4"/>
      <c r="P723" s="4"/>
      <c r="Q723" s="4"/>
      <c r="U723" s="5"/>
      <c r="V723" s="4"/>
      <c r="AG723" t="s">
        <v>763</v>
      </c>
      <c r="AM723" s="1"/>
    </row>
    <row r="724" spans="1:39" x14ac:dyDescent="0.35">
      <c r="A724">
        <v>720</v>
      </c>
      <c r="B724">
        <v>721</v>
      </c>
      <c r="C724">
        <v>146.79394505799999</v>
      </c>
      <c r="D724">
        <v>-19.143001616999999</v>
      </c>
      <c r="F724" s="64"/>
      <c r="G724" s="64"/>
      <c r="H724" s="64" t="s">
        <v>26</v>
      </c>
      <c r="I724" s="64"/>
      <c r="J724" s="32" t="str">
        <f>IF(AND(I724=1,OR(I723=0,I723="")),MAX($J$4:$J723)+1,IF(AND(I724=1,I723=1),J723,""))</f>
        <v/>
      </c>
      <c r="K724" s="32" t="str">
        <f t="shared" si="46"/>
        <v/>
      </c>
      <c r="L724" s="32" t="str">
        <f t="shared" si="47"/>
        <v/>
      </c>
      <c r="M724" s="32" t="str">
        <f t="shared" si="48"/>
        <v/>
      </c>
      <c r="N724" s="4"/>
      <c r="O724" s="4"/>
      <c r="P724" s="4"/>
      <c r="Q724" s="4"/>
      <c r="U724" s="5"/>
      <c r="V724" s="4"/>
      <c r="AG724" t="s">
        <v>764</v>
      </c>
      <c r="AM724" s="1"/>
    </row>
    <row r="725" spans="1:39" x14ac:dyDescent="0.35">
      <c r="A725">
        <v>721</v>
      </c>
      <c r="B725">
        <v>722</v>
      </c>
      <c r="C725">
        <v>146.79393090100001</v>
      </c>
      <c r="D725">
        <v>-19.142917813999901</v>
      </c>
      <c r="F725" s="64"/>
      <c r="G725" s="64"/>
      <c r="H725" s="64" t="s">
        <v>26</v>
      </c>
      <c r="I725" s="64"/>
      <c r="J725" s="32" t="str">
        <f>IF(AND(I725=1,OR(I724=0,I724="")),MAX($J$4:$J724)+1,IF(AND(I725=1,I724=1),J724,""))</f>
        <v/>
      </c>
      <c r="K725" s="32" t="str">
        <f t="shared" si="46"/>
        <v/>
      </c>
      <c r="L725" s="32" t="str">
        <f t="shared" si="47"/>
        <v/>
      </c>
      <c r="M725" s="32" t="str">
        <f t="shared" si="48"/>
        <v/>
      </c>
      <c r="N725" s="4"/>
      <c r="O725" s="4"/>
      <c r="P725" s="4"/>
      <c r="Q725" s="4"/>
      <c r="U725" s="5"/>
      <c r="V725" s="4"/>
      <c r="AG725" t="s">
        <v>765</v>
      </c>
      <c r="AM725" s="1"/>
    </row>
    <row r="726" spans="1:39" x14ac:dyDescent="0.35">
      <c r="A726">
        <v>722</v>
      </c>
      <c r="B726">
        <v>723</v>
      </c>
      <c r="C726">
        <v>146.793916744</v>
      </c>
      <c r="D726">
        <v>-19.142834009999898</v>
      </c>
      <c r="F726" s="64"/>
      <c r="G726" s="64"/>
      <c r="H726" s="64" t="s">
        <v>26</v>
      </c>
      <c r="I726" s="64"/>
      <c r="J726" s="32" t="str">
        <f>IF(AND(I726=1,OR(I725=0,I725="")),MAX($J$4:$J725)+1,IF(AND(I726=1,I725=1),J725,""))</f>
        <v/>
      </c>
      <c r="K726" s="32" t="str">
        <f t="shared" si="46"/>
        <v/>
      </c>
      <c r="L726" s="32" t="str">
        <f t="shared" si="47"/>
        <v/>
      </c>
      <c r="M726" s="32" t="str">
        <f t="shared" si="48"/>
        <v/>
      </c>
      <c r="N726" s="4"/>
      <c r="O726" s="4"/>
      <c r="P726" s="4"/>
      <c r="Q726" s="4"/>
      <c r="U726" s="5"/>
      <c r="V726" s="4"/>
      <c r="AG726" t="s">
        <v>766</v>
      </c>
      <c r="AM726" s="1"/>
    </row>
    <row r="727" spans="1:39" x14ac:dyDescent="0.35">
      <c r="A727">
        <v>723</v>
      </c>
      <c r="B727">
        <v>724</v>
      </c>
      <c r="C727">
        <v>146.793902586</v>
      </c>
      <c r="D727">
        <v>-19.142750205999999</v>
      </c>
      <c r="F727" s="64"/>
      <c r="G727" s="64"/>
      <c r="H727" s="64" t="s">
        <v>26</v>
      </c>
      <c r="I727" s="64"/>
      <c r="J727" s="32" t="str">
        <f>IF(AND(I727=1,OR(I726=0,I726="")),MAX($J$4:$J726)+1,IF(AND(I727=1,I726=1),J726,""))</f>
        <v/>
      </c>
      <c r="K727" s="32" t="str">
        <f t="shared" si="46"/>
        <v/>
      </c>
      <c r="L727" s="32" t="str">
        <f t="shared" si="47"/>
        <v/>
      </c>
      <c r="M727" s="32" t="str">
        <f t="shared" si="48"/>
        <v/>
      </c>
      <c r="N727" s="4"/>
      <c r="O727" s="4"/>
      <c r="P727" s="4"/>
      <c r="Q727" s="4"/>
      <c r="U727" s="5"/>
      <c r="V727" s="4"/>
      <c r="AG727" t="s">
        <v>767</v>
      </c>
      <c r="AM727" s="1"/>
    </row>
    <row r="728" spans="1:39" x14ac:dyDescent="0.35">
      <c r="A728">
        <v>724</v>
      </c>
      <c r="B728">
        <v>725</v>
      </c>
      <c r="C728">
        <v>146.79389427199999</v>
      </c>
      <c r="D728">
        <v>-19.142665861999902</v>
      </c>
      <c r="E728">
        <v>50</v>
      </c>
      <c r="F728" s="64"/>
      <c r="G728" s="64"/>
      <c r="H728" s="64" t="s">
        <v>26</v>
      </c>
      <c r="I728" s="64"/>
      <c r="J728" s="32" t="str">
        <f>IF(AND(I728=1,OR(I727=0,I727="")),MAX($J$4:$J727)+1,IF(AND(I728=1,I727=1),J727,""))</f>
        <v/>
      </c>
      <c r="K728" s="32" t="str">
        <f t="shared" si="46"/>
        <v/>
      </c>
      <c r="L728" s="32" t="str">
        <f t="shared" si="47"/>
        <v/>
      </c>
      <c r="M728" s="32" t="str">
        <f t="shared" si="48"/>
        <v/>
      </c>
      <c r="N728" s="4"/>
      <c r="O728" s="4"/>
      <c r="P728" s="4"/>
      <c r="Q728" s="4"/>
      <c r="U728" s="5"/>
      <c r="V728" s="4"/>
      <c r="AG728" t="s">
        <v>768</v>
      </c>
      <c r="AM728" s="1"/>
    </row>
    <row r="729" spans="1:39" x14ac:dyDescent="0.35">
      <c r="A729">
        <v>725</v>
      </c>
      <c r="B729">
        <v>726</v>
      </c>
      <c r="C729">
        <v>146.793890917</v>
      </c>
      <c r="D729">
        <v>-19.142581057000001</v>
      </c>
      <c r="F729" s="64"/>
      <c r="G729" s="64"/>
      <c r="H729" s="64" t="s">
        <v>26</v>
      </c>
      <c r="I729" s="64"/>
      <c r="J729" s="32" t="str">
        <f>IF(AND(I729=1,OR(I728=0,I728="")),MAX($J$4:$J728)+1,IF(AND(I729=1,I728=1),J728,""))</f>
        <v/>
      </c>
      <c r="K729" s="32" t="str">
        <f t="shared" si="46"/>
        <v/>
      </c>
      <c r="L729" s="32" t="str">
        <f t="shared" si="47"/>
        <v/>
      </c>
      <c r="M729" s="32" t="str">
        <f t="shared" si="48"/>
        <v/>
      </c>
      <c r="N729" s="4"/>
      <c r="O729" s="4"/>
      <c r="P729" s="4"/>
      <c r="Q729" s="4"/>
      <c r="U729" s="5"/>
      <c r="V729" s="4"/>
      <c r="AG729" t="s">
        <v>769</v>
      </c>
      <c r="AM729" s="1"/>
    </row>
    <row r="730" spans="1:39" x14ac:dyDescent="0.35">
      <c r="A730">
        <v>726</v>
      </c>
      <c r="B730">
        <v>727</v>
      </c>
      <c r="C730">
        <v>146.79388677399999</v>
      </c>
      <c r="D730">
        <v>-19.142496283</v>
      </c>
      <c r="F730" s="64"/>
      <c r="G730" s="64"/>
      <c r="H730" s="64" t="s">
        <v>26</v>
      </c>
      <c r="I730" s="64"/>
      <c r="J730" s="32" t="str">
        <f>IF(AND(I730=1,OR(I729=0,I729="")),MAX($J$4:$J729)+1,IF(AND(I730=1,I729=1),J729,""))</f>
        <v/>
      </c>
      <c r="K730" s="32" t="str">
        <f t="shared" si="46"/>
        <v/>
      </c>
      <c r="L730" s="32" t="str">
        <f t="shared" si="47"/>
        <v/>
      </c>
      <c r="M730" s="32" t="str">
        <f t="shared" si="48"/>
        <v/>
      </c>
      <c r="N730" s="4"/>
      <c r="O730" s="4"/>
      <c r="P730" s="4"/>
      <c r="Q730" s="4"/>
      <c r="U730" s="5"/>
      <c r="V730" s="4"/>
      <c r="AG730" t="s">
        <v>770</v>
      </c>
      <c r="AM730" s="1"/>
    </row>
    <row r="731" spans="1:39" x14ac:dyDescent="0.35">
      <c r="A731">
        <v>727</v>
      </c>
      <c r="B731">
        <v>728</v>
      </c>
      <c r="C731">
        <v>146.79388205399999</v>
      </c>
      <c r="D731">
        <v>-19.142411535999901</v>
      </c>
      <c r="F731" s="64"/>
      <c r="G731" s="64"/>
      <c r="H731" s="64" t="s">
        <v>26</v>
      </c>
      <c r="I731" s="64"/>
      <c r="J731" s="32" t="str">
        <f>IF(AND(I731=1,OR(I730=0,I730="")),MAX($J$4:$J730)+1,IF(AND(I731=1,I730=1),J730,""))</f>
        <v/>
      </c>
      <c r="K731" s="32" t="str">
        <f t="shared" si="46"/>
        <v/>
      </c>
      <c r="L731" s="32" t="str">
        <f t="shared" si="47"/>
        <v/>
      </c>
      <c r="M731" s="32" t="str">
        <f t="shared" si="48"/>
        <v/>
      </c>
      <c r="N731" s="4"/>
      <c r="O731" s="4"/>
      <c r="P731" s="4"/>
      <c r="Q731" s="4"/>
      <c r="U731" s="5"/>
      <c r="V731" s="4"/>
      <c r="AG731" t="s">
        <v>771</v>
      </c>
      <c r="AM731" s="1"/>
    </row>
    <row r="732" spans="1:39" x14ac:dyDescent="0.35">
      <c r="A732">
        <v>728</v>
      </c>
      <c r="B732">
        <v>729</v>
      </c>
      <c r="C732">
        <v>146.793877205</v>
      </c>
      <c r="D732">
        <v>-19.142326794999999</v>
      </c>
      <c r="F732" s="64"/>
      <c r="G732" s="64"/>
      <c r="H732" s="64" t="s">
        <v>26</v>
      </c>
      <c r="I732" s="64"/>
      <c r="J732" s="32" t="str">
        <f>IF(AND(I732=1,OR(I731=0,I731="")),MAX($J$4:$J731)+1,IF(AND(I732=1,I731=1),J731,""))</f>
        <v/>
      </c>
      <c r="K732" s="32" t="str">
        <f t="shared" si="46"/>
        <v/>
      </c>
      <c r="L732" s="32" t="str">
        <f t="shared" si="47"/>
        <v/>
      </c>
      <c r="M732" s="32" t="str">
        <f t="shared" si="48"/>
        <v/>
      </c>
      <c r="N732" s="4"/>
      <c r="O732" s="4"/>
      <c r="P732" s="4"/>
      <c r="Q732" s="4"/>
      <c r="U732" s="5"/>
      <c r="V732" s="4"/>
      <c r="AG732" t="s">
        <v>772</v>
      </c>
      <c r="AM732" s="1"/>
    </row>
    <row r="733" spans="1:39" x14ac:dyDescent="0.35">
      <c r="A733">
        <v>729</v>
      </c>
      <c r="B733">
        <v>730</v>
      </c>
      <c r="C733">
        <v>146.79384989900001</v>
      </c>
      <c r="D733">
        <v>-19.1422470169999</v>
      </c>
      <c r="E733">
        <v>50</v>
      </c>
      <c r="F733" s="64"/>
      <c r="G733" s="64"/>
      <c r="H733" s="64" t="s">
        <v>26</v>
      </c>
      <c r="I733" s="64"/>
      <c r="J733" s="32" t="str">
        <f>IF(AND(I733=1,OR(I732=0,I732="")),MAX($J$4:$J732)+1,IF(AND(I733=1,I732=1),J732,""))</f>
        <v/>
      </c>
      <c r="K733" s="32" t="str">
        <f t="shared" si="46"/>
        <v/>
      </c>
      <c r="L733" s="32" t="str">
        <f t="shared" si="47"/>
        <v/>
      </c>
      <c r="M733" s="32" t="str">
        <f t="shared" si="48"/>
        <v/>
      </c>
      <c r="N733" s="4"/>
      <c r="O733" s="4"/>
      <c r="P733" s="4"/>
      <c r="Q733" s="4"/>
      <c r="U733" s="5"/>
      <c r="V733" s="4"/>
      <c r="AG733" t="s">
        <v>773</v>
      </c>
      <c r="AM733" s="1"/>
    </row>
    <row r="734" spans="1:39" x14ac:dyDescent="0.35">
      <c r="A734">
        <v>730</v>
      </c>
      <c r="B734">
        <v>731</v>
      </c>
      <c r="C734">
        <v>146.79381445800001</v>
      </c>
      <c r="D734">
        <v>-19.142169035999899</v>
      </c>
      <c r="F734" s="64"/>
      <c r="G734" s="64"/>
      <c r="H734" s="64" t="s">
        <v>26</v>
      </c>
      <c r="I734" s="64"/>
      <c r="J734" s="32" t="str">
        <f>IF(AND(I734=1,OR(I733=0,I733="")),MAX($J$4:$J733)+1,IF(AND(I734=1,I733=1),J733,""))</f>
        <v/>
      </c>
      <c r="K734" s="32" t="str">
        <f t="shared" si="46"/>
        <v/>
      </c>
      <c r="L734" s="32" t="str">
        <f t="shared" si="47"/>
        <v/>
      </c>
      <c r="M734" s="32" t="str">
        <f t="shared" si="48"/>
        <v/>
      </c>
      <c r="N734" s="4"/>
      <c r="O734" s="4"/>
      <c r="P734" s="4"/>
      <c r="Q734" s="4"/>
      <c r="U734" s="5"/>
      <c r="V734" s="4"/>
      <c r="AG734" t="s">
        <v>774</v>
      </c>
      <c r="AM734" s="1"/>
    </row>
    <row r="735" spans="1:39" x14ac:dyDescent="0.35">
      <c r="A735">
        <v>731</v>
      </c>
      <c r="B735">
        <v>732</v>
      </c>
      <c r="C735">
        <v>146.79380023900001</v>
      </c>
      <c r="D735">
        <v>-19.142085713</v>
      </c>
      <c r="F735" s="64"/>
      <c r="G735" s="64"/>
      <c r="H735" s="64" t="s">
        <v>26</v>
      </c>
      <c r="I735" s="64"/>
      <c r="J735" s="32" t="str">
        <f>IF(AND(I735=1,OR(I734=0,I734="")),MAX($J$4:$J734)+1,IF(AND(I735=1,I734=1),J734,""))</f>
        <v/>
      </c>
      <c r="K735" s="32" t="str">
        <f t="shared" ref="K735:K798" si="49">IF(J735="","",COUNTIF(J:J,J735)*10)</f>
        <v/>
      </c>
      <c r="L735" s="32" t="str">
        <f t="shared" si="47"/>
        <v/>
      </c>
      <c r="M735" s="32" t="str">
        <f t="shared" si="48"/>
        <v/>
      </c>
      <c r="N735" s="4"/>
      <c r="O735" s="4"/>
      <c r="P735" s="4"/>
      <c r="Q735" s="4"/>
      <c r="U735" s="5"/>
      <c r="V735" s="4"/>
      <c r="AG735" t="s">
        <v>775</v>
      </c>
      <c r="AM735" s="1"/>
    </row>
    <row r="736" spans="1:39" x14ac:dyDescent="0.35">
      <c r="A736">
        <v>732</v>
      </c>
      <c r="B736">
        <v>733</v>
      </c>
      <c r="C736">
        <v>146.79379169399999</v>
      </c>
      <c r="D736">
        <v>-19.142001268999898</v>
      </c>
      <c r="F736" s="64"/>
      <c r="G736" s="64"/>
      <c r="H736" s="64" t="s">
        <v>26</v>
      </c>
      <c r="I736" s="64"/>
      <c r="J736" s="32" t="str">
        <f>IF(AND(I736=1,OR(I735=0,I735="")),MAX($J$4:$J735)+1,IF(AND(I736=1,I735=1),J735,""))</f>
        <v/>
      </c>
      <c r="K736" s="32" t="str">
        <f t="shared" si="49"/>
        <v/>
      </c>
      <c r="L736" s="32" t="str">
        <f t="shared" si="47"/>
        <v/>
      </c>
      <c r="M736" s="32" t="str">
        <f t="shared" si="48"/>
        <v/>
      </c>
      <c r="N736" s="4"/>
      <c r="O736" s="4"/>
      <c r="P736" s="4"/>
      <c r="Q736" s="4"/>
      <c r="U736" s="5"/>
      <c r="V736" s="4"/>
      <c r="AG736" t="s">
        <v>776</v>
      </c>
      <c r="AM736" s="1"/>
    </row>
    <row r="737" spans="1:39" x14ac:dyDescent="0.35">
      <c r="A737">
        <v>733</v>
      </c>
      <c r="B737">
        <v>734</v>
      </c>
      <c r="C737">
        <v>146.793786837</v>
      </c>
      <c r="D737">
        <v>-19.141916527999999</v>
      </c>
      <c r="F737" s="64"/>
      <c r="G737" s="64"/>
      <c r="H737" s="64" t="s">
        <v>26</v>
      </c>
      <c r="I737" s="64"/>
      <c r="J737" s="32" t="str">
        <f>IF(AND(I737=1,OR(I736=0,I736="")),MAX($J$4:$J736)+1,IF(AND(I737=1,I736=1),J736,""))</f>
        <v/>
      </c>
      <c r="K737" s="32" t="str">
        <f t="shared" si="49"/>
        <v/>
      </c>
      <c r="L737" s="32" t="str">
        <f t="shared" si="47"/>
        <v/>
      </c>
      <c r="M737" s="32" t="str">
        <f t="shared" si="48"/>
        <v/>
      </c>
      <c r="N737" s="4"/>
      <c r="O737" s="4"/>
      <c r="P737" s="4"/>
      <c r="Q737" s="4"/>
      <c r="U737" s="5"/>
      <c r="V737" s="4"/>
      <c r="AG737" t="s">
        <v>777</v>
      </c>
      <c r="AM737" s="1"/>
    </row>
    <row r="738" spans="1:39" x14ac:dyDescent="0.35">
      <c r="A738">
        <v>734</v>
      </c>
      <c r="B738">
        <v>735</v>
      </c>
      <c r="C738">
        <v>146.79378198000001</v>
      </c>
      <c r="D738">
        <v>-19.141831787999902</v>
      </c>
      <c r="E738">
        <v>50</v>
      </c>
      <c r="F738" s="64"/>
      <c r="G738" s="64"/>
      <c r="H738" s="64" t="s">
        <v>26</v>
      </c>
      <c r="I738" s="64"/>
      <c r="J738" s="32" t="str">
        <f>IF(AND(I738=1,OR(I737=0,I737="")),MAX($J$4:$J737)+1,IF(AND(I738=1,I737=1),J737,""))</f>
        <v/>
      </c>
      <c r="K738" s="32" t="str">
        <f t="shared" si="49"/>
        <v/>
      </c>
      <c r="L738" s="32" t="str">
        <f t="shared" si="47"/>
        <v/>
      </c>
      <c r="M738" s="32" t="str">
        <f t="shared" si="48"/>
        <v/>
      </c>
      <c r="N738" s="4"/>
      <c r="O738" s="4"/>
      <c r="P738" s="4"/>
      <c r="Q738" s="4"/>
      <c r="U738" s="5"/>
      <c r="V738" s="4"/>
      <c r="AG738" t="s">
        <v>778</v>
      </c>
      <c r="AM738" s="1"/>
    </row>
    <row r="739" spans="1:39" x14ac:dyDescent="0.35">
      <c r="A739">
        <v>735</v>
      </c>
      <c r="B739">
        <v>736</v>
      </c>
      <c r="C739">
        <v>146.79377663</v>
      </c>
      <c r="D739">
        <v>-19.141747075000001</v>
      </c>
      <c r="F739" s="64"/>
      <c r="G739" s="64"/>
      <c r="H739" s="64" t="s">
        <v>26</v>
      </c>
      <c r="I739" s="64"/>
      <c r="J739" s="32" t="str">
        <f>IF(AND(I739=1,OR(I738=0,I738="")),MAX($J$4:$J738)+1,IF(AND(I739=1,I738=1),J738,""))</f>
        <v/>
      </c>
      <c r="K739" s="32" t="str">
        <f t="shared" si="49"/>
        <v/>
      </c>
      <c r="L739" s="32" t="str">
        <f t="shared" si="47"/>
        <v/>
      </c>
      <c r="M739" s="32" t="str">
        <f t="shared" si="48"/>
        <v/>
      </c>
      <c r="N739" s="4"/>
      <c r="O739" s="4"/>
      <c r="P739" s="4"/>
      <c r="Q739" s="4"/>
      <c r="U739" s="5"/>
      <c r="V739" s="4"/>
      <c r="AG739" t="s">
        <v>779</v>
      </c>
      <c r="AM739" s="1"/>
    </row>
    <row r="740" spans="1:39" x14ac:dyDescent="0.35">
      <c r="A740">
        <v>736</v>
      </c>
      <c r="B740">
        <v>737</v>
      </c>
      <c r="C740">
        <v>146.79377084999999</v>
      </c>
      <c r="D740">
        <v>-19.141662386</v>
      </c>
      <c r="F740" s="64"/>
      <c r="G740" s="64"/>
      <c r="H740" s="64" t="s">
        <v>26</v>
      </c>
      <c r="I740" s="64"/>
      <c r="J740" s="32" t="str">
        <f>IF(AND(I740=1,OR(I739=0,I739="")),MAX($J$4:$J739)+1,IF(AND(I740=1,I739=1),J739,""))</f>
        <v/>
      </c>
      <c r="K740" s="32" t="str">
        <f t="shared" si="49"/>
        <v/>
      </c>
      <c r="L740" s="32" t="str">
        <f t="shared" si="47"/>
        <v/>
      </c>
      <c r="M740" s="32" t="str">
        <f t="shared" si="48"/>
        <v/>
      </c>
      <c r="N740" s="4"/>
      <c r="O740" s="4"/>
      <c r="P740" s="4"/>
      <c r="Q740" s="4"/>
      <c r="U740" s="5"/>
      <c r="V740" s="4"/>
      <c r="AG740" t="s">
        <v>780</v>
      </c>
      <c r="AM740" s="1"/>
    </row>
    <row r="741" spans="1:39" x14ac:dyDescent="0.35">
      <c r="A741">
        <v>737</v>
      </c>
      <c r="B741">
        <v>738</v>
      </c>
      <c r="C741">
        <v>146.793765071</v>
      </c>
      <c r="D741">
        <v>-19.141577696999899</v>
      </c>
      <c r="F741" s="64"/>
      <c r="G741" s="64"/>
      <c r="H741" s="64" t="s">
        <v>26</v>
      </c>
      <c r="I741" s="64"/>
      <c r="J741" s="32" t="str">
        <f>IF(AND(I741=1,OR(I740=0,I740="")),MAX($J$4:$J740)+1,IF(AND(I741=1,I740=1),J740,""))</f>
        <v/>
      </c>
      <c r="K741" s="32" t="str">
        <f t="shared" si="49"/>
        <v/>
      </c>
      <c r="L741" s="32" t="str">
        <f t="shared" si="47"/>
        <v/>
      </c>
      <c r="M741" s="32" t="str">
        <f t="shared" si="48"/>
        <v/>
      </c>
      <c r="N741" s="4"/>
      <c r="O741" s="4"/>
      <c r="P741" s="4"/>
      <c r="Q741" s="4"/>
      <c r="U741" s="5"/>
      <c r="V741" s="4"/>
      <c r="AG741" t="s">
        <v>781</v>
      </c>
      <c r="AM741" s="1"/>
    </row>
    <row r="742" spans="1:39" x14ac:dyDescent="0.35">
      <c r="A742">
        <v>738</v>
      </c>
      <c r="B742">
        <v>739</v>
      </c>
      <c r="C742">
        <v>146.79375929099999</v>
      </c>
      <c r="D742">
        <v>-19.141493007999902</v>
      </c>
      <c r="F742" s="64"/>
      <c r="G742" s="64"/>
      <c r="H742" s="64" t="s">
        <v>26</v>
      </c>
      <c r="I742" s="64"/>
      <c r="J742" s="32" t="str">
        <f>IF(AND(I742=1,OR(I741=0,I741="")),MAX($J$4:$J741)+1,IF(AND(I742=1,I741=1),J741,""))</f>
        <v/>
      </c>
      <c r="K742" s="32" t="str">
        <f t="shared" si="49"/>
        <v/>
      </c>
      <c r="L742" s="32" t="str">
        <f t="shared" si="47"/>
        <v/>
      </c>
      <c r="M742" s="32" t="str">
        <f t="shared" si="48"/>
        <v/>
      </c>
      <c r="N742" s="4"/>
      <c r="O742" s="4"/>
      <c r="P742" s="4"/>
      <c r="Q742" s="4"/>
      <c r="U742" s="5"/>
      <c r="V742" s="4"/>
      <c r="AG742" t="s">
        <v>782</v>
      </c>
      <c r="AM742" s="1"/>
    </row>
    <row r="743" spans="1:39" x14ac:dyDescent="0.35">
      <c r="A743">
        <v>739</v>
      </c>
      <c r="B743">
        <v>740</v>
      </c>
      <c r="C743">
        <v>146.79373799199999</v>
      </c>
      <c r="D743">
        <v>-19.141412285999898</v>
      </c>
      <c r="E743">
        <v>50</v>
      </c>
      <c r="F743" s="64"/>
      <c r="G743" s="64"/>
      <c r="H743" s="64" t="s">
        <v>26</v>
      </c>
      <c r="I743" s="64"/>
      <c r="J743" s="32" t="str">
        <f>IF(AND(I743=1,OR(I742=0,I742="")),MAX($J$4:$J742)+1,IF(AND(I743=1,I742=1),J742,""))</f>
        <v/>
      </c>
      <c r="K743" s="32" t="str">
        <f t="shared" si="49"/>
        <v/>
      </c>
      <c r="L743" s="32" t="str">
        <f t="shared" si="47"/>
        <v/>
      </c>
      <c r="M743" s="32" t="str">
        <f t="shared" si="48"/>
        <v/>
      </c>
      <c r="N743" s="4"/>
      <c r="O743" s="4"/>
      <c r="P743" s="4"/>
      <c r="Q743" s="4"/>
      <c r="U743" s="5"/>
      <c r="V743" s="4"/>
      <c r="AG743" t="s">
        <v>783</v>
      </c>
      <c r="AM743" s="1"/>
    </row>
    <row r="744" spans="1:39" x14ac:dyDescent="0.35">
      <c r="A744">
        <v>740</v>
      </c>
      <c r="B744">
        <v>741</v>
      </c>
      <c r="C744">
        <v>146.79370174600001</v>
      </c>
      <c r="D744">
        <v>-19.141335038000001</v>
      </c>
      <c r="F744" s="64"/>
      <c r="G744" s="64"/>
      <c r="H744" s="64" t="s">
        <v>26</v>
      </c>
      <c r="I744" s="64"/>
      <c r="J744" s="32" t="str">
        <f>IF(AND(I744=1,OR(I743=0,I743="")),MAX($J$4:$J743)+1,IF(AND(I744=1,I743=1),J743,""))</f>
        <v/>
      </c>
      <c r="K744" s="32" t="str">
        <f t="shared" si="49"/>
        <v/>
      </c>
      <c r="L744" s="32" t="str">
        <f t="shared" si="47"/>
        <v/>
      </c>
      <c r="M744" s="32" t="str">
        <f t="shared" si="48"/>
        <v/>
      </c>
      <c r="N744" s="4"/>
      <c r="O744" s="4"/>
      <c r="P744" s="4"/>
      <c r="Q744" s="4"/>
      <c r="U744" s="5"/>
      <c r="V744" s="4"/>
      <c r="AG744" t="s">
        <v>784</v>
      </c>
      <c r="AM744" s="1"/>
    </row>
    <row r="745" spans="1:39" x14ac:dyDescent="0.35">
      <c r="A745">
        <v>741</v>
      </c>
      <c r="B745">
        <v>742</v>
      </c>
      <c r="C745">
        <v>146.79367697699999</v>
      </c>
      <c r="D745">
        <v>-19.141253697</v>
      </c>
      <c r="F745" s="64"/>
      <c r="G745" s="64"/>
      <c r="H745" s="64" t="s">
        <v>26</v>
      </c>
      <c r="I745" s="64"/>
      <c r="J745" s="32" t="str">
        <f>IF(AND(I745=1,OR(I744=0,I744="")),MAX($J$4:$J744)+1,IF(AND(I745=1,I744=1),J744,""))</f>
        <v/>
      </c>
      <c r="K745" s="32" t="str">
        <f t="shared" si="49"/>
        <v/>
      </c>
      <c r="L745" s="32" t="str">
        <f t="shared" si="47"/>
        <v/>
      </c>
      <c r="M745" s="32" t="str">
        <f t="shared" si="48"/>
        <v/>
      </c>
      <c r="N745" s="4"/>
      <c r="O745" s="4"/>
      <c r="P745" s="4"/>
      <c r="Q745" s="4"/>
      <c r="U745" s="5"/>
      <c r="V745" s="4"/>
      <c r="AG745" t="s">
        <v>785</v>
      </c>
      <c r="AM745" s="1"/>
    </row>
    <row r="746" spans="1:39" x14ac:dyDescent="0.35">
      <c r="A746">
        <v>742</v>
      </c>
      <c r="B746">
        <v>743</v>
      </c>
      <c r="C746">
        <v>146.79364267599999</v>
      </c>
      <c r="D746">
        <v>-19.141175261999901</v>
      </c>
      <c r="F746" s="64"/>
      <c r="G746" s="64"/>
      <c r="H746" s="64" t="s">
        <v>26</v>
      </c>
      <c r="I746" s="64"/>
      <c r="J746" s="32" t="str">
        <f>IF(AND(I746=1,OR(I745=0,I745="")),MAX($J$4:$J745)+1,IF(AND(I746=1,I745=1),J745,""))</f>
        <v/>
      </c>
      <c r="K746" s="32" t="str">
        <f t="shared" si="49"/>
        <v/>
      </c>
      <c r="L746" s="32" t="str">
        <f t="shared" si="47"/>
        <v/>
      </c>
      <c r="M746" s="32" t="str">
        <f t="shared" si="48"/>
        <v/>
      </c>
      <c r="N746" s="4"/>
      <c r="O746" s="4"/>
      <c r="P746" s="4"/>
      <c r="Q746" s="4"/>
      <c r="U746" s="5"/>
      <c r="V746" s="4"/>
      <c r="AG746" t="s">
        <v>786</v>
      </c>
      <c r="AM746" s="1"/>
    </row>
    <row r="747" spans="1:39" x14ac:dyDescent="0.35">
      <c r="A747">
        <v>743</v>
      </c>
      <c r="B747">
        <v>744</v>
      </c>
      <c r="C747">
        <v>146.793611336</v>
      </c>
      <c r="D747">
        <v>-19.141095762999999</v>
      </c>
      <c r="F747" s="64"/>
      <c r="G747" s="64"/>
      <c r="H747" s="64" t="s">
        <v>26</v>
      </c>
      <c r="I747" s="64"/>
      <c r="J747" s="32" t="str">
        <f>IF(AND(I747=1,OR(I746=0,I746="")),MAX($J$4:$J746)+1,IF(AND(I747=1,I746=1),J746,""))</f>
        <v/>
      </c>
      <c r="K747" s="32" t="str">
        <f t="shared" si="49"/>
        <v/>
      </c>
      <c r="L747" s="32" t="str">
        <f t="shared" si="47"/>
        <v/>
      </c>
      <c r="M747" s="32" t="str">
        <f t="shared" si="48"/>
        <v/>
      </c>
      <c r="N747" s="4"/>
      <c r="O747" s="4"/>
      <c r="P747" s="4"/>
      <c r="Q747" s="4"/>
      <c r="U747" s="5"/>
      <c r="V747" s="4"/>
      <c r="AG747" t="s">
        <v>787</v>
      </c>
      <c r="AM747" s="1"/>
    </row>
    <row r="748" spans="1:39" x14ac:dyDescent="0.35">
      <c r="A748">
        <v>744</v>
      </c>
      <c r="B748">
        <v>745</v>
      </c>
      <c r="C748">
        <v>146.793581794</v>
      </c>
      <c r="D748">
        <v>-19.141015617999901</v>
      </c>
      <c r="E748">
        <v>50</v>
      </c>
      <c r="F748" s="64"/>
      <c r="G748" s="64"/>
      <c r="H748" s="64" t="s">
        <v>26</v>
      </c>
      <c r="I748" s="64"/>
      <c r="J748" s="32" t="str">
        <f>IF(AND(I748=1,OR(I747=0,I747="")),MAX($J$4:$J747)+1,IF(AND(I748=1,I747=1),J747,""))</f>
        <v/>
      </c>
      <c r="K748" s="32" t="str">
        <f t="shared" si="49"/>
        <v/>
      </c>
      <c r="L748" s="32" t="str">
        <f t="shared" si="47"/>
        <v/>
      </c>
      <c r="M748" s="32" t="str">
        <f t="shared" si="48"/>
        <v/>
      </c>
      <c r="N748" s="4"/>
      <c r="O748" s="4"/>
      <c r="P748" s="4"/>
      <c r="Q748" s="4"/>
      <c r="U748" s="5"/>
      <c r="V748" s="4"/>
      <c r="AG748" t="s">
        <v>788</v>
      </c>
      <c r="AM748" s="1"/>
    </row>
    <row r="749" spans="1:39" x14ac:dyDescent="0.35">
      <c r="A749">
        <v>745</v>
      </c>
      <c r="B749">
        <v>746</v>
      </c>
      <c r="C749">
        <v>146.793552253</v>
      </c>
      <c r="D749">
        <v>-19.140935472999999</v>
      </c>
      <c r="F749" s="64"/>
      <c r="G749" s="64"/>
      <c r="H749" s="64" t="s">
        <v>26</v>
      </c>
      <c r="I749" s="64"/>
      <c r="J749" s="32" t="str">
        <f>IF(AND(I749=1,OR(I748=0,I748="")),MAX($J$4:$J748)+1,IF(AND(I749=1,I748=1),J748,""))</f>
        <v/>
      </c>
      <c r="K749" s="32" t="str">
        <f t="shared" si="49"/>
        <v/>
      </c>
      <c r="L749" s="32" t="str">
        <f t="shared" si="47"/>
        <v/>
      </c>
      <c r="M749" s="32" t="str">
        <f t="shared" si="48"/>
        <v/>
      </c>
      <c r="N749" s="4"/>
      <c r="O749" s="4"/>
      <c r="P749" s="4"/>
      <c r="Q749" s="4"/>
      <c r="U749" s="5"/>
      <c r="V749" s="4"/>
      <c r="AG749" t="s">
        <v>789</v>
      </c>
      <c r="AM749" s="1"/>
    </row>
    <row r="750" spans="1:39" x14ac:dyDescent="0.35">
      <c r="A750">
        <v>746</v>
      </c>
      <c r="B750">
        <v>747</v>
      </c>
      <c r="C750">
        <v>146.793535816</v>
      </c>
      <c r="D750">
        <v>-19.140852679000002</v>
      </c>
      <c r="F750" s="64"/>
      <c r="G750" s="64"/>
      <c r="H750" s="64" t="s">
        <v>26</v>
      </c>
      <c r="I750" s="64"/>
      <c r="J750" s="32" t="str">
        <f>IF(AND(I750=1,OR(I749=0,I749="")),MAX($J$4:$J749)+1,IF(AND(I750=1,I749=1),J749,""))</f>
        <v/>
      </c>
      <c r="K750" s="32" t="str">
        <f t="shared" si="49"/>
        <v/>
      </c>
      <c r="L750" s="32" t="str">
        <f t="shared" si="47"/>
        <v/>
      </c>
      <c r="M750" s="32" t="str">
        <f t="shared" si="48"/>
        <v/>
      </c>
      <c r="N750" s="4"/>
      <c r="O750" s="4"/>
      <c r="P750" s="4"/>
      <c r="Q750" s="4"/>
      <c r="U750" s="5"/>
      <c r="V750" s="4"/>
      <c r="AG750" t="s">
        <v>790</v>
      </c>
      <c r="AM750" s="1"/>
    </row>
    <row r="751" spans="1:39" x14ac:dyDescent="0.35">
      <c r="A751">
        <v>747</v>
      </c>
      <c r="B751">
        <v>748</v>
      </c>
      <c r="C751">
        <v>146.793528063</v>
      </c>
      <c r="D751">
        <v>-19.140768131000002</v>
      </c>
      <c r="F751" s="64"/>
      <c r="G751" s="64"/>
      <c r="H751" s="64" t="s">
        <v>26</v>
      </c>
      <c r="I751" s="64"/>
      <c r="J751" s="32" t="str">
        <f>IF(AND(I751=1,OR(I750=0,I750="")),MAX($J$4:$J750)+1,IF(AND(I751=1,I750=1),J750,""))</f>
        <v/>
      </c>
      <c r="K751" s="32" t="str">
        <f t="shared" si="49"/>
        <v/>
      </c>
      <c r="L751" s="32" t="str">
        <f t="shared" si="47"/>
        <v/>
      </c>
      <c r="M751" s="32" t="str">
        <f t="shared" si="48"/>
        <v/>
      </c>
      <c r="N751" s="4"/>
      <c r="O751" s="4"/>
      <c r="P751" s="4"/>
      <c r="Q751" s="4"/>
      <c r="U751" s="5"/>
      <c r="V751" s="4"/>
      <c r="AG751" t="s">
        <v>791</v>
      </c>
      <c r="AM751" s="1"/>
    </row>
    <row r="752" spans="1:39" x14ac:dyDescent="0.35">
      <c r="A752">
        <v>748</v>
      </c>
      <c r="B752">
        <v>749</v>
      </c>
      <c r="C752">
        <v>146.79352030999999</v>
      </c>
      <c r="D752">
        <v>-19.140683582000001</v>
      </c>
      <c r="F752" s="64"/>
      <c r="G752" s="64"/>
      <c r="H752" s="64" t="s">
        <v>26</v>
      </c>
      <c r="I752" s="64"/>
      <c r="J752" s="32" t="str">
        <f>IF(AND(I752=1,OR(I751=0,I751="")),MAX($J$4:$J751)+1,IF(AND(I752=1,I751=1),J751,""))</f>
        <v/>
      </c>
      <c r="K752" s="32" t="str">
        <f t="shared" si="49"/>
        <v/>
      </c>
      <c r="L752" s="32" t="str">
        <f t="shared" si="47"/>
        <v/>
      </c>
      <c r="M752" s="32" t="str">
        <f t="shared" si="48"/>
        <v/>
      </c>
      <c r="N752" s="4"/>
      <c r="O752" s="4"/>
      <c r="P752" s="4"/>
      <c r="Q752" s="4"/>
      <c r="U752" s="5"/>
      <c r="V752" s="4"/>
      <c r="AG752" t="s">
        <v>792</v>
      </c>
      <c r="AM752" s="1"/>
    </row>
    <row r="753" spans="1:39" x14ac:dyDescent="0.35">
      <c r="A753">
        <v>749</v>
      </c>
      <c r="B753">
        <v>750</v>
      </c>
      <c r="C753">
        <v>146.79350226700001</v>
      </c>
      <c r="D753">
        <v>-19.140600764999899</v>
      </c>
      <c r="E753">
        <v>50</v>
      </c>
      <c r="F753" s="64"/>
      <c r="G753" s="64"/>
      <c r="H753" s="64" t="s">
        <v>26</v>
      </c>
      <c r="I753" s="64"/>
      <c r="J753" s="32" t="str">
        <f>IF(AND(I753=1,OR(I752=0,I752="")),MAX($J$4:$J752)+1,IF(AND(I753=1,I752=1),J752,""))</f>
        <v/>
      </c>
      <c r="K753" s="32" t="str">
        <f t="shared" si="49"/>
        <v/>
      </c>
      <c r="L753" s="32" t="str">
        <f t="shared" si="47"/>
        <v/>
      </c>
      <c r="M753" s="32" t="str">
        <f t="shared" si="48"/>
        <v/>
      </c>
      <c r="N753" s="4"/>
      <c r="O753" s="4"/>
      <c r="P753" s="4"/>
      <c r="Q753" s="4"/>
      <c r="U753" s="5"/>
      <c r="V753" s="4"/>
      <c r="AG753" t="s">
        <v>793</v>
      </c>
      <c r="AM753" s="1"/>
    </row>
    <row r="754" spans="1:39" x14ac:dyDescent="0.35">
      <c r="A754">
        <v>750</v>
      </c>
      <c r="B754">
        <v>751</v>
      </c>
      <c r="C754">
        <v>146.793478652</v>
      </c>
      <c r="D754">
        <v>-19.140518883999999</v>
      </c>
      <c r="F754" s="64"/>
      <c r="G754" s="64"/>
      <c r="H754" s="64" t="s">
        <v>26</v>
      </c>
      <c r="I754" s="64"/>
      <c r="J754" s="32" t="str">
        <f>IF(AND(I754=1,OR(I753=0,I753="")),MAX($J$4:$J753)+1,IF(AND(I754=1,I753=1),J753,""))</f>
        <v/>
      </c>
      <c r="K754" s="32" t="str">
        <f t="shared" si="49"/>
        <v/>
      </c>
      <c r="L754" s="32" t="str">
        <f t="shared" si="47"/>
        <v/>
      </c>
      <c r="M754" s="32" t="str">
        <f t="shared" si="48"/>
        <v/>
      </c>
      <c r="N754" s="4"/>
      <c r="O754" s="4"/>
      <c r="P754" s="4"/>
      <c r="Q754" s="4"/>
      <c r="U754" s="5"/>
      <c r="V754" s="4"/>
      <c r="AG754" t="s">
        <v>794</v>
      </c>
      <c r="AM754" s="1"/>
    </row>
    <row r="755" spans="1:39" x14ac:dyDescent="0.35">
      <c r="A755">
        <v>751</v>
      </c>
      <c r="B755">
        <v>752</v>
      </c>
      <c r="C755">
        <v>146.79345487699999</v>
      </c>
      <c r="D755">
        <v>-19.140437051999999</v>
      </c>
      <c r="F755" s="64"/>
      <c r="G755" s="64"/>
      <c r="H755" s="64" t="s">
        <v>26</v>
      </c>
      <c r="I755" s="64"/>
      <c r="J755" s="32" t="str">
        <f>IF(AND(I755=1,OR(I754=0,I754="")),MAX($J$4:$J754)+1,IF(AND(I755=1,I754=1),J754,""))</f>
        <v/>
      </c>
      <c r="K755" s="32" t="str">
        <f t="shared" si="49"/>
        <v/>
      </c>
      <c r="L755" s="32" t="str">
        <f t="shared" si="47"/>
        <v/>
      </c>
      <c r="M755" s="32" t="str">
        <f t="shared" si="48"/>
        <v/>
      </c>
      <c r="N755" s="4"/>
      <c r="O755" s="4"/>
      <c r="P755" s="4"/>
      <c r="Q755" s="4"/>
      <c r="U755" s="5"/>
      <c r="V755" s="4"/>
      <c r="AG755" t="s">
        <v>795</v>
      </c>
      <c r="AM755" s="1"/>
    </row>
    <row r="756" spans="1:39" x14ac:dyDescent="0.35">
      <c r="A756">
        <v>752</v>
      </c>
      <c r="B756">
        <v>753</v>
      </c>
      <c r="C756">
        <v>146.79342349199999</v>
      </c>
      <c r="D756">
        <v>-19.140357535</v>
      </c>
      <c r="F756" s="64"/>
      <c r="G756" s="64"/>
      <c r="H756" s="64" t="s">
        <v>26</v>
      </c>
      <c r="I756" s="64"/>
      <c r="J756" s="32" t="str">
        <f>IF(AND(I756=1,OR(I755=0,I755="")),MAX($J$4:$J755)+1,IF(AND(I756=1,I755=1),J755,""))</f>
        <v/>
      </c>
      <c r="K756" s="32" t="str">
        <f t="shared" si="49"/>
        <v/>
      </c>
      <c r="L756" s="32" t="str">
        <f t="shared" si="47"/>
        <v/>
      </c>
      <c r="M756" s="32" t="str">
        <f t="shared" si="48"/>
        <v/>
      </c>
      <c r="N756" s="4"/>
      <c r="O756" s="4"/>
      <c r="P756" s="4"/>
      <c r="Q756" s="4"/>
      <c r="U756" s="5"/>
      <c r="V756" s="4"/>
      <c r="AG756" t="s">
        <v>796</v>
      </c>
      <c r="AM756" s="1"/>
    </row>
    <row r="757" spans="1:39" x14ac:dyDescent="0.35">
      <c r="A757">
        <v>753</v>
      </c>
      <c r="B757">
        <v>754</v>
      </c>
      <c r="C757">
        <v>146.79339120200001</v>
      </c>
      <c r="D757">
        <v>-19.1402783519999</v>
      </c>
      <c r="F757" s="64"/>
      <c r="G757" s="64"/>
      <c r="H757" s="64" t="s">
        <v>26</v>
      </c>
      <c r="I757" s="64"/>
      <c r="J757" s="32" t="str">
        <f>IF(AND(I757=1,OR(I756=0,I756="")),MAX($J$4:$J756)+1,IF(AND(I757=1,I756=1),J756,""))</f>
        <v/>
      </c>
      <c r="K757" s="32" t="str">
        <f t="shared" si="49"/>
        <v/>
      </c>
      <c r="L757" s="32" t="str">
        <f t="shared" si="47"/>
        <v/>
      </c>
      <c r="M757" s="32" t="str">
        <f t="shared" si="48"/>
        <v/>
      </c>
      <c r="N757" s="4"/>
      <c r="O757" s="4"/>
      <c r="P757" s="4"/>
      <c r="Q757" s="4"/>
      <c r="U757" s="5"/>
      <c r="V757" s="4"/>
      <c r="AG757" t="s">
        <v>797</v>
      </c>
      <c r="AM757" s="1"/>
    </row>
    <row r="758" spans="1:39" x14ac:dyDescent="0.35">
      <c r="A758">
        <v>754</v>
      </c>
      <c r="B758">
        <v>755</v>
      </c>
      <c r="C758">
        <v>146.793357152</v>
      </c>
      <c r="D758">
        <v>-19.140199818999999</v>
      </c>
      <c r="E758">
        <v>50</v>
      </c>
      <c r="F758" s="64"/>
      <c r="G758" s="64"/>
      <c r="H758" s="64" t="s">
        <v>26</v>
      </c>
      <c r="I758" s="64"/>
      <c r="J758" s="32" t="str">
        <f>IF(AND(I758=1,OR(I757=0,I757="")),MAX($J$4:$J757)+1,IF(AND(I758=1,I757=1),J757,""))</f>
        <v/>
      </c>
      <c r="K758" s="32" t="str">
        <f t="shared" si="49"/>
        <v/>
      </c>
      <c r="L758" s="32" t="str">
        <f t="shared" si="47"/>
        <v/>
      </c>
      <c r="M758" s="32" t="str">
        <f t="shared" si="48"/>
        <v/>
      </c>
      <c r="N758" s="4"/>
      <c r="O758" s="4"/>
      <c r="P758" s="4"/>
      <c r="Q758" s="4"/>
      <c r="U758" s="5"/>
      <c r="V758" s="4"/>
      <c r="AG758" t="s">
        <v>798</v>
      </c>
      <c r="AM758" s="1"/>
    </row>
    <row r="759" spans="1:39" x14ac:dyDescent="0.35">
      <c r="A759">
        <v>755</v>
      </c>
      <c r="B759">
        <v>756</v>
      </c>
      <c r="C759">
        <v>146.793323101</v>
      </c>
      <c r="D759">
        <v>-19.140121285999999</v>
      </c>
      <c r="F759" s="64"/>
      <c r="G759" s="64"/>
      <c r="H759" s="64" t="s">
        <v>26</v>
      </c>
      <c r="I759" s="64"/>
      <c r="J759" s="32" t="str">
        <f>IF(AND(I759=1,OR(I758=0,I758="")),MAX($J$4:$J758)+1,IF(AND(I759=1,I758=1),J758,""))</f>
        <v/>
      </c>
      <c r="K759" s="32" t="str">
        <f t="shared" si="49"/>
        <v/>
      </c>
      <c r="L759" s="32" t="str">
        <f t="shared" si="47"/>
        <v/>
      </c>
      <c r="M759" s="32" t="str">
        <f t="shared" si="48"/>
        <v/>
      </c>
      <c r="N759" s="4"/>
      <c r="O759" s="4"/>
      <c r="P759" s="4"/>
      <c r="Q759" s="4"/>
      <c r="U759" s="5"/>
      <c r="V759" s="4"/>
      <c r="AG759" t="s">
        <v>799</v>
      </c>
      <c r="AM759" s="1"/>
    </row>
    <row r="760" spans="1:39" x14ac:dyDescent="0.35">
      <c r="A760">
        <v>756</v>
      </c>
      <c r="B760">
        <v>757</v>
      </c>
      <c r="C760">
        <v>146.79328905099999</v>
      </c>
      <c r="D760">
        <v>-19.1400427529999</v>
      </c>
      <c r="F760" s="64"/>
      <c r="G760" s="64"/>
      <c r="H760" s="64" t="s">
        <v>26</v>
      </c>
      <c r="I760" s="64"/>
      <c r="J760" s="32" t="str">
        <f>IF(AND(I760=1,OR(I759=0,I759="")),MAX($J$4:$J759)+1,IF(AND(I760=1,I759=1),J759,""))</f>
        <v/>
      </c>
      <c r="K760" s="32" t="str">
        <f t="shared" si="49"/>
        <v/>
      </c>
      <c r="L760" s="32" t="str">
        <f t="shared" si="47"/>
        <v/>
      </c>
      <c r="M760" s="32" t="str">
        <f t="shared" si="48"/>
        <v/>
      </c>
      <c r="N760" s="4"/>
      <c r="O760" s="4"/>
      <c r="P760" s="4"/>
      <c r="Q760" s="4"/>
      <c r="U760" s="5"/>
      <c r="V760" s="4"/>
      <c r="AG760" t="s">
        <v>800</v>
      </c>
      <c r="AM760" s="1"/>
    </row>
    <row r="761" spans="1:39" x14ac:dyDescent="0.35">
      <c r="A761">
        <v>757</v>
      </c>
      <c r="B761">
        <v>758</v>
      </c>
      <c r="C761">
        <v>146.79325452399999</v>
      </c>
      <c r="D761">
        <v>-19.139964424999999</v>
      </c>
      <c r="F761" s="64"/>
      <c r="G761" s="64"/>
      <c r="H761" s="64" t="s">
        <v>26</v>
      </c>
      <c r="I761" s="64"/>
      <c r="J761" s="32" t="str">
        <f>IF(AND(I761=1,OR(I760=0,I760="")),MAX($J$4:$J760)+1,IF(AND(I761=1,I760=1),J760,""))</f>
        <v/>
      </c>
      <c r="K761" s="32" t="str">
        <f t="shared" si="49"/>
        <v/>
      </c>
      <c r="L761" s="32" t="str">
        <f t="shared" si="47"/>
        <v/>
      </c>
      <c r="M761" s="32" t="str">
        <f t="shared" si="48"/>
        <v/>
      </c>
      <c r="N761" s="4"/>
      <c r="O761" s="4"/>
      <c r="P761" s="4"/>
      <c r="Q761" s="4"/>
      <c r="U761" s="5"/>
      <c r="V761" s="4"/>
      <c r="AG761" t="s">
        <v>801</v>
      </c>
      <c r="AM761" s="1"/>
    </row>
    <row r="762" spans="1:39" x14ac:dyDescent="0.35">
      <c r="A762">
        <v>758</v>
      </c>
      <c r="B762">
        <v>759</v>
      </c>
      <c r="C762">
        <v>146.79321452299999</v>
      </c>
      <c r="D762">
        <v>-19.139888437</v>
      </c>
      <c r="F762" s="64"/>
      <c r="G762" s="64"/>
      <c r="H762" s="64" t="s">
        <v>26</v>
      </c>
      <c r="I762" s="64"/>
      <c r="J762" s="32" t="str">
        <f>IF(AND(I762=1,OR(I761=0,I761="")),MAX($J$4:$J761)+1,IF(AND(I762=1,I761=1),J761,""))</f>
        <v/>
      </c>
      <c r="K762" s="32" t="str">
        <f t="shared" si="49"/>
        <v/>
      </c>
      <c r="L762" s="32" t="str">
        <f t="shared" si="47"/>
        <v/>
      </c>
      <c r="M762" s="32" t="str">
        <f t="shared" si="48"/>
        <v/>
      </c>
      <c r="N762" s="4"/>
      <c r="O762" s="4"/>
      <c r="P762" s="4"/>
      <c r="Q762" s="4"/>
      <c r="U762" s="5"/>
      <c r="V762" s="4"/>
      <c r="AG762" t="s">
        <v>802</v>
      </c>
      <c r="AM762" s="1"/>
    </row>
    <row r="763" spans="1:39" x14ac:dyDescent="0.35">
      <c r="A763">
        <v>759</v>
      </c>
      <c r="B763">
        <v>760</v>
      </c>
      <c r="C763">
        <v>146.793174523</v>
      </c>
      <c r="D763">
        <v>-19.139812449000001</v>
      </c>
      <c r="E763">
        <v>50</v>
      </c>
      <c r="F763" s="64"/>
      <c r="G763" s="64"/>
      <c r="H763" s="64" t="s">
        <v>26</v>
      </c>
      <c r="I763" s="64"/>
      <c r="J763" s="32" t="str">
        <f>IF(AND(I763=1,OR(I762=0,I762="")),MAX($J$4:$J762)+1,IF(AND(I763=1,I762=1),J762,""))</f>
        <v/>
      </c>
      <c r="K763" s="32" t="str">
        <f t="shared" si="49"/>
        <v/>
      </c>
      <c r="L763" s="32" t="str">
        <f t="shared" si="47"/>
        <v/>
      </c>
      <c r="M763" s="32" t="str">
        <f t="shared" si="48"/>
        <v/>
      </c>
      <c r="N763" s="4"/>
      <c r="O763" s="4"/>
      <c r="P763" s="4"/>
      <c r="Q763" s="4"/>
      <c r="U763" s="5"/>
      <c r="V763" s="4"/>
      <c r="AG763" t="s">
        <v>803</v>
      </c>
      <c r="AM763" s="1"/>
    </row>
    <row r="764" spans="1:39" x14ac:dyDescent="0.35">
      <c r="A764">
        <v>760</v>
      </c>
      <c r="B764">
        <v>761</v>
      </c>
      <c r="C764">
        <v>146.793134522</v>
      </c>
      <c r="D764">
        <v>-19.139736460999899</v>
      </c>
      <c r="F764" s="64"/>
      <c r="G764" s="64"/>
      <c r="H764" s="64" t="s">
        <v>26</v>
      </c>
      <c r="I764" s="64"/>
      <c r="J764" s="32" t="str">
        <f>IF(AND(I764=1,OR(I763=0,I763="")),MAX($J$4:$J763)+1,IF(AND(I764=1,I763=1),J763,""))</f>
        <v/>
      </c>
      <c r="K764" s="32" t="str">
        <f t="shared" si="49"/>
        <v/>
      </c>
      <c r="L764" s="32" t="str">
        <f t="shared" si="47"/>
        <v/>
      </c>
      <c r="M764" s="32" t="str">
        <f t="shared" si="48"/>
        <v/>
      </c>
      <c r="N764" s="4"/>
      <c r="O764" s="4"/>
      <c r="P764" s="4"/>
      <c r="Q764" s="4"/>
      <c r="U764" s="5"/>
      <c r="V764" s="4"/>
      <c r="AG764" t="s">
        <v>804</v>
      </c>
      <c r="AM764" s="1"/>
    </row>
    <row r="765" spans="1:39" x14ac:dyDescent="0.35">
      <c r="A765">
        <v>761</v>
      </c>
      <c r="B765">
        <v>762</v>
      </c>
      <c r="C765">
        <v>146.793094521</v>
      </c>
      <c r="D765">
        <v>-19.1396604729999</v>
      </c>
      <c r="F765" s="64"/>
      <c r="G765" s="64"/>
      <c r="H765" s="64" t="s">
        <v>26</v>
      </c>
      <c r="I765" s="64"/>
      <c r="J765" s="32" t="str">
        <f>IF(AND(I765=1,OR(I764=0,I764="")),MAX($J$4:$J764)+1,IF(AND(I765=1,I764=1),J764,""))</f>
        <v/>
      </c>
      <c r="K765" s="32" t="str">
        <f t="shared" si="49"/>
        <v/>
      </c>
      <c r="L765" s="32" t="str">
        <f t="shared" si="47"/>
        <v/>
      </c>
      <c r="M765" s="32" t="str">
        <f t="shared" si="48"/>
        <v/>
      </c>
      <c r="N765" s="4"/>
      <c r="O765" s="4"/>
      <c r="P765" s="4"/>
      <c r="Q765" s="4"/>
      <c r="U765" s="5"/>
      <c r="V765" s="4"/>
      <c r="AG765" t="s">
        <v>805</v>
      </c>
      <c r="AM765" s="1"/>
    </row>
    <row r="766" spans="1:39" x14ac:dyDescent="0.35">
      <c r="A766">
        <v>762</v>
      </c>
      <c r="B766">
        <v>763</v>
      </c>
      <c r="C766">
        <v>146.79305452099999</v>
      </c>
      <c r="D766">
        <v>-19.139584484999901</v>
      </c>
      <c r="F766" s="64"/>
      <c r="G766" s="64"/>
      <c r="H766" s="64" t="s">
        <v>26</v>
      </c>
      <c r="I766" s="64"/>
      <c r="J766" s="32" t="str">
        <f>IF(AND(I766=1,OR(I765=0,I765="")),MAX($J$4:$J765)+1,IF(AND(I766=1,I765=1),J765,""))</f>
        <v/>
      </c>
      <c r="K766" s="32" t="str">
        <f t="shared" si="49"/>
        <v/>
      </c>
      <c r="L766" s="32" t="str">
        <f t="shared" si="47"/>
        <v/>
      </c>
      <c r="M766" s="32" t="str">
        <f t="shared" si="48"/>
        <v/>
      </c>
      <c r="N766" s="4"/>
      <c r="O766" s="4"/>
      <c r="P766" s="4"/>
      <c r="Q766" s="4"/>
      <c r="U766" s="5"/>
      <c r="V766" s="4"/>
      <c r="AG766" t="s">
        <v>806</v>
      </c>
      <c r="AM766" s="1"/>
    </row>
    <row r="767" spans="1:39" x14ac:dyDescent="0.35">
      <c r="A767">
        <v>763</v>
      </c>
      <c r="B767">
        <v>764</v>
      </c>
      <c r="C767">
        <v>146.79301415899999</v>
      </c>
      <c r="D767">
        <v>-19.139508673999998</v>
      </c>
      <c r="F767" s="64"/>
      <c r="G767" s="64"/>
      <c r="H767" s="64" t="s">
        <v>26</v>
      </c>
      <c r="I767" s="64"/>
      <c r="J767" s="32" t="str">
        <f>IF(AND(I767=1,OR(I766=0,I766="")),MAX($J$4:$J766)+1,IF(AND(I767=1,I766=1),J766,""))</f>
        <v/>
      </c>
      <c r="K767" s="32" t="str">
        <f t="shared" si="49"/>
        <v/>
      </c>
      <c r="L767" s="32" t="str">
        <f t="shared" si="47"/>
        <v/>
      </c>
      <c r="M767" s="32" t="str">
        <f t="shared" si="48"/>
        <v/>
      </c>
      <c r="N767" s="4"/>
      <c r="O767" s="4"/>
      <c r="P767" s="4"/>
      <c r="Q767" s="4"/>
      <c r="U767" s="5"/>
      <c r="V767" s="4"/>
      <c r="AG767" t="s">
        <v>807</v>
      </c>
      <c r="AM767" s="1"/>
    </row>
    <row r="768" spans="1:39" x14ac:dyDescent="0.35">
      <c r="A768">
        <v>764</v>
      </c>
      <c r="B768">
        <v>765</v>
      </c>
      <c r="C768">
        <v>146.792971435</v>
      </c>
      <c r="D768">
        <v>-19.1394340209999</v>
      </c>
      <c r="E768">
        <v>50</v>
      </c>
      <c r="F768" s="64"/>
      <c r="G768" s="64"/>
      <c r="H768" s="64" t="s">
        <v>26</v>
      </c>
      <c r="I768" s="64"/>
      <c r="J768" s="32" t="str">
        <f>IF(AND(I768=1,OR(I767=0,I767="")),MAX($J$4:$J767)+1,IF(AND(I768=1,I767=1),J767,""))</f>
        <v/>
      </c>
      <c r="K768" s="32" t="str">
        <f t="shared" si="49"/>
        <v/>
      </c>
      <c r="L768" s="32" t="str">
        <f t="shared" si="47"/>
        <v/>
      </c>
      <c r="M768" s="32" t="str">
        <f t="shared" si="48"/>
        <v/>
      </c>
      <c r="N768" s="4"/>
      <c r="O768" s="4"/>
      <c r="P768" s="4"/>
      <c r="Q768" s="4"/>
      <c r="U768" s="5"/>
      <c r="V768" s="4"/>
      <c r="AG768" t="s">
        <v>808</v>
      </c>
      <c r="AM768" s="1"/>
    </row>
    <row r="769" spans="1:39" x14ac:dyDescent="0.35">
      <c r="A769">
        <v>765</v>
      </c>
      <c r="B769">
        <v>766</v>
      </c>
      <c r="C769">
        <v>146.792928711</v>
      </c>
      <c r="D769">
        <v>-19.139359367999901</v>
      </c>
      <c r="F769" s="64"/>
      <c r="G769" s="64"/>
      <c r="H769" s="64" t="s">
        <v>26</v>
      </c>
      <c r="I769" s="64"/>
      <c r="J769" s="32" t="str">
        <f>IF(AND(I769=1,OR(I768=0,I768="")),MAX($J$4:$J768)+1,IF(AND(I769=1,I768=1),J768,""))</f>
        <v/>
      </c>
      <c r="K769" s="32" t="str">
        <f t="shared" si="49"/>
        <v/>
      </c>
      <c r="L769" s="32" t="str">
        <f t="shared" si="47"/>
        <v/>
      </c>
      <c r="M769" s="32" t="str">
        <f t="shared" si="48"/>
        <v/>
      </c>
      <c r="N769" s="4"/>
      <c r="O769" s="4"/>
      <c r="P769" s="4"/>
      <c r="Q769" s="4"/>
      <c r="U769" s="5"/>
      <c r="V769" s="4"/>
      <c r="AG769" t="s">
        <v>809</v>
      </c>
      <c r="AM769" s="1"/>
    </row>
    <row r="770" spans="1:39" x14ac:dyDescent="0.35">
      <c r="A770">
        <v>766</v>
      </c>
      <c r="B770">
        <v>767</v>
      </c>
      <c r="C770">
        <v>146.79288598700001</v>
      </c>
      <c r="D770">
        <v>-19.139284713999899</v>
      </c>
      <c r="F770" s="64"/>
      <c r="G770" s="64"/>
      <c r="H770" s="64" t="s">
        <v>26</v>
      </c>
      <c r="I770" s="64"/>
      <c r="J770" s="32" t="str">
        <f>IF(AND(I770=1,OR(I769=0,I769="")),MAX($J$4:$J769)+1,IF(AND(I770=1,I769=1),J769,""))</f>
        <v/>
      </c>
      <c r="K770" s="32" t="str">
        <f t="shared" si="49"/>
        <v/>
      </c>
      <c r="L770" s="32" t="str">
        <f t="shared" si="47"/>
        <v/>
      </c>
      <c r="M770" s="32" t="str">
        <f t="shared" si="48"/>
        <v/>
      </c>
      <c r="N770" s="4"/>
      <c r="O770" s="4"/>
      <c r="P770" s="4"/>
      <c r="Q770" s="4"/>
      <c r="U770" s="5"/>
      <c r="V770" s="4"/>
      <c r="AG770" t="s">
        <v>810</v>
      </c>
      <c r="AM770" s="1"/>
    </row>
    <row r="771" spans="1:39" x14ac:dyDescent="0.35">
      <c r="A771">
        <v>767</v>
      </c>
      <c r="B771">
        <v>768</v>
      </c>
      <c r="C771">
        <v>146.79284326300001</v>
      </c>
      <c r="D771">
        <v>-19.139210061</v>
      </c>
      <c r="F771" s="64"/>
      <c r="G771" s="64"/>
      <c r="H771" s="64" t="s">
        <v>26</v>
      </c>
      <c r="I771" s="64"/>
      <c r="J771" s="32" t="str">
        <f>IF(AND(I771=1,OR(I770=0,I770="")),MAX($J$4:$J770)+1,IF(AND(I771=1,I770=1),J770,""))</f>
        <v/>
      </c>
      <c r="K771" s="32" t="str">
        <f t="shared" si="49"/>
        <v/>
      </c>
      <c r="L771" s="32" t="str">
        <f t="shared" si="47"/>
        <v/>
      </c>
      <c r="M771" s="32" t="str">
        <f t="shared" si="48"/>
        <v/>
      </c>
      <c r="N771" s="4"/>
      <c r="O771" s="4"/>
      <c r="P771" s="4"/>
      <c r="Q771" s="4"/>
      <c r="U771" s="5"/>
      <c r="V771" s="4"/>
      <c r="AG771" t="s">
        <v>811</v>
      </c>
      <c r="AM771" s="1"/>
    </row>
    <row r="772" spans="1:39" x14ac:dyDescent="0.35">
      <c r="A772">
        <v>768</v>
      </c>
      <c r="B772">
        <v>769</v>
      </c>
      <c r="C772">
        <v>146.792801521</v>
      </c>
      <c r="D772">
        <v>-19.139134925</v>
      </c>
      <c r="F772" s="64"/>
      <c r="G772" s="64"/>
      <c r="H772" s="64" t="s">
        <v>26</v>
      </c>
      <c r="I772" s="64"/>
      <c r="J772" s="32" t="str">
        <f>IF(AND(I772=1,OR(I771=0,I771="")),MAX($J$4:$J771)+1,IF(AND(I772=1,I771=1),J771,""))</f>
        <v/>
      </c>
      <c r="K772" s="32" t="str">
        <f t="shared" si="49"/>
        <v/>
      </c>
      <c r="L772" s="32" t="str">
        <f t="shared" ref="L772:L835" si="50">IF(K772="","",IF(K772&gt;=100,"HV",""))</f>
        <v/>
      </c>
      <c r="M772" s="32" t="str">
        <f t="shared" ref="M772:M835" si="51">IF(K772&lt;&gt;"",K772^2,"")</f>
        <v/>
      </c>
      <c r="N772" s="4"/>
      <c r="O772" s="4"/>
      <c r="P772" s="4"/>
      <c r="Q772" s="4"/>
      <c r="U772" s="5"/>
      <c r="V772" s="4"/>
      <c r="AG772" t="s">
        <v>812</v>
      </c>
      <c r="AM772" s="1"/>
    </row>
    <row r="773" spans="1:39" x14ac:dyDescent="0.35">
      <c r="A773">
        <v>769</v>
      </c>
      <c r="B773">
        <v>770</v>
      </c>
      <c r="C773">
        <v>146.79276129799999</v>
      </c>
      <c r="D773">
        <v>-19.1390590409999</v>
      </c>
      <c r="E773">
        <v>50</v>
      </c>
      <c r="F773" s="64"/>
      <c r="G773" s="64"/>
      <c r="H773" s="64" t="s">
        <v>26</v>
      </c>
      <c r="I773" s="64"/>
      <c r="J773" s="32" t="str">
        <f>IF(AND(I773=1,OR(I772=0,I772="")),MAX($J$4:$J772)+1,IF(AND(I773=1,I772=1),J772,""))</f>
        <v/>
      </c>
      <c r="K773" s="32" t="str">
        <f t="shared" si="49"/>
        <v/>
      </c>
      <c r="L773" s="32" t="str">
        <f t="shared" si="50"/>
        <v/>
      </c>
      <c r="M773" s="32" t="str">
        <f t="shared" si="51"/>
        <v/>
      </c>
      <c r="N773" s="4"/>
      <c r="O773" s="4"/>
      <c r="P773" s="4"/>
      <c r="Q773" s="4"/>
      <c r="U773" s="5"/>
      <c r="V773" s="4"/>
      <c r="AG773" t="s">
        <v>813</v>
      </c>
      <c r="AM773" s="1"/>
    </row>
    <row r="774" spans="1:39" x14ac:dyDescent="0.35">
      <c r="A774">
        <v>770</v>
      </c>
      <c r="B774">
        <v>771</v>
      </c>
      <c r="C774">
        <v>146.792721075</v>
      </c>
      <c r="D774">
        <v>-19.138983157999998</v>
      </c>
      <c r="F774" s="64"/>
      <c r="G774" s="64"/>
      <c r="H774" s="64" t="s">
        <v>26</v>
      </c>
      <c r="I774" s="64"/>
      <c r="J774" s="32" t="str">
        <f>IF(AND(I774=1,OR(I773=0,I773="")),MAX($J$4:$J773)+1,IF(AND(I774=1,I773=1),J773,""))</f>
        <v/>
      </c>
      <c r="K774" s="32" t="str">
        <f t="shared" si="49"/>
        <v/>
      </c>
      <c r="L774" s="32" t="str">
        <f t="shared" si="50"/>
        <v/>
      </c>
      <c r="M774" s="32" t="str">
        <f t="shared" si="51"/>
        <v/>
      </c>
      <c r="N774" s="4"/>
      <c r="O774" s="4"/>
      <c r="P774" s="4"/>
      <c r="Q774" s="4"/>
      <c r="U774" s="5"/>
      <c r="V774" s="4"/>
      <c r="AG774" t="s">
        <v>814</v>
      </c>
      <c r="AM774" s="1"/>
    </row>
    <row r="775" spans="1:39" x14ac:dyDescent="0.35">
      <c r="A775">
        <v>771</v>
      </c>
      <c r="B775">
        <v>772</v>
      </c>
      <c r="C775">
        <v>146.79268085199999</v>
      </c>
      <c r="D775">
        <v>-19.138907275000001</v>
      </c>
      <c r="F775" s="64"/>
      <c r="G775" s="64"/>
      <c r="H775" s="64" t="s">
        <v>26</v>
      </c>
      <c r="I775" s="64"/>
      <c r="J775" s="32" t="str">
        <f>IF(AND(I775=1,OR(I774=0,I774="")),MAX($J$4:$J774)+1,IF(AND(I775=1,I774=1),J774,""))</f>
        <v/>
      </c>
      <c r="K775" s="32" t="str">
        <f t="shared" si="49"/>
        <v/>
      </c>
      <c r="L775" s="32" t="str">
        <f t="shared" si="50"/>
        <v/>
      </c>
      <c r="M775" s="32" t="str">
        <f t="shared" si="51"/>
        <v/>
      </c>
      <c r="N775" s="4"/>
      <c r="O775" s="4"/>
      <c r="P775" s="4"/>
      <c r="Q775" s="4"/>
      <c r="U775" s="5"/>
      <c r="V775" s="4"/>
      <c r="AG775" t="s">
        <v>815</v>
      </c>
      <c r="AM775" s="1"/>
    </row>
    <row r="776" spans="1:39" x14ac:dyDescent="0.35">
      <c r="A776">
        <v>772</v>
      </c>
      <c r="B776">
        <v>773</v>
      </c>
      <c r="C776">
        <v>146.792636192</v>
      </c>
      <c r="D776">
        <v>-19.1388339219999</v>
      </c>
      <c r="F776" s="64"/>
      <c r="G776" s="64"/>
      <c r="H776" s="64" t="s">
        <v>26</v>
      </c>
      <c r="I776" s="64"/>
      <c r="J776" s="32" t="str">
        <f>IF(AND(I776=1,OR(I775=0,I775="")),MAX($J$4:$J775)+1,IF(AND(I776=1,I775=1),J775,""))</f>
        <v/>
      </c>
      <c r="K776" s="32" t="str">
        <f t="shared" si="49"/>
        <v/>
      </c>
      <c r="L776" s="32" t="str">
        <f t="shared" si="50"/>
        <v/>
      </c>
      <c r="M776" s="32" t="str">
        <f t="shared" si="51"/>
        <v/>
      </c>
      <c r="N776" s="4"/>
      <c r="O776" s="4"/>
      <c r="P776" s="4"/>
      <c r="Q776" s="4"/>
      <c r="U776" s="5"/>
      <c r="V776" s="4"/>
      <c r="AG776" t="s">
        <v>816</v>
      </c>
      <c r="AM776" s="1"/>
    </row>
    <row r="777" spans="1:39" x14ac:dyDescent="0.35">
      <c r="A777">
        <v>773</v>
      </c>
      <c r="B777">
        <v>774</v>
      </c>
      <c r="C777">
        <v>146.792583837</v>
      </c>
      <c r="D777">
        <v>-19.138764959</v>
      </c>
      <c r="F777" s="64"/>
      <c r="G777" s="64"/>
      <c r="H777" s="64" t="s">
        <v>26</v>
      </c>
      <c r="I777" s="64"/>
      <c r="J777" s="32" t="str">
        <f>IF(AND(I777=1,OR(I776=0,I776="")),MAX($J$4:$J776)+1,IF(AND(I777=1,I776=1),J776,""))</f>
        <v/>
      </c>
      <c r="K777" s="32" t="str">
        <f t="shared" si="49"/>
        <v/>
      </c>
      <c r="L777" s="32" t="str">
        <f t="shared" si="50"/>
        <v/>
      </c>
      <c r="M777" s="32" t="str">
        <f t="shared" si="51"/>
        <v/>
      </c>
      <c r="N777" s="4"/>
      <c r="O777" s="4"/>
      <c r="P777" s="4"/>
      <c r="Q777" s="4"/>
      <c r="U777" s="5"/>
      <c r="V777" s="4"/>
      <c r="AG777" t="s">
        <v>817</v>
      </c>
      <c r="AM777" s="1"/>
    </row>
    <row r="778" spans="1:39" x14ac:dyDescent="0.35">
      <c r="A778">
        <v>774</v>
      </c>
      <c r="B778">
        <v>775</v>
      </c>
      <c r="C778">
        <v>146.79253148199999</v>
      </c>
      <c r="D778">
        <v>-19.138695995999999</v>
      </c>
      <c r="E778">
        <v>50</v>
      </c>
      <c r="F778" s="64"/>
      <c r="G778" s="64"/>
      <c r="H778" s="64" t="s">
        <v>26</v>
      </c>
      <c r="I778" s="64"/>
      <c r="J778" s="32" t="str">
        <f>IF(AND(I778=1,OR(I777=0,I777="")),MAX($J$4:$J777)+1,IF(AND(I778=1,I777=1),J777,""))</f>
        <v/>
      </c>
      <c r="K778" s="32" t="str">
        <f t="shared" si="49"/>
        <v/>
      </c>
      <c r="L778" s="32" t="str">
        <f t="shared" si="50"/>
        <v/>
      </c>
      <c r="M778" s="32" t="str">
        <f t="shared" si="51"/>
        <v/>
      </c>
      <c r="N778" s="4"/>
      <c r="O778" s="4"/>
      <c r="P778" s="4"/>
      <c r="Q778" s="4"/>
      <c r="U778" s="5"/>
      <c r="V778" s="4"/>
      <c r="AG778" t="s">
        <v>818</v>
      </c>
      <c r="AM778" s="1"/>
    </row>
    <row r="779" spans="1:39" x14ac:dyDescent="0.35">
      <c r="A779">
        <v>775</v>
      </c>
      <c r="B779">
        <v>776</v>
      </c>
      <c r="C779">
        <v>146.79247912599999</v>
      </c>
      <c r="D779">
        <v>-19.138627033999999</v>
      </c>
      <c r="F779" s="64"/>
      <c r="G779" s="64"/>
      <c r="H779" s="64" t="s">
        <v>26</v>
      </c>
      <c r="I779" s="64"/>
      <c r="J779" s="32" t="str">
        <f>IF(AND(I779=1,OR(I778=0,I778="")),MAX($J$4:$J778)+1,IF(AND(I779=1,I778=1),J778,""))</f>
        <v/>
      </c>
      <c r="K779" s="32" t="str">
        <f t="shared" si="49"/>
        <v/>
      </c>
      <c r="L779" s="32" t="str">
        <f t="shared" si="50"/>
        <v/>
      </c>
      <c r="M779" s="32" t="str">
        <f t="shared" si="51"/>
        <v/>
      </c>
      <c r="N779" s="4"/>
      <c r="O779" s="4"/>
      <c r="P779" s="4"/>
      <c r="Q779" s="4"/>
      <c r="U779" s="5"/>
      <c r="V779" s="4"/>
      <c r="AG779" t="s">
        <v>819</v>
      </c>
      <c r="AM779" s="1"/>
    </row>
    <row r="780" spans="1:39" x14ac:dyDescent="0.35">
      <c r="A780">
        <v>776</v>
      </c>
      <c r="B780">
        <v>777</v>
      </c>
      <c r="C780">
        <v>146.79242677100001</v>
      </c>
      <c r="D780">
        <v>-19.138558070999999</v>
      </c>
      <c r="F780" s="64"/>
      <c r="G780" s="64"/>
      <c r="H780" s="64" t="s">
        <v>26</v>
      </c>
      <c r="I780" s="64"/>
      <c r="J780" s="32" t="str">
        <f>IF(AND(I780=1,OR(I779=0,I779="")),MAX($J$4:$J779)+1,IF(AND(I780=1,I779=1),J779,""))</f>
        <v/>
      </c>
      <c r="K780" s="32" t="str">
        <f t="shared" si="49"/>
        <v/>
      </c>
      <c r="L780" s="32" t="str">
        <f t="shared" si="50"/>
        <v/>
      </c>
      <c r="M780" s="32" t="str">
        <f t="shared" si="51"/>
        <v/>
      </c>
      <c r="N780" s="4"/>
      <c r="O780" s="4"/>
      <c r="P780" s="4"/>
      <c r="Q780" s="4"/>
      <c r="U780" s="5"/>
      <c r="V780" s="4"/>
      <c r="AG780" t="s">
        <v>820</v>
      </c>
      <c r="AM780" s="1"/>
    </row>
    <row r="781" spans="1:39" x14ac:dyDescent="0.35">
      <c r="A781">
        <v>777</v>
      </c>
      <c r="B781">
        <v>778</v>
      </c>
      <c r="C781">
        <v>146.792374416</v>
      </c>
      <c r="D781">
        <v>-19.138489107999899</v>
      </c>
      <c r="F781" s="64"/>
      <c r="G781" s="64"/>
      <c r="H781" s="64" t="s">
        <v>26</v>
      </c>
      <c r="I781" s="64"/>
      <c r="J781" s="32" t="str">
        <f>IF(AND(I781=1,OR(I780=0,I780="")),MAX($J$4:$J780)+1,IF(AND(I781=1,I780=1),J780,""))</f>
        <v/>
      </c>
      <c r="K781" s="32" t="str">
        <f t="shared" si="49"/>
        <v/>
      </c>
      <c r="L781" s="32" t="str">
        <f t="shared" si="50"/>
        <v/>
      </c>
      <c r="M781" s="32" t="str">
        <f t="shared" si="51"/>
        <v/>
      </c>
      <c r="N781" s="4"/>
      <c r="O781" s="4"/>
      <c r="P781" s="4"/>
      <c r="Q781" s="4"/>
      <c r="U781" s="5"/>
      <c r="V781" s="4"/>
      <c r="AG781" t="s">
        <v>821</v>
      </c>
      <c r="AM781" s="1"/>
    </row>
    <row r="782" spans="1:39" x14ac:dyDescent="0.35">
      <c r="A782">
        <v>778</v>
      </c>
      <c r="B782">
        <v>779</v>
      </c>
      <c r="C782">
        <v>146.79232206099999</v>
      </c>
      <c r="D782">
        <v>-19.138420144999898</v>
      </c>
      <c r="F782" s="64"/>
      <c r="G782" s="64"/>
      <c r="H782" s="64" t="s">
        <v>26</v>
      </c>
      <c r="I782" s="64"/>
      <c r="J782" s="32" t="str">
        <f>IF(AND(I782=1,OR(I781=0,I781="")),MAX($J$4:$J781)+1,IF(AND(I782=1,I781=1),J781,""))</f>
        <v/>
      </c>
      <c r="K782" s="32" t="str">
        <f t="shared" si="49"/>
        <v/>
      </c>
      <c r="L782" s="32" t="str">
        <f t="shared" si="50"/>
        <v/>
      </c>
      <c r="M782" s="32" t="str">
        <f t="shared" si="51"/>
        <v/>
      </c>
      <c r="N782" s="4"/>
      <c r="O782" s="4"/>
      <c r="P782" s="4"/>
      <c r="Q782" s="4"/>
      <c r="U782" s="5"/>
      <c r="V782" s="4"/>
      <c r="AG782" t="s">
        <v>822</v>
      </c>
      <c r="AM782" s="1"/>
    </row>
    <row r="783" spans="1:39" x14ac:dyDescent="0.35">
      <c r="A783">
        <v>779</v>
      </c>
      <c r="B783">
        <v>780</v>
      </c>
      <c r="C783">
        <v>146.79226970600001</v>
      </c>
      <c r="D783">
        <v>-19.138351182000001</v>
      </c>
      <c r="E783">
        <v>50</v>
      </c>
      <c r="F783" s="64"/>
      <c r="G783" s="64"/>
      <c r="H783" s="64" t="s">
        <v>26</v>
      </c>
      <c r="I783" s="64"/>
      <c r="J783" s="32" t="str">
        <f>IF(AND(I783=1,OR(I782=0,I782="")),MAX($J$4:$J782)+1,IF(AND(I783=1,I782=1),J782,""))</f>
        <v/>
      </c>
      <c r="K783" s="32" t="str">
        <f t="shared" si="49"/>
        <v/>
      </c>
      <c r="L783" s="32" t="str">
        <f t="shared" si="50"/>
        <v/>
      </c>
      <c r="M783" s="32" t="str">
        <f t="shared" si="51"/>
        <v/>
      </c>
      <c r="N783" s="4"/>
      <c r="O783" s="4"/>
      <c r="P783" s="4"/>
      <c r="Q783" s="4"/>
      <c r="U783" s="5"/>
      <c r="V783" s="4"/>
      <c r="AG783" t="s">
        <v>823</v>
      </c>
      <c r="AM783" s="1"/>
    </row>
    <row r="784" spans="1:39" x14ac:dyDescent="0.35">
      <c r="A784">
        <v>780</v>
      </c>
      <c r="B784">
        <v>781</v>
      </c>
      <c r="C784">
        <v>146.79221504200001</v>
      </c>
      <c r="D784">
        <v>-19.138283994999899</v>
      </c>
      <c r="F784" s="64"/>
      <c r="G784" s="64"/>
      <c r="H784" s="64" t="s">
        <v>26</v>
      </c>
      <c r="I784" s="64"/>
      <c r="J784" s="32" t="str">
        <f>IF(AND(I784=1,OR(I783=0,I783="")),MAX($J$4:$J783)+1,IF(AND(I784=1,I783=1),J783,""))</f>
        <v/>
      </c>
      <c r="K784" s="32" t="str">
        <f t="shared" si="49"/>
        <v/>
      </c>
      <c r="L784" s="32" t="str">
        <f t="shared" si="50"/>
        <v/>
      </c>
      <c r="M784" s="32" t="str">
        <f t="shared" si="51"/>
        <v/>
      </c>
      <c r="N784" s="4"/>
      <c r="O784" s="4"/>
      <c r="P784" s="4"/>
      <c r="Q784" s="4"/>
      <c r="U784" s="5"/>
      <c r="V784" s="4"/>
      <c r="AG784" t="s">
        <v>824</v>
      </c>
      <c r="AM784" s="1"/>
    </row>
    <row r="785" spans="1:39" x14ac:dyDescent="0.35">
      <c r="A785">
        <v>781</v>
      </c>
      <c r="B785">
        <v>782</v>
      </c>
      <c r="C785">
        <v>146.79215416599999</v>
      </c>
      <c r="D785">
        <v>-19.138221587</v>
      </c>
      <c r="F785" s="64"/>
      <c r="G785" s="64"/>
      <c r="H785" s="64" t="s">
        <v>26</v>
      </c>
      <c r="I785" s="64"/>
      <c r="J785" s="32" t="str">
        <f>IF(AND(I785=1,OR(I784=0,I784="")),MAX($J$4:$J784)+1,IF(AND(I785=1,I784=1),J784,""))</f>
        <v/>
      </c>
      <c r="K785" s="32" t="str">
        <f t="shared" si="49"/>
        <v/>
      </c>
      <c r="L785" s="32" t="str">
        <f t="shared" si="50"/>
        <v/>
      </c>
      <c r="M785" s="32" t="str">
        <f t="shared" si="51"/>
        <v/>
      </c>
      <c r="N785" s="4"/>
      <c r="O785" s="4"/>
      <c r="P785" s="4"/>
      <c r="Q785" s="4"/>
      <c r="U785" s="5"/>
      <c r="V785" s="4"/>
      <c r="AG785" t="s">
        <v>825</v>
      </c>
      <c r="AM785" s="1"/>
    </row>
    <row r="786" spans="1:39" x14ac:dyDescent="0.35">
      <c r="A786">
        <v>782</v>
      </c>
      <c r="B786">
        <v>783</v>
      </c>
      <c r="C786">
        <v>146.79209329</v>
      </c>
      <c r="D786">
        <v>-19.138159178999999</v>
      </c>
      <c r="F786" s="64"/>
      <c r="G786" s="64"/>
      <c r="H786" s="64" t="s">
        <v>26</v>
      </c>
      <c r="I786" s="64"/>
      <c r="J786" s="32" t="str">
        <f>IF(AND(I786=1,OR(I785=0,I785="")),MAX($J$4:$J785)+1,IF(AND(I786=1,I785=1),J785,""))</f>
        <v/>
      </c>
      <c r="K786" s="32" t="str">
        <f t="shared" si="49"/>
        <v/>
      </c>
      <c r="L786" s="32" t="str">
        <f t="shared" si="50"/>
        <v/>
      </c>
      <c r="M786" s="32" t="str">
        <f t="shared" si="51"/>
        <v/>
      </c>
      <c r="N786" s="4"/>
      <c r="O786" s="4"/>
      <c r="P786" s="4"/>
      <c r="Q786" s="4"/>
      <c r="U786" s="5"/>
      <c r="V786" s="4"/>
      <c r="AG786" t="s">
        <v>826</v>
      </c>
      <c r="AM786" s="1"/>
    </row>
    <row r="787" spans="1:39" x14ac:dyDescent="0.35">
      <c r="A787">
        <v>783</v>
      </c>
      <c r="B787">
        <v>784</v>
      </c>
      <c r="C787">
        <v>146.79203241499999</v>
      </c>
      <c r="D787">
        <v>-19.138096769999901</v>
      </c>
      <c r="F787" s="64"/>
      <c r="G787" s="64"/>
      <c r="H787" s="64" t="s">
        <v>26</v>
      </c>
      <c r="I787" s="64"/>
      <c r="J787" s="32" t="str">
        <f>IF(AND(I787=1,OR(I786=0,I786="")),MAX($J$4:$J786)+1,IF(AND(I787=1,I786=1),J786,""))</f>
        <v/>
      </c>
      <c r="K787" s="32" t="str">
        <f t="shared" si="49"/>
        <v/>
      </c>
      <c r="L787" s="32" t="str">
        <f t="shared" si="50"/>
        <v/>
      </c>
      <c r="M787" s="32" t="str">
        <f t="shared" si="51"/>
        <v/>
      </c>
      <c r="N787" s="4"/>
      <c r="O787" s="4"/>
      <c r="P787" s="4"/>
      <c r="Q787" s="4"/>
      <c r="U787" s="5"/>
      <c r="V787" s="4"/>
      <c r="AG787" t="s">
        <v>827</v>
      </c>
      <c r="AM787" s="1"/>
    </row>
    <row r="788" spans="1:39" x14ac:dyDescent="0.35">
      <c r="A788">
        <v>784</v>
      </c>
      <c r="B788">
        <v>785</v>
      </c>
      <c r="C788">
        <v>146.791971539</v>
      </c>
      <c r="D788">
        <v>-19.1380343619999</v>
      </c>
      <c r="E788">
        <v>50</v>
      </c>
      <c r="F788" s="64"/>
      <c r="G788" s="64"/>
      <c r="H788" s="64" t="s">
        <v>26</v>
      </c>
      <c r="I788" s="64"/>
      <c r="J788" s="32" t="str">
        <f>IF(AND(I788=1,OR(I787=0,I787="")),MAX($J$4:$J787)+1,IF(AND(I788=1,I787=1),J787,""))</f>
        <v/>
      </c>
      <c r="K788" s="32" t="str">
        <f t="shared" si="49"/>
        <v/>
      </c>
      <c r="L788" s="32" t="str">
        <f t="shared" si="50"/>
        <v/>
      </c>
      <c r="M788" s="32" t="str">
        <f t="shared" si="51"/>
        <v/>
      </c>
      <c r="N788" s="4"/>
      <c r="O788" s="4"/>
      <c r="P788" s="4"/>
      <c r="Q788" s="4"/>
      <c r="U788" s="5"/>
      <c r="V788" s="4"/>
      <c r="AG788" t="s">
        <v>828</v>
      </c>
      <c r="AM788" s="1"/>
    </row>
    <row r="789" spans="1:39" x14ac:dyDescent="0.35">
      <c r="A789">
        <v>785</v>
      </c>
      <c r="B789">
        <v>786</v>
      </c>
      <c r="C789">
        <v>146.79191103400001</v>
      </c>
      <c r="D789">
        <v>-19.137971641</v>
      </c>
      <c r="F789" s="64"/>
      <c r="G789" s="64"/>
      <c r="H789" s="64" t="s">
        <v>26</v>
      </c>
      <c r="I789" s="64"/>
      <c r="J789" s="32" t="str">
        <f>IF(AND(I789=1,OR(I788=0,I788="")),MAX($J$4:$J788)+1,IF(AND(I789=1,I788=1),J788,""))</f>
        <v/>
      </c>
      <c r="K789" s="32" t="str">
        <f t="shared" si="49"/>
        <v/>
      </c>
      <c r="L789" s="32" t="str">
        <f t="shared" si="50"/>
        <v/>
      </c>
      <c r="M789" s="32" t="str">
        <f t="shared" si="51"/>
        <v/>
      </c>
      <c r="N789" s="4"/>
      <c r="O789" s="4"/>
      <c r="P789" s="4"/>
      <c r="Q789" s="4"/>
      <c r="U789" s="5"/>
      <c r="V789" s="4"/>
      <c r="AG789" t="s">
        <v>829</v>
      </c>
      <c r="AM789" s="1"/>
    </row>
    <row r="790" spans="1:39" x14ac:dyDescent="0.35">
      <c r="A790">
        <v>786</v>
      </c>
      <c r="B790">
        <v>787</v>
      </c>
      <c r="C790">
        <v>146.791852398</v>
      </c>
      <c r="D790">
        <v>-19.137907346999999</v>
      </c>
      <c r="F790" s="64"/>
      <c r="G790" s="64"/>
      <c r="H790" s="64" t="s">
        <v>26</v>
      </c>
      <c r="I790" s="64"/>
      <c r="J790" s="32" t="str">
        <f>IF(AND(I790=1,OR(I789=0,I789="")),MAX($J$4:$J789)+1,IF(AND(I790=1,I789=1),J789,""))</f>
        <v/>
      </c>
      <c r="K790" s="32" t="str">
        <f t="shared" si="49"/>
        <v/>
      </c>
      <c r="L790" s="32" t="str">
        <f t="shared" si="50"/>
        <v/>
      </c>
      <c r="M790" s="32" t="str">
        <f t="shared" si="51"/>
        <v/>
      </c>
      <c r="N790" s="4"/>
      <c r="O790" s="4"/>
      <c r="P790" s="4"/>
      <c r="Q790" s="4"/>
      <c r="U790" s="5"/>
      <c r="V790" s="4"/>
      <c r="AG790" t="s">
        <v>830</v>
      </c>
      <c r="AM790" s="1"/>
    </row>
    <row r="791" spans="1:39" x14ac:dyDescent="0.35">
      <c r="A791">
        <v>787</v>
      </c>
      <c r="B791">
        <v>788</v>
      </c>
      <c r="C791">
        <v>146.79179376299999</v>
      </c>
      <c r="D791">
        <v>-19.137843052999902</v>
      </c>
      <c r="F791" s="64"/>
      <c r="G791" s="64"/>
      <c r="H791" s="64" t="s">
        <v>26</v>
      </c>
      <c r="I791" s="64"/>
      <c r="J791" s="32" t="str">
        <f>IF(AND(I791=1,OR(I790=0,I790="")),MAX($J$4:$J790)+1,IF(AND(I791=1,I790=1),J790,""))</f>
        <v/>
      </c>
      <c r="K791" s="32" t="str">
        <f t="shared" si="49"/>
        <v/>
      </c>
      <c r="L791" s="32" t="str">
        <f t="shared" si="50"/>
        <v/>
      </c>
      <c r="M791" s="32" t="str">
        <f t="shared" si="51"/>
        <v/>
      </c>
      <c r="N791" s="4"/>
      <c r="O791" s="4"/>
      <c r="P791" s="4"/>
      <c r="Q791" s="4"/>
      <c r="U791" s="5"/>
      <c r="V791" s="4"/>
      <c r="AG791" t="s">
        <v>831</v>
      </c>
      <c r="AM791" s="1"/>
    </row>
    <row r="792" spans="1:39" x14ac:dyDescent="0.35">
      <c r="A792">
        <v>788</v>
      </c>
      <c r="B792">
        <v>789</v>
      </c>
      <c r="C792">
        <v>146.79173512700001</v>
      </c>
      <c r="D792">
        <v>-19.137778758</v>
      </c>
      <c r="F792" s="64"/>
      <c r="G792" s="64"/>
      <c r="H792" s="64" t="s">
        <v>26</v>
      </c>
      <c r="I792" s="64"/>
      <c r="J792" s="32" t="str">
        <f>IF(AND(I792=1,OR(I791=0,I791="")),MAX($J$4:$J791)+1,IF(AND(I792=1,I791=1),J791,""))</f>
        <v/>
      </c>
      <c r="K792" s="32" t="str">
        <f t="shared" si="49"/>
        <v/>
      </c>
      <c r="L792" s="32" t="str">
        <f t="shared" si="50"/>
        <v/>
      </c>
      <c r="M792" s="32" t="str">
        <f t="shared" si="51"/>
        <v/>
      </c>
      <c r="N792" s="4"/>
      <c r="O792" s="4"/>
      <c r="P792" s="4"/>
      <c r="Q792" s="4"/>
      <c r="U792" s="5"/>
      <c r="V792" s="4"/>
      <c r="AG792" t="s">
        <v>832</v>
      </c>
      <c r="AM792" s="1"/>
    </row>
    <row r="793" spans="1:39" x14ac:dyDescent="0.35">
      <c r="A793">
        <v>789</v>
      </c>
      <c r="B793">
        <v>790</v>
      </c>
      <c r="C793">
        <v>146.79167649199999</v>
      </c>
      <c r="D793">
        <v>-19.137714463999899</v>
      </c>
      <c r="E793">
        <v>50</v>
      </c>
      <c r="F793" s="64"/>
      <c r="G793" s="64"/>
      <c r="H793" s="64" t="s">
        <v>26</v>
      </c>
      <c r="I793" s="64"/>
      <c r="J793" s="32" t="str">
        <f>IF(AND(I793=1,OR(I792=0,I792="")),MAX($J$4:$J792)+1,IF(AND(I793=1,I792=1),J792,""))</f>
        <v/>
      </c>
      <c r="K793" s="32" t="str">
        <f t="shared" si="49"/>
        <v/>
      </c>
      <c r="L793" s="32" t="str">
        <f t="shared" si="50"/>
        <v/>
      </c>
      <c r="M793" s="32" t="str">
        <f t="shared" si="51"/>
        <v/>
      </c>
      <c r="N793" s="4"/>
      <c r="O793" s="4"/>
      <c r="P793" s="4"/>
      <c r="Q793" s="4"/>
      <c r="U793" s="5"/>
      <c r="V793" s="4"/>
      <c r="AG793" t="s">
        <v>833</v>
      </c>
      <c r="AM793" s="1"/>
    </row>
    <row r="794" spans="1:39" x14ac:dyDescent="0.35">
      <c r="A794">
        <v>790</v>
      </c>
      <c r="B794">
        <v>791</v>
      </c>
      <c r="C794">
        <v>146.79161785599999</v>
      </c>
      <c r="D794">
        <v>-19.137650169</v>
      </c>
      <c r="F794" s="64"/>
      <c r="G794" s="64"/>
      <c r="H794" s="64" t="s">
        <v>26</v>
      </c>
      <c r="I794" s="64"/>
      <c r="J794" s="32" t="str">
        <f>IF(AND(I794=1,OR(I793=0,I793="")),MAX($J$4:$J793)+1,IF(AND(I794=1,I793=1),J793,""))</f>
        <v/>
      </c>
      <c r="K794" s="32" t="str">
        <f t="shared" si="49"/>
        <v/>
      </c>
      <c r="L794" s="32" t="str">
        <f t="shared" si="50"/>
        <v/>
      </c>
      <c r="M794" s="32" t="str">
        <f t="shared" si="51"/>
        <v/>
      </c>
      <c r="N794" s="4"/>
      <c r="O794" s="4"/>
      <c r="P794" s="4"/>
      <c r="Q794" s="4"/>
      <c r="U794" s="5"/>
      <c r="V794" s="4"/>
      <c r="AG794" t="s">
        <v>834</v>
      </c>
      <c r="AM794" s="1"/>
    </row>
    <row r="795" spans="1:39" x14ac:dyDescent="0.35">
      <c r="A795">
        <v>791</v>
      </c>
      <c r="B795">
        <v>792</v>
      </c>
      <c r="C795">
        <v>146.79155922000001</v>
      </c>
      <c r="D795">
        <v>-19.137585874999999</v>
      </c>
      <c r="F795" s="64"/>
      <c r="G795" s="64"/>
      <c r="H795" s="64" t="s">
        <v>26</v>
      </c>
      <c r="I795" s="64"/>
      <c r="J795" s="32" t="str">
        <f>IF(AND(I795=1,OR(I794=0,I794="")),MAX($J$4:$J794)+1,IF(AND(I795=1,I794=1),J794,""))</f>
        <v/>
      </c>
      <c r="K795" s="32" t="str">
        <f t="shared" si="49"/>
        <v/>
      </c>
      <c r="L795" s="32" t="str">
        <f t="shared" si="50"/>
        <v/>
      </c>
      <c r="M795" s="32" t="str">
        <f t="shared" si="51"/>
        <v/>
      </c>
      <c r="N795" s="4"/>
      <c r="O795" s="4"/>
      <c r="P795" s="4"/>
      <c r="Q795" s="4"/>
      <c r="U795" s="5"/>
      <c r="V795" s="4"/>
      <c r="AG795" t="s">
        <v>835</v>
      </c>
      <c r="AM795" s="1"/>
    </row>
    <row r="796" spans="1:39" x14ac:dyDescent="0.35">
      <c r="A796">
        <v>792</v>
      </c>
      <c r="B796">
        <v>793</v>
      </c>
      <c r="C796">
        <v>146.79150058499999</v>
      </c>
      <c r="D796">
        <v>-19.137521579999898</v>
      </c>
      <c r="F796" s="64"/>
      <c r="G796" s="64"/>
      <c r="H796" s="64" t="s">
        <v>26</v>
      </c>
      <c r="I796" s="64"/>
      <c r="J796" s="32" t="str">
        <f>IF(AND(I796=1,OR(I795=0,I795="")),MAX($J$4:$J795)+1,IF(AND(I796=1,I795=1),J795,""))</f>
        <v/>
      </c>
      <c r="K796" s="32" t="str">
        <f t="shared" si="49"/>
        <v/>
      </c>
      <c r="L796" s="32" t="str">
        <f t="shared" si="50"/>
        <v/>
      </c>
      <c r="M796" s="32" t="str">
        <f t="shared" si="51"/>
        <v/>
      </c>
      <c r="N796" s="4"/>
      <c r="O796" s="4"/>
      <c r="P796" s="4"/>
      <c r="Q796" s="4"/>
      <c r="U796" s="5"/>
      <c r="V796" s="4"/>
      <c r="AG796" t="s">
        <v>836</v>
      </c>
      <c r="AM796" s="1"/>
    </row>
    <row r="797" spans="1:39" x14ac:dyDescent="0.35">
      <c r="A797">
        <v>793</v>
      </c>
      <c r="B797">
        <v>794</v>
      </c>
      <c r="C797">
        <v>146.79144194899999</v>
      </c>
      <c r="D797">
        <v>-19.137457286</v>
      </c>
      <c r="F797" s="64"/>
      <c r="G797" s="64"/>
      <c r="H797" s="64" t="s">
        <v>26</v>
      </c>
      <c r="I797" s="64"/>
      <c r="J797" s="32" t="str">
        <f>IF(AND(I797=1,OR(I796=0,I796="")),MAX($J$4:$J796)+1,IF(AND(I797=1,I796=1),J796,""))</f>
        <v/>
      </c>
      <c r="K797" s="32" t="str">
        <f t="shared" si="49"/>
        <v/>
      </c>
      <c r="L797" s="32" t="str">
        <f t="shared" si="50"/>
        <v/>
      </c>
      <c r="M797" s="32" t="str">
        <f t="shared" si="51"/>
        <v/>
      </c>
      <c r="N797" s="4"/>
      <c r="O797" s="4"/>
      <c r="P797" s="4"/>
      <c r="Q797" s="4"/>
      <c r="U797" s="5"/>
      <c r="V797" s="4"/>
      <c r="AG797" t="s">
        <v>837</v>
      </c>
      <c r="AM797" s="1"/>
    </row>
    <row r="798" spans="1:39" x14ac:dyDescent="0.35">
      <c r="A798">
        <v>794</v>
      </c>
      <c r="B798">
        <v>795</v>
      </c>
      <c r="C798">
        <v>146.791383271</v>
      </c>
      <c r="D798">
        <v>-19.137393029999899</v>
      </c>
      <c r="E798">
        <v>50</v>
      </c>
      <c r="F798" s="64"/>
      <c r="G798" s="64"/>
      <c r="H798" s="64" t="s">
        <v>26</v>
      </c>
      <c r="I798" s="64"/>
      <c r="J798" s="32" t="str">
        <f>IF(AND(I798=1,OR(I797=0,I797="")),MAX($J$4:$J797)+1,IF(AND(I798=1,I797=1),J797,""))</f>
        <v/>
      </c>
      <c r="K798" s="32" t="str">
        <f t="shared" si="49"/>
        <v/>
      </c>
      <c r="L798" s="32" t="str">
        <f t="shared" si="50"/>
        <v/>
      </c>
      <c r="M798" s="32" t="str">
        <f t="shared" si="51"/>
        <v/>
      </c>
      <c r="N798" s="4"/>
      <c r="O798" s="4"/>
      <c r="P798" s="4"/>
      <c r="Q798" s="4"/>
      <c r="U798" s="5"/>
      <c r="V798" s="4"/>
      <c r="AG798" t="s">
        <v>838</v>
      </c>
      <c r="AM798" s="1"/>
    </row>
    <row r="799" spans="1:39" x14ac:dyDescent="0.35">
      <c r="A799">
        <v>795</v>
      </c>
      <c r="B799">
        <v>796</v>
      </c>
      <c r="C799">
        <v>146.79131762</v>
      </c>
      <c r="D799">
        <v>-19.137335102000002</v>
      </c>
      <c r="F799" s="64"/>
      <c r="G799" s="64"/>
      <c r="H799" s="64" t="s">
        <v>26</v>
      </c>
      <c r="I799" s="64"/>
      <c r="J799" s="32" t="str">
        <f>IF(AND(I799=1,OR(I798=0,I798="")),MAX($J$4:$J798)+1,IF(AND(I799=1,I798=1),J798,""))</f>
        <v/>
      </c>
      <c r="K799" s="32" t="str">
        <f t="shared" ref="K799:K862" si="52">IF(J799="","",COUNTIF(J:J,J799)*10)</f>
        <v/>
      </c>
      <c r="L799" s="32" t="str">
        <f t="shared" si="50"/>
        <v/>
      </c>
      <c r="M799" s="32" t="str">
        <f t="shared" si="51"/>
        <v/>
      </c>
      <c r="N799" s="4"/>
      <c r="O799" s="4"/>
      <c r="P799" s="4"/>
      <c r="Q799" s="4"/>
      <c r="U799" s="5"/>
      <c r="V799" s="4"/>
      <c r="AG799" t="s">
        <v>839</v>
      </c>
      <c r="AM799" s="1"/>
    </row>
    <row r="800" spans="1:39" x14ac:dyDescent="0.35">
      <c r="A800">
        <v>796</v>
      </c>
      <c r="B800">
        <v>797</v>
      </c>
      <c r="C800">
        <v>146.79125196999999</v>
      </c>
      <c r="D800">
        <v>-19.137277174000001</v>
      </c>
      <c r="F800" s="64"/>
      <c r="G800" s="64"/>
      <c r="H800" s="64" t="s">
        <v>26</v>
      </c>
      <c r="I800" s="64"/>
      <c r="J800" s="32" t="str">
        <f>IF(AND(I800=1,OR(I799=0,I799="")),MAX($J$4:$J799)+1,IF(AND(I800=1,I799=1),J799,""))</f>
        <v/>
      </c>
      <c r="K800" s="32" t="str">
        <f t="shared" si="52"/>
        <v/>
      </c>
      <c r="L800" s="32" t="str">
        <f t="shared" si="50"/>
        <v/>
      </c>
      <c r="M800" s="32" t="str">
        <f t="shared" si="51"/>
        <v/>
      </c>
      <c r="N800" s="4"/>
      <c r="O800" s="4"/>
      <c r="P800" s="4"/>
      <c r="Q800" s="4"/>
      <c r="U800" s="5"/>
      <c r="V800" s="4"/>
      <c r="AG800" t="s">
        <v>840</v>
      </c>
      <c r="AM800" s="1"/>
    </row>
    <row r="801" spans="1:39" x14ac:dyDescent="0.35">
      <c r="A801">
        <v>797</v>
      </c>
      <c r="B801">
        <v>798</v>
      </c>
      <c r="C801">
        <v>146.79118632000001</v>
      </c>
      <c r="D801">
        <v>-19.137219246000001</v>
      </c>
      <c r="F801" s="64"/>
      <c r="G801" s="64"/>
      <c r="H801" s="64" t="s">
        <v>26</v>
      </c>
      <c r="I801" s="64"/>
      <c r="J801" s="32" t="str">
        <f>IF(AND(I801=1,OR(I800=0,I800="")),MAX($J$4:$J800)+1,IF(AND(I801=1,I800=1),J800,""))</f>
        <v/>
      </c>
      <c r="K801" s="32" t="str">
        <f t="shared" si="52"/>
        <v/>
      </c>
      <c r="L801" s="32" t="str">
        <f t="shared" si="50"/>
        <v/>
      </c>
      <c r="M801" s="32" t="str">
        <f t="shared" si="51"/>
        <v/>
      </c>
      <c r="N801" s="4"/>
      <c r="O801" s="4"/>
      <c r="P801" s="4"/>
      <c r="Q801" s="4"/>
      <c r="U801" s="5"/>
      <c r="V801" s="4"/>
      <c r="AG801" t="s">
        <v>841</v>
      </c>
      <c r="AM801" s="1"/>
    </row>
    <row r="802" spans="1:39" x14ac:dyDescent="0.35">
      <c r="A802">
        <v>798</v>
      </c>
      <c r="B802">
        <v>799</v>
      </c>
      <c r="C802">
        <v>146.79112066900001</v>
      </c>
      <c r="D802">
        <v>-19.137161318</v>
      </c>
      <c r="F802" s="64"/>
      <c r="G802" s="64"/>
      <c r="H802" s="64" t="s">
        <v>26</v>
      </c>
      <c r="I802" s="64"/>
      <c r="J802" s="32" t="str">
        <f>IF(AND(I802=1,OR(I801=0,I801="")),MAX($J$4:$J801)+1,IF(AND(I802=1,I801=1),J801,""))</f>
        <v/>
      </c>
      <c r="K802" s="32" t="str">
        <f t="shared" si="52"/>
        <v/>
      </c>
      <c r="L802" s="32" t="str">
        <f t="shared" si="50"/>
        <v/>
      </c>
      <c r="M802" s="32" t="str">
        <f t="shared" si="51"/>
        <v/>
      </c>
      <c r="N802" s="4"/>
      <c r="O802" s="4"/>
      <c r="P802" s="4"/>
      <c r="Q802" s="4"/>
      <c r="U802" s="5"/>
      <c r="V802" s="4"/>
      <c r="AG802" t="s">
        <v>842</v>
      </c>
      <c r="AM802" s="1"/>
    </row>
    <row r="803" spans="1:39" x14ac:dyDescent="0.35">
      <c r="A803">
        <v>799</v>
      </c>
      <c r="B803">
        <v>800</v>
      </c>
      <c r="C803">
        <v>146.791055019</v>
      </c>
      <c r="D803">
        <v>-19.137103389999901</v>
      </c>
      <c r="E803">
        <v>50</v>
      </c>
      <c r="F803" s="64"/>
      <c r="G803" s="64"/>
      <c r="H803" s="64" t="s">
        <v>26</v>
      </c>
      <c r="I803" s="64"/>
      <c r="J803" s="32" t="str">
        <f>IF(AND(I803=1,OR(I802=0,I802="")),MAX($J$4:$J802)+1,IF(AND(I803=1,I802=1),J802,""))</f>
        <v/>
      </c>
      <c r="K803" s="32" t="str">
        <f t="shared" si="52"/>
        <v/>
      </c>
      <c r="L803" s="32" t="str">
        <f t="shared" si="50"/>
        <v/>
      </c>
      <c r="M803" s="32" t="str">
        <f t="shared" si="51"/>
        <v/>
      </c>
      <c r="N803" s="4"/>
      <c r="O803" s="4"/>
      <c r="P803" s="4"/>
      <c r="Q803" s="4"/>
      <c r="U803" s="5"/>
      <c r="V803" s="4"/>
      <c r="AG803" t="s">
        <v>843</v>
      </c>
      <c r="AM803" s="1"/>
    </row>
    <row r="804" spans="1:39" x14ac:dyDescent="0.35">
      <c r="A804">
        <v>800</v>
      </c>
      <c r="B804">
        <v>801</v>
      </c>
      <c r="C804">
        <v>146.790989368</v>
      </c>
      <c r="D804">
        <v>-19.1370454619999</v>
      </c>
      <c r="F804" s="64"/>
      <c r="G804" s="64"/>
      <c r="H804" s="64" t="s">
        <v>26</v>
      </c>
      <c r="I804" s="64"/>
      <c r="J804" s="32" t="str">
        <f>IF(AND(I804=1,OR(I803=0,I803="")),MAX($J$4:$J803)+1,IF(AND(I804=1,I803=1),J803,""))</f>
        <v/>
      </c>
      <c r="K804" s="32" t="str">
        <f t="shared" si="52"/>
        <v/>
      </c>
      <c r="L804" s="32" t="str">
        <f t="shared" si="50"/>
        <v/>
      </c>
      <c r="M804" s="32" t="str">
        <f t="shared" si="51"/>
        <v/>
      </c>
      <c r="N804" s="4"/>
      <c r="O804" s="4"/>
      <c r="P804" s="4"/>
      <c r="Q804" s="4"/>
      <c r="U804" s="5"/>
      <c r="V804" s="4"/>
      <c r="AG804" t="s">
        <v>844</v>
      </c>
      <c r="AM804" s="1"/>
    </row>
    <row r="805" spans="1:39" x14ac:dyDescent="0.35">
      <c r="A805">
        <v>801</v>
      </c>
      <c r="B805">
        <v>802</v>
      </c>
      <c r="C805">
        <v>146.79092371799999</v>
      </c>
      <c r="D805">
        <v>-19.136987533999999</v>
      </c>
      <c r="F805" s="64"/>
      <c r="G805" s="64"/>
      <c r="H805" s="64" t="s">
        <v>26</v>
      </c>
      <c r="I805" s="64"/>
      <c r="J805" s="32" t="str">
        <f>IF(AND(I805=1,OR(I804=0,I804="")),MAX($J$4:$J804)+1,IF(AND(I805=1,I804=1),J804,""))</f>
        <v/>
      </c>
      <c r="K805" s="32" t="str">
        <f t="shared" si="52"/>
        <v/>
      </c>
      <c r="L805" s="32" t="str">
        <f t="shared" si="50"/>
        <v/>
      </c>
      <c r="M805" s="32" t="str">
        <f t="shared" si="51"/>
        <v/>
      </c>
      <c r="N805" s="4"/>
      <c r="O805" s="4"/>
      <c r="P805" s="4"/>
      <c r="Q805" s="4"/>
      <c r="U805" s="5"/>
      <c r="V805" s="4"/>
      <c r="AG805" t="s">
        <v>845</v>
      </c>
      <c r="AM805" s="1"/>
    </row>
    <row r="806" spans="1:39" x14ac:dyDescent="0.35">
      <c r="A806">
        <v>802</v>
      </c>
      <c r="B806">
        <v>803</v>
      </c>
      <c r="C806">
        <v>146.79086117899999</v>
      </c>
      <c r="D806">
        <v>-19.13692687</v>
      </c>
      <c r="F806" s="64"/>
      <c r="G806" s="64"/>
      <c r="H806" s="64" t="s">
        <v>26</v>
      </c>
      <c r="I806" s="64"/>
      <c r="J806" s="32" t="str">
        <f>IF(AND(I806=1,OR(I805=0,I805="")),MAX($J$4:$J805)+1,IF(AND(I806=1,I805=1),J805,""))</f>
        <v/>
      </c>
      <c r="K806" s="32" t="str">
        <f t="shared" si="52"/>
        <v/>
      </c>
      <c r="L806" s="32" t="str">
        <f t="shared" si="50"/>
        <v/>
      </c>
      <c r="M806" s="32" t="str">
        <f t="shared" si="51"/>
        <v/>
      </c>
      <c r="N806" s="4"/>
      <c r="O806" s="4"/>
      <c r="P806" s="4"/>
      <c r="Q806" s="4"/>
      <c r="U806" s="5"/>
      <c r="V806" s="4"/>
      <c r="AG806" t="s">
        <v>846</v>
      </c>
      <c r="AM806" s="1"/>
    </row>
    <row r="807" spans="1:39" x14ac:dyDescent="0.35">
      <c r="A807">
        <v>803</v>
      </c>
      <c r="B807">
        <v>804</v>
      </c>
      <c r="C807">
        <v>146.79080473900001</v>
      </c>
      <c r="D807">
        <v>-19.136860844999902</v>
      </c>
      <c r="F807" s="64"/>
      <c r="G807" s="64"/>
      <c r="H807" s="64" t="s">
        <v>26</v>
      </c>
      <c r="I807" s="64"/>
      <c r="J807" s="32" t="str">
        <f>IF(AND(I807=1,OR(I806=0,I806="")),MAX($J$4:$J806)+1,IF(AND(I807=1,I806=1),J806,""))</f>
        <v/>
      </c>
      <c r="K807" s="32" t="str">
        <f t="shared" si="52"/>
        <v/>
      </c>
      <c r="L807" s="32" t="str">
        <f t="shared" si="50"/>
        <v/>
      </c>
      <c r="M807" s="32" t="str">
        <f t="shared" si="51"/>
        <v/>
      </c>
      <c r="N807" s="4"/>
      <c r="O807" s="4"/>
      <c r="P807" s="4"/>
      <c r="Q807" s="4"/>
      <c r="U807" s="5"/>
      <c r="V807" s="4"/>
      <c r="AG807" t="s">
        <v>847</v>
      </c>
      <c r="AM807" s="1"/>
    </row>
    <row r="808" spans="1:39" x14ac:dyDescent="0.35">
      <c r="A808">
        <v>804</v>
      </c>
      <c r="B808">
        <v>805</v>
      </c>
      <c r="C808">
        <v>146.790748299</v>
      </c>
      <c r="D808">
        <v>-19.136794819999999</v>
      </c>
      <c r="E808">
        <v>50</v>
      </c>
      <c r="F808" s="64"/>
      <c r="G808" s="64"/>
      <c r="H808" s="64" t="s">
        <v>26</v>
      </c>
      <c r="I808" s="64"/>
      <c r="J808" s="32" t="str">
        <f>IF(AND(I808=1,OR(I807=0,I807="")),MAX($J$4:$J807)+1,IF(AND(I808=1,I807=1),J807,""))</f>
        <v/>
      </c>
      <c r="K808" s="32" t="str">
        <f t="shared" si="52"/>
        <v/>
      </c>
      <c r="L808" s="32" t="str">
        <f t="shared" si="50"/>
        <v/>
      </c>
      <c r="M808" s="32" t="str">
        <f t="shared" si="51"/>
        <v/>
      </c>
      <c r="N808" s="4"/>
      <c r="O808" s="4"/>
      <c r="P808" s="4"/>
      <c r="Q808" s="4"/>
      <c r="U808" s="5"/>
      <c r="V808" s="4"/>
      <c r="AG808" t="s">
        <v>848</v>
      </c>
      <c r="AM808" s="1"/>
    </row>
    <row r="809" spans="1:39" x14ac:dyDescent="0.35">
      <c r="A809">
        <v>805</v>
      </c>
      <c r="B809">
        <v>806</v>
      </c>
      <c r="C809">
        <v>146.79069185899999</v>
      </c>
      <c r="D809">
        <v>-19.136728795</v>
      </c>
      <c r="F809" s="64"/>
      <c r="G809" s="64"/>
      <c r="H809" s="64" t="s">
        <v>26</v>
      </c>
      <c r="I809" s="64"/>
      <c r="J809" s="32" t="str">
        <f>IF(AND(I809=1,OR(I808=0,I808="")),MAX($J$4:$J808)+1,IF(AND(I809=1,I808=1),J808,""))</f>
        <v/>
      </c>
      <c r="K809" s="32" t="str">
        <f t="shared" si="52"/>
        <v/>
      </c>
      <c r="L809" s="32" t="str">
        <f t="shared" si="50"/>
        <v/>
      </c>
      <c r="M809" s="32" t="str">
        <f t="shared" si="51"/>
        <v/>
      </c>
      <c r="N809" s="4"/>
      <c r="O809" s="4"/>
      <c r="P809" s="4"/>
      <c r="Q809" s="4"/>
      <c r="U809" s="5"/>
      <c r="V809" s="4"/>
      <c r="AG809" t="s">
        <v>849</v>
      </c>
      <c r="AM809" s="1"/>
    </row>
    <row r="810" spans="1:39" x14ac:dyDescent="0.35">
      <c r="A810">
        <v>806</v>
      </c>
      <c r="B810">
        <v>807</v>
      </c>
      <c r="C810">
        <v>146.79064768800001</v>
      </c>
      <c r="D810">
        <v>-19.1366563139999</v>
      </c>
      <c r="F810" s="64"/>
      <c r="G810" s="64"/>
      <c r="H810" s="64" t="s">
        <v>26</v>
      </c>
      <c r="I810" s="64"/>
      <c r="J810" s="32" t="str">
        <f>IF(AND(I810=1,OR(I809=0,I809="")),MAX($J$4:$J809)+1,IF(AND(I810=1,I809=1),J809,""))</f>
        <v/>
      </c>
      <c r="K810" s="32" t="str">
        <f t="shared" si="52"/>
        <v/>
      </c>
      <c r="L810" s="32" t="str">
        <f t="shared" si="50"/>
        <v/>
      </c>
      <c r="M810" s="32" t="str">
        <f t="shared" si="51"/>
        <v/>
      </c>
      <c r="N810" s="4"/>
      <c r="O810" s="4"/>
      <c r="P810" s="4"/>
      <c r="Q810" s="4"/>
      <c r="U810" s="5"/>
      <c r="V810" s="4"/>
      <c r="AG810" t="s">
        <v>850</v>
      </c>
      <c r="AM810" s="1"/>
    </row>
    <row r="811" spans="1:39" x14ac:dyDescent="0.35">
      <c r="A811">
        <v>807</v>
      </c>
      <c r="B811">
        <v>808</v>
      </c>
      <c r="C811">
        <v>146.79061799199999</v>
      </c>
      <c r="D811">
        <v>-19.136576217999998</v>
      </c>
      <c r="F811" s="64"/>
      <c r="G811" s="64"/>
      <c r="H811" s="64" t="s">
        <v>26</v>
      </c>
      <c r="I811" s="64"/>
      <c r="J811" s="32" t="str">
        <f>IF(AND(I811=1,OR(I810=0,I810="")),MAX($J$4:$J810)+1,IF(AND(I811=1,I810=1),J810,""))</f>
        <v/>
      </c>
      <c r="K811" s="32" t="str">
        <f t="shared" si="52"/>
        <v/>
      </c>
      <c r="L811" s="32" t="str">
        <f t="shared" si="50"/>
        <v/>
      </c>
      <c r="M811" s="32" t="str">
        <f t="shared" si="51"/>
        <v/>
      </c>
      <c r="N811" s="4"/>
      <c r="O811" s="4"/>
      <c r="P811" s="4"/>
      <c r="Q811" s="4"/>
      <c r="U811" s="5"/>
      <c r="V811" s="4"/>
      <c r="AG811" t="s">
        <v>851</v>
      </c>
      <c r="AM811" s="1"/>
    </row>
    <row r="812" spans="1:39" x14ac:dyDescent="0.35">
      <c r="A812">
        <v>808</v>
      </c>
      <c r="B812">
        <v>809</v>
      </c>
      <c r="C812">
        <v>146.79058578300001</v>
      </c>
      <c r="D812">
        <v>-19.136497052999999</v>
      </c>
      <c r="F812" s="64"/>
      <c r="G812" s="64"/>
      <c r="H812" s="64" t="s">
        <v>26</v>
      </c>
      <c r="I812" s="64"/>
      <c r="J812" s="32" t="str">
        <f>IF(AND(I812=1,OR(I811=0,I811="")),MAX($J$4:$J811)+1,IF(AND(I812=1,I811=1),J811,""))</f>
        <v/>
      </c>
      <c r="K812" s="32" t="str">
        <f t="shared" si="52"/>
        <v/>
      </c>
      <c r="L812" s="32" t="str">
        <f t="shared" si="50"/>
        <v/>
      </c>
      <c r="M812" s="32" t="str">
        <f t="shared" si="51"/>
        <v/>
      </c>
      <c r="N812" s="4"/>
      <c r="O812" s="4"/>
      <c r="P812" s="4"/>
      <c r="Q812" s="4"/>
      <c r="U812" s="5"/>
      <c r="V812" s="4"/>
      <c r="AG812" t="s">
        <v>852</v>
      </c>
      <c r="AM812" s="1"/>
    </row>
    <row r="813" spans="1:39" x14ac:dyDescent="0.35">
      <c r="A813">
        <v>809</v>
      </c>
      <c r="B813">
        <v>810</v>
      </c>
      <c r="C813">
        <v>146.79055848300001</v>
      </c>
      <c r="D813">
        <v>-19.136416298</v>
      </c>
      <c r="E813">
        <v>50</v>
      </c>
      <c r="F813" s="64"/>
      <c r="G813" s="64"/>
      <c r="H813" s="64" t="s">
        <v>26</v>
      </c>
      <c r="I813" s="64"/>
      <c r="J813" s="32" t="str">
        <f>IF(AND(I813=1,OR(I812=0,I812="")),MAX($J$4:$J812)+1,IF(AND(I813=1,I812=1),J812,""))</f>
        <v/>
      </c>
      <c r="K813" s="32" t="str">
        <f t="shared" si="52"/>
        <v/>
      </c>
      <c r="L813" s="32" t="str">
        <f t="shared" si="50"/>
        <v/>
      </c>
      <c r="M813" s="32" t="str">
        <f t="shared" si="51"/>
        <v/>
      </c>
      <c r="N813" s="4"/>
      <c r="O813" s="4"/>
      <c r="P813" s="4"/>
      <c r="Q813" s="4"/>
      <c r="U813" s="5"/>
      <c r="V813" s="4"/>
      <c r="AG813" t="s">
        <v>853</v>
      </c>
      <c r="AM813" s="1"/>
    </row>
    <row r="814" spans="1:39" x14ac:dyDescent="0.35">
      <c r="A814">
        <v>810</v>
      </c>
      <c r="B814">
        <v>811</v>
      </c>
      <c r="C814">
        <v>146.79053301600001</v>
      </c>
      <c r="D814">
        <v>-19.136334911999899</v>
      </c>
      <c r="F814" s="64"/>
      <c r="G814" s="64"/>
      <c r="H814" s="64" t="s">
        <v>26</v>
      </c>
      <c r="I814" s="64"/>
      <c r="J814" s="32" t="str">
        <f>IF(AND(I814=1,OR(I813=0,I813="")),MAX($J$4:$J813)+1,IF(AND(I814=1,I813=1),J813,""))</f>
        <v/>
      </c>
      <c r="K814" s="32" t="str">
        <f t="shared" si="52"/>
        <v/>
      </c>
      <c r="L814" s="32" t="str">
        <f t="shared" si="50"/>
        <v/>
      </c>
      <c r="M814" s="32" t="str">
        <f t="shared" si="51"/>
        <v/>
      </c>
      <c r="N814" s="4"/>
      <c r="O814" s="4"/>
      <c r="P814" s="4"/>
      <c r="Q814" s="4"/>
      <c r="U814" s="5"/>
      <c r="V814" s="4"/>
      <c r="AG814" t="s">
        <v>854</v>
      </c>
      <c r="AM814" s="1"/>
    </row>
    <row r="815" spans="1:39" x14ac:dyDescent="0.35">
      <c r="A815">
        <v>811</v>
      </c>
      <c r="B815">
        <v>812</v>
      </c>
      <c r="C815">
        <v>146.79050719</v>
      </c>
      <c r="D815">
        <v>-19.136253679999999</v>
      </c>
      <c r="F815" s="64"/>
      <c r="G815" s="64"/>
      <c r="H815" s="64" t="s">
        <v>26</v>
      </c>
      <c r="I815" s="64"/>
      <c r="J815" s="32" t="str">
        <f>IF(AND(I815=1,OR(I814=0,I814="")),MAX($J$4:$J814)+1,IF(AND(I815=1,I814=1),J814,""))</f>
        <v/>
      </c>
      <c r="K815" s="32" t="str">
        <f t="shared" si="52"/>
        <v/>
      </c>
      <c r="L815" s="32" t="str">
        <f t="shared" si="50"/>
        <v/>
      </c>
      <c r="M815" s="32" t="str">
        <f t="shared" si="51"/>
        <v/>
      </c>
      <c r="N815" s="4"/>
      <c r="O815" s="4"/>
      <c r="P815" s="4"/>
      <c r="Q815" s="4"/>
      <c r="U815" s="5"/>
      <c r="V815" s="4"/>
      <c r="AG815" t="s">
        <v>855</v>
      </c>
      <c r="AM815" s="1"/>
    </row>
    <row r="816" spans="1:39" x14ac:dyDescent="0.35">
      <c r="A816">
        <v>812</v>
      </c>
      <c r="B816">
        <v>813</v>
      </c>
      <c r="C816">
        <v>146.790459266</v>
      </c>
      <c r="D816">
        <v>-19.136181899</v>
      </c>
      <c r="F816" s="64"/>
      <c r="G816" s="64"/>
      <c r="H816" s="64" t="s">
        <v>26</v>
      </c>
      <c r="I816" s="64"/>
      <c r="J816" s="32" t="str">
        <f>IF(AND(I816=1,OR(I815=0,I815="")),MAX($J$4:$J815)+1,IF(AND(I816=1,I815=1),J815,""))</f>
        <v/>
      </c>
      <c r="K816" s="32" t="str">
        <f t="shared" si="52"/>
        <v/>
      </c>
      <c r="L816" s="32" t="str">
        <f t="shared" si="50"/>
        <v/>
      </c>
      <c r="M816" s="32" t="str">
        <f t="shared" si="51"/>
        <v/>
      </c>
      <c r="N816" s="4"/>
      <c r="O816" s="4"/>
      <c r="P816" s="4"/>
      <c r="Q816" s="4"/>
      <c r="U816" s="5"/>
      <c r="V816" s="4"/>
      <c r="AG816" t="s">
        <v>856</v>
      </c>
      <c r="AM816" s="1"/>
    </row>
    <row r="817" spans="1:39" x14ac:dyDescent="0.35">
      <c r="A817">
        <v>813</v>
      </c>
      <c r="B817">
        <v>814</v>
      </c>
      <c r="C817">
        <v>146.790411342</v>
      </c>
      <c r="D817">
        <v>-19.136110116999902</v>
      </c>
      <c r="F817" s="64"/>
      <c r="G817" s="64"/>
      <c r="H817" s="64" t="s">
        <v>26</v>
      </c>
      <c r="I817" s="64"/>
      <c r="J817" s="32" t="str">
        <f>IF(AND(I817=1,OR(I816=0,I816="")),MAX($J$4:$J816)+1,IF(AND(I817=1,I816=1),J816,""))</f>
        <v/>
      </c>
      <c r="K817" s="32" t="str">
        <f t="shared" si="52"/>
        <v/>
      </c>
      <c r="L817" s="32" t="str">
        <f t="shared" si="50"/>
        <v/>
      </c>
      <c r="M817" s="32" t="str">
        <f t="shared" si="51"/>
        <v/>
      </c>
      <c r="N817" s="4"/>
      <c r="O817" s="4"/>
      <c r="P817" s="4"/>
      <c r="Q817" s="4"/>
      <c r="U817" s="5"/>
      <c r="V817" s="4"/>
      <c r="AG817" t="s">
        <v>857</v>
      </c>
      <c r="AM817" s="1"/>
    </row>
    <row r="818" spans="1:39" x14ac:dyDescent="0.35">
      <c r="A818">
        <v>814</v>
      </c>
      <c r="B818">
        <v>815</v>
      </c>
      <c r="C818">
        <v>146.79034368999999</v>
      </c>
      <c r="D818">
        <v>-19.1360584449999</v>
      </c>
      <c r="E818">
        <v>50</v>
      </c>
      <c r="F818" s="64"/>
      <c r="G818" s="64"/>
      <c r="H818" s="64" t="s">
        <v>26</v>
      </c>
      <c r="I818" s="64"/>
      <c r="J818" s="32" t="str">
        <f>IF(AND(I818=1,OR(I817=0,I817="")),MAX($J$4:$J817)+1,IF(AND(I818=1,I817=1),J817,""))</f>
        <v/>
      </c>
      <c r="K818" s="32" t="str">
        <f t="shared" si="52"/>
        <v/>
      </c>
      <c r="L818" s="32" t="str">
        <f t="shared" si="50"/>
        <v/>
      </c>
      <c r="M818" s="32" t="str">
        <f t="shared" si="51"/>
        <v/>
      </c>
      <c r="N818" s="4"/>
      <c r="O818" s="4"/>
      <c r="P818" s="4"/>
      <c r="Q818" s="4"/>
      <c r="U818" s="5"/>
      <c r="V818" s="4"/>
      <c r="AG818" t="s">
        <v>858</v>
      </c>
      <c r="AM818" s="1"/>
    </row>
    <row r="819" spans="1:39" x14ac:dyDescent="0.35">
      <c r="A819">
        <v>815</v>
      </c>
      <c r="B819">
        <v>816</v>
      </c>
      <c r="C819">
        <v>146.79026429300001</v>
      </c>
      <c r="D819">
        <v>-19.136018745999898</v>
      </c>
      <c r="F819" s="64"/>
      <c r="G819" s="64"/>
      <c r="H819" s="64" t="s">
        <v>26</v>
      </c>
      <c r="I819" s="64"/>
      <c r="J819" s="32" t="str">
        <f>IF(AND(I819=1,OR(I818=0,I818="")),MAX($J$4:$J818)+1,IF(AND(I819=1,I818=1),J818,""))</f>
        <v/>
      </c>
      <c r="K819" s="32" t="str">
        <f t="shared" si="52"/>
        <v/>
      </c>
      <c r="L819" s="32" t="str">
        <f t="shared" si="50"/>
        <v/>
      </c>
      <c r="M819" s="32" t="str">
        <f t="shared" si="51"/>
        <v/>
      </c>
      <c r="N819" s="4"/>
      <c r="O819" s="4"/>
      <c r="P819" s="4"/>
      <c r="Q819" s="4"/>
      <c r="U819" s="5"/>
      <c r="V819" s="4"/>
      <c r="AG819" t="s">
        <v>859</v>
      </c>
      <c r="AM819" s="1"/>
    </row>
    <row r="820" spans="1:39" x14ac:dyDescent="0.35">
      <c r="A820">
        <v>816</v>
      </c>
      <c r="B820">
        <v>817</v>
      </c>
      <c r="C820">
        <v>146.79018489500001</v>
      </c>
      <c r="D820">
        <v>-19.135979047999999</v>
      </c>
      <c r="F820" s="64"/>
      <c r="G820" s="64"/>
      <c r="H820" s="64" t="s">
        <v>26</v>
      </c>
      <c r="I820" s="64"/>
      <c r="J820" s="32" t="str">
        <f>IF(AND(I820=1,OR(I819=0,I819="")),MAX($J$4:$J819)+1,IF(AND(I820=1,I819=1),J819,""))</f>
        <v/>
      </c>
      <c r="K820" s="32" t="str">
        <f t="shared" si="52"/>
        <v/>
      </c>
      <c r="L820" s="32" t="str">
        <f t="shared" si="50"/>
        <v/>
      </c>
      <c r="M820" s="32" t="str">
        <f t="shared" si="51"/>
        <v/>
      </c>
      <c r="N820" s="4"/>
      <c r="O820" s="4"/>
      <c r="P820" s="4"/>
      <c r="Q820" s="4"/>
      <c r="U820" s="5"/>
      <c r="V820" s="4"/>
      <c r="AG820" t="s">
        <v>860</v>
      </c>
      <c r="AM820" s="1"/>
    </row>
    <row r="821" spans="1:39" x14ac:dyDescent="0.35">
      <c r="A821">
        <v>817</v>
      </c>
      <c r="B821">
        <v>818</v>
      </c>
      <c r="C821">
        <v>146.790103045</v>
      </c>
      <c r="D821">
        <v>-19.135944892999898</v>
      </c>
      <c r="F821" s="64"/>
      <c r="G821" s="64"/>
      <c r="H821" s="64" t="s">
        <v>26</v>
      </c>
      <c r="I821" s="64"/>
      <c r="J821" s="32" t="str">
        <f>IF(AND(I821=1,OR(I820=0,I820="")),MAX($J$4:$J820)+1,IF(AND(I821=1,I820=1),J820,""))</f>
        <v/>
      </c>
      <c r="K821" s="32" t="str">
        <f t="shared" si="52"/>
        <v/>
      </c>
      <c r="L821" s="32" t="str">
        <f t="shared" si="50"/>
        <v/>
      </c>
      <c r="M821" s="32" t="str">
        <f t="shared" si="51"/>
        <v/>
      </c>
      <c r="N821" s="4"/>
      <c r="O821" s="4"/>
      <c r="P821" s="4"/>
      <c r="Q821" s="4"/>
      <c r="U821" s="5"/>
      <c r="V821" s="4"/>
      <c r="AG821" t="s">
        <v>861</v>
      </c>
      <c r="AM821" s="1"/>
    </row>
    <row r="822" spans="1:39" x14ac:dyDescent="0.35">
      <c r="A822">
        <v>818</v>
      </c>
      <c r="B822">
        <v>819</v>
      </c>
      <c r="C822">
        <v>146.790017358</v>
      </c>
      <c r="D822">
        <v>-19.135919412</v>
      </c>
      <c r="F822" s="64"/>
      <c r="G822" s="64"/>
      <c r="H822" s="64" t="s">
        <v>26</v>
      </c>
      <c r="I822" s="64"/>
      <c r="J822" s="32" t="str">
        <f>IF(AND(I822=1,OR(I821=0,I821="")),MAX($J$4:$J821)+1,IF(AND(I822=1,I821=1),J821,""))</f>
        <v/>
      </c>
      <c r="K822" s="32" t="str">
        <f t="shared" si="52"/>
        <v/>
      </c>
      <c r="L822" s="32" t="str">
        <f t="shared" si="50"/>
        <v/>
      </c>
      <c r="M822" s="32" t="str">
        <f t="shared" si="51"/>
        <v/>
      </c>
      <c r="N822" s="4"/>
      <c r="O822" s="4"/>
      <c r="P822" s="4"/>
      <c r="Q822" s="4"/>
      <c r="U822" s="5"/>
      <c r="V822" s="4"/>
      <c r="AG822" t="s">
        <v>862</v>
      </c>
      <c r="AM822" s="1"/>
    </row>
    <row r="823" spans="1:39" x14ac:dyDescent="0.35">
      <c r="A823">
        <v>819</v>
      </c>
      <c r="B823">
        <v>820</v>
      </c>
      <c r="C823">
        <v>146.789931948</v>
      </c>
      <c r="D823">
        <v>-19.1358931729999</v>
      </c>
      <c r="E823">
        <v>50</v>
      </c>
      <c r="F823" s="64"/>
      <c r="G823" s="64"/>
      <c r="H823" s="64" t="s">
        <v>26</v>
      </c>
      <c r="I823" s="64"/>
      <c r="J823" s="32" t="str">
        <f>IF(AND(I823=1,OR(I822=0,I822="")),MAX($J$4:$J822)+1,IF(AND(I823=1,I822=1),J822,""))</f>
        <v/>
      </c>
      <c r="K823" s="32" t="str">
        <f t="shared" si="52"/>
        <v/>
      </c>
      <c r="L823" s="32" t="str">
        <f t="shared" si="50"/>
        <v/>
      </c>
      <c r="M823" s="32" t="str">
        <f t="shared" si="51"/>
        <v/>
      </c>
      <c r="N823" s="4"/>
      <c r="O823" s="4"/>
      <c r="P823" s="4"/>
      <c r="Q823" s="4"/>
      <c r="U823" s="5"/>
      <c r="V823" s="4"/>
      <c r="AG823" t="s">
        <v>863</v>
      </c>
      <c r="AM823" s="1"/>
    </row>
    <row r="824" spans="1:39" x14ac:dyDescent="0.35">
      <c r="A824">
        <v>820</v>
      </c>
      <c r="B824">
        <v>821</v>
      </c>
      <c r="C824">
        <v>146.789847866</v>
      </c>
      <c r="D824">
        <v>-19.135863298999901</v>
      </c>
      <c r="F824" s="64"/>
      <c r="G824" s="64"/>
      <c r="H824" s="64" t="s">
        <v>26</v>
      </c>
      <c r="I824" s="64"/>
      <c r="J824" s="32" t="str">
        <f>IF(AND(I824=1,OR(I823=0,I823="")),MAX($J$4:$J823)+1,IF(AND(I824=1,I823=1),J823,""))</f>
        <v/>
      </c>
      <c r="K824" s="32" t="str">
        <f t="shared" si="52"/>
        <v/>
      </c>
      <c r="L824" s="32" t="str">
        <f t="shared" si="50"/>
        <v/>
      </c>
      <c r="M824" s="32" t="str">
        <f t="shared" si="51"/>
        <v/>
      </c>
      <c r="N824" s="4"/>
      <c r="O824" s="4"/>
      <c r="P824" s="4"/>
      <c r="Q824" s="4"/>
      <c r="U824" s="5"/>
      <c r="V824" s="4"/>
      <c r="AG824" t="s">
        <v>864</v>
      </c>
      <c r="AM824" s="1"/>
    </row>
    <row r="825" spans="1:39" x14ac:dyDescent="0.35">
      <c r="A825">
        <v>821</v>
      </c>
      <c r="B825">
        <v>822</v>
      </c>
      <c r="C825">
        <v>146.789763784</v>
      </c>
      <c r="D825">
        <v>-19.135833424999898</v>
      </c>
      <c r="F825" s="64"/>
      <c r="G825" s="64"/>
      <c r="H825" s="64" t="s">
        <v>26</v>
      </c>
      <c r="I825" s="64"/>
      <c r="J825" s="32" t="str">
        <f>IF(AND(I825=1,OR(I824=0,I824="")),MAX($J$4:$J824)+1,IF(AND(I825=1,I824=1),J824,""))</f>
        <v/>
      </c>
      <c r="K825" s="32" t="str">
        <f t="shared" si="52"/>
        <v/>
      </c>
      <c r="L825" s="32" t="str">
        <f t="shared" si="50"/>
        <v/>
      </c>
      <c r="M825" s="32" t="str">
        <f t="shared" si="51"/>
        <v/>
      </c>
      <c r="N825" s="4"/>
      <c r="O825" s="4"/>
      <c r="P825" s="4"/>
      <c r="Q825" s="4"/>
      <c r="U825" s="5"/>
      <c r="V825" s="4"/>
      <c r="AG825" t="s">
        <v>865</v>
      </c>
      <c r="AM825" s="1"/>
    </row>
    <row r="826" spans="1:39" x14ac:dyDescent="0.35">
      <c r="A826">
        <v>822</v>
      </c>
      <c r="B826">
        <v>823</v>
      </c>
      <c r="C826">
        <v>146.789679702</v>
      </c>
      <c r="D826">
        <v>-19.135803549999899</v>
      </c>
      <c r="F826" s="64"/>
      <c r="G826" s="64"/>
      <c r="H826" s="64" t="s">
        <v>26</v>
      </c>
      <c r="I826" s="64"/>
      <c r="J826" s="32" t="str">
        <f>IF(AND(I826=1,OR(I825=0,I825="")),MAX($J$4:$J825)+1,IF(AND(I826=1,I825=1),J825,""))</f>
        <v/>
      </c>
      <c r="K826" s="32" t="str">
        <f t="shared" si="52"/>
        <v/>
      </c>
      <c r="L826" s="32" t="str">
        <f t="shared" si="50"/>
        <v/>
      </c>
      <c r="M826" s="32" t="str">
        <f t="shared" si="51"/>
        <v/>
      </c>
      <c r="N826" s="4"/>
      <c r="O826" s="4"/>
      <c r="P826" s="4"/>
      <c r="Q826" s="4"/>
      <c r="U826" s="5"/>
      <c r="V826" s="4"/>
      <c r="AG826" t="s">
        <v>866</v>
      </c>
      <c r="AM826" s="1"/>
    </row>
    <row r="827" spans="1:39" x14ac:dyDescent="0.35">
      <c r="A827">
        <v>823</v>
      </c>
      <c r="B827">
        <v>824</v>
      </c>
      <c r="C827">
        <v>146.78959562</v>
      </c>
      <c r="D827">
        <v>-19.1357736759999</v>
      </c>
      <c r="F827" s="64"/>
      <c r="G827" s="64"/>
      <c r="H827" s="64" t="s">
        <v>26</v>
      </c>
      <c r="I827" s="64"/>
      <c r="J827" s="32" t="str">
        <f>IF(AND(I827=1,OR(I826=0,I826="")),MAX($J$4:$J826)+1,IF(AND(I827=1,I826=1),J826,""))</f>
        <v/>
      </c>
      <c r="K827" s="32" t="str">
        <f t="shared" si="52"/>
        <v/>
      </c>
      <c r="L827" s="32" t="str">
        <f t="shared" si="50"/>
        <v/>
      </c>
      <c r="M827" s="32" t="str">
        <f t="shared" si="51"/>
        <v/>
      </c>
      <c r="N827" s="4"/>
      <c r="O827" s="4"/>
      <c r="P827" s="4"/>
      <c r="Q827" s="4"/>
      <c r="U827" s="5"/>
      <c r="V827" s="4"/>
      <c r="AG827" t="s">
        <v>867</v>
      </c>
      <c r="AM827" s="1"/>
    </row>
    <row r="828" spans="1:39" x14ac:dyDescent="0.35">
      <c r="A828">
        <v>824</v>
      </c>
      <c r="B828">
        <v>825</v>
      </c>
      <c r="C828">
        <v>146.789511538</v>
      </c>
      <c r="D828">
        <v>-19.135743800999901</v>
      </c>
      <c r="E828">
        <v>50</v>
      </c>
      <c r="F828" s="64"/>
      <c r="G828" s="64"/>
      <c r="H828" s="64" t="s">
        <v>26</v>
      </c>
      <c r="I828" s="64"/>
      <c r="J828" s="32" t="str">
        <f>IF(AND(I828=1,OR(I827=0,I827="")),MAX($J$4:$J827)+1,IF(AND(I828=1,I827=1),J827,""))</f>
        <v/>
      </c>
      <c r="K828" s="32" t="str">
        <f t="shared" si="52"/>
        <v/>
      </c>
      <c r="L828" s="32" t="str">
        <f t="shared" si="50"/>
        <v/>
      </c>
      <c r="M828" s="32" t="str">
        <f t="shared" si="51"/>
        <v/>
      </c>
      <c r="N828" s="4"/>
      <c r="O828" s="4"/>
      <c r="P828" s="4"/>
      <c r="Q828" s="4"/>
      <c r="U828" s="5"/>
      <c r="V828" s="4"/>
      <c r="AG828" t="s">
        <v>868</v>
      </c>
      <c r="AM828" s="1"/>
    </row>
    <row r="829" spans="1:39" x14ac:dyDescent="0.35">
      <c r="A829">
        <v>825</v>
      </c>
      <c r="B829">
        <v>826</v>
      </c>
      <c r="C829">
        <v>146.789427456</v>
      </c>
      <c r="D829">
        <v>-19.135713926999902</v>
      </c>
      <c r="F829" s="64"/>
      <c r="G829" s="64"/>
      <c r="H829" s="64" t="s">
        <v>26</v>
      </c>
      <c r="I829" s="64"/>
      <c r="J829" s="32" t="str">
        <f>IF(AND(I829=1,OR(I828=0,I828="")),MAX($J$4:$J828)+1,IF(AND(I829=1,I828=1),J828,""))</f>
        <v/>
      </c>
      <c r="K829" s="32" t="str">
        <f t="shared" si="52"/>
        <v/>
      </c>
      <c r="L829" s="32" t="str">
        <f t="shared" si="50"/>
        <v/>
      </c>
      <c r="M829" s="32" t="str">
        <f t="shared" si="51"/>
        <v/>
      </c>
      <c r="N829" s="4"/>
      <c r="O829" s="4"/>
      <c r="P829" s="4"/>
      <c r="Q829" s="4"/>
      <c r="U829" s="5"/>
      <c r="V829" s="4"/>
      <c r="AG829" t="s">
        <v>869</v>
      </c>
      <c r="AM829" s="1"/>
    </row>
    <row r="830" spans="1:39" x14ac:dyDescent="0.35">
      <c r="A830">
        <v>826</v>
      </c>
      <c r="B830">
        <v>827</v>
      </c>
      <c r="C830">
        <v>146.78934026300001</v>
      </c>
      <c r="D830">
        <v>-19.135693650999901</v>
      </c>
      <c r="F830" s="64"/>
      <c r="G830" s="64"/>
      <c r="H830" s="64" t="s">
        <v>26</v>
      </c>
      <c r="I830" s="64"/>
      <c r="J830" s="32" t="str">
        <f>IF(AND(I830=1,OR(I829=0,I829="")),MAX($J$4:$J829)+1,IF(AND(I830=1,I829=1),J829,""))</f>
        <v/>
      </c>
      <c r="K830" s="32" t="str">
        <f t="shared" si="52"/>
        <v/>
      </c>
      <c r="L830" s="32" t="str">
        <f t="shared" si="50"/>
        <v/>
      </c>
      <c r="M830" s="32" t="str">
        <f t="shared" si="51"/>
        <v/>
      </c>
      <c r="N830" s="4"/>
      <c r="O830" s="4"/>
      <c r="P830" s="4"/>
      <c r="Q830" s="4"/>
      <c r="U830" s="5"/>
      <c r="V830" s="4"/>
      <c r="AG830" t="s">
        <v>870</v>
      </c>
      <c r="AM830" s="1"/>
    </row>
    <row r="831" spans="1:39" x14ac:dyDescent="0.35">
      <c r="A831">
        <v>827</v>
      </c>
      <c r="B831">
        <v>828</v>
      </c>
      <c r="C831">
        <v>146.789252893</v>
      </c>
      <c r="D831">
        <v>-19.135673917999998</v>
      </c>
      <c r="F831" s="64"/>
      <c r="G831" s="64"/>
      <c r="H831" s="64" t="s">
        <v>26</v>
      </c>
      <c r="I831" s="64"/>
      <c r="J831" s="32" t="str">
        <f>IF(AND(I831=1,OR(I830=0,I830="")),MAX($J$4:$J830)+1,IF(AND(I831=1,I830=1),J830,""))</f>
        <v/>
      </c>
      <c r="K831" s="32" t="str">
        <f t="shared" si="52"/>
        <v/>
      </c>
      <c r="L831" s="32" t="str">
        <f t="shared" si="50"/>
        <v/>
      </c>
      <c r="M831" s="32" t="str">
        <f t="shared" si="51"/>
        <v/>
      </c>
      <c r="N831" s="4"/>
      <c r="O831" s="4"/>
      <c r="P831" s="4"/>
      <c r="Q831" s="4"/>
      <c r="U831" s="5"/>
      <c r="V831" s="4"/>
      <c r="AG831" t="s">
        <v>871</v>
      </c>
      <c r="AM831" s="1"/>
    </row>
    <row r="832" spans="1:39" x14ac:dyDescent="0.35">
      <c r="A832">
        <v>828</v>
      </c>
      <c r="B832">
        <v>829</v>
      </c>
      <c r="C832">
        <v>146.789165524</v>
      </c>
      <c r="D832">
        <v>-19.135654184</v>
      </c>
      <c r="F832" s="64"/>
      <c r="G832" s="64"/>
      <c r="H832" s="64" t="s">
        <v>26</v>
      </c>
      <c r="I832" s="64"/>
      <c r="J832" s="32" t="str">
        <f>IF(AND(I832=1,OR(I831=0,I831="")),MAX($J$4:$J831)+1,IF(AND(I832=1,I831=1),J831,""))</f>
        <v/>
      </c>
      <c r="K832" s="32" t="str">
        <f t="shared" si="52"/>
        <v/>
      </c>
      <c r="L832" s="32" t="str">
        <f t="shared" si="50"/>
        <v/>
      </c>
      <c r="M832" s="32" t="str">
        <f t="shared" si="51"/>
        <v/>
      </c>
      <c r="N832" s="4"/>
      <c r="O832" s="4"/>
      <c r="P832" s="4"/>
      <c r="Q832" s="4"/>
      <c r="U832" s="5"/>
      <c r="V832" s="4"/>
      <c r="AG832" t="s">
        <v>872</v>
      </c>
      <c r="AM832" s="1"/>
    </row>
    <row r="833" spans="1:39" x14ac:dyDescent="0.35">
      <c r="A833">
        <v>829</v>
      </c>
      <c r="B833">
        <v>830</v>
      </c>
      <c r="C833">
        <v>146.789078155</v>
      </c>
      <c r="D833">
        <v>-19.135634450999898</v>
      </c>
      <c r="E833">
        <v>50</v>
      </c>
      <c r="F833" s="64"/>
      <c r="G833" s="64"/>
      <c r="H833" s="64" t="s">
        <v>26</v>
      </c>
      <c r="I833" s="64"/>
      <c r="J833" s="32" t="str">
        <f>IF(AND(I833=1,OR(I832=0,I832="")),MAX($J$4:$J832)+1,IF(AND(I833=1,I832=1),J832,""))</f>
        <v/>
      </c>
      <c r="K833" s="32" t="str">
        <f t="shared" si="52"/>
        <v/>
      </c>
      <c r="L833" s="32" t="str">
        <f t="shared" si="50"/>
        <v/>
      </c>
      <c r="M833" s="32" t="str">
        <f t="shared" si="51"/>
        <v/>
      </c>
      <c r="N833" s="4"/>
      <c r="O833" s="4"/>
      <c r="P833" s="4"/>
      <c r="Q833" s="4"/>
      <c r="U833" s="5"/>
      <c r="V833" s="4"/>
      <c r="AG833" t="s">
        <v>873</v>
      </c>
      <c r="AM833" s="1"/>
    </row>
    <row r="834" spans="1:39" x14ac:dyDescent="0.35">
      <c r="A834">
        <v>830</v>
      </c>
      <c r="B834">
        <v>831</v>
      </c>
      <c r="C834">
        <v>146.78899078500001</v>
      </c>
      <c r="D834">
        <v>-19.1356147179999</v>
      </c>
      <c r="F834" s="64"/>
      <c r="G834" s="64"/>
      <c r="H834" s="64" t="s">
        <v>26</v>
      </c>
      <c r="I834" s="64"/>
      <c r="J834" s="32" t="str">
        <f>IF(AND(I834=1,OR(I833=0,I833="")),MAX($J$4:$J833)+1,IF(AND(I834=1,I833=1),J833,""))</f>
        <v/>
      </c>
      <c r="K834" s="32" t="str">
        <f t="shared" si="52"/>
        <v/>
      </c>
      <c r="L834" s="32" t="str">
        <f t="shared" si="50"/>
        <v/>
      </c>
      <c r="M834" s="32" t="str">
        <f t="shared" si="51"/>
        <v/>
      </c>
      <c r="N834" s="4"/>
      <c r="O834" s="4"/>
      <c r="P834" s="4"/>
      <c r="Q834" s="4"/>
      <c r="U834" s="5"/>
      <c r="V834" s="4"/>
      <c r="AG834" t="s">
        <v>874</v>
      </c>
      <c r="AM834" s="1"/>
    </row>
    <row r="835" spans="1:39" x14ac:dyDescent="0.35">
      <c r="A835">
        <v>831</v>
      </c>
      <c r="B835">
        <v>832</v>
      </c>
      <c r="C835">
        <v>146.78890341600001</v>
      </c>
      <c r="D835">
        <v>-19.135594984000001</v>
      </c>
      <c r="F835" s="64"/>
      <c r="G835" s="64"/>
      <c r="H835" s="64" t="s">
        <v>26</v>
      </c>
      <c r="I835" s="64"/>
      <c r="J835" s="32" t="str">
        <f>IF(AND(I835=1,OR(I834=0,I834="")),MAX($J$4:$J834)+1,IF(AND(I835=1,I834=1),J834,""))</f>
        <v/>
      </c>
      <c r="K835" s="32" t="str">
        <f t="shared" si="52"/>
        <v/>
      </c>
      <c r="L835" s="32" t="str">
        <f t="shared" si="50"/>
        <v/>
      </c>
      <c r="M835" s="32" t="str">
        <f t="shared" si="51"/>
        <v/>
      </c>
      <c r="N835" s="4"/>
      <c r="O835" s="4"/>
      <c r="P835" s="4"/>
      <c r="Q835" s="4"/>
      <c r="U835" s="5"/>
      <c r="V835" s="4"/>
      <c r="AG835" t="s">
        <v>875</v>
      </c>
      <c r="AM835" s="1"/>
    </row>
    <row r="836" spans="1:39" x14ac:dyDescent="0.35">
      <c r="A836">
        <v>832</v>
      </c>
      <c r="B836">
        <v>833</v>
      </c>
      <c r="C836">
        <v>146.78881604599999</v>
      </c>
      <c r="D836">
        <v>-19.135575250999999</v>
      </c>
      <c r="F836" s="64"/>
      <c r="G836" s="64"/>
      <c r="H836" s="64" t="s">
        <v>26</v>
      </c>
      <c r="I836" s="64"/>
      <c r="J836" s="32" t="str">
        <f>IF(AND(I836=1,OR(I835=0,I835="")),MAX($J$4:$J835)+1,IF(AND(I836=1,I835=1),J835,""))</f>
        <v/>
      </c>
      <c r="K836" s="32" t="str">
        <f t="shared" si="52"/>
        <v/>
      </c>
      <c r="L836" s="32" t="str">
        <f t="shared" ref="L836:L899" si="53">IF(K836="","",IF(K836&gt;=100,"HV",""))</f>
        <v/>
      </c>
      <c r="M836" s="32" t="str">
        <f t="shared" ref="M836:M899" si="54">IF(K836&lt;&gt;"",K836^2,"")</f>
        <v/>
      </c>
      <c r="N836" s="4"/>
      <c r="O836" s="4"/>
      <c r="P836" s="4"/>
      <c r="Q836" s="4"/>
      <c r="U836" s="5"/>
      <c r="V836" s="4"/>
      <c r="AG836" t="s">
        <v>876</v>
      </c>
      <c r="AM836" s="1"/>
    </row>
    <row r="837" spans="1:39" x14ac:dyDescent="0.35">
      <c r="A837">
        <v>833</v>
      </c>
      <c r="B837">
        <v>834</v>
      </c>
      <c r="C837">
        <v>146.78872867699999</v>
      </c>
      <c r="D837">
        <v>-19.135555517999901</v>
      </c>
      <c r="F837" s="64"/>
      <c r="G837" s="64"/>
      <c r="H837" s="64" t="s">
        <v>26</v>
      </c>
      <c r="I837" s="64"/>
      <c r="J837" s="32" t="str">
        <f>IF(AND(I837=1,OR(I836=0,I836="")),MAX($J$4:$J836)+1,IF(AND(I837=1,I836=1),J836,""))</f>
        <v/>
      </c>
      <c r="K837" s="32" t="str">
        <f t="shared" si="52"/>
        <v/>
      </c>
      <c r="L837" s="32" t="str">
        <f t="shared" si="53"/>
        <v/>
      </c>
      <c r="M837" s="32" t="str">
        <f t="shared" si="54"/>
        <v/>
      </c>
      <c r="N837" s="4"/>
      <c r="O837" s="4"/>
      <c r="P837" s="4"/>
      <c r="Q837" s="4"/>
      <c r="U837" s="5"/>
      <c r="V837" s="4"/>
      <c r="AG837" t="s">
        <v>877</v>
      </c>
      <c r="AM837" s="1"/>
    </row>
    <row r="838" spans="1:39" x14ac:dyDescent="0.35">
      <c r="A838">
        <v>834</v>
      </c>
      <c r="B838">
        <v>835</v>
      </c>
      <c r="C838">
        <v>146.78864130700001</v>
      </c>
      <c r="D838">
        <v>-19.135535784000002</v>
      </c>
      <c r="E838">
        <v>50</v>
      </c>
      <c r="F838" s="64"/>
      <c r="G838" s="64"/>
      <c r="H838" s="64" t="s">
        <v>26</v>
      </c>
      <c r="I838" s="64"/>
      <c r="J838" s="32" t="str">
        <f>IF(AND(I838=1,OR(I837=0,I837="")),MAX($J$4:$J837)+1,IF(AND(I838=1,I837=1),J837,""))</f>
        <v/>
      </c>
      <c r="K838" s="32" t="str">
        <f t="shared" si="52"/>
        <v/>
      </c>
      <c r="L838" s="32" t="str">
        <f t="shared" si="53"/>
        <v/>
      </c>
      <c r="M838" s="32" t="str">
        <f t="shared" si="54"/>
        <v/>
      </c>
      <c r="N838" s="4"/>
      <c r="O838" s="4"/>
      <c r="P838" s="4"/>
      <c r="Q838" s="4"/>
      <c r="U838" s="5"/>
      <c r="V838" s="4"/>
      <c r="AG838" t="s">
        <v>878</v>
      </c>
      <c r="AM838" s="1"/>
    </row>
    <row r="839" spans="1:39" x14ac:dyDescent="0.35">
      <c r="A839">
        <v>835</v>
      </c>
      <c r="B839">
        <v>836</v>
      </c>
      <c r="C839">
        <v>146.78855393800001</v>
      </c>
      <c r="D839">
        <v>-19.135516051</v>
      </c>
      <c r="F839" s="64"/>
      <c r="G839" s="64"/>
      <c r="H839" s="64" t="s">
        <v>26</v>
      </c>
      <c r="I839" s="64"/>
      <c r="J839" s="32" t="str">
        <f>IF(AND(I839=1,OR(I838=0,I838="")),MAX($J$4:$J838)+1,IF(AND(I839=1,I838=1),J838,""))</f>
        <v/>
      </c>
      <c r="K839" s="32" t="str">
        <f t="shared" si="52"/>
        <v/>
      </c>
      <c r="L839" s="32" t="str">
        <f t="shared" si="53"/>
        <v/>
      </c>
      <c r="M839" s="32" t="str">
        <f t="shared" si="54"/>
        <v/>
      </c>
      <c r="N839" s="4"/>
      <c r="O839" s="4"/>
      <c r="P839" s="4"/>
      <c r="Q839" s="4"/>
      <c r="U839" s="5"/>
      <c r="V839" s="4"/>
      <c r="AG839" t="s">
        <v>879</v>
      </c>
      <c r="AM839" s="1"/>
    </row>
    <row r="840" spans="1:39" x14ac:dyDescent="0.35">
      <c r="A840">
        <v>836</v>
      </c>
      <c r="B840">
        <v>837</v>
      </c>
      <c r="C840">
        <v>146.78846639599999</v>
      </c>
      <c r="D840">
        <v>-19.135497013999998</v>
      </c>
      <c r="F840" s="64"/>
      <c r="G840" s="64"/>
      <c r="H840" s="64" t="s">
        <v>26</v>
      </c>
      <c r="I840" s="64"/>
      <c r="J840" s="32" t="str">
        <f>IF(AND(I840=1,OR(I839=0,I839="")),MAX($J$4:$J839)+1,IF(AND(I840=1,I839=1),J839,""))</f>
        <v/>
      </c>
      <c r="K840" s="32" t="str">
        <f t="shared" si="52"/>
        <v/>
      </c>
      <c r="L840" s="32" t="str">
        <f t="shared" si="53"/>
        <v/>
      </c>
      <c r="M840" s="32" t="str">
        <f t="shared" si="54"/>
        <v/>
      </c>
      <c r="N840" s="4"/>
      <c r="O840" s="4"/>
      <c r="P840" s="4"/>
      <c r="Q840" s="4"/>
      <c r="U840" s="5"/>
      <c r="V840" s="4"/>
      <c r="AG840" t="s">
        <v>880</v>
      </c>
      <c r="AM840" s="1"/>
    </row>
    <row r="841" spans="1:39" x14ac:dyDescent="0.35">
      <c r="A841">
        <v>837</v>
      </c>
      <c r="B841">
        <v>838</v>
      </c>
      <c r="C841">
        <v>146.78837881499999</v>
      </c>
      <c r="D841">
        <v>-19.1354781379999</v>
      </c>
      <c r="F841" s="64"/>
      <c r="G841" s="64"/>
      <c r="H841" s="64" t="s">
        <v>26</v>
      </c>
      <c r="I841" s="64"/>
      <c r="J841" s="32" t="str">
        <f>IF(AND(I841=1,OR(I840=0,I840="")),MAX($J$4:$J840)+1,IF(AND(I841=1,I840=1),J840,""))</f>
        <v/>
      </c>
      <c r="K841" s="32" t="str">
        <f t="shared" si="52"/>
        <v/>
      </c>
      <c r="L841" s="32" t="str">
        <f t="shared" si="53"/>
        <v/>
      </c>
      <c r="M841" s="32" t="str">
        <f t="shared" si="54"/>
        <v/>
      </c>
      <c r="N841" s="4"/>
      <c r="O841" s="4"/>
      <c r="P841" s="4"/>
      <c r="Q841" s="4"/>
      <c r="U841" s="5"/>
      <c r="V841" s="4"/>
      <c r="AG841" t="s">
        <v>881</v>
      </c>
      <c r="AM841" s="1"/>
    </row>
    <row r="842" spans="1:39" x14ac:dyDescent="0.35">
      <c r="A842">
        <v>838</v>
      </c>
      <c r="B842">
        <v>839</v>
      </c>
      <c r="C842">
        <v>146.788291233</v>
      </c>
      <c r="D842">
        <v>-19.135459263000001</v>
      </c>
      <c r="F842" s="64"/>
      <c r="G842" s="64"/>
      <c r="H842" s="64" t="s">
        <v>26</v>
      </c>
      <c r="I842" s="64"/>
      <c r="J842" s="32" t="str">
        <f>IF(AND(I842=1,OR(I841=0,I841="")),MAX($J$4:$J841)+1,IF(AND(I842=1,I841=1),J841,""))</f>
        <v/>
      </c>
      <c r="K842" s="32" t="str">
        <f t="shared" si="52"/>
        <v/>
      </c>
      <c r="L842" s="32" t="str">
        <f t="shared" si="53"/>
        <v/>
      </c>
      <c r="M842" s="32" t="str">
        <f t="shared" si="54"/>
        <v/>
      </c>
      <c r="N842" s="4"/>
      <c r="O842" s="4"/>
      <c r="P842" s="4"/>
      <c r="Q842" s="4"/>
      <c r="U842" s="5"/>
      <c r="V842" s="4"/>
      <c r="AG842" t="s">
        <v>882</v>
      </c>
      <c r="AM842" s="1"/>
    </row>
    <row r="843" spans="1:39" x14ac:dyDescent="0.35">
      <c r="A843">
        <v>839</v>
      </c>
      <c r="B843">
        <v>840</v>
      </c>
      <c r="C843">
        <v>146.78820365199999</v>
      </c>
      <c r="D843">
        <v>-19.1354403879999</v>
      </c>
      <c r="E843">
        <v>50</v>
      </c>
      <c r="F843" s="64"/>
      <c r="G843" s="64"/>
      <c r="H843" s="64" t="s">
        <v>26</v>
      </c>
      <c r="I843" s="64"/>
      <c r="J843" s="32" t="str">
        <f>IF(AND(I843=1,OR(I842=0,I842="")),MAX($J$4:$J842)+1,IF(AND(I843=1,I842=1),J842,""))</f>
        <v/>
      </c>
      <c r="K843" s="32" t="str">
        <f t="shared" si="52"/>
        <v/>
      </c>
      <c r="L843" s="32" t="str">
        <f t="shared" si="53"/>
        <v/>
      </c>
      <c r="M843" s="32" t="str">
        <f t="shared" si="54"/>
        <v/>
      </c>
      <c r="N843" s="4"/>
      <c r="O843" s="4"/>
      <c r="P843" s="4"/>
      <c r="Q843" s="4"/>
      <c r="U843" s="5"/>
      <c r="V843" s="4"/>
      <c r="AG843" t="s">
        <v>883</v>
      </c>
      <c r="AM843" s="1"/>
    </row>
    <row r="844" spans="1:39" x14ac:dyDescent="0.35">
      <c r="A844">
        <v>840</v>
      </c>
      <c r="B844">
        <v>841</v>
      </c>
      <c r="C844">
        <v>146.78811607</v>
      </c>
      <c r="D844">
        <v>-19.135421511999901</v>
      </c>
      <c r="F844" s="64"/>
      <c r="G844" s="64"/>
      <c r="H844" s="64" t="s">
        <v>26</v>
      </c>
      <c r="I844" s="64"/>
      <c r="J844" s="32" t="str">
        <f>IF(AND(I844=1,OR(I843=0,I843="")),MAX($J$4:$J843)+1,IF(AND(I844=1,I843=1),J843,""))</f>
        <v/>
      </c>
      <c r="K844" s="32" t="str">
        <f t="shared" si="52"/>
        <v/>
      </c>
      <c r="L844" s="32" t="str">
        <f t="shared" si="53"/>
        <v/>
      </c>
      <c r="M844" s="32" t="str">
        <f t="shared" si="54"/>
        <v/>
      </c>
      <c r="N844" s="4"/>
      <c r="O844" s="4"/>
      <c r="P844" s="4"/>
      <c r="Q844" s="4"/>
      <c r="U844" s="5"/>
      <c r="V844" s="4"/>
      <c r="AG844" t="s">
        <v>884</v>
      </c>
      <c r="AM844" s="1"/>
    </row>
    <row r="845" spans="1:39" x14ac:dyDescent="0.35">
      <c r="A845">
        <v>841</v>
      </c>
      <c r="B845">
        <v>842</v>
      </c>
      <c r="C845">
        <v>146.788028489</v>
      </c>
      <c r="D845">
        <v>-19.135402636999999</v>
      </c>
      <c r="F845" s="64"/>
      <c r="G845" s="64"/>
      <c r="H845" s="64" t="s">
        <v>26</v>
      </c>
      <c r="I845" s="64"/>
      <c r="J845" s="32" t="str">
        <f>IF(AND(I845=1,OR(I844=0,I844="")),MAX($J$4:$J844)+1,IF(AND(I845=1,I844=1),J844,""))</f>
        <v/>
      </c>
      <c r="K845" s="32" t="str">
        <f t="shared" si="52"/>
        <v/>
      </c>
      <c r="L845" s="32" t="str">
        <f t="shared" si="53"/>
        <v/>
      </c>
      <c r="M845" s="32" t="str">
        <f t="shared" si="54"/>
        <v/>
      </c>
      <c r="N845" s="4"/>
      <c r="O845" s="4"/>
      <c r="P845" s="4"/>
      <c r="Q845" s="4"/>
      <c r="U845" s="5"/>
      <c r="V845" s="4"/>
      <c r="AG845" t="s">
        <v>885</v>
      </c>
      <c r="AM845" s="1"/>
    </row>
    <row r="846" spans="1:39" x14ac:dyDescent="0.35">
      <c r="A846">
        <v>842</v>
      </c>
      <c r="B846">
        <v>843</v>
      </c>
      <c r="C846">
        <v>146.78794090700001</v>
      </c>
      <c r="D846">
        <v>-19.135383761999901</v>
      </c>
      <c r="F846" s="64"/>
      <c r="G846" s="64"/>
      <c r="H846" s="64" t="s">
        <v>26</v>
      </c>
      <c r="I846" s="64"/>
      <c r="J846" s="32" t="str">
        <f>IF(AND(I846=1,OR(I845=0,I845="")),MAX($J$4:$J845)+1,IF(AND(I846=1,I845=1),J845,""))</f>
        <v/>
      </c>
      <c r="K846" s="32" t="str">
        <f t="shared" si="52"/>
        <v/>
      </c>
      <c r="L846" s="32" t="str">
        <f t="shared" si="53"/>
        <v/>
      </c>
      <c r="M846" s="32" t="str">
        <f t="shared" si="54"/>
        <v/>
      </c>
      <c r="N846" s="4"/>
      <c r="O846" s="4"/>
      <c r="P846" s="4"/>
      <c r="Q846" s="4"/>
      <c r="U846" s="5"/>
      <c r="V846" s="4"/>
      <c r="AG846" t="s">
        <v>886</v>
      </c>
      <c r="AM846" s="1"/>
    </row>
    <row r="847" spans="1:39" x14ac:dyDescent="0.35">
      <c r="A847">
        <v>843</v>
      </c>
      <c r="B847">
        <v>844</v>
      </c>
      <c r="C847">
        <v>146.78785332499999</v>
      </c>
      <c r="D847">
        <v>-19.135364885999898</v>
      </c>
      <c r="F847" s="64"/>
      <c r="G847" s="64"/>
      <c r="H847" s="64" t="s">
        <v>26</v>
      </c>
      <c r="I847" s="64"/>
      <c r="J847" s="32" t="str">
        <f>IF(AND(I847=1,OR(I846=0,I846="")),MAX($J$4:$J846)+1,IF(AND(I847=1,I846=1),J846,""))</f>
        <v/>
      </c>
      <c r="K847" s="32" t="str">
        <f t="shared" si="52"/>
        <v/>
      </c>
      <c r="L847" s="32" t="str">
        <f t="shared" si="53"/>
        <v/>
      </c>
      <c r="M847" s="32" t="str">
        <f t="shared" si="54"/>
        <v/>
      </c>
      <c r="N847" s="4"/>
      <c r="O847" s="4"/>
      <c r="P847" s="4"/>
      <c r="Q847" s="4"/>
      <c r="U847" s="5"/>
      <c r="V847" s="4"/>
      <c r="AG847" t="s">
        <v>887</v>
      </c>
      <c r="AM847" s="1"/>
    </row>
    <row r="848" spans="1:39" x14ac:dyDescent="0.35">
      <c r="A848">
        <v>844</v>
      </c>
      <c r="B848">
        <v>845</v>
      </c>
      <c r="C848">
        <v>146.78776574400001</v>
      </c>
      <c r="D848">
        <v>-19.135346010999999</v>
      </c>
      <c r="E848">
        <v>50</v>
      </c>
      <c r="F848" s="64"/>
      <c r="G848" s="64"/>
      <c r="H848" s="64" t="s">
        <v>26</v>
      </c>
      <c r="I848" s="64"/>
      <c r="J848" s="32" t="str">
        <f>IF(AND(I848=1,OR(I847=0,I847="")),MAX($J$4:$J847)+1,IF(AND(I848=1,I847=1),J847,""))</f>
        <v/>
      </c>
      <c r="K848" s="32" t="str">
        <f t="shared" si="52"/>
        <v/>
      </c>
      <c r="L848" s="32" t="str">
        <f t="shared" si="53"/>
        <v/>
      </c>
      <c r="M848" s="32" t="str">
        <f t="shared" si="54"/>
        <v/>
      </c>
      <c r="N848" s="4"/>
      <c r="O848" s="4"/>
      <c r="P848" s="4"/>
      <c r="Q848" s="4"/>
      <c r="U848" s="5"/>
      <c r="V848" s="4"/>
      <c r="AG848" t="s">
        <v>888</v>
      </c>
      <c r="AM848" s="1"/>
    </row>
    <row r="849" spans="1:39" x14ac:dyDescent="0.35">
      <c r="A849">
        <v>845</v>
      </c>
      <c r="B849">
        <v>846</v>
      </c>
      <c r="C849">
        <v>146.78767816199999</v>
      </c>
      <c r="D849">
        <v>-19.135327135999901</v>
      </c>
      <c r="F849" s="64"/>
      <c r="G849" s="64"/>
      <c r="H849" s="64" t="s">
        <v>26</v>
      </c>
      <c r="I849" s="64"/>
      <c r="J849" s="32" t="str">
        <f>IF(AND(I849=1,OR(I848=0,I848="")),MAX($J$4:$J848)+1,IF(AND(I849=1,I848=1),J848,""))</f>
        <v/>
      </c>
      <c r="K849" s="32" t="str">
        <f t="shared" si="52"/>
        <v/>
      </c>
      <c r="L849" s="32" t="str">
        <f t="shared" si="53"/>
        <v/>
      </c>
      <c r="M849" s="32" t="str">
        <f t="shared" si="54"/>
        <v/>
      </c>
      <c r="N849" s="4"/>
      <c r="O849" s="4"/>
      <c r="P849" s="4"/>
      <c r="Q849" s="4"/>
      <c r="U849" s="5"/>
      <c r="V849" s="4"/>
      <c r="AG849" t="s">
        <v>889</v>
      </c>
      <c r="AM849" s="1"/>
    </row>
    <row r="850" spans="1:39" x14ac:dyDescent="0.35">
      <c r="A850">
        <v>846</v>
      </c>
      <c r="B850">
        <v>847</v>
      </c>
      <c r="C850">
        <v>146.787590454</v>
      </c>
      <c r="D850">
        <v>-19.135308826999999</v>
      </c>
      <c r="F850" s="64"/>
      <c r="G850" s="64"/>
      <c r="H850" s="64" t="s">
        <v>26</v>
      </c>
      <c r="I850" s="64"/>
      <c r="J850" s="32" t="str">
        <f>IF(AND(I850=1,OR(I849=0,I849="")),MAX($J$4:$J849)+1,IF(AND(I850=1,I849=1),J849,""))</f>
        <v/>
      </c>
      <c r="K850" s="32" t="str">
        <f t="shared" si="52"/>
        <v/>
      </c>
      <c r="L850" s="32" t="str">
        <f t="shared" si="53"/>
        <v/>
      </c>
      <c r="M850" s="32" t="str">
        <f t="shared" si="54"/>
        <v/>
      </c>
      <c r="N850" s="4"/>
      <c r="O850" s="4"/>
      <c r="P850" s="4"/>
      <c r="Q850" s="4"/>
      <c r="U850" s="5"/>
      <c r="V850" s="4"/>
      <c r="AG850" t="s">
        <v>890</v>
      </c>
      <c r="AM850" s="1"/>
    </row>
    <row r="851" spans="1:39" x14ac:dyDescent="0.35">
      <c r="A851">
        <v>847</v>
      </c>
      <c r="B851">
        <v>848</v>
      </c>
      <c r="C851">
        <v>146.787502284</v>
      </c>
      <c r="D851">
        <v>-19.135292579999899</v>
      </c>
      <c r="F851" s="64"/>
      <c r="G851" s="64"/>
      <c r="H851" s="64" t="s">
        <v>26</v>
      </c>
      <c r="I851" s="64"/>
      <c r="J851" s="32"/>
      <c r="K851" s="32" t="str">
        <f t="shared" si="52"/>
        <v/>
      </c>
      <c r="L851" s="32" t="str">
        <f t="shared" si="53"/>
        <v/>
      </c>
      <c r="M851" s="32" t="str">
        <f t="shared" si="54"/>
        <v/>
      </c>
      <c r="N851" s="4"/>
      <c r="O851" s="4"/>
      <c r="P851" s="4"/>
      <c r="Q851" s="4"/>
      <c r="U851" s="5"/>
      <c r="V851" s="4"/>
      <c r="AG851" t="s">
        <v>891</v>
      </c>
      <c r="AM851" s="1"/>
    </row>
    <row r="852" spans="1:39" x14ac:dyDescent="0.35">
      <c r="A852">
        <v>848</v>
      </c>
      <c r="B852">
        <v>849</v>
      </c>
      <c r="C852">
        <v>146.787414114</v>
      </c>
      <c r="D852">
        <v>-19.135276333</v>
      </c>
      <c r="F852" s="64"/>
      <c r="G852" s="64"/>
      <c r="H852" s="64" t="s">
        <v>26</v>
      </c>
      <c r="I852" s="64"/>
      <c r="J852" s="32" t="str">
        <f>IF(AND(E852=1,OR(E851=0,E851="")),MAX(#REF!)+1,IF(AND(E852=1,E851=1),J851,""))</f>
        <v/>
      </c>
      <c r="K852" s="32" t="str">
        <f t="shared" si="52"/>
        <v/>
      </c>
      <c r="L852" s="32" t="str">
        <f t="shared" si="53"/>
        <v/>
      </c>
      <c r="M852" s="32" t="str">
        <f t="shared" si="54"/>
        <v/>
      </c>
      <c r="N852" s="4"/>
      <c r="O852" s="4"/>
      <c r="P852" s="4"/>
      <c r="Q852" s="4"/>
      <c r="U852" s="5"/>
      <c r="V852" s="4"/>
      <c r="AG852" t="s">
        <v>892</v>
      </c>
      <c r="AM852" s="1"/>
    </row>
    <row r="853" spans="1:39" x14ac:dyDescent="0.35">
      <c r="A853">
        <v>849</v>
      </c>
      <c r="B853">
        <v>850</v>
      </c>
      <c r="C853">
        <v>146.787325944</v>
      </c>
      <c r="D853">
        <v>-19.135260085999999</v>
      </c>
      <c r="E853">
        <v>50</v>
      </c>
      <c r="F853" s="64"/>
      <c r="G853" s="64"/>
      <c r="H853" s="64" t="s">
        <v>26</v>
      </c>
      <c r="I853" s="64"/>
      <c r="J853" s="32" t="str">
        <f>IF(AND(E853=1,OR(E852=0,E852="")),MAX(#REF!)+1,IF(AND(E853=1,E852=1),J852,""))</f>
        <v/>
      </c>
      <c r="K853" s="32" t="str">
        <f t="shared" si="52"/>
        <v/>
      </c>
      <c r="L853" s="32" t="str">
        <f t="shared" si="53"/>
        <v/>
      </c>
      <c r="M853" s="32" t="str">
        <f t="shared" si="54"/>
        <v/>
      </c>
      <c r="N853" s="4"/>
      <c r="O853" s="4"/>
      <c r="P853" s="4"/>
      <c r="Q853" s="4"/>
      <c r="U853" s="5"/>
      <c r="V853" s="4"/>
      <c r="AG853" t="s">
        <v>893</v>
      </c>
      <c r="AM853" s="1"/>
    </row>
    <row r="854" spans="1:39" x14ac:dyDescent="0.35">
      <c r="A854">
        <v>850</v>
      </c>
      <c r="B854">
        <v>851</v>
      </c>
      <c r="C854">
        <v>146.78723777299999</v>
      </c>
      <c r="D854">
        <v>-19.135243838999902</v>
      </c>
      <c r="F854" s="64"/>
      <c r="G854" s="64"/>
      <c r="H854" s="64" t="s">
        <v>26</v>
      </c>
      <c r="I854" s="64"/>
      <c r="J854" s="32" t="str">
        <f>IF(AND(E854=1,OR(E853=0,E853="")),MAX(#REF!)+1,IF(AND(E854=1,E853=1),J853,""))</f>
        <v/>
      </c>
      <c r="K854" s="32" t="str">
        <f t="shared" si="52"/>
        <v/>
      </c>
      <c r="L854" s="32" t="str">
        <f t="shared" si="53"/>
        <v/>
      </c>
      <c r="M854" s="32" t="str">
        <f t="shared" si="54"/>
        <v/>
      </c>
      <c r="N854" s="4"/>
      <c r="O854" s="4"/>
      <c r="P854" s="4"/>
      <c r="Q854" s="4"/>
      <c r="U854" s="5"/>
      <c r="V854" s="4"/>
      <c r="AG854" t="s">
        <v>894</v>
      </c>
      <c r="AM854" s="1"/>
    </row>
    <row r="855" spans="1:39" x14ac:dyDescent="0.35">
      <c r="A855">
        <v>851</v>
      </c>
      <c r="B855">
        <v>852</v>
      </c>
      <c r="C855">
        <v>146.78714960299999</v>
      </c>
      <c r="D855">
        <v>-19.135227592</v>
      </c>
      <c r="F855" s="64"/>
      <c r="G855" s="64"/>
      <c r="H855" s="64" t="s">
        <v>26</v>
      </c>
      <c r="I855" s="64"/>
      <c r="J855" s="32" t="str">
        <f>IF(AND(E855=1,OR(E854=0,E854="")),MAX(#REF!)+1,IF(AND(E855=1,E854=1),J854,""))</f>
        <v/>
      </c>
      <c r="K855" s="32" t="str">
        <f t="shared" si="52"/>
        <v/>
      </c>
      <c r="L855" s="32" t="str">
        <f t="shared" si="53"/>
        <v/>
      </c>
      <c r="M855" s="32" t="str">
        <f t="shared" si="54"/>
        <v/>
      </c>
      <c r="N855" s="4"/>
      <c r="O855" s="4"/>
      <c r="P855" s="4"/>
      <c r="Q855" s="4"/>
      <c r="U855" s="5"/>
      <c r="V855" s="4"/>
      <c r="AG855" t="s">
        <v>895</v>
      </c>
      <c r="AM855" s="1"/>
    </row>
    <row r="856" spans="1:39" x14ac:dyDescent="0.35">
      <c r="A856">
        <v>852</v>
      </c>
      <c r="B856">
        <v>853</v>
      </c>
      <c r="C856">
        <v>146.78706143299999</v>
      </c>
      <c r="D856">
        <v>-19.135211345999899</v>
      </c>
      <c r="F856" s="64"/>
      <c r="G856" s="64"/>
      <c r="H856" s="64" t="s">
        <v>26</v>
      </c>
      <c r="I856" s="64"/>
      <c r="J856" s="32" t="str">
        <f>IF(AND(E856=1,OR(E855=0,E855="")),MAX(#REF!)+1,IF(AND(E856=1,E855=1),J855,""))</f>
        <v/>
      </c>
      <c r="K856" s="32" t="str">
        <f t="shared" si="52"/>
        <v/>
      </c>
      <c r="L856" s="32" t="str">
        <f t="shared" si="53"/>
        <v/>
      </c>
      <c r="M856" s="32" t="str">
        <f t="shared" si="54"/>
        <v/>
      </c>
      <c r="N856" s="4"/>
      <c r="O856" s="4"/>
      <c r="P856" s="4"/>
      <c r="Q856" s="4"/>
      <c r="U856" s="5"/>
      <c r="V856" s="4"/>
      <c r="AG856" t="s">
        <v>896</v>
      </c>
      <c r="AM856" s="1"/>
    </row>
    <row r="857" spans="1:39" x14ac:dyDescent="0.35">
      <c r="A857">
        <v>853</v>
      </c>
      <c r="B857">
        <v>854</v>
      </c>
      <c r="C857">
        <v>146.78697326299999</v>
      </c>
      <c r="D857">
        <v>-19.135195098999901</v>
      </c>
      <c r="F857" s="64"/>
      <c r="G857" s="64"/>
      <c r="H857" s="64" t="s">
        <v>26</v>
      </c>
      <c r="I857" s="64"/>
      <c r="J857" s="32" t="str">
        <f>IF(AND(E857=1,OR(E856=0,E856="")),MAX(#REF!)+1,IF(AND(E857=1,E856=1),J856,""))</f>
        <v/>
      </c>
      <c r="K857" s="32" t="str">
        <f t="shared" si="52"/>
        <v/>
      </c>
      <c r="L857" s="32" t="str">
        <f t="shared" si="53"/>
        <v/>
      </c>
      <c r="M857" s="32" t="str">
        <f t="shared" si="54"/>
        <v/>
      </c>
      <c r="N857" s="4"/>
      <c r="O857" s="4"/>
      <c r="P857" s="4"/>
      <c r="Q857" s="4"/>
      <c r="U857" s="5"/>
      <c r="V857" s="4"/>
      <c r="AG857" t="s">
        <v>897</v>
      </c>
      <c r="AM857" s="1"/>
    </row>
    <row r="858" spans="1:39" x14ac:dyDescent="0.35">
      <c r="A858">
        <v>854</v>
      </c>
      <c r="B858">
        <v>855</v>
      </c>
      <c r="C858">
        <v>146.786885093</v>
      </c>
      <c r="D858">
        <v>-19.135178851999999</v>
      </c>
      <c r="E858">
        <v>50</v>
      </c>
      <c r="F858" s="64"/>
      <c r="G858" s="64"/>
      <c r="H858" s="64" t="s">
        <v>26</v>
      </c>
      <c r="I858" s="64"/>
      <c r="J858" s="32" t="str">
        <f>IF(AND(E858=1,OR(E857=0,E857="")),MAX(#REF!)+1,IF(AND(E858=1,E857=1),J857,""))</f>
        <v/>
      </c>
      <c r="K858" s="32" t="str">
        <f t="shared" si="52"/>
        <v/>
      </c>
      <c r="L858" s="32" t="str">
        <f t="shared" si="53"/>
        <v/>
      </c>
      <c r="M858" s="32" t="str">
        <f t="shared" si="54"/>
        <v/>
      </c>
      <c r="N858" s="4"/>
      <c r="O858" s="4"/>
      <c r="P858" s="4"/>
      <c r="Q858" s="4"/>
      <c r="U858" s="5"/>
      <c r="V858" s="4"/>
      <c r="AG858" t="s">
        <v>898</v>
      </c>
      <c r="AM858" s="1"/>
    </row>
    <row r="859" spans="1:39" x14ac:dyDescent="0.35">
      <c r="A859">
        <v>855</v>
      </c>
      <c r="B859">
        <v>856</v>
      </c>
      <c r="C859">
        <v>146.786796923</v>
      </c>
      <c r="D859">
        <v>-19.135162604999898</v>
      </c>
      <c r="F859" s="64"/>
      <c r="G859" s="64"/>
      <c r="H859" s="64" t="s">
        <v>26</v>
      </c>
      <c r="I859" s="64"/>
      <c r="J859" s="32" t="str">
        <f>IF(AND(E859=1,OR(E858=0,E858="")),MAX(#REF!)+1,IF(AND(E859=1,E858=1),J858,""))</f>
        <v/>
      </c>
      <c r="K859" s="32" t="str">
        <f t="shared" si="52"/>
        <v/>
      </c>
      <c r="L859" s="32" t="str">
        <f t="shared" si="53"/>
        <v/>
      </c>
      <c r="M859" s="32" t="str">
        <f t="shared" si="54"/>
        <v/>
      </c>
      <c r="N859" s="4"/>
      <c r="O859" s="4"/>
      <c r="P859" s="4"/>
      <c r="Q859" s="4"/>
      <c r="U859" s="5"/>
      <c r="V859" s="4"/>
      <c r="AG859" t="s">
        <v>899</v>
      </c>
      <c r="AM859" s="1"/>
    </row>
    <row r="860" spans="1:39" x14ac:dyDescent="0.35">
      <c r="A860">
        <v>856</v>
      </c>
      <c r="B860">
        <v>857</v>
      </c>
      <c r="C860">
        <v>146.786708753</v>
      </c>
      <c r="D860">
        <v>-19.135146357999901</v>
      </c>
      <c r="F860" s="64"/>
      <c r="G860" s="64"/>
      <c r="H860" s="64" t="s">
        <v>26</v>
      </c>
      <c r="I860" s="64"/>
      <c r="J860" s="32" t="str">
        <f>IF(AND(E860=1,OR(E859=0,E859="")),MAX(#REF!)+1,IF(AND(E860=1,E859=1),J859,""))</f>
        <v/>
      </c>
      <c r="K860" s="32" t="str">
        <f t="shared" si="52"/>
        <v/>
      </c>
      <c r="L860" s="32" t="str">
        <f t="shared" si="53"/>
        <v/>
      </c>
      <c r="M860" s="32" t="str">
        <f t="shared" si="54"/>
        <v/>
      </c>
      <c r="N860" s="4"/>
      <c r="O860" s="4"/>
      <c r="P860" s="4"/>
      <c r="Q860" s="4"/>
      <c r="U860" s="5"/>
      <c r="V860" s="4"/>
      <c r="AG860" t="s">
        <v>900</v>
      </c>
      <c r="AM860" s="1"/>
    </row>
    <row r="861" spans="1:39" x14ac:dyDescent="0.35">
      <c r="A861">
        <v>857</v>
      </c>
      <c r="B861">
        <v>858</v>
      </c>
      <c r="C861">
        <v>146.78662078599999</v>
      </c>
      <c r="D861">
        <v>-19.135129168999999</v>
      </c>
      <c r="F861" s="64"/>
      <c r="G861" s="64"/>
      <c r="H861" s="64" t="s">
        <v>26</v>
      </c>
      <c r="I861" s="64"/>
      <c r="J861" s="32" t="str">
        <f>IF(AND(E861=1,OR(E860=0,E860="")),MAX(#REF!)+1,IF(AND(E861=1,E860=1),J860,""))</f>
        <v/>
      </c>
      <c r="K861" s="32" t="str">
        <f t="shared" si="52"/>
        <v/>
      </c>
      <c r="L861" s="32" t="str">
        <f t="shared" si="53"/>
        <v/>
      </c>
      <c r="M861" s="32" t="str">
        <f t="shared" si="54"/>
        <v/>
      </c>
      <c r="N861" s="4"/>
      <c r="O861" s="4"/>
      <c r="P861" s="4"/>
      <c r="Q861" s="4"/>
      <c r="U861" s="5"/>
      <c r="V861" s="4"/>
      <c r="AG861" t="s">
        <v>901</v>
      </c>
      <c r="AM861" s="1"/>
    </row>
    <row r="862" spans="1:39" x14ac:dyDescent="0.35">
      <c r="A862">
        <v>858</v>
      </c>
      <c r="B862">
        <v>859</v>
      </c>
      <c r="C862">
        <v>146.78653291000001</v>
      </c>
      <c r="D862">
        <v>-19.135111556999998</v>
      </c>
      <c r="F862" s="64"/>
      <c r="G862" s="64"/>
      <c r="H862" s="64" t="s">
        <v>26</v>
      </c>
      <c r="I862" s="64"/>
      <c r="J862" s="32" t="str">
        <f>IF(AND(E862=1,OR(E861=0,E861="")),MAX(#REF!)+1,IF(AND(E862=1,E861=1),J861,""))</f>
        <v/>
      </c>
      <c r="K862" s="32" t="str">
        <f t="shared" si="52"/>
        <v/>
      </c>
      <c r="L862" s="32" t="str">
        <f t="shared" si="53"/>
        <v/>
      </c>
      <c r="M862" s="32" t="str">
        <f t="shared" si="54"/>
        <v/>
      </c>
      <c r="N862" s="4"/>
      <c r="O862" s="4"/>
      <c r="P862" s="4"/>
      <c r="Q862" s="4"/>
      <c r="U862" s="5"/>
      <c r="V862" s="4"/>
      <c r="AG862" t="s">
        <v>902</v>
      </c>
      <c r="AM862" s="1"/>
    </row>
    <row r="863" spans="1:39" x14ac:dyDescent="0.35">
      <c r="A863">
        <v>859</v>
      </c>
      <c r="B863">
        <v>860</v>
      </c>
      <c r="C863">
        <v>146.786445034</v>
      </c>
      <c r="D863">
        <v>-19.135093943999902</v>
      </c>
      <c r="E863">
        <v>50</v>
      </c>
      <c r="F863" s="64"/>
      <c r="G863" s="64"/>
      <c r="H863" s="64" t="s">
        <v>26</v>
      </c>
      <c r="I863" s="64"/>
      <c r="J863" s="32" t="str">
        <f>IF(AND(E863=1,OR(E862=0,E862="")),MAX(#REF!)+1,IF(AND(E863=1,E862=1),J862,""))</f>
        <v/>
      </c>
      <c r="K863" s="32" t="str">
        <f t="shared" ref="K863:K926" si="55">IF(J863="","",COUNTIF(J:J,J863)*10)</f>
        <v/>
      </c>
      <c r="L863" s="32" t="str">
        <f t="shared" si="53"/>
        <v/>
      </c>
      <c r="M863" s="32" t="str">
        <f t="shared" si="54"/>
        <v/>
      </c>
      <c r="N863" s="4"/>
      <c r="O863" s="4"/>
      <c r="P863" s="4"/>
      <c r="Q863" s="4"/>
      <c r="U863" s="5"/>
      <c r="V863" s="4"/>
      <c r="AG863" t="s">
        <v>903</v>
      </c>
      <c r="AM863" s="1"/>
    </row>
    <row r="864" spans="1:39" x14ac:dyDescent="0.35">
      <c r="A864">
        <v>860</v>
      </c>
      <c r="B864">
        <v>861</v>
      </c>
      <c r="C864">
        <v>146.78635715799999</v>
      </c>
      <c r="D864">
        <v>-19.135076332000001</v>
      </c>
      <c r="F864" s="64"/>
      <c r="G864" s="64"/>
      <c r="H864" s="64" t="s">
        <v>26</v>
      </c>
      <c r="I864" s="64"/>
      <c r="J864" s="32" t="str">
        <f>IF(AND(E864=1,OR(E863=0,E863="")),MAX(#REF!)+1,IF(AND(E864=1,E863=1),J863,""))</f>
        <v/>
      </c>
      <c r="K864" s="32" t="str">
        <f t="shared" si="55"/>
        <v/>
      </c>
      <c r="L864" s="32" t="str">
        <f t="shared" si="53"/>
        <v/>
      </c>
      <c r="M864" s="32" t="str">
        <f t="shared" si="54"/>
        <v/>
      </c>
      <c r="N864" s="4"/>
      <c r="O864" s="4"/>
      <c r="P864" s="4"/>
      <c r="Q864" s="4"/>
      <c r="U864" s="5"/>
      <c r="V864" s="4"/>
      <c r="AG864" t="s">
        <v>904</v>
      </c>
      <c r="AM864" s="1"/>
    </row>
    <row r="865" spans="1:39" x14ac:dyDescent="0.35">
      <c r="A865">
        <v>861</v>
      </c>
      <c r="B865">
        <v>862</v>
      </c>
      <c r="C865">
        <v>146.78626928200001</v>
      </c>
      <c r="D865">
        <v>-19.13505872</v>
      </c>
      <c r="F865" s="64"/>
      <c r="G865" s="64"/>
      <c r="H865" s="64" t="s">
        <v>26</v>
      </c>
      <c r="I865" s="64"/>
      <c r="J865" s="32" t="str">
        <f>IF(AND(E865=1,OR(E864=0,E864="")),MAX(#REF!)+1,IF(AND(E865=1,E864=1),J864,""))</f>
        <v/>
      </c>
      <c r="K865" s="32" t="str">
        <f t="shared" si="55"/>
        <v/>
      </c>
      <c r="L865" s="32" t="str">
        <f t="shared" si="53"/>
        <v/>
      </c>
      <c r="M865" s="32" t="str">
        <f t="shared" si="54"/>
        <v/>
      </c>
      <c r="N865" s="4"/>
      <c r="O865" s="4"/>
      <c r="P865" s="4"/>
      <c r="Q865" s="4"/>
      <c r="U865" s="5"/>
      <c r="V865" s="4"/>
      <c r="AG865" t="s">
        <v>905</v>
      </c>
      <c r="AM865" s="1"/>
    </row>
    <row r="866" spans="1:39" x14ac:dyDescent="0.35">
      <c r="A866">
        <v>862</v>
      </c>
      <c r="B866">
        <v>863</v>
      </c>
      <c r="C866">
        <v>146.786181406</v>
      </c>
      <c r="D866">
        <v>-19.1350411079999</v>
      </c>
      <c r="F866" s="64"/>
      <c r="G866" s="64"/>
      <c r="H866" s="64" t="s">
        <v>26</v>
      </c>
      <c r="I866" s="64"/>
      <c r="J866" s="32" t="str">
        <f>IF(AND(E866=1,OR(E865=0,E865="")),MAX(#REF!)+1,IF(AND(E866=1,E865=1),J865,""))</f>
        <v/>
      </c>
      <c r="K866" s="32" t="str">
        <f t="shared" si="55"/>
        <v/>
      </c>
      <c r="L866" s="32" t="str">
        <f t="shared" si="53"/>
        <v/>
      </c>
      <c r="M866" s="32" t="str">
        <f t="shared" si="54"/>
        <v/>
      </c>
      <c r="N866" s="4"/>
      <c r="O866" s="4"/>
      <c r="P866" s="4"/>
      <c r="Q866" s="4"/>
      <c r="U866" s="5"/>
      <c r="V866" s="4"/>
      <c r="AG866" t="s">
        <v>906</v>
      </c>
      <c r="AM866" s="1"/>
    </row>
    <row r="867" spans="1:39" x14ac:dyDescent="0.35">
      <c r="A867">
        <v>863</v>
      </c>
      <c r="B867">
        <v>864</v>
      </c>
      <c r="C867">
        <v>146.78609353100001</v>
      </c>
      <c r="D867">
        <v>-19.135023495999999</v>
      </c>
      <c r="F867" s="64"/>
      <c r="G867" s="64"/>
      <c r="H867" s="64" t="s">
        <v>26</v>
      </c>
      <c r="I867" s="64"/>
      <c r="J867" s="32" t="str">
        <f>IF(AND(E867=1,OR(E866=0,E866="")),MAX(#REF!)+1,IF(AND(E867=1,E866=1),J866,""))</f>
        <v/>
      </c>
      <c r="K867" s="32" t="str">
        <f t="shared" si="55"/>
        <v/>
      </c>
      <c r="L867" s="32" t="str">
        <f t="shared" si="53"/>
        <v/>
      </c>
      <c r="M867" s="32" t="str">
        <f t="shared" si="54"/>
        <v/>
      </c>
      <c r="N867" s="4"/>
      <c r="O867" s="4"/>
      <c r="P867" s="4"/>
      <c r="Q867" s="4"/>
      <c r="U867" s="5"/>
      <c r="V867" s="4"/>
      <c r="AG867" t="s">
        <v>907</v>
      </c>
      <c r="AM867" s="1"/>
    </row>
    <row r="868" spans="1:39" x14ac:dyDescent="0.35">
      <c r="A868">
        <v>864</v>
      </c>
      <c r="B868">
        <v>865</v>
      </c>
      <c r="C868">
        <v>146.786005655</v>
      </c>
      <c r="D868">
        <v>-19.135005884000002</v>
      </c>
      <c r="E868">
        <v>50</v>
      </c>
      <c r="F868" s="64"/>
      <c r="G868" s="64"/>
      <c r="H868" s="64" t="s">
        <v>26</v>
      </c>
      <c r="I868" s="64"/>
      <c r="J868" s="32" t="str">
        <f>IF(AND(E868=1,OR(E867=0,E867="")),MAX(#REF!)+1,IF(AND(E868=1,E867=1),J867,""))</f>
        <v/>
      </c>
      <c r="K868" s="32" t="str">
        <f t="shared" si="55"/>
        <v/>
      </c>
      <c r="L868" s="32" t="str">
        <f t="shared" si="53"/>
        <v/>
      </c>
      <c r="M868" s="32" t="str">
        <f t="shared" si="54"/>
        <v/>
      </c>
      <c r="N868" s="4"/>
      <c r="O868" s="4"/>
      <c r="P868" s="4"/>
      <c r="Q868" s="4"/>
      <c r="U868" s="5"/>
      <c r="V868" s="4"/>
      <c r="AG868" t="s">
        <v>908</v>
      </c>
      <c r="AM868" s="1"/>
    </row>
    <row r="869" spans="1:39" x14ac:dyDescent="0.35">
      <c r="A869">
        <v>865</v>
      </c>
      <c r="B869">
        <v>866</v>
      </c>
      <c r="C869">
        <v>146.78591737900001</v>
      </c>
      <c r="D869">
        <v>-19.134990253000002</v>
      </c>
      <c r="F869" s="64"/>
      <c r="G869" s="64"/>
      <c r="H869" s="64" t="s">
        <v>26</v>
      </c>
      <c r="I869" s="64"/>
      <c r="J869" s="32" t="str">
        <f>IF(AND(E869=1,OR(E868=0,E868="")),MAX(#REF!)+1,IF(AND(E869=1,E868=1),J868,""))</f>
        <v/>
      </c>
      <c r="K869" s="32" t="str">
        <f t="shared" si="55"/>
        <v/>
      </c>
      <c r="L869" s="32" t="str">
        <f t="shared" si="53"/>
        <v/>
      </c>
      <c r="M869" s="32" t="str">
        <f t="shared" si="54"/>
        <v/>
      </c>
      <c r="N869" s="4"/>
      <c r="O869" s="4"/>
      <c r="P869" s="4"/>
      <c r="Q869" s="4"/>
      <c r="U869" s="5"/>
      <c r="V869" s="4"/>
      <c r="AG869" t="s">
        <v>909</v>
      </c>
      <c r="AM869" s="1"/>
    </row>
    <row r="870" spans="1:39" x14ac:dyDescent="0.35">
      <c r="A870">
        <v>866</v>
      </c>
      <c r="B870">
        <v>867</v>
      </c>
      <c r="C870">
        <v>146.785828804</v>
      </c>
      <c r="D870">
        <v>-19.134976111</v>
      </c>
      <c r="F870" s="64"/>
      <c r="G870" s="64"/>
      <c r="H870" s="64" t="s">
        <v>26</v>
      </c>
      <c r="I870" s="64"/>
      <c r="J870" s="32" t="str">
        <f>IF(AND(E870=1,OR(E869=0,E869="")),MAX(#REF!)+1,IF(AND(E870=1,E869=1),J869,""))</f>
        <v/>
      </c>
      <c r="K870" s="32" t="str">
        <f t="shared" si="55"/>
        <v/>
      </c>
      <c r="L870" s="32" t="str">
        <f t="shared" si="53"/>
        <v/>
      </c>
      <c r="M870" s="32" t="str">
        <f t="shared" si="54"/>
        <v/>
      </c>
      <c r="N870" s="4"/>
      <c r="O870" s="4"/>
      <c r="P870" s="4"/>
      <c r="Q870" s="4"/>
      <c r="U870" s="5"/>
      <c r="V870" s="4"/>
      <c r="AG870" t="s">
        <v>910</v>
      </c>
      <c r="AM870" s="1"/>
    </row>
    <row r="871" spans="1:39" x14ac:dyDescent="0.35">
      <c r="A871">
        <v>867</v>
      </c>
      <c r="B871">
        <v>868</v>
      </c>
      <c r="C871">
        <v>146.78574022800001</v>
      </c>
      <c r="D871">
        <v>-19.134961967999999</v>
      </c>
      <c r="F871" s="64"/>
      <c r="G871" s="64"/>
      <c r="H871" s="64" t="s">
        <v>26</v>
      </c>
      <c r="I871" s="64"/>
      <c r="J871" s="32" t="str">
        <f>IF(AND(E871=1,OR(E870=0,E870="")),MAX(#REF!)+1,IF(AND(E871=1,E870=1),J870,""))</f>
        <v/>
      </c>
      <c r="K871" s="32" t="str">
        <f t="shared" si="55"/>
        <v/>
      </c>
      <c r="L871" s="32" t="str">
        <f t="shared" si="53"/>
        <v/>
      </c>
      <c r="M871" s="32" t="str">
        <f t="shared" si="54"/>
        <v/>
      </c>
      <c r="N871" s="4"/>
      <c r="O871" s="4"/>
      <c r="P871" s="4"/>
      <c r="Q871" s="4"/>
      <c r="U871" s="5"/>
      <c r="V871" s="4"/>
      <c r="AG871" t="s">
        <v>911</v>
      </c>
      <c r="AM871" s="1"/>
    </row>
    <row r="872" spans="1:39" x14ac:dyDescent="0.35">
      <c r="A872">
        <v>868</v>
      </c>
      <c r="B872">
        <v>869</v>
      </c>
      <c r="C872">
        <v>146.785651653</v>
      </c>
      <c r="D872">
        <v>-19.134947826000001</v>
      </c>
      <c r="F872" s="64"/>
      <c r="G872" s="64"/>
      <c r="H872" s="64" t="s">
        <v>26</v>
      </c>
      <c r="I872" s="64"/>
      <c r="J872" s="32" t="str">
        <f>IF(AND(E872=1,OR(E871=0,E871="")),MAX(#REF!)+1,IF(AND(E872=1,E871=1),J871,""))</f>
        <v/>
      </c>
      <c r="K872" s="32" t="str">
        <f t="shared" si="55"/>
        <v/>
      </c>
      <c r="L872" s="32" t="str">
        <f t="shared" si="53"/>
        <v/>
      </c>
      <c r="M872" s="32" t="str">
        <f t="shared" si="54"/>
        <v/>
      </c>
      <c r="N872" s="4"/>
      <c r="O872" s="4"/>
      <c r="P872" s="4"/>
      <c r="Q872" s="4"/>
      <c r="U872" s="5"/>
      <c r="V872" s="4"/>
      <c r="AG872" t="s">
        <v>912</v>
      </c>
      <c r="AM872" s="1"/>
    </row>
    <row r="873" spans="1:39" x14ac:dyDescent="0.35">
      <c r="A873">
        <v>869</v>
      </c>
      <c r="B873">
        <v>870</v>
      </c>
      <c r="C873">
        <v>146.78556554100001</v>
      </c>
      <c r="D873">
        <v>-19.1349250919999</v>
      </c>
      <c r="E873">
        <v>50</v>
      </c>
      <c r="F873" s="64"/>
      <c r="G873" s="64"/>
      <c r="H873" s="64" t="s">
        <v>26</v>
      </c>
      <c r="I873" s="64"/>
      <c r="J873" s="32" t="str">
        <f>IF(AND(E873=1,OR(E872=0,E872="")),MAX(#REF!)+1,IF(AND(E873=1,E872=1),J872,""))</f>
        <v/>
      </c>
      <c r="K873" s="32" t="str">
        <f t="shared" si="55"/>
        <v/>
      </c>
      <c r="L873" s="32" t="str">
        <f t="shared" si="53"/>
        <v/>
      </c>
      <c r="M873" s="32" t="str">
        <f t="shared" si="54"/>
        <v/>
      </c>
      <c r="N873" s="4"/>
      <c r="O873" s="4"/>
      <c r="P873" s="4"/>
      <c r="Q873" s="4"/>
      <c r="U873" s="5"/>
      <c r="V873" s="4"/>
      <c r="AG873" t="s">
        <v>913</v>
      </c>
      <c r="AM873" s="1"/>
    </row>
    <row r="874" spans="1:39" x14ac:dyDescent="0.35">
      <c r="A874">
        <v>870</v>
      </c>
      <c r="B874">
        <v>871</v>
      </c>
      <c r="C874">
        <v>146.78548152400001</v>
      </c>
      <c r="D874">
        <v>-19.134895055999898</v>
      </c>
      <c r="F874" s="64"/>
      <c r="G874" s="64"/>
      <c r="H874" s="64" t="s">
        <v>26</v>
      </c>
      <c r="I874" s="64"/>
      <c r="J874" s="32" t="str">
        <f>IF(AND(E874=1,OR(E873=0,E873="")),MAX(#REF!)+1,IF(AND(E874=1,E873=1),J873,""))</f>
        <v/>
      </c>
      <c r="K874" s="32" t="str">
        <f t="shared" si="55"/>
        <v/>
      </c>
      <c r="L874" s="32" t="str">
        <f t="shared" si="53"/>
        <v/>
      </c>
      <c r="M874" s="32" t="str">
        <f t="shared" si="54"/>
        <v/>
      </c>
      <c r="N874" s="4"/>
      <c r="O874" s="4"/>
      <c r="P874" s="4"/>
      <c r="Q874" s="4"/>
      <c r="U874" s="5"/>
      <c r="V874" s="4"/>
      <c r="AG874" t="s">
        <v>914</v>
      </c>
      <c r="AM874" s="1"/>
    </row>
    <row r="875" spans="1:39" x14ac:dyDescent="0.35">
      <c r="A875">
        <v>871</v>
      </c>
      <c r="B875">
        <v>872</v>
      </c>
      <c r="C875">
        <v>146.785401068</v>
      </c>
      <c r="D875">
        <v>-19.134859963999901</v>
      </c>
      <c r="F875" s="64"/>
      <c r="G875" s="64"/>
      <c r="H875" s="64" t="s">
        <v>26</v>
      </c>
      <c r="I875" s="64"/>
      <c r="J875" s="32" t="str">
        <f>IF(AND(E875=1,OR(E874=0,E874="")),MAX(#REF!)+1,IF(AND(E875=1,E874=1),J874,""))</f>
        <v/>
      </c>
      <c r="K875" s="32" t="str">
        <f t="shared" si="55"/>
        <v/>
      </c>
      <c r="L875" s="32" t="str">
        <f t="shared" si="53"/>
        <v/>
      </c>
      <c r="M875" s="32" t="str">
        <f t="shared" si="54"/>
        <v/>
      </c>
      <c r="N875" s="4"/>
      <c r="O875" s="4"/>
      <c r="P875" s="4"/>
      <c r="Q875" s="4"/>
      <c r="U875" s="5"/>
      <c r="V875" s="4"/>
      <c r="AG875" t="s">
        <v>915</v>
      </c>
      <c r="AM875" s="1"/>
    </row>
    <row r="876" spans="1:39" x14ac:dyDescent="0.35">
      <c r="A876">
        <v>872</v>
      </c>
      <c r="B876">
        <v>873</v>
      </c>
      <c r="C876">
        <v>146.785339295</v>
      </c>
      <c r="D876">
        <v>-19.134798346</v>
      </c>
      <c r="F876" s="64"/>
      <c r="G876" s="64"/>
      <c r="H876" s="64" t="s">
        <v>26</v>
      </c>
      <c r="I876" s="64"/>
      <c r="J876" s="32" t="str">
        <f>IF(AND(E876=1,OR(E875=0,E875="")),MAX(#REF!)+1,IF(AND(E876=1,E875=1),J875,""))</f>
        <v/>
      </c>
      <c r="K876" s="32" t="str">
        <f t="shared" si="55"/>
        <v/>
      </c>
      <c r="L876" s="32" t="str">
        <f t="shared" si="53"/>
        <v/>
      </c>
      <c r="M876" s="32" t="str">
        <f t="shared" si="54"/>
        <v/>
      </c>
      <c r="N876" s="4"/>
      <c r="O876" s="4"/>
      <c r="P876" s="4"/>
      <c r="Q876" s="4"/>
      <c r="U876" s="5"/>
      <c r="V876" s="4"/>
      <c r="AG876" t="s">
        <v>916</v>
      </c>
      <c r="AM876" s="1"/>
    </row>
    <row r="877" spans="1:39" x14ac:dyDescent="0.35">
      <c r="A877">
        <v>873</v>
      </c>
      <c r="B877">
        <v>874</v>
      </c>
      <c r="C877">
        <v>146.78527752299999</v>
      </c>
      <c r="D877">
        <v>-19.134736728</v>
      </c>
      <c r="F877" s="64"/>
      <c r="G877" s="64"/>
      <c r="H877" s="64" t="s">
        <v>26</v>
      </c>
      <c r="I877" s="64"/>
      <c r="J877" s="32" t="str">
        <f>IF(AND(E877=1,OR(E876=0,E876="")),MAX(#REF!)+1,IF(AND(E877=1,E876=1),J876,""))</f>
        <v/>
      </c>
      <c r="K877" s="32" t="str">
        <f t="shared" si="55"/>
        <v/>
      </c>
      <c r="L877" s="32" t="str">
        <f t="shared" si="53"/>
        <v/>
      </c>
      <c r="M877" s="32" t="str">
        <f t="shared" si="54"/>
        <v/>
      </c>
      <c r="N877" s="4"/>
      <c r="O877" s="4"/>
      <c r="P877" s="4"/>
      <c r="Q877" s="4"/>
      <c r="U877" s="5"/>
      <c r="V877" s="4"/>
      <c r="AG877" t="s">
        <v>917</v>
      </c>
      <c r="AM877" s="1"/>
    </row>
    <row r="878" spans="1:39" x14ac:dyDescent="0.35">
      <c r="A878">
        <v>874</v>
      </c>
      <c r="B878">
        <v>875</v>
      </c>
      <c r="C878">
        <v>146.78521574999999</v>
      </c>
      <c r="D878">
        <v>-19.1346751089999</v>
      </c>
      <c r="E878">
        <v>50</v>
      </c>
      <c r="F878" s="64"/>
      <c r="G878" s="64"/>
      <c r="H878" s="64" t="s">
        <v>26</v>
      </c>
      <c r="I878" s="64"/>
      <c r="J878" s="32" t="str">
        <f>IF(AND(E878=1,OR(E877=0,E877="")),MAX(#REF!)+1,IF(AND(E878=1,E877=1),J877,""))</f>
        <v/>
      </c>
      <c r="K878" s="32" t="str">
        <f t="shared" si="55"/>
        <v/>
      </c>
      <c r="L878" s="32" t="str">
        <f t="shared" si="53"/>
        <v/>
      </c>
      <c r="M878" s="32" t="str">
        <f t="shared" si="54"/>
        <v/>
      </c>
      <c r="N878" s="4"/>
      <c r="O878" s="4"/>
      <c r="P878" s="4"/>
      <c r="Q878" s="4"/>
      <c r="U878" s="5"/>
      <c r="V878" s="4"/>
      <c r="AG878" t="s">
        <v>918</v>
      </c>
      <c r="AM878" s="1"/>
    </row>
    <row r="879" spans="1:39" x14ac:dyDescent="0.35">
      <c r="A879">
        <v>875</v>
      </c>
      <c r="B879">
        <v>876</v>
      </c>
      <c r="C879">
        <v>146.78513683700001</v>
      </c>
      <c r="D879">
        <v>-19.134635330999998</v>
      </c>
      <c r="F879" s="64"/>
      <c r="G879" s="64"/>
      <c r="H879" s="64" t="s">
        <v>26</v>
      </c>
      <c r="I879" s="64"/>
      <c r="J879" s="32" t="str">
        <f>IF(AND(E879=1,OR(E878=0,E878="")),MAX(#REF!)+1,IF(AND(E879=1,E878=1),J878,""))</f>
        <v/>
      </c>
      <c r="K879" s="32" t="str">
        <f t="shared" si="55"/>
        <v/>
      </c>
      <c r="L879" s="32" t="str">
        <f t="shared" si="53"/>
        <v/>
      </c>
      <c r="M879" s="32" t="str">
        <f t="shared" si="54"/>
        <v/>
      </c>
      <c r="N879" s="4"/>
      <c r="O879" s="4"/>
      <c r="P879" s="4"/>
      <c r="Q879" s="4"/>
      <c r="U879" s="5"/>
      <c r="V879" s="4"/>
      <c r="AG879" t="s">
        <v>919</v>
      </c>
      <c r="AM879" s="1"/>
    </row>
    <row r="880" spans="1:39" x14ac:dyDescent="0.35">
      <c r="A880">
        <v>876</v>
      </c>
      <c r="B880">
        <v>877</v>
      </c>
      <c r="C880">
        <v>146.78505648199999</v>
      </c>
      <c r="D880">
        <v>-19.1345973909999</v>
      </c>
      <c r="F880" s="64"/>
      <c r="G880" s="64"/>
      <c r="H880" s="64" t="s">
        <v>26</v>
      </c>
      <c r="I880" s="64"/>
      <c r="J880" s="32" t="str">
        <f>IF(AND(E880=1,OR(E879=0,E879="")),MAX(#REF!)+1,IF(AND(E880=1,E879=1),J879,""))</f>
        <v/>
      </c>
      <c r="K880" s="32" t="str">
        <f t="shared" si="55"/>
        <v/>
      </c>
      <c r="L880" s="32" t="str">
        <f t="shared" si="53"/>
        <v/>
      </c>
      <c r="M880" s="32" t="str">
        <f t="shared" si="54"/>
        <v/>
      </c>
      <c r="N880" s="4"/>
      <c r="O880" s="4"/>
      <c r="P880" s="4"/>
      <c r="Q880" s="4"/>
      <c r="U880" s="5"/>
      <c r="V880" s="4"/>
      <c r="AG880" t="s">
        <v>920</v>
      </c>
      <c r="AM880" s="1"/>
    </row>
    <row r="881" spans="1:39" x14ac:dyDescent="0.35">
      <c r="A881">
        <v>877</v>
      </c>
      <c r="B881">
        <v>878</v>
      </c>
      <c r="C881">
        <v>146.78497612699999</v>
      </c>
      <c r="D881">
        <v>-19.134559449999902</v>
      </c>
      <c r="F881" s="64"/>
      <c r="G881" s="64"/>
      <c r="H881" s="64" t="s">
        <v>26</v>
      </c>
      <c r="I881" s="64"/>
      <c r="J881" s="32" t="str">
        <f>IF(AND(E881=1,OR(E880=0,E880="")),MAX(#REF!)+1,IF(AND(E881=1,E880=1),J880,""))</f>
        <v/>
      </c>
      <c r="K881" s="32" t="str">
        <f t="shared" si="55"/>
        <v/>
      </c>
      <c r="L881" s="32" t="str">
        <f t="shared" si="53"/>
        <v/>
      </c>
      <c r="M881" s="32" t="str">
        <f t="shared" si="54"/>
        <v/>
      </c>
      <c r="N881" s="4"/>
      <c r="O881" s="4"/>
      <c r="P881" s="4"/>
      <c r="Q881" s="4"/>
      <c r="U881" s="5"/>
      <c r="V881" s="4"/>
      <c r="AG881" t="s">
        <v>921</v>
      </c>
      <c r="AM881" s="1"/>
    </row>
    <row r="882" spans="1:39" x14ac:dyDescent="0.35">
      <c r="A882">
        <v>878</v>
      </c>
      <c r="B882">
        <v>879</v>
      </c>
      <c r="C882">
        <v>146.78489017000001</v>
      </c>
      <c r="D882">
        <v>-19.134535264</v>
      </c>
      <c r="F882" s="64"/>
      <c r="G882" s="64"/>
      <c r="H882" s="64" t="s">
        <v>26</v>
      </c>
      <c r="I882" s="64"/>
      <c r="J882" s="32" t="str">
        <f>IF(AND(E882=1,OR(E881=0,E881="")),MAX(#REF!)+1,IF(AND(E882=1,E881=1),J881,""))</f>
        <v/>
      </c>
      <c r="K882" s="32" t="str">
        <f t="shared" si="55"/>
        <v/>
      </c>
      <c r="L882" s="32" t="str">
        <f t="shared" si="53"/>
        <v/>
      </c>
      <c r="M882" s="32" t="str">
        <f t="shared" si="54"/>
        <v/>
      </c>
      <c r="N882" s="4"/>
      <c r="O882" s="4"/>
      <c r="P882" s="4"/>
      <c r="Q882" s="4"/>
      <c r="U882" s="5"/>
      <c r="V882" s="4"/>
      <c r="AG882" t="s">
        <v>922</v>
      </c>
      <c r="AM882" s="1"/>
    </row>
    <row r="883" spans="1:39" x14ac:dyDescent="0.35">
      <c r="A883">
        <v>879</v>
      </c>
      <c r="B883">
        <v>880</v>
      </c>
      <c r="C883">
        <v>146.78480362100001</v>
      </c>
      <c r="D883">
        <v>-19.134512530999899</v>
      </c>
      <c r="E883">
        <v>50</v>
      </c>
      <c r="F883" s="64"/>
      <c r="G883" s="64"/>
      <c r="H883" s="64" t="s">
        <v>26</v>
      </c>
      <c r="I883" s="64"/>
      <c r="J883" s="32" t="str">
        <f>IF(AND(E883=1,OR(E882=0,E882="")),MAX(#REF!)+1,IF(AND(E883=1,E882=1),J882,""))</f>
        <v/>
      </c>
      <c r="K883" s="32" t="str">
        <f t="shared" si="55"/>
        <v/>
      </c>
      <c r="L883" s="32" t="str">
        <f t="shared" si="53"/>
        <v/>
      </c>
      <c r="M883" s="32" t="str">
        <f t="shared" si="54"/>
        <v/>
      </c>
      <c r="N883" s="4"/>
      <c r="O883" s="4"/>
      <c r="P883" s="4"/>
      <c r="Q883" s="4"/>
      <c r="U883" s="5"/>
      <c r="V883" s="4"/>
      <c r="AG883" t="s">
        <v>923</v>
      </c>
      <c r="AM883" s="1"/>
    </row>
    <row r="884" spans="1:39" x14ac:dyDescent="0.35">
      <c r="A884">
        <v>880</v>
      </c>
      <c r="B884">
        <v>881</v>
      </c>
      <c r="C884">
        <v>146.78471707200001</v>
      </c>
      <c r="D884">
        <v>-19.134489797000001</v>
      </c>
      <c r="F884" s="64"/>
      <c r="G884" s="64"/>
      <c r="H884" s="64" t="s">
        <v>26</v>
      </c>
      <c r="I884" s="64"/>
      <c r="J884" s="32" t="str">
        <f>IF(AND(E884=1,OR(E883=0,E883="")),MAX(#REF!)+1,IF(AND(E884=1,E883=1),J883,""))</f>
        <v/>
      </c>
      <c r="K884" s="32" t="str">
        <f t="shared" si="55"/>
        <v/>
      </c>
      <c r="L884" s="32" t="str">
        <f t="shared" si="53"/>
        <v/>
      </c>
      <c r="M884" s="32" t="str">
        <f t="shared" si="54"/>
        <v/>
      </c>
      <c r="N884" s="4"/>
      <c r="O884" s="4"/>
      <c r="P884" s="4"/>
      <c r="Q884" s="4"/>
      <c r="U884" s="5"/>
      <c r="V884" s="4"/>
      <c r="AG884" t="s">
        <v>924</v>
      </c>
      <c r="AM884" s="1"/>
    </row>
    <row r="885" spans="1:39" x14ac:dyDescent="0.35">
      <c r="A885">
        <v>881</v>
      </c>
      <c r="B885">
        <v>882</v>
      </c>
      <c r="C885">
        <v>146.78463052399999</v>
      </c>
      <c r="D885">
        <v>-19.134467062999899</v>
      </c>
      <c r="F885" s="64"/>
      <c r="G885" s="64"/>
      <c r="H885" s="64" t="s">
        <v>26</v>
      </c>
      <c r="I885" s="64"/>
      <c r="J885" s="32" t="str">
        <f>IF(AND(E885=1,OR(E884=0,E884="")),MAX(#REF!)+1,IF(AND(E885=1,E884=1),J884,""))</f>
        <v/>
      </c>
      <c r="K885" s="32" t="str">
        <f t="shared" si="55"/>
        <v/>
      </c>
      <c r="L885" s="32" t="str">
        <f t="shared" si="53"/>
        <v/>
      </c>
      <c r="M885" s="32" t="str">
        <f t="shared" si="54"/>
        <v/>
      </c>
      <c r="N885" s="4"/>
      <c r="O885" s="4"/>
      <c r="P885" s="4"/>
      <c r="Q885" s="4"/>
      <c r="U885" s="5"/>
      <c r="V885" s="4"/>
      <c r="AG885" t="s">
        <v>925</v>
      </c>
      <c r="AM885" s="1"/>
    </row>
    <row r="886" spans="1:39" x14ac:dyDescent="0.35">
      <c r="A886">
        <v>882</v>
      </c>
      <c r="B886">
        <v>883</v>
      </c>
      <c r="C886">
        <v>146.78454397499999</v>
      </c>
      <c r="D886">
        <v>-19.134444329000001</v>
      </c>
      <c r="F886" s="64"/>
      <c r="G886" s="64"/>
      <c r="H886" s="64" t="s">
        <v>26</v>
      </c>
      <c r="I886" s="64"/>
      <c r="J886" s="32" t="str">
        <f>IF(AND(E886=1,OR(E885=0,E885="")),MAX(#REF!)+1,IF(AND(E886=1,E885=1),J885,""))</f>
        <v/>
      </c>
      <c r="K886" s="32" t="str">
        <f t="shared" si="55"/>
        <v/>
      </c>
      <c r="L886" s="32" t="str">
        <f t="shared" si="53"/>
        <v/>
      </c>
      <c r="M886" s="32" t="str">
        <f t="shared" si="54"/>
        <v/>
      </c>
      <c r="N886" s="4"/>
      <c r="O886" s="4"/>
      <c r="P886" s="4"/>
      <c r="Q886" s="4"/>
      <c r="U886" s="5"/>
      <c r="V886" s="4"/>
      <c r="AG886" t="s">
        <v>926</v>
      </c>
      <c r="AM886" s="1"/>
    </row>
    <row r="887" spans="1:39" x14ac:dyDescent="0.35">
      <c r="A887">
        <v>883</v>
      </c>
      <c r="B887">
        <v>884</v>
      </c>
      <c r="C887">
        <v>146.78445742700001</v>
      </c>
      <c r="D887">
        <v>-19.1344215949999</v>
      </c>
      <c r="F887" s="64"/>
      <c r="G887" s="64"/>
      <c r="H887" s="64" t="s">
        <v>26</v>
      </c>
      <c r="I887" s="64"/>
      <c r="J887" s="32" t="str">
        <f>IF(AND(E887=1,OR(E886=0,E886="")),MAX(#REF!)+1,IF(AND(E887=1,E886=1),J886,""))</f>
        <v/>
      </c>
      <c r="K887" s="32" t="str">
        <f t="shared" si="55"/>
        <v/>
      </c>
      <c r="L887" s="32" t="str">
        <f t="shared" si="53"/>
        <v/>
      </c>
      <c r="M887" s="32" t="str">
        <f t="shared" si="54"/>
        <v/>
      </c>
      <c r="N887" s="4"/>
      <c r="O887" s="4"/>
      <c r="P887" s="4"/>
      <c r="Q887" s="4"/>
      <c r="U887" s="5"/>
      <c r="V887" s="4"/>
      <c r="AG887" t="s">
        <v>927</v>
      </c>
      <c r="AM887" s="1"/>
    </row>
    <row r="888" spans="1:39" x14ac:dyDescent="0.35">
      <c r="A888">
        <v>884</v>
      </c>
      <c r="B888">
        <v>885</v>
      </c>
      <c r="C888">
        <v>146.78436972099999</v>
      </c>
      <c r="D888">
        <v>-19.134403615999901</v>
      </c>
      <c r="E888">
        <v>50</v>
      </c>
      <c r="F888" s="64"/>
      <c r="G888" s="64"/>
      <c r="H888" s="64" t="s">
        <v>26</v>
      </c>
      <c r="I888" s="64"/>
      <c r="J888" s="32" t="str">
        <f>IF(AND(E888=1,OR(E887=0,E887="")),MAX(#REF!)+1,IF(AND(E888=1,E887=1),J887,""))</f>
        <v/>
      </c>
      <c r="K888" s="32" t="str">
        <f t="shared" si="55"/>
        <v/>
      </c>
      <c r="L888" s="32" t="str">
        <f t="shared" si="53"/>
        <v/>
      </c>
      <c r="M888" s="32" t="str">
        <f t="shared" si="54"/>
        <v/>
      </c>
      <c r="N888" s="4"/>
      <c r="O888" s="4"/>
      <c r="P888" s="4"/>
      <c r="Q888" s="4"/>
      <c r="U888" s="5"/>
      <c r="V888" s="4"/>
      <c r="AG888" t="s">
        <v>928</v>
      </c>
      <c r="AM888" s="1"/>
    </row>
    <row r="889" spans="1:39" x14ac:dyDescent="0.35">
      <c r="A889">
        <v>885</v>
      </c>
      <c r="B889">
        <v>886</v>
      </c>
      <c r="C889">
        <v>146.784281354</v>
      </c>
      <c r="D889">
        <v>-19.134388354999899</v>
      </c>
      <c r="F889" s="64"/>
      <c r="G889" s="64"/>
      <c r="H889" s="64" t="s">
        <v>26</v>
      </c>
      <c r="I889" s="64"/>
      <c r="J889" s="32" t="str">
        <f>IF(AND(E889=1,OR(E888=0,E888="")),MAX(#REF!)+1,IF(AND(E889=1,E888=1),J888,""))</f>
        <v/>
      </c>
      <c r="K889" s="32" t="str">
        <f t="shared" si="55"/>
        <v/>
      </c>
      <c r="L889" s="32" t="str">
        <f t="shared" si="53"/>
        <v/>
      </c>
      <c r="M889" s="32" t="str">
        <f t="shared" si="54"/>
        <v/>
      </c>
      <c r="N889" s="4"/>
      <c r="O889" s="4"/>
      <c r="P889" s="4"/>
      <c r="Q889" s="4"/>
      <c r="U889" s="5"/>
      <c r="V889" s="4"/>
      <c r="AG889" t="s">
        <v>929</v>
      </c>
      <c r="AM889" s="1"/>
    </row>
    <row r="890" spans="1:39" x14ac:dyDescent="0.35">
      <c r="A890">
        <v>886</v>
      </c>
      <c r="B890">
        <v>887</v>
      </c>
      <c r="C890">
        <v>146.78419298700001</v>
      </c>
      <c r="D890">
        <v>-19.134373093000001</v>
      </c>
      <c r="F890" s="64"/>
      <c r="G890" s="64"/>
      <c r="H890" s="64" t="s">
        <v>26</v>
      </c>
      <c r="I890" s="64"/>
      <c r="J890" s="32" t="str">
        <f>IF(AND(E890=1,OR(E889=0,E889="")),MAX(#REF!)+1,IF(AND(E890=1,E889=1),J889,""))</f>
        <v/>
      </c>
      <c r="K890" s="32" t="str">
        <f t="shared" si="55"/>
        <v/>
      </c>
      <c r="L890" s="32" t="str">
        <f t="shared" si="53"/>
        <v/>
      </c>
      <c r="M890" s="32" t="str">
        <f t="shared" si="54"/>
        <v/>
      </c>
      <c r="N890" s="4"/>
      <c r="O890" s="4"/>
      <c r="P890" s="4"/>
      <c r="Q890" s="4"/>
      <c r="U890" s="5"/>
      <c r="V890" s="4"/>
      <c r="AG890" t="s">
        <v>930</v>
      </c>
      <c r="AM890" s="1"/>
    </row>
    <row r="891" spans="1:39" x14ac:dyDescent="0.35">
      <c r="A891">
        <v>887</v>
      </c>
      <c r="B891">
        <v>888</v>
      </c>
      <c r="C891">
        <v>146.784104619</v>
      </c>
      <c r="D891">
        <v>-19.134357831999999</v>
      </c>
      <c r="F891" s="64"/>
      <c r="G891" s="64"/>
      <c r="H891" s="64" t="s">
        <v>26</v>
      </c>
      <c r="I891" s="64"/>
      <c r="J891" s="32" t="str">
        <f>IF(AND(E891=1,OR(E890=0,E890="")),MAX(#REF!)+1,IF(AND(E891=1,E890=1),J890,""))</f>
        <v/>
      </c>
      <c r="K891" s="32" t="str">
        <f t="shared" si="55"/>
        <v/>
      </c>
      <c r="L891" s="32" t="str">
        <f t="shared" si="53"/>
        <v/>
      </c>
      <c r="M891" s="32" t="str">
        <f t="shared" si="54"/>
        <v/>
      </c>
      <c r="N891" s="4"/>
      <c r="O891" s="4"/>
      <c r="P891" s="4"/>
      <c r="Q891" s="4"/>
      <c r="U891" s="5"/>
      <c r="V891" s="4"/>
      <c r="AG891" t="s">
        <v>931</v>
      </c>
      <c r="AM891" s="1"/>
    </row>
    <row r="892" spans="1:39" x14ac:dyDescent="0.35">
      <c r="A892">
        <v>888</v>
      </c>
      <c r="B892">
        <v>889</v>
      </c>
      <c r="C892">
        <v>146.78401625199999</v>
      </c>
      <c r="D892">
        <v>-19.134342569999902</v>
      </c>
      <c r="F892" s="64"/>
      <c r="G892" s="64"/>
      <c r="H892" s="64" t="s">
        <v>26</v>
      </c>
      <c r="I892" s="64"/>
      <c r="J892" s="32" t="str">
        <f>IF(AND(E892=1,OR(E891=0,E891="")),MAX(#REF!)+1,IF(AND(E892=1,E891=1),J891,""))</f>
        <v/>
      </c>
      <c r="K892" s="32" t="str">
        <f t="shared" si="55"/>
        <v/>
      </c>
      <c r="L892" s="32" t="str">
        <f t="shared" si="53"/>
        <v/>
      </c>
      <c r="M892" s="32" t="str">
        <f t="shared" si="54"/>
        <v/>
      </c>
      <c r="N892" s="4"/>
      <c r="O892" s="4"/>
      <c r="P892" s="4"/>
      <c r="Q892" s="4"/>
      <c r="U892" s="5"/>
      <c r="V892" s="4"/>
      <c r="AG892" t="s">
        <v>932</v>
      </c>
      <c r="AM892" s="1"/>
    </row>
    <row r="893" spans="1:39" x14ac:dyDescent="0.35">
      <c r="A893">
        <v>889</v>
      </c>
      <c r="B893">
        <v>890</v>
      </c>
      <c r="C893">
        <v>146.78392877900001</v>
      </c>
      <c r="D893">
        <v>-19.1343232729999</v>
      </c>
      <c r="E893">
        <v>50</v>
      </c>
      <c r="F893" s="64"/>
      <c r="G893" s="64"/>
      <c r="H893" s="64" t="s">
        <v>26</v>
      </c>
      <c r="I893" s="64"/>
      <c r="J893" s="32" t="str">
        <f>IF(AND(E893=1,OR(E892=0,E892="")),MAX(#REF!)+1,IF(AND(E893=1,E892=1),J892,""))</f>
        <v/>
      </c>
      <c r="K893" s="32" t="str">
        <f t="shared" si="55"/>
        <v/>
      </c>
      <c r="L893" s="32" t="str">
        <f t="shared" si="53"/>
        <v/>
      </c>
      <c r="M893" s="32" t="str">
        <f t="shared" si="54"/>
        <v/>
      </c>
      <c r="N893" s="4"/>
      <c r="O893" s="4"/>
      <c r="P893" s="4"/>
      <c r="Q893" s="4"/>
      <c r="U893" s="5"/>
      <c r="V893" s="4"/>
      <c r="AG893" t="s">
        <v>933</v>
      </c>
      <c r="AM893" s="1"/>
    </row>
    <row r="894" spans="1:39" x14ac:dyDescent="0.35">
      <c r="A894">
        <v>890</v>
      </c>
      <c r="B894">
        <v>891</v>
      </c>
      <c r="C894">
        <v>146.783841352</v>
      </c>
      <c r="D894">
        <v>-19.134303768999899</v>
      </c>
      <c r="F894" s="64"/>
      <c r="G894" s="64"/>
      <c r="H894" s="64" t="s">
        <v>26</v>
      </c>
      <c r="I894" s="64"/>
      <c r="J894" s="32" t="str">
        <f>IF(AND(E894=1,OR(E893=0,E893="")),MAX(#REF!)+1,IF(AND(E894=1,E893=1),J893,""))</f>
        <v/>
      </c>
      <c r="K894" s="32" t="str">
        <f t="shared" si="55"/>
        <v/>
      </c>
      <c r="L894" s="32" t="str">
        <f t="shared" si="53"/>
        <v/>
      </c>
      <c r="M894" s="32" t="str">
        <f t="shared" si="54"/>
        <v/>
      </c>
      <c r="N894" s="4"/>
      <c r="O894" s="4"/>
      <c r="P894" s="4"/>
      <c r="Q894" s="4"/>
      <c r="U894" s="5"/>
      <c r="V894" s="4"/>
      <c r="AG894" t="s">
        <v>934</v>
      </c>
      <c r="AM894" s="1"/>
    </row>
    <row r="895" spans="1:39" x14ac:dyDescent="0.35">
      <c r="A895">
        <v>891</v>
      </c>
      <c r="B895">
        <v>892</v>
      </c>
      <c r="C895">
        <v>146.78375392500001</v>
      </c>
      <c r="D895">
        <v>-19.134284265000002</v>
      </c>
      <c r="F895" s="64"/>
      <c r="G895" s="64"/>
      <c r="H895" s="64" t="s">
        <v>26</v>
      </c>
      <c r="I895" s="64"/>
      <c r="J895" s="32" t="str">
        <f>IF(AND(E895=1,OR(E894=0,E894="")),MAX(#REF!)+1,IF(AND(E895=1,E894=1),J894,""))</f>
        <v/>
      </c>
      <c r="K895" s="32" t="str">
        <f t="shared" si="55"/>
        <v/>
      </c>
      <c r="L895" s="32" t="str">
        <f t="shared" si="53"/>
        <v/>
      </c>
      <c r="M895" s="32" t="str">
        <f t="shared" si="54"/>
        <v/>
      </c>
      <c r="N895" s="4"/>
      <c r="O895" s="4"/>
      <c r="P895" s="4"/>
      <c r="Q895" s="4"/>
      <c r="U895" s="5"/>
      <c r="V895" s="4"/>
      <c r="AG895" t="s">
        <v>935</v>
      </c>
      <c r="AM895" s="1"/>
    </row>
    <row r="896" spans="1:39" x14ac:dyDescent="0.35">
      <c r="A896">
        <v>892</v>
      </c>
      <c r="B896">
        <v>893</v>
      </c>
      <c r="C896">
        <v>146.783666498</v>
      </c>
      <c r="D896">
        <v>-19.134264760999901</v>
      </c>
      <c r="F896" s="64"/>
      <c r="G896" s="64"/>
      <c r="H896" s="64" t="s">
        <v>26</v>
      </c>
      <c r="I896" s="64"/>
      <c r="J896" s="32" t="str">
        <f>IF(AND(E896=1,OR(E895=0,E895="")),MAX(#REF!)+1,IF(AND(E896=1,E895=1),J895,""))</f>
        <v/>
      </c>
      <c r="K896" s="32" t="str">
        <f t="shared" si="55"/>
        <v/>
      </c>
      <c r="L896" s="32" t="str">
        <f t="shared" si="53"/>
        <v/>
      </c>
      <c r="M896" s="32" t="str">
        <f t="shared" si="54"/>
        <v/>
      </c>
      <c r="N896" s="4"/>
      <c r="O896" s="4"/>
      <c r="P896" s="4"/>
      <c r="Q896" s="4"/>
      <c r="U896" s="5"/>
      <c r="V896" s="4"/>
      <c r="AG896" t="s">
        <v>936</v>
      </c>
      <c r="AM896" s="1"/>
    </row>
    <row r="897" spans="1:39" x14ac:dyDescent="0.35">
      <c r="A897">
        <v>893</v>
      </c>
      <c r="B897">
        <v>894</v>
      </c>
      <c r="C897">
        <v>146.78358020499999</v>
      </c>
      <c r="D897">
        <v>-19.134241457000002</v>
      </c>
      <c r="F897" s="64"/>
      <c r="G897" s="64"/>
      <c r="H897" s="64" t="s">
        <v>26</v>
      </c>
      <c r="I897" s="64"/>
      <c r="J897" s="32" t="str">
        <f>IF(AND(E897=1,OR(E896=0,E896="")),MAX(#REF!)+1,IF(AND(E897=1,E896=1),J896,""))</f>
        <v/>
      </c>
      <c r="K897" s="32" t="str">
        <f t="shared" si="55"/>
        <v/>
      </c>
      <c r="L897" s="32" t="str">
        <f t="shared" si="53"/>
        <v/>
      </c>
      <c r="M897" s="32" t="str">
        <f t="shared" si="54"/>
        <v/>
      </c>
      <c r="N897" s="4"/>
      <c r="O897" s="4"/>
      <c r="P897" s="4"/>
      <c r="Q897" s="4"/>
      <c r="U897" s="5"/>
      <c r="V897" s="4"/>
      <c r="AG897" t="s">
        <v>937</v>
      </c>
      <c r="AM897" s="1"/>
    </row>
    <row r="898" spans="1:39" x14ac:dyDescent="0.35">
      <c r="A898">
        <v>894</v>
      </c>
      <c r="B898">
        <v>895</v>
      </c>
      <c r="C898">
        <v>146.78349487</v>
      </c>
      <c r="D898">
        <v>-19.134214941</v>
      </c>
      <c r="E898">
        <v>50</v>
      </c>
      <c r="F898" s="64"/>
      <c r="G898" s="64"/>
      <c r="H898" s="64" t="s">
        <v>26</v>
      </c>
      <c r="I898" s="64"/>
      <c r="J898" s="32" t="str">
        <f>IF(AND(E898=1,OR(E897=0,E897="")),MAX(#REF!)+1,IF(AND(E898=1,E897=1),J897,""))</f>
        <v/>
      </c>
      <c r="K898" s="32" t="str">
        <f t="shared" si="55"/>
        <v/>
      </c>
      <c r="L898" s="32" t="str">
        <f t="shared" si="53"/>
        <v/>
      </c>
      <c r="M898" s="32" t="str">
        <f t="shared" si="54"/>
        <v/>
      </c>
      <c r="N898" s="4"/>
      <c r="O898" s="4"/>
      <c r="P898" s="4"/>
      <c r="Q898" s="4"/>
      <c r="U898" s="5"/>
      <c r="V898" s="4"/>
      <c r="AG898" t="s">
        <v>938</v>
      </c>
      <c r="AM898" s="1"/>
    </row>
    <row r="899" spans="1:39" x14ac:dyDescent="0.35">
      <c r="A899">
        <v>895</v>
      </c>
      <c r="B899">
        <v>896</v>
      </c>
      <c r="C899">
        <v>146.78340953599999</v>
      </c>
      <c r="D899">
        <v>-19.134188424999898</v>
      </c>
      <c r="F899" s="64"/>
      <c r="G899" s="64"/>
      <c r="H899" s="64" t="s">
        <v>26</v>
      </c>
      <c r="I899" s="64"/>
      <c r="J899" s="32" t="str">
        <f>IF(AND(E899=1,OR(E898=0,E898="")),MAX(#REF!)+1,IF(AND(E899=1,E898=1),J898,""))</f>
        <v/>
      </c>
      <c r="K899" s="32" t="str">
        <f t="shared" si="55"/>
        <v/>
      </c>
      <c r="L899" s="32" t="str">
        <f t="shared" si="53"/>
        <v/>
      </c>
      <c r="M899" s="32" t="str">
        <f t="shared" si="54"/>
        <v/>
      </c>
      <c r="N899" s="4"/>
      <c r="O899" s="4"/>
      <c r="P899" s="4"/>
      <c r="Q899" s="4"/>
      <c r="U899" s="5"/>
      <c r="V899" s="4"/>
      <c r="AG899" t="s">
        <v>939</v>
      </c>
      <c r="AM899" s="1"/>
    </row>
    <row r="900" spans="1:39" x14ac:dyDescent="0.35">
      <c r="A900">
        <v>896</v>
      </c>
      <c r="B900">
        <v>897</v>
      </c>
      <c r="C900">
        <v>146.78336603700001</v>
      </c>
      <c r="D900">
        <v>-19.134117960000001</v>
      </c>
      <c r="F900" s="64"/>
      <c r="G900" s="64"/>
      <c r="H900" s="64" t="s">
        <v>26</v>
      </c>
      <c r="I900" s="64"/>
      <c r="J900" s="32" t="str">
        <f>IF(AND(E900=1,OR(E899=0,E899="")),MAX(#REF!)+1,IF(AND(E900=1,E899=1),J899,""))</f>
        <v/>
      </c>
      <c r="K900" s="32" t="str">
        <f t="shared" si="55"/>
        <v/>
      </c>
      <c r="L900" s="32" t="str">
        <f t="shared" ref="L900:L963" si="56">IF(K900="","",IF(K900&gt;=100,"HV",""))</f>
        <v/>
      </c>
      <c r="M900" s="32" t="str">
        <f t="shared" ref="M900:M963" si="57">IF(K900&lt;&gt;"",K900^2,"")</f>
        <v/>
      </c>
      <c r="N900" s="4"/>
      <c r="O900" s="4"/>
      <c r="P900" s="4"/>
      <c r="Q900" s="4"/>
      <c r="U900" s="5"/>
      <c r="V900" s="4"/>
      <c r="AG900" t="s">
        <v>940</v>
      </c>
      <c r="AM900" s="1"/>
    </row>
    <row r="901" spans="1:39" x14ac:dyDescent="0.35">
      <c r="A901">
        <v>897</v>
      </c>
      <c r="B901">
        <v>898</v>
      </c>
      <c r="C901">
        <v>146.78332546300001</v>
      </c>
      <c r="D901">
        <v>-19.134042485999899</v>
      </c>
      <c r="F901" s="64"/>
      <c r="G901" s="64"/>
      <c r="H901" s="64" t="s">
        <v>26</v>
      </c>
      <c r="I901" s="64"/>
      <c r="J901" s="32" t="str">
        <f>IF(AND(E901=1,OR(E900=0,E900="")),MAX(#REF!)+1,IF(AND(E901=1,E900=1),J900,""))</f>
        <v/>
      </c>
      <c r="K901" s="32" t="str">
        <f t="shared" si="55"/>
        <v/>
      </c>
      <c r="L901" s="32" t="str">
        <f t="shared" si="56"/>
        <v/>
      </c>
      <c r="M901" s="32" t="str">
        <f t="shared" si="57"/>
        <v/>
      </c>
      <c r="N901" s="4"/>
      <c r="O901" s="4"/>
      <c r="P901" s="4"/>
      <c r="Q901" s="4"/>
      <c r="U901" s="5"/>
      <c r="V901" s="4"/>
      <c r="AG901" t="s">
        <v>941</v>
      </c>
      <c r="AM901" s="1"/>
    </row>
    <row r="902" spans="1:39" x14ac:dyDescent="0.35">
      <c r="A902">
        <v>898</v>
      </c>
      <c r="B902">
        <v>899</v>
      </c>
      <c r="C902">
        <v>146.783276134</v>
      </c>
      <c r="D902">
        <v>-19.133971557999899</v>
      </c>
      <c r="F902" s="64"/>
      <c r="G902" s="64"/>
      <c r="H902" s="64" t="s">
        <v>26</v>
      </c>
      <c r="I902" s="64"/>
      <c r="J902" s="32" t="str">
        <f>IF(AND(E902=1,OR(E901=0,E901="")),MAX(#REF!)+1,IF(AND(E902=1,E901=1),J901,""))</f>
        <v/>
      </c>
      <c r="K902" s="32" t="str">
        <f t="shared" si="55"/>
        <v/>
      </c>
      <c r="L902" s="32" t="str">
        <f t="shared" si="56"/>
        <v/>
      </c>
      <c r="M902" s="32" t="str">
        <f t="shared" si="57"/>
        <v/>
      </c>
      <c r="N902" s="4"/>
      <c r="O902" s="4"/>
      <c r="P902" s="4"/>
      <c r="Q902" s="4"/>
      <c r="U902" s="5"/>
      <c r="V902" s="4"/>
      <c r="AG902" t="s">
        <v>942</v>
      </c>
      <c r="AM902" s="1"/>
    </row>
    <row r="903" spans="1:39" x14ac:dyDescent="0.35">
      <c r="A903">
        <v>899</v>
      </c>
      <c r="B903">
        <v>900</v>
      </c>
      <c r="C903">
        <v>146.783209296</v>
      </c>
      <c r="D903">
        <v>-19.133918848</v>
      </c>
      <c r="E903">
        <v>50</v>
      </c>
      <c r="F903" s="64"/>
      <c r="G903" s="64"/>
      <c r="H903" s="64" t="s">
        <v>26</v>
      </c>
      <c r="I903" s="64"/>
      <c r="J903" s="32" t="str">
        <f>IF(AND(E903=1,OR(E902=0,E902="")),MAX(#REF!)+1,IF(AND(E903=1,E902=1),J902,""))</f>
        <v/>
      </c>
      <c r="K903" s="32" t="str">
        <f t="shared" si="55"/>
        <v/>
      </c>
      <c r="L903" s="32" t="str">
        <f t="shared" si="56"/>
        <v/>
      </c>
      <c r="M903" s="32" t="str">
        <f t="shared" si="57"/>
        <v/>
      </c>
      <c r="N903" s="4"/>
      <c r="O903" s="4"/>
      <c r="P903" s="4"/>
      <c r="Q903" s="4"/>
      <c r="U903" s="5"/>
      <c r="V903" s="4"/>
      <c r="AG903" t="s">
        <v>943</v>
      </c>
      <c r="AM903" s="1"/>
    </row>
    <row r="904" spans="1:39" x14ac:dyDescent="0.35">
      <c r="A904">
        <v>900</v>
      </c>
      <c r="B904">
        <v>901</v>
      </c>
      <c r="C904">
        <v>146.78312847999999</v>
      </c>
      <c r="D904">
        <v>-19.133886383999901</v>
      </c>
      <c r="F904" s="64"/>
      <c r="G904" s="64"/>
      <c r="H904" s="64" t="s">
        <v>26</v>
      </c>
      <c r="I904" s="64"/>
      <c r="J904" s="32" t="str">
        <f>IF(AND(E904=1,OR(E903=0,E903="")),MAX(#REF!)+1,IF(AND(E904=1,E903=1),J903,""))</f>
        <v/>
      </c>
      <c r="K904" s="32" t="str">
        <f t="shared" si="55"/>
        <v/>
      </c>
      <c r="L904" s="32" t="str">
        <f t="shared" si="56"/>
        <v/>
      </c>
      <c r="M904" s="32" t="str">
        <f t="shared" si="57"/>
        <v/>
      </c>
      <c r="N904" s="4"/>
      <c r="O904" s="4"/>
      <c r="P904" s="4"/>
      <c r="Q904" s="4"/>
      <c r="U904" s="5"/>
      <c r="V904" s="4"/>
      <c r="AG904" t="s">
        <v>944</v>
      </c>
      <c r="AM904" s="1"/>
    </row>
    <row r="905" spans="1:39" x14ac:dyDescent="0.35">
      <c r="A905">
        <v>901</v>
      </c>
      <c r="B905">
        <v>902</v>
      </c>
      <c r="C905">
        <v>146.78303942100001</v>
      </c>
      <c r="D905">
        <v>-19.133897491999999</v>
      </c>
      <c r="F905" s="64"/>
      <c r="G905" s="64"/>
      <c r="H905" s="64" t="s">
        <v>26</v>
      </c>
      <c r="I905" s="64"/>
      <c r="J905" s="32" t="str">
        <f>IF(AND(E905=1,OR(E904=0,E904="")),MAX(#REF!)+1,IF(AND(E905=1,E904=1),J904,""))</f>
        <v/>
      </c>
      <c r="K905" s="32" t="str">
        <f t="shared" si="55"/>
        <v/>
      </c>
      <c r="L905" s="32" t="str">
        <f t="shared" si="56"/>
        <v/>
      </c>
      <c r="M905" s="32" t="str">
        <f t="shared" si="57"/>
        <v/>
      </c>
      <c r="N905" s="4"/>
      <c r="O905" s="4"/>
      <c r="P905" s="4"/>
      <c r="Q905" s="4"/>
      <c r="U905" s="5"/>
      <c r="V905" s="4"/>
      <c r="AG905" t="s">
        <v>945</v>
      </c>
      <c r="AM905" s="1"/>
    </row>
    <row r="906" spans="1:39" x14ac:dyDescent="0.35">
      <c r="A906">
        <v>902</v>
      </c>
      <c r="B906">
        <v>903</v>
      </c>
      <c r="C906">
        <v>146.78295036200001</v>
      </c>
      <c r="D906">
        <v>-19.133908599999899</v>
      </c>
      <c r="F906" s="64"/>
      <c r="G906" s="64"/>
      <c r="H906" s="64" t="s">
        <v>26</v>
      </c>
      <c r="I906" s="64"/>
      <c r="J906" s="32" t="str">
        <f>IF(AND(E906=1,OR(E905=0,E905="")),MAX(#REF!)+1,IF(AND(E906=1,E905=1),J905,""))</f>
        <v/>
      </c>
      <c r="K906" s="32" t="str">
        <f t="shared" si="55"/>
        <v/>
      </c>
      <c r="L906" s="32" t="str">
        <f t="shared" si="56"/>
        <v/>
      </c>
      <c r="M906" s="32" t="str">
        <f t="shared" si="57"/>
        <v/>
      </c>
      <c r="N906" s="4"/>
      <c r="O906" s="4"/>
      <c r="P906" s="4"/>
      <c r="Q906" s="4"/>
      <c r="U906" s="5"/>
      <c r="V906" s="4"/>
      <c r="AG906" t="s">
        <v>946</v>
      </c>
      <c r="AM906" s="1"/>
    </row>
    <row r="907" spans="1:39" x14ac:dyDescent="0.35">
      <c r="A907">
        <v>903</v>
      </c>
      <c r="B907">
        <v>904</v>
      </c>
      <c r="C907">
        <v>146.78286296100001</v>
      </c>
      <c r="D907">
        <v>-19.133927098000001</v>
      </c>
      <c r="F907" s="64"/>
      <c r="G907" s="64"/>
      <c r="H907" s="64" t="s">
        <v>26</v>
      </c>
      <c r="I907" s="64"/>
      <c r="J907" s="32" t="str">
        <f>IF(AND(E907=1,OR(E906=0,E906="")),MAX(#REF!)+1,IF(AND(E907=1,E906=1),J906,""))</f>
        <v/>
      </c>
      <c r="K907" s="32" t="str">
        <f t="shared" si="55"/>
        <v/>
      </c>
      <c r="L907" s="32" t="str">
        <f t="shared" si="56"/>
        <v/>
      </c>
      <c r="M907" s="32" t="str">
        <f t="shared" si="57"/>
        <v/>
      </c>
      <c r="N907" s="4"/>
      <c r="O907" s="4"/>
      <c r="P907" s="4"/>
      <c r="Q907" s="4"/>
      <c r="U907" s="5"/>
      <c r="V907" s="4"/>
      <c r="AG907" t="s">
        <v>947</v>
      </c>
      <c r="AM907" s="1"/>
    </row>
    <row r="908" spans="1:39" x14ac:dyDescent="0.35">
      <c r="A908">
        <v>904</v>
      </c>
      <c r="B908">
        <v>905</v>
      </c>
      <c r="C908">
        <v>146.78277678800001</v>
      </c>
      <c r="D908">
        <v>-19.133951071999899</v>
      </c>
      <c r="E908">
        <v>50</v>
      </c>
      <c r="F908" s="64"/>
      <c r="G908" s="64"/>
      <c r="H908" s="64" t="s">
        <v>26</v>
      </c>
      <c r="I908" s="64"/>
      <c r="J908" s="32" t="str">
        <f>IF(AND(E908=1,OR(E907=0,E907="")),MAX(#REF!)+1,IF(AND(E908=1,E907=1),J907,""))</f>
        <v/>
      </c>
      <c r="K908" s="32" t="str">
        <f t="shared" si="55"/>
        <v/>
      </c>
      <c r="L908" s="32" t="str">
        <f t="shared" si="56"/>
        <v/>
      </c>
      <c r="M908" s="32" t="str">
        <f t="shared" si="57"/>
        <v/>
      </c>
      <c r="N908" s="4"/>
      <c r="O908" s="4"/>
      <c r="P908" s="4"/>
      <c r="Q908" s="4"/>
      <c r="U908" s="5"/>
      <c r="V908" s="4"/>
      <c r="AG908" t="s">
        <v>948</v>
      </c>
      <c r="AM908" s="1"/>
    </row>
    <row r="909" spans="1:39" x14ac:dyDescent="0.35">
      <c r="A909">
        <v>905</v>
      </c>
      <c r="B909">
        <v>906</v>
      </c>
      <c r="C909">
        <v>146.78269061500001</v>
      </c>
      <c r="D909">
        <v>-19.1339750459999</v>
      </c>
      <c r="F909" s="64"/>
      <c r="G909" s="64"/>
      <c r="H909" s="64" t="s">
        <v>26</v>
      </c>
      <c r="I909" s="64"/>
      <c r="J909" s="32" t="str">
        <f>IF(AND(E909=1,OR(E908=0,E908="")),MAX(#REF!)+1,IF(AND(E909=1,E908=1),J908,""))</f>
        <v/>
      </c>
      <c r="K909" s="32" t="str">
        <f t="shared" si="55"/>
        <v/>
      </c>
      <c r="L909" s="32" t="str">
        <f t="shared" si="56"/>
        <v/>
      </c>
      <c r="M909" s="32" t="str">
        <f t="shared" si="57"/>
        <v/>
      </c>
      <c r="N909" s="4"/>
      <c r="O909" s="4"/>
      <c r="P909" s="4"/>
      <c r="Q909" s="4"/>
      <c r="U909" s="5"/>
      <c r="V909" s="4"/>
      <c r="AG909" t="s">
        <v>949</v>
      </c>
      <c r="AM909" s="1"/>
    </row>
    <row r="910" spans="1:39" x14ac:dyDescent="0.35">
      <c r="A910">
        <v>906</v>
      </c>
      <c r="B910">
        <v>907</v>
      </c>
      <c r="C910">
        <v>146.78260241300001</v>
      </c>
      <c r="D910">
        <v>-19.133988422000002</v>
      </c>
      <c r="F910" s="64"/>
      <c r="G910" s="64"/>
      <c r="H910" s="64" t="s">
        <v>26</v>
      </c>
      <c r="I910" s="64"/>
      <c r="J910" s="32" t="str">
        <f>IF(AND(E910=1,OR(E909=0,E909="")),MAX(#REF!)+1,IF(AND(E910=1,E909=1),J909,""))</f>
        <v/>
      </c>
      <c r="K910" s="32" t="str">
        <f t="shared" si="55"/>
        <v/>
      </c>
      <c r="L910" s="32" t="str">
        <f t="shared" si="56"/>
        <v/>
      </c>
      <c r="M910" s="32" t="str">
        <f t="shared" si="57"/>
        <v/>
      </c>
      <c r="N910" s="4"/>
      <c r="O910" s="4"/>
      <c r="P910" s="4"/>
      <c r="Q910" s="4"/>
      <c r="U910" s="5"/>
      <c r="V910" s="4"/>
      <c r="AG910" t="s">
        <v>950</v>
      </c>
      <c r="AM910" s="1"/>
    </row>
    <row r="911" spans="1:39" x14ac:dyDescent="0.35">
      <c r="A911">
        <v>907</v>
      </c>
      <c r="B911">
        <v>908</v>
      </c>
      <c r="C911">
        <v>146.782512811</v>
      </c>
      <c r="D911">
        <v>-19.1339944929999</v>
      </c>
      <c r="F911" s="64"/>
      <c r="G911" s="64"/>
      <c r="H911" s="64" t="s">
        <v>26</v>
      </c>
      <c r="I911" s="64"/>
      <c r="J911" s="32" t="str">
        <f>IF(AND(E911=1,OR(E910=0,E910="")),MAX(#REF!)+1,IF(AND(E911=1,E910=1),J910,""))</f>
        <v/>
      </c>
      <c r="K911" s="32" t="str">
        <f t="shared" si="55"/>
        <v/>
      </c>
      <c r="L911" s="32" t="str">
        <f t="shared" si="56"/>
        <v/>
      </c>
      <c r="M911" s="32" t="str">
        <f t="shared" si="57"/>
        <v/>
      </c>
      <c r="N911" s="4"/>
      <c r="O911" s="4"/>
      <c r="P911" s="4"/>
      <c r="Q911" s="4"/>
      <c r="U911" s="5"/>
      <c r="V911" s="4"/>
      <c r="AG911" t="s">
        <v>951</v>
      </c>
      <c r="AM911" s="1"/>
    </row>
    <row r="912" spans="1:39" x14ac:dyDescent="0.35">
      <c r="A912">
        <v>908</v>
      </c>
      <c r="B912">
        <v>909</v>
      </c>
      <c r="C912">
        <v>146.78242510699999</v>
      </c>
      <c r="D912">
        <v>-19.133991575</v>
      </c>
      <c r="F912" s="64"/>
      <c r="G912" s="64"/>
      <c r="H912" s="64" t="s">
        <v>26</v>
      </c>
      <c r="I912" s="64"/>
      <c r="J912" s="32" t="str">
        <f>IF(AND(E912=1,OR(E911=0,E911="")),MAX(#REF!)+1,IF(AND(E912=1,E911=1),J911,""))</f>
        <v/>
      </c>
      <c r="K912" s="32" t="str">
        <f t="shared" si="55"/>
        <v/>
      </c>
      <c r="L912" s="32" t="str">
        <f t="shared" si="56"/>
        <v/>
      </c>
      <c r="M912" s="32" t="str">
        <f t="shared" si="57"/>
        <v/>
      </c>
      <c r="N912" s="4"/>
      <c r="O912" s="4"/>
      <c r="P912" s="4"/>
      <c r="Q912" s="4"/>
      <c r="U912" s="5"/>
      <c r="V912" s="4"/>
      <c r="AG912" t="s">
        <v>952</v>
      </c>
      <c r="AM912" s="1"/>
    </row>
    <row r="913" spans="1:39" x14ac:dyDescent="0.35">
      <c r="A913">
        <v>909</v>
      </c>
      <c r="B913">
        <v>910</v>
      </c>
      <c r="C913">
        <v>146.78234481999999</v>
      </c>
      <c r="D913">
        <v>-19.133953505000001</v>
      </c>
      <c r="E913">
        <v>50</v>
      </c>
      <c r="F913" s="64"/>
      <c r="G913" s="64"/>
      <c r="H913" s="64" t="s">
        <v>26</v>
      </c>
      <c r="I913" s="64"/>
      <c r="J913" s="32" t="str">
        <f>IF(AND(E913=1,OR(E912=0,E912="")),MAX(#REF!)+1,IF(AND(E913=1,E912=1),J912,""))</f>
        <v/>
      </c>
      <c r="K913" s="32" t="str">
        <f t="shared" si="55"/>
        <v/>
      </c>
      <c r="L913" s="32" t="str">
        <f t="shared" si="56"/>
        <v/>
      </c>
      <c r="M913" s="32" t="str">
        <f t="shared" si="57"/>
        <v/>
      </c>
      <c r="N913" s="4"/>
      <c r="O913" s="4"/>
      <c r="P913" s="4"/>
      <c r="Q913" s="4"/>
      <c r="U913" s="5"/>
      <c r="V913" s="4"/>
      <c r="AG913" t="s">
        <v>953</v>
      </c>
      <c r="AM913" s="1"/>
    </row>
    <row r="914" spans="1:39" x14ac:dyDescent="0.35">
      <c r="A914">
        <v>910</v>
      </c>
      <c r="B914">
        <v>911</v>
      </c>
      <c r="C914">
        <v>146.78226453299999</v>
      </c>
      <c r="D914">
        <v>-19.133915435999899</v>
      </c>
      <c r="F914" s="64"/>
      <c r="G914" s="64"/>
      <c r="H914" s="64" t="s">
        <v>26</v>
      </c>
      <c r="I914" s="64"/>
      <c r="J914" s="32" t="str">
        <f>IF(AND(E914=1,OR(E913=0,E913="")),MAX(#REF!)+1,IF(AND(E914=1,E913=1),J913,""))</f>
        <v/>
      </c>
      <c r="K914" s="32" t="str">
        <f t="shared" si="55"/>
        <v/>
      </c>
      <c r="L914" s="32" t="str">
        <f t="shared" si="56"/>
        <v/>
      </c>
      <c r="M914" s="32" t="str">
        <f t="shared" si="57"/>
        <v/>
      </c>
      <c r="N914" s="4"/>
      <c r="O914" s="4"/>
      <c r="P914" s="4"/>
      <c r="Q914" s="4"/>
      <c r="U914" s="5"/>
      <c r="V914" s="4"/>
      <c r="AG914" t="s">
        <v>954</v>
      </c>
      <c r="AM914" s="1"/>
    </row>
    <row r="915" spans="1:39" x14ac:dyDescent="0.35">
      <c r="A915">
        <v>911</v>
      </c>
      <c r="B915">
        <v>912</v>
      </c>
      <c r="C915">
        <v>146.782184247</v>
      </c>
      <c r="D915">
        <v>-19.133877366</v>
      </c>
      <c r="F915" s="64"/>
      <c r="G915" s="64"/>
      <c r="H915" s="64" t="s">
        <v>26</v>
      </c>
      <c r="I915" s="64"/>
      <c r="J915" s="32" t="str">
        <f>IF(AND(E915=1,OR(E914=0,E914="")),MAX(#REF!)+1,IF(AND(E915=1,E914=1),J914,""))</f>
        <v/>
      </c>
      <c r="K915" s="32" t="str">
        <f t="shared" si="55"/>
        <v/>
      </c>
      <c r="L915" s="32" t="str">
        <f t="shared" si="56"/>
        <v/>
      </c>
      <c r="M915" s="32" t="str">
        <f t="shared" si="57"/>
        <v/>
      </c>
      <c r="N915" s="4"/>
      <c r="O915" s="4"/>
      <c r="P915" s="4"/>
      <c r="Q915" s="4"/>
      <c r="U915" s="5"/>
      <c r="V915" s="4"/>
      <c r="AG915" t="s">
        <v>955</v>
      </c>
      <c r="AM915" s="1"/>
    </row>
    <row r="916" spans="1:39" x14ac:dyDescent="0.35">
      <c r="A916">
        <v>912</v>
      </c>
      <c r="B916">
        <v>913</v>
      </c>
      <c r="C916">
        <v>146.782142454</v>
      </c>
      <c r="D916">
        <v>-19.133805703999901</v>
      </c>
      <c r="F916" s="64"/>
      <c r="G916" s="64"/>
      <c r="H916" s="64" t="s">
        <v>26</v>
      </c>
      <c r="I916" s="64"/>
      <c r="J916" s="32" t="str">
        <f>IF(AND(E916=1,OR(E915=0,E915="")),MAX(#REF!)+1,IF(AND(E916=1,E915=1),J915,""))</f>
        <v/>
      </c>
      <c r="K916" s="32" t="str">
        <f t="shared" si="55"/>
        <v/>
      </c>
      <c r="L916" s="32" t="str">
        <f t="shared" si="56"/>
        <v/>
      </c>
      <c r="M916" s="32" t="str">
        <f t="shared" si="57"/>
        <v/>
      </c>
      <c r="N916" s="4"/>
      <c r="O916" s="4"/>
      <c r="P916" s="4"/>
      <c r="Q916" s="4"/>
      <c r="U916" s="5"/>
      <c r="V916" s="4"/>
      <c r="AG916" t="s">
        <v>956</v>
      </c>
      <c r="AM916" s="1"/>
    </row>
    <row r="917" spans="1:39" x14ac:dyDescent="0.35">
      <c r="A917">
        <v>913</v>
      </c>
      <c r="B917">
        <v>914</v>
      </c>
      <c r="C917">
        <v>146.782108644</v>
      </c>
      <c r="D917">
        <v>-19.133727074999999</v>
      </c>
      <c r="F917" s="64"/>
      <c r="G917" s="64"/>
      <c r="H917" s="64" t="s">
        <v>26</v>
      </c>
      <c r="I917" s="64"/>
      <c r="J917" s="32" t="str">
        <f>IF(AND(E917=1,OR(E916=0,E916="")),MAX(#REF!)+1,IF(AND(E917=1,E916=1),J916,""))</f>
        <v/>
      </c>
      <c r="K917" s="32" t="str">
        <f t="shared" si="55"/>
        <v/>
      </c>
      <c r="L917" s="32" t="str">
        <f t="shared" si="56"/>
        <v/>
      </c>
      <c r="M917" s="32" t="str">
        <f t="shared" si="57"/>
        <v/>
      </c>
      <c r="N917" s="4"/>
      <c r="O917" s="4"/>
      <c r="P917" s="4"/>
      <c r="Q917" s="4"/>
      <c r="U917" s="5"/>
      <c r="V917" s="4"/>
      <c r="AG917" t="s">
        <v>957</v>
      </c>
      <c r="AM917" s="1"/>
    </row>
    <row r="918" spans="1:39" x14ac:dyDescent="0.35">
      <c r="A918">
        <v>914</v>
      </c>
      <c r="B918">
        <v>915</v>
      </c>
      <c r="C918">
        <v>146.78208013599999</v>
      </c>
      <c r="D918">
        <v>-19.133647018000001</v>
      </c>
      <c r="E918">
        <v>50</v>
      </c>
      <c r="F918" s="64"/>
      <c r="G918" s="64"/>
      <c r="H918" s="64" t="s">
        <v>26</v>
      </c>
      <c r="I918" s="64"/>
      <c r="J918" s="32" t="str">
        <f>IF(AND(E918=1,OR(E917=0,E917="")),MAX(#REF!)+1,IF(AND(E918=1,E917=1),J917,""))</f>
        <v/>
      </c>
      <c r="K918" s="32" t="str">
        <f t="shared" si="55"/>
        <v/>
      </c>
      <c r="L918" s="32" t="str">
        <f t="shared" si="56"/>
        <v/>
      </c>
      <c r="M918" s="32" t="str">
        <f t="shared" si="57"/>
        <v/>
      </c>
      <c r="N918" s="4"/>
      <c r="O918" s="4"/>
      <c r="P918" s="4"/>
      <c r="Q918" s="4"/>
      <c r="U918" s="5"/>
      <c r="V918" s="4"/>
      <c r="AG918" t="s">
        <v>958</v>
      </c>
      <c r="AM918" s="1"/>
    </row>
    <row r="919" spans="1:39" x14ac:dyDescent="0.35">
      <c r="A919">
        <v>915</v>
      </c>
      <c r="B919">
        <v>916</v>
      </c>
      <c r="C919">
        <v>146.782064951</v>
      </c>
      <c r="D919">
        <v>-19.133563371000001</v>
      </c>
      <c r="F919" s="64"/>
      <c r="G919" s="64"/>
      <c r="H919" s="64" t="s">
        <v>26</v>
      </c>
      <c r="I919" s="64"/>
      <c r="J919" s="32" t="str">
        <f>IF(AND(E919=1,OR(E918=0,E918="")),MAX(#REF!)+1,IF(AND(E919=1,E918=1),J918,""))</f>
        <v/>
      </c>
      <c r="K919" s="32" t="str">
        <f t="shared" si="55"/>
        <v/>
      </c>
      <c r="L919" s="32" t="str">
        <f t="shared" si="56"/>
        <v/>
      </c>
      <c r="M919" s="32" t="str">
        <f t="shared" si="57"/>
        <v/>
      </c>
      <c r="N919" s="4"/>
      <c r="O919" s="4"/>
      <c r="P919" s="4"/>
      <c r="Q919" s="4"/>
      <c r="U919" s="5"/>
      <c r="V919" s="4"/>
      <c r="AG919" t="s">
        <v>959</v>
      </c>
      <c r="AM919" s="1"/>
    </row>
    <row r="920" spans="1:39" x14ac:dyDescent="0.35">
      <c r="A920">
        <v>916</v>
      </c>
      <c r="B920">
        <v>917</v>
      </c>
      <c r="C920">
        <v>146.78204976699999</v>
      </c>
      <c r="D920">
        <v>-19.133479722999901</v>
      </c>
      <c r="F920" s="64"/>
      <c r="G920" s="64"/>
      <c r="H920" s="64" t="s">
        <v>26</v>
      </c>
      <c r="I920" s="64"/>
      <c r="J920" s="32" t="str">
        <f>IF(AND(E920=1,OR(E919=0,E919="")),MAX(#REF!)+1,IF(AND(E920=1,E919=1),J919,""))</f>
        <v/>
      </c>
      <c r="K920" s="32" t="str">
        <f t="shared" si="55"/>
        <v/>
      </c>
      <c r="L920" s="32" t="str">
        <f t="shared" si="56"/>
        <v/>
      </c>
      <c r="M920" s="32" t="str">
        <f t="shared" si="57"/>
        <v/>
      </c>
      <c r="N920" s="4"/>
      <c r="O920" s="4"/>
      <c r="P920" s="4"/>
      <c r="Q920" s="4"/>
      <c r="U920" s="5"/>
      <c r="V920" s="4"/>
      <c r="AG920" t="s">
        <v>960</v>
      </c>
      <c r="AM920" s="1"/>
    </row>
    <row r="921" spans="1:39" x14ac:dyDescent="0.35">
      <c r="A921">
        <v>917</v>
      </c>
      <c r="B921">
        <v>918</v>
      </c>
      <c r="C921">
        <v>146.78203458300001</v>
      </c>
      <c r="D921">
        <v>-19.133396075</v>
      </c>
      <c r="F921" s="64"/>
      <c r="G921" s="64"/>
      <c r="H921" s="64" t="s">
        <v>26</v>
      </c>
      <c r="I921" s="64"/>
      <c r="J921" s="32" t="str">
        <f>IF(AND(E921=1,OR(E920=0,E920="")),MAX(#REF!)+1,IF(AND(E921=1,E920=1),J920,""))</f>
        <v/>
      </c>
      <c r="K921" s="32" t="str">
        <f t="shared" si="55"/>
        <v/>
      </c>
      <c r="L921" s="32" t="str">
        <f t="shared" si="56"/>
        <v/>
      </c>
      <c r="M921" s="32" t="str">
        <f t="shared" si="57"/>
        <v/>
      </c>
      <c r="N921" s="4"/>
      <c r="O921" s="4"/>
      <c r="P921" s="4"/>
      <c r="Q921" s="4"/>
      <c r="U921" s="5"/>
      <c r="V921" s="4"/>
      <c r="AG921" t="s">
        <v>961</v>
      </c>
      <c r="AM921" s="1"/>
    </row>
    <row r="922" spans="1:39" x14ac:dyDescent="0.35">
      <c r="A922">
        <v>918</v>
      </c>
      <c r="B922">
        <v>919</v>
      </c>
      <c r="C922">
        <v>146.782030279</v>
      </c>
      <c r="D922">
        <v>-19.133311857999999</v>
      </c>
      <c r="F922" s="64"/>
      <c r="G922" s="64"/>
      <c r="H922" s="64" t="s">
        <v>26</v>
      </c>
      <c r="I922" s="64"/>
      <c r="J922" s="32" t="str">
        <f>IF(AND(E922=1,OR(E921=0,E921="")),MAX(#REF!)+1,IF(AND(E922=1,E921=1),J921,""))</f>
        <v/>
      </c>
      <c r="K922" s="32" t="str">
        <f t="shared" si="55"/>
        <v/>
      </c>
      <c r="L922" s="32" t="str">
        <f t="shared" si="56"/>
        <v/>
      </c>
      <c r="M922" s="32" t="str">
        <f t="shared" si="57"/>
        <v/>
      </c>
      <c r="N922" s="4"/>
      <c r="O922" s="4"/>
      <c r="P922" s="4"/>
      <c r="Q922" s="4"/>
      <c r="U922" s="5"/>
      <c r="V922" s="4"/>
      <c r="AG922" t="s">
        <v>962</v>
      </c>
      <c r="AM922" s="1"/>
    </row>
    <row r="923" spans="1:39" x14ac:dyDescent="0.35">
      <c r="A923">
        <v>919</v>
      </c>
      <c r="B923">
        <v>920</v>
      </c>
      <c r="C923">
        <v>146.78203559299999</v>
      </c>
      <c r="D923">
        <v>-19.133227136999899</v>
      </c>
      <c r="E923">
        <v>50</v>
      </c>
      <c r="F923" s="64"/>
      <c r="G923" s="64"/>
      <c r="H923" s="64" t="s">
        <v>26</v>
      </c>
      <c r="I923" s="64"/>
      <c r="J923" s="32" t="str">
        <f>IF(AND(E923=1,OR(E922=0,E922="")),MAX(#REF!)+1,IF(AND(E923=1,E922=1),J922,""))</f>
        <v/>
      </c>
      <c r="K923" s="32" t="str">
        <f t="shared" si="55"/>
        <v/>
      </c>
      <c r="L923" s="32" t="str">
        <f t="shared" si="56"/>
        <v/>
      </c>
      <c r="M923" s="32" t="str">
        <f t="shared" si="57"/>
        <v/>
      </c>
      <c r="N923" s="4"/>
      <c r="O923" s="4"/>
      <c r="P923" s="4"/>
      <c r="Q923" s="4"/>
      <c r="U923" s="5"/>
      <c r="V923" s="4"/>
      <c r="AG923" t="s">
        <v>963</v>
      </c>
      <c r="AM923" s="1"/>
    </row>
    <row r="924" spans="1:39" x14ac:dyDescent="0.35">
      <c r="A924">
        <v>920</v>
      </c>
      <c r="B924">
        <v>921</v>
      </c>
      <c r="C924">
        <v>146.782040908</v>
      </c>
      <c r="D924">
        <v>-19.133142416999899</v>
      </c>
      <c r="F924" s="64"/>
      <c r="G924" s="64"/>
      <c r="H924" s="64" t="s">
        <v>26</v>
      </c>
      <c r="I924" s="64"/>
      <c r="J924" s="32" t="str">
        <f>IF(AND(E924=1,OR(E923=0,E923="")),MAX(#REF!)+1,IF(AND(E924=1,E923=1),J923,""))</f>
        <v/>
      </c>
      <c r="K924" s="32" t="str">
        <f t="shared" si="55"/>
        <v/>
      </c>
      <c r="L924" s="32" t="str">
        <f t="shared" si="56"/>
        <v/>
      </c>
      <c r="M924" s="32" t="str">
        <f t="shared" si="57"/>
        <v/>
      </c>
      <c r="N924" s="4"/>
      <c r="O924" s="4"/>
      <c r="P924" s="4"/>
      <c r="Q924" s="4"/>
      <c r="U924" s="5"/>
      <c r="V924" s="4"/>
      <c r="AG924" t="s">
        <v>964</v>
      </c>
      <c r="AM924" s="1"/>
    </row>
    <row r="925" spans="1:39" x14ac:dyDescent="0.35">
      <c r="A925">
        <v>921</v>
      </c>
      <c r="B925">
        <v>922</v>
      </c>
      <c r="C925">
        <v>146.78204622199999</v>
      </c>
      <c r="D925">
        <v>-19.133057696000002</v>
      </c>
      <c r="F925" s="64"/>
      <c r="G925" s="64"/>
      <c r="H925" s="64" t="s">
        <v>26</v>
      </c>
      <c r="I925" s="64"/>
      <c r="J925" s="32" t="str">
        <f>IF(AND(E925=1,OR(E924=0,E924="")),MAX(#REF!)+1,IF(AND(E925=1,E924=1),J924,""))</f>
        <v/>
      </c>
      <c r="K925" s="32" t="str">
        <f t="shared" si="55"/>
        <v/>
      </c>
      <c r="L925" s="32" t="str">
        <f t="shared" si="56"/>
        <v/>
      </c>
      <c r="M925" s="32" t="str">
        <f t="shared" si="57"/>
        <v/>
      </c>
      <c r="N925" s="4"/>
      <c r="O925" s="4"/>
      <c r="P925" s="4"/>
      <c r="Q925" s="4"/>
      <c r="U925" s="5"/>
      <c r="V925" s="4"/>
      <c r="AG925" t="s">
        <v>965</v>
      </c>
      <c r="AM925" s="1"/>
    </row>
    <row r="926" spans="1:39" x14ac:dyDescent="0.35">
      <c r="A926">
        <v>922</v>
      </c>
      <c r="B926">
        <v>923</v>
      </c>
      <c r="C926">
        <v>146.78205153600001</v>
      </c>
      <c r="D926">
        <v>-19.132972976000001</v>
      </c>
      <c r="F926" s="64"/>
      <c r="G926" s="64"/>
      <c r="H926" s="64" t="s">
        <v>26</v>
      </c>
      <c r="I926" s="64"/>
      <c r="J926" s="32" t="str">
        <f>IF(AND(E926=1,OR(E925=0,E925="")),MAX(#REF!)+1,IF(AND(E926=1,E925=1),J925,""))</f>
        <v/>
      </c>
      <c r="K926" s="32" t="str">
        <f t="shared" si="55"/>
        <v/>
      </c>
      <c r="L926" s="32" t="str">
        <f t="shared" si="56"/>
        <v/>
      </c>
      <c r="M926" s="32" t="str">
        <f t="shared" si="57"/>
        <v/>
      </c>
      <c r="N926" s="4"/>
      <c r="O926" s="4"/>
      <c r="P926" s="4"/>
      <c r="Q926" s="4"/>
      <c r="U926" s="5"/>
      <c r="V926" s="4"/>
      <c r="AG926" t="s">
        <v>966</v>
      </c>
      <c r="AM926" s="1"/>
    </row>
    <row r="927" spans="1:39" x14ac:dyDescent="0.35">
      <c r="A927">
        <v>923</v>
      </c>
      <c r="B927">
        <v>924</v>
      </c>
      <c r="C927">
        <v>146.78205685099999</v>
      </c>
      <c r="D927">
        <v>-19.132888255000001</v>
      </c>
      <c r="F927" s="64"/>
      <c r="G927" s="64"/>
      <c r="H927" s="64" t="s">
        <v>26</v>
      </c>
      <c r="I927" s="64"/>
      <c r="J927" s="32" t="str">
        <f>IF(AND(E927=1,OR(E926=0,E926="")),MAX(#REF!)+1,IF(AND(E927=1,E926=1),J926,""))</f>
        <v/>
      </c>
      <c r="K927" s="32" t="str">
        <f t="shared" ref="K927:K990" si="58">IF(J927="","",COUNTIF(J:J,J927)*10)</f>
        <v/>
      </c>
      <c r="L927" s="32" t="str">
        <f t="shared" si="56"/>
        <v/>
      </c>
      <c r="M927" s="32" t="str">
        <f t="shared" si="57"/>
        <v/>
      </c>
      <c r="N927" s="4"/>
      <c r="O927" s="4"/>
      <c r="P927" s="4"/>
      <c r="Q927" s="4"/>
      <c r="U927" s="5"/>
      <c r="V927" s="4"/>
      <c r="AG927" t="s">
        <v>967</v>
      </c>
      <c r="AM927" s="1"/>
    </row>
    <row r="928" spans="1:39" x14ac:dyDescent="0.35">
      <c r="A928">
        <v>924</v>
      </c>
      <c r="B928">
        <v>925</v>
      </c>
      <c r="C928">
        <v>146.78206216500001</v>
      </c>
      <c r="D928">
        <v>-19.132803533999901</v>
      </c>
      <c r="E928">
        <v>50</v>
      </c>
      <c r="F928" s="64"/>
      <c r="G928" s="64"/>
      <c r="H928" s="64" t="s">
        <v>26</v>
      </c>
      <c r="I928" s="64"/>
      <c r="J928" s="32" t="str">
        <f>IF(AND(E928=1,OR(E927=0,E927="")),MAX(#REF!)+1,IF(AND(E928=1,E927=1),J927,""))</f>
        <v/>
      </c>
      <c r="K928" s="32" t="str">
        <f t="shared" si="58"/>
        <v/>
      </c>
      <c r="L928" s="32" t="str">
        <f t="shared" si="56"/>
        <v/>
      </c>
      <c r="M928" s="32" t="str">
        <f t="shared" si="57"/>
        <v/>
      </c>
      <c r="N928" s="4"/>
      <c r="O928" s="4"/>
      <c r="P928" s="4"/>
      <c r="Q928" s="4"/>
      <c r="U928" s="5"/>
      <c r="V928" s="4"/>
      <c r="AG928" t="s">
        <v>968</v>
      </c>
      <c r="AM928" s="1"/>
    </row>
    <row r="929" spans="1:39" x14ac:dyDescent="0.35">
      <c r="A929">
        <v>925</v>
      </c>
      <c r="B929">
        <v>926</v>
      </c>
      <c r="C929">
        <v>146.78206747900001</v>
      </c>
      <c r="D929">
        <v>-19.132718813999901</v>
      </c>
      <c r="F929" s="64"/>
      <c r="G929" s="64"/>
      <c r="H929" s="64" t="s">
        <v>26</v>
      </c>
      <c r="I929" s="64"/>
      <c r="J929" s="32" t="str">
        <f>IF(AND(E929=1,OR(E928=0,E928="")),MAX(#REF!)+1,IF(AND(E929=1,E928=1),J928,""))</f>
        <v/>
      </c>
      <c r="K929" s="32" t="str">
        <f t="shared" si="58"/>
        <v/>
      </c>
      <c r="L929" s="32" t="str">
        <f t="shared" si="56"/>
        <v/>
      </c>
      <c r="M929" s="32" t="str">
        <f t="shared" si="57"/>
        <v/>
      </c>
      <c r="N929" s="4"/>
      <c r="O929" s="4"/>
      <c r="P929" s="4"/>
      <c r="Q929" s="4"/>
      <c r="U929" s="5"/>
      <c r="V929" s="4"/>
      <c r="AG929" t="s">
        <v>969</v>
      </c>
      <c r="AM929" s="1"/>
    </row>
    <row r="930" spans="1:39" x14ac:dyDescent="0.35">
      <c r="A930">
        <v>926</v>
      </c>
      <c r="B930">
        <v>927</v>
      </c>
      <c r="C930">
        <v>146.78205706599999</v>
      </c>
      <c r="D930">
        <v>-19.132636239</v>
      </c>
      <c r="F930" s="64"/>
      <c r="G930" s="64"/>
      <c r="H930" s="64" t="s">
        <v>26</v>
      </c>
      <c r="I930" s="64"/>
      <c r="J930" s="32" t="str">
        <f>IF(AND(E930=1,OR(E929=0,E929="")),MAX(#REF!)+1,IF(AND(E930=1,E929=1),J929,""))</f>
        <v/>
      </c>
      <c r="K930" s="32" t="str">
        <f t="shared" si="58"/>
        <v/>
      </c>
      <c r="L930" s="32" t="str">
        <f t="shared" si="56"/>
        <v/>
      </c>
      <c r="M930" s="32" t="str">
        <f t="shared" si="57"/>
        <v/>
      </c>
      <c r="N930" s="4"/>
      <c r="O930" s="4"/>
      <c r="P930" s="4"/>
      <c r="Q930" s="4"/>
      <c r="U930" s="5"/>
      <c r="V930" s="4"/>
      <c r="AG930" t="s">
        <v>970</v>
      </c>
      <c r="AM930" s="1"/>
    </row>
    <row r="931" spans="1:39" x14ac:dyDescent="0.35">
      <c r="A931">
        <v>927</v>
      </c>
      <c r="B931">
        <v>928</v>
      </c>
      <c r="C931">
        <v>146.782026594</v>
      </c>
      <c r="D931">
        <v>-19.132556400999899</v>
      </c>
      <c r="F931" s="64"/>
      <c r="G931" s="64"/>
      <c r="H931" s="64" t="s">
        <v>26</v>
      </c>
      <c r="I931" s="64"/>
      <c r="J931" s="32" t="str">
        <f>IF(AND(E931=1,OR(E930=0,E930="")),MAX(#REF!)+1,IF(AND(E931=1,E930=1),J930,""))</f>
        <v/>
      </c>
      <c r="K931" s="32" t="str">
        <f t="shared" si="58"/>
        <v/>
      </c>
      <c r="L931" s="32" t="str">
        <f t="shared" si="56"/>
        <v/>
      </c>
      <c r="M931" s="32" t="str">
        <f t="shared" si="57"/>
        <v/>
      </c>
      <c r="N931" s="4"/>
      <c r="O931" s="4"/>
      <c r="P931" s="4"/>
      <c r="Q931" s="4"/>
      <c r="U931" s="5"/>
      <c r="V931" s="4"/>
      <c r="AG931" t="s">
        <v>971</v>
      </c>
      <c r="AM931" s="1"/>
    </row>
    <row r="932" spans="1:39" x14ac:dyDescent="0.35">
      <c r="A932">
        <v>928</v>
      </c>
      <c r="B932">
        <v>929</v>
      </c>
      <c r="C932">
        <v>146.781996123</v>
      </c>
      <c r="D932">
        <v>-19.132476563000001</v>
      </c>
      <c r="F932" s="64"/>
      <c r="G932" s="64"/>
      <c r="H932" s="64" t="s">
        <v>26</v>
      </c>
      <c r="I932" s="64"/>
      <c r="J932" s="32" t="str">
        <f>IF(AND(E932=1,OR(E931=0,E931="")),MAX(#REF!)+1,IF(AND(E932=1,E931=1),J931,""))</f>
        <v/>
      </c>
      <c r="K932" s="32" t="str">
        <f t="shared" si="58"/>
        <v/>
      </c>
      <c r="L932" s="32" t="str">
        <f t="shared" si="56"/>
        <v/>
      </c>
      <c r="M932" s="32" t="str">
        <f t="shared" si="57"/>
        <v/>
      </c>
      <c r="N932" s="4"/>
      <c r="O932" s="4"/>
      <c r="P932" s="4"/>
      <c r="Q932" s="4"/>
      <c r="U932" s="5"/>
      <c r="V932" s="4"/>
      <c r="AG932" t="s">
        <v>972</v>
      </c>
      <c r="AM932" s="1"/>
    </row>
    <row r="933" spans="1:39" x14ac:dyDescent="0.35">
      <c r="A933">
        <v>929</v>
      </c>
      <c r="B933">
        <v>930</v>
      </c>
      <c r="C933">
        <v>146.781965652</v>
      </c>
      <c r="D933">
        <v>-19.132396726</v>
      </c>
      <c r="E933">
        <v>50</v>
      </c>
      <c r="F933" s="64"/>
      <c r="G933" s="64"/>
      <c r="H933" s="64" t="s">
        <v>26</v>
      </c>
      <c r="I933" s="64"/>
      <c r="J933" s="32" t="str">
        <f>IF(AND(E933=1,OR(E932=0,E932="")),MAX(#REF!)+1,IF(AND(E933=1,E932=1),J932,""))</f>
        <v/>
      </c>
      <c r="K933" s="32" t="str">
        <f t="shared" si="58"/>
        <v/>
      </c>
      <c r="L933" s="32" t="str">
        <f t="shared" si="56"/>
        <v/>
      </c>
      <c r="M933" s="32" t="str">
        <f t="shared" si="57"/>
        <v/>
      </c>
      <c r="N933" s="4"/>
      <c r="O933" s="4"/>
      <c r="P933" s="4"/>
      <c r="Q933" s="4"/>
      <c r="U933" s="5"/>
      <c r="V933" s="4"/>
      <c r="AG933" t="s">
        <v>973</v>
      </c>
      <c r="AM933" s="1"/>
    </row>
    <row r="934" spans="1:39" x14ac:dyDescent="0.35">
      <c r="A934">
        <v>930</v>
      </c>
      <c r="B934">
        <v>931</v>
      </c>
      <c r="C934">
        <v>146.78190757799999</v>
      </c>
      <c r="D934">
        <v>-19.1323358339999</v>
      </c>
      <c r="F934" s="64"/>
      <c r="G934" s="64"/>
      <c r="H934" s="64" t="s">
        <v>26</v>
      </c>
      <c r="I934" s="64"/>
      <c r="J934" s="32" t="str">
        <f>IF(AND(E934=1,OR(E933=0,E933="")),MAX(#REF!)+1,IF(AND(E934=1,E933=1),J933,""))</f>
        <v/>
      </c>
      <c r="K934" s="32" t="str">
        <f t="shared" si="58"/>
        <v/>
      </c>
      <c r="L934" s="32" t="str">
        <f t="shared" si="56"/>
        <v/>
      </c>
      <c r="M934" s="32" t="str">
        <f t="shared" si="57"/>
        <v/>
      </c>
      <c r="N934" s="4"/>
      <c r="O934" s="4"/>
      <c r="P934" s="4"/>
      <c r="Q934" s="4"/>
      <c r="U934" s="5"/>
      <c r="V934" s="4"/>
      <c r="AG934" t="s">
        <v>974</v>
      </c>
      <c r="AM934" s="1"/>
    </row>
    <row r="935" spans="1:39" x14ac:dyDescent="0.35">
      <c r="A935">
        <v>931</v>
      </c>
      <c r="B935">
        <v>932</v>
      </c>
      <c r="C935">
        <v>146.781836626</v>
      </c>
      <c r="D935">
        <v>-19.132283780000002</v>
      </c>
      <c r="F935" s="64"/>
      <c r="G935" s="64"/>
      <c r="H935" s="64" t="s">
        <v>26</v>
      </c>
      <c r="I935" s="64"/>
      <c r="J935" s="32" t="str">
        <f>IF(AND(E935=1,OR(E934=0,E934="")),MAX(#REF!)+1,IF(AND(E935=1,E934=1),J934,""))</f>
        <v/>
      </c>
      <c r="K935" s="32" t="str">
        <f t="shared" si="58"/>
        <v/>
      </c>
      <c r="L935" s="32" t="str">
        <f t="shared" si="56"/>
        <v/>
      </c>
      <c r="M935" s="32" t="str">
        <f t="shared" si="57"/>
        <v/>
      </c>
      <c r="N935" s="4"/>
      <c r="O935" s="4"/>
      <c r="P935" s="4"/>
      <c r="Q935" s="4"/>
      <c r="U935" s="5"/>
      <c r="V935" s="4"/>
      <c r="AG935" t="s">
        <v>975</v>
      </c>
      <c r="AM935" s="1"/>
    </row>
    <row r="936" spans="1:39" x14ac:dyDescent="0.35">
      <c r="A936">
        <v>932</v>
      </c>
      <c r="B936">
        <v>933</v>
      </c>
      <c r="C936">
        <v>146.781765675</v>
      </c>
      <c r="D936">
        <v>-19.132231727000001</v>
      </c>
      <c r="F936" s="64"/>
      <c r="G936" s="64"/>
      <c r="H936" s="64" t="s">
        <v>26</v>
      </c>
      <c r="I936" s="64"/>
      <c r="J936" s="32" t="str">
        <f>IF(AND(E936=1,OR(E935=0,E935="")),MAX(#REF!)+1,IF(AND(E936=1,E935=1),J935,""))</f>
        <v/>
      </c>
      <c r="K936" s="32" t="str">
        <f t="shared" si="58"/>
        <v/>
      </c>
      <c r="L936" s="32" t="str">
        <f t="shared" si="56"/>
        <v/>
      </c>
      <c r="M936" s="32" t="str">
        <f t="shared" si="57"/>
        <v/>
      </c>
      <c r="N936" s="4"/>
      <c r="O936" s="4"/>
      <c r="P936" s="4"/>
      <c r="Q936" s="4"/>
      <c r="U936" s="5"/>
      <c r="V936" s="4"/>
      <c r="AG936" t="s">
        <v>976</v>
      </c>
      <c r="AM936" s="1"/>
    </row>
    <row r="937" spans="1:39" x14ac:dyDescent="0.35">
      <c r="A937">
        <v>933</v>
      </c>
      <c r="B937">
        <v>934</v>
      </c>
      <c r="C937">
        <v>146.781692206</v>
      </c>
      <c r="D937">
        <v>-19.132182976999999</v>
      </c>
      <c r="F937" s="64"/>
      <c r="G937" s="64"/>
      <c r="H937" s="64" t="s">
        <v>26</v>
      </c>
      <c r="I937" s="64"/>
      <c r="J937" s="32" t="str">
        <f>IF(AND(E937=1,OR(E936=0,E936="")),MAX(#REF!)+1,IF(AND(E937=1,E936=1),J936,""))</f>
        <v/>
      </c>
      <c r="K937" s="32" t="str">
        <f t="shared" si="58"/>
        <v/>
      </c>
      <c r="L937" s="32" t="str">
        <f t="shared" si="56"/>
        <v/>
      </c>
      <c r="M937" s="32" t="str">
        <f t="shared" si="57"/>
        <v/>
      </c>
      <c r="N937" s="4"/>
      <c r="O937" s="4"/>
      <c r="P937" s="4"/>
      <c r="Q937" s="4"/>
      <c r="U937" s="5"/>
      <c r="V937" s="4"/>
      <c r="AG937" t="s">
        <v>977</v>
      </c>
      <c r="AM937" s="1"/>
    </row>
    <row r="938" spans="1:39" x14ac:dyDescent="0.35">
      <c r="A938">
        <v>934</v>
      </c>
      <c r="B938">
        <v>935</v>
      </c>
      <c r="C938">
        <v>146.78161747199999</v>
      </c>
      <c r="D938">
        <v>-19.132135884</v>
      </c>
      <c r="E938">
        <v>50</v>
      </c>
      <c r="F938" s="64"/>
      <c r="G938" s="64"/>
      <c r="H938" s="64" t="s">
        <v>26</v>
      </c>
      <c r="I938" s="64"/>
      <c r="J938" s="32" t="str">
        <f>IF(AND(E938=1,OR(E937=0,E937="")),MAX(#REF!)+1,IF(AND(E938=1,E937=1),J937,""))</f>
        <v/>
      </c>
      <c r="K938" s="32" t="str">
        <f t="shared" si="58"/>
        <v/>
      </c>
      <c r="L938" s="32" t="str">
        <f t="shared" si="56"/>
        <v/>
      </c>
      <c r="M938" s="32" t="str">
        <f t="shared" si="57"/>
        <v/>
      </c>
      <c r="N938" s="4"/>
      <c r="O938" s="4"/>
      <c r="P938" s="4"/>
      <c r="Q938" s="4"/>
      <c r="U938" s="5"/>
      <c r="V938" s="4"/>
      <c r="AG938" t="s">
        <v>978</v>
      </c>
      <c r="AM938" s="1"/>
    </row>
    <row r="939" spans="1:39" x14ac:dyDescent="0.35">
      <c r="A939">
        <v>935</v>
      </c>
      <c r="B939">
        <v>936</v>
      </c>
      <c r="C939">
        <v>146.781542739</v>
      </c>
      <c r="D939">
        <v>-19.132088791999902</v>
      </c>
      <c r="F939" s="64"/>
      <c r="G939" s="64"/>
      <c r="H939" s="64" t="s">
        <v>26</v>
      </c>
      <c r="I939" s="64"/>
      <c r="J939" s="32" t="str">
        <f>IF(AND(E939=1,OR(E938=0,E938="")),MAX(#REF!)+1,IF(AND(E939=1,E938=1),J938,""))</f>
        <v/>
      </c>
      <c r="K939" s="32" t="str">
        <f t="shared" si="58"/>
        <v/>
      </c>
      <c r="L939" s="32" t="str">
        <f t="shared" si="56"/>
        <v/>
      </c>
      <c r="M939" s="32" t="str">
        <f t="shared" si="57"/>
        <v/>
      </c>
      <c r="N939" s="4"/>
      <c r="O939" s="4"/>
      <c r="P939" s="4"/>
      <c r="Q939" s="4"/>
      <c r="U939" s="5"/>
      <c r="V939" s="4"/>
      <c r="AG939" t="s">
        <v>979</v>
      </c>
      <c r="AM939" s="1"/>
    </row>
    <row r="940" spans="1:39" x14ac:dyDescent="0.35">
      <c r="A940">
        <v>936</v>
      </c>
      <c r="B940">
        <v>937</v>
      </c>
      <c r="C940">
        <v>146.78146800499999</v>
      </c>
      <c r="D940">
        <v>-19.132041699999899</v>
      </c>
      <c r="F940" s="64"/>
      <c r="G940" s="64"/>
      <c r="H940" s="64" t="s">
        <v>26</v>
      </c>
      <c r="I940" s="64"/>
      <c r="J940" s="32" t="str">
        <f>IF(AND(E940=1,OR(E939=0,E939="")),MAX(#REF!)+1,IF(AND(E940=1,E939=1),J939,""))</f>
        <v/>
      </c>
      <c r="K940" s="32" t="str">
        <f t="shared" si="58"/>
        <v/>
      </c>
      <c r="L940" s="32" t="str">
        <f t="shared" si="56"/>
        <v/>
      </c>
      <c r="M940" s="32" t="str">
        <f t="shared" si="57"/>
        <v/>
      </c>
      <c r="N940" s="4"/>
      <c r="O940" s="4"/>
      <c r="P940" s="4"/>
      <c r="Q940" s="4"/>
      <c r="U940" s="5"/>
      <c r="V940" s="4"/>
      <c r="AG940" t="s">
        <v>980</v>
      </c>
      <c r="AM940" s="1"/>
    </row>
    <row r="941" spans="1:39" x14ac:dyDescent="0.35">
      <c r="A941">
        <v>937</v>
      </c>
      <c r="B941">
        <v>938</v>
      </c>
      <c r="C941">
        <v>146.78139327100001</v>
      </c>
      <c r="D941">
        <v>-19.131994606999999</v>
      </c>
      <c r="F941" s="64"/>
      <c r="G941" s="64"/>
      <c r="H941" s="64" t="s">
        <v>26</v>
      </c>
      <c r="I941" s="64"/>
      <c r="J941" s="32" t="str">
        <f>IF(AND(E941=1,OR(E940=0,E940="")),MAX(#REF!)+1,IF(AND(E941=1,E940=1),J940,""))</f>
        <v/>
      </c>
      <c r="K941" s="32" t="str">
        <f t="shared" si="58"/>
        <v/>
      </c>
      <c r="L941" s="32" t="str">
        <f t="shared" si="56"/>
        <v/>
      </c>
      <c r="M941" s="32" t="str">
        <f t="shared" si="57"/>
        <v/>
      </c>
      <c r="N941" s="4"/>
      <c r="O941" s="4"/>
      <c r="P941" s="4"/>
      <c r="Q941" s="4"/>
      <c r="U941" s="5"/>
      <c r="V941" s="4"/>
      <c r="AG941" t="s">
        <v>981</v>
      </c>
      <c r="AM941" s="1"/>
    </row>
    <row r="942" spans="1:39" x14ac:dyDescent="0.35">
      <c r="A942">
        <v>938</v>
      </c>
      <c r="B942">
        <v>939</v>
      </c>
      <c r="C942">
        <v>146.78131853799999</v>
      </c>
      <c r="D942">
        <v>-19.131947515</v>
      </c>
      <c r="F942" s="64"/>
      <c r="G942" s="64"/>
      <c r="H942" s="64" t="s">
        <v>26</v>
      </c>
      <c r="I942" s="64"/>
      <c r="J942" s="32" t="str">
        <f>IF(AND(E942=1,OR(E941=0,E941="")),MAX(#REF!)+1,IF(AND(E942=1,E941=1),J941,""))</f>
        <v/>
      </c>
      <c r="K942" s="32" t="str">
        <f t="shared" si="58"/>
        <v/>
      </c>
      <c r="L942" s="32" t="str">
        <f t="shared" si="56"/>
        <v/>
      </c>
      <c r="M942" s="32" t="str">
        <f t="shared" si="57"/>
        <v/>
      </c>
      <c r="N942" s="4"/>
      <c r="O942" s="4"/>
      <c r="P942" s="4"/>
      <c r="Q942" s="4"/>
      <c r="U942" s="5"/>
      <c r="V942" s="4"/>
      <c r="AG942" t="s">
        <v>982</v>
      </c>
      <c r="AM942" s="1"/>
    </row>
    <row r="943" spans="1:39" x14ac:dyDescent="0.35">
      <c r="A943">
        <v>939</v>
      </c>
      <c r="B943">
        <v>940</v>
      </c>
      <c r="C943">
        <v>146.78124380400001</v>
      </c>
      <c r="D943">
        <v>-19.131900421999902</v>
      </c>
      <c r="E943">
        <v>50</v>
      </c>
      <c r="F943" s="64"/>
      <c r="G943" s="64"/>
      <c r="H943" s="64" t="s">
        <v>26</v>
      </c>
      <c r="I943" s="64"/>
      <c r="J943" s="32" t="str">
        <f>IF(AND(E943=1,OR(E942=0,E942="")),MAX(#REF!)+1,IF(AND(E943=1,E942=1),J942,""))</f>
        <v/>
      </c>
      <c r="K943" s="32" t="str">
        <f t="shared" si="58"/>
        <v/>
      </c>
      <c r="L943" s="32" t="str">
        <f t="shared" si="56"/>
        <v/>
      </c>
      <c r="M943" s="32" t="str">
        <f t="shared" si="57"/>
        <v/>
      </c>
      <c r="N943" s="4"/>
      <c r="O943" s="4"/>
      <c r="P943" s="4"/>
      <c r="Q943" s="4"/>
      <c r="U943" s="5"/>
      <c r="V943" s="4"/>
      <c r="AG943" t="s">
        <v>983</v>
      </c>
      <c r="AM943" s="1"/>
    </row>
    <row r="944" spans="1:39" x14ac:dyDescent="0.35">
      <c r="A944">
        <v>940</v>
      </c>
      <c r="B944">
        <v>941</v>
      </c>
      <c r="C944">
        <v>146.78116907</v>
      </c>
      <c r="D944">
        <v>-19.131853329999998</v>
      </c>
      <c r="F944" s="64"/>
      <c r="G944" s="64"/>
      <c r="H944" s="64" t="s">
        <v>26</v>
      </c>
      <c r="I944" s="64"/>
      <c r="J944" s="32" t="str">
        <f>IF(AND(E944=1,OR(E943=0,E943="")),MAX(#REF!)+1,IF(AND(E944=1,E943=1),J943,""))</f>
        <v/>
      </c>
      <c r="K944" s="32" t="str">
        <f t="shared" si="58"/>
        <v/>
      </c>
      <c r="L944" s="32" t="str">
        <f t="shared" si="56"/>
        <v/>
      </c>
      <c r="M944" s="32" t="str">
        <f t="shared" si="57"/>
        <v/>
      </c>
      <c r="N944" s="4"/>
      <c r="O944" s="4"/>
      <c r="P944" s="4"/>
      <c r="Q944" s="4"/>
      <c r="U944" s="5"/>
      <c r="V944" s="4"/>
      <c r="AG944" t="s">
        <v>984</v>
      </c>
      <c r="AM944" s="1"/>
    </row>
    <row r="945" spans="1:39" x14ac:dyDescent="0.35">
      <c r="A945">
        <v>941</v>
      </c>
      <c r="B945">
        <v>942</v>
      </c>
      <c r="C945">
        <v>146.78109433700001</v>
      </c>
      <c r="D945">
        <v>-19.131806236999999</v>
      </c>
      <c r="F945" s="64"/>
      <c r="G945" s="64"/>
      <c r="H945" s="64" t="s">
        <v>26</v>
      </c>
      <c r="I945" s="64"/>
      <c r="J945" s="32" t="str">
        <f>IF(AND(E945=1,OR(E944=0,E944="")),MAX(#REF!)+1,IF(AND(E945=1,E944=1),J944,""))</f>
        <v/>
      </c>
      <c r="K945" s="32" t="str">
        <f t="shared" si="58"/>
        <v/>
      </c>
      <c r="L945" s="32" t="str">
        <f t="shared" si="56"/>
        <v/>
      </c>
      <c r="M945" s="32" t="str">
        <f t="shared" si="57"/>
        <v/>
      </c>
      <c r="N945" s="4"/>
      <c r="O945" s="4"/>
      <c r="P945" s="4"/>
      <c r="Q945" s="4"/>
      <c r="U945" s="5"/>
      <c r="V945" s="4"/>
      <c r="AG945" t="s">
        <v>985</v>
      </c>
      <c r="AM945" s="1"/>
    </row>
    <row r="946" spans="1:39" x14ac:dyDescent="0.35">
      <c r="A946">
        <v>942</v>
      </c>
      <c r="B946">
        <v>943</v>
      </c>
      <c r="C946">
        <v>146.781033364</v>
      </c>
      <c r="D946">
        <v>-19.131744358999999</v>
      </c>
      <c r="F946" s="64"/>
      <c r="G946" s="64"/>
      <c r="H946" s="64" t="s">
        <v>26</v>
      </c>
      <c r="I946" s="64"/>
      <c r="J946" s="32" t="str">
        <f>IF(AND(E946=1,OR(E945=0,E945="")),MAX(#REF!)+1,IF(AND(E946=1,E945=1),J945,""))</f>
        <v/>
      </c>
      <c r="K946" s="32" t="str">
        <f t="shared" si="58"/>
        <v/>
      </c>
      <c r="L946" s="32" t="str">
        <f t="shared" si="56"/>
        <v/>
      </c>
      <c r="M946" s="32" t="str">
        <f t="shared" si="57"/>
        <v/>
      </c>
      <c r="N946" s="4"/>
      <c r="O946" s="4"/>
      <c r="P946" s="4"/>
      <c r="Q946" s="4"/>
      <c r="U946" s="5"/>
      <c r="V946" s="4"/>
      <c r="AG946" t="s">
        <v>986</v>
      </c>
      <c r="AM946" s="1"/>
    </row>
    <row r="947" spans="1:39" x14ac:dyDescent="0.35">
      <c r="A947">
        <v>943</v>
      </c>
      <c r="B947">
        <v>944</v>
      </c>
      <c r="C947">
        <v>146.78097436600001</v>
      </c>
      <c r="D947">
        <v>-19.131680358000001</v>
      </c>
      <c r="F947" s="64"/>
      <c r="G947" s="64"/>
      <c r="H947" s="64" t="s">
        <v>26</v>
      </c>
      <c r="I947" s="64"/>
      <c r="J947" s="32" t="str">
        <f>IF(AND(E947=1,OR(E946=0,E946="")),MAX(#REF!)+1,IF(AND(E947=1,E946=1),J946,""))</f>
        <v/>
      </c>
      <c r="K947" s="32" t="str">
        <f t="shared" si="58"/>
        <v/>
      </c>
      <c r="L947" s="32" t="str">
        <f t="shared" si="56"/>
        <v/>
      </c>
      <c r="M947" s="32" t="str">
        <f t="shared" si="57"/>
        <v/>
      </c>
      <c r="N947" s="4"/>
      <c r="O947" s="4"/>
      <c r="P947" s="4"/>
      <c r="Q947" s="4"/>
      <c r="U947" s="5"/>
      <c r="V947" s="4"/>
      <c r="AG947" t="s">
        <v>987</v>
      </c>
      <c r="AM947" s="1"/>
    </row>
    <row r="948" spans="1:39" x14ac:dyDescent="0.35">
      <c r="A948">
        <v>944</v>
      </c>
      <c r="B948">
        <v>945</v>
      </c>
      <c r="C948">
        <v>146.78091536900001</v>
      </c>
      <c r="D948">
        <v>-19.131616357999999</v>
      </c>
      <c r="E948">
        <v>50</v>
      </c>
      <c r="F948" s="64"/>
      <c r="G948" s="64"/>
      <c r="H948" s="64" t="s">
        <v>26</v>
      </c>
      <c r="I948" s="64"/>
      <c r="J948" s="32" t="str">
        <f>IF(AND(E948=1,OR(E947=0,E947="")),MAX(#REF!)+1,IF(AND(E948=1,E947=1),J947,""))</f>
        <v/>
      </c>
      <c r="K948" s="32" t="str">
        <f t="shared" si="58"/>
        <v/>
      </c>
      <c r="L948" s="32" t="str">
        <f t="shared" si="56"/>
        <v/>
      </c>
      <c r="M948" s="32" t="str">
        <f t="shared" si="57"/>
        <v/>
      </c>
      <c r="N948" s="4"/>
      <c r="O948" s="4"/>
      <c r="P948" s="4"/>
      <c r="Q948" s="4"/>
      <c r="U948" s="5"/>
      <c r="V948" s="4"/>
      <c r="AG948" t="s">
        <v>988</v>
      </c>
      <c r="AM948" s="1"/>
    </row>
    <row r="949" spans="1:39" x14ac:dyDescent="0.35">
      <c r="A949">
        <v>945</v>
      </c>
      <c r="B949">
        <v>946</v>
      </c>
      <c r="C949">
        <v>146.78088395500001</v>
      </c>
      <c r="D949">
        <v>-19.131536986999901</v>
      </c>
      <c r="F949" s="64"/>
      <c r="G949" s="64"/>
      <c r="H949" s="64" t="s">
        <v>26</v>
      </c>
      <c r="I949" s="64"/>
      <c r="J949" s="32" t="str">
        <f>IF(AND(E949=1,OR(E948=0,E948="")),MAX(#REF!)+1,IF(AND(E949=1,E948=1),J948,""))</f>
        <v/>
      </c>
      <c r="K949" s="32" t="str">
        <f t="shared" si="58"/>
        <v/>
      </c>
      <c r="L949" s="32" t="str">
        <f t="shared" si="56"/>
        <v/>
      </c>
      <c r="M949" s="32" t="str">
        <f t="shared" si="57"/>
        <v/>
      </c>
      <c r="N949" s="4"/>
      <c r="O949" s="4"/>
      <c r="P949" s="4"/>
      <c r="Q949" s="4"/>
      <c r="U949" s="5"/>
      <c r="V949" s="4"/>
      <c r="AG949" t="s">
        <v>989</v>
      </c>
      <c r="AM949" s="1"/>
    </row>
    <row r="950" spans="1:39" x14ac:dyDescent="0.35">
      <c r="A950">
        <v>946</v>
      </c>
      <c r="B950">
        <v>947</v>
      </c>
      <c r="C950">
        <v>146.78085321699999</v>
      </c>
      <c r="D950">
        <v>-19.13145724</v>
      </c>
      <c r="F950" s="64"/>
      <c r="G950" s="64"/>
      <c r="H950" s="64" t="s">
        <v>26</v>
      </c>
      <c r="I950" s="64"/>
      <c r="J950" s="32" t="str">
        <f>IF(AND(E950=1,OR(E949=0,E949="")),MAX(#REF!)+1,IF(AND(E950=1,E949=1),J949,""))</f>
        <v/>
      </c>
      <c r="K950" s="32" t="str">
        <f t="shared" si="58"/>
        <v/>
      </c>
      <c r="L950" s="32" t="str">
        <f t="shared" si="56"/>
        <v/>
      </c>
      <c r="M950" s="32" t="str">
        <f t="shared" si="57"/>
        <v/>
      </c>
      <c r="N950" s="4"/>
      <c r="O950" s="4"/>
      <c r="P950" s="4"/>
      <c r="Q950" s="4"/>
      <c r="U950" s="5"/>
      <c r="V950" s="4"/>
      <c r="AG950" t="s">
        <v>990</v>
      </c>
      <c r="AM950" s="1"/>
    </row>
    <row r="951" spans="1:39" x14ac:dyDescent="0.35">
      <c r="A951">
        <v>947</v>
      </c>
      <c r="B951">
        <v>948</v>
      </c>
      <c r="C951">
        <v>146.78083905299999</v>
      </c>
      <c r="D951">
        <v>-19.131374256999901</v>
      </c>
      <c r="F951" s="64"/>
      <c r="G951" s="64"/>
      <c r="H951" s="64" t="s">
        <v>26</v>
      </c>
      <c r="I951" s="64"/>
      <c r="J951" s="32" t="str">
        <f>IF(AND(E951=1,OR(E950=0,E950="")),MAX(#REF!)+1,IF(AND(E951=1,E950=1),J950,""))</f>
        <v/>
      </c>
      <c r="K951" s="32" t="str">
        <f t="shared" si="58"/>
        <v/>
      </c>
      <c r="L951" s="32" t="str">
        <f t="shared" si="56"/>
        <v/>
      </c>
      <c r="M951" s="32" t="str">
        <f t="shared" si="57"/>
        <v/>
      </c>
      <c r="N951" s="4"/>
      <c r="O951" s="4"/>
      <c r="P951" s="4"/>
      <c r="Q951" s="4"/>
      <c r="U951" s="5"/>
      <c r="V951" s="4"/>
      <c r="AG951" t="s">
        <v>991</v>
      </c>
      <c r="AM951" s="1"/>
    </row>
    <row r="952" spans="1:39" x14ac:dyDescent="0.35">
      <c r="A952">
        <v>948</v>
      </c>
      <c r="B952">
        <v>949</v>
      </c>
      <c r="C952">
        <v>146.78083381499999</v>
      </c>
      <c r="D952">
        <v>-19.131289532</v>
      </c>
      <c r="F952" s="64"/>
      <c r="G952" s="64"/>
      <c r="H952" s="64" t="s">
        <v>26</v>
      </c>
      <c r="I952" s="64"/>
      <c r="J952" s="32" t="str">
        <f>IF(AND(E952=1,OR(E951=0,E951="")),MAX(#REF!)+1,IF(AND(E952=1,E951=1),J951,""))</f>
        <v/>
      </c>
      <c r="K952" s="32" t="str">
        <f t="shared" si="58"/>
        <v/>
      </c>
      <c r="L952" s="32" t="str">
        <f t="shared" si="56"/>
        <v/>
      </c>
      <c r="M952" s="32" t="str">
        <f t="shared" si="57"/>
        <v/>
      </c>
      <c r="N952" s="4"/>
      <c r="O952" s="4"/>
      <c r="P952" s="4"/>
      <c r="Q952" s="4"/>
      <c r="U952" s="5"/>
      <c r="V952" s="4"/>
      <c r="AG952" t="s">
        <v>992</v>
      </c>
      <c r="AM952" s="1"/>
    </row>
    <row r="953" spans="1:39" x14ac:dyDescent="0.35">
      <c r="A953">
        <v>949</v>
      </c>
      <c r="B953">
        <v>950</v>
      </c>
      <c r="C953">
        <v>146.780808622</v>
      </c>
      <c r="D953">
        <v>-19.131211021999899</v>
      </c>
      <c r="E953">
        <v>50</v>
      </c>
      <c r="F953" s="64"/>
      <c r="G953" s="64"/>
      <c r="H953" s="64" t="s">
        <v>26</v>
      </c>
      <c r="I953" s="64"/>
      <c r="J953" s="32" t="str">
        <f>IF(AND(E953=1,OR(E952=0,E952="")),MAX(#REF!)+1,IF(AND(E953=1,E952=1),J952,""))</f>
        <v/>
      </c>
      <c r="K953" s="32" t="str">
        <f t="shared" si="58"/>
        <v/>
      </c>
      <c r="L953" s="32" t="str">
        <f t="shared" si="56"/>
        <v/>
      </c>
      <c r="M953" s="32" t="str">
        <f t="shared" si="57"/>
        <v/>
      </c>
      <c r="N953" s="4"/>
      <c r="O953" s="4"/>
      <c r="P953" s="4"/>
      <c r="Q953" s="4"/>
      <c r="U953" s="5"/>
      <c r="V953" s="4"/>
      <c r="AG953" t="s">
        <v>993</v>
      </c>
      <c r="AM953" s="1"/>
    </row>
    <row r="954" spans="1:39" x14ac:dyDescent="0.35">
      <c r="A954">
        <v>950</v>
      </c>
      <c r="B954">
        <v>951</v>
      </c>
      <c r="C954">
        <v>146.78075949399999</v>
      </c>
      <c r="D954">
        <v>-19.131139967999999</v>
      </c>
      <c r="F954" s="64"/>
      <c r="G954" s="64"/>
      <c r="H954" s="64" t="s">
        <v>26</v>
      </c>
      <c r="I954" s="64"/>
      <c r="J954" s="32" t="str">
        <f>IF(AND(E954=1,OR(E953=0,E953="")),MAX(#REF!)+1,IF(AND(E954=1,E953=1),J953,""))</f>
        <v/>
      </c>
      <c r="K954" s="32" t="str">
        <f t="shared" si="58"/>
        <v/>
      </c>
      <c r="L954" s="32" t="str">
        <f t="shared" si="56"/>
        <v/>
      </c>
      <c r="M954" s="32" t="str">
        <f t="shared" si="57"/>
        <v/>
      </c>
      <c r="N954" s="4"/>
      <c r="O954" s="4"/>
      <c r="P954" s="4"/>
      <c r="Q954" s="4"/>
      <c r="U954" s="5"/>
      <c r="V954" s="4"/>
      <c r="AG954" t="s">
        <v>994</v>
      </c>
      <c r="AM954" s="1"/>
    </row>
    <row r="955" spans="1:39" x14ac:dyDescent="0.35">
      <c r="A955">
        <v>951</v>
      </c>
      <c r="B955">
        <v>952</v>
      </c>
      <c r="C955">
        <v>146.78070492699999</v>
      </c>
      <c r="D955">
        <v>-19.131072710999899</v>
      </c>
      <c r="F955" s="64"/>
      <c r="G955" s="64"/>
      <c r="H955" s="64" t="s">
        <v>26</v>
      </c>
      <c r="I955" s="64"/>
      <c r="J955" s="32" t="str">
        <f>IF(AND(E955=1,OR(E954=0,E954="")),MAX(#REF!)+1,IF(AND(E955=1,E954=1),J954,""))</f>
        <v/>
      </c>
      <c r="K955" s="32" t="str">
        <f t="shared" si="58"/>
        <v/>
      </c>
      <c r="L955" s="32" t="str">
        <f t="shared" si="56"/>
        <v/>
      </c>
      <c r="M955" s="32" t="str">
        <f t="shared" si="57"/>
        <v/>
      </c>
      <c r="N955" s="4"/>
      <c r="O955" s="4"/>
      <c r="P955" s="4"/>
      <c r="Q955" s="4"/>
      <c r="U955" s="5"/>
      <c r="V955" s="4"/>
      <c r="AG955" t="s">
        <v>995</v>
      </c>
      <c r="AM955" s="1"/>
    </row>
    <row r="956" spans="1:39" x14ac:dyDescent="0.35">
      <c r="A956">
        <v>952</v>
      </c>
      <c r="B956">
        <v>953</v>
      </c>
      <c r="C956">
        <v>146.780647472</v>
      </c>
      <c r="D956">
        <v>-19.131007469999901</v>
      </c>
      <c r="F956" s="64"/>
      <c r="G956" s="64"/>
      <c r="H956" s="64" t="s">
        <v>26</v>
      </c>
      <c r="I956" s="64"/>
      <c r="J956" s="32" t="str">
        <f>IF(AND(E956=1,OR(E955=0,E955="")),MAX(#REF!)+1,IF(AND(E956=1,E955=1),J955,""))</f>
        <v/>
      </c>
      <c r="K956" s="32" t="str">
        <f t="shared" si="58"/>
        <v/>
      </c>
      <c r="L956" s="32" t="str">
        <f t="shared" si="56"/>
        <v/>
      </c>
      <c r="M956" s="32" t="str">
        <f t="shared" si="57"/>
        <v/>
      </c>
      <c r="N956" s="4"/>
      <c r="O956" s="4"/>
      <c r="P956" s="4"/>
      <c r="Q956" s="4"/>
      <c r="U956" s="5"/>
      <c r="V956" s="4"/>
      <c r="AG956" t="s">
        <v>996</v>
      </c>
      <c r="AM956" s="1"/>
    </row>
    <row r="957" spans="1:39" x14ac:dyDescent="0.35">
      <c r="A957">
        <v>953</v>
      </c>
      <c r="B957">
        <v>954</v>
      </c>
      <c r="C957">
        <v>146.78059001700001</v>
      </c>
      <c r="D957">
        <v>-19.130942227999999</v>
      </c>
      <c r="F957" s="64"/>
      <c r="G957" s="64"/>
      <c r="H957" s="64" t="s">
        <v>26</v>
      </c>
      <c r="I957" s="64"/>
      <c r="J957" s="32" t="str">
        <f>IF(AND(E957=1,OR(E956=0,E956="")),MAX(#REF!)+1,IF(AND(E957=1,E956=1),J956,""))</f>
        <v/>
      </c>
      <c r="K957" s="32" t="str">
        <f t="shared" si="58"/>
        <v/>
      </c>
      <c r="L957" s="32" t="str">
        <f t="shared" si="56"/>
        <v/>
      </c>
      <c r="M957" s="32" t="str">
        <f t="shared" si="57"/>
        <v/>
      </c>
      <c r="N957" s="4"/>
      <c r="O957" s="4"/>
      <c r="P957" s="4"/>
      <c r="Q957" s="4"/>
      <c r="U957" s="5"/>
      <c r="V957" s="4"/>
      <c r="AG957" t="s">
        <v>997</v>
      </c>
      <c r="AM957" s="1"/>
    </row>
    <row r="958" spans="1:39" x14ac:dyDescent="0.35">
      <c r="A958">
        <v>954</v>
      </c>
      <c r="B958">
        <v>955</v>
      </c>
      <c r="C958">
        <v>146.780532561</v>
      </c>
      <c r="D958">
        <v>-19.130876987000001</v>
      </c>
      <c r="E958">
        <v>50</v>
      </c>
      <c r="F958" s="64"/>
      <c r="G958" s="64"/>
      <c r="H958" s="64" t="s">
        <v>26</v>
      </c>
      <c r="I958" s="64"/>
      <c r="J958" s="32" t="str">
        <f>IF(AND(E958=1,OR(E957=0,E957="")),MAX(#REF!)+1,IF(AND(E958=1,E957=1),J957,""))</f>
        <v/>
      </c>
      <c r="K958" s="32" t="str">
        <f t="shared" si="58"/>
        <v/>
      </c>
      <c r="L958" s="32" t="str">
        <f t="shared" si="56"/>
        <v/>
      </c>
      <c r="M958" s="32" t="str">
        <f t="shared" si="57"/>
        <v/>
      </c>
      <c r="N958" s="4"/>
      <c r="O958" s="4"/>
      <c r="P958" s="4"/>
      <c r="Q958" s="4"/>
      <c r="U958" s="5"/>
      <c r="V958" s="4"/>
      <c r="AG958" t="s">
        <v>998</v>
      </c>
      <c r="AM958" s="1"/>
    </row>
    <row r="959" spans="1:39" x14ac:dyDescent="0.35">
      <c r="A959">
        <v>955</v>
      </c>
      <c r="B959">
        <v>956</v>
      </c>
      <c r="C959">
        <v>146.78046824899999</v>
      </c>
      <c r="D959">
        <v>-19.130817782999902</v>
      </c>
      <c r="F959" s="64"/>
      <c r="G959" s="64"/>
      <c r="H959" s="64" t="s">
        <v>26</v>
      </c>
      <c r="I959" s="64"/>
      <c r="J959" s="32" t="str">
        <f>IF(AND(E959=1,OR(E958=0,E958="")),MAX(#REF!)+1,IF(AND(E959=1,E958=1),J958,""))</f>
        <v/>
      </c>
      <c r="K959" s="32" t="str">
        <f t="shared" si="58"/>
        <v/>
      </c>
      <c r="L959" s="32" t="str">
        <f t="shared" si="56"/>
        <v/>
      </c>
      <c r="M959" s="32" t="str">
        <f t="shared" si="57"/>
        <v/>
      </c>
      <c r="N959" s="4"/>
      <c r="O959" s="4"/>
      <c r="P959" s="4"/>
      <c r="Q959" s="4"/>
      <c r="U959" s="5"/>
      <c r="V959" s="4"/>
      <c r="AG959" t="s">
        <v>999</v>
      </c>
      <c r="AM959" s="1"/>
    </row>
    <row r="960" spans="1:39" x14ac:dyDescent="0.35">
      <c r="A960">
        <v>956</v>
      </c>
      <c r="B960">
        <v>957</v>
      </c>
      <c r="C960">
        <v>146.780403409</v>
      </c>
      <c r="D960">
        <v>-19.130759043999898</v>
      </c>
      <c r="F960" s="64"/>
      <c r="G960" s="64"/>
      <c r="H960" s="64" t="s">
        <v>26</v>
      </c>
      <c r="I960" s="64"/>
      <c r="J960" s="32" t="str">
        <f>IF(AND(E960=1,OR(E959=0,E959="")),MAX(#REF!)+1,IF(AND(E960=1,E959=1),J959,""))</f>
        <v/>
      </c>
      <c r="K960" s="32" t="str">
        <f t="shared" si="58"/>
        <v/>
      </c>
      <c r="L960" s="32" t="str">
        <f t="shared" si="56"/>
        <v/>
      </c>
      <c r="M960" s="32" t="str">
        <f t="shared" si="57"/>
        <v/>
      </c>
      <c r="N960" s="4"/>
      <c r="O960" s="4"/>
      <c r="P960" s="4"/>
      <c r="Q960" s="4"/>
      <c r="U960" s="5"/>
      <c r="V960" s="4"/>
      <c r="AG960" t="s">
        <v>1000</v>
      </c>
      <c r="AM960" s="1"/>
    </row>
    <row r="961" spans="1:39" x14ac:dyDescent="0.35">
      <c r="A961">
        <v>957</v>
      </c>
      <c r="B961">
        <v>958</v>
      </c>
      <c r="C961">
        <v>146.78033856799999</v>
      </c>
      <c r="D961">
        <v>-19.130700304999898</v>
      </c>
      <c r="F961" s="64"/>
      <c r="G961" s="64"/>
      <c r="H961" s="64" t="s">
        <v>26</v>
      </c>
      <c r="I961" s="64"/>
      <c r="J961" s="32" t="str">
        <f>IF(AND(E961=1,OR(E960=0,E960="")),MAX(#REF!)+1,IF(AND(E961=1,E960=1),J960,""))</f>
        <v/>
      </c>
      <c r="K961" s="32" t="str">
        <f t="shared" si="58"/>
        <v/>
      </c>
      <c r="L961" s="32" t="str">
        <f t="shared" si="56"/>
        <v/>
      </c>
      <c r="M961" s="32" t="str">
        <f t="shared" si="57"/>
        <v/>
      </c>
      <c r="N961" s="4"/>
      <c r="O961" s="4"/>
      <c r="P961" s="4"/>
      <c r="Q961" s="4"/>
      <c r="U961" s="5"/>
      <c r="V961" s="4"/>
      <c r="AG961" t="s">
        <v>1001</v>
      </c>
      <c r="AM961" s="1"/>
    </row>
    <row r="962" spans="1:39" x14ac:dyDescent="0.35">
      <c r="A962">
        <v>958</v>
      </c>
      <c r="B962">
        <v>959</v>
      </c>
      <c r="C962">
        <v>146.780273728</v>
      </c>
      <c r="D962">
        <v>-19.130641566000001</v>
      </c>
      <c r="F962" s="64"/>
      <c r="G962" s="64"/>
      <c r="H962" s="64" t="s">
        <v>26</v>
      </c>
      <c r="I962" s="64"/>
      <c r="J962" s="32" t="str">
        <f>IF(AND(E962=1,OR(E961=0,E961="")),MAX(#REF!)+1,IF(AND(E962=1,E961=1),J961,""))</f>
        <v/>
      </c>
      <c r="K962" s="32" t="str">
        <f t="shared" si="58"/>
        <v/>
      </c>
      <c r="L962" s="32" t="str">
        <f t="shared" si="56"/>
        <v/>
      </c>
      <c r="M962" s="32" t="str">
        <f t="shared" si="57"/>
        <v/>
      </c>
      <c r="N962" s="4"/>
      <c r="O962" s="4"/>
      <c r="P962" s="4"/>
      <c r="Q962" s="4"/>
      <c r="U962" s="5"/>
      <c r="V962" s="4"/>
      <c r="AG962" t="s">
        <v>1002</v>
      </c>
      <c r="AM962" s="1"/>
    </row>
    <row r="963" spans="1:39" x14ac:dyDescent="0.35">
      <c r="A963">
        <v>959</v>
      </c>
      <c r="B963">
        <v>960</v>
      </c>
      <c r="C963">
        <v>146.780208888</v>
      </c>
      <c r="D963">
        <v>-19.130582827000001</v>
      </c>
      <c r="E963">
        <v>50</v>
      </c>
      <c r="F963" s="64"/>
      <c r="G963" s="64"/>
      <c r="H963" s="64" t="s">
        <v>26</v>
      </c>
      <c r="I963" s="64"/>
      <c r="J963" s="32" t="str">
        <f>IF(AND(E963=1,OR(E962=0,E962="")),MAX(#REF!)+1,IF(AND(E963=1,E962=1),J962,""))</f>
        <v/>
      </c>
      <c r="K963" s="32" t="str">
        <f t="shared" si="58"/>
        <v/>
      </c>
      <c r="L963" s="32" t="str">
        <f t="shared" si="56"/>
        <v/>
      </c>
      <c r="M963" s="32" t="str">
        <f t="shared" si="57"/>
        <v/>
      </c>
      <c r="N963" s="4"/>
      <c r="O963" s="4"/>
      <c r="P963" s="4"/>
      <c r="Q963" s="4"/>
      <c r="U963" s="5"/>
      <c r="V963" s="4"/>
      <c r="AG963" t="s">
        <v>1003</v>
      </c>
      <c r="AM963" s="1"/>
    </row>
    <row r="964" spans="1:39" x14ac:dyDescent="0.35">
      <c r="A964">
        <v>960</v>
      </c>
      <c r="B964">
        <v>961</v>
      </c>
      <c r="C964">
        <v>146.78014404800001</v>
      </c>
      <c r="D964">
        <v>-19.130524087000001</v>
      </c>
      <c r="F964" s="64"/>
      <c r="G964" s="64"/>
      <c r="H964" s="64" t="s">
        <v>26</v>
      </c>
      <c r="I964" s="64"/>
      <c r="J964" s="32" t="str">
        <f>IF(AND(E964=1,OR(E963=0,E963="")),MAX(#REF!)+1,IF(AND(E964=1,E963=1),J963,""))</f>
        <v/>
      </c>
      <c r="K964" s="32" t="str">
        <f t="shared" si="58"/>
        <v/>
      </c>
      <c r="L964" s="32" t="str">
        <f t="shared" ref="L964:L1027" si="59">IF(K964="","",IF(K964&gt;=100,"HV",""))</f>
        <v/>
      </c>
      <c r="M964" s="32" t="str">
        <f t="shared" ref="M964:M1027" si="60">IF(K964&lt;&gt;"",K964^2,"")</f>
        <v/>
      </c>
      <c r="N964" s="4"/>
      <c r="O964" s="4"/>
      <c r="P964" s="4"/>
      <c r="Q964" s="4"/>
      <c r="U964" s="5"/>
      <c r="V964" s="4"/>
      <c r="AG964" t="s">
        <v>1004</v>
      </c>
      <c r="AM964" s="1"/>
    </row>
    <row r="965" spans="1:39" x14ac:dyDescent="0.35">
      <c r="A965">
        <v>961</v>
      </c>
      <c r="B965">
        <v>962</v>
      </c>
      <c r="C965">
        <v>146.78007920799999</v>
      </c>
      <c r="D965">
        <v>-19.130465348000001</v>
      </c>
      <c r="F965" s="64"/>
      <c r="G965" s="64"/>
      <c r="H965" s="64" t="s">
        <v>26</v>
      </c>
      <c r="I965" s="64"/>
      <c r="J965" s="32" t="str">
        <f>IF(AND(E965=1,OR(E964=0,E964="")),MAX(#REF!)+1,IF(AND(E965=1,E964=1),J964,""))</f>
        <v/>
      </c>
      <c r="K965" s="32" t="str">
        <f t="shared" si="58"/>
        <v/>
      </c>
      <c r="L965" s="32" t="str">
        <f t="shared" si="59"/>
        <v/>
      </c>
      <c r="M965" s="32" t="str">
        <f t="shared" si="60"/>
        <v/>
      </c>
      <c r="N965" s="4"/>
      <c r="O965" s="4"/>
      <c r="P965" s="4"/>
      <c r="Q965" s="4"/>
      <c r="U965" s="5"/>
      <c r="V965" s="4"/>
      <c r="AG965" t="s">
        <v>1005</v>
      </c>
      <c r="AM965" s="1"/>
    </row>
    <row r="966" spans="1:39" x14ac:dyDescent="0.35">
      <c r="A966">
        <v>962</v>
      </c>
      <c r="B966">
        <v>963</v>
      </c>
      <c r="C966">
        <v>146.780023758</v>
      </c>
      <c r="D966">
        <v>-19.130398718999999</v>
      </c>
      <c r="F966" s="64"/>
      <c r="G966" s="64"/>
      <c r="H966" s="64" t="s">
        <v>26</v>
      </c>
      <c r="I966" s="64"/>
      <c r="J966" s="32" t="str">
        <f>IF(AND(E966=1,OR(E965=0,E965="")),MAX(#REF!)+1,IF(AND(E966=1,E965=1),J965,""))</f>
        <v/>
      </c>
      <c r="K966" s="32" t="str">
        <f t="shared" si="58"/>
        <v/>
      </c>
      <c r="L966" s="32" t="str">
        <f t="shared" si="59"/>
        <v/>
      </c>
      <c r="M966" s="32" t="str">
        <f t="shared" si="60"/>
        <v/>
      </c>
      <c r="N966" s="4"/>
      <c r="O966" s="4"/>
      <c r="P966" s="4"/>
      <c r="Q966" s="4"/>
      <c r="U966" s="5"/>
      <c r="V966" s="4"/>
      <c r="AG966" t="s">
        <v>1006</v>
      </c>
      <c r="AM966" s="1"/>
    </row>
    <row r="967" spans="1:39" x14ac:dyDescent="0.35">
      <c r="A967">
        <v>963</v>
      </c>
      <c r="B967">
        <v>964</v>
      </c>
      <c r="C967">
        <v>146.77996958200001</v>
      </c>
      <c r="D967">
        <v>-19.13033102</v>
      </c>
      <c r="F967" s="64"/>
      <c r="G967" s="64"/>
      <c r="H967" s="64" t="s">
        <v>26</v>
      </c>
      <c r="I967" s="64"/>
      <c r="J967" s="32" t="str">
        <f>IF(AND(E967=1,OR(E966=0,E966="")),MAX(#REF!)+1,IF(AND(E967=1,E966=1),J966,""))</f>
        <v/>
      </c>
      <c r="K967" s="32" t="str">
        <f t="shared" si="58"/>
        <v/>
      </c>
      <c r="L967" s="32" t="str">
        <f t="shared" si="59"/>
        <v/>
      </c>
      <c r="M967" s="32" t="str">
        <f t="shared" si="60"/>
        <v/>
      </c>
      <c r="N967" s="4"/>
      <c r="O967" s="4"/>
      <c r="P967" s="4"/>
      <c r="Q967" s="4"/>
      <c r="U967" s="5"/>
      <c r="V967" s="4"/>
      <c r="AG967" t="s">
        <v>1007</v>
      </c>
      <c r="AM967" s="1"/>
    </row>
    <row r="968" spans="1:39" x14ac:dyDescent="0.35">
      <c r="A968">
        <v>964</v>
      </c>
      <c r="B968">
        <v>965</v>
      </c>
      <c r="C968">
        <v>146.77991540599999</v>
      </c>
      <c r="D968">
        <v>-19.130263319999901</v>
      </c>
      <c r="E968">
        <v>50</v>
      </c>
      <c r="F968" s="64"/>
      <c r="G968" s="64"/>
      <c r="H968" s="64" t="s">
        <v>26</v>
      </c>
      <c r="I968" s="64"/>
      <c r="J968" s="32" t="str">
        <f>IF(AND(E968=1,OR(E967=0,E967="")),MAX(#REF!)+1,IF(AND(E968=1,E967=1),J967,""))</f>
        <v/>
      </c>
      <c r="K968" s="32" t="str">
        <f t="shared" si="58"/>
        <v/>
      </c>
      <c r="L968" s="32" t="str">
        <f t="shared" si="59"/>
        <v/>
      </c>
      <c r="M968" s="32" t="str">
        <f t="shared" si="60"/>
        <v/>
      </c>
      <c r="N968" s="4"/>
      <c r="O968" s="4"/>
      <c r="P968" s="4"/>
      <c r="Q968" s="4"/>
      <c r="U968" s="5"/>
      <c r="V968" s="4"/>
      <c r="AG968" t="s">
        <v>77</v>
      </c>
      <c r="AM968" s="1"/>
    </row>
    <row r="969" spans="1:39" x14ac:dyDescent="0.35">
      <c r="A969">
        <v>965</v>
      </c>
      <c r="B969">
        <v>966</v>
      </c>
      <c r="C969">
        <v>146.77986123100001</v>
      </c>
      <c r="D969">
        <v>-19.130195619999899</v>
      </c>
      <c r="F969" s="64"/>
      <c r="G969" s="64"/>
      <c r="H969" s="64" t="s">
        <v>26</v>
      </c>
      <c r="I969" s="64"/>
      <c r="J969" s="32" t="str">
        <f>IF(AND(E969=1,OR(E968=0,E968="")),MAX(#REF!)+1,IF(AND(E969=1,E968=1),J968,""))</f>
        <v/>
      </c>
      <c r="K969" s="32" t="str">
        <f t="shared" si="58"/>
        <v/>
      </c>
      <c r="L969" s="32" t="str">
        <f t="shared" si="59"/>
        <v/>
      </c>
      <c r="M969" s="32" t="str">
        <f t="shared" si="60"/>
        <v/>
      </c>
      <c r="N969" s="4"/>
      <c r="O969" s="4"/>
      <c r="P969" s="4"/>
      <c r="Q969" s="4"/>
      <c r="U969" s="5"/>
      <c r="V969" s="4"/>
      <c r="AG969" t="s">
        <v>1008</v>
      </c>
      <c r="AM969" s="1"/>
    </row>
    <row r="970" spans="1:39" x14ac:dyDescent="0.35">
      <c r="A970">
        <v>966</v>
      </c>
      <c r="B970">
        <v>967</v>
      </c>
      <c r="C970">
        <v>146.77980705499999</v>
      </c>
      <c r="D970">
        <v>-19.1301279209999</v>
      </c>
      <c r="F970" s="64"/>
      <c r="G970" s="64"/>
      <c r="H970" s="64" t="s">
        <v>26</v>
      </c>
      <c r="I970" s="64"/>
      <c r="J970" s="32" t="str">
        <f>IF(AND(E970=1,OR(E969=0,E969="")),MAX(#REF!)+1,IF(AND(E970=1,E969=1),J969,""))</f>
        <v/>
      </c>
      <c r="K970" s="32" t="str">
        <f t="shared" si="58"/>
        <v/>
      </c>
      <c r="L970" s="32" t="str">
        <f t="shared" si="59"/>
        <v/>
      </c>
      <c r="M970" s="32" t="str">
        <f t="shared" si="60"/>
        <v/>
      </c>
      <c r="N970" s="4"/>
      <c r="O970" s="4"/>
      <c r="P970" s="4"/>
      <c r="Q970" s="4"/>
      <c r="U970" s="5"/>
      <c r="V970" s="4"/>
      <c r="AG970" t="s">
        <v>1009</v>
      </c>
      <c r="AM970" s="1"/>
    </row>
    <row r="971" spans="1:39" x14ac:dyDescent="0.35">
      <c r="A971">
        <v>967</v>
      </c>
      <c r="B971">
        <v>968</v>
      </c>
      <c r="C971">
        <v>146.77975287999999</v>
      </c>
      <c r="D971">
        <v>-19.130060221000001</v>
      </c>
      <c r="F971" s="64"/>
      <c r="G971" s="64"/>
      <c r="H971" s="64" t="s">
        <v>26</v>
      </c>
      <c r="I971" s="64"/>
      <c r="J971" s="32" t="str">
        <f>IF(AND(E971=1,OR(E970=0,E970="")),MAX(#REF!)+1,IF(AND(E971=1,E970=1),J970,""))</f>
        <v/>
      </c>
      <c r="K971" s="32" t="str">
        <f t="shared" si="58"/>
        <v/>
      </c>
      <c r="L971" s="32" t="str">
        <f t="shared" si="59"/>
        <v/>
      </c>
      <c r="M971" s="32" t="str">
        <f t="shared" si="60"/>
        <v/>
      </c>
      <c r="N971" s="4"/>
      <c r="O971" s="4"/>
      <c r="P971" s="4"/>
      <c r="Q971" s="4"/>
      <c r="U971" s="5"/>
      <c r="V971" s="4"/>
      <c r="AG971" t="s">
        <v>1010</v>
      </c>
      <c r="AM971" s="1"/>
    </row>
    <row r="972" spans="1:39" x14ac:dyDescent="0.35">
      <c r="A972">
        <v>968</v>
      </c>
      <c r="B972">
        <v>969</v>
      </c>
      <c r="C972">
        <v>146.77970253699999</v>
      </c>
      <c r="D972">
        <v>-19.129990037999999</v>
      </c>
      <c r="F972" s="64"/>
      <c r="G972" s="64"/>
      <c r="H972" s="64" t="s">
        <v>26</v>
      </c>
      <c r="I972" s="64"/>
      <c r="J972" s="32" t="str">
        <f>IF(AND(E972=1,OR(E971=0,E971="")),MAX(#REF!)+1,IF(AND(E972=1,E971=1),J971,""))</f>
        <v/>
      </c>
      <c r="K972" s="32" t="str">
        <f t="shared" si="58"/>
        <v/>
      </c>
      <c r="L972" s="32" t="str">
        <f t="shared" si="59"/>
        <v/>
      </c>
      <c r="M972" s="32" t="str">
        <f t="shared" si="60"/>
        <v/>
      </c>
      <c r="N972" s="4"/>
      <c r="O972" s="4"/>
      <c r="P972" s="4"/>
      <c r="Q972" s="4"/>
      <c r="U972" s="5"/>
      <c r="V972" s="4"/>
      <c r="AG972" t="s">
        <v>1011</v>
      </c>
      <c r="AM972" s="1"/>
    </row>
    <row r="973" spans="1:39" x14ac:dyDescent="0.35">
      <c r="A973">
        <v>969</v>
      </c>
      <c r="B973">
        <v>970</v>
      </c>
      <c r="C973">
        <v>146.77965522400001</v>
      </c>
      <c r="D973">
        <v>-19.129917892999998</v>
      </c>
      <c r="E973">
        <v>50</v>
      </c>
      <c r="F973" s="64"/>
      <c r="G973" s="64"/>
      <c r="H973" s="64" t="s">
        <v>26</v>
      </c>
      <c r="I973" s="64"/>
      <c r="J973" s="32" t="str">
        <f>IF(AND(E973=1,OR(E972=0,E972="")),MAX(#REF!)+1,IF(AND(E973=1,E972=1),J972,""))</f>
        <v/>
      </c>
      <c r="K973" s="32" t="str">
        <f t="shared" si="58"/>
        <v/>
      </c>
      <c r="L973" s="32" t="str">
        <f t="shared" si="59"/>
        <v/>
      </c>
      <c r="M973" s="32" t="str">
        <f t="shared" si="60"/>
        <v/>
      </c>
      <c r="N973" s="4"/>
      <c r="O973" s="4"/>
      <c r="P973" s="4"/>
      <c r="Q973" s="4"/>
      <c r="U973" s="5"/>
      <c r="V973" s="4"/>
      <c r="AG973" t="s">
        <v>1012</v>
      </c>
      <c r="AM973" s="1"/>
    </row>
    <row r="974" spans="1:39" x14ac:dyDescent="0.35">
      <c r="A974">
        <v>970</v>
      </c>
      <c r="B974">
        <v>971</v>
      </c>
      <c r="C974">
        <v>146.779607911</v>
      </c>
      <c r="D974">
        <v>-19.129845746999901</v>
      </c>
      <c r="F974" s="64"/>
      <c r="G974" s="64"/>
      <c r="H974" s="64" t="s">
        <v>26</v>
      </c>
      <c r="I974" s="64"/>
      <c r="J974" s="32" t="str">
        <f>IF(AND(E974=1,OR(E973=0,E973="")),MAX(#REF!)+1,IF(AND(E974=1,E973=1),J973,""))</f>
        <v/>
      </c>
      <c r="K974" s="32" t="str">
        <f t="shared" si="58"/>
        <v/>
      </c>
      <c r="L974" s="32" t="str">
        <f t="shared" si="59"/>
        <v/>
      </c>
      <c r="M974" s="32" t="str">
        <f t="shared" si="60"/>
        <v/>
      </c>
      <c r="N974" s="4"/>
      <c r="O974" s="4"/>
      <c r="P974" s="4"/>
      <c r="Q974" s="4"/>
      <c r="U974" s="5"/>
      <c r="V974" s="4"/>
      <c r="AG974" t="s">
        <v>1013</v>
      </c>
      <c r="AM974" s="1"/>
    </row>
    <row r="975" spans="1:39" x14ac:dyDescent="0.35">
      <c r="A975">
        <v>971</v>
      </c>
      <c r="B975">
        <v>972</v>
      </c>
      <c r="C975">
        <v>146.77956059799999</v>
      </c>
      <c r="D975">
        <v>-19.129773601999901</v>
      </c>
      <c r="F975" s="64"/>
      <c r="G975" s="64"/>
      <c r="H975" s="64" t="s">
        <v>26</v>
      </c>
      <c r="I975" s="64"/>
      <c r="J975" s="32" t="str">
        <f>IF(AND(E975=1,OR(E974=0,E974="")),MAX(#REF!)+1,IF(AND(E975=1,E974=1),J974,""))</f>
        <v/>
      </c>
      <c r="K975" s="32" t="str">
        <f t="shared" si="58"/>
        <v/>
      </c>
      <c r="L975" s="32" t="str">
        <f t="shared" si="59"/>
        <v/>
      </c>
      <c r="M975" s="32" t="str">
        <f t="shared" si="60"/>
        <v/>
      </c>
      <c r="N975" s="4"/>
      <c r="O975" s="4"/>
      <c r="P975" s="4"/>
      <c r="Q975" s="4"/>
      <c r="U975" s="5"/>
      <c r="V975" s="4"/>
      <c r="AG975" t="s">
        <v>1014</v>
      </c>
      <c r="AM975" s="1"/>
    </row>
    <row r="976" spans="1:39" x14ac:dyDescent="0.35">
      <c r="A976">
        <v>972</v>
      </c>
      <c r="B976">
        <v>973</v>
      </c>
      <c r="C976">
        <v>146.77951328500001</v>
      </c>
      <c r="D976">
        <v>-19.129701456999999</v>
      </c>
      <c r="F976" s="64"/>
      <c r="G976" s="64"/>
      <c r="H976" s="64" t="s">
        <v>26</v>
      </c>
      <c r="I976" s="64"/>
      <c r="J976" s="32" t="str">
        <f>IF(AND(E976=1,OR(E975=0,E975="")),MAX(#REF!)+1,IF(AND(E976=1,E975=1),J975,""))</f>
        <v/>
      </c>
      <c r="K976" s="32" t="str">
        <f t="shared" si="58"/>
        <v/>
      </c>
      <c r="L976" s="32" t="str">
        <f t="shared" si="59"/>
        <v/>
      </c>
      <c r="M976" s="32" t="str">
        <f t="shared" si="60"/>
        <v/>
      </c>
      <c r="N976" s="4"/>
      <c r="O976" s="4"/>
      <c r="P976" s="4"/>
      <c r="Q976" s="4"/>
      <c r="U976" s="5"/>
      <c r="V976" s="4"/>
      <c r="AG976" t="s">
        <v>1015</v>
      </c>
      <c r="AM976" s="1"/>
    </row>
    <row r="977" spans="1:39" x14ac:dyDescent="0.35">
      <c r="A977">
        <v>973</v>
      </c>
      <c r="B977">
        <v>974</v>
      </c>
      <c r="C977">
        <v>146.77946597299999</v>
      </c>
      <c r="D977">
        <v>-19.129629310999999</v>
      </c>
      <c r="F977" s="64"/>
      <c r="G977" s="64"/>
      <c r="H977" s="64" t="s">
        <v>26</v>
      </c>
      <c r="I977" s="64"/>
      <c r="J977" s="32" t="str">
        <f>IF(AND(E977=1,OR(E976=0,E976="")),MAX(#REF!)+1,IF(AND(E977=1,E976=1),J976,""))</f>
        <v/>
      </c>
      <c r="K977" s="32" t="str">
        <f t="shared" si="58"/>
        <v/>
      </c>
      <c r="L977" s="32" t="str">
        <f t="shared" si="59"/>
        <v/>
      </c>
      <c r="M977" s="32" t="str">
        <f t="shared" si="60"/>
        <v/>
      </c>
      <c r="N977" s="4"/>
      <c r="O977" s="4"/>
      <c r="P977" s="4"/>
      <c r="Q977" s="4"/>
      <c r="U977" s="5"/>
      <c r="V977" s="4"/>
      <c r="AG977" t="s">
        <v>1016</v>
      </c>
      <c r="AM977" s="1"/>
    </row>
    <row r="978" spans="1:39" x14ac:dyDescent="0.35">
      <c r="A978">
        <v>974</v>
      </c>
      <c r="B978">
        <v>975</v>
      </c>
      <c r="C978">
        <v>146.77942708699999</v>
      </c>
      <c r="D978">
        <v>-19.129552920999998</v>
      </c>
      <c r="E978">
        <v>50</v>
      </c>
      <c r="F978" s="64"/>
      <c r="G978" s="64"/>
      <c r="H978" s="64" t="s">
        <v>26</v>
      </c>
      <c r="I978" s="64"/>
      <c r="J978" s="32" t="str">
        <f>IF(AND(E978=1,OR(E977=0,E977="")),MAX(#REF!)+1,IF(AND(E978=1,E977=1),J977,""))</f>
        <v/>
      </c>
      <c r="K978" s="32" t="str">
        <f t="shared" si="58"/>
        <v/>
      </c>
      <c r="L978" s="32" t="str">
        <f t="shared" si="59"/>
        <v/>
      </c>
      <c r="M978" s="32" t="str">
        <f t="shared" si="60"/>
        <v/>
      </c>
      <c r="N978" s="4"/>
      <c r="O978" s="4"/>
      <c r="P978" s="4"/>
      <c r="Q978" s="4"/>
      <c r="U978" s="5"/>
      <c r="V978" s="4"/>
      <c r="AG978" t="s">
        <v>1017</v>
      </c>
      <c r="AM978" s="1"/>
    </row>
    <row r="979" spans="1:39" x14ac:dyDescent="0.35">
      <c r="A979">
        <v>975</v>
      </c>
      <c r="B979">
        <v>976</v>
      </c>
      <c r="C979">
        <v>146.77939004999999</v>
      </c>
      <c r="D979">
        <v>-19.1294755989999</v>
      </c>
      <c r="F979" s="64"/>
      <c r="G979" s="64"/>
      <c r="H979" s="64" t="s">
        <v>26</v>
      </c>
      <c r="I979" s="64"/>
      <c r="J979" s="32" t="str">
        <f>IF(AND(E979=1,OR(E978=0,E978="")),MAX(#REF!)+1,IF(AND(E979=1,E978=1),J978,""))</f>
        <v/>
      </c>
      <c r="K979" s="32" t="str">
        <f t="shared" si="58"/>
        <v/>
      </c>
      <c r="L979" s="32" t="str">
        <f t="shared" si="59"/>
        <v/>
      </c>
      <c r="M979" s="32" t="str">
        <f t="shared" si="60"/>
        <v/>
      </c>
      <c r="N979" s="4"/>
      <c r="O979" s="4"/>
      <c r="P979" s="4"/>
      <c r="Q979" s="4"/>
      <c r="U979" s="5"/>
      <c r="V979" s="4"/>
      <c r="AG979" t="s">
        <v>1018</v>
      </c>
      <c r="AM979" s="1"/>
    </row>
    <row r="980" spans="1:39" x14ac:dyDescent="0.35">
      <c r="A980">
        <v>976</v>
      </c>
      <c r="B980">
        <v>977</v>
      </c>
      <c r="C980">
        <v>146.77935301299999</v>
      </c>
      <c r="D980">
        <v>-19.129398277</v>
      </c>
      <c r="F980" s="64"/>
      <c r="G980" s="64"/>
      <c r="H980" s="64" t="s">
        <v>26</v>
      </c>
      <c r="I980" s="64"/>
      <c r="J980" s="32" t="str">
        <f>IF(AND(E980=1,OR(E979=0,E979="")),MAX(#REF!)+1,IF(AND(E980=1,E979=1),J979,""))</f>
        <v/>
      </c>
      <c r="K980" s="32" t="str">
        <f t="shared" si="58"/>
        <v/>
      </c>
      <c r="L980" s="32" t="str">
        <f t="shared" si="59"/>
        <v/>
      </c>
      <c r="M980" s="32" t="str">
        <f t="shared" si="60"/>
        <v/>
      </c>
      <c r="N980" s="4"/>
      <c r="O980" s="4"/>
      <c r="P980" s="4"/>
      <c r="Q980" s="4"/>
      <c r="U980" s="5"/>
      <c r="V980" s="4"/>
      <c r="AG980" t="s">
        <v>1019</v>
      </c>
      <c r="AM980" s="1"/>
    </row>
    <row r="981" spans="1:39" x14ac:dyDescent="0.35">
      <c r="A981">
        <v>977</v>
      </c>
      <c r="B981">
        <v>978</v>
      </c>
      <c r="C981">
        <v>146.77931597700001</v>
      </c>
      <c r="D981">
        <v>-19.129320954000001</v>
      </c>
      <c r="F981" s="64"/>
      <c r="G981" s="64"/>
      <c r="H981" s="64" t="s">
        <v>26</v>
      </c>
      <c r="I981" s="64"/>
      <c r="J981" s="32" t="str">
        <f>IF(AND(E981=1,OR(E980=0,E980="")),MAX(#REF!)+1,IF(AND(E981=1,E980=1),J980,""))</f>
        <v/>
      </c>
      <c r="K981" s="32" t="str">
        <f t="shared" si="58"/>
        <v/>
      </c>
      <c r="L981" s="32" t="str">
        <f t="shared" si="59"/>
        <v/>
      </c>
      <c r="M981" s="32" t="str">
        <f t="shared" si="60"/>
        <v/>
      </c>
      <c r="N981" s="4"/>
      <c r="O981" s="4"/>
      <c r="P981" s="4"/>
      <c r="Q981" s="4"/>
      <c r="U981" s="5"/>
      <c r="V981" s="4"/>
      <c r="AG981" t="s">
        <v>1020</v>
      </c>
      <c r="AM981" s="1"/>
    </row>
    <row r="982" spans="1:39" x14ac:dyDescent="0.35">
      <c r="A982">
        <v>978</v>
      </c>
      <c r="B982">
        <v>979</v>
      </c>
      <c r="C982">
        <v>146.779286458</v>
      </c>
      <c r="D982">
        <v>-19.1292420999999</v>
      </c>
      <c r="F982" s="64"/>
      <c r="G982" s="64"/>
      <c r="H982" s="64" t="s">
        <v>26</v>
      </c>
      <c r="I982" s="64"/>
      <c r="J982" s="32" t="str">
        <f>IF(AND(E982=1,OR(E981=0,E981="")),MAX(#REF!)+1,IF(AND(E982=1,E981=1),J981,""))</f>
        <v/>
      </c>
      <c r="K982" s="32" t="str">
        <f t="shared" si="58"/>
        <v/>
      </c>
      <c r="L982" s="32" t="str">
        <f t="shared" si="59"/>
        <v/>
      </c>
      <c r="M982" s="32" t="str">
        <f t="shared" si="60"/>
        <v/>
      </c>
      <c r="N982" s="4"/>
      <c r="O982" s="4"/>
      <c r="P982" s="4"/>
      <c r="Q982" s="4"/>
      <c r="U982" s="5"/>
      <c r="V982" s="4"/>
      <c r="AG982" t="s">
        <v>1021</v>
      </c>
      <c r="AM982" s="1"/>
    </row>
    <row r="983" spans="1:39" x14ac:dyDescent="0.35">
      <c r="A983">
        <v>979</v>
      </c>
      <c r="B983">
        <v>980</v>
      </c>
      <c r="C983">
        <v>146.779286458</v>
      </c>
      <c r="D983">
        <v>-19.129157228999901</v>
      </c>
      <c r="E983">
        <v>50</v>
      </c>
      <c r="F983" s="64"/>
      <c r="G983" s="64"/>
      <c r="H983" s="64" t="s">
        <v>26</v>
      </c>
      <c r="I983" s="64"/>
      <c r="J983" s="32" t="str">
        <f>IF(AND(E983=1,OR(E982=0,E982="")),MAX(#REF!)+1,IF(AND(E983=1,E982=1),J982,""))</f>
        <v/>
      </c>
      <c r="K983" s="32" t="str">
        <f t="shared" si="58"/>
        <v/>
      </c>
      <c r="L983" s="32" t="str">
        <f t="shared" si="59"/>
        <v/>
      </c>
      <c r="M983" s="32" t="str">
        <f t="shared" si="60"/>
        <v/>
      </c>
      <c r="N983" s="4"/>
      <c r="O983" s="4"/>
      <c r="P983" s="4"/>
      <c r="Q983" s="4"/>
      <c r="U983" s="5"/>
      <c r="V983" s="4"/>
      <c r="AG983" t="s">
        <v>1022</v>
      </c>
      <c r="AM983" s="1"/>
    </row>
    <row r="984" spans="1:39" x14ac:dyDescent="0.35">
      <c r="A984">
        <v>980</v>
      </c>
      <c r="B984">
        <v>981</v>
      </c>
      <c r="C984">
        <v>146.779286458</v>
      </c>
      <c r="D984">
        <v>-19.129072356999899</v>
      </c>
      <c r="F984" s="64"/>
      <c r="G984" s="64"/>
      <c r="H984" s="64" t="s">
        <v>26</v>
      </c>
      <c r="I984" s="64"/>
      <c r="J984" s="32" t="str">
        <f>IF(AND(E984=1,OR(E983=0,E983="")),MAX(#REF!)+1,IF(AND(E984=1,E983=1),J983,""))</f>
        <v/>
      </c>
      <c r="K984" s="32" t="str">
        <f t="shared" si="58"/>
        <v/>
      </c>
      <c r="L984" s="32" t="str">
        <f t="shared" si="59"/>
        <v/>
      </c>
      <c r="M984" s="32" t="str">
        <f t="shared" si="60"/>
        <v/>
      </c>
      <c r="N984" s="4"/>
      <c r="O984" s="4"/>
      <c r="P984" s="4"/>
      <c r="Q984" s="4"/>
      <c r="U984" s="5"/>
      <c r="V984" s="4"/>
      <c r="AG984" t="s">
        <v>1023</v>
      </c>
      <c r="AM984" s="1"/>
    </row>
    <row r="985" spans="1:39" x14ac:dyDescent="0.35">
      <c r="A985">
        <v>981</v>
      </c>
      <c r="B985">
        <v>982</v>
      </c>
      <c r="F985" s="64"/>
      <c r="G985" s="64"/>
      <c r="H985" s="64" t="s">
        <v>26</v>
      </c>
      <c r="I985" s="64"/>
      <c r="J985" s="32" t="str">
        <f>IF(AND(E985=1,OR(E984=0,E984="")),MAX(#REF!)+1,IF(AND(E985=1,E984=1),J984,""))</f>
        <v/>
      </c>
      <c r="K985" s="32" t="str">
        <f t="shared" si="58"/>
        <v/>
      </c>
      <c r="L985" s="32" t="str">
        <f t="shared" si="59"/>
        <v/>
      </c>
      <c r="M985" s="32" t="str">
        <f t="shared" si="60"/>
        <v/>
      </c>
      <c r="N985" s="4"/>
      <c r="AG985" t="s">
        <v>1024</v>
      </c>
      <c r="AM985" s="1"/>
    </row>
    <row r="986" spans="1:39" x14ac:dyDescent="0.35">
      <c r="A986">
        <v>982</v>
      </c>
      <c r="B986">
        <v>983</v>
      </c>
      <c r="F986" s="64"/>
      <c r="G986" s="64"/>
      <c r="H986" s="64" t="s">
        <v>26</v>
      </c>
      <c r="I986" s="64"/>
      <c r="J986" s="32" t="str">
        <f>IF(AND(E986=1,OR(E985=0,E985="")),MAX(#REF!)+1,IF(AND(E986=1,E985=1),J985,""))</f>
        <v/>
      </c>
      <c r="K986" s="32" t="str">
        <f t="shared" si="58"/>
        <v/>
      </c>
      <c r="L986" s="32" t="str">
        <f t="shared" si="59"/>
        <v/>
      </c>
      <c r="M986" s="32" t="str">
        <f t="shared" si="60"/>
        <v/>
      </c>
      <c r="N986" s="4"/>
      <c r="AG986" t="s">
        <v>1025</v>
      </c>
      <c r="AM986" s="1"/>
    </row>
    <row r="987" spans="1:39" x14ac:dyDescent="0.35">
      <c r="A987">
        <v>983</v>
      </c>
      <c r="B987">
        <v>984</v>
      </c>
      <c r="F987" s="64"/>
      <c r="G987" s="64"/>
      <c r="H987" s="64" t="s">
        <v>26</v>
      </c>
      <c r="I987" s="64"/>
      <c r="J987" s="32" t="str">
        <f>IF(AND(E987=1,OR(E986=0,E986="")),MAX(#REF!)+1,IF(AND(E987=1,E986=1),J986,""))</f>
        <v/>
      </c>
      <c r="K987" s="32" t="str">
        <f t="shared" si="58"/>
        <v/>
      </c>
      <c r="L987" s="32" t="str">
        <f t="shared" si="59"/>
        <v/>
      </c>
      <c r="M987" s="32" t="str">
        <f t="shared" si="60"/>
        <v/>
      </c>
      <c r="N987" s="4"/>
      <c r="AG987" t="s">
        <v>1026</v>
      </c>
      <c r="AM987" s="1"/>
    </row>
    <row r="988" spans="1:39" x14ac:dyDescent="0.35">
      <c r="A988">
        <v>984</v>
      </c>
      <c r="B988">
        <v>985</v>
      </c>
      <c r="F988" s="64"/>
      <c r="G988" s="64"/>
      <c r="H988" s="64" t="s">
        <v>26</v>
      </c>
      <c r="I988" s="64"/>
      <c r="J988" s="32" t="str">
        <f>IF(AND(E988=1,OR(E987=0,E987="")),MAX(#REF!)+1,IF(AND(E988=1,E987=1),J987,""))</f>
        <v/>
      </c>
      <c r="K988" s="32" t="str">
        <f t="shared" si="58"/>
        <v/>
      </c>
      <c r="L988" s="32" t="str">
        <f t="shared" si="59"/>
        <v/>
      </c>
      <c r="M988" s="32" t="str">
        <f t="shared" si="60"/>
        <v/>
      </c>
      <c r="N988" s="4"/>
      <c r="AG988" t="s">
        <v>1027</v>
      </c>
      <c r="AM988" s="1"/>
    </row>
    <row r="989" spans="1:39" x14ac:dyDescent="0.35">
      <c r="A989">
        <v>985</v>
      </c>
      <c r="B989">
        <v>986</v>
      </c>
      <c r="F989" s="64"/>
      <c r="G989" s="64"/>
      <c r="H989" s="64" t="s">
        <v>26</v>
      </c>
      <c r="I989" s="64"/>
      <c r="J989" s="32" t="str">
        <f>IF(AND(E989=1,OR(E988=0,E988="")),MAX(#REF!)+1,IF(AND(E989=1,E988=1),J988,""))</f>
        <v/>
      </c>
      <c r="K989" s="32" t="str">
        <f t="shared" si="58"/>
        <v/>
      </c>
      <c r="L989" s="32" t="str">
        <f t="shared" si="59"/>
        <v/>
      </c>
      <c r="M989" s="32" t="str">
        <f t="shared" si="60"/>
        <v/>
      </c>
      <c r="N989" s="4"/>
      <c r="AG989" t="s">
        <v>1028</v>
      </c>
      <c r="AM989" s="1"/>
    </row>
    <row r="990" spans="1:39" x14ac:dyDescent="0.35">
      <c r="A990">
        <v>986</v>
      </c>
      <c r="B990">
        <v>987</v>
      </c>
      <c r="F990" s="64"/>
      <c r="G990" s="64"/>
      <c r="H990" s="64" t="s">
        <v>26</v>
      </c>
      <c r="I990" s="64"/>
      <c r="J990" s="32" t="str">
        <f>IF(AND(E990=1,OR(E989=0,E989="")),MAX(#REF!)+1,IF(AND(E990=1,E989=1),J989,""))</f>
        <v/>
      </c>
      <c r="K990" s="32" t="str">
        <f t="shared" si="58"/>
        <v/>
      </c>
      <c r="L990" s="32" t="str">
        <f t="shared" si="59"/>
        <v/>
      </c>
      <c r="M990" s="32" t="str">
        <f t="shared" si="60"/>
        <v/>
      </c>
      <c r="N990" s="4"/>
      <c r="AG990" t="s">
        <v>1029</v>
      </c>
      <c r="AM990" s="1"/>
    </row>
    <row r="991" spans="1:39" x14ac:dyDescent="0.35">
      <c r="A991">
        <v>987</v>
      </c>
      <c r="B991">
        <v>988</v>
      </c>
      <c r="F991" s="64"/>
      <c r="G991" s="64"/>
      <c r="H991" s="64" t="s">
        <v>26</v>
      </c>
      <c r="I991" s="64"/>
      <c r="J991" s="32" t="str">
        <f>IF(AND(E991=1,OR(E990=0,E990="")),MAX(#REF!)+1,IF(AND(E991=1,E990=1),J990,""))</f>
        <v/>
      </c>
      <c r="K991" s="32" t="str">
        <f t="shared" ref="K991:K1054" si="61">IF(J991="","",COUNTIF(J:J,J991)*10)</f>
        <v/>
      </c>
      <c r="L991" s="32" t="str">
        <f t="shared" si="59"/>
        <v/>
      </c>
      <c r="M991" s="32" t="str">
        <f t="shared" si="60"/>
        <v/>
      </c>
      <c r="N991" s="4"/>
      <c r="AG991" t="s">
        <v>1030</v>
      </c>
      <c r="AM991" s="1"/>
    </row>
    <row r="992" spans="1:39" x14ac:dyDescent="0.35">
      <c r="A992">
        <v>988</v>
      </c>
      <c r="B992">
        <v>989</v>
      </c>
      <c r="F992" s="64"/>
      <c r="G992" s="64"/>
      <c r="H992" s="64" t="s">
        <v>26</v>
      </c>
      <c r="I992" s="64"/>
      <c r="J992" s="32" t="str">
        <f>IF(AND(E992=1,OR(E991=0,E991="")),MAX(#REF!)+1,IF(AND(E992=1,E991=1),J991,""))</f>
        <v/>
      </c>
      <c r="K992" s="32" t="str">
        <f t="shared" si="61"/>
        <v/>
      </c>
      <c r="L992" s="32" t="str">
        <f t="shared" si="59"/>
        <v/>
      </c>
      <c r="M992" s="32" t="str">
        <f t="shared" si="60"/>
        <v/>
      </c>
      <c r="N992" s="4"/>
      <c r="AG992" t="s">
        <v>1031</v>
      </c>
      <c r="AM992" s="1"/>
    </row>
    <row r="993" spans="1:39" x14ac:dyDescent="0.35">
      <c r="A993">
        <v>989</v>
      </c>
      <c r="B993">
        <v>990</v>
      </c>
      <c r="F993" s="64"/>
      <c r="G993" s="64"/>
      <c r="H993" s="64" t="s">
        <v>26</v>
      </c>
      <c r="I993" s="64"/>
      <c r="J993" s="32" t="str">
        <f>IF(AND(E993=1,OR(E992=0,E992="")),MAX(#REF!)+1,IF(AND(E993=1,E992=1),J992,""))</f>
        <v/>
      </c>
      <c r="K993" s="32" t="str">
        <f t="shared" si="61"/>
        <v/>
      </c>
      <c r="L993" s="32" t="str">
        <f t="shared" si="59"/>
        <v/>
      </c>
      <c r="M993" s="32" t="str">
        <f t="shared" si="60"/>
        <v/>
      </c>
      <c r="N993" s="4"/>
      <c r="AG993" t="s">
        <v>1032</v>
      </c>
      <c r="AM993" s="1"/>
    </row>
    <row r="994" spans="1:39" x14ac:dyDescent="0.35">
      <c r="A994">
        <v>990</v>
      </c>
      <c r="B994">
        <v>991</v>
      </c>
      <c r="F994" s="64"/>
      <c r="G994" s="64"/>
      <c r="H994" s="64" t="s">
        <v>26</v>
      </c>
      <c r="I994" s="64"/>
      <c r="J994" s="32" t="str">
        <f>IF(AND(E994=1,OR(E993=0,E993="")),MAX(#REF!)+1,IF(AND(E994=1,E993=1),J993,""))</f>
        <v/>
      </c>
      <c r="K994" s="32" t="str">
        <f t="shared" si="61"/>
        <v/>
      </c>
      <c r="L994" s="32" t="str">
        <f t="shared" si="59"/>
        <v/>
      </c>
      <c r="M994" s="32" t="str">
        <f t="shared" si="60"/>
        <v/>
      </c>
      <c r="N994" s="4"/>
      <c r="AG994" t="s">
        <v>1033</v>
      </c>
      <c r="AM994" s="1"/>
    </row>
    <row r="995" spans="1:39" x14ac:dyDescent="0.35">
      <c r="A995">
        <v>991</v>
      </c>
      <c r="B995">
        <v>992</v>
      </c>
      <c r="F995" s="64"/>
      <c r="G995" s="64"/>
      <c r="H995" s="64" t="s">
        <v>26</v>
      </c>
      <c r="I995" s="64"/>
      <c r="J995" s="32" t="str">
        <f>IF(AND(E995=1,OR(E994=0,E994="")),MAX(#REF!)+1,IF(AND(E995=1,E994=1),J994,""))</f>
        <v/>
      </c>
      <c r="K995" s="32" t="str">
        <f t="shared" si="61"/>
        <v/>
      </c>
      <c r="L995" s="32" t="str">
        <f t="shared" si="59"/>
        <v/>
      </c>
      <c r="M995" s="32" t="str">
        <f t="shared" si="60"/>
        <v/>
      </c>
      <c r="N995" s="4"/>
      <c r="AG995" t="s">
        <v>1034</v>
      </c>
      <c r="AM995" s="1"/>
    </row>
    <row r="996" spans="1:39" x14ac:dyDescent="0.35">
      <c r="A996">
        <v>992</v>
      </c>
      <c r="B996">
        <v>993</v>
      </c>
      <c r="F996" s="64"/>
      <c r="G996" s="64"/>
      <c r="H996" s="64" t="s">
        <v>26</v>
      </c>
      <c r="I996" s="64"/>
      <c r="J996" s="32" t="str">
        <f>IF(AND(E996=1,OR(E995=0,E995="")),MAX(#REF!)+1,IF(AND(E996=1,E995=1),J995,""))</f>
        <v/>
      </c>
      <c r="K996" s="32" t="str">
        <f t="shared" si="61"/>
        <v/>
      </c>
      <c r="L996" s="32" t="str">
        <f t="shared" si="59"/>
        <v/>
      </c>
      <c r="M996" s="32" t="str">
        <f t="shared" si="60"/>
        <v/>
      </c>
      <c r="N996" s="4"/>
      <c r="AG996" t="s">
        <v>1035</v>
      </c>
      <c r="AM996" s="1"/>
    </row>
    <row r="997" spans="1:39" x14ac:dyDescent="0.35">
      <c r="A997">
        <v>993</v>
      </c>
      <c r="B997">
        <v>994</v>
      </c>
      <c r="F997" s="64"/>
      <c r="G997" s="64"/>
      <c r="H997" s="64" t="s">
        <v>26</v>
      </c>
      <c r="I997" s="64"/>
      <c r="J997" s="32" t="str">
        <f>IF(AND(E997=1,OR(E996=0,E996="")),MAX(#REF!)+1,IF(AND(E997=1,E996=1),J996,""))</f>
        <v/>
      </c>
      <c r="K997" s="32" t="str">
        <f t="shared" si="61"/>
        <v/>
      </c>
      <c r="L997" s="32" t="str">
        <f t="shared" si="59"/>
        <v/>
      </c>
      <c r="M997" s="32" t="str">
        <f t="shared" si="60"/>
        <v/>
      </c>
      <c r="N997" s="4"/>
      <c r="AG997" t="s">
        <v>1036</v>
      </c>
      <c r="AM997" s="1"/>
    </row>
    <row r="998" spans="1:39" x14ac:dyDescent="0.35">
      <c r="A998">
        <v>994</v>
      </c>
      <c r="B998">
        <v>995</v>
      </c>
      <c r="F998" s="64"/>
      <c r="G998" s="64"/>
      <c r="H998" s="64" t="s">
        <v>26</v>
      </c>
      <c r="I998" s="64"/>
      <c r="J998" s="32" t="str">
        <f>IF(AND(E998=1,OR(E997=0,E997="")),MAX(#REF!)+1,IF(AND(E998=1,E997=1),J997,""))</f>
        <v/>
      </c>
      <c r="K998" s="32" t="str">
        <f t="shared" si="61"/>
        <v/>
      </c>
      <c r="L998" s="32" t="str">
        <f t="shared" si="59"/>
        <v/>
      </c>
      <c r="M998" s="32" t="str">
        <f t="shared" si="60"/>
        <v/>
      </c>
      <c r="N998" s="4"/>
      <c r="AG998" t="s">
        <v>1037</v>
      </c>
      <c r="AM998" s="1"/>
    </row>
    <row r="999" spans="1:39" x14ac:dyDescent="0.35">
      <c r="A999">
        <v>995</v>
      </c>
      <c r="B999">
        <v>996</v>
      </c>
      <c r="F999" s="64"/>
      <c r="G999" s="64"/>
      <c r="H999" s="64" t="s">
        <v>26</v>
      </c>
      <c r="I999" s="64"/>
      <c r="J999" s="32" t="str">
        <f>IF(AND(E999=1,OR(E998=0,E998="")),MAX(#REF!)+1,IF(AND(E999=1,E998=1),J998,""))</f>
        <v/>
      </c>
      <c r="K999" s="32" t="str">
        <f t="shared" si="61"/>
        <v/>
      </c>
      <c r="L999" s="32" t="str">
        <f t="shared" si="59"/>
        <v/>
      </c>
      <c r="M999" s="32" t="str">
        <f t="shared" si="60"/>
        <v/>
      </c>
      <c r="N999" s="4"/>
      <c r="AG999" t="s">
        <v>1038</v>
      </c>
      <c r="AM999" s="1"/>
    </row>
    <row r="1000" spans="1:39" x14ac:dyDescent="0.35">
      <c r="A1000">
        <v>996</v>
      </c>
      <c r="B1000">
        <v>997</v>
      </c>
      <c r="F1000" s="64"/>
      <c r="G1000" s="64"/>
      <c r="H1000" s="64" t="s">
        <v>26</v>
      </c>
      <c r="I1000" s="64"/>
      <c r="J1000" s="32" t="str">
        <f>IF(AND(E1000=1,OR(E999=0,E999="")),MAX(#REF!)+1,IF(AND(E1000=1,E999=1),J999,""))</f>
        <v/>
      </c>
      <c r="K1000" s="32" t="str">
        <f t="shared" si="61"/>
        <v/>
      </c>
      <c r="L1000" s="32" t="str">
        <f t="shared" si="59"/>
        <v/>
      </c>
      <c r="M1000" s="32" t="str">
        <f t="shared" si="60"/>
        <v/>
      </c>
      <c r="N1000" s="4"/>
      <c r="AG1000" t="s">
        <v>1039</v>
      </c>
      <c r="AM1000" s="1"/>
    </row>
    <row r="1001" spans="1:39" x14ac:dyDescent="0.35">
      <c r="A1001">
        <v>997</v>
      </c>
      <c r="B1001">
        <v>998</v>
      </c>
      <c r="F1001" s="64"/>
      <c r="G1001" s="64"/>
      <c r="H1001" s="64" t="s">
        <v>26</v>
      </c>
      <c r="I1001" s="64"/>
      <c r="J1001" s="32" t="str">
        <f>IF(AND(E1001=1,OR(E1000=0,E1000="")),MAX(#REF!)+1,IF(AND(E1001=1,E1000=1),J1000,""))</f>
        <v/>
      </c>
      <c r="K1001" s="32" t="str">
        <f t="shared" si="61"/>
        <v/>
      </c>
      <c r="L1001" s="32" t="str">
        <f t="shared" si="59"/>
        <v/>
      </c>
      <c r="M1001" s="32" t="str">
        <f t="shared" si="60"/>
        <v/>
      </c>
      <c r="N1001" s="4"/>
      <c r="AG1001" t="s">
        <v>1040</v>
      </c>
      <c r="AM1001" s="1"/>
    </row>
    <row r="1002" spans="1:39" x14ac:dyDescent="0.35">
      <c r="A1002">
        <v>998</v>
      </c>
      <c r="B1002">
        <v>999</v>
      </c>
      <c r="F1002" s="64"/>
      <c r="G1002" s="64"/>
      <c r="H1002" s="64" t="s">
        <v>26</v>
      </c>
      <c r="I1002" s="64"/>
      <c r="J1002" s="32" t="str">
        <f>IF(AND(E1002=1,OR(E1001=0,E1001="")),MAX(#REF!)+1,IF(AND(E1002=1,E1001=1),J1001,""))</f>
        <v/>
      </c>
      <c r="K1002" s="32" t="str">
        <f t="shared" si="61"/>
        <v/>
      </c>
      <c r="L1002" s="32" t="str">
        <f t="shared" si="59"/>
        <v/>
      </c>
      <c r="M1002" s="32" t="str">
        <f t="shared" si="60"/>
        <v/>
      </c>
      <c r="N1002" s="4"/>
      <c r="AG1002" t="s">
        <v>1041</v>
      </c>
      <c r="AM1002" s="1"/>
    </row>
    <row r="1003" spans="1:39" x14ac:dyDescent="0.35">
      <c r="A1003">
        <v>999</v>
      </c>
      <c r="B1003">
        <v>1000</v>
      </c>
      <c r="F1003" s="64"/>
      <c r="G1003" s="64"/>
      <c r="H1003" s="64" t="s">
        <v>26</v>
      </c>
      <c r="I1003" s="64"/>
      <c r="J1003" s="32" t="str">
        <f>IF(AND(E1003=1,OR(E1002=0,E1002="")),MAX(#REF!)+1,IF(AND(E1003=1,E1002=1),J1002,""))</f>
        <v/>
      </c>
      <c r="K1003" s="32" t="str">
        <f t="shared" si="61"/>
        <v/>
      </c>
      <c r="L1003" s="32" t="str">
        <f t="shared" si="59"/>
        <v/>
      </c>
      <c r="M1003" s="32" t="str">
        <f t="shared" si="60"/>
        <v/>
      </c>
      <c r="N1003" s="4"/>
      <c r="AG1003" t="s">
        <v>1042</v>
      </c>
      <c r="AM1003" s="1"/>
    </row>
    <row r="1004" spans="1:39" x14ac:dyDescent="0.35">
      <c r="A1004">
        <v>1000</v>
      </c>
      <c r="B1004">
        <v>1001</v>
      </c>
      <c r="F1004" s="64"/>
      <c r="G1004" s="64"/>
      <c r="H1004" s="64" t="s">
        <v>26</v>
      </c>
      <c r="I1004" s="64"/>
      <c r="J1004" s="32" t="str">
        <f>IF(AND(E1004=1,OR(E1003=0,E1003="")),MAX(#REF!)+1,IF(AND(E1004=1,E1003=1),J1003,""))</f>
        <v/>
      </c>
      <c r="K1004" s="32" t="str">
        <f t="shared" si="61"/>
        <v/>
      </c>
      <c r="L1004" s="32" t="str">
        <f t="shared" si="59"/>
        <v/>
      </c>
      <c r="M1004" s="32" t="str">
        <f t="shared" si="60"/>
        <v/>
      </c>
      <c r="N1004" s="4"/>
      <c r="AG1004" t="s">
        <v>1043</v>
      </c>
      <c r="AM1004" s="1"/>
    </row>
    <row r="1005" spans="1:39" x14ac:dyDescent="0.35">
      <c r="A1005">
        <v>1001</v>
      </c>
      <c r="B1005">
        <v>1002</v>
      </c>
      <c r="F1005" s="64"/>
      <c r="G1005" s="64"/>
      <c r="H1005" s="64" t="s">
        <v>26</v>
      </c>
      <c r="I1005" s="64"/>
      <c r="J1005" s="32" t="str">
        <f>IF(AND(E1005=1,OR(E1004=0,E1004="")),MAX(#REF!)+1,IF(AND(E1005=1,E1004=1),J1004,""))</f>
        <v/>
      </c>
      <c r="K1005" s="32" t="str">
        <f t="shared" si="61"/>
        <v/>
      </c>
      <c r="L1005" s="32" t="str">
        <f t="shared" si="59"/>
        <v/>
      </c>
      <c r="M1005" s="32" t="str">
        <f t="shared" si="60"/>
        <v/>
      </c>
      <c r="N1005" s="4"/>
      <c r="AG1005" t="s">
        <v>1044</v>
      </c>
      <c r="AM1005" s="1"/>
    </row>
    <row r="1006" spans="1:39" x14ac:dyDescent="0.35">
      <c r="A1006">
        <v>1002</v>
      </c>
      <c r="B1006">
        <v>1003</v>
      </c>
      <c r="F1006" s="64"/>
      <c r="G1006" s="64"/>
      <c r="H1006" s="64" t="s">
        <v>26</v>
      </c>
      <c r="I1006" s="64"/>
      <c r="J1006" s="32" t="str">
        <f>IF(AND(E1006=1,OR(E1005=0,E1005="")),MAX(#REF!)+1,IF(AND(E1006=1,E1005=1),J1005,""))</f>
        <v/>
      </c>
      <c r="K1006" s="32" t="str">
        <f t="shared" si="61"/>
        <v/>
      </c>
      <c r="L1006" s="32" t="str">
        <f t="shared" si="59"/>
        <v/>
      </c>
      <c r="M1006" s="32" t="str">
        <f t="shared" si="60"/>
        <v/>
      </c>
      <c r="N1006" s="4"/>
      <c r="AG1006" t="s">
        <v>1045</v>
      </c>
      <c r="AM1006" s="1"/>
    </row>
    <row r="1007" spans="1:39" x14ac:dyDescent="0.35">
      <c r="A1007">
        <v>1003</v>
      </c>
      <c r="B1007">
        <v>1004</v>
      </c>
      <c r="F1007" s="64"/>
      <c r="G1007" s="64"/>
      <c r="H1007" s="64" t="s">
        <v>26</v>
      </c>
      <c r="I1007" s="64"/>
      <c r="J1007" s="32" t="str">
        <f>IF(AND(E1007=1,OR(E1006=0,E1006="")),MAX(#REF!)+1,IF(AND(E1007=1,E1006=1),J1006,""))</f>
        <v/>
      </c>
      <c r="K1007" s="32" t="str">
        <f t="shared" si="61"/>
        <v/>
      </c>
      <c r="L1007" s="32" t="str">
        <f t="shared" si="59"/>
        <v/>
      </c>
      <c r="M1007" s="32" t="str">
        <f t="shared" si="60"/>
        <v/>
      </c>
      <c r="N1007" s="4"/>
      <c r="AG1007" t="s">
        <v>1046</v>
      </c>
      <c r="AM1007" s="1"/>
    </row>
    <row r="1008" spans="1:39" x14ac:dyDescent="0.35">
      <c r="A1008">
        <v>1004</v>
      </c>
      <c r="B1008">
        <v>1005</v>
      </c>
      <c r="F1008" s="64"/>
      <c r="G1008" s="64"/>
      <c r="H1008" s="64" t="s">
        <v>26</v>
      </c>
      <c r="I1008" s="64"/>
      <c r="J1008" s="32" t="str">
        <f>IF(AND(E1008=1,OR(E1007=0,E1007="")),MAX(#REF!)+1,IF(AND(E1008=1,E1007=1),J1007,""))</f>
        <v/>
      </c>
      <c r="K1008" s="32" t="str">
        <f t="shared" si="61"/>
        <v/>
      </c>
      <c r="L1008" s="32" t="str">
        <f t="shared" si="59"/>
        <v/>
      </c>
      <c r="M1008" s="32" t="str">
        <f t="shared" si="60"/>
        <v/>
      </c>
      <c r="N1008" s="4"/>
      <c r="AG1008" t="s">
        <v>1047</v>
      </c>
      <c r="AM1008" s="1"/>
    </row>
    <row r="1009" spans="1:39" x14ac:dyDescent="0.35">
      <c r="A1009">
        <v>1005</v>
      </c>
      <c r="B1009">
        <v>1006</v>
      </c>
      <c r="F1009" s="64"/>
      <c r="G1009" s="64"/>
      <c r="H1009" s="64" t="s">
        <v>26</v>
      </c>
      <c r="I1009" s="64"/>
      <c r="J1009" s="32" t="str">
        <f>IF(AND(E1009=1,OR(E1008=0,E1008="")),MAX(#REF!)+1,IF(AND(E1009=1,E1008=1),J1008,""))</f>
        <v/>
      </c>
      <c r="K1009" s="32" t="str">
        <f t="shared" si="61"/>
        <v/>
      </c>
      <c r="L1009" s="32" t="str">
        <f t="shared" si="59"/>
        <v/>
      </c>
      <c r="M1009" s="32" t="str">
        <f t="shared" si="60"/>
        <v/>
      </c>
      <c r="N1009" s="4"/>
      <c r="AG1009" t="s">
        <v>1048</v>
      </c>
      <c r="AM1009" s="1"/>
    </row>
    <row r="1010" spans="1:39" x14ac:dyDescent="0.35">
      <c r="A1010">
        <v>1006</v>
      </c>
      <c r="B1010">
        <v>1007</v>
      </c>
      <c r="F1010" s="64"/>
      <c r="G1010" s="64"/>
      <c r="H1010" s="64" t="s">
        <v>26</v>
      </c>
      <c r="I1010" s="64"/>
      <c r="J1010" s="32" t="str">
        <f>IF(AND(E1010=1,OR(E1009=0,E1009="")),MAX(#REF!)+1,IF(AND(E1010=1,E1009=1),J1009,""))</f>
        <v/>
      </c>
      <c r="K1010" s="32" t="str">
        <f t="shared" si="61"/>
        <v/>
      </c>
      <c r="L1010" s="32" t="str">
        <f t="shared" si="59"/>
        <v/>
      </c>
      <c r="M1010" s="32" t="str">
        <f t="shared" si="60"/>
        <v/>
      </c>
      <c r="N1010" s="4"/>
      <c r="AG1010" t="s">
        <v>1049</v>
      </c>
      <c r="AM1010" s="1"/>
    </row>
    <row r="1011" spans="1:39" x14ac:dyDescent="0.35">
      <c r="A1011">
        <v>1007</v>
      </c>
      <c r="B1011">
        <v>1008</v>
      </c>
      <c r="F1011" s="64"/>
      <c r="G1011" s="64"/>
      <c r="H1011" s="64" t="s">
        <v>26</v>
      </c>
      <c r="I1011" s="64"/>
      <c r="J1011" s="32" t="str">
        <f>IF(AND(E1011=1,OR(E1010=0,E1010="")),MAX(#REF!)+1,IF(AND(E1011=1,E1010=1),J1010,""))</f>
        <v/>
      </c>
      <c r="K1011" s="32" t="str">
        <f t="shared" si="61"/>
        <v/>
      </c>
      <c r="L1011" s="32" t="str">
        <f t="shared" si="59"/>
        <v/>
      </c>
      <c r="M1011" s="32" t="str">
        <f t="shared" si="60"/>
        <v/>
      </c>
      <c r="N1011" s="4"/>
      <c r="AG1011" t="s">
        <v>1050</v>
      </c>
      <c r="AM1011" s="1"/>
    </row>
    <row r="1012" spans="1:39" x14ac:dyDescent="0.35">
      <c r="A1012">
        <v>1008</v>
      </c>
      <c r="B1012">
        <v>1009</v>
      </c>
      <c r="F1012" s="64"/>
      <c r="G1012" s="64"/>
      <c r="H1012" s="64" t="s">
        <v>26</v>
      </c>
      <c r="I1012" s="64"/>
      <c r="J1012" s="32" t="str">
        <f>IF(AND(E1012=1,OR(E1011=0,E1011="")),MAX(#REF!)+1,IF(AND(E1012=1,E1011=1),J1011,""))</f>
        <v/>
      </c>
      <c r="K1012" s="32" t="str">
        <f t="shared" si="61"/>
        <v/>
      </c>
      <c r="L1012" s="32" t="str">
        <f t="shared" si="59"/>
        <v/>
      </c>
      <c r="M1012" s="32" t="str">
        <f t="shared" si="60"/>
        <v/>
      </c>
      <c r="N1012" s="4"/>
      <c r="AG1012" t="s">
        <v>1051</v>
      </c>
      <c r="AM1012" s="1"/>
    </row>
    <row r="1013" spans="1:39" x14ac:dyDescent="0.35">
      <c r="A1013">
        <v>1009</v>
      </c>
      <c r="B1013">
        <v>1010</v>
      </c>
      <c r="F1013" s="64"/>
      <c r="G1013" s="64"/>
      <c r="H1013" s="64" t="s">
        <v>26</v>
      </c>
      <c r="I1013" s="64"/>
      <c r="J1013" s="32" t="str">
        <f>IF(AND(E1013=1,OR(E1012=0,E1012="")),MAX(#REF!)+1,IF(AND(E1013=1,E1012=1),J1012,""))</f>
        <v/>
      </c>
      <c r="K1013" s="32" t="str">
        <f t="shared" si="61"/>
        <v/>
      </c>
      <c r="L1013" s="32" t="str">
        <f t="shared" si="59"/>
        <v/>
      </c>
      <c r="M1013" s="32" t="str">
        <f t="shared" si="60"/>
        <v/>
      </c>
      <c r="N1013" s="4"/>
      <c r="AG1013" t="s">
        <v>1052</v>
      </c>
      <c r="AM1013" s="1"/>
    </row>
    <row r="1014" spans="1:39" x14ac:dyDescent="0.35">
      <c r="A1014">
        <v>1010</v>
      </c>
      <c r="B1014">
        <v>1011</v>
      </c>
      <c r="F1014" s="64"/>
      <c r="G1014" s="64"/>
      <c r="H1014" s="64" t="s">
        <v>26</v>
      </c>
      <c r="I1014" s="64"/>
      <c r="J1014" s="32" t="str">
        <f>IF(AND(E1014=1,OR(E1013=0,E1013="")),MAX(#REF!)+1,IF(AND(E1014=1,E1013=1),J1013,""))</f>
        <v/>
      </c>
      <c r="K1014" s="32" t="str">
        <f t="shared" si="61"/>
        <v/>
      </c>
      <c r="L1014" s="32" t="str">
        <f t="shared" si="59"/>
        <v/>
      </c>
      <c r="M1014" s="32" t="str">
        <f t="shared" si="60"/>
        <v/>
      </c>
      <c r="N1014" s="4"/>
      <c r="AG1014" t="s">
        <v>1053</v>
      </c>
      <c r="AM1014" s="1"/>
    </row>
    <row r="1015" spans="1:39" x14ac:dyDescent="0.35">
      <c r="A1015">
        <v>1011</v>
      </c>
      <c r="B1015">
        <v>1012</v>
      </c>
      <c r="F1015" s="64"/>
      <c r="G1015" s="64"/>
      <c r="H1015" s="64" t="s">
        <v>26</v>
      </c>
      <c r="I1015" s="64"/>
      <c r="J1015" s="32" t="str">
        <f>IF(AND(E1015=1,OR(E1014=0,E1014="")),MAX(#REF!)+1,IF(AND(E1015=1,E1014=1),J1014,""))</f>
        <v/>
      </c>
      <c r="K1015" s="32" t="str">
        <f t="shared" si="61"/>
        <v/>
      </c>
      <c r="L1015" s="32" t="str">
        <f t="shared" si="59"/>
        <v/>
      </c>
      <c r="M1015" s="32" t="str">
        <f t="shared" si="60"/>
        <v/>
      </c>
      <c r="N1015" s="4"/>
      <c r="AG1015" t="s">
        <v>1054</v>
      </c>
      <c r="AM1015" s="1" t="str">
        <f t="shared" ref="AM1015:AM1078" si="62">HYPERLINK("E:\CAFNEC_GBRF\2023\JohnstoneRiver\Frames_for_Analysis\" &amp; F1016, F1016)</f>
        <v>1013_C0019_0537.jpg</v>
      </c>
    </row>
    <row r="1016" spans="1:39" x14ac:dyDescent="0.35">
      <c r="A1016">
        <v>1012</v>
      </c>
      <c r="B1016">
        <v>1013</v>
      </c>
      <c r="F1016" s="64" t="s">
        <v>4346</v>
      </c>
      <c r="G1016" s="64"/>
      <c r="H1016" s="64"/>
      <c r="I1016" s="64">
        <v>1</v>
      </c>
      <c r="J1016" s="32" t="str">
        <f>IF(AND(E1016=1,OR(E1015=0,E1015="")),MAX(#REF!)+1,IF(AND(E1016=1,E1015=1),J1015,""))</f>
        <v/>
      </c>
      <c r="K1016" s="32" t="str">
        <f t="shared" si="61"/>
        <v/>
      </c>
      <c r="L1016" s="32" t="str">
        <f t="shared" si="59"/>
        <v/>
      </c>
      <c r="M1016" s="32" t="str">
        <f t="shared" si="60"/>
        <v/>
      </c>
      <c r="N1016" s="4">
        <v>1</v>
      </c>
      <c r="O1016" s="58">
        <v>0</v>
      </c>
      <c r="P1016" s="58">
        <v>0</v>
      </c>
      <c r="Q1016" s="58">
        <v>0</v>
      </c>
      <c r="R1016" s="58">
        <v>0</v>
      </c>
      <c r="S1016" s="58">
        <v>0</v>
      </c>
      <c r="T1016" s="58">
        <v>0</v>
      </c>
      <c r="U1016" s="58">
        <v>0</v>
      </c>
      <c r="V1016" s="58">
        <v>0</v>
      </c>
      <c r="AG1016" t="s">
        <v>1055</v>
      </c>
      <c r="AM1016" s="1" t="str">
        <f t="shared" si="62"/>
        <v>1014_C0019_0534.jpg</v>
      </c>
    </row>
    <row r="1017" spans="1:39" x14ac:dyDescent="0.35">
      <c r="A1017">
        <v>1013</v>
      </c>
      <c r="B1017">
        <v>1014</v>
      </c>
      <c r="F1017" s="64" t="s">
        <v>4347</v>
      </c>
      <c r="G1017" s="64"/>
      <c r="H1017" s="64"/>
      <c r="I1017" s="64">
        <v>1</v>
      </c>
      <c r="J1017" s="32" t="str">
        <f>IF(AND(E1017=1,OR(E1016=0,E1016="")),MAX(#REF!)+1,IF(AND(E1017=1,E1016=1),J1016,""))</f>
        <v/>
      </c>
      <c r="K1017" s="32" t="str">
        <f t="shared" si="61"/>
        <v/>
      </c>
      <c r="L1017" s="32" t="str">
        <f t="shared" si="59"/>
        <v/>
      </c>
      <c r="M1017" s="32" t="str">
        <f t="shared" si="60"/>
        <v/>
      </c>
      <c r="N1017" s="4">
        <v>1</v>
      </c>
      <c r="O1017" s="58">
        <v>0</v>
      </c>
      <c r="P1017" s="58">
        <v>0</v>
      </c>
      <c r="Q1017" s="58">
        <v>0</v>
      </c>
      <c r="R1017" s="58">
        <v>0</v>
      </c>
      <c r="S1017" s="58">
        <v>0</v>
      </c>
      <c r="T1017" s="58">
        <v>0</v>
      </c>
      <c r="U1017" s="58">
        <v>0</v>
      </c>
      <c r="V1017" s="58">
        <v>0</v>
      </c>
      <c r="AG1017" t="s">
        <v>1056</v>
      </c>
      <c r="AM1017" s="1" t="str">
        <f t="shared" si="62"/>
        <v>1015_C0019_0530.jpg</v>
      </c>
    </row>
    <row r="1018" spans="1:39" x14ac:dyDescent="0.35">
      <c r="A1018">
        <v>1014</v>
      </c>
      <c r="B1018">
        <v>1015</v>
      </c>
      <c r="F1018" s="64" t="s">
        <v>4348</v>
      </c>
      <c r="G1018" s="64"/>
      <c r="H1018" s="64"/>
      <c r="I1018" s="64">
        <v>1</v>
      </c>
      <c r="J1018" s="32" t="str">
        <f>IF(AND(E1018=1,OR(E1017=0,E1017="")),MAX(#REF!)+1,IF(AND(E1018=1,E1017=1),J1017,""))</f>
        <v/>
      </c>
      <c r="K1018" s="32" t="str">
        <f t="shared" si="61"/>
        <v/>
      </c>
      <c r="L1018" s="32" t="str">
        <f t="shared" si="59"/>
        <v/>
      </c>
      <c r="M1018" s="32" t="str">
        <f t="shared" si="60"/>
        <v/>
      </c>
      <c r="N1018" s="4">
        <v>1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58">
        <v>0</v>
      </c>
      <c r="AG1018" t="s">
        <v>1057</v>
      </c>
      <c r="AM1018" s="1" t="str">
        <f t="shared" si="62"/>
        <v>1016_C0019_0526.jpg</v>
      </c>
    </row>
    <row r="1019" spans="1:39" x14ac:dyDescent="0.35">
      <c r="A1019">
        <v>1015</v>
      </c>
      <c r="B1019">
        <v>1016</v>
      </c>
      <c r="F1019" s="64" t="s">
        <v>4349</v>
      </c>
      <c r="G1019" s="64"/>
      <c r="H1019" s="64"/>
      <c r="I1019" s="64">
        <v>1</v>
      </c>
      <c r="J1019" s="32" t="str">
        <f>IF(AND(E1019=1,OR(E1018=0,E1018="")),MAX(#REF!)+1,IF(AND(E1019=1,E1018=1),J1018,""))</f>
        <v/>
      </c>
      <c r="K1019" s="32" t="str">
        <f t="shared" si="61"/>
        <v/>
      </c>
      <c r="L1019" s="32" t="str">
        <f t="shared" si="59"/>
        <v/>
      </c>
      <c r="M1019" s="32" t="str">
        <f t="shared" si="60"/>
        <v/>
      </c>
      <c r="N1019" s="4">
        <v>1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58">
        <v>0</v>
      </c>
      <c r="AG1019" t="s">
        <v>1058</v>
      </c>
      <c r="AM1019" s="1" t="str">
        <f t="shared" si="62"/>
        <v>1017_C0019_0521.jpg</v>
      </c>
    </row>
    <row r="1020" spans="1:39" x14ac:dyDescent="0.35">
      <c r="A1020">
        <v>1016</v>
      </c>
      <c r="B1020">
        <v>1017</v>
      </c>
      <c r="F1020" s="64" t="s">
        <v>4350</v>
      </c>
      <c r="G1020" s="64"/>
      <c r="H1020" s="64"/>
      <c r="I1020" s="64">
        <v>1</v>
      </c>
      <c r="J1020" s="32" t="str">
        <f>IF(AND(E1020=1,OR(E1019=0,E1019="")),MAX(#REF!)+1,IF(AND(E1020=1,E1019=1),J1019,""))</f>
        <v/>
      </c>
      <c r="K1020" s="32" t="str">
        <f t="shared" si="61"/>
        <v/>
      </c>
      <c r="L1020" s="32" t="str">
        <f t="shared" si="59"/>
        <v/>
      </c>
      <c r="M1020" s="32" t="str">
        <f t="shared" si="60"/>
        <v/>
      </c>
      <c r="N1020" s="4">
        <v>1</v>
      </c>
      <c r="O1020" s="58">
        <v>0</v>
      </c>
      <c r="P1020" s="58">
        <v>0</v>
      </c>
      <c r="Q1020" s="58">
        <v>0</v>
      </c>
      <c r="R1020" s="58">
        <v>0</v>
      </c>
      <c r="S1020" s="58">
        <v>0</v>
      </c>
      <c r="T1020" s="58">
        <v>0</v>
      </c>
      <c r="U1020" s="58">
        <v>0</v>
      </c>
      <c r="V1020" s="58">
        <v>0</v>
      </c>
      <c r="AG1020" t="s">
        <v>1059</v>
      </c>
      <c r="AM1020" s="1" t="str">
        <f t="shared" si="62"/>
        <v>1018_C0019_0517.jpg</v>
      </c>
    </row>
    <row r="1021" spans="1:39" x14ac:dyDescent="0.35">
      <c r="A1021">
        <v>1017</v>
      </c>
      <c r="B1021">
        <v>1018</v>
      </c>
      <c r="F1021" s="64" t="s">
        <v>4351</v>
      </c>
      <c r="G1021" s="64"/>
      <c r="H1021" s="64"/>
      <c r="I1021" s="64">
        <v>1</v>
      </c>
      <c r="J1021" s="32" t="str">
        <f>IF(AND(E1021=1,OR(E1020=0,E1020="")),MAX(#REF!)+1,IF(AND(E1021=1,E1020=1),J1020,""))</f>
        <v/>
      </c>
      <c r="K1021" s="32" t="str">
        <f t="shared" si="61"/>
        <v/>
      </c>
      <c r="L1021" s="32" t="str">
        <f t="shared" si="59"/>
        <v/>
      </c>
      <c r="M1021" s="32" t="str">
        <f t="shared" si="60"/>
        <v/>
      </c>
      <c r="N1021" s="4">
        <v>1</v>
      </c>
      <c r="O1021" s="58">
        <v>0</v>
      </c>
      <c r="P1021" s="58">
        <v>0</v>
      </c>
      <c r="Q1021" s="58">
        <v>0</v>
      </c>
      <c r="R1021" s="58">
        <v>0</v>
      </c>
      <c r="S1021" s="58">
        <v>0</v>
      </c>
      <c r="T1021" s="58">
        <v>0</v>
      </c>
      <c r="U1021" s="58">
        <v>0</v>
      </c>
      <c r="V1021" s="58">
        <v>0</v>
      </c>
      <c r="AG1021" t="s">
        <v>1060</v>
      </c>
      <c r="AM1021" s="1" t="str">
        <f t="shared" si="62"/>
        <v>1019_C0019_0514.jpg</v>
      </c>
    </row>
    <row r="1022" spans="1:39" x14ac:dyDescent="0.35">
      <c r="A1022">
        <v>1018</v>
      </c>
      <c r="B1022">
        <v>1019</v>
      </c>
      <c r="F1022" s="64" t="s">
        <v>4352</v>
      </c>
      <c r="G1022" s="64"/>
      <c r="H1022" s="64"/>
      <c r="I1022" s="64">
        <v>1</v>
      </c>
      <c r="J1022" s="32" t="str">
        <f>IF(AND(E1022=1,OR(E1021=0,E1021="")),MAX(#REF!)+1,IF(AND(E1022=1,E1021=1),J1021,""))</f>
        <v/>
      </c>
      <c r="K1022" s="32" t="str">
        <f t="shared" si="61"/>
        <v/>
      </c>
      <c r="L1022" s="32" t="str">
        <f t="shared" si="59"/>
        <v/>
      </c>
      <c r="M1022" s="32" t="str">
        <f t="shared" si="60"/>
        <v/>
      </c>
      <c r="N1022" s="4">
        <v>1</v>
      </c>
      <c r="O1022" s="58">
        <v>0</v>
      </c>
      <c r="P1022" s="58">
        <v>0</v>
      </c>
      <c r="Q1022" s="58">
        <v>0</v>
      </c>
      <c r="R1022" s="58">
        <v>0</v>
      </c>
      <c r="S1022" s="58">
        <v>0</v>
      </c>
      <c r="T1022" s="58">
        <v>0</v>
      </c>
      <c r="U1022" s="58">
        <v>0</v>
      </c>
      <c r="V1022" s="58">
        <v>0</v>
      </c>
      <c r="AG1022" t="s">
        <v>1061</v>
      </c>
      <c r="AM1022" s="1" t="str">
        <f t="shared" si="62"/>
        <v>1020_C0019_0511.jpg</v>
      </c>
    </row>
    <row r="1023" spans="1:39" x14ac:dyDescent="0.35">
      <c r="A1023">
        <v>1019</v>
      </c>
      <c r="B1023">
        <v>1020</v>
      </c>
      <c r="F1023" s="64" t="s">
        <v>4353</v>
      </c>
      <c r="G1023" s="64"/>
      <c r="H1023" s="64"/>
      <c r="I1023" s="64">
        <v>1</v>
      </c>
      <c r="J1023" s="32" t="str">
        <f>IF(AND(E1023=1,OR(E1022=0,E1022="")),MAX(#REF!)+1,IF(AND(E1023=1,E1022=1),J1022,""))</f>
        <v/>
      </c>
      <c r="K1023" s="32" t="str">
        <f t="shared" si="61"/>
        <v/>
      </c>
      <c r="L1023" s="32" t="str">
        <f t="shared" si="59"/>
        <v/>
      </c>
      <c r="M1023" s="32" t="str">
        <f t="shared" si="60"/>
        <v/>
      </c>
      <c r="N1023" s="4">
        <v>1</v>
      </c>
      <c r="O1023" s="58">
        <v>0</v>
      </c>
      <c r="P1023" s="58">
        <v>0</v>
      </c>
      <c r="Q1023" s="58">
        <v>0</v>
      </c>
      <c r="R1023" s="58">
        <v>0</v>
      </c>
      <c r="S1023" s="58">
        <v>0</v>
      </c>
      <c r="T1023" s="58">
        <v>0</v>
      </c>
      <c r="U1023" s="58">
        <v>0</v>
      </c>
      <c r="V1023" s="58">
        <v>0</v>
      </c>
      <c r="AG1023" t="s">
        <v>1062</v>
      </c>
      <c r="AM1023" s="1" t="str">
        <f t="shared" si="62"/>
        <v>1021_C0019_0506.jpg</v>
      </c>
    </row>
    <row r="1024" spans="1:39" x14ac:dyDescent="0.35">
      <c r="A1024">
        <v>1020</v>
      </c>
      <c r="B1024">
        <v>1021</v>
      </c>
      <c r="F1024" s="64" t="s">
        <v>4354</v>
      </c>
      <c r="G1024" s="64"/>
      <c r="H1024" s="64"/>
      <c r="I1024" s="64">
        <v>1</v>
      </c>
      <c r="J1024" s="32" t="str">
        <f>IF(AND(E1024=1,OR(E1023=0,E1023="")),MAX(#REF!)+1,IF(AND(E1024=1,E1023=1),J1023,""))</f>
        <v/>
      </c>
      <c r="K1024" s="32" t="str">
        <f t="shared" si="61"/>
        <v/>
      </c>
      <c r="L1024" s="32" t="str">
        <f t="shared" si="59"/>
        <v/>
      </c>
      <c r="M1024" s="32" t="str">
        <f t="shared" si="60"/>
        <v/>
      </c>
      <c r="N1024" s="4">
        <v>1</v>
      </c>
      <c r="O1024" s="58">
        <v>0</v>
      </c>
      <c r="P1024" s="58">
        <v>0</v>
      </c>
      <c r="Q1024" s="58">
        <v>0</v>
      </c>
      <c r="R1024" s="58">
        <v>0</v>
      </c>
      <c r="S1024" s="58">
        <v>0</v>
      </c>
      <c r="T1024" s="58">
        <v>0</v>
      </c>
      <c r="U1024" s="58">
        <v>0</v>
      </c>
      <c r="V1024" s="58">
        <v>0</v>
      </c>
      <c r="AG1024" t="s">
        <v>1063</v>
      </c>
      <c r="AM1024" s="1" t="str">
        <f t="shared" si="62"/>
        <v>1022_C0019_0503.jpg</v>
      </c>
    </row>
    <row r="1025" spans="1:39" x14ac:dyDescent="0.35">
      <c r="A1025">
        <v>1021</v>
      </c>
      <c r="B1025">
        <v>1022</v>
      </c>
      <c r="F1025" s="64" t="s">
        <v>4355</v>
      </c>
      <c r="G1025" s="64"/>
      <c r="H1025" s="64"/>
      <c r="I1025" s="64">
        <v>1</v>
      </c>
      <c r="J1025" s="32" t="str">
        <f>IF(AND(E1025=1,OR(E1024=0,E1024="")),MAX(#REF!)+1,IF(AND(E1025=1,E1024=1),J1024,""))</f>
        <v/>
      </c>
      <c r="K1025" s="32" t="str">
        <f t="shared" si="61"/>
        <v/>
      </c>
      <c r="L1025" s="32" t="str">
        <f t="shared" si="59"/>
        <v/>
      </c>
      <c r="M1025" s="32" t="str">
        <f t="shared" si="60"/>
        <v/>
      </c>
      <c r="N1025" s="4">
        <v>1</v>
      </c>
      <c r="O1025" s="58">
        <v>0</v>
      </c>
      <c r="P1025" s="58">
        <v>0</v>
      </c>
      <c r="Q1025" s="58">
        <v>0</v>
      </c>
      <c r="R1025" s="58">
        <v>0</v>
      </c>
      <c r="S1025" s="58">
        <v>0</v>
      </c>
      <c r="T1025" s="58">
        <v>0</v>
      </c>
      <c r="U1025" s="58">
        <v>0</v>
      </c>
      <c r="V1025" s="58">
        <v>0</v>
      </c>
      <c r="AG1025" t="s">
        <v>1064</v>
      </c>
      <c r="AM1025" s="1" t="str">
        <f t="shared" si="62"/>
        <v>1023_C0019_0499.jpg</v>
      </c>
    </row>
    <row r="1026" spans="1:39" x14ac:dyDescent="0.35">
      <c r="A1026">
        <v>1022</v>
      </c>
      <c r="B1026">
        <v>1023</v>
      </c>
      <c r="F1026" s="64" t="s">
        <v>4356</v>
      </c>
      <c r="G1026" s="64"/>
      <c r="H1026" s="64"/>
      <c r="I1026" s="64">
        <v>1</v>
      </c>
      <c r="J1026" s="32" t="str">
        <f>IF(AND(E1026=1,OR(E1025=0,E1025="")),MAX(#REF!)+1,IF(AND(E1026=1,E1025=1),J1025,""))</f>
        <v/>
      </c>
      <c r="K1026" s="32" t="str">
        <f t="shared" si="61"/>
        <v/>
      </c>
      <c r="L1026" s="32" t="str">
        <f t="shared" si="59"/>
        <v/>
      </c>
      <c r="M1026" s="32" t="str">
        <f t="shared" si="60"/>
        <v/>
      </c>
      <c r="N1026" s="4">
        <v>1</v>
      </c>
      <c r="O1026" s="58">
        <v>0</v>
      </c>
      <c r="P1026" s="58">
        <v>0</v>
      </c>
      <c r="Q1026" s="58">
        <v>0</v>
      </c>
      <c r="R1026" s="58">
        <v>0</v>
      </c>
      <c r="S1026" s="58">
        <v>0</v>
      </c>
      <c r="T1026" s="58">
        <v>0</v>
      </c>
      <c r="U1026" s="58">
        <v>0</v>
      </c>
      <c r="V1026" s="58">
        <v>0</v>
      </c>
      <c r="AG1026" t="s">
        <v>1065</v>
      </c>
      <c r="AM1026" s="1" t="str">
        <f t="shared" si="62"/>
        <v>1024_C0019_0496.jpg</v>
      </c>
    </row>
    <row r="1027" spans="1:39" x14ac:dyDescent="0.35">
      <c r="A1027">
        <v>1023</v>
      </c>
      <c r="B1027">
        <v>1024</v>
      </c>
      <c r="F1027" s="64" t="s">
        <v>4357</v>
      </c>
      <c r="G1027" s="64"/>
      <c r="H1027" s="64"/>
      <c r="I1027" s="64">
        <v>1</v>
      </c>
      <c r="J1027" s="32" t="str">
        <f>IF(AND(E1027=1,OR(E1026=0,E1026="")),MAX(#REF!)+1,IF(AND(E1027=1,E1026=1),J1026,""))</f>
        <v/>
      </c>
      <c r="K1027" s="32" t="str">
        <f t="shared" si="61"/>
        <v/>
      </c>
      <c r="L1027" s="32" t="str">
        <f t="shared" si="59"/>
        <v/>
      </c>
      <c r="M1027" s="32" t="str">
        <f t="shared" si="60"/>
        <v/>
      </c>
      <c r="N1027" s="4">
        <v>1</v>
      </c>
      <c r="O1027" s="58">
        <v>0</v>
      </c>
      <c r="P1027" s="58">
        <v>0</v>
      </c>
      <c r="Q1027" s="58">
        <v>0</v>
      </c>
      <c r="R1027" s="58">
        <v>0</v>
      </c>
      <c r="S1027" s="58">
        <v>0</v>
      </c>
      <c r="T1027" s="58">
        <v>0</v>
      </c>
      <c r="U1027" s="58">
        <v>0</v>
      </c>
      <c r="V1027" s="58">
        <v>0</v>
      </c>
      <c r="AG1027" t="s">
        <v>1066</v>
      </c>
      <c r="AM1027" s="1" t="str">
        <f t="shared" si="62"/>
        <v>1025_C0019_0492.jpg</v>
      </c>
    </row>
    <row r="1028" spans="1:39" x14ac:dyDescent="0.35">
      <c r="A1028">
        <v>1024</v>
      </c>
      <c r="B1028">
        <v>1025</v>
      </c>
      <c r="F1028" s="64" t="s">
        <v>4358</v>
      </c>
      <c r="G1028" s="64"/>
      <c r="H1028" s="64"/>
      <c r="I1028" s="64">
        <v>1</v>
      </c>
      <c r="J1028" s="32" t="str">
        <f>IF(AND(E1028=1,OR(E1027=0,E1027="")),MAX(#REF!)+1,IF(AND(E1028=1,E1027=1),J1027,""))</f>
        <v/>
      </c>
      <c r="K1028" s="32" t="str">
        <f t="shared" si="61"/>
        <v/>
      </c>
      <c r="L1028" s="32" t="str">
        <f t="shared" ref="L1028:L1091" si="63">IF(K1028="","",IF(K1028&gt;=100,"HV",""))</f>
        <v/>
      </c>
      <c r="M1028" s="32" t="str">
        <f t="shared" ref="M1028:M1091" si="64">IF(K1028&lt;&gt;"",K1028^2,"")</f>
        <v/>
      </c>
      <c r="N1028" s="4">
        <v>1</v>
      </c>
      <c r="O1028" s="58">
        <v>0</v>
      </c>
      <c r="P1028" s="58">
        <v>0</v>
      </c>
      <c r="Q1028" s="58">
        <v>0</v>
      </c>
      <c r="R1028" s="58">
        <v>0</v>
      </c>
      <c r="S1028" s="58">
        <v>0</v>
      </c>
      <c r="T1028" s="58">
        <v>0</v>
      </c>
      <c r="U1028" s="58">
        <v>0</v>
      </c>
      <c r="V1028" s="58">
        <v>0</v>
      </c>
      <c r="AG1028" t="s">
        <v>1067</v>
      </c>
      <c r="AM1028" s="1" t="str">
        <f t="shared" si="62"/>
        <v>1026_C0019_0489.jpg</v>
      </c>
    </row>
    <row r="1029" spans="1:39" x14ac:dyDescent="0.35">
      <c r="A1029">
        <v>1025</v>
      </c>
      <c r="B1029">
        <v>1026</v>
      </c>
      <c r="F1029" s="64" t="s">
        <v>4359</v>
      </c>
      <c r="G1029" s="64"/>
      <c r="H1029" s="64"/>
      <c r="I1029" s="64">
        <v>1</v>
      </c>
      <c r="J1029" s="32" t="str">
        <f>IF(AND(E1029=1,OR(E1028=0,E1028="")),MAX(#REF!)+1,IF(AND(E1029=1,E1028=1),J1028,""))</f>
        <v/>
      </c>
      <c r="K1029" s="32" t="str">
        <f t="shared" si="61"/>
        <v/>
      </c>
      <c r="L1029" s="32" t="str">
        <f t="shared" si="63"/>
        <v/>
      </c>
      <c r="M1029" s="32" t="str">
        <f t="shared" si="64"/>
        <v/>
      </c>
      <c r="N1029" s="4">
        <v>1</v>
      </c>
      <c r="O1029" s="58">
        <v>0</v>
      </c>
      <c r="P1029" s="58">
        <v>0</v>
      </c>
      <c r="Q1029" s="58">
        <v>0</v>
      </c>
      <c r="R1029" s="58">
        <v>0</v>
      </c>
      <c r="S1029" s="58">
        <v>0</v>
      </c>
      <c r="T1029" s="58">
        <v>0</v>
      </c>
      <c r="U1029" s="58">
        <v>0</v>
      </c>
      <c r="V1029" s="58">
        <v>0</v>
      </c>
      <c r="AG1029" t="s">
        <v>1068</v>
      </c>
      <c r="AM1029" s="1" t="str">
        <f t="shared" si="62"/>
        <v>1027_C0019_0485.jpg</v>
      </c>
    </row>
    <row r="1030" spans="1:39" x14ac:dyDescent="0.35">
      <c r="A1030">
        <v>1026</v>
      </c>
      <c r="B1030">
        <v>1027</v>
      </c>
      <c r="F1030" s="64" t="s">
        <v>4360</v>
      </c>
      <c r="G1030" s="64"/>
      <c r="H1030" s="64"/>
      <c r="I1030" s="64">
        <v>1</v>
      </c>
      <c r="J1030" s="32" t="str">
        <f>IF(AND(E1030=1,OR(E1029=0,E1029="")),MAX(#REF!)+1,IF(AND(E1030=1,E1029=1),J1029,""))</f>
        <v/>
      </c>
      <c r="K1030" s="32" t="str">
        <f t="shared" si="61"/>
        <v/>
      </c>
      <c r="L1030" s="32" t="str">
        <f t="shared" si="63"/>
        <v/>
      </c>
      <c r="M1030" s="32" t="str">
        <f t="shared" si="64"/>
        <v/>
      </c>
      <c r="N1030" s="4">
        <v>1</v>
      </c>
      <c r="O1030" s="58">
        <v>0</v>
      </c>
      <c r="P1030" s="58">
        <v>0</v>
      </c>
      <c r="Q1030" s="58">
        <v>0</v>
      </c>
      <c r="R1030" s="58">
        <v>0</v>
      </c>
      <c r="S1030" s="58">
        <v>0</v>
      </c>
      <c r="T1030" s="58">
        <v>0</v>
      </c>
      <c r="U1030" s="58">
        <v>0</v>
      </c>
      <c r="V1030" s="58">
        <v>0</v>
      </c>
      <c r="AG1030" t="s">
        <v>1069</v>
      </c>
      <c r="AM1030" s="1" t="str">
        <f t="shared" si="62"/>
        <v>1028_C0019_0481.jpg</v>
      </c>
    </row>
    <row r="1031" spans="1:39" x14ac:dyDescent="0.35">
      <c r="A1031">
        <v>1027</v>
      </c>
      <c r="B1031">
        <v>1028</v>
      </c>
      <c r="F1031" s="64" t="s">
        <v>4361</v>
      </c>
      <c r="G1031" s="64"/>
      <c r="H1031" s="64"/>
      <c r="I1031" s="64">
        <v>1</v>
      </c>
      <c r="J1031" s="32" t="str">
        <f>IF(AND(E1031=1,OR(E1030=0,E1030="")),MAX(#REF!)+1,IF(AND(E1031=1,E1030=1),J1030,""))</f>
        <v/>
      </c>
      <c r="K1031" s="32" t="str">
        <f t="shared" si="61"/>
        <v/>
      </c>
      <c r="L1031" s="32" t="str">
        <f t="shared" si="63"/>
        <v/>
      </c>
      <c r="M1031" s="32" t="str">
        <f t="shared" si="64"/>
        <v/>
      </c>
      <c r="N1031" s="4">
        <v>1</v>
      </c>
      <c r="O1031" s="58">
        <v>0</v>
      </c>
      <c r="P1031" s="58">
        <v>0</v>
      </c>
      <c r="Q1031" s="58">
        <v>0</v>
      </c>
      <c r="R1031" s="58">
        <v>0</v>
      </c>
      <c r="S1031" s="58">
        <v>0</v>
      </c>
      <c r="T1031" s="58">
        <v>0</v>
      </c>
      <c r="U1031" s="58">
        <v>0</v>
      </c>
      <c r="V1031" s="58">
        <v>0</v>
      </c>
      <c r="AG1031" t="s">
        <v>1070</v>
      </c>
      <c r="AM1031" s="1" t="str">
        <f t="shared" si="62"/>
        <v>1029_C0019_0478.jpg</v>
      </c>
    </row>
    <row r="1032" spans="1:39" x14ac:dyDescent="0.35">
      <c r="A1032">
        <v>1028</v>
      </c>
      <c r="B1032">
        <v>1029</v>
      </c>
      <c r="F1032" s="64" t="s">
        <v>4362</v>
      </c>
      <c r="G1032" s="64"/>
      <c r="H1032" s="64"/>
      <c r="I1032" s="64">
        <v>1</v>
      </c>
      <c r="J1032" s="32" t="str">
        <f>IF(AND(E1032=1,OR(E1031=0,E1031="")),MAX(#REF!)+1,IF(AND(E1032=1,E1031=1),J1031,""))</f>
        <v/>
      </c>
      <c r="K1032" s="32" t="str">
        <f t="shared" si="61"/>
        <v/>
      </c>
      <c r="L1032" s="32" t="str">
        <f t="shared" si="63"/>
        <v/>
      </c>
      <c r="M1032" s="32" t="str">
        <f t="shared" si="64"/>
        <v/>
      </c>
      <c r="N1032" s="4">
        <v>1</v>
      </c>
      <c r="O1032" s="58">
        <v>0</v>
      </c>
      <c r="P1032" s="58">
        <v>0</v>
      </c>
      <c r="Q1032" s="58">
        <v>0</v>
      </c>
      <c r="R1032" s="58">
        <v>0</v>
      </c>
      <c r="S1032" s="58">
        <v>0</v>
      </c>
      <c r="T1032" s="58">
        <v>0</v>
      </c>
      <c r="U1032" s="58">
        <v>0</v>
      </c>
      <c r="V1032" s="58">
        <v>0</v>
      </c>
      <c r="AG1032" t="s">
        <v>1071</v>
      </c>
      <c r="AM1032" s="1" t="str">
        <f t="shared" si="62"/>
        <v>1030_C0019_0473.jpg</v>
      </c>
    </row>
    <row r="1033" spans="1:39" x14ac:dyDescent="0.35">
      <c r="A1033">
        <v>1029</v>
      </c>
      <c r="B1033">
        <v>1030</v>
      </c>
      <c r="F1033" s="64" t="s">
        <v>4363</v>
      </c>
      <c r="G1033" s="64"/>
      <c r="H1033" s="64"/>
      <c r="I1033" s="64">
        <v>1</v>
      </c>
      <c r="J1033" s="32" t="str">
        <f>IF(AND(E1033=1,OR(E1032=0,E1032="")),MAX(#REF!)+1,IF(AND(E1033=1,E1032=1),J1032,""))</f>
        <v/>
      </c>
      <c r="K1033" s="32" t="str">
        <f t="shared" si="61"/>
        <v/>
      </c>
      <c r="L1033" s="32" t="str">
        <f t="shared" si="63"/>
        <v/>
      </c>
      <c r="M1033" s="32" t="str">
        <f t="shared" si="64"/>
        <v/>
      </c>
      <c r="N1033" s="4">
        <v>1</v>
      </c>
      <c r="O1033" s="58">
        <v>0</v>
      </c>
      <c r="P1033" s="58">
        <v>0</v>
      </c>
      <c r="Q1033" s="58">
        <v>0</v>
      </c>
      <c r="R1033" s="58">
        <v>0</v>
      </c>
      <c r="S1033" s="58">
        <v>0</v>
      </c>
      <c r="T1033" s="58">
        <v>0</v>
      </c>
      <c r="U1033" s="58">
        <v>0</v>
      </c>
      <c r="V1033" s="58">
        <v>0</v>
      </c>
      <c r="AG1033" t="s">
        <v>1072</v>
      </c>
      <c r="AM1033" s="1" t="str">
        <f t="shared" si="62"/>
        <v>1031_C0019_0467.jpg</v>
      </c>
    </row>
    <row r="1034" spans="1:39" x14ac:dyDescent="0.35">
      <c r="A1034">
        <v>1030</v>
      </c>
      <c r="B1034">
        <v>1031</v>
      </c>
      <c r="F1034" s="64" t="s">
        <v>4364</v>
      </c>
      <c r="G1034" s="64"/>
      <c r="H1034" s="64"/>
      <c r="I1034" s="64">
        <v>1</v>
      </c>
      <c r="J1034" s="32" t="str">
        <f>IF(AND(E1034=1,OR(E1033=0,E1033="")),MAX(#REF!)+1,IF(AND(E1034=1,E1033=1),J1033,""))</f>
        <v/>
      </c>
      <c r="K1034" s="32" t="str">
        <f t="shared" si="61"/>
        <v/>
      </c>
      <c r="L1034" s="32" t="str">
        <f t="shared" si="63"/>
        <v/>
      </c>
      <c r="M1034" s="32" t="str">
        <f t="shared" si="64"/>
        <v/>
      </c>
      <c r="N1034" s="4">
        <v>1</v>
      </c>
      <c r="O1034" s="58">
        <v>0</v>
      </c>
      <c r="P1034" s="58">
        <v>0</v>
      </c>
      <c r="Q1034" s="58">
        <v>0</v>
      </c>
      <c r="R1034" s="58">
        <v>0</v>
      </c>
      <c r="S1034" s="58">
        <v>0</v>
      </c>
      <c r="T1034" s="58">
        <v>0</v>
      </c>
      <c r="U1034" s="58">
        <v>0</v>
      </c>
      <c r="V1034" s="58">
        <v>0</v>
      </c>
      <c r="AG1034" t="s">
        <v>1073</v>
      </c>
      <c r="AM1034" s="1" t="str">
        <f t="shared" si="62"/>
        <v>1032_C0019_0465.jpg</v>
      </c>
    </row>
    <row r="1035" spans="1:39" x14ac:dyDescent="0.35">
      <c r="A1035">
        <v>1031</v>
      </c>
      <c r="B1035">
        <v>1032</v>
      </c>
      <c r="F1035" s="64" t="s">
        <v>4365</v>
      </c>
      <c r="G1035" s="64"/>
      <c r="H1035" s="64"/>
      <c r="I1035" s="64">
        <v>1</v>
      </c>
      <c r="J1035" s="32" t="str">
        <f>IF(AND(E1035=1,OR(E1034=0,E1034="")),MAX(#REF!)+1,IF(AND(E1035=1,E1034=1),J1034,""))</f>
        <v/>
      </c>
      <c r="K1035" s="32" t="str">
        <f t="shared" si="61"/>
        <v/>
      </c>
      <c r="L1035" s="32" t="str">
        <f t="shared" si="63"/>
        <v/>
      </c>
      <c r="M1035" s="32" t="str">
        <f t="shared" si="64"/>
        <v/>
      </c>
      <c r="N1035" s="4">
        <v>1</v>
      </c>
      <c r="O1035" s="58">
        <v>0</v>
      </c>
      <c r="P1035" s="58">
        <v>0</v>
      </c>
      <c r="Q1035" s="58">
        <v>0</v>
      </c>
      <c r="R1035" s="58">
        <v>0</v>
      </c>
      <c r="S1035" s="58">
        <v>0</v>
      </c>
      <c r="T1035" s="58">
        <v>0</v>
      </c>
      <c r="U1035" s="58">
        <v>0</v>
      </c>
      <c r="V1035" s="58">
        <v>0</v>
      </c>
      <c r="AG1035" t="s">
        <v>1074</v>
      </c>
      <c r="AM1035" s="1" t="str">
        <f t="shared" si="62"/>
        <v>1033_C0019_0462.jpg</v>
      </c>
    </row>
    <row r="1036" spans="1:39" x14ac:dyDescent="0.35">
      <c r="A1036">
        <v>1032</v>
      </c>
      <c r="B1036">
        <v>1033</v>
      </c>
      <c r="F1036" s="64" t="s">
        <v>4366</v>
      </c>
      <c r="G1036" s="64"/>
      <c r="H1036" s="64"/>
      <c r="I1036" s="64">
        <v>1</v>
      </c>
      <c r="J1036" s="32" t="str">
        <f>IF(AND(E1036=1,OR(E1035=0,E1035="")),MAX(#REF!)+1,IF(AND(E1036=1,E1035=1),J1035,""))</f>
        <v/>
      </c>
      <c r="K1036" s="32" t="str">
        <f t="shared" si="61"/>
        <v/>
      </c>
      <c r="L1036" s="32" t="str">
        <f t="shared" si="63"/>
        <v/>
      </c>
      <c r="M1036" s="32" t="str">
        <f t="shared" si="64"/>
        <v/>
      </c>
      <c r="N1036" s="4">
        <v>1</v>
      </c>
      <c r="O1036" s="58">
        <v>0</v>
      </c>
      <c r="P1036" s="58">
        <v>0</v>
      </c>
      <c r="Q1036" s="58">
        <v>0</v>
      </c>
      <c r="R1036" s="58">
        <v>0</v>
      </c>
      <c r="S1036" s="58">
        <v>0</v>
      </c>
      <c r="T1036" s="58">
        <v>0</v>
      </c>
      <c r="U1036" s="58">
        <v>0</v>
      </c>
      <c r="V1036" s="58">
        <v>0</v>
      </c>
      <c r="AG1036" t="s">
        <v>1075</v>
      </c>
      <c r="AM1036" s="1" t="str">
        <f t="shared" si="62"/>
        <v>1034_C0019_0455.jpg</v>
      </c>
    </row>
    <row r="1037" spans="1:39" x14ac:dyDescent="0.35">
      <c r="A1037">
        <v>1033</v>
      </c>
      <c r="B1037">
        <v>1034</v>
      </c>
      <c r="F1037" s="64" t="s">
        <v>4367</v>
      </c>
      <c r="G1037" s="64"/>
      <c r="H1037" s="64"/>
      <c r="I1037" s="64">
        <v>1</v>
      </c>
      <c r="J1037" s="32" t="str">
        <f>IF(AND(E1037=1,OR(E1036=0,E1036="")),MAX(#REF!)+1,IF(AND(E1037=1,E1036=1),J1036,""))</f>
        <v/>
      </c>
      <c r="K1037" s="32" t="str">
        <f t="shared" si="61"/>
        <v/>
      </c>
      <c r="L1037" s="32" t="str">
        <f t="shared" si="63"/>
        <v/>
      </c>
      <c r="M1037" s="32" t="str">
        <f t="shared" si="64"/>
        <v/>
      </c>
      <c r="N1037" s="4">
        <v>1</v>
      </c>
      <c r="O1037" s="58">
        <v>0</v>
      </c>
      <c r="P1037" s="58">
        <v>0</v>
      </c>
      <c r="Q1037" s="58">
        <v>0</v>
      </c>
      <c r="R1037" s="58">
        <v>0</v>
      </c>
      <c r="S1037" s="58">
        <v>0</v>
      </c>
      <c r="T1037" s="58">
        <v>0</v>
      </c>
      <c r="U1037" s="58">
        <v>0</v>
      </c>
      <c r="V1037" s="58">
        <v>0</v>
      </c>
      <c r="AG1037" t="s">
        <v>1076</v>
      </c>
      <c r="AM1037" s="1" t="str">
        <f t="shared" si="62"/>
        <v>1035_C0019_0449.jpg</v>
      </c>
    </row>
    <row r="1038" spans="1:39" x14ac:dyDescent="0.35">
      <c r="A1038">
        <v>1034</v>
      </c>
      <c r="B1038">
        <v>1035</v>
      </c>
      <c r="F1038" s="64" t="s">
        <v>4368</v>
      </c>
      <c r="G1038" s="64"/>
      <c r="H1038" s="64"/>
      <c r="I1038" s="64">
        <v>1</v>
      </c>
      <c r="J1038" s="32" t="str">
        <f>IF(AND(E1038=1,OR(E1037=0,E1037="")),MAX(#REF!)+1,IF(AND(E1038=1,E1037=1),J1037,""))</f>
        <v/>
      </c>
      <c r="K1038" s="32" t="str">
        <f t="shared" si="61"/>
        <v/>
      </c>
      <c r="L1038" s="32" t="str">
        <f t="shared" si="63"/>
        <v/>
      </c>
      <c r="M1038" s="32" t="str">
        <f t="shared" si="64"/>
        <v/>
      </c>
      <c r="N1038" s="4">
        <v>1</v>
      </c>
      <c r="O1038" s="58">
        <v>0</v>
      </c>
      <c r="P1038" s="58">
        <v>0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58">
        <v>0</v>
      </c>
      <c r="AG1038" t="s">
        <v>1077</v>
      </c>
      <c r="AM1038" s="1" t="str">
        <f t="shared" si="62"/>
        <v>1036_C0019_0446.jpg</v>
      </c>
    </row>
    <row r="1039" spans="1:39" x14ac:dyDescent="0.35">
      <c r="A1039">
        <v>1035</v>
      </c>
      <c r="B1039">
        <v>1036</v>
      </c>
      <c r="F1039" s="64" t="s">
        <v>4369</v>
      </c>
      <c r="G1039" s="64"/>
      <c r="H1039" s="64"/>
      <c r="I1039" s="64">
        <v>1</v>
      </c>
      <c r="J1039" s="32"/>
      <c r="K1039" s="32" t="str">
        <f t="shared" si="61"/>
        <v/>
      </c>
      <c r="L1039" s="32" t="str">
        <f t="shared" si="63"/>
        <v/>
      </c>
      <c r="M1039" s="32" t="str">
        <f t="shared" si="64"/>
        <v/>
      </c>
      <c r="N1039" s="4">
        <v>1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58">
        <v>0</v>
      </c>
      <c r="AG1039" t="s">
        <v>1078</v>
      </c>
      <c r="AM1039" s="1" t="str">
        <f t="shared" si="62"/>
        <v>1037_C0019_0441.jpg</v>
      </c>
    </row>
    <row r="1040" spans="1:39" x14ac:dyDescent="0.35">
      <c r="A1040">
        <v>1036</v>
      </c>
      <c r="B1040">
        <v>1037</v>
      </c>
      <c r="F1040" s="64" t="s">
        <v>4370</v>
      </c>
      <c r="G1040" s="64"/>
      <c r="H1040" s="64"/>
      <c r="I1040" s="64">
        <v>1</v>
      </c>
      <c r="J1040" s="32" t="str">
        <f>IF(AND(E1040=1,OR(E1039=0,E1039="")),MAX(#REF!)+1,IF(AND(E1040=1,E1039=1),J1039,""))</f>
        <v/>
      </c>
      <c r="K1040" s="32" t="str">
        <f t="shared" si="61"/>
        <v/>
      </c>
      <c r="L1040" s="32" t="str">
        <f t="shared" si="63"/>
        <v/>
      </c>
      <c r="M1040" s="32" t="str">
        <f t="shared" si="64"/>
        <v/>
      </c>
      <c r="N1040" s="4">
        <v>1</v>
      </c>
      <c r="O1040" s="58">
        <v>0</v>
      </c>
      <c r="P1040" s="58">
        <v>0</v>
      </c>
      <c r="Q1040" s="58">
        <v>0</v>
      </c>
      <c r="R1040" s="58">
        <v>0</v>
      </c>
      <c r="S1040" s="58">
        <v>0</v>
      </c>
      <c r="T1040" s="58">
        <v>0</v>
      </c>
      <c r="U1040" s="58">
        <v>0</v>
      </c>
      <c r="V1040" s="58">
        <v>0</v>
      </c>
      <c r="AG1040" t="s">
        <v>1079</v>
      </c>
      <c r="AM1040" s="1" t="str">
        <f t="shared" si="62"/>
        <v>1038_C0019_0432.jpg</v>
      </c>
    </row>
    <row r="1041" spans="1:39" x14ac:dyDescent="0.35">
      <c r="A1041">
        <v>1037</v>
      </c>
      <c r="B1041">
        <v>1038</v>
      </c>
      <c r="F1041" s="64" t="s">
        <v>4371</v>
      </c>
      <c r="G1041" s="64"/>
      <c r="H1041" s="64"/>
      <c r="I1041" s="64">
        <v>1</v>
      </c>
      <c r="J1041" s="32" t="str">
        <f>IF(AND(E1041=1,OR(E1040=0,E1040="")),MAX(#REF!)+1,IF(AND(E1041=1,E1040=1),J1040,""))</f>
        <v/>
      </c>
      <c r="K1041" s="32" t="str">
        <f t="shared" si="61"/>
        <v/>
      </c>
      <c r="L1041" s="32" t="str">
        <f t="shared" si="63"/>
        <v/>
      </c>
      <c r="M1041" s="32" t="str">
        <f t="shared" si="64"/>
        <v/>
      </c>
      <c r="N1041" s="4">
        <v>1</v>
      </c>
      <c r="O1041" s="58">
        <v>0</v>
      </c>
      <c r="P1041" s="58">
        <v>0</v>
      </c>
      <c r="Q1041" s="58">
        <v>0</v>
      </c>
      <c r="R1041" s="58">
        <v>0</v>
      </c>
      <c r="S1041" s="58">
        <v>0</v>
      </c>
      <c r="T1041" s="58">
        <v>0</v>
      </c>
      <c r="U1041" s="58">
        <v>0</v>
      </c>
      <c r="V1041" s="58">
        <v>0</v>
      </c>
      <c r="AG1041" t="s">
        <v>1080</v>
      </c>
      <c r="AM1041" s="1" t="str">
        <f t="shared" si="62"/>
        <v>1039_C0019_0422.jpg</v>
      </c>
    </row>
    <row r="1042" spans="1:39" x14ac:dyDescent="0.35">
      <c r="A1042">
        <v>1038</v>
      </c>
      <c r="B1042">
        <v>1039</v>
      </c>
      <c r="F1042" s="64" t="s">
        <v>4372</v>
      </c>
      <c r="G1042" s="64"/>
      <c r="H1042" s="64"/>
      <c r="I1042" s="64">
        <v>1</v>
      </c>
      <c r="J1042" s="32" t="str">
        <f>IF(AND(E1042=1,OR(E1041=0,E1041="")),MAX(#REF!)+1,IF(AND(E1042=1,E1041=1),J1041,""))</f>
        <v/>
      </c>
      <c r="K1042" s="32" t="str">
        <f t="shared" si="61"/>
        <v/>
      </c>
      <c r="L1042" s="32" t="str">
        <f t="shared" si="63"/>
        <v/>
      </c>
      <c r="M1042" s="32" t="str">
        <f t="shared" si="64"/>
        <v/>
      </c>
      <c r="N1042" s="4">
        <v>1</v>
      </c>
      <c r="O1042" s="58">
        <v>0</v>
      </c>
      <c r="P1042" s="58">
        <v>0</v>
      </c>
      <c r="Q1042" s="58">
        <v>0</v>
      </c>
      <c r="R1042" s="58">
        <v>0</v>
      </c>
      <c r="S1042" s="58">
        <v>0</v>
      </c>
      <c r="T1042" s="58">
        <v>0</v>
      </c>
      <c r="U1042" s="58">
        <v>0</v>
      </c>
      <c r="V1042" s="58">
        <v>0</v>
      </c>
      <c r="AG1042" t="s">
        <v>1081</v>
      </c>
      <c r="AM1042" s="1" t="str">
        <f t="shared" si="62"/>
        <v>1040_C0019_0417.jpg</v>
      </c>
    </row>
    <row r="1043" spans="1:39" x14ac:dyDescent="0.35">
      <c r="A1043">
        <v>1039</v>
      </c>
      <c r="B1043">
        <v>1040</v>
      </c>
      <c r="F1043" s="64" t="s">
        <v>4373</v>
      </c>
      <c r="G1043" s="64"/>
      <c r="H1043" s="64"/>
      <c r="I1043" s="64">
        <v>1</v>
      </c>
      <c r="J1043" s="32" t="str">
        <f>IF(AND(E1043=1,OR(E1042=0,E1042="")),MAX(#REF!)+1,IF(AND(E1043=1,E1042=1),J1042,""))</f>
        <v/>
      </c>
      <c r="K1043" s="32" t="str">
        <f t="shared" si="61"/>
        <v/>
      </c>
      <c r="L1043" s="32" t="str">
        <f t="shared" si="63"/>
        <v/>
      </c>
      <c r="M1043" s="32" t="str">
        <f t="shared" si="64"/>
        <v/>
      </c>
      <c r="N1043" s="4">
        <v>1</v>
      </c>
      <c r="O1043" s="58">
        <v>0</v>
      </c>
      <c r="P1043" s="58">
        <v>0</v>
      </c>
      <c r="Q1043" s="58">
        <v>0</v>
      </c>
      <c r="R1043" s="58">
        <v>0</v>
      </c>
      <c r="S1043" s="58">
        <v>0</v>
      </c>
      <c r="T1043" s="58">
        <v>0</v>
      </c>
      <c r="U1043" s="58">
        <v>0</v>
      </c>
      <c r="V1043" s="58">
        <v>0</v>
      </c>
      <c r="AG1043" t="s">
        <v>1082</v>
      </c>
      <c r="AM1043" s="1" t="str">
        <f t="shared" si="62"/>
        <v>1041_C0019_0410.jpg</v>
      </c>
    </row>
    <row r="1044" spans="1:39" x14ac:dyDescent="0.35">
      <c r="A1044">
        <v>1040</v>
      </c>
      <c r="B1044">
        <v>1041</v>
      </c>
      <c r="F1044" s="64" t="s">
        <v>4374</v>
      </c>
      <c r="G1044" s="64"/>
      <c r="H1044" s="64"/>
      <c r="I1044" s="64">
        <v>1</v>
      </c>
      <c r="J1044" s="32" t="str">
        <f>IF(AND(E1044=1,OR(E1043=0,E1043="")),MAX(#REF!)+1,IF(AND(E1044=1,E1043=1),J1043,""))</f>
        <v/>
      </c>
      <c r="K1044" s="32" t="str">
        <f t="shared" si="61"/>
        <v/>
      </c>
      <c r="L1044" s="32" t="str">
        <f t="shared" si="63"/>
        <v/>
      </c>
      <c r="M1044" s="32" t="str">
        <f t="shared" si="64"/>
        <v/>
      </c>
      <c r="N1044" s="4">
        <v>1</v>
      </c>
      <c r="O1044" s="58">
        <v>0</v>
      </c>
      <c r="P1044" s="58">
        <v>0</v>
      </c>
      <c r="Q1044" s="58">
        <v>0</v>
      </c>
      <c r="R1044" s="58">
        <v>0</v>
      </c>
      <c r="S1044" s="58">
        <v>0</v>
      </c>
      <c r="T1044" s="58">
        <v>0</v>
      </c>
      <c r="U1044" s="58">
        <v>0</v>
      </c>
      <c r="V1044" s="58">
        <v>0</v>
      </c>
      <c r="AG1044" t="s">
        <v>1083</v>
      </c>
      <c r="AM1044" s="1" t="str">
        <f t="shared" si="62"/>
        <v>1042_C0019_0404.jpg</v>
      </c>
    </row>
    <row r="1045" spans="1:39" x14ac:dyDescent="0.35">
      <c r="A1045">
        <v>1041</v>
      </c>
      <c r="B1045">
        <v>1042</v>
      </c>
      <c r="F1045" s="64" t="s">
        <v>4375</v>
      </c>
      <c r="G1045" s="64"/>
      <c r="H1045" s="64"/>
      <c r="I1045" s="64">
        <v>1</v>
      </c>
      <c r="J1045" s="32" t="str">
        <f>IF(AND(E1045=1,OR(E1044=0,E1044="")),MAX(#REF!)+1,IF(AND(E1045=1,E1044=1),J1044,""))</f>
        <v/>
      </c>
      <c r="K1045" s="32" t="str">
        <f t="shared" si="61"/>
        <v/>
      </c>
      <c r="L1045" s="32" t="str">
        <f t="shared" si="63"/>
        <v/>
      </c>
      <c r="M1045" s="32" t="str">
        <f t="shared" si="64"/>
        <v/>
      </c>
      <c r="N1045" s="4">
        <v>1</v>
      </c>
      <c r="O1045" s="58">
        <v>0</v>
      </c>
      <c r="P1045" s="58">
        <v>0</v>
      </c>
      <c r="Q1045" s="58">
        <v>0</v>
      </c>
      <c r="R1045" s="58">
        <v>0</v>
      </c>
      <c r="S1045" s="58">
        <v>0</v>
      </c>
      <c r="T1045" s="58">
        <v>0</v>
      </c>
      <c r="U1045" s="58">
        <v>0</v>
      </c>
      <c r="V1045" s="58">
        <v>0</v>
      </c>
      <c r="AG1045" t="s">
        <v>1084</v>
      </c>
      <c r="AM1045" s="1" t="str">
        <f t="shared" si="62"/>
        <v>1043_C0019_0400.jpg</v>
      </c>
    </row>
    <row r="1046" spans="1:39" x14ac:dyDescent="0.35">
      <c r="A1046">
        <v>1042</v>
      </c>
      <c r="B1046">
        <v>1043</v>
      </c>
      <c r="F1046" s="64" t="s">
        <v>4376</v>
      </c>
      <c r="G1046" s="64"/>
      <c r="H1046" s="64"/>
      <c r="I1046" s="64">
        <v>1</v>
      </c>
      <c r="J1046" s="32" t="str">
        <f>IF(AND(E1046=1,OR(E1045=0,E1045="")),MAX(#REF!)+1,IF(AND(E1046=1,E1045=1),J1045,""))</f>
        <v/>
      </c>
      <c r="K1046" s="32" t="str">
        <f t="shared" si="61"/>
        <v/>
      </c>
      <c r="L1046" s="32" t="str">
        <f t="shared" si="63"/>
        <v/>
      </c>
      <c r="M1046" s="32" t="str">
        <f t="shared" si="64"/>
        <v/>
      </c>
      <c r="N1046" s="4">
        <v>1</v>
      </c>
      <c r="O1046" s="58">
        <v>0</v>
      </c>
      <c r="P1046" s="58">
        <v>0</v>
      </c>
      <c r="Q1046" s="58">
        <v>0</v>
      </c>
      <c r="R1046" s="58">
        <v>0</v>
      </c>
      <c r="S1046" s="58">
        <v>0</v>
      </c>
      <c r="T1046" s="58">
        <v>0</v>
      </c>
      <c r="U1046" s="58">
        <v>0</v>
      </c>
      <c r="V1046" s="58">
        <v>0</v>
      </c>
      <c r="AG1046" t="s">
        <v>1085</v>
      </c>
      <c r="AM1046" s="1" t="str">
        <f t="shared" si="62"/>
        <v>1044_C0019_0395.jpg</v>
      </c>
    </row>
    <row r="1047" spans="1:39" x14ac:dyDescent="0.35">
      <c r="A1047">
        <v>1043</v>
      </c>
      <c r="B1047">
        <v>1044</v>
      </c>
      <c r="F1047" s="64" t="s">
        <v>4377</v>
      </c>
      <c r="G1047" s="64"/>
      <c r="H1047" s="64"/>
      <c r="I1047" s="64">
        <v>1</v>
      </c>
      <c r="J1047" s="32" t="str">
        <f>IF(AND(E1047=1,OR(E1046=0,E1046="")),MAX(#REF!)+1,IF(AND(E1047=1,E1046=1),J1046,""))</f>
        <v/>
      </c>
      <c r="K1047" s="32" t="str">
        <f t="shared" si="61"/>
        <v/>
      </c>
      <c r="L1047" s="32" t="str">
        <f t="shared" si="63"/>
        <v/>
      </c>
      <c r="M1047" s="32" t="str">
        <f t="shared" si="64"/>
        <v/>
      </c>
      <c r="N1047" s="4">
        <v>1</v>
      </c>
      <c r="O1047" s="58">
        <v>0</v>
      </c>
      <c r="P1047" s="58">
        <v>0</v>
      </c>
      <c r="Q1047" s="58">
        <v>0</v>
      </c>
      <c r="R1047" s="58">
        <v>0</v>
      </c>
      <c r="S1047" s="58">
        <v>0</v>
      </c>
      <c r="T1047" s="58">
        <v>0</v>
      </c>
      <c r="U1047" s="58">
        <v>0</v>
      </c>
      <c r="V1047" s="58">
        <v>0</v>
      </c>
      <c r="AG1047" t="s">
        <v>1086</v>
      </c>
      <c r="AM1047" s="1" t="str">
        <f t="shared" si="62"/>
        <v>1045_C0019_0391.jpg</v>
      </c>
    </row>
    <row r="1048" spans="1:39" x14ac:dyDescent="0.35">
      <c r="A1048">
        <v>1044</v>
      </c>
      <c r="B1048">
        <v>1045</v>
      </c>
      <c r="F1048" s="64" t="s">
        <v>4378</v>
      </c>
      <c r="G1048" s="64"/>
      <c r="H1048" s="64"/>
      <c r="I1048" s="64">
        <v>1</v>
      </c>
      <c r="J1048" s="32" t="str">
        <f>IF(AND(E1048=1,OR(E1047=0,E1047="")),MAX(#REF!)+1,IF(AND(E1048=1,E1047=1),J1047,""))</f>
        <v/>
      </c>
      <c r="K1048" s="32" t="str">
        <f t="shared" si="61"/>
        <v/>
      </c>
      <c r="L1048" s="32" t="str">
        <f t="shared" si="63"/>
        <v/>
      </c>
      <c r="M1048" s="32" t="str">
        <f t="shared" si="64"/>
        <v/>
      </c>
      <c r="N1048" s="4">
        <v>1</v>
      </c>
      <c r="O1048" s="58">
        <v>0</v>
      </c>
      <c r="P1048" s="58">
        <v>0</v>
      </c>
      <c r="Q1048" s="58">
        <v>0</v>
      </c>
      <c r="R1048" s="58">
        <v>0</v>
      </c>
      <c r="S1048" s="58">
        <v>0</v>
      </c>
      <c r="T1048" s="58">
        <v>0</v>
      </c>
      <c r="U1048" s="58">
        <v>0</v>
      </c>
      <c r="V1048" s="58">
        <v>0</v>
      </c>
      <c r="AG1048" t="s">
        <v>1087</v>
      </c>
      <c r="AM1048" s="1" t="str">
        <f t="shared" si="62"/>
        <v>1046_C0019_0389.jpg</v>
      </c>
    </row>
    <row r="1049" spans="1:39" x14ac:dyDescent="0.35">
      <c r="A1049">
        <v>1045</v>
      </c>
      <c r="B1049">
        <v>1046</v>
      </c>
      <c r="F1049" s="64" t="s">
        <v>4379</v>
      </c>
      <c r="G1049" s="64"/>
      <c r="H1049" s="64"/>
      <c r="I1049" s="64">
        <v>1</v>
      </c>
      <c r="J1049" s="32" t="str">
        <f>IF(AND(E1049=1,OR(E1048=0,E1048="")),MAX(#REF!)+1,IF(AND(E1049=1,E1048=1),J1048,""))</f>
        <v/>
      </c>
      <c r="K1049" s="32" t="str">
        <f t="shared" si="61"/>
        <v/>
      </c>
      <c r="L1049" s="32" t="str">
        <f t="shared" si="63"/>
        <v/>
      </c>
      <c r="M1049" s="32" t="str">
        <f t="shared" si="64"/>
        <v/>
      </c>
      <c r="N1049" s="4">
        <v>1</v>
      </c>
      <c r="O1049" s="58">
        <v>0</v>
      </c>
      <c r="P1049" s="58">
        <v>0</v>
      </c>
      <c r="Q1049" s="58">
        <v>0</v>
      </c>
      <c r="R1049" s="58">
        <v>0</v>
      </c>
      <c r="S1049" s="58">
        <v>0</v>
      </c>
      <c r="T1049" s="58">
        <v>0</v>
      </c>
      <c r="U1049" s="58">
        <v>0</v>
      </c>
      <c r="V1049" s="58">
        <v>0</v>
      </c>
      <c r="AG1049" t="s">
        <v>1088</v>
      </c>
      <c r="AM1049" s="1" t="str">
        <f t="shared" si="62"/>
        <v>1047_C0019_0383.jpg</v>
      </c>
    </row>
    <row r="1050" spans="1:39" x14ac:dyDescent="0.35">
      <c r="A1050">
        <v>1046</v>
      </c>
      <c r="B1050">
        <v>1047</v>
      </c>
      <c r="F1050" s="64" t="s">
        <v>4380</v>
      </c>
      <c r="G1050" s="64"/>
      <c r="H1050" s="64"/>
      <c r="I1050" s="64">
        <v>1</v>
      </c>
      <c r="J1050" s="32" t="str">
        <f>IF(AND(E1050=1,OR(E1049=0,E1049="")),MAX(#REF!)+1,IF(AND(E1050=1,E1049=1),J1049,""))</f>
        <v/>
      </c>
      <c r="K1050" s="32" t="str">
        <f t="shared" si="61"/>
        <v/>
      </c>
      <c r="L1050" s="32" t="str">
        <f t="shared" si="63"/>
        <v/>
      </c>
      <c r="M1050" s="32" t="str">
        <f t="shared" si="64"/>
        <v/>
      </c>
      <c r="N1050" s="4">
        <v>1</v>
      </c>
      <c r="O1050" s="58">
        <v>0</v>
      </c>
      <c r="P1050" s="58">
        <v>0</v>
      </c>
      <c r="Q1050" s="58">
        <v>0</v>
      </c>
      <c r="R1050" s="58">
        <v>0</v>
      </c>
      <c r="S1050" s="58">
        <v>0</v>
      </c>
      <c r="T1050" s="58">
        <v>0</v>
      </c>
      <c r="U1050" s="58">
        <v>0</v>
      </c>
      <c r="V1050" s="58">
        <v>0</v>
      </c>
      <c r="AG1050" t="s">
        <v>1089</v>
      </c>
      <c r="AM1050" s="1" t="str">
        <f t="shared" si="62"/>
        <v>1048_C0019_0379.jpg</v>
      </c>
    </row>
    <row r="1051" spans="1:39" x14ac:dyDescent="0.35">
      <c r="A1051">
        <v>1047</v>
      </c>
      <c r="B1051">
        <v>1048</v>
      </c>
      <c r="F1051" s="64" t="s">
        <v>4381</v>
      </c>
      <c r="G1051" s="64"/>
      <c r="H1051" s="64"/>
      <c r="I1051" s="64">
        <v>1</v>
      </c>
      <c r="J1051" s="32" t="str">
        <f>IF(AND(E1051=1,OR(E1050=0,E1050="")),MAX(#REF!)+1,IF(AND(E1051=1,E1050=1),J1050,""))</f>
        <v/>
      </c>
      <c r="K1051" s="32" t="str">
        <f t="shared" si="61"/>
        <v/>
      </c>
      <c r="L1051" s="32" t="str">
        <f t="shared" si="63"/>
        <v/>
      </c>
      <c r="M1051" s="32" t="str">
        <f t="shared" si="64"/>
        <v/>
      </c>
      <c r="N1051" s="4">
        <v>1</v>
      </c>
      <c r="O1051" s="58">
        <v>0</v>
      </c>
      <c r="P1051" s="58">
        <v>0</v>
      </c>
      <c r="Q1051" s="58">
        <v>0</v>
      </c>
      <c r="R1051" s="58">
        <v>0</v>
      </c>
      <c r="S1051" s="58">
        <v>0</v>
      </c>
      <c r="T1051" s="58">
        <v>0</v>
      </c>
      <c r="U1051" s="58">
        <v>0</v>
      </c>
      <c r="V1051" s="58">
        <v>0</v>
      </c>
      <c r="AG1051" t="s">
        <v>1090</v>
      </c>
      <c r="AM1051" s="1" t="str">
        <f t="shared" si="62"/>
        <v>1049_C0019_0375.jpg</v>
      </c>
    </row>
    <row r="1052" spans="1:39" x14ac:dyDescent="0.35">
      <c r="A1052">
        <v>1048</v>
      </c>
      <c r="B1052">
        <v>1049</v>
      </c>
      <c r="F1052" s="64" t="s">
        <v>4382</v>
      </c>
      <c r="G1052" s="64"/>
      <c r="H1052" s="64"/>
      <c r="I1052" s="64">
        <v>1</v>
      </c>
      <c r="J1052" s="32" t="str">
        <f>IF(AND(E1052=1,OR(E1051=0,E1051="")),MAX(#REF!)+1,IF(AND(E1052=1,E1051=1),J1051,""))</f>
        <v/>
      </c>
      <c r="K1052" s="32" t="str">
        <f t="shared" si="61"/>
        <v/>
      </c>
      <c r="L1052" s="32" t="str">
        <f t="shared" si="63"/>
        <v/>
      </c>
      <c r="M1052" s="32" t="str">
        <f t="shared" si="64"/>
        <v/>
      </c>
      <c r="N1052" s="4">
        <v>1</v>
      </c>
      <c r="O1052" s="58">
        <v>0</v>
      </c>
      <c r="P1052" s="58">
        <v>0</v>
      </c>
      <c r="Q1052" s="58">
        <v>0</v>
      </c>
      <c r="R1052" s="58">
        <v>0</v>
      </c>
      <c r="S1052" s="58">
        <v>0</v>
      </c>
      <c r="T1052" s="58">
        <v>0</v>
      </c>
      <c r="U1052" s="58">
        <v>0</v>
      </c>
      <c r="V1052" s="58">
        <v>0</v>
      </c>
      <c r="AG1052" t="s">
        <v>1091</v>
      </c>
      <c r="AM1052" s="1" t="str">
        <f t="shared" si="62"/>
        <v>1050_C0019_0372.jpg</v>
      </c>
    </row>
    <row r="1053" spans="1:39" x14ac:dyDescent="0.35">
      <c r="A1053">
        <v>1049</v>
      </c>
      <c r="B1053">
        <v>1050</v>
      </c>
      <c r="F1053" s="64" t="s">
        <v>4383</v>
      </c>
      <c r="G1053" s="64"/>
      <c r="H1053" s="64"/>
      <c r="I1053" s="64">
        <v>1</v>
      </c>
      <c r="J1053" s="32" t="str">
        <f>IF(AND(E1053=1,OR(E1052=0,E1052="")),MAX(#REF!)+1,IF(AND(E1053=1,E1052=1),J1052,""))</f>
        <v/>
      </c>
      <c r="K1053" s="32" t="str">
        <f t="shared" si="61"/>
        <v/>
      </c>
      <c r="L1053" s="32" t="str">
        <f t="shared" si="63"/>
        <v/>
      </c>
      <c r="M1053" s="32" t="str">
        <f t="shared" si="64"/>
        <v/>
      </c>
      <c r="N1053" s="4">
        <v>1</v>
      </c>
      <c r="O1053" s="58">
        <v>0</v>
      </c>
      <c r="P1053" s="58">
        <v>0</v>
      </c>
      <c r="Q1053" s="58">
        <v>0</v>
      </c>
      <c r="R1053" s="58">
        <v>0</v>
      </c>
      <c r="S1053" s="58">
        <v>0</v>
      </c>
      <c r="T1053" s="58">
        <v>0</v>
      </c>
      <c r="U1053" s="58">
        <v>0</v>
      </c>
      <c r="V1053" s="58">
        <v>0</v>
      </c>
      <c r="AG1053" t="s">
        <v>1092</v>
      </c>
      <c r="AM1053" s="1" t="str">
        <f t="shared" si="62"/>
        <v>1051_C0019_0367.jpg</v>
      </c>
    </row>
    <row r="1054" spans="1:39" x14ac:dyDescent="0.35">
      <c r="A1054">
        <v>1050</v>
      </c>
      <c r="B1054">
        <v>1051</v>
      </c>
      <c r="F1054" s="64" t="s">
        <v>4384</v>
      </c>
      <c r="G1054" s="64"/>
      <c r="H1054" s="64"/>
      <c r="I1054" s="64">
        <v>1</v>
      </c>
      <c r="J1054" s="32" t="str">
        <f>IF(AND(E1054=1,OR(E1053=0,E1053="")),MAX(#REF!)+1,IF(AND(E1054=1,E1053=1),J1053,""))</f>
        <v/>
      </c>
      <c r="K1054" s="32" t="str">
        <f t="shared" si="61"/>
        <v/>
      </c>
      <c r="L1054" s="32" t="str">
        <f t="shared" si="63"/>
        <v/>
      </c>
      <c r="M1054" s="32" t="str">
        <f t="shared" si="64"/>
        <v/>
      </c>
      <c r="N1054" s="4">
        <v>1</v>
      </c>
      <c r="O1054" s="58">
        <v>0</v>
      </c>
      <c r="P1054" s="58">
        <v>0</v>
      </c>
      <c r="Q1054" s="58">
        <v>0</v>
      </c>
      <c r="R1054" s="58">
        <v>0</v>
      </c>
      <c r="S1054" s="58">
        <v>0</v>
      </c>
      <c r="T1054" s="58">
        <v>0</v>
      </c>
      <c r="U1054" s="58">
        <v>0</v>
      </c>
      <c r="V1054" s="58">
        <v>0</v>
      </c>
      <c r="AG1054" t="s">
        <v>1093</v>
      </c>
      <c r="AM1054" s="1" t="str">
        <f t="shared" si="62"/>
        <v>1052_C0019_0364.jpg</v>
      </c>
    </row>
    <row r="1055" spans="1:39" x14ac:dyDescent="0.35">
      <c r="A1055">
        <v>1051</v>
      </c>
      <c r="B1055">
        <v>1052</v>
      </c>
      <c r="F1055" s="64" t="s">
        <v>4385</v>
      </c>
      <c r="G1055" s="64"/>
      <c r="H1055" s="64"/>
      <c r="I1055" s="64">
        <v>1</v>
      </c>
      <c r="J1055" s="32" t="str">
        <f>IF(AND(E1055=1,OR(E1054=0,E1054="")),MAX(#REF!)+1,IF(AND(E1055=1,E1054=1),J1054,""))</f>
        <v/>
      </c>
      <c r="K1055" s="32" t="str">
        <f t="shared" ref="K1055:K1118" si="65">IF(J1055="","",COUNTIF(J:J,J1055)*10)</f>
        <v/>
      </c>
      <c r="L1055" s="32" t="str">
        <f t="shared" si="63"/>
        <v/>
      </c>
      <c r="M1055" s="32" t="str">
        <f t="shared" si="64"/>
        <v/>
      </c>
      <c r="N1055" s="4">
        <v>1</v>
      </c>
      <c r="O1055" s="58">
        <v>0</v>
      </c>
      <c r="P1055" s="58">
        <v>0</v>
      </c>
      <c r="Q1055" s="58">
        <v>0</v>
      </c>
      <c r="R1055" s="58">
        <v>0</v>
      </c>
      <c r="S1055" s="58">
        <v>0</v>
      </c>
      <c r="T1055" s="58">
        <v>0</v>
      </c>
      <c r="U1055" s="58">
        <v>0</v>
      </c>
      <c r="V1055" s="58">
        <v>0</v>
      </c>
      <c r="AG1055" t="s">
        <v>1094</v>
      </c>
      <c r="AM1055" s="1" t="str">
        <f t="shared" si="62"/>
        <v>1053_C0019_0359.jpg</v>
      </c>
    </row>
    <row r="1056" spans="1:39" x14ac:dyDescent="0.35">
      <c r="A1056">
        <v>1052</v>
      </c>
      <c r="B1056">
        <v>1053</v>
      </c>
      <c r="F1056" s="64" t="s">
        <v>4386</v>
      </c>
      <c r="G1056" s="64"/>
      <c r="H1056" s="64"/>
      <c r="I1056" s="64">
        <v>1</v>
      </c>
      <c r="J1056" s="32" t="str">
        <f>IF(AND(E1056=1,OR(E1055=0,E1055="")),MAX(#REF!)+1,IF(AND(E1056=1,E1055=1),J1055,""))</f>
        <v/>
      </c>
      <c r="K1056" s="32" t="str">
        <f t="shared" si="65"/>
        <v/>
      </c>
      <c r="L1056" s="32" t="str">
        <f t="shared" si="63"/>
        <v/>
      </c>
      <c r="M1056" s="32" t="str">
        <f t="shared" si="64"/>
        <v/>
      </c>
      <c r="N1056" s="4">
        <v>1</v>
      </c>
      <c r="O1056" s="58">
        <v>0</v>
      </c>
      <c r="P1056" s="58">
        <v>0</v>
      </c>
      <c r="Q1056" s="58">
        <v>0</v>
      </c>
      <c r="R1056" s="58">
        <v>0</v>
      </c>
      <c r="S1056" s="58">
        <v>0</v>
      </c>
      <c r="T1056" s="58">
        <v>0</v>
      </c>
      <c r="U1056" s="58">
        <v>0</v>
      </c>
      <c r="V1056" s="58">
        <v>0</v>
      </c>
      <c r="AG1056" t="s">
        <v>1095</v>
      </c>
      <c r="AM1056" s="1" t="str">
        <f t="shared" si="62"/>
        <v>1054_C0019_0354.jpg</v>
      </c>
    </row>
    <row r="1057" spans="1:39" x14ac:dyDescent="0.35">
      <c r="A1057">
        <v>1053</v>
      </c>
      <c r="B1057">
        <v>1054</v>
      </c>
      <c r="F1057" s="64" t="s">
        <v>4387</v>
      </c>
      <c r="G1057" s="64"/>
      <c r="H1057" s="64"/>
      <c r="I1057" s="64">
        <v>1</v>
      </c>
      <c r="J1057" s="32" t="str">
        <f>IF(AND(E1057=1,OR(E1056=0,E1056="")),MAX(#REF!)+1,IF(AND(E1057=1,E1056=1),J1056,""))</f>
        <v/>
      </c>
      <c r="K1057" s="32" t="str">
        <f t="shared" si="65"/>
        <v/>
      </c>
      <c r="L1057" s="32" t="str">
        <f t="shared" si="63"/>
        <v/>
      </c>
      <c r="M1057" s="32" t="str">
        <f t="shared" si="64"/>
        <v/>
      </c>
      <c r="N1057" s="4">
        <v>1</v>
      </c>
      <c r="O1057" s="58">
        <v>0</v>
      </c>
      <c r="P1057" s="58">
        <v>0</v>
      </c>
      <c r="Q1057" s="58">
        <v>0</v>
      </c>
      <c r="R1057" s="58">
        <v>0</v>
      </c>
      <c r="S1057" s="58">
        <v>0</v>
      </c>
      <c r="T1057" s="58">
        <v>0</v>
      </c>
      <c r="U1057" s="58">
        <v>0</v>
      </c>
      <c r="V1057" s="58">
        <v>0</v>
      </c>
      <c r="AG1057" t="s">
        <v>1096</v>
      </c>
      <c r="AM1057" s="1" t="str">
        <f t="shared" si="62"/>
        <v>1055_C0019_0350.jpg</v>
      </c>
    </row>
    <row r="1058" spans="1:39" x14ac:dyDescent="0.35">
      <c r="A1058">
        <v>1054</v>
      </c>
      <c r="B1058">
        <v>1055</v>
      </c>
      <c r="F1058" s="64" t="s">
        <v>4388</v>
      </c>
      <c r="G1058" s="64"/>
      <c r="H1058" s="64"/>
      <c r="I1058" s="64">
        <v>1</v>
      </c>
      <c r="J1058" s="32" t="str">
        <f>IF(AND(E1058=1,OR(E1057=0,E1057="")),MAX(#REF!)+1,IF(AND(E1058=1,E1057=1),J1057,""))</f>
        <v/>
      </c>
      <c r="K1058" s="32" t="str">
        <f t="shared" si="65"/>
        <v/>
      </c>
      <c r="L1058" s="32" t="str">
        <f t="shared" si="63"/>
        <v/>
      </c>
      <c r="M1058" s="32" t="str">
        <f t="shared" si="64"/>
        <v/>
      </c>
      <c r="N1058" s="4">
        <v>1</v>
      </c>
      <c r="O1058" s="58">
        <v>0</v>
      </c>
      <c r="P1058" s="58">
        <v>0</v>
      </c>
      <c r="Q1058" s="58">
        <v>0</v>
      </c>
      <c r="R1058" s="58">
        <v>0</v>
      </c>
      <c r="S1058" s="58">
        <v>0</v>
      </c>
      <c r="T1058" s="58">
        <v>0</v>
      </c>
      <c r="U1058" s="58">
        <v>0</v>
      </c>
      <c r="V1058" s="58">
        <v>0</v>
      </c>
      <c r="AG1058" t="s">
        <v>1097</v>
      </c>
      <c r="AM1058" s="1" t="str">
        <f t="shared" si="62"/>
        <v>1056_C0019_0346.jpg</v>
      </c>
    </row>
    <row r="1059" spans="1:39" x14ac:dyDescent="0.35">
      <c r="A1059">
        <v>1055</v>
      </c>
      <c r="B1059">
        <v>1056</v>
      </c>
      <c r="F1059" s="64" t="s">
        <v>4389</v>
      </c>
      <c r="G1059" s="64"/>
      <c r="H1059" s="64"/>
      <c r="I1059" s="64">
        <v>1</v>
      </c>
      <c r="J1059" s="32" t="str">
        <f>IF(AND(E1059=1,OR(E1058=0,E1058="")),MAX(#REF!)+1,IF(AND(E1059=1,E1058=1),J1058,""))</f>
        <v/>
      </c>
      <c r="K1059" s="32" t="str">
        <f t="shared" si="65"/>
        <v/>
      </c>
      <c r="L1059" s="32" t="str">
        <f t="shared" si="63"/>
        <v/>
      </c>
      <c r="M1059" s="32" t="str">
        <f t="shared" si="64"/>
        <v/>
      </c>
      <c r="N1059" s="4">
        <v>1</v>
      </c>
      <c r="O1059" s="58">
        <v>0</v>
      </c>
      <c r="P1059" s="58">
        <v>0</v>
      </c>
      <c r="Q1059" s="58">
        <v>0</v>
      </c>
      <c r="R1059" s="58">
        <v>0</v>
      </c>
      <c r="S1059" s="58">
        <v>0</v>
      </c>
      <c r="T1059" s="58">
        <v>0</v>
      </c>
      <c r="U1059" s="58">
        <v>0</v>
      </c>
      <c r="V1059" s="58">
        <v>0</v>
      </c>
      <c r="AG1059" t="s">
        <v>1098</v>
      </c>
      <c r="AM1059" s="1" t="str">
        <f t="shared" si="62"/>
        <v>1057_C0019_0342.jpg</v>
      </c>
    </row>
    <row r="1060" spans="1:39" x14ac:dyDescent="0.35">
      <c r="A1060">
        <v>1056</v>
      </c>
      <c r="B1060">
        <v>1057</v>
      </c>
      <c r="F1060" s="64" t="s">
        <v>4390</v>
      </c>
      <c r="G1060" s="64"/>
      <c r="H1060" s="64"/>
      <c r="I1060" s="64">
        <v>0</v>
      </c>
      <c r="J1060" s="32" t="str">
        <f>IF(AND(E1060=1,OR(E1059=0,E1059="")),MAX(#REF!)+1,IF(AND(E1060=1,E1059=1),J1059,""))</f>
        <v/>
      </c>
      <c r="K1060" s="32" t="str">
        <f t="shared" si="65"/>
        <v/>
      </c>
      <c r="L1060" s="32" t="str">
        <f t="shared" si="63"/>
        <v/>
      </c>
      <c r="M1060" s="32" t="str">
        <f t="shared" si="64"/>
        <v/>
      </c>
      <c r="N1060" s="4">
        <v>1</v>
      </c>
      <c r="O1060" s="58">
        <v>0</v>
      </c>
      <c r="P1060" s="58">
        <v>0</v>
      </c>
      <c r="Q1060" s="58">
        <v>0</v>
      </c>
      <c r="R1060" s="58">
        <v>0</v>
      </c>
      <c r="S1060" s="58">
        <v>0</v>
      </c>
      <c r="T1060" s="58">
        <v>0</v>
      </c>
      <c r="U1060" s="58">
        <v>0</v>
      </c>
      <c r="V1060" s="58">
        <v>0</v>
      </c>
      <c r="AG1060" t="s">
        <v>1099</v>
      </c>
      <c r="AM1060" s="1" t="str">
        <f t="shared" si="62"/>
        <v>1058_C0019_0339.jpg</v>
      </c>
    </row>
    <row r="1061" spans="1:39" x14ac:dyDescent="0.35">
      <c r="A1061">
        <v>1057</v>
      </c>
      <c r="B1061">
        <v>1058</v>
      </c>
      <c r="F1061" s="64" t="s">
        <v>4391</v>
      </c>
      <c r="G1061" s="64"/>
      <c r="H1061" s="64"/>
      <c r="I1061" s="64">
        <v>0</v>
      </c>
      <c r="J1061" s="32" t="str">
        <f>IF(AND(E1061=1,OR(E1060=0,E1060="")),MAX(#REF!)+1,IF(AND(E1061=1,E1060=1),J1060,""))</f>
        <v/>
      </c>
      <c r="K1061" s="32" t="str">
        <f t="shared" si="65"/>
        <v/>
      </c>
      <c r="L1061" s="32" t="str">
        <f t="shared" si="63"/>
        <v/>
      </c>
      <c r="M1061" s="32" t="str">
        <f t="shared" si="64"/>
        <v/>
      </c>
      <c r="N1061" s="4">
        <v>1</v>
      </c>
      <c r="O1061" s="58">
        <v>0</v>
      </c>
      <c r="P1061" s="58">
        <v>0</v>
      </c>
      <c r="Q1061" s="58">
        <v>0</v>
      </c>
      <c r="R1061" s="58">
        <v>0</v>
      </c>
      <c r="S1061" s="58">
        <v>0</v>
      </c>
      <c r="T1061" s="58">
        <v>0</v>
      </c>
      <c r="U1061" s="58">
        <v>0</v>
      </c>
      <c r="V1061" s="58">
        <v>0</v>
      </c>
      <c r="AG1061" t="s">
        <v>1100</v>
      </c>
      <c r="AM1061" s="1" t="str">
        <f t="shared" si="62"/>
        <v>1059_C0019_0336.jpg</v>
      </c>
    </row>
    <row r="1062" spans="1:39" x14ac:dyDescent="0.35">
      <c r="A1062">
        <v>1058</v>
      </c>
      <c r="B1062">
        <v>1059</v>
      </c>
      <c r="F1062" s="64" t="s">
        <v>4392</v>
      </c>
      <c r="G1062" s="64"/>
      <c r="H1062" s="64"/>
      <c r="I1062" s="64">
        <v>0</v>
      </c>
      <c r="J1062" s="32" t="str">
        <f>IF(AND(E1062=1,OR(E1061=0,E1061="")),MAX(#REF!)+1,IF(AND(E1062=1,E1061=1),J1061,""))</f>
        <v/>
      </c>
      <c r="K1062" s="32" t="str">
        <f t="shared" si="65"/>
        <v/>
      </c>
      <c r="L1062" s="32" t="str">
        <f t="shared" si="63"/>
        <v/>
      </c>
      <c r="M1062" s="32" t="str">
        <f t="shared" si="64"/>
        <v/>
      </c>
      <c r="N1062" s="4">
        <v>1</v>
      </c>
      <c r="O1062" s="58">
        <v>0</v>
      </c>
      <c r="P1062" s="58">
        <v>0</v>
      </c>
      <c r="Q1062" s="58">
        <v>0</v>
      </c>
      <c r="R1062" s="58">
        <v>0</v>
      </c>
      <c r="S1062" s="58">
        <v>0</v>
      </c>
      <c r="T1062" s="58">
        <v>0</v>
      </c>
      <c r="U1062" s="58">
        <v>0</v>
      </c>
      <c r="V1062" s="58">
        <v>0</v>
      </c>
      <c r="AG1062" t="s">
        <v>1101</v>
      </c>
      <c r="AM1062" s="1" t="str">
        <f t="shared" si="62"/>
        <v>1060_C0019_0332.jpg</v>
      </c>
    </row>
    <row r="1063" spans="1:39" x14ac:dyDescent="0.35">
      <c r="A1063">
        <v>1059</v>
      </c>
      <c r="B1063">
        <v>1060</v>
      </c>
      <c r="F1063" s="64" t="s">
        <v>4393</v>
      </c>
      <c r="G1063" s="64"/>
      <c r="H1063" s="64"/>
      <c r="I1063" s="64">
        <v>0</v>
      </c>
      <c r="J1063" s="32" t="str">
        <f>IF(AND(E1063=1,OR(E1062=0,E1062="")),MAX(#REF!)+1,IF(AND(E1063=1,E1062=1),J1062,""))</f>
        <v/>
      </c>
      <c r="K1063" s="32" t="str">
        <f t="shared" si="65"/>
        <v/>
      </c>
      <c r="L1063" s="32" t="str">
        <f t="shared" si="63"/>
        <v/>
      </c>
      <c r="M1063" s="32" t="str">
        <f t="shared" si="64"/>
        <v/>
      </c>
      <c r="N1063" s="4">
        <v>1</v>
      </c>
      <c r="O1063" s="58">
        <v>0</v>
      </c>
      <c r="P1063" s="58">
        <v>0</v>
      </c>
      <c r="Q1063" s="58">
        <v>0</v>
      </c>
      <c r="R1063" s="58">
        <v>0</v>
      </c>
      <c r="S1063" s="58">
        <v>0</v>
      </c>
      <c r="T1063" s="58">
        <v>0</v>
      </c>
      <c r="U1063" s="58">
        <v>0</v>
      </c>
      <c r="V1063" s="58">
        <v>0</v>
      </c>
      <c r="AG1063" t="s">
        <v>1102</v>
      </c>
      <c r="AM1063" s="1" t="str">
        <f t="shared" si="62"/>
        <v>1061_C0019_0329.jpg</v>
      </c>
    </row>
    <row r="1064" spans="1:39" x14ac:dyDescent="0.35">
      <c r="A1064">
        <v>1060</v>
      </c>
      <c r="B1064">
        <v>1061</v>
      </c>
      <c r="F1064" s="64" t="s">
        <v>4394</v>
      </c>
      <c r="G1064" s="64"/>
      <c r="H1064" s="64"/>
      <c r="I1064" s="64">
        <v>1</v>
      </c>
      <c r="J1064" s="32" t="str">
        <f>IF(AND(E1064=1,OR(E1063=0,E1063="")),MAX(#REF!)+1,IF(AND(E1064=1,E1063=1),J1063,""))</f>
        <v/>
      </c>
      <c r="K1064" s="32" t="str">
        <f t="shared" si="65"/>
        <v/>
      </c>
      <c r="L1064" s="32" t="str">
        <f t="shared" si="63"/>
        <v/>
      </c>
      <c r="M1064" s="32" t="str">
        <f t="shared" si="64"/>
        <v/>
      </c>
      <c r="N1064" s="4">
        <v>1</v>
      </c>
      <c r="O1064" s="58">
        <v>0</v>
      </c>
      <c r="P1064" s="58">
        <v>0</v>
      </c>
      <c r="Q1064" s="58">
        <v>0</v>
      </c>
      <c r="R1064" s="58">
        <v>0</v>
      </c>
      <c r="S1064" s="58">
        <v>0</v>
      </c>
      <c r="T1064" s="58">
        <v>0</v>
      </c>
      <c r="U1064" s="58">
        <v>0</v>
      </c>
      <c r="V1064" s="58">
        <v>0</v>
      </c>
      <c r="AG1064" t="s">
        <v>1103</v>
      </c>
      <c r="AM1064" s="1" t="str">
        <f t="shared" si="62"/>
        <v>1062_C0019_0326.jpg</v>
      </c>
    </row>
    <row r="1065" spans="1:39" x14ac:dyDescent="0.35">
      <c r="A1065">
        <v>1061</v>
      </c>
      <c r="B1065">
        <v>1062</v>
      </c>
      <c r="F1065" s="64" t="s">
        <v>4395</v>
      </c>
      <c r="G1065" s="64"/>
      <c r="H1065" s="64"/>
      <c r="I1065" s="64">
        <v>1</v>
      </c>
      <c r="J1065" s="32" t="str">
        <f>IF(AND(E1065=1,OR(E1064=0,E1064="")),MAX(#REF!)+1,IF(AND(E1065=1,E1064=1),J1064,""))</f>
        <v/>
      </c>
      <c r="K1065" s="32" t="str">
        <f t="shared" si="65"/>
        <v/>
      </c>
      <c r="L1065" s="32" t="str">
        <f t="shared" si="63"/>
        <v/>
      </c>
      <c r="M1065" s="32" t="str">
        <f t="shared" si="64"/>
        <v/>
      </c>
      <c r="N1065" s="4">
        <v>1</v>
      </c>
      <c r="O1065" s="58">
        <v>0</v>
      </c>
      <c r="P1065" s="58">
        <v>0</v>
      </c>
      <c r="Q1065" s="58">
        <v>0</v>
      </c>
      <c r="R1065" s="58">
        <v>0</v>
      </c>
      <c r="S1065" s="58">
        <v>0</v>
      </c>
      <c r="T1065" s="58">
        <v>0</v>
      </c>
      <c r="U1065" s="58">
        <v>0</v>
      </c>
      <c r="V1065" s="58">
        <v>0</v>
      </c>
      <c r="AG1065" t="s">
        <v>1104</v>
      </c>
      <c r="AM1065" s="1" t="str">
        <f t="shared" si="62"/>
        <v>1063_C0019_0322.jpg</v>
      </c>
    </row>
    <row r="1066" spans="1:39" x14ac:dyDescent="0.35">
      <c r="A1066">
        <v>1062</v>
      </c>
      <c r="B1066">
        <v>1063</v>
      </c>
      <c r="F1066" s="64" t="s">
        <v>4396</v>
      </c>
      <c r="G1066" s="64"/>
      <c r="H1066" s="64"/>
      <c r="I1066" s="64">
        <v>1</v>
      </c>
      <c r="J1066" s="32" t="str">
        <f>IF(AND(E1066=1,OR(E1065=0,E1065="")),MAX(#REF!)+1,IF(AND(E1066=1,E1065=1),J1065,""))</f>
        <v/>
      </c>
      <c r="K1066" s="32" t="str">
        <f t="shared" si="65"/>
        <v/>
      </c>
      <c r="L1066" s="32" t="str">
        <f t="shared" si="63"/>
        <v/>
      </c>
      <c r="M1066" s="32" t="str">
        <f t="shared" si="64"/>
        <v/>
      </c>
      <c r="N1066" s="4">
        <v>1</v>
      </c>
      <c r="O1066" s="58">
        <v>0</v>
      </c>
      <c r="P1066" s="58">
        <v>0</v>
      </c>
      <c r="Q1066" s="58">
        <v>0</v>
      </c>
      <c r="R1066" s="58">
        <v>0</v>
      </c>
      <c r="S1066" s="58">
        <v>0</v>
      </c>
      <c r="T1066" s="58">
        <v>0</v>
      </c>
      <c r="U1066" s="58">
        <v>0</v>
      </c>
      <c r="V1066" s="58">
        <v>0</v>
      </c>
      <c r="AG1066" t="s">
        <v>1105</v>
      </c>
      <c r="AM1066" s="1" t="str">
        <f t="shared" si="62"/>
        <v>1064_C0019_0319.jpg</v>
      </c>
    </row>
    <row r="1067" spans="1:39" x14ac:dyDescent="0.35">
      <c r="A1067">
        <v>1063</v>
      </c>
      <c r="B1067">
        <v>1064</v>
      </c>
      <c r="F1067" s="64" t="s">
        <v>4397</v>
      </c>
      <c r="G1067" s="64"/>
      <c r="H1067" s="64"/>
      <c r="I1067" s="64">
        <v>0</v>
      </c>
      <c r="J1067" s="32" t="str">
        <f>IF(AND(E1067=1,OR(E1066=0,E1066="")),MAX(#REF!)+1,IF(AND(E1067=1,E1066=1),J1066,""))</f>
        <v/>
      </c>
      <c r="K1067" s="32" t="str">
        <f t="shared" si="65"/>
        <v/>
      </c>
      <c r="L1067" s="32" t="str">
        <f t="shared" si="63"/>
        <v/>
      </c>
      <c r="M1067" s="32" t="str">
        <f t="shared" si="64"/>
        <v/>
      </c>
      <c r="N1067" s="4">
        <v>1</v>
      </c>
      <c r="O1067" s="58">
        <v>0</v>
      </c>
      <c r="P1067" s="58">
        <v>0</v>
      </c>
      <c r="Q1067" s="58">
        <v>0</v>
      </c>
      <c r="R1067" s="58">
        <v>0</v>
      </c>
      <c r="S1067" s="58">
        <v>0</v>
      </c>
      <c r="T1067" s="58">
        <v>0</v>
      </c>
      <c r="U1067" s="58">
        <v>0</v>
      </c>
      <c r="V1067" s="58">
        <v>0</v>
      </c>
      <c r="AG1067" t="s">
        <v>1106</v>
      </c>
      <c r="AM1067" s="1" t="str">
        <f t="shared" si="62"/>
        <v>1065_C0019_0316.jpg</v>
      </c>
    </row>
    <row r="1068" spans="1:39" x14ac:dyDescent="0.35">
      <c r="A1068">
        <v>1064</v>
      </c>
      <c r="B1068">
        <v>1065</v>
      </c>
      <c r="F1068" s="64" t="s">
        <v>4398</v>
      </c>
      <c r="G1068" s="64"/>
      <c r="H1068" s="64"/>
      <c r="I1068" s="64">
        <v>0</v>
      </c>
      <c r="J1068" s="32" t="str">
        <f>IF(AND(E1068=1,OR(E1067=0,E1067="")),MAX(#REF!)+1,IF(AND(E1068=1,E1067=1),J1067,""))</f>
        <v/>
      </c>
      <c r="K1068" s="32" t="str">
        <f t="shared" si="65"/>
        <v/>
      </c>
      <c r="L1068" s="32" t="str">
        <f t="shared" si="63"/>
        <v/>
      </c>
      <c r="M1068" s="32" t="str">
        <f t="shared" si="64"/>
        <v/>
      </c>
      <c r="N1068" s="4">
        <v>1</v>
      </c>
      <c r="O1068" s="58">
        <v>0</v>
      </c>
      <c r="P1068" s="58">
        <v>0</v>
      </c>
      <c r="Q1068" s="58">
        <v>0</v>
      </c>
      <c r="R1068" s="58">
        <v>0</v>
      </c>
      <c r="S1068" s="58">
        <v>0</v>
      </c>
      <c r="T1068" s="58">
        <v>0</v>
      </c>
      <c r="U1068" s="58">
        <v>0</v>
      </c>
      <c r="V1068" s="58">
        <v>0</v>
      </c>
      <c r="AG1068" t="s">
        <v>1107</v>
      </c>
      <c r="AM1068" s="1" t="str">
        <f t="shared" si="62"/>
        <v>1066_C0019_0313.jpg</v>
      </c>
    </row>
    <row r="1069" spans="1:39" x14ac:dyDescent="0.35">
      <c r="A1069">
        <v>1065</v>
      </c>
      <c r="B1069">
        <v>1066</v>
      </c>
      <c r="F1069" s="64" t="s">
        <v>4399</v>
      </c>
      <c r="G1069" s="64"/>
      <c r="H1069" s="64"/>
      <c r="I1069" s="64">
        <v>1</v>
      </c>
      <c r="J1069" s="32" t="str">
        <f>IF(AND(E1069=1,OR(E1068=0,E1068="")),MAX(#REF!)+1,IF(AND(E1069=1,E1068=1),J1068,""))</f>
        <v/>
      </c>
      <c r="K1069" s="32" t="str">
        <f t="shared" si="65"/>
        <v/>
      </c>
      <c r="L1069" s="32" t="str">
        <f t="shared" si="63"/>
        <v/>
      </c>
      <c r="M1069" s="32" t="str">
        <f t="shared" si="64"/>
        <v/>
      </c>
      <c r="N1069" s="4">
        <v>1</v>
      </c>
      <c r="O1069" s="58">
        <v>0</v>
      </c>
      <c r="P1069" s="58">
        <v>0</v>
      </c>
      <c r="Q1069" s="58">
        <v>0</v>
      </c>
      <c r="R1069" s="58">
        <v>0</v>
      </c>
      <c r="S1069" s="58">
        <v>0</v>
      </c>
      <c r="T1069" s="58">
        <v>0</v>
      </c>
      <c r="U1069" s="58">
        <v>0</v>
      </c>
      <c r="V1069" s="58">
        <v>0</v>
      </c>
      <c r="AG1069" t="s">
        <v>1108</v>
      </c>
      <c r="AM1069" s="1" t="str">
        <f t="shared" si="62"/>
        <v>1067_C0019_0311.jpg</v>
      </c>
    </row>
    <row r="1070" spans="1:39" x14ac:dyDescent="0.35">
      <c r="A1070">
        <v>1066</v>
      </c>
      <c r="B1070">
        <v>1067</v>
      </c>
      <c r="F1070" s="64" t="s">
        <v>4400</v>
      </c>
      <c r="G1070" s="64"/>
      <c r="H1070" s="64"/>
      <c r="I1070" s="64">
        <v>0</v>
      </c>
      <c r="J1070" s="32" t="str">
        <f>IF(AND(E1070=1,OR(E1069=0,E1069="")),MAX(#REF!)+1,IF(AND(E1070=1,E1069=1),J1069,""))</f>
        <v/>
      </c>
      <c r="K1070" s="32" t="str">
        <f t="shared" si="65"/>
        <v/>
      </c>
      <c r="L1070" s="32" t="str">
        <f t="shared" si="63"/>
        <v/>
      </c>
      <c r="M1070" s="32" t="str">
        <f t="shared" si="64"/>
        <v/>
      </c>
      <c r="N1070" s="4">
        <v>1</v>
      </c>
      <c r="O1070" s="58">
        <v>0</v>
      </c>
      <c r="P1070" s="58">
        <v>0</v>
      </c>
      <c r="Q1070" s="58">
        <v>0</v>
      </c>
      <c r="R1070" s="58">
        <v>0</v>
      </c>
      <c r="S1070" s="58">
        <v>0</v>
      </c>
      <c r="T1070" s="58">
        <v>0</v>
      </c>
      <c r="U1070" s="58">
        <v>0</v>
      </c>
      <c r="V1070" s="58">
        <v>0</v>
      </c>
      <c r="AG1070" t="s">
        <v>1109</v>
      </c>
      <c r="AM1070" s="1" t="str">
        <f t="shared" si="62"/>
        <v>1068_C0019_0308.jpg</v>
      </c>
    </row>
    <row r="1071" spans="1:39" x14ac:dyDescent="0.35">
      <c r="A1071">
        <v>1067</v>
      </c>
      <c r="B1071">
        <v>1068</v>
      </c>
      <c r="F1071" s="64" t="s">
        <v>4401</v>
      </c>
      <c r="G1071" s="64"/>
      <c r="H1071" s="64"/>
      <c r="I1071" s="64">
        <v>0</v>
      </c>
      <c r="J1071" s="32" t="str">
        <f>IF(AND(E1071=1,OR(E1070=0,E1070="")),MAX(#REF!)+1,IF(AND(E1071=1,E1070=1),J1070,""))</f>
        <v/>
      </c>
      <c r="K1071" s="32" t="str">
        <f t="shared" si="65"/>
        <v/>
      </c>
      <c r="L1071" s="32" t="str">
        <f t="shared" si="63"/>
        <v/>
      </c>
      <c r="M1071" s="32" t="str">
        <f t="shared" si="64"/>
        <v/>
      </c>
      <c r="N1071" s="4">
        <v>1</v>
      </c>
      <c r="O1071" s="58">
        <v>0</v>
      </c>
      <c r="P1071" s="58">
        <v>0</v>
      </c>
      <c r="Q1071" s="58">
        <v>0</v>
      </c>
      <c r="R1071" s="58">
        <v>0</v>
      </c>
      <c r="S1071" s="58">
        <v>0</v>
      </c>
      <c r="T1071" s="58">
        <v>0</v>
      </c>
      <c r="U1071" s="58">
        <v>0</v>
      </c>
      <c r="V1071" s="58">
        <v>0</v>
      </c>
      <c r="AG1071" t="s">
        <v>1110</v>
      </c>
      <c r="AM1071" s="1" t="str">
        <f t="shared" si="62"/>
        <v>1069_C0019_0305.jpg</v>
      </c>
    </row>
    <row r="1072" spans="1:39" x14ac:dyDescent="0.35">
      <c r="A1072">
        <v>1068</v>
      </c>
      <c r="B1072">
        <v>1069</v>
      </c>
      <c r="F1072" s="64" t="s">
        <v>4402</v>
      </c>
      <c r="G1072" s="64"/>
      <c r="H1072" s="64"/>
      <c r="I1072" s="64">
        <v>0</v>
      </c>
      <c r="J1072" s="32" t="str">
        <f>IF(AND(E1072=1,OR(E1071=0,E1071="")),MAX(#REF!)+1,IF(AND(E1072=1,E1071=1),J1071,""))</f>
        <v/>
      </c>
      <c r="K1072" s="32" t="str">
        <f t="shared" si="65"/>
        <v/>
      </c>
      <c r="L1072" s="32" t="str">
        <f t="shared" si="63"/>
        <v/>
      </c>
      <c r="M1072" s="32" t="str">
        <f t="shared" si="64"/>
        <v/>
      </c>
      <c r="N1072" s="4">
        <v>1</v>
      </c>
      <c r="O1072" s="58">
        <v>0</v>
      </c>
      <c r="P1072" s="58">
        <v>0</v>
      </c>
      <c r="Q1072" s="58">
        <v>0</v>
      </c>
      <c r="R1072" s="58">
        <v>0</v>
      </c>
      <c r="S1072" s="58">
        <v>0</v>
      </c>
      <c r="T1072" s="58">
        <v>0</v>
      </c>
      <c r="U1072" s="58">
        <v>0</v>
      </c>
      <c r="V1072" s="58">
        <v>0</v>
      </c>
      <c r="AG1072" t="s">
        <v>1111</v>
      </c>
      <c r="AM1072" s="1" t="str">
        <f t="shared" si="62"/>
        <v>1070_C0019_0302.jpg</v>
      </c>
    </row>
    <row r="1073" spans="1:39" x14ac:dyDescent="0.35">
      <c r="A1073">
        <v>1069</v>
      </c>
      <c r="B1073">
        <v>1070</v>
      </c>
      <c r="F1073" s="64" t="s">
        <v>4403</v>
      </c>
      <c r="G1073" s="64"/>
      <c r="H1073" s="64"/>
      <c r="I1073" s="64">
        <v>0</v>
      </c>
      <c r="J1073" s="32" t="str">
        <f>IF(AND(E1073=1,OR(E1072=0,E1072="")),MAX(#REF!)+1,IF(AND(E1073=1,E1072=1),J1072,""))</f>
        <v/>
      </c>
      <c r="K1073" s="32" t="str">
        <f t="shared" si="65"/>
        <v/>
      </c>
      <c r="L1073" s="32" t="str">
        <f t="shared" si="63"/>
        <v/>
      </c>
      <c r="M1073" s="32" t="str">
        <f t="shared" si="64"/>
        <v/>
      </c>
      <c r="N1073" s="4">
        <v>1</v>
      </c>
      <c r="O1073" s="58">
        <v>0</v>
      </c>
      <c r="P1073" s="58">
        <v>0</v>
      </c>
      <c r="Q1073" s="58">
        <v>0</v>
      </c>
      <c r="R1073" s="58">
        <v>0</v>
      </c>
      <c r="S1073" s="58">
        <v>0</v>
      </c>
      <c r="T1073" s="58">
        <v>0</v>
      </c>
      <c r="U1073" s="58">
        <v>0</v>
      </c>
      <c r="V1073" s="58">
        <v>0</v>
      </c>
      <c r="AG1073" t="s">
        <v>1112</v>
      </c>
      <c r="AM1073" s="1" t="str">
        <f t="shared" si="62"/>
        <v>1071_C0019_0298.jpg</v>
      </c>
    </row>
    <row r="1074" spans="1:39" x14ac:dyDescent="0.35">
      <c r="A1074">
        <v>1070</v>
      </c>
      <c r="B1074">
        <v>1071</v>
      </c>
      <c r="F1074" s="64" t="s">
        <v>4404</v>
      </c>
      <c r="G1074" s="64"/>
      <c r="H1074" s="64"/>
      <c r="I1074" s="64">
        <v>0</v>
      </c>
      <c r="J1074" s="32" t="str">
        <f>IF(AND(E1074=1,OR(E1073=0,E1073="")),MAX(#REF!)+1,IF(AND(E1074=1,E1073=1),J1073,""))</f>
        <v/>
      </c>
      <c r="K1074" s="32" t="str">
        <f t="shared" si="65"/>
        <v/>
      </c>
      <c r="L1074" s="32" t="str">
        <f t="shared" si="63"/>
        <v/>
      </c>
      <c r="M1074" s="32" t="str">
        <f t="shared" si="64"/>
        <v/>
      </c>
      <c r="N1074" s="4">
        <v>1</v>
      </c>
      <c r="O1074" s="58">
        <v>0</v>
      </c>
      <c r="P1074" s="58">
        <v>0</v>
      </c>
      <c r="Q1074" s="58">
        <v>0</v>
      </c>
      <c r="R1074" s="58">
        <v>0</v>
      </c>
      <c r="S1074" s="58">
        <v>0</v>
      </c>
      <c r="T1074" s="58">
        <v>0</v>
      </c>
      <c r="U1074" s="58">
        <v>0</v>
      </c>
      <c r="V1074" s="58">
        <v>0</v>
      </c>
      <c r="AG1074" t="s">
        <v>1113</v>
      </c>
      <c r="AM1074" s="1" t="str">
        <f t="shared" si="62"/>
        <v>1072_C0019_0294.jpg</v>
      </c>
    </row>
    <row r="1075" spans="1:39" x14ac:dyDescent="0.35">
      <c r="A1075">
        <v>1071</v>
      </c>
      <c r="B1075">
        <v>1072</v>
      </c>
      <c r="F1075" s="64" t="s">
        <v>4405</v>
      </c>
      <c r="G1075" s="64"/>
      <c r="H1075" s="64"/>
      <c r="I1075" s="64">
        <v>1</v>
      </c>
      <c r="J1075" s="32" t="str">
        <f>IF(AND(E1075=1,OR(E1074=0,E1074="")),MAX(#REF!)+1,IF(AND(E1075=1,E1074=1),J1074,""))</f>
        <v/>
      </c>
      <c r="K1075" s="32" t="str">
        <f t="shared" si="65"/>
        <v/>
      </c>
      <c r="L1075" s="32" t="str">
        <f t="shared" si="63"/>
        <v/>
      </c>
      <c r="M1075" s="32" t="str">
        <f t="shared" si="64"/>
        <v/>
      </c>
      <c r="N1075" s="4">
        <v>1</v>
      </c>
      <c r="O1075" s="58">
        <v>0</v>
      </c>
      <c r="P1075" s="58">
        <v>0</v>
      </c>
      <c r="Q1075" s="58">
        <v>0</v>
      </c>
      <c r="R1075" s="58">
        <v>0</v>
      </c>
      <c r="S1075" s="58">
        <v>0</v>
      </c>
      <c r="T1075" s="58">
        <v>0</v>
      </c>
      <c r="U1075" s="58">
        <v>0</v>
      </c>
      <c r="V1075" s="58">
        <v>0</v>
      </c>
      <c r="AG1075" t="s">
        <v>1114</v>
      </c>
      <c r="AM1075" s="1" t="str">
        <f t="shared" si="62"/>
        <v>1073_C0019_0291.jpg</v>
      </c>
    </row>
    <row r="1076" spans="1:39" x14ac:dyDescent="0.35">
      <c r="A1076">
        <v>1072</v>
      </c>
      <c r="B1076">
        <v>1073</v>
      </c>
      <c r="F1076" s="64" t="s">
        <v>4406</v>
      </c>
      <c r="G1076" s="64"/>
      <c r="H1076" s="64"/>
      <c r="I1076" s="64">
        <v>1</v>
      </c>
      <c r="J1076" s="32" t="str">
        <f>IF(AND(E1076=1,OR(E1075=0,E1075="")),MAX(#REF!)+1,IF(AND(E1076=1,E1075=1),J1075,""))</f>
        <v/>
      </c>
      <c r="K1076" s="32" t="str">
        <f t="shared" si="65"/>
        <v/>
      </c>
      <c r="L1076" s="32" t="str">
        <f t="shared" si="63"/>
        <v/>
      </c>
      <c r="M1076" s="32" t="str">
        <f t="shared" si="64"/>
        <v/>
      </c>
      <c r="N1076" s="4">
        <v>1</v>
      </c>
      <c r="O1076" s="58">
        <v>0</v>
      </c>
      <c r="P1076" s="58">
        <v>0</v>
      </c>
      <c r="Q1076" s="58">
        <v>0</v>
      </c>
      <c r="R1076" s="58">
        <v>0</v>
      </c>
      <c r="S1076" s="58">
        <v>0</v>
      </c>
      <c r="T1076" s="58">
        <v>0</v>
      </c>
      <c r="U1076" s="58">
        <v>0</v>
      </c>
      <c r="V1076" s="58">
        <v>0</v>
      </c>
      <c r="AG1076" t="s">
        <v>1115</v>
      </c>
      <c r="AM1076" s="1" t="str">
        <f t="shared" si="62"/>
        <v>1074_C0019_0288.jpg</v>
      </c>
    </row>
    <row r="1077" spans="1:39" x14ac:dyDescent="0.35">
      <c r="A1077">
        <v>1073</v>
      </c>
      <c r="B1077">
        <v>1074</v>
      </c>
      <c r="F1077" s="64" t="s">
        <v>4407</v>
      </c>
      <c r="G1077" s="64"/>
      <c r="H1077" s="64"/>
      <c r="I1077" s="64">
        <v>1</v>
      </c>
      <c r="J1077" s="32" t="str">
        <f>IF(AND(E1077=1,OR(E1076=0,E1076="")),MAX(#REF!)+1,IF(AND(E1077=1,E1076=1),J1076,""))</f>
        <v/>
      </c>
      <c r="K1077" s="32" t="str">
        <f t="shared" si="65"/>
        <v/>
      </c>
      <c r="L1077" s="32" t="str">
        <f t="shared" si="63"/>
        <v/>
      </c>
      <c r="M1077" s="32" t="str">
        <f t="shared" si="64"/>
        <v/>
      </c>
      <c r="N1077" s="4">
        <v>1</v>
      </c>
      <c r="O1077" s="58">
        <v>0</v>
      </c>
      <c r="P1077" s="58">
        <v>0</v>
      </c>
      <c r="Q1077" s="58">
        <v>0</v>
      </c>
      <c r="R1077" s="58">
        <v>0</v>
      </c>
      <c r="S1077" s="58">
        <v>0</v>
      </c>
      <c r="T1077" s="58">
        <v>0</v>
      </c>
      <c r="U1077" s="58">
        <v>0</v>
      </c>
      <c r="V1077" s="58">
        <v>0</v>
      </c>
      <c r="AG1077" t="s">
        <v>1116</v>
      </c>
      <c r="AM1077" s="1" t="str">
        <f t="shared" si="62"/>
        <v>1075_C0019_0284.jpg</v>
      </c>
    </row>
    <row r="1078" spans="1:39" x14ac:dyDescent="0.35">
      <c r="A1078">
        <v>1074</v>
      </c>
      <c r="B1078">
        <v>1075</v>
      </c>
      <c r="F1078" s="64" t="s">
        <v>4408</v>
      </c>
      <c r="G1078" s="64"/>
      <c r="H1078" s="64"/>
      <c r="I1078" s="64">
        <v>1</v>
      </c>
      <c r="J1078" s="32" t="str">
        <f>IF(AND(E1078=1,OR(E1077=0,E1077="")),MAX(#REF!)+1,IF(AND(E1078=1,E1077=1),J1077,""))</f>
        <v/>
      </c>
      <c r="K1078" s="32" t="str">
        <f t="shared" si="65"/>
        <v/>
      </c>
      <c r="L1078" s="32" t="str">
        <f t="shared" si="63"/>
        <v/>
      </c>
      <c r="M1078" s="32" t="str">
        <f t="shared" si="64"/>
        <v/>
      </c>
      <c r="N1078" s="4">
        <v>1</v>
      </c>
      <c r="O1078" s="58">
        <v>0</v>
      </c>
      <c r="P1078" s="58">
        <v>0</v>
      </c>
      <c r="Q1078" s="58">
        <v>0</v>
      </c>
      <c r="R1078" s="58">
        <v>0</v>
      </c>
      <c r="S1078" s="58">
        <v>0</v>
      </c>
      <c r="T1078" s="58">
        <v>0</v>
      </c>
      <c r="U1078" s="58">
        <v>0</v>
      </c>
      <c r="V1078" s="58">
        <v>0</v>
      </c>
      <c r="AG1078" t="s">
        <v>1117</v>
      </c>
      <c r="AM1078" s="1" t="str">
        <f t="shared" si="62"/>
        <v>1076_C0019_0279.jpg</v>
      </c>
    </row>
    <row r="1079" spans="1:39" x14ac:dyDescent="0.35">
      <c r="A1079">
        <v>1075</v>
      </c>
      <c r="B1079">
        <v>1076</v>
      </c>
      <c r="F1079" s="64" t="s">
        <v>4409</v>
      </c>
      <c r="G1079" s="64"/>
      <c r="H1079" s="64"/>
      <c r="I1079" s="64">
        <v>1</v>
      </c>
      <c r="J1079" s="32" t="str">
        <f>IF(AND(E1079=1,OR(E1078=0,E1078="")),MAX(#REF!)+1,IF(AND(E1079=1,E1078=1),J1078,""))</f>
        <v/>
      </c>
      <c r="K1079" s="32" t="str">
        <f t="shared" si="65"/>
        <v/>
      </c>
      <c r="L1079" s="32" t="str">
        <f t="shared" si="63"/>
        <v/>
      </c>
      <c r="M1079" s="32" t="str">
        <f t="shared" si="64"/>
        <v/>
      </c>
      <c r="N1079" s="4">
        <v>1</v>
      </c>
      <c r="O1079" s="58">
        <v>0</v>
      </c>
      <c r="P1079" s="58">
        <v>0</v>
      </c>
      <c r="Q1079" s="58">
        <v>0</v>
      </c>
      <c r="R1079" s="58">
        <v>0</v>
      </c>
      <c r="S1079" s="58">
        <v>0</v>
      </c>
      <c r="T1079" s="58">
        <v>0</v>
      </c>
      <c r="U1079" s="58">
        <v>0</v>
      </c>
      <c r="V1079" s="58">
        <v>0</v>
      </c>
      <c r="AG1079" t="s">
        <v>1118</v>
      </c>
      <c r="AM1079" s="1" t="str">
        <f t="shared" ref="AM1079:AM1142" si="66">HYPERLINK("E:\CAFNEC_GBRF\2023\JohnstoneRiver\Frames_for_Analysis\" &amp; F1080, F1080)</f>
        <v>1077_C0019_0276.jpg</v>
      </c>
    </row>
    <row r="1080" spans="1:39" x14ac:dyDescent="0.35">
      <c r="A1080">
        <v>1076</v>
      </c>
      <c r="B1080">
        <v>1077</v>
      </c>
      <c r="F1080" s="64" t="s">
        <v>4410</v>
      </c>
      <c r="G1080" s="64"/>
      <c r="H1080" s="64"/>
      <c r="I1080" s="64">
        <v>1</v>
      </c>
      <c r="J1080" s="32" t="str">
        <f>IF(AND(E1080=1,OR(E1079=0,E1079="")),MAX(#REF!)+1,IF(AND(E1080=1,E1079=1),J1079,""))</f>
        <v/>
      </c>
      <c r="K1080" s="32" t="str">
        <f t="shared" si="65"/>
        <v/>
      </c>
      <c r="L1080" s="32" t="str">
        <f t="shared" si="63"/>
        <v/>
      </c>
      <c r="M1080" s="32" t="str">
        <f t="shared" si="64"/>
        <v/>
      </c>
      <c r="N1080" s="4">
        <v>1</v>
      </c>
      <c r="O1080" s="58">
        <v>0</v>
      </c>
      <c r="P1080" s="58">
        <v>0</v>
      </c>
      <c r="Q1080" s="58">
        <v>0</v>
      </c>
      <c r="R1080" s="58">
        <v>0</v>
      </c>
      <c r="S1080" s="58">
        <v>0</v>
      </c>
      <c r="T1080" s="58">
        <v>0</v>
      </c>
      <c r="U1080" s="58">
        <v>0</v>
      </c>
      <c r="V1080" s="58">
        <v>0</v>
      </c>
      <c r="AG1080" t="s">
        <v>1119</v>
      </c>
      <c r="AM1080" s="1" t="str">
        <f t="shared" si="66"/>
        <v>1078_C0019_0273.jpg</v>
      </c>
    </row>
    <row r="1081" spans="1:39" x14ac:dyDescent="0.35">
      <c r="A1081">
        <v>1077</v>
      </c>
      <c r="B1081">
        <v>1078</v>
      </c>
      <c r="F1081" s="64" t="s">
        <v>4411</v>
      </c>
      <c r="G1081" s="64"/>
      <c r="H1081" s="64"/>
      <c r="I1081" s="64">
        <v>1</v>
      </c>
      <c r="J1081" s="32" t="str">
        <f>IF(AND(E1081=1,OR(E1080=0,E1080="")),MAX(#REF!)+1,IF(AND(E1081=1,E1080=1),J1080,""))</f>
        <v/>
      </c>
      <c r="K1081" s="32" t="str">
        <f t="shared" si="65"/>
        <v/>
      </c>
      <c r="L1081" s="32" t="str">
        <f t="shared" si="63"/>
        <v/>
      </c>
      <c r="M1081" s="32" t="str">
        <f t="shared" si="64"/>
        <v/>
      </c>
      <c r="N1081" s="4">
        <v>1</v>
      </c>
      <c r="O1081" s="58">
        <v>0</v>
      </c>
      <c r="P1081" s="58">
        <v>0</v>
      </c>
      <c r="Q1081" s="58">
        <v>0</v>
      </c>
      <c r="R1081" s="58">
        <v>0</v>
      </c>
      <c r="S1081" s="58">
        <v>0</v>
      </c>
      <c r="T1081" s="58">
        <v>0</v>
      </c>
      <c r="U1081" s="58">
        <v>0</v>
      </c>
      <c r="V1081" s="58">
        <v>0</v>
      </c>
      <c r="AG1081" t="s">
        <v>1120</v>
      </c>
      <c r="AM1081" s="1" t="str">
        <f t="shared" si="66"/>
        <v>1079_C0019_0270.jpg</v>
      </c>
    </row>
    <row r="1082" spans="1:39" x14ac:dyDescent="0.35">
      <c r="A1082">
        <v>1078</v>
      </c>
      <c r="B1082">
        <v>1079</v>
      </c>
      <c r="F1082" s="64" t="s">
        <v>4412</v>
      </c>
      <c r="G1082" s="64"/>
      <c r="H1082" s="64"/>
      <c r="I1082" s="64">
        <v>1</v>
      </c>
      <c r="J1082" s="32" t="str">
        <f>IF(AND(E1082=1,OR(E1081=0,E1081="")),MAX(#REF!)+1,IF(AND(E1082=1,E1081=1),J1081,""))</f>
        <v/>
      </c>
      <c r="K1082" s="32" t="str">
        <f t="shared" si="65"/>
        <v/>
      </c>
      <c r="L1082" s="32" t="str">
        <f t="shared" si="63"/>
        <v/>
      </c>
      <c r="M1082" s="32" t="str">
        <f t="shared" si="64"/>
        <v/>
      </c>
      <c r="N1082" s="4">
        <v>1</v>
      </c>
      <c r="O1082" s="58">
        <v>0</v>
      </c>
      <c r="P1082" s="58">
        <v>0</v>
      </c>
      <c r="Q1082" s="58">
        <v>0</v>
      </c>
      <c r="R1082" s="58">
        <v>0</v>
      </c>
      <c r="S1082" s="58">
        <v>0</v>
      </c>
      <c r="T1082" s="58">
        <v>0</v>
      </c>
      <c r="U1082" s="58">
        <v>0</v>
      </c>
      <c r="V1082" s="58">
        <v>0</v>
      </c>
      <c r="AG1082" t="s">
        <v>1121</v>
      </c>
      <c r="AM1082" s="1" t="str">
        <f t="shared" si="66"/>
        <v>1080_C0019_0264.jpg</v>
      </c>
    </row>
    <row r="1083" spans="1:39" x14ac:dyDescent="0.35">
      <c r="A1083">
        <v>1079</v>
      </c>
      <c r="B1083">
        <v>1080</v>
      </c>
      <c r="F1083" s="64" t="s">
        <v>4413</v>
      </c>
      <c r="G1083" s="64"/>
      <c r="H1083" s="64"/>
      <c r="I1083" s="64">
        <v>1</v>
      </c>
      <c r="J1083" s="32" t="str">
        <f>IF(AND(E1083=1,OR(E1082=0,E1082="")),MAX(#REF!)+1,IF(AND(E1083=1,E1082=1),J1082,""))</f>
        <v/>
      </c>
      <c r="K1083" s="32" t="str">
        <f t="shared" si="65"/>
        <v/>
      </c>
      <c r="L1083" s="32" t="str">
        <f t="shared" si="63"/>
        <v/>
      </c>
      <c r="M1083" s="32" t="str">
        <f t="shared" si="64"/>
        <v/>
      </c>
      <c r="N1083" s="4">
        <v>1</v>
      </c>
      <c r="O1083" s="58">
        <v>0</v>
      </c>
      <c r="P1083" s="58">
        <v>0</v>
      </c>
      <c r="Q1083" s="58">
        <v>0</v>
      </c>
      <c r="R1083" s="58">
        <v>0</v>
      </c>
      <c r="S1083" s="58">
        <v>0</v>
      </c>
      <c r="T1083" s="58">
        <v>0</v>
      </c>
      <c r="U1083" s="58">
        <v>0</v>
      </c>
      <c r="V1083" s="58">
        <v>0</v>
      </c>
      <c r="AG1083" t="s">
        <v>1122</v>
      </c>
      <c r="AM1083" s="1" t="str">
        <f t="shared" si="66"/>
        <v>1081_C0019_0259.jpg</v>
      </c>
    </row>
    <row r="1084" spans="1:39" x14ac:dyDescent="0.35">
      <c r="A1084">
        <v>1080</v>
      </c>
      <c r="B1084">
        <v>1081</v>
      </c>
      <c r="F1084" s="64" t="s">
        <v>4414</v>
      </c>
      <c r="G1084" s="64"/>
      <c r="H1084" s="64"/>
      <c r="I1084" s="64">
        <v>1</v>
      </c>
      <c r="J1084" s="32" t="str">
        <f>IF(AND(E1084=1,OR(E1083=0,E1083="")),MAX(#REF!)+1,IF(AND(E1084=1,E1083=1),J1083,""))</f>
        <v/>
      </c>
      <c r="K1084" s="32" t="str">
        <f t="shared" si="65"/>
        <v/>
      </c>
      <c r="L1084" s="32" t="str">
        <f t="shared" si="63"/>
        <v/>
      </c>
      <c r="M1084" s="32" t="str">
        <f t="shared" si="64"/>
        <v/>
      </c>
      <c r="N1084" s="4">
        <v>1</v>
      </c>
      <c r="O1084" s="58">
        <v>0</v>
      </c>
      <c r="P1084" s="58">
        <v>0</v>
      </c>
      <c r="Q1084" s="58">
        <v>0</v>
      </c>
      <c r="R1084" s="58">
        <v>0</v>
      </c>
      <c r="S1084" s="58">
        <v>0</v>
      </c>
      <c r="T1084" s="58">
        <v>0</v>
      </c>
      <c r="U1084" s="58">
        <v>0</v>
      </c>
      <c r="V1084" s="58">
        <v>0</v>
      </c>
      <c r="AG1084" t="s">
        <v>1123</v>
      </c>
      <c r="AM1084" s="1" t="str">
        <f t="shared" si="66"/>
        <v>1082_C0019_0254.jpg</v>
      </c>
    </row>
    <row r="1085" spans="1:39" x14ac:dyDescent="0.35">
      <c r="A1085">
        <v>1081</v>
      </c>
      <c r="B1085">
        <v>1082</v>
      </c>
      <c r="F1085" s="64" t="s">
        <v>4415</v>
      </c>
      <c r="G1085" s="64"/>
      <c r="H1085" s="64"/>
      <c r="I1085" s="64">
        <v>1</v>
      </c>
      <c r="J1085" s="32" t="str">
        <f>IF(AND(E1085=1,OR(E1084=0,E1084="")),MAX(#REF!)+1,IF(AND(E1085=1,E1084=1),J1084,""))</f>
        <v/>
      </c>
      <c r="K1085" s="32" t="str">
        <f t="shared" si="65"/>
        <v/>
      </c>
      <c r="L1085" s="32" t="str">
        <f t="shared" si="63"/>
        <v/>
      </c>
      <c r="M1085" s="32" t="str">
        <f t="shared" si="64"/>
        <v/>
      </c>
      <c r="N1085" s="4">
        <v>1</v>
      </c>
      <c r="O1085" s="58">
        <v>0</v>
      </c>
      <c r="P1085" s="58">
        <v>0</v>
      </c>
      <c r="Q1085" s="58">
        <v>0</v>
      </c>
      <c r="R1085" s="58">
        <v>0</v>
      </c>
      <c r="S1085" s="58">
        <v>0</v>
      </c>
      <c r="T1085" s="58">
        <v>0</v>
      </c>
      <c r="U1085" s="58">
        <v>0</v>
      </c>
      <c r="V1085" s="58">
        <v>0</v>
      </c>
      <c r="AG1085" t="s">
        <v>1124</v>
      </c>
      <c r="AM1085" s="1" t="str">
        <f t="shared" si="66"/>
        <v>1083_C0019_0249.jpg</v>
      </c>
    </row>
    <row r="1086" spans="1:39" x14ac:dyDescent="0.35">
      <c r="A1086">
        <v>1082</v>
      </c>
      <c r="B1086">
        <v>1083</v>
      </c>
      <c r="F1086" s="64" t="s">
        <v>4416</v>
      </c>
      <c r="G1086" s="64"/>
      <c r="H1086" s="64"/>
      <c r="I1086" s="64">
        <v>1</v>
      </c>
      <c r="J1086" s="32" t="str">
        <f>IF(AND(E1086=1,OR(E1085=0,E1085="")),MAX(#REF!)+1,IF(AND(E1086=1,E1085=1),J1085,""))</f>
        <v/>
      </c>
      <c r="K1086" s="32" t="str">
        <f t="shared" si="65"/>
        <v/>
      </c>
      <c r="L1086" s="32" t="str">
        <f t="shared" si="63"/>
        <v/>
      </c>
      <c r="M1086" s="32" t="str">
        <f t="shared" si="64"/>
        <v/>
      </c>
      <c r="N1086" s="4">
        <v>1</v>
      </c>
      <c r="O1086" s="58">
        <v>0</v>
      </c>
      <c r="P1086" s="58">
        <v>0</v>
      </c>
      <c r="Q1086" s="58">
        <v>0</v>
      </c>
      <c r="R1086" s="58">
        <v>0</v>
      </c>
      <c r="S1086" s="58">
        <v>0</v>
      </c>
      <c r="T1086" s="58">
        <v>0</v>
      </c>
      <c r="U1086" s="58">
        <v>0</v>
      </c>
      <c r="V1086" s="58">
        <v>0</v>
      </c>
      <c r="AG1086" t="s">
        <v>1125</v>
      </c>
      <c r="AM1086" s="1" t="str">
        <f t="shared" si="66"/>
        <v>1084_C0019_0243.jpg</v>
      </c>
    </row>
    <row r="1087" spans="1:39" x14ac:dyDescent="0.35">
      <c r="A1087">
        <v>1083</v>
      </c>
      <c r="B1087">
        <v>1084</v>
      </c>
      <c r="F1087" s="64" t="s">
        <v>4417</v>
      </c>
      <c r="G1087" s="64"/>
      <c r="H1087" s="64"/>
      <c r="I1087" s="64">
        <v>1</v>
      </c>
      <c r="J1087" s="32" t="str">
        <f>IF(AND(E1087=1,OR(E1086=0,E1086="")),MAX(#REF!)+1,IF(AND(E1087=1,E1086=1),J1086,""))</f>
        <v/>
      </c>
      <c r="K1087" s="32" t="str">
        <f t="shared" si="65"/>
        <v/>
      </c>
      <c r="L1087" s="32" t="str">
        <f t="shared" si="63"/>
        <v/>
      </c>
      <c r="M1087" s="32" t="str">
        <f t="shared" si="64"/>
        <v/>
      </c>
      <c r="N1087" s="4">
        <v>1</v>
      </c>
      <c r="O1087" s="58">
        <v>0</v>
      </c>
      <c r="P1087" s="58">
        <v>0</v>
      </c>
      <c r="Q1087" s="58">
        <v>0</v>
      </c>
      <c r="R1087" s="58">
        <v>0</v>
      </c>
      <c r="S1087" s="58">
        <v>0</v>
      </c>
      <c r="T1087" s="58">
        <v>0</v>
      </c>
      <c r="U1087" s="58">
        <v>0</v>
      </c>
      <c r="V1087" s="58">
        <v>0</v>
      </c>
      <c r="AG1087" t="s">
        <v>1126</v>
      </c>
      <c r="AM1087" s="1" t="str">
        <f t="shared" si="66"/>
        <v>1085_C0019_0237.jpg</v>
      </c>
    </row>
    <row r="1088" spans="1:39" x14ac:dyDescent="0.35">
      <c r="A1088">
        <v>1084</v>
      </c>
      <c r="B1088">
        <v>1085</v>
      </c>
      <c r="F1088" s="64" t="s">
        <v>4418</v>
      </c>
      <c r="G1088" s="64"/>
      <c r="H1088" s="64"/>
      <c r="I1088" s="64">
        <v>1</v>
      </c>
      <c r="J1088" s="32" t="str">
        <f>IF(AND(E1088=1,OR(E1087=0,E1087="")),MAX(#REF!)+1,IF(AND(E1088=1,E1087=1),J1087,""))</f>
        <v/>
      </c>
      <c r="K1088" s="32" t="str">
        <f t="shared" si="65"/>
        <v/>
      </c>
      <c r="L1088" s="32" t="str">
        <f t="shared" si="63"/>
        <v/>
      </c>
      <c r="M1088" s="32" t="str">
        <f t="shared" si="64"/>
        <v/>
      </c>
      <c r="N1088" s="4">
        <v>1</v>
      </c>
      <c r="O1088" s="58">
        <v>0</v>
      </c>
      <c r="P1088" s="58">
        <v>0</v>
      </c>
      <c r="Q1088" s="58">
        <v>0</v>
      </c>
      <c r="R1088" s="58">
        <v>0</v>
      </c>
      <c r="S1088" s="58">
        <v>0</v>
      </c>
      <c r="T1088" s="58">
        <v>0</v>
      </c>
      <c r="U1088" s="58">
        <v>0</v>
      </c>
      <c r="V1088" s="58">
        <v>0</v>
      </c>
      <c r="AG1088" t="s">
        <v>1127</v>
      </c>
      <c r="AM1088" s="1" t="str">
        <f t="shared" si="66"/>
        <v>1086_C0019_0232.jpg</v>
      </c>
    </row>
    <row r="1089" spans="1:39" x14ac:dyDescent="0.35">
      <c r="A1089">
        <v>1085</v>
      </c>
      <c r="B1089">
        <v>1086</v>
      </c>
      <c r="F1089" s="64" t="s">
        <v>4419</v>
      </c>
      <c r="G1089" s="64"/>
      <c r="H1089" s="64"/>
      <c r="I1089" s="64">
        <v>1</v>
      </c>
      <c r="J1089" s="32" t="str">
        <f>IF(AND(E1089=1,OR(E1088=0,E1088="")),MAX(#REF!)+1,IF(AND(E1089=1,E1088=1),J1088,""))</f>
        <v/>
      </c>
      <c r="K1089" s="32" t="str">
        <f t="shared" si="65"/>
        <v/>
      </c>
      <c r="L1089" s="32" t="str">
        <f t="shared" si="63"/>
        <v/>
      </c>
      <c r="M1089" s="32" t="str">
        <f t="shared" si="64"/>
        <v/>
      </c>
      <c r="N1089" s="4">
        <v>1</v>
      </c>
      <c r="O1089" s="58">
        <v>0</v>
      </c>
      <c r="P1089" s="58">
        <v>0</v>
      </c>
      <c r="Q1089" s="58">
        <v>0</v>
      </c>
      <c r="R1089" s="58">
        <v>0</v>
      </c>
      <c r="S1089" s="58">
        <v>0</v>
      </c>
      <c r="T1089" s="58">
        <v>0</v>
      </c>
      <c r="U1089" s="58">
        <v>0</v>
      </c>
      <c r="V1089" s="58">
        <v>0</v>
      </c>
      <c r="AG1089" t="s">
        <v>1128</v>
      </c>
      <c r="AM1089" s="1" t="str">
        <f t="shared" si="66"/>
        <v>1087_C0019_0226.jpg</v>
      </c>
    </row>
    <row r="1090" spans="1:39" x14ac:dyDescent="0.35">
      <c r="A1090">
        <v>1086</v>
      </c>
      <c r="B1090">
        <v>1087</v>
      </c>
      <c r="F1090" s="64" t="s">
        <v>4420</v>
      </c>
      <c r="G1090" s="64"/>
      <c r="H1090" s="64"/>
      <c r="I1090" s="64">
        <v>1</v>
      </c>
      <c r="J1090" s="32" t="str">
        <f>IF(AND(E1090=1,OR(E1089=0,E1089="")),MAX(#REF!)+1,IF(AND(E1090=1,E1089=1),J1089,""))</f>
        <v/>
      </c>
      <c r="K1090" s="32" t="str">
        <f t="shared" si="65"/>
        <v/>
      </c>
      <c r="L1090" s="32" t="str">
        <f t="shared" si="63"/>
        <v/>
      </c>
      <c r="M1090" s="32" t="str">
        <f t="shared" si="64"/>
        <v/>
      </c>
      <c r="N1090" s="4">
        <v>1</v>
      </c>
      <c r="O1090" s="58">
        <v>0</v>
      </c>
      <c r="P1090" s="58">
        <v>0</v>
      </c>
      <c r="Q1090" s="58">
        <v>0</v>
      </c>
      <c r="R1090" s="58">
        <v>0</v>
      </c>
      <c r="S1090" s="58">
        <v>0</v>
      </c>
      <c r="T1090" s="58">
        <v>0</v>
      </c>
      <c r="U1090" s="58">
        <v>0</v>
      </c>
      <c r="V1090" s="58">
        <v>0</v>
      </c>
      <c r="AG1090" t="s">
        <v>1129</v>
      </c>
      <c r="AM1090" s="1" t="str">
        <f t="shared" si="66"/>
        <v>1088_C0019_0219.jpg</v>
      </c>
    </row>
    <row r="1091" spans="1:39" x14ac:dyDescent="0.35">
      <c r="A1091">
        <v>1087</v>
      </c>
      <c r="B1091">
        <v>1088</v>
      </c>
      <c r="F1091" s="64" t="s">
        <v>4421</v>
      </c>
      <c r="G1091" s="64"/>
      <c r="H1091" s="64"/>
      <c r="I1091" s="64">
        <v>1</v>
      </c>
      <c r="J1091" s="32" t="str">
        <f>IF(AND(E1091=1,OR(E1090=0,E1090="")),MAX(#REF!)+1,IF(AND(E1091=1,E1090=1),J1090,""))</f>
        <v/>
      </c>
      <c r="K1091" s="32" t="str">
        <f t="shared" si="65"/>
        <v/>
      </c>
      <c r="L1091" s="32" t="str">
        <f t="shared" si="63"/>
        <v/>
      </c>
      <c r="M1091" s="32" t="str">
        <f t="shared" si="64"/>
        <v/>
      </c>
      <c r="N1091" s="4">
        <v>1</v>
      </c>
      <c r="O1091" s="58">
        <v>0</v>
      </c>
      <c r="P1091" s="58">
        <v>0</v>
      </c>
      <c r="Q1091" s="58">
        <v>0</v>
      </c>
      <c r="R1091" s="58">
        <v>0</v>
      </c>
      <c r="S1091" s="58">
        <v>0</v>
      </c>
      <c r="T1091" s="58">
        <v>0</v>
      </c>
      <c r="U1091" s="58">
        <v>0</v>
      </c>
      <c r="V1091" s="58">
        <v>0</v>
      </c>
      <c r="AG1091" t="s">
        <v>1130</v>
      </c>
      <c r="AM1091" s="1" t="str">
        <f t="shared" si="66"/>
        <v>1089_C0019_0214.jpg</v>
      </c>
    </row>
    <row r="1092" spans="1:39" x14ac:dyDescent="0.35">
      <c r="A1092">
        <v>1088</v>
      </c>
      <c r="B1092">
        <v>1089</v>
      </c>
      <c r="F1092" s="64" t="s">
        <v>4422</v>
      </c>
      <c r="G1092" s="64"/>
      <c r="H1092" s="64"/>
      <c r="I1092" s="64">
        <v>1</v>
      </c>
      <c r="J1092" s="32" t="str">
        <f>IF(AND(E1092=1,OR(E1091=0,E1091="")),MAX(#REF!)+1,IF(AND(E1092=1,E1091=1),J1091,""))</f>
        <v/>
      </c>
      <c r="K1092" s="32" t="str">
        <f t="shared" si="65"/>
        <v/>
      </c>
      <c r="L1092" s="32" t="str">
        <f t="shared" ref="L1092:L1155" si="67">IF(K1092="","",IF(K1092&gt;=100,"HV",""))</f>
        <v/>
      </c>
      <c r="M1092" s="32" t="str">
        <f t="shared" ref="M1092:M1155" si="68">IF(K1092&lt;&gt;"",K1092^2,"")</f>
        <v/>
      </c>
      <c r="N1092" s="4">
        <v>1</v>
      </c>
      <c r="O1092" s="58">
        <v>0</v>
      </c>
      <c r="P1092" s="58">
        <v>0</v>
      </c>
      <c r="Q1092" s="58">
        <v>0</v>
      </c>
      <c r="R1092" s="58">
        <v>0</v>
      </c>
      <c r="S1092" s="58">
        <v>0</v>
      </c>
      <c r="T1092" s="58">
        <v>0</v>
      </c>
      <c r="U1092" s="58">
        <v>0</v>
      </c>
      <c r="V1092" s="58">
        <v>0</v>
      </c>
      <c r="AG1092" t="s">
        <v>1131</v>
      </c>
      <c r="AM1092" s="1" t="str">
        <f t="shared" si="66"/>
        <v>1090_C0019_0207.jpg</v>
      </c>
    </row>
    <row r="1093" spans="1:39" x14ac:dyDescent="0.35">
      <c r="A1093">
        <v>1089</v>
      </c>
      <c r="B1093">
        <v>1090</v>
      </c>
      <c r="F1093" s="64" t="s">
        <v>4423</v>
      </c>
      <c r="G1093" s="64"/>
      <c r="H1093" s="64"/>
      <c r="I1093" s="64">
        <v>1</v>
      </c>
      <c r="J1093" s="32" t="str">
        <f>IF(AND(E1093=1,OR(E1092=0,E1092="")),MAX(#REF!)+1,IF(AND(E1093=1,E1092=1),J1092,""))</f>
        <v/>
      </c>
      <c r="K1093" s="32" t="str">
        <f t="shared" si="65"/>
        <v/>
      </c>
      <c r="L1093" s="32" t="str">
        <f t="shared" si="67"/>
        <v/>
      </c>
      <c r="M1093" s="32" t="str">
        <f t="shared" si="68"/>
        <v/>
      </c>
      <c r="N1093" s="4">
        <v>1</v>
      </c>
      <c r="O1093" s="58">
        <v>0</v>
      </c>
      <c r="P1093" s="58">
        <v>0</v>
      </c>
      <c r="Q1093" s="58">
        <v>0</v>
      </c>
      <c r="R1093" s="58">
        <v>0</v>
      </c>
      <c r="S1093" s="58">
        <v>0</v>
      </c>
      <c r="T1093" s="58">
        <v>0</v>
      </c>
      <c r="U1093" s="58">
        <v>0</v>
      </c>
      <c r="V1093" s="58">
        <v>0</v>
      </c>
      <c r="AG1093" t="s">
        <v>1132</v>
      </c>
      <c r="AM1093" s="1" t="str">
        <f t="shared" si="66"/>
        <v>1091_C0019_0200.jpg</v>
      </c>
    </row>
    <row r="1094" spans="1:39" x14ac:dyDescent="0.35">
      <c r="A1094">
        <v>1090</v>
      </c>
      <c r="B1094">
        <v>1091</v>
      </c>
      <c r="F1094" s="64" t="s">
        <v>4424</v>
      </c>
      <c r="G1094" s="64"/>
      <c r="H1094" s="64"/>
      <c r="I1094" s="64">
        <v>1</v>
      </c>
      <c r="J1094" s="32" t="str">
        <f>IF(AND(E1094=1,OR(E1093=0,E1093="")),MAX(#REF!)+1,IF(AND(E1094=1,E1093=1),J1093,""))</f>
        <v/>
      </c>
      <c r="K1094" s="32" t="str">
        <f t="shared" si="65"/>
        <v/>
      </c>
      <c r="L1094" s="32" t="str">
        <f t="shared" si="67"/>
        <v/>
      </c>
      <c r="M1094" s="32" t="str">
        <f t="shared" si="68"/>
        <v/>
      </c>
      <c r="N1094" s="4">
        <v>1</v>
      </c>
      <c r="O1094" s="58">
        <v>0</v>
      </c>
      <c r="P1094" s="58">
        <v>0</v>
      </c>
      <c r="Q1094" s="58">
        <v>0</v>
      </c>
      <c r="R1094" s="58">
        <v>0</v>
      </c>
      <c r="S1094" s="58">
        <v>0</v>
      </c>
      <c r="T1094" s="58">
        <v>0</v>
      </c>
      <c r="U1094" s="58">
        <v>0</v>
      </c>
      <c r="V1094" s="58">
        <v>0</v>
      </c>
      <c r="AG1094" t="s">
        <v>1133</v>
      </c>
      <c r="AM1094" s="1" t="str">
        <f t="shared" si="66"/>
        <v>1092_C0019_0194.jpg</v>
      </c>
    </row>
    <row r="1095" spans="1:39" x14ac:dyDescent="0.35">
      <c r="A1095">
        <v>1091</v>
      </c>
      <c r="B1095">
        <v>1092</v>
      </c>
      <c r="F1095" s="64" t="s">
        <v>4425</v>
      </c>
      <c r="G1095" s="64"/>
      <c r="H1095" s="64"/>
      <c r="I1095" s="64">
        <v>1</v>
      </c>
      <c r="J1095" s="32" t="str">
        <f>IF(AND(E1095=1,OR(E1094=0,E1094="")),MAX(#REF!)+1,IF(AND(E1095=1,E1094=1),J1094,""))</f>
        <v/>
      </c>
      <c r="K1095" s="32" t="str">
        <f t="shared" si="65"/>
        <v/>
      </c>
      <c r="L1095" s="32" t="str">
        <f t="shared" si="67"/>
        <v/>
      </c>
      <c r="M1095" s="32" t="str">
        <f t="shared" si="68"/>
        <v/>
      </c>
      <c r="N1095" s="4">
        <v>1</v>
      </c>
      <c r="O1095" s="58">
        <v>0</v>
      </c>
      <c r="P1095" s="58">
        <v>0</v>
      </c>
      <c r="Q1095" s="58">
        <v>0</v>
      </c>
      <c r="R1095" s="58">
        <v>0</v>
      </c>
      <c r="S1095" s="58">
        <v>0</v>
      </c>
      <c r="T1095" s="58">
        <v>0</v>
      </c>
      <c r="U1095" s="58">
        <v>0</v>
      </c>
      <c r="V1095" s="58">
        <v>0</v>
      </c>
      <c r="AG1095" t="s">
        <v>1134</v>
      </c>
      <c r="AM1095" s="1" t="str">
        <f t="shared" si="66"/>
        <v>1093_C0019_0190.jpg</v>
      </c>
    </row>
    <row r="1096" spans="1:39" x14ac:dyDescent="0.35">
      <c r="A1096">
        <v>1092</v>
      </c>
      <c r="B1096">
        <v>1093</v>
      </c>
      <c r="F1096" s="64" t="s">
        <v>4426</v>
      </c>
      <c r="G1096" s="64"/>
      <c r="H1096" s="64"/>
      <c r="I1096" s="64">
        <v>1</v>
      </c>
      <c r="J1096" s="32" t="str">
        <f>IF(AND(E1096=1,OR(E1095=0,E1095="")),MAX(#REF!)+1,IF(AND(E1096=1,E1095=1),J1095,""))</f>
        <v/>
      </c>
      <c r="K1096" s="32" t="str">
        <f t="shared" si="65"/>
        <v/>
      </c>
      <c r="L1096" s="32" t="str">
        <f t="shared" si="67"/>
        <v/>
      </c>
      <c r="M1096" s="32" t="str">
        <f t="shared" si="68"/>
        <v/>
      </c>
      <c r="N1096" s="4">
        <v>1</v>
      </c>
      <c r="O1096" s="58">
        <v>0</v>
      </c>
      <c r="P1096" s="58">
        <v>0</v>
      </c>
      <c r="Q1096" s="58">
        <v>0</v>
      </c>
      <c r="R1096" s="58">
        <v>0</v>
      </c>
      <c r="S1096" s="58">
        <v>0</v>
      </c>
      <c r="T1096" s="58">
        <v>0</v>
      </c>
      <c r="U1096" s="58">
        <v>0</v>
      </c>
      <c r="V1096" s="58">
        <v>0</v>
      </c>
      <c r="AG1096" t="s">
        <v>1135</v>
      </c>
      <c r="AM1096" s="1" t="str">
        <f t="shared" si="66"/>
        <v>1094_C0019_0184.jpg</v>
      </c>
    </row>
    <row r="1097" spans="1:39" x14ac:dyDescent="0.35">
      <c r="A1097">
        <v>1093</v>
      </c>
      <c r="B1097">
        <v>1094</v>
      </c>
      <c r="F1097" s="64" t="s">
        <v>4427</v>
      </c>
      <c r="G1097" s="64"/>
      <c r="H1097" s="64"/>
      <c r="I1097" s="64">
        <v>1</v>
      </c>
      <c r="J1097" s="32" t="str">
        <f>IF(AND(E1097=1,OR(E1096=0,E1096="")),MAX(#REF!)+1,IF(AND(E1097=1,E1096=1),J1096,""))</f>
        <v/>
      </c>
      <c r="K1097" s="32" t="str">
        <f t="shared" si="65"/>
        <v/>
      </c>
      <c r="L1097" s="32" t="str">
        <f t="shared" si="67"/>
        <v/>
      </c>
      <c r="M1097" s="32" t="str">
        <f t="shared" si="68"/>
        <v/>
      </c>
      <c r="N1097" s="4">
        <v>1</v>
      </c>
      <c r="O1097" s="58">
        <v>0</v>
      </c>
      <c r="P1097" s="58">
        <v>0</v>
      </c>
      <c r="Q1097" s="58">
        <v>0</v>
      </c>
      <c r="R1097" s="58">
        <v>0</v>
      </c>
      <c r="S1097" s="58">
        <v>0</v>
      </c>
      <c r="T1097" s="58">
        <v>0</v>
      </c>
      <c r="U1097" s="58">
        <v>0</v>
      </c>
      <c r="V1097" s="58">
        <v>0</v>
      </c>
      <c r="AG1097" t="s">
        <v>1136</v>
      </c>
      <c r="AM1097" s="1" t="str">
        <f t="shared" si="66"/>
        <v>1095_C0019_0180.jpg</v>
      </c>
    </row>
    <row r="1098" spans="1:39" x14ac:dyDescent="0.35">
      <c r="A1098">
        <v>1094</v>
      </c>
      <c r="B1098">
        <v>1095</v>
      </c>
      <c r="F1098" s="64" t="s">
        <v>4428</v>
      </c>
      <c r="G1098" s="64"/>
      <c r="H1098" s="64"/>
      <c r="I1098" s="64">
        <v>1</v>
      </c>
      <c r="J1098" s="32" t="str">
        <f>IF(AND(E1098=1,OR(E1097=0,E1097="")),MAX(#REF!)+1,IF(AND(E1098=1,E1097=1),J1097,""))</f>
        <v/>
      </c>
      <c r="K1098" s="32" t="str">
        <f t="shared" si="65"/>
        <v/>
      </c>
      <c r="L1098" s="32" t="str">
        <f t="shared" si="67"/>
        <v/>
      </c>
      <c r="M1098" s="32" t="str">
        <f t="shared" si="68"/>
        <v/>
      </c>
      <c r="N1098" s="4">
        <v>1</v>
      </c>
      <c r="O1098" s="58">
        <v>0</v>
      </c>
      <c r="P1098" s="58">
        <v>0</v>
      </c>
      <c r="Q1098" s="58">
        <v>0</v>
      </c>
      <c r="R1098" s="58">
        <v>0</v>
      </c>
      <c r="S1098" s="58">
        <v>0</v>
      </c>
      <c r="T1098" s="58">
        <v>0</v>
      </c>
      <c r="U1098" s="58">
        <v>0</v>
      </c>
      <c r="V1098" s="58">
        <v>0</v>
      </c>
      <c r="AG1098" t="s">
        <v>1137</v>
      </c>
      <c r="AM1098" s="1" t="str">
        <f t="shared" si="66"/>
        <v>1096_C0019_0176.jpg</v>
      </c>
    </row>
    <row r="1099" spans="1:39" x14ac:dyDescent="0.35">
      <c r="A1099">
        <v>1095</v>
      </c>
      <c r="B1099">
        <v>1096</v>
      </c>
      <c r="F1099" s="64" t="s">
        <v>4429</v>
      </c>
      <c r="G1099" s="64"/>
      <c r="H1099" s="64"/>
      <c r="I1099" s="64">
        <v>1</v>
      </c>
      <c r="J1099" s="32" t="str">
        <f>IF(AND(E1099=1,OR(E1098=0,E1098="")),MAX(#REF!)+1,IF(AND(E1099=1,E1098=1),J1098,""))</f>
        <v/>
      </c>
      <c r="K1099" s="32" t="str">
        <f t="shared" si="65"/>
        <v/>
      </c>
      <c r="L1099" s="32" t="str">
        <f t="shared" si="67"/>
        <v/>
      </c>
      <c r="M1099" s="32" t="str">
        <f t="shared" si="68"/>
        <v/>
      </c>
      <c r="N1099" s="4">
        <v>1</v>
      </c>
      <c r="O1099" s="58">
        <v>0</v>
      </c>
      <c r="P1099" s="58">
        <v>0</v>
      </c>
      <c r="Q1099" s="58">
        <v>0</v>
      </c>
      <c r="R1099" s="58">
        <v>0</v>
      </c>
      <c r="S1099" s="58">
        <v>0</v>
      </c>
      <c r="T1099" s="58">
        <v>0</v>
      </c>
      <c r="U1099" s="58">
        <v>0</v>
      </c>
      <c r="V1099" s="58">
        <v>0</v>
      </c>
      <c r="AG1099" t="s">
        <v>1138</v>
      </c>
      <c r="AM1099" s="1" t="str">
        <f t="shared" si="66"/>
        <v>1097_C0019_0172.jpg</v>
      </c>
    </row>
    <row r="1100" spans="1:39" x14ac:dyDescent="0.35">
      <c r="A1100">
        <v>1096</v>
      </c>
      <c r="B1100">
        <v>1097</v>
      </c>
      <c r="F1100" s="64" t="s">
        <v>4430</v>
      </c>
      <c r="G1100" s="64"/>
      <c r="H1100" s="64"/>
      <c r="I1100" s="64">
        <v>1</v>
      </c>
      <c r="J1100" s="32" t="str">
        <f>IF(AND(E1100=1,OR(E1099=0,E1099="")),MAX(#REF!)+1,IF(AND(E1100=1,E1099=1),J1099,""))</f>
        <v/>
      </c>
      <c r="K1100" s="32" t="str">
        <f t="shared" si="65"/>
        <v/>
      </c>
      <c r="L1100" s="32" t="str">
        <f t="shared" si="67"/>
        <v/>
      </c>
      <c r="M1100" s="32" t="str">
        <f t="shared" si="68"/>
        <v/>
      </c>
      <c r="N1100" s="4">
        <v>1</v>
      </c>
      <c r="O1100" s="58">
        <v>0</v>
      </c>
      <c r="P1100" s="58">
        <v>0</v>
      </c>
      <c r="Q1100" s="58">
        <v>0</v>
      </c>
      <c r="R1100" s="58">
        <v>0</v>
      </c>
      <c r="S1100" s="58">
        <v>0</v>
      </c>
      <c r="T1100" s="58">
        <v>0</v>
      </c>
      <c r="U1100" s="58">
        <v>0</v>
      </c>
      <c r="V1100" s="58">
        <v>0</v>
      </c>
      <c r="AG1100" t="s">
        <v>1139</v>
      </c>
      <c r="AM1100" s="1" t="str">
        <f t="shared" si="66"/>
        <v>1098_C0019_0168.jpg</v>
      </c>
    </row>
    <row r="1101" spans="1:39" x14ac:dyDescent="0.35">
      <c r="A1101">
        <v>1097</v>
      </c>
      <c r="B1101">
        <v>1098</v>
      </c>
      <c r="F1101" s="64" t="s">
        <v>4431</v>
      </c>
      <c r="G1101" s="64"/>
      <c r="H1101" s="64"/>
      <c r="I1101" s="64">
        <v>1</v>
      </c>
      <c r="J1101" s="32" t="str">
        <f>IF(AND(E1101=1,OR(E1100=0,E1100="")),MAX(#REF!)+1,IF(AND(E1101=1,E1100=1),J1100,""))</f>
        <v/>
      </c>
      <c r="K1101" s="32" t="str">
        <f t="shared" si="65"/>
        <v/>
      </c>
      <c r="L1101" s="32" t="str">
        <f t="shared" si="67"/>
        <v/>
      </c>
      <c r="M1101" s="32" t="str">
        <f t="shared" si="68"/>
        <v/>
      </c>
      <c r="N1101" s="4">
        <v>1</v>
      </c>
      <c r="O1101" s="58">
        <v>0</v>
      </c>
      <c r="P1101" s="58">
        <v>0</v>
      </c>
      <c r="Q1101" s="58">
        <v>0</v>
      </c>
      <c r="R1101" s="58">
        <v>0</v>
      </c>
      <c r="S1101" s="58">
        <v>0</v>
      </c>
      <c r="T1101" s="58">
        <v>0</v>
      </c>
      <c r="U1101" s="58">
        <v>0</v>
      </c>
      <c r="V1101" s="58">
        <v>0</v>
      </c>
      <c r="AG1101" t="s">
        <v>1140</v>
      </c>
      <c r="AM1101" s="1" t="str">
        <f t="shared" si="66"/>
        <v>1099_C0019_0164.jpg</v>
      </c>
    </row>
    <row r="1102" spans="1:39" x14ac:dyDescent="0.35">
      <c r="A1102">
        <v>1098</v>
      </c>
      <c r="B1102">
        <v>1099</v>
      </c>
      <c r="F1102" s="64" t="s">
        <v>4432</v>
      </c>
      <c r="G1102" s="64"/>
      <c r="H1102" s="64"/>
      <c r="I1102" s="64">
        <v>1</v>
      </c>
      <c r="J1102" s="32" t="str">
        <f>IF(AND(E1102=1,OR(E1101=0,E1101="")),MAX(#REF!)+1,IF(AND(E1102=1,E1101=1),J1101,""))</f>
        <v/>
      </c>
      <c r="K1102" s="32" t="str">
        <f t="shared" si="65"/>
        <v/>
      </c>
      <c r="L1102" s="32" t="str">
        <f t="shared" si="67"/>
        <v/>
      </c>
      <c r="M1102" s="32" t="str">
        <f t="shared" si="68"/>
        <v/>
      </c>
      <c r="N1102" s="4">
        <v>1</v>
      </c>
      <c r="O1102" s="58">
        <v>0</v>
      </c>
      <c r="P1102" s="58">
        <v>0</v>
      </c>
      <c r="Q1102" s="58">
        <v>0</v>
      </c>
      <c r="R1102" s="58">
        <v>0</v>
      </c>
      <c r="S1102" s="58">
        <v>0</v>
      </c>
      <c r="T1102" s="58">
        <v>0</v>
      </c>
      <c r="U1102" s="58">
        <v>0</v>
      </c>
      <c r="V1102" s="58">
        <v>0</v>
      </c>
      <c r="AG1102" t="s">
        <v>1141</v>
      </c>
      <c r="AM1102" s="1" t="str">
        <f t="shared" si="66"/>
        <v>1100_C0019_0160.jpg</v>
      </c>
    </row>
    <row r="1103" spans="1:39" x14ac:dyDescent="0.35">
      <c r="A1103">
        <v>1099</v>
      </c>
      <c r="B1103">
        <v>1100</v>
      </c>
      <c r="F1103" s="64" t="s">
        <v>4433</v>
      </c>
      <c r="G1103" s="64"/>
      <c r="H1103" s="64"/>
      <c r="I1103" s="64">
        <v>1</v>
      </c>
      <c r="J1103" s="32" t="str">
        <f>IF(AND(E1103=1,OR(E1102=0,E1102="")),MAX(#REF!)+1,IF(AND(E1103=1,E1102=1),J1102,""))</f>
        <v/>
      </c>
      <c r="K1103" s="32" t="str">
        <f t="shared" si="65"/>
        <v/>
      </c>
      <c r="L1103" s="32" t="str">
        <f t="shared" si="67"/>
        <v/>
      </c>
      <c r="M1103" s="32" t="str">
        <f t="shared" si="68"/>
        <v/>
      </c>
      <c r="N1103" s="4">
        <v>1</v>
      </c>
      <c r="O1103" s="58">
        <v>0</v>
      </c>
      <c r="P1103" s="58">
        <v>0</v>
      </c>
      <c r="Q1103" s="58">
        <v>0</v>
      </c>
      <c r="R1103" s="58">
        <v>0</v>
      </c>
      <c r="S1103" s="58">
        <v>0</v>
      </c>
      <c r="T1103" s="58">
        <v>0</v>
      </c>
      <c r="U1103" s="58">
        <v>0</v>
      </c>
      <c r="V1103" s="58">
        <v>0</v>
      </c>
      <c r="AG1103" t="s">
        <v>1142</v>
      </c>
      <c r="AM1103" s="1" t="str">
        <f t="shared" si="66"/>
        <v>1101_C0019_0156.jpg</v>
      </c>
    </row>
    <row r="1104" spans="1:39" x14ac:dyDescent="0.35">
      <c r="A1104">
        <v>1100</v>
      </c>
      <c r="B1104">
        <v>1101</v>
      </c>
      <c r="F1104" s="64" t="s">
        <v>4434</v>
      </c>
      <c r="G1104" s="64"/>
      <c r="H1104" s="64"/>
      <c r="I1104" s="64">
        <v>1</v>
      </c>
      <c r="J1104" s="32" t="str">
        <f>IF(AND(E1104=1,OR(E1103=0,E1103="")),MAX(#REF!)+1,IF(AND(E1104=1,E1103=1),J1103,""))</f>
        <v/>
      </c>
      <c r="K1104" s="32" t="str">
        <f t="shared" si="65"/>
        <v/>
      </c>
      <c r="L1104" s="32" t="str">
        <f t="shared" si="67"/>
        <v/>
      </c>
      <c r="M1104" s="32" t="str">
        <f t="shared" si="68"/>
        <v/>
      </c>
      <c r="N1104" s="4">
        <v>1</v>
      </c>
      <c r="O1104" s="58">
        <v>0</v>
      </c>
      <c r="P1104" s="58">
        <v>0</v>
      </c>
      <c r="Q1104" s="58">
        <v>0</v>
      </c>
      <c r="R1104" s="58">
        <v>0</v>
      </c>
      <c r="S1104" s="58">
        <v>0</v>
      </c>
      <c r="T1104" s="58">
        <v>0</v>
      </c>
      <c r="U1104" s="58">
        <v>0</v>
      </c>
      <c r="V1104" s="58">
        <v>0</v>
      </c>
      <c r="AG1104" t="s">
        <v>1143</v>
      </c>
      <c r="AM1104" s="1" t="str">
        <f t="shared" si="66"/>
        <v>1102_C0019_0151.jpg</v>
      </c>
    </row>
    <row r="1105" spans="1:39" x14ac:dyDescent="0.35">
      <c r="A1105">
        <v>1101</v>
      </c>
      <c r="B1105">
        <v>1102</v>
      </c>
      <c r="F1105" s="64" t="s">
        <v>4435</v>
      </c>
      <c r="G1105" s="64"/>
      <c r="H1105" s="64"/>
      <c r="I1105" s="64">
        <v>1</v>
      </c>
      <c r="J1105" s="32" t="str">
        <f>IF(AND(E1105=1,OR(E1104=0,E1104="")),MAX(#REF!)+1,IF(AND(E1105=1,E1104=1),J1104,""))</f>
        <v/>
      </c>
      <c r="K1105" s="32" t="str">
        <f t="shared" si="65"/>
        <v/>
      </c>
      <c r="L1105" s="32" t="str">
        <f t="shared" si="67"/>
        <v/>
      </c>
      <c r="M1105" s="32" t="str">
        <f t="shared" si="68"/>
        <v/>
      </c>
      <c r="N1105" s="4">
        <v>1</v>
      </c>
      <c r="O1105" s="58">
        <v>0</v>
      </c>
      <c r="P1105" s="58">
        <v>0</v>
      </c>
      <c r="Q1105" s="58">
        <v>0</v>
      </c>
      <c r="R1105" s="58">
        <v>0</v>
      </c>
      <c r="S1105" s="58">
        <v>0</v>
      </c>
      <c r="T1105" s="58">
        <v>0</v>
      </c>
      <c r="U1105" s="58">
        <v>0</v>
      </c>
      <c r="V1105" s="58">
        <v>0</v>
      </c>
      <c r="AG1105" t="s">
        <v>1144</v>
      </c>
      <c r="AM1105" s="1" t="str">
        <f t="shared" si="66"/>
        <v>1103_C0019_0147.jpg</v>
      </c>
    </row>
    <row r="1106" spans="1:39" x14ac:dyDescent="0.35">
      <c r="A1106">
        <v>1102</v>
      </c>
      <c r="B1106">
        <v>1103</v>
      </c>
      <c r="F1106" s="64" t="s">
        <v>4436</v>
      </c>
      <c r="G1106" s="64"/>
      <c r="H1106" s="64"/>
      <c r="I1106" s="64">
        <v>1</v>
      </c>
      <c r="J1106" s="32" t="str">
        <f>IF(AND(E1106=1,OR(E1105=0,E1105="")),MAX(#REF!)+1,IF(AND(E1106=1,E1105=1),J1105,""))</f>
        <v/>
      </c>
      <c r="K1106" s="32" t="str">
        <f t="shared" si="65"/>
        <v/>
      </c>
      <c r="L1106" s="32" t="str">
        <f t="shared" si="67"/>
        <v/>
      </c>
      <c r="M1106" s="32" t="str">
        <f t="shared" si="68"/>
        <v/>
      </c>
      <c r="N1106" s="4">
        <v>1</v>
      </c>
      <c r="O1106" s="58">
        <v>0</v>
      </c>
      <c r="P1106" s="58">
        <v>0</v>
      </c>
      <c r="Q1106" s="58">
        <v>0</v>
      </c>
      <c r="R1106" s="58">
        <v>0</v>
      </c>
      <c r="S1106" s="58">
        <v>0</v>
      </c>
      <c r="T1106" s="58">
        <v>0</v>
      </c>
      <c r="U1106" s="58">
        <v>0</v>
      </c>
      <c r="V1106" s="58">
        <v>0</v>
      </c>
      <c r="AG1106" t="s">
        <v>1145</v>
      </c>
      <c r="AM1106" s="1" t="str">
        <f t="shared" si="66"/>
        <v>1104_C0019_0143.jpg</v>
      </c>
    </row>
    <row r="1107" spans="1:39" x14ac:dyDescent="0.35">
      <c r="A1107">
        <v>1103</v>
      </c>
      <c r="B1107">
        <v>1104</v>
      </c>
      <c r="F1107" s="64" t="s">
        <v>4437</v>
      </c>
      <c r="G1107" s="64"/>
      <c r="H1107" s="64"/>
      <c r="I1107" s="64">
        <v>1</v>
      </c>
      <c r="J1107" s="32" t="str">
        <f>IF(AND(E1107=1,OR(E1106=0,E1106="")),MAX(#REF!)+1,IF(AND(E1107=1,E1106=1),J1106,""))</f>
        <v/>
      </c>
      <c r="K1107" s="32" t="str">
        <f t="shared" si="65"/>
        <v/>
      </c>
      <c r="L1107" s="32" t="str">
        <f t="shared" si="67"/>
        <v/>
      </c>
      <c r="M1107" s="32" t="str">
        <f t="shared" si="68"/>
        <v/>
      </c>
      <c r="N1107" s="4">
        <v>1</v>
      </c>
      <c r="O1107" s="58">
        <v>0</v>
      </c>
      <c r="P1107" s="58">
        <v>0</v>
      </c>
      <c r="Q1107" s="58">
        <v>0</v>
      </c>
      <c r="R1107" s="58">
        <v>0</v>
      </c>
      <c r="S1107" s="58">
        <v>0</v>
      </c>
      <c r="T1107" s="58">
        <v>0</v>
      </c>
      <c r="U1107" s="58">
        <v>0</v>
      </c>
      <c r="V1107" s="58">
        <v>0</v>
      </c>
      <c r="AG1107" t="s">
        <v>1146</v>
      </c>
      <c r="AM1107" s="1" t="str">
        <f t="shared" si="66"/>
        <v>1105_C0019_0140.jpg</v>
      </c>
    </row>
    <row r="1108" spans="1:39" x14ac:dyDescent="0.35">
      <c r="A1108">
        <v>1104</v>
      </c>
      <c r="B1108">
        <v>1105</v>
      </c>
      <c r="F1108" s="64" t="s">
        <v>4438</v>
      </c>
      <c r="G1108" s="64"/>
      <c r="H1108" s="64"/>
      <c r="I1108" s="64">
        <v>1</v>
      </c>
      <c r="J1108" s="32">
        <v>85</v>
      </c>
      <c r="K1108" s="32">
        <f t="shared" si="65"/>
        <v>10</v>
      </c>
      <c r="L1108" s="32" t="str">
        <f t="shared" si="67"/>
        <v/>
      </c>
      <c r="M1108" s="32">
        <f t="shared" si="68"/>
        <v>100</v>
      </c>
      <c r="N1108" s="4">
        <v>1</v>
      </c>
      <c r="O1108" s="58">
        <v>0</v>
      </c>
      <c r="P1108" s="58">
        <v>0</v>
      </c>
      <c r="Q1108" s="58">
        <v>0</v>
      </c>
      <c r="R1108" s="58">
        <v>0</v>
      </c>
      <c r="S1108" s="58">
        <v>0</v>
      </c>
      <c r="T1108" s="58">
        <v>0</v>
      </c>
      <c r="U1108" s="58">
        <v>0</v>
      </c>
      <c r="V1108" s="58">
        <v>0</v>
      </c>
      <c r="AG1108" t="s">
        <v>1147</v>
      </c>
      <c r="AM1108" s="1" t="str">
        <f t="shared" si="66"/>
        <v>1106_C0019_0133.jpg</v>
      </c>
    </row>
    <row r="1109" spans="1:39" x14ac:dyDescent="0.35">
      <c r="A1109">
        <v>1105</v>
      </c>
      <c r="B1109">
        <v>1106</v>
      </c>
      <c r="F1109" s="64" t="s">
        <v>4439</v>
      </c>
      <c r="G1109" s="64"/>
      <c r="H1109" s="64"/>
      <c r="I1109" s="64">
        <v>1</v>
      </c>
      <c r="J1109" s="32" t="str">
        <f>IF(AND(E1109=1,OR(E1108=0,E1108="")),MAX(#REF!)+1,IF(AND(E1109=1,E1108=1),J1108,""))</f>
        <v/>
      </c>
      <c r="K1109" s="32" t="str">
        <f t="shared" si="65"/>
        <v/>
      </c>
      <c r="L1109" s="32" t="str">
        <f t="shared" si="67"/>
        <v/>
      </c>
      <c r="M1109" s="32" t="str">
        <f t="shared" si="68"/>
        <v/>
      </c>
      <c r="N1109" s="4">
        <v>1</v>
      </c>
      <c r="O1109" s="58">
        <v>0</v>
      </c>
      <c r="P1109" s="58">
        <v>0</v>
      </c>
      <c r="Q1109" s="58">
        <v>0</v>
      </c>
      <c r="R1109" s="58">
        <v>0</v>
      </c>
      <c r="S1109" s="58">
        <v>0</v>
      </c>
      <c r="T1109" s="58">
        <v>0</v>
      </c>
      <c r="U1109" s="58">
        <v>0</v>
      </c>
      <c r="V1109" s="58">
        <v>0</v>
      </c>
      <c r="AG1109" t="s">
        <v>1148</v>
      </c>
      <c r="AM1109" s="1" t="str">
        <f t="shared" si="66"/>
        <v>1107_C0019_0131.jpg</v>
      </c>
    </row>
    <row r="1110" spans="1:39" x14ac:dyDescent="0.35">
      <c r="A1110">
        <v>1106</v>
      </c>
      <c r="B1110">
        <v>1107</v>
      </c>
      <c r="F1110" s="64" t="s">
        <v>4440</v>
      </c>
      <c r="G1110" s="64"/>
      <c r="H1110" s="64"/>
      <c r="I1110" s="64">
        <v>1</v>
      </c>
      <c r="J1110" s="32" t="str">
        <f>IF(AND(E1110=1,OR(E1109=0,E1109="")),MAX(#REF!)+1,IF(AND(E1110=1,E1109=1),J1109,""))</f>
        <v/>
      </c>
      <c r="K1110" s="32" t="str">
        <f t="shared" si="65"/>
        <v/>
      </c>
      <c r="L1110" s="32" t="str">
        <f t="shared" si="67"/>
        <v/>
      </c>
      <c r="M1110" s="32" t="str">
        <f t="shared" si="68"/>
        <v/>
      </c>
      <c r="N1110" s="4">
        <v>1</v>
      </c>
      <c r="O1110" s="58">
        <v>0</v>
      </c>
      <c r="P1110" s="58">
        <v>0</v>
      </c>
      <c r="Q1110" s="58">
        <v>0</v>
      </c>
      <c r="R1110" s="58">
        <v>0</v>
      </c>
      <c r="S1110" s="58">
        <v>0</v>
      </c>
      <c r="T1110" s="58">
        <v>0</v>
      </c>
      <c r="U1110" s="58">
        <v>0</v>
      </c>
      <c r="V1110" s="58">
        <v>0</v>
      </c>
      <c r="AG1110" t="s">
        <v>1149</v>
      </c>
      <c r="AM1110" s="1" t="str">
        <f t="shared" si="66"/>
        <v>1108_C0019_0124.jpg</v>
      </c>
    </row>
    <row r="1111" spans="1:39" x14ac:dyDescent="0.35">
      <c r="A1111">
        <v>1107</v>
      </c>
      <c r="B1111">
        <v>1108</v>
      </c>
      <c r="F1111" s="64" t="s">
        <v>4441</v>
      </c>
      <c r="G1111" s="64"/>
      <c r="H1111" s="64"/>
      <c r="I1111" s="64">
        <v>1</v>
      </c>
      <c r="J1111" s="32" t="str">
        <f>IF(AND(E1111=1,OR(E1110=0,E1110="")),MAX(#REF!)+1,IF(AND(E1111=1,E1110=1),J1110,""))</f>
        <v/>
      </c>
      <c r="K1111" s="32" t="str">
        <f t="shared" si="65"/>
        <v/>
      </c>
      <c r="L1111" s="32" t="str">
        <f t="shared" si="67"/>
        <v/>
      </c>
      <c r="M1111" s="32" t="str">
        <f t="shared" si="68"/>
        <v/>
      </c>
      <c r="N1111" s="4">
        <v>1</v>
      </c>
      <c r="O1111" s="58">
        <v>0</v>
      </c>
      <c r="P1111" s="58">
        <v>0</v>
      </c>
      <c r="Q1111" s="58">
        <v>0</v>
      </c>
      <c r="R1111" s="58">
        <v>0</v>
      </c>
      <c r="S1111" s="58">
        <v>0</v>
      </c>
      <c r="T1111" s="58">
        <v>0</v>
      </c>
      <c r="U1111" s="58">
        <v>0</v>
      </c>
      <c r="V1111" s="58">
        <v>0</v>
      </c>
      <c r="AG1111" t="s">
        <v>1150</v>
      </c>
      <c r="AM1111" s="1" t="str">
        <f t="shared" si="66"/>
        <v>1109_C0019_0116.jpg</v>
      </c>
    </row>
    <row r="1112" spans="1:39" x14ac:dyDescent="0.35">
      <c r="A1112">
        <v>1108</v>
      </c>
      <c r="B1112">
        <v>1109</v>
      </c>
      <c r="F1112" s="64" t="s">
        <v>4442</v>
      </c>
      <c r="G1112" s="64"/>
      <c r="H1112" s="64"/>
      <c r="I1112" s="64">
        <v>1</v>
      </c>
      <c r="J1112" s="32" t="str">
        <f>IF(AND(E1112=1,OR(E1111=0,E1111="")),MAX(#REF!)+1,IF(AND(E1112=1,E1111=1),J1111,""))</f>
        <v/>
      </c>
      <c r="K1112" s="32" t="str">
        <f t="shared" si="65"/>
        <v/>
      </c>
      <c r="L1112" s="32" t="str">
        <f t="shared" si="67"/>
        <v/>
      </c>
      <c r="M1112" s="32" t="str">
        <f t="shared" si="68"/>
        <v/>
      </c>
      <c r="N1112" s="4">
        <v>1</v>
      </c>
      <c r="O1112" s="58">
        <v>0</v>
      </c>
      <c r="P1112" s="58">
        <v>0</v>
      </c>
      <c r="Q1112" s="58">
        <v>0</v>
      </c>
      <c r="R1112" s="58">
        <v>0</v>
      </c>
      <c r="S1112" s="58">
        <v>0</v>
      </c>
      <c r="T1112" s="58">
        <v>0</v>
      </c>
      <c r="U1112" s="58">
        <v>0</v>
      </c>
      <c r="V1112" s="58">
        <v>0</v>
      </c>
      <c r="AG1112" t="s">
        <v>1151</v>
      </c>
      <c r="AM1112" s="1" t="str">
        <f t="shared" si="66"/>
        <v>1110_C0019_0111.jpg</v>
      </c>
    </row>
    <row r="1113" spans="1:39" x14ac:dyDescent="0.35">
      <c r="A1113">
        <v>1109</v>
      </c>
      <c r="B1113">
        <v>1110</v>
      </c>
      <c r="F1113" s="64" t="s">
        <v>4443</v>
      </c>
      <c r="G1113" s="64"/>
      <c r="H1113" s="64"/>
      <c r="I1113" s="64">
        <v>1</v>
      </c>
      <c r="J1113" s="32" t="str">
        <f>IF(AND(E1113=1,OR(E1112=0,E1112="")),MAX(#REF!)+1,IF(AND(E1113=1,E1112=1),J1112,""))</f>
        <v/>
      </c>
      <c r="K1113" s="32" t="str">
        <f t="shared" si="65"/>
        <v/>
      </c>
      <c r="L1113" s="32" t="str">
        <f t="shared" si="67"/>
        <v/>
      </c>
      <c r="M1113" s="32" t="str">
        <f t="shared" si="68"/>
        <v/>
      </c>
      <c r="N1113" s="4">
        <v>1</v>
      </c>
      <c r="O1113" s="58">
        <v>0</v>
      </c>
      <c r="P1113" s="58">
        <v>0</v>
      </c>
      <c r="Q1113" s="58">
        <v>0</v>
      </c>
      <c r="R1113" s="58">
        <v>0</v>
      </c>
      <c r="S1113" s="58">
        <v>0</v>
      </c>
      <c r="T1113" s="58">
        <v>0</v>
      </c>
      <c r="U1113" s="58">
        <v>0</v>
      </c>
      <c r="V1113" s="58">
        <v>0</v>
      </c>
      <c r="AG1113" t="s">
        <v>1152</v>
      </c>
      <c r="AM1113" s="1" t="str">
        <f t="shared" si="66"/>
        <v>1111_C0019_0106.jpg</v>
      </c>
    </row>
    <row r="1114" spans="1:39" x14ac:dyDescent="0.35">
      <c r="A1114">
        <v>1110</v>
      </c>
      <c r="B1114">
        <v>1111</v>
      </c>
      <c r="F1114" s="64" t="s">
        <v>4444</v>
      </c>
      <c r="G1114" s="64"/>
      <c r="H1114" s="64"/>
      <c r="I1114" s="64">
        <v>1</v>
      </c>
      <c r="J1114" s="32" t="str">
        <f>IF(AND(E1114=1,OR(E1113=0,E1113="")),MAX(#REF!)+1,IF(AND(E1114=1,E1113=1),J1113,""))</f>
        <v/>
      </c>
      <c r="K1114" s="32" t="str">
        <f t="shared" si="65"/>
        <v/>
      </c>
      <c r="L1114" s="32" t="str">
        <f t="shared" si="67"/>
        <v/>
      </c>
      <c r="M1114" s="32" t="str">
        <f t="shared" si="68"/>
        <v/>
      </c>
      <c r="N1114" s="4">
        <v>1</v>
      </c>
      <c r="O1114" s="58">
        <v>0</v>
      </c>
      <c r="P1114" s="58">
        <v>0</v>
      </c>
      <c r="Q1114" s="58">
        <v>0</v>
      </c>
      <c r="R1114" s="58">
        <v>0</v>
      </c>
      <c r="S1114" s="58">
        <v>0</v>
      </c>
      <c r="T1114" s="58">
        <v>0</v>
      </c>
      <c r="U1114" s="58">
        <v>0</v>
      </c>
      <c r="V1114" s="58">
        <v>0</v>
      </c>
      <c r="AG1114" t="s">
        <v>1153</v>
      </c>
      <c r="AM1114" s="1" t="str">
        <f t="shared" si="66"/>
        <v>1112_C0019_0102.jpg</v>
      </c>
    </row>
    <row r="1115" spans="1:39" x14ac:dyDescent="0.35">
      <c r="A1115">
        <v>1111</v>
      </c>
      <c r="B1115">
        <v>1112</v>
      </c>
      <c r="F1115" s="64" t="s">
        <v>4445</v>
      </c>
      <c r="G1115" s="64"/>
      <c r="H1115" s="64"/>
      <c r="I1115" s="64">
        <v>1</v>
      </c>
      <c r="J1115" s="32" t="str">
        <f>IF(AND(E1115=1,OR(E1114=0,E1114="")),MAX(#REF!)+1,IF(AND(E1115=1,E1114=1),J1114,""))</f>
        <v/>
      </c>
      <c r="K1115" s="32" t="str">
        <f t="shared" si="65"/>
        <v/>
      </c>
      <c r="L1115" s="32" t="str">
        <f t="shared" si="67"/>
        <v/>
      </c>
      <c r="M1115" s="32" t="str">
        <f t="shared" si="68"/>
        <v/>
      </c>
      <c r="N1115" s="4">
        <v>1</v>
      </c>
      <c r="O1115" s="58">
        <v>0</v>
      </c>
      <c r="P1115" s="58">
        <v>0</v>
      </c>
      <c r="Q1115" s="58">
        <v>0</v>
      </c>
      <c r="R1115" s="58">
        <v>0</v>
      </c>
      <c r="S1115" s="58">
        <v>0</v>
      </c>
      <c r="T1115" s="58">
        <v>0</v>
      </c>
      <c r="U1115" s="58">
        <v>0</v>
      </c>
      <c r="V1115" s="58">
        <v>0</v>
      </c>
      <c r="AG1115" t="s">
        <v>1154</v>
      </c>
      <c r="AM1115" s="1" t="str">
        <f t="shared" si="66"/>
        <v>1113_C0019_0094.jpg</v>
      </c>
    </row>
    <row r="1116" spans="1:39" x14ac:dyDescent="0.35">
      <c r="A1116">
        <v>1112</v>
      </c>
      <c r="B1116">
        <v>1113</v>
      </c>
      <c r="F1116" s="64" t="s">
        <v>4446</v>
      </c>
      <c r="G1116" s="64"/>
      <c r="H1116" s="64"/>
      <c r="I1116" s="64">
        <v>1</v>
      </c>
      <c r="J1116" s="32" t="str">
        <f>IF(AND(E1116=1,OR(E1115=0,E1115="")),MAX(#REF!)+1,IF(AND(E1116=1,E1115=1),J1115,""))</f>
        <v/>
      </c>
      <c r="K1116" s="32" t="str">
        <f t="shared" si="65"/>
        <v/>
      </c>
      <c r="L1116" s="32" t="str">
        <f t="shared" si="67"/>
        <v/>
      </c>
      <c r="M1116" s="32" t="str">
        <f t="shared" si="68"/>
        <v/>
      </c>
      <c r="N1116" s="4">
        <v>1</v>
      </c>
      <c r="O1116" s="58">
        <v>0</v>
      </c>
      <c r="P1116" s="58">
        <v>0</v>
      </c>
      <c r="Q1116" s="58">
        <v>0</v>
      </c>
      <c r="R1116" s="58">
        <v>0</v>
      </c>
      <c r="S1116" s="58">
        <v>0</v>
      </c>
      <c r="T1116" s="58">
        <v>0</v>
      </c>
      <c r="U1116" s="58">
        <v>0</v>
      </c>
      <c r="V1116" s="58">
        <v>0</v>
      </c>
      <c r="AG1116" t="s">
        <v>1155</v>
      </c>
      <c r="AM1116" s="1" t="str">
        <f t="shared" si="66"/>
        <v>1114_C0019_0088.jpg</v>
      </c>
    </row>
    <row r="1117" spans="1:39" x14ac:dyDescent="0.35">
      <c r="A1117">
        <v>1113</v>
      </c>
      <c r="B1117">
        <v>1114</v>
      </c>
      <c r="F1117" s="64" t="s">
        <v>4447</v>
      </c>
      <c r="G1117" s="64"/>
      <c r="H1117" s="64"/>
      <c r="I1117" s="64">
        <v>1</v>
      </c>
      <c r="J1117" s="32" t="str">
        <f>IF(AND(E1117=1,OR(E1116=0,E1116="")),MAX(#REF!)+1,IF(AND(E1117=1,E1116=1),J1116,""))</f>
        <v/>
      </c>
      <c r="K1117" s="32" t="str">
        <f t="shared" si="65"/>
        <v/>
      </c>
      <c r="L1117" s="32" t="str">
        <f t="shared" si="67"/>
        <v/>
      </c>
      <c r="M1117" s="32" t="str">
        <f t="shared" si="68"/>
        <v/>
      </c>
      <c r="N1117" s="4">
        <v>1</v>
      </c>
      <c r="O1117" s="58">
        <v>0</v>
      </c>
      <c r="P1117" s="58">
        <v>0</v>
      </c>
      <c r="Q1117" s="58">
        <v>0</v>
      </c>
      <c r="R1117" s="58">
        <v>0</v>
      </c>
      <c r="S1117" s="58">
        <v>0</v>
      </c>
      <c r="T1117" s="58">
        <v>0</v>
      </c>
      <c r="U1117" s="58">
        <v>0</v>
      </c>
      <c r="V1117" s="58">
        <v>0</v>
      </c>
      <c r="AG1117" t="s">
        <v>1156</v>
      </c>
      <c r="AM1117" s="1" t="str">
        <f t="shared" si="66"/>
        <v>1115_C0019_0083.jpg</v>
      </c>
    </row>
    <row r="1118" spans="1:39" x14ac:dyDescent="0.35">
      <c r="A1118">
        <v>1114</v>
      </c>
      <c r="B1118">
        <v>1115</v>
      </c>
      <c r="F1118" s="64" t="s">
        <v>4448</v>
      </c>
      <c r="G1118" s="64"/>
      <c r="H1118" s="64"/>
      <c r="I1118" s="64">
        <v>1</v>
      </c>
      <c r="J1118" s="32" t="str">
        <f>IF(AND(E1118=1,OR(E1117=0,E1117="")),MAX(#REF!)+1,IF(AND(E1118=1,E1117=1),J1117,""))</f>
        <v/>
      </c>
      <c r="K1118" s="32" t="str">
        <f t="shared" si="65"/>
        <v/>
      </c>
      <c r="L1118" s="32" t="str">
        <f t="shared" si="67"/>
        <v/>
      </c>
      <c r="M1118" s="32" t="str">
        <f t="shared" si="68"/>
        <v/>
      </c>
      <c r="N1118" s="4">
        <v>1</v>
      </c>
      <c r="O1118" s="58">
        <v>0</v>
      </c>
      <c r="P1118" s="58">
        <v>0</v>
      </c>
      <c r="Q1118" s="58">
        <v>0</v>
      </c>
      <c r="R1118" s="58">
        <v>0</v>
      </c>
      <c r="S1118" s="58">
        <v>0</v>
      </c>
      <c r="T1118" s="58">
        <v>0</v>
      </c>
      <c r="U1118" s="58">
        <v>0</v>
      </c>
      <c r="V1118" s="58">
        <v>0</v>
      </c>
      <c r="AG1118" t="s">
        <v>1157</v>
      </c>
      <c r="AM1118" s="1" t="str">
        <f t="shared" si="66"/>
        <v>1116_C0019_0075.jpg</v>
      </c>
    </row>
    <row r="1119" spans="1:39" x14ac:dyDescent="0.35">
      <c r="A1119">
        <v>1115</v>
      </c>
      <c r="B1119">
        <v>1116</v>
      </c>
      <c r="F1119" s="64" t="s">
        <v>4449</v>
      </c>
      <c r="G1119" s="64"/>
      <c r="H1119" s="64"/>
      <c r="I1119" s="64">
        <v>1</v>
      </c>
      <c r="J1119" s="32" t="str">
        <f>IF(AND(E1119=1,OR(E1118=0,E1118="")),MAX(#REF!)+1,IF(AND(E1119=1,E1118=1),J1118,""))</f>
        <v/>
      </c>
      <c r="K1119" s="32" t="str">
        <f t="shared" ref="K1119:K1182" si="69">IF(J1119="","",COUNTIF(J:J,J1119)*10)</f>
        <v/>
      </c>
      <c r="L1119" s="32" t="str">
        <f t="shared" si="67"/>
        <v/>
      </c>
      <c r="M1119" s="32" t="str">
        <f t="shared" si="68"/>
        <v/>
      </c>
      <c r="N1119" s="4">
        <v>1</v>
      </c>
      <c r="O1119" s="58">
        <v>0</v>
      </c>
      <c r="P1119" s="58">
        <v>0</v>
      </c>
      <c r="Q1119" s="58">
        <v>0</v>
      </c>
      <c r="R1119" s="58">
        <v>0</v>
      </c>
      <c r="S1119" s="58">
        <v>0</v>
      </c>
      <c r="T1119" s="58">
        <v>0</v>
      </c>
      <c r="U1119" s="58">
        <v>0</v>
      </c>
      <c r="V1119" s="58">
        <v>0</v>
      </c>
      <c r="AG1119" t="s">
        <v>1158</v>
      </c>
      <c r="AM1119" s="1" t="str">
        <f t="shared" si="66"/>
        <v>1117_C0019_0069.jpg</v>
      </c>
    </row>
    <row r="1120" spans="1:39" x14ac:dyDescent="0.35">
      <c r="A1120">
        <v>1116</v>
      </c>
      <c r="B1120">
        <v>1117</v>
      </c>
      <c r="F1120" s="64" t="s">
        <v>4450</v>
      </c>
      <c r="G1120" s="64"/>
      <c r="H1120" s="64"/>
      <c r="I1120" s="64">
        <v>1</v>
      </c>
      <c r="J1120" s="32" t="str">
        <f>IF(AND(E1120=1,OR(E1119=0,E1119="")),MAX(#REF!)+1,IF(AND(E1120=1,E1119=1),J1119,""))</f>
        <v/>
      </c>
      <c r="K1120" s="32" t="str">
        <f t="shared" si="69"/>
        <v/>
      </c>
      <c r="L1120" s="32" t="str">
        <f t="shared" si="67"/>
        <v/>
      </c>
      <c r="M1120" s="32" t="str">
        <f t="shared" si="68"/>
        <v/>
      </c>
      <c r="N1120" s="4">
        <v>1</v>
      </c>
      <c r="O1120" s="58">
        <v>0</v>
      </c>
      <c r="P1120" s="58">
        <v>0</v>
      </c>
      <c r="Q1120" s="58">
        <v>0</v>
      </c>
      <c r="R1120" s="58">
        <v>0</v>
      </c>
      <c r="S1120" s="58">
        <v>0</v>
      </c>
      <c r="T1120" s="58">
        <v>0</v>
      </c>
      <c r="U1120" s="58">
        <v>0</v>
      </c>
      <c r="V1120" s="58">
        <v>0</v>
      </c>
      <c r="AG1120" t="s">
        <v>1159</v>
      </c>
      <c r="AM1120" s="1" t="str">
        <f t="shared" si="66"/>
        <v>1118_C0019_0061.jpg</v>
      </c>
    </row>
    <row r="1121" spans="1:39" x14ac:dyDescent="0.35">
      <c r="A1121">
        <v>1117</v>
      </c>
      <c r="B1121">
        <v>1118</v>
      </c>
      <c r="F1121" s="64" t="s">
        <v>4451</v>
      </c>
      <c r="G1121" s="64"/>
      <c r="H1121" s="64"/>
      <c r="I1121" s="64">
        <v>1</v>
      </c>
      <c r="J1121" s="32" t="str">
        <f>IF(AND(E1121=1,OR(E1120=0,E1120="")),MAX(#REF!)+1,IF(AND(E1121=1,E1120=1),J1120,""))</f>
        <v/>
      </c>
      <c r="K1121" s="32" t="str">
        <f t="shared" si="69"/>
        <v/>
      </c>
      <c r="L1121" s="32" t="str">
        <f t="shared" si="67"/>
        <v/>
      </c>
      <c r="M1121" s="32" t="str">
        <f t="shared" si="68"/>
        <v/>
      </c>
      <c r="N1121" s="4">
        <v>1</v>
      </c>
      <c r="O1121" s="58">
        <v>0</v>
      </c>
      <c r="P1121" s="58">
        <v>0</v>
      </c>
      <c r="Q1121" s="58">
        <v>0</v>
      </c>
      <c r="R1121" s="58">
        <v>0</v>
      </c>
      <c r="S1121" s="58">
        <v>0</v>
      </c>
      <c r="T1121" s="58">
        <v>0</v>
      </c>
      <c r="U1121" s="58">
        <v>0</v>
      </c>
      <c r="V1121" s="58">
        <v>0</v>
      </c>
      <c r="AG1121" t="s">
        <v>1160</v>
      </c>
      <c r="AM1121" s="1" t="str">
        <f t="shared" si="66"/>
        <v>1119_C0019_0056.jpg</v>
      </c>
    </row>
    <row r="1122" spans="1:39" x14ac:dyDescent="0.35">
      <c r="A1122">
        <v>1118</v>
      </c>
      <c r="B1122">
        <v>1119</v>
      </c>
      <c r="F1122" s="64" t="s">
        <v>4452</v>
      </c>
      <c r="G1122" s="64"/>
      <c r="H1122" s="64"/>
      <c r="I1122" s="64">
        <v>1</v>
      </c>
      <c r="J1122" s="32" t="str">
        <f>IF(AND(E1122=1,OR(E1121=0,E1121="")),MAX(#REF!)+1,IF(AND(E1122=1,E1121=1),J1121,""))</f>
        <v/>
      </c>
      <c r="K1122" s="32" t="str">
        <f t="shared" si="69"/>
        <v/>
      </c>
      <c r="L1122" s="32" t="str">
        <f t="shared" si="67"/>
        <v/>
      </c>
      <c r="M1122" s="32" t="str">
        <f t="shared" si="68"/>
        <v/>
      </c>
      <c r="N1122" s="4">
        <v>1</v>
      </c>
      <c r="O1122" s="58">
        <v>0</v>
      </c>
      <c r="P1122" s="58">
        <v>0</v>
      </c>
      <c r="Q1122" s="58">
        <v>0</v>
      </c>
      <c r="R1122" s="58">
        <v>0</v>
      </c>
      <c r="S1122" s="58">
        <v>0</v>
      </c>
      <c r="T1122" s="58">
        <v>0</v>
      </c>
      <c r="U1122" s="58">
        <v>0</v>
      </c>
      <c r="V1122" s="58">
        <v>0</v>
      </c>
      <c r="AG1122" t="s">
        <v>1161</v>
      </c>
      <c r="AM1122" s="1" t="str">
        <f t="shared" si="66"/>
        <v>1120_C0019_0047.jpg</v>
      </c>
    </row>
    <row r="1123" spans="1:39" x14ac:dyDescent="0.35">
      <c r="A1123">
        <v>1119</v>
      </c>
      <c r="B1123">
        <v>1120</v>
      </c>
      <c r="F1123" s="64" t="s">
        <v>4453</v>
      </c>
      <c r="G1123" s="64"/>
      <c r="H1123" s="64"/>
      <c r="I1123" s="64">
        <v>1</v>
      </c>
      <c r="J1123" s="32" t="str">
        <f>IF(AND(E1123=1,OR(E1122=0,E1122="")),MAX(#REF!)+1,IF(AND(E1123=1,E1122=1),J1122,""))</f>
        <v/>
      </c>
      <c r="K1123" s="32" t="str">
        <f t="shared" si="69"/>
        <v/>
      </c>
      <c r="L1123" s="32" t="str">
        <f t="shared" si="67"/>
        <v/>
      </c>
      <c r="M1123" s="32" t="str">
        <f t="shared" si="68"/>
        <v/>
      </c>
      <c r="N1123" s="4">
        <v>1</v>
      </c>
      <c r="O1123" s="58">
        <v>0</v>
      </c>
      <c r="P1123" s="58">
        <v>0</v>
      </c>
      <c r="Q1123" s="58">
        <v>0</v>
      </c>
      <c r="R1123" s="58">
        <v>0</v>
      </c>
      <c r="S1123" s="58">
        <v>0</v>
      </c>
      <c r="T1123" s="58">
        <v>0</v>
      </c>
      <c r="U1123" s="58">
        <v>0</v>
      </c>
      <c r="V1123" s="58">
        <v>0</v>
      </c>
      <c r="AG1123" t="s">
        <v>1162</v>
      </c>
      <c r="AM1123" s="1" t="str">
        <f t="shared" si="66"/>
        <v>1121_C0019_0043.jpg</v>
      </c>
    </row>
    <row r="1124" spans="1:39" x14ac:dyDescent="0.35">
      <c r="A1124">
        <v>1120</v>
      </c>
      <c r="B1124">
        <v>1121</v>
      </c>
      <c r="F1124" s="64" t="s">
        <v>4454</v>
      </c>
      <c r="G1124" s="64"/>
      <c r="H1124" s="64"/>
      <c r="I1124" s="64">
        <v>1</v>
      </c>
      <c r="J1124" s="32" t="str">
        <f>IF(AND(E1124=1,OR(E1123=0,E1123="")),MAX(#REF!)+1,IF(AND(E1124=1,E1123=1),J1123,""))</f>
        <v/>
      </c>
      <c r="K1124" s="32" t="str">
        <f t="shared" si="69"/>
        <v/>
      </c>
      <c r="L1124" s="32" t="str">
        <f t="shared" si="67"/>
        <v/>
      </c>
      <c r="M1124" s="32" t="str">
        <f t="shared" si="68"/>
        <v/>
      </c>
      <c r="N1124" s="4">
        <v>1</v>
      </c>
      <c r="O1124" s="58">
        <v>0</v>
      </c>
      <c r="P1124" s="58">
        <v>0</v>
      </c>
      <c r="Q1124" s="58">
        <v>0</v>
      </c>
      <c r="R1124" s="58">
        <v>0</v>
      </c>
      <c r="S1124" s="58">
        <v>0</v>
      </c>
      <c r="T1124" s="58">
        <v>0</v>
      </c>
      <c r="U1124" s="58">
        <v>0</v>
      </c>
      <c r="V1124" s="58">
        <v>0</v>
      </c>
      <c r="AG1124" t="s">
        <v>1163</v>
      </c>
      <c r="AM1124" s="1" t="str">
        <f t="shared" si="66"/>
        <v>1122_C0019_0037.jpg</v>
      </c>
    </row>
    <row r="1125" spans="1:39" x14ac:dyDescent="0.35">
      <c r="A1125">
        <v>1121</v>
      </c>
      <c r="B1125">
        <v>1122</v>
      </c>
      <c r="F1125" s="64" t="s">
        <v>4455</v>
      </c>
      <c r="G1125" s="64"/>
      <c r="H1125" s="64"/>
      <c r="I1125" s="64">
        <v>1</v>
      </c>
      <c r="J1125" s="32" t="str">
        <f>IF(AND(E1125=1,OR(E1124=0,E1124="")),MAX(#REF!)+1,IF(AND(E1125=1,E1124=1),J1124,""))</f>
        <v/>
      </c>
      <c r="K1125" s="32" t="str">
        <f t="shared" si="69"/>
        <v/>
      </c>
      <c r="L1125" s="32" t="str">
        <f t="shared" si="67"/>
        <v/>
      </c>
      <c r="M1125" s="32" t="str">
        <f t="shared" si="68"/>
        <v/>
      </c>
      <c r="N1125" s="4">
        <v>1</v>
      </c>
      <c r="O1125" s="58">
        <v>0</v>
      </c>
      <c r="P1125" s="58">
        <v>0</v>
      </c>
      <c r="Q1125" s="58">
        <v>0</v>
      </c>
      <c r="R1125" s="58">
        <v>0</v>
      </c>
      <c r="S1125" s="58">
        <v>0</v>
      </c>
      <c r="T1125" s="58">
        <v>0</v>
      </c>
      <c r="U1125" s="58">
        <v>0</v>
      </c>
      <c r="V1125" s="58">
        <v>0</v>
      </c>
      <c r="AG1125" t="s">
        <v>1164</v>
      </c>
      <c r="AM1125" s="1" t="str">
        <f t="shared" si="66"/>
        <v>1123_C0019_0032.jpg</v>
      </c>
    </row>
    <row r="1126" spans="1:39" x14ac:dyDescent="0.35">
      <c r="A1126">
        <v>1122</v>
      </c>
      <c r="B1126">
        <v>1123</v>
      </c>
      <c r="F1126" s="64" t="s">
        <v>4456</v>
      </c>
      <c r="G1126" s="64"/>
      <c r="H1126" s="64"/>
      <c r="I1126" s="64">
        <v>1</v>
      </c>
      <c r="J1126" s="32" t="str">
        <f>IF(AND(E1126=1,OR(E1125=0,E1125="")),MAX(#REF!)+1,IF(AND(E1126=1,E1125=1),J1125,""))</f>
        <v/>
      </c>
      <c r="K1126" s="32" t="str">
        <f t="shared" si="69"/>
        <v/>
      </c>
      <c r="L1126" s="32" t="str">
        <f t="shared" si="67"/>
        <v/>
      </c>
      <c r="M1126" s="32" t="str">
        <f t="shared" si="68"/>
        <v/>
      </c>
      <c r="N1126" s="4">
        <v>1</v>
      </c>
      <c r="O1126" s="58">
        <v>0</v>
      </c>
      <c r="P1126" s="58">
        <v>0</v>
      </c>
      <c r="Q1126" s="58">
        <v>0</v>
      </c>
      <c r="R1126" s="58">
        <v>0</v>
      </c>
      <c r="S1126" s="58">
        <v>0</v>
      </c>
      <c r="T1126" s="58">
        <v>0</v>
      </c>
      <c r="U1126" s="58">
        <v>0</v>
      </c>
      <c r="V1126" s="58">
        <v>0</v>
      </c>
      <c r="AG1126" t="s">
        <v>1165</v>
      </c>
      <c r="AM1126" s="1" t="str">
        <f t="shared" si="66"/>
        <v>1124_C0015_0100.jpg</v>
      </c>
    </row>
    <row r="1127" spans="1:39" x14ac:dyDescent="0.35">
      <c r="A1127">
        <v>1123</v>
      </c>
      <c r="B1127">
        <v>1124</v>
      </c>
      <c r="F1127" s="64" t="s">
        <v>4457</v>
      </c>
      <c r="G1127" s="64"/>
      <c r="H1127" s="64"/>
      <c r="I1127" s="64">
        <v>1</v>
      </c>
      <c r="J1127" s="32" t="str">
        <f>IF(AND(E1127=1,OR(E1126=0,E1126="")),MAX(#REF!)+1,IF(AND(E1127=1,E1126=1),J1126,""))</f>
        <v/>
      </c>
      <c r="K1127" s="32" t="str">
        <f t="shared" si="69"/>
        <v/>
      </c>
      <c r="L1127" s="32" t="str">
        <f t="shared" si="67"/>
        <v/>
      </c>
      <c r="M1127" s="32" t="str">
        <f t="shared" si="68"/>
        <v/>
      </c>
      <c r="N1127" s="4">
        <v>1</v>
      </c>
      <c r="O1127" s="58">
        <v>0</v>
      </c>
      <c r="P1127" s="58">
        <v>0</v>
      </c>
      <c r="Q1127" s="58">
        <v>0</v>
      </c>
      <c r="R1127" s="58">
        <v>0</v>
      </c>
      <c r="S1127" s="58">
        <v>0</v>
      </c>
      <c r="T1127" s="58">
        <v>0</v>
      </c>
      <c r="U1127" s="58">
        <v>0</v>
      </c>
      <c r="V1127" s="58">
        <v>0</v>
      </c>
      <c r="AG1127" t="s">
        <v>1166</v>
      </c>
      <c r="AM1127" s="1" t="str">
        <f t="shared" si="66"/>
        <v>1125_C0015_0096.jpg</v>
      </c>
    </row>
    <row r="1128" spans="1:39" x14ac:dyDescent="0.35">
      <c r="A1128">
        <v>1124</v>
      </c>
      <c r="B1128">
        <v>1125</v>
      </c>
      <c r="F1128" s="64" t="s">
        <v>4458</v>
      </c>
      <c r="G1128" s="64"/>
      <c r="H1128" s="64"/>
      <c r="I1128" s="64">
        <v>1</v>
      </c>
      <c r="J1128" s="32" t="str">
        <f>IF(AND(E1128=1,OR(E1127=0,E1127="")),MAX(#REF!)+1,IF(AND(E1128=1,E1127=1),J1127,""))</f>
        <v/>
      </c>
      <c r="K1128" s="32" t="str">
        <f t="shared" si="69"/>
        <v/>
      </c>
      <c r="L1128" s="32" t="str">
        <f t="shared" si="67"/>
        <v/>
      </c>
      <c r="M1128" s="32" t="str">
        <f t="shared" si="68"/>
        <v/>
      </c>
      <c r="N1128" s="4">
        <v>1</v>
      </c>
      <c r="O1128" s="58">
        <v>0</v>
      </c>
      <c r="P1128" s="58">
        <v>0</v>
      </c>
      <c r="Q1128" s="58">
        <v>0</v>
      </c>
      <c r="R1128" s="58">
        <v>0</v>
      </c>
      <c r="S1128" s="58">
        <v>0</v>
      </c>
      <c r="T1128" s="58">
        <v>0</v>
      </c>
      <c r="U1128" s="58">
        <v>0</v>
      </c>
      <c r="V1128" s="58">
        <v>0</v>
      </c>
      <c r="AG1128" t="s">
        <v>1167</v>
      </c>
      <c r="AM1128" s="1" t="str">
        <f t="shared" si="66"/>
        <v>1126_C0015_0092.jpg</v>
      </c>
    </row>
    <row r="1129" spans="1:39" x14ac:dyDescent="0.35">
      <c r="A1129">
        <v>1125</v>
      </c>
      <c r="B1129">
        <v>1126</v>
      </c>
      <c r="F1129" s="64" t="s">
        <v>4459</v>
      </c>
      <c r="G1129" s="64"/>
      <c r="H1129" s="64"/>
      <c r="I1129" s="64">
        <v>1</v>
      </c>
      <c r="J1129" s="32" t="str">
        <f>IF(AND(E1129=1,OR(E1128=0,E1128="")),MAX(#REF!)+1,IF(AND(E1129=1,E1128=1),J1128,""))</f>
        <v/>
      </c>
      <c r="K1129" s="32" t="str">
        <f t="shared" si="69"/>
        <v/>
      </c>
      <c r="L1129" s="32" t="str">
        <f t="shared" si="67"/>
        <v/>
      </c>
      <c r="M1129" s="32" t="str">
        <f t="shared" si="68"/>
        <v/>
      </c>
      <c r="N1129" s="4">
        <v>1</v>
      </c>
      <c r="O1129" s="58">
        <v>0</v>
      </c>
      <c r="P1129" s="58">
        <v>0</v>
      </c>
      <c r="Q1129" s="58">
        <v>0</v>
      </c>
      <c r="R1129" s="58">
        <v>0</v>
      </c>
      <c r="S1129" s="58">
        <v>0</v>
      </c>
      <c r="T1129" s="58">
        <v>0</v>
      </c>
      <c r="U1129" s="58">
        <v>0</v>
      </c>
      <c r="V1129" s="58">
        <v>0</v>
      </c>
      <c r="AG1129" t="s">
        <v>1168</v>
      </c>
      <c r="AM1129" s="1" t="str">
        <f t="shared" si="66"/>
        <v>1127_C0019_0010.jpg</v>
      </c>
    </row>
    <row r="1130" spans="1:39" x14ac:dyDescent="0.35">
      <c r="A1130">
        <v>1126</v>
      </c>
      <c r="B1130">
        <v>1127</v>
      </c>
      <c r="F1130" s="64" t="s">
        <v>4460</v>
      </c>
      <c r="G1130" s="64"/>
      <c r="H1130" s="64"/>
      <c r="I1130" s="64">
        <v>1</v>
      </c>
      <c r="J1130" s="32" t="str">
        <f>IF(AND(E1130=1,OR(E1129=0,E1129="")),MAX(#REF!)+1,IF(AND(E1130=1,E1129=1),J1129,""))</f>
        <v/>
      </c>
      <c r="K1130" s="32" t="str">
        <f t="shared" si="69"/>
        <v/>
      </c>
      <c r="L1130" s="32" t="str">
        <f t="shared" si="67"/>
        <v/>
      </c>
      <c r="M1130" s="32" t="str">
        <f t="shared" si="68"/>
        <v/>
      </c>
      <c r="N1130" s="4">
        <v>1</v>
      </c>
      <c r="O1130" s="58">
        <v>0</v>
      </c>
      <c r="P1130" s="58">
        <v>0</v>
      </c>
      <c r="Q1130" s="58">
        <v>0</v>
      </c>
      <c r="R1130" s="58">
        <v>0</v>
      </c>
      <c r="S1130" s="58">
        <v>0</v>
      </c>
      <c r="T1130" s="58">
        <v>0</v>
      </c>
      <c r="U1130" s="58">
        <v>0</v>
      </c>
      <c r="V1130" s="58">
        <v>0</v>
      </c>
      <c r="AG1130" t="s">
        <v>1169</v>
      </c>
      <c r="AM1130" s="1" t="str">
        <f t="shared" si="66"/>
        <v>1128_C0015_0085.jpg</v>
      </c>
    </row>
    <row r="1131" spans="1:39" x14ac:dyDescent="0.35">
      <c r="A1131">
        <v>1127</v>
      </c>
      <c r="B1131">
        <v>1128</v>
      </c>
      <c r="F1131" s="64" t="s">
        <v>4461</v>
      </c>
      <c r="G1131" s="64"/>
      <c r="H1131" s="64"/>
      <c r="I1131" s="64">
        <v>1</v>
      </c>
      <c r="J1131" s="32" t="str">
        <f>IF(AND(E1131=1,OR(E1130=0,E1130="")),MAX(#REF!)+1,IF(AND(E1131=1,E1130=1),J1130,""))</f>
        <v/>
      </c>
      <c r="K1131" s="32" t="str">
        <f t="shared" si="69"/>
        <v/>
      </c>
      <c r="L1131" s="32" t="str">
        <f t="shared" si="67"/>
        <v/>
      </c>
      <c r="M1131" s="32" t="str">
        <f t="shared" si="68"/>
        <v/>
      </c>
      <c r="N1131" s="4">
        <v>1</v>
      </c>
      <c r="O1131" s="58">
        <v>0</v>
      </c>
      <c r="P1131" s="58">
        <v>0</v>
      </c>
      <c r="Q1131" s="58">
        <v>0</v>
      </c>
      <c r="R1131" s="58">
        <v>0</v>
      </c>
      <c r="S1131" s="58">
        <v>0</v>
      </c>
      <c r="T1131" s="58">
        <v>0</v>
      </c>
      <c r="U1131" s="58">
        <v>0</v>
      </c>
      <c r="V1131" s="58">
        <v>0</v>
      </c>
      <c r="AG1131" t="s">
        <v>1170</v>
      </c>
      <c r="AM1131" s="1" t="str">
        <f t="shared" si="66"/>
        <v>1129_C0015_0081.jpg</v>
      </c>
    </row>
    <row r="1132" spans="1:39" x14ac:dyDescent="0.35">
      <c r="A1132">
        <v>1128</v>
      </c>
      <c r="B1132">
        <v>1129</v>
      </c>
      <c r="F1132" s="64" t="s">
        <v>4462</v>
      </c>
      <c r="G1132" s="64"/>
      <c r="H1132" s="64"/>
      <c r="I1132" s="64">
        <v>1</v>
      </c>
      <c r="J1132" s="32" t="str">
        <f>IF(AND(E1132=1,OR(E1131=0,E1131="")),MAX(#REF!)+1,IF(AND(E1132=1,E1131=1),J1131,""))</f>
        <v/>
      </c>
      <c r="K1132" s="32" t="str">
        <f t="shared" si="69"/>
        <v/>
      </c>
      <c r="L1132" s="32" t="str">
        <f t="shared" si="67"/>
        <v/>
      </c>
      <c r="M1132" s="32" t="str">
        <f t="shared" si="68"/>
        <v/>
      </c>
      <c r="N1132" s="4">
        <v>1</v>
      </c>
      <c r="O1132" s="58">
        <v>0</v>
      </c>
      <c r="P1132" s="58">
        <v>0</v>
      </c>
      <c r="Q1132" s="58">
        <v>0</v>
      </c>
      <c r="R1132" s="58">
        <v>0</v>
      </c>
      <c r="S1132" s="58">
        <v>0</v>
      </c>
      <c r="T1132" s="58">
        <v>0</v>
      </c>
      <c r="U1132" s="58">
        <v>0</v>
      </c>
      <c r="V1132" s="58">
        <v>0</v>
      </c>
      <c r="AG1132" t="s">
        <v>1171</v>
      </c>
      <c r="AM1132" s="1" t="str">
        <f t="shared" si="66"/>
        <v>1130_C0015_0076.jpg</v>
      </c>
    </row>
    <row r="1133" spans="1:39" x14ac:dyDescent="0.35">
      <c r="A1133">
        <v>1129</v>
      </c>
      <c r="B1133">
        <v>1130</v>
      </c>
      <c r="F1133" s="64" t="s">
        <v>4463</v>
      </c>
      <c r="G1133" s="64"/>
      <c r="H1133" s="64"/>
      <c r="I1133" s="64">
        <v>1</v>
      </c>
      <c r="J1133" s="32" t="str">
        <f>IF(AND(E1133=1,OR(E1132=0,E1132="")),MAX(#REF!)+1,IF(AND(E1133=1,E1132=1),J1132,""))</f>
        <v/>
      </c>
      <c r="K1133" s="32" t="str">
        <f t="shared" si="69"/>
        <v/>
      </c>
      <c r="L1133" s="32" t="str">
        <f t="shared" si="67"/>
        <v/>
      </c>
      <c r="M1133" s="32" t="str">
        <f t="shared" si="68"/>
        <v/>
      </c>
      <c r="N1133" s="4">
        <v>1</v>
      </c>
      <c r="O1133" s="58">
        <v>0</v>
      </c>
      <c r="P1133" s="58">
        <v>0</v>
      </c>
      <c r="Q1133" s="58">
        <v>0</v>
      </c>
      <c r="R1133" s="58">
        <v>0</v>
      </c>
      <c r="S1133" s="58">
        <v>0</v>
      </c>
      <c r="T1133" s="58">
        <v>0</v>
      </c>
      <c r="U1133" s="58">
        <v>0</v>
      </c>
      <c r="V1133" s="58">
        <v>0</v>
      </c>
      <c r="AG1133" t="s">
        <v>1172</v>
      </c>
      <c r="AM1133" s="1" t="str">
        <f t="shared" si="66"/>
        <v>1131_C0015_0072.jpg</v>
      </c>
    </row>
    <row r="1134" spans="1:39" x14ac:dyDescent="0.35">
      <c r="A1134">
        <v>1130</v>
      </c>
      <c r="B1134">
        <v>1131</v>
      </c>
      <c r="F1134" s="64" t="s">
        <v>4464</v>
      </c>
      <c r="G1134" s="64"/>
      <c r="H1134" s="64"/>
      <c r="I1134" s="64">
        <v>0</v>
      </c>
      <c r="J1134" s="32" t="str">
        <f>IF(AND(E1134=1,OR(E1133=0,E1133="")),MAX(#REF!)+1,IF(AND(E1134=1,E1133=1),J1133,""))</f>
        <v/>
      </c>
      <c r="K1134" s="32" t="str">
        <f t="shared" si="69"/>
        <v/>
      </c>
      <c r="L1134" s="32" t="str">
        <f t="shared" si="67"/>
        <v/>
      </c>
      <c r="M1134" s="32" t="str">
        <f t="shared" si="68"/>
        <v/>
      </c>
      <c r="N1134" s="4">
        <v>1</v>
      </c>
      <c r="O1134" s="58">
        <v>0</v>
      </c>
      <c r="P1134" s="58">
        <v>0</v>
      </c>
      <c r="Q1134" s="58">
        <v>0</v>
      </c>
      <c r="R1134" s="58">
        <v>0</v>
      </c>
      <c r="S1134" s="58">
        <v>0</v>
      </c>
      <c r="T1134" s="58">
        <v>0</v>
      </c>
      <c r="U1134" s="58">
        <v>0</v>
      </c>
      <c r="V1134" s="58" t="s">
        <v>6906</v>
      </c>
      <c r="AG1134" t="s">
        <v>1173</v>
      </c>
      <c r="AM1134" s="1" t="str">
        <f t="shared" si="66"/>
        <v>1132_C0014_0292.jpg</v>
      </c>
    </row>
    <row r="1135" spans="1:39" x14ac:dyDescent="0.35">
      <c r="A1135">
        <v>1131</v>
      </c>
      <c r="B1135">
        <v>1132</v>
      </c>
      <c r="F1135" s="64" t="s">
        <v>4465</v>
      </c>
      <c r="G1135" s="64"/>
      <c r="H1135" s="64" t="s">
        <v>26</v>
      </c>
      <c r="I1135" s="64"/>
      <c r="J1135" s="32" t="str">
        <f>IF(AND(E1135=1,OR(E1134=0,E1134="")),MAX(#REF!)+1,IF(AND(E1135=1,E1134=1),J1134,""))</f>
        <v/>
      </c>
      <c r="K1135" s="32" t="str">
        <f t="shared" si="69"/>
        <v/>
      </c>
      <c r="L1135" s="32" t="str">
        <f t="shared" si="67"/>
        <v/>
      </c>
      <c r="M1135" s="32" t="str">
        <f t="shared" si="68"/>
        <v/>
      </c>
      <c r="N1135" s="4"/>
      <c r="AG1135" t="s">
        <v>1174</v>
      </c>
      <c r="AM1135" s="1" t="str">
        <f t="shared" si="66"/>
        <v>1133_C0015_0064.jpg</v>
      </c>
    </row>
    <row r="1136" spans="1:39" x14ac:dyDescent="0.35">
      <c r="A1136">
        <v>1132</v>
      </c>
      <c r="B1136">
        <v>1133</v>
      </c>
      <c r="F1136" s="64" t="s">
        <v>4466</v>
      </c>
      <c r="G1136" s="64"/>
      <c r="H1136" s="64"/>
      <c r="I1136" s="64">
        <v>1</v>
      </c>
      <c r="J1136" s="32" t="str">
        <f>IF(AND(E1136=1,OR(E1135=0,E1135="")),MAX(#REF!)+1,IF(AND(E1136=1,E1135=1),J1135,""))</f>
        <v/>
      </c>
      <c r="K1136" s="32" t="str">
        <f t="shared" si="69"/>
        <v/>
      </c>
      <c r="L1136" s="32" t="str">
        <f t="shared" si="67"/>
        <v/>
      </c>
      <c r="M1136" s="32" t="str">
        <f t="shared" si="68"/>
        <v/>
      </c>
      <c r="N1136" s="4">
        <v>1</v>
      </c>
      <c r="O1136" s="58">
        <v>0</v>
      </c>
      <c r="P1136" s="58">
        <v>0</v>
      </c>
      <c r="Q1136" s="58">
        <v>1</v>
      </c>
      <c r="R1136" s="58">
        <v>0</v>
      </c>
      <c r="S1136" s="58">
        <v>0</v>
      </c>
      <c r="T1136" s="58">
        <v>0</v>
      </c>
      <c r="U1136" s="58">
        <v>0</v>
      </c>
      <c r="V1136" s="58" t="s">
        <v>6906</v>
      </c>
      <c r="AG1136" t="s">
        <v>1175</v>
      </c>
      <c r="AM1136" s="1" t="str">
        <f t="shared" si="66"/>
        <v>1134_C0015_0058.jpg</v>
      </c>
    </row>
    <row r="1137" spans="1:39" x14ac:dyDescent="0.35">
      <c r="A1137">
        <v>1133</v>
      </c>
      <c r="B1137">
        <v>1134</v>
      </c>
      <c r="F1137" s="64" t="s">
        <v>4467</v>
      </c>
      <c r="G1137" s="64"/>
      <c r="H1137" s="64"/>
      <c r="I1137" s="64">
        <v>1</v>
      </c>
      <c r="J1137" s="32" t="str">
        <f>IF(AND(E1137=1,OR(E1136=0,E1136="")),MAX(#REF!)+1,IF(AND(E1137=1,E1136=1),J1136,""))</f>
        <v/>
      </c>
      <c r="K1137" s="32" t="str">
        <f t="shared" si="69"/>
        <v/>
      </c>
      <c r="L1137" s="32" t="str">
        <f t="shared" si="67"/>
        <v/>
      </c>
      <c r="M1137" s="32" t="str">
        <f t="shared" si="68"/>
        <v/>
      </c>
      <c r="N1137" s="4">
        <v>1</v>
      </c>
      <c r="O1137" s="58">
        <v>0</v>
      </c>
      <c r="P1137" s="58">
        <v>0</v>
      </c>
      <c r="Q1137" s="58">
        <v>1</v>
      </c>
      <c r="R1137" s="58">
        <v>0</v>
      </c>
      <c r="S1137" s="58">
        <v>0</v>
      </c>
      <c r="T1137" s="58">
        <v>0</v>
      </c>
      <c r="U1137" s="58">
        <v>0</v>
      </c>
      <c r="V1137" s="58" t="s">
        <v>6906</v>
      </c>
      <c r="AG1137" t="s">
        <v>1176</v>
      </c>
      <c r="AM1137" s="1" t="str">
        <f t="shared" si="66"/>
        <v>1135_C0015_0054.jpg</v>
      </c>
    </row>
    <row r="1138" spans="1:39" x14ac:dyDescent="0.35">
      <c r="A1138">
        <v>1134</v>
      </c>
      <c r="B1138">
        <v>1135</v>
      </c>
      <c r="F1138" s="64" t="s">
        <v>4468</v>
      </c>
      <c r="G1138" s="64"/>
      <c r="H1138" s="64"/>
      <c r="I1138" s="64">
        <v>1</v>
      </c>
      <c r="J1138" s="32" t="str">
        <f>IF(AND(E1138=1,OR(E1137=0,E1137="")),MAX(#REF!)+1,IF(AND(E1138=1,E1137=1),J1137,""))</f>
        <v/>
      </c>
      <c r="K1138" s="32" t="str">
        <f t="shared" si="69"/>
        <v/>
      </c>
      <c r="L1138" s="32" t="str">
        <f t="shared" si="67"/>
        <v/>
      </c>
      <c r="M1138" s="32" t="str">
        <f t="shared" si="68"/>
        <v/>
      </c>
      <c r="N1138" s="4">
        <v>1</v>
      </c>
      <c r="O1138" s="58">
        <v>0</v>
      </c>
      <c r="P1138" s="58">
        <v>0</v>
      </c>
      <c r="Q1138" s="58">
        <v>0</v>
      </c>
      <c r="R1138" s="58">
        <v>0</v>
      </c>
      <c r="S1138" s="58">
        <v>0</v>
      </c>
      <c r="T1138" s="58">
        <v>0</v>
      </c>
      <c r="U1138" s="58">
        <v>0</v>
      </c>
      <c r="V1138" s="58">
        <v>0</v>
      </c>
      <c r="AG1138" t="s">
        <v>1177</v>
      </c>
      <c r="AM1138" s="1" t="str">
        <f t="shared" si="66"/>
        <v>1136_C0015_0050.jpg</v>
      </c>
    </row>
    <row r="1139" spans="1:39" x14ac:dyDescent="0.35">
      <c r="A1139">
        <v>1135</v>
      </c>
      <c r="B1139">
        <v>1136</v>
      </c>
      <c r="F1139" s="64" t="s">
        <v>4469</v>
      </c>
      <c r="G1139" s="64"/>
      <c r="H1139" s="64"/>
      <c r="I1139" s="64">
        <v>1</v>
      </c>
      <c r="J1139" s="32" t="str">
        <f>IF(AND(E1139=1,OR(E1138=0,E1138="")),MAX(#REF!)+1,IF(AND(E1139=1,E1138=1),J1138,""))</f>
        <v/>
      </c>
      <c r="K1139" s="32" t="str">
        <f t="shared" si="69"/>
        <v/>
      </c>
      <c r="L1139" s="32" t="str">
        <f t="shared" si="67"/>
        <v/>
      </c>
      <c r="M1139" s="32" t="str">
        <f t="shared" si="68"/>
        <v/>
      </c>
      <c r="N1139" s="4">
        <v>1</v>
      </c>
      <c r="O1139" s="58">
        <v>0</v>
      </c>
      <c r="P1139" s="58">
        <v>0</v>
      </c>
      <c r="Q1139" s="58">
        <v>0</v>
      </c>
      <c r="R1139" s="58">
        <v>0</v>
      </c>
      <c r="S1139" s="58">
        <v>0</v>
      </c>
      <c r="T1139" s="58">
        <v>0</v>
      </c>
      <c r="U1139" s="58">
        <v>0</v>
      </c>
      <c r="V1139" s="58">
        <v>0</v>
      </c>
      <c r="AG1139" t="s">
        <v>1178</v>
      </c>
      <c r="AM1139" s="1" t="str">
        <f t="shared" si="66"/>
        <v>1137_C0015_0045.jpg</v>
      </c>
    </row>
    <row r="1140" spans="1:39" x14ac:dyDescent="0.35">
      <c r="A1140">
        <v>1136</v>
      </c>
      <c r="B1140">
        <v>1137</v>
      </c>
      <c r="F1140" s="64" t="s">
        <v>4470</v>
      </c>
      <c r="G1140" s="64"/>
      <c r="H1140" s="64"/>
      <c r="I1140" s="64">
        <v>1</v>
      </c>
      <c r="J1140" s="32" t="str">
        <f>IF(AND(E1140=1,OR(E1139=0,E1139="")),MAX(#REF!)+1,IF(AND(E1140=1,E1139=1),J1139,""))</f>
        <v/>
      </c>
      <c r="K1140" s="32" t="str">
        <f t="shared" si="69"/>
        <v/>
      </c>
      <c r="L1140" s="32" t="str">
        <f t="shared" si="67"/>
        <v/>
      </c>
      <c r="M1140" s="32" t="str">
        <f t="shared" si="68"/>
        <v/>
      </c>
      <c r="N1140" s="4">
        <v>1</v>
      </c>
      <c r="O1140" s="58">
        <v>0</v>
      </c>
      <c r="P1140" s="58">
        <v>0</v>
      </c>
      <c r="Q1140" s="58">
        <v>0</v>
      </c>
      <c r="R1140" s="58">
        <v>0</v>
      </c>
      <c r="S1140" s="58">
        <v>0</v>
      </c>
      <c r="T1140" s="58">
        <v>0</v>
      </c>
      <c r="U1140" s="58">
        <v>0</v>
      </c>
      <c r="V1140" s="58">
        <v>0</v>
      </c>
      <c r="AG1140" t="s">
        <v>1179</v>
      </c>
      <c r="AM1140" s="1" t="str">
        <f t="shared" si="66"/>
        <v>1138_C0015_0041.jpg</v>
      </c>
    </row>
    <row r="1141" spans="1:39" x14ac:dyDescent="0.35">
      <c r="A1141">
        <v>1137</v>
      </c>
      <c r="B1141">
        <v>1138</v>
      </c>
      <c r="F1141" s="64" t="s">
        <v>4471</v>
      </c>
      <c r="G1141" s="64"/>
      <c r="H1141" s="64"/>
      <c r="I1141" s="64">
        <v>1</v>
      </c>
      <c r="J1141" s="32" t="str">
        <f>IF(AND(E1141=1,OR(E1140=0,E1140="")),MAX(#REF!)+1,IF(AND(E1141=1,E1140=1),J1140,""))</f>
        <v/>
      </c>
      <c r="K1141" s="32" t="str">
        <f t="shared" si="69"/>
        <v/>
      </c>
      <c r="L1141" s="32" t="str">
        <f t="shared" si="67"/>
        <v/>
      </c>
      <c r="M1141" s="32" t="str">
        <f t="shared" si="68"/>
        <v/>
      </c>
      <c r="N1141" s="4">
        <v>1</v>
      </c>
      <c r="O1141" s="58">
        <v>0</v>
      </c>
      <c r="P1141" s="58">
        <v>0</v>
      </c>
      <c r="Q1141" s="58">
        <v>0</v>
      </c>
      <c r="R1141" s="58">
        <v>0</v>
      </c>
      <c r="S1141" s="58">
        <v>0</v>
      </c>
      <c r="T1141" s="58">
        <v>0</v>
      </c>
      <c r="U1141" s="58">
        <v>0</v>
      </c>
      <c r="V1141" s="58">
        <v>0</v>
      </c>
      <c r="AG1141" t="s">
        <v>1180</v>
      </c>
      <c r="AM1141" s="1" t="str">
        <f t="shared" si="66"/>
        <v>1139_C0015_0037.jpg</v>
      </c>
    </row>
    <row r="1142" spans="1:39" x14ac:dyDescent="0.35">
      <c r="A1142">
        <v>1138</v>
      </c>
      <c r="B1142">
        <v>1139</v>
      </c>
      <c r="F1142" s="64" t="s">
        <v>4472</v>
      </c>
      <c r="G1142" s="64"/>
      <c r="H1142" s="64"/>
      <c r="I1142" s="64">
        <v>1</v>
      </c>
      <c r="J1142" s="32" t="str">
        <f>IF(AND(E1142=1,OR(E1141=0,E1141="")),MAX(#REF!)+1,IF(AND(E1142=1,E1141=1),J1141,""))</f>
        <v/>
      </c>
      <c r="K1142" s="32" t="str">
        <f t="shared" si="69"/>
        <v/>
      </c>
      <c r="L1142" s="32" t="str">
        <f t="shared" si="67"/>
        <v/>
      </c>
      <c r="M1142" s="32" t="str">
        <f t="shared" si="68"/>
        <v/>
      </c>
      <c r="N1142" s="4">
        <v>1</v>
      </c>
      <c r="O1142" s="58">
        <v>0</v>
      </c>
      <c r="P1142" s="58">
        <v>0</v>
      </c>
      <c r="Q1142" s="58">
        <v>0</v>
      </c>
      <c r="R1142" s="58">
        <v>0</v>
      </c>
      <c r="S1142" s="58">
        <v>0</v>
      </c>
      <c r="T1142" s="58">
        <v>0</v>
      </c>
      <c r="U1142" s="58">
        <v>0</v>
      </c>
      <c r="V1142" s="58">
        <v>0</v>
      </c>
      <c r="AG1142" t="s">
        <v>1181</v>
      </c>
      <c r="AM1142" s="1" t="str">
        <f t="shared" si="66"/>
        <v>1140_C0015_0033.jpg</v>
      </c>
    </row>
    <row r="1143" spans="1:39" x14ac:dyDescent="0.35">
      <c r="A1143">
        <v>1139</v>
      </c>
      <c r="B1143">
        <v>1140</v>
      </c>
      <c r="F1143" s="64" t="s">
        <v>4473</v>
      </c>
      <c r="G1143" s="64"/>
      <c r="H1143" s="64"/>
      <c r="I1143" s="64">
        <v>1</v>
      </c>
      <c r="J1143" s="32" t="str">
        <f>IF(AND(E1143=1,OR(E1142=0,E1142="")),MAX(#REF!)+1,IF(AND(E1143=1,E1142=1),J1142,""))</f>
        <v/>
      </c>
      <c r="K1143" s="32" t="str">
        <f t="shared" si="69"/>
        <v/>
      </c>
      <c r="L1143" s="32" t="str">
        <f t="shared" si="67"/>
        <v/>
      </c>
      <c r="M1143" s="32" t="str">
        <f t="shared" si="68"/>
        <v/>
      </c>
      <c r="N1143" s="4">
        <v>1</v>
      </c>
      <c r="O1143" s="58">
        <v>0</v>
      </c>
      <c r="P1143" s="58">
        <v>0</v>
      </c>
      <c r="Q1143" s="58">
        <v>0</v>
      </c>
      <c r="R1143" s="58">
        <v>0</v>
      </c>
      <c r="S1143" s="58">
        <v>0</v>
      </c>
      <c r="T1143" s="58">
        <v>0</v>
      </c>
      <c r="U1143" s="58">
        <v>0</v>
      </c>
      <c r="V1143" s="58">
        <v>0</v>
      </c>
      <c r="AG1143" t="s">
        <v>1182</v>
      </c>
      <c r="AM1143" s="1" t="str">
        <f t="shared" ref="AM1143:AM1206" si="70">HYPERLINK("E:\CAFNEC_GBRF\2023\JohnstoneRiver\Frames_for_Analysis\" &amp; F1144, F1144)</f>
        <v>1141_C0015_0029.jpg</v>
      </c>
    </row>
    <row r="1144" spans="1:39" x14ac:dyDescent="0.35">
      <c r="A1144">
        <v>1140</v>
      </c>
      <c r="B1144">
        <v>1141</v>
      </c>
      <c r="F1144" s="64" t="s">
        <v>4474</v>
      </c>
      <c r="G1144" s="64"/>
      <c r="H1144" s="64"/>
      <c r="I1144" s="64">
        <v>1</v>
      </c>
      <c r="J1144" s="32" t="str">
        <f>IF(AND(E1144=1,OR(E1143=0,E1143="")),MAX(#REF!)+1,IF(AND(E1144=1,E1143=1),J1143,""))</f>
        <v/>
      </c>
      <c r="K1144" s="32" t="str">
        <f t="shared" si="69"/>
        <v/>
      </c>
      <c r="L1144" s="32" t="str">
        <f t="shared" si="67"/>
        <v/>
      </c>
      <c r="M1144" s="32" t="str">
        <f t="shared" si="68"/>
        <v/>
      </c>
      <c r="N1144" s="4">
        <v>1</v>
      </c>
      <c r="O1144" s="58">
        <v>0</v>
      </c>
      <c r="P1144" s="58">
        <v>0</v>
      </c>
      <c r="Q1144" s="58">
        <v>0</v>
      </c>
      <c r="R1144" s="58">
        <v>0</v>
      </c>
      <c r="S1144" s="58">
        <v>0</v>
      </c>
      <c r="T1144" s="58">
        <v>0</v>
      </c>
      <c r="U1144" s="58">
        <v>0</v>
      </c>
      <c r="V1144" s="58">
        <v>0</v>
      </c>
      <c r="AG1144" t="s">
        <v>1183</v>
      </c>
      <c r="AM1144" s="1" t="str">
        <f t="shared" si="70"/>
        <v>1142_C0015_0025.jpg</v>
      </c>
    </row>
    <row r="1145" spans="1:39" x14ac:dyDescent="0.35">
      <c r="A1145">
        <v>1141</v>
      </c>
      <c r="B1145">
        <v>1142</v>
      </c>
      <c r="F1145" s="64" t="s">
        <v>4475</v>
      </c>
      <c r="G1145" s="64"/>
      <c r="H1145" s="64"/>
      <c r="I1145" s="64">
        <v>1</v>
      </c>
      <c r="J1145" s="32" t="str">
        <f>IF(AND(E1145=1,OR(E1144=0,E1144="")),MAX(#REF!)+1,IF(AND(E1145=1,E1144=1),J1144,""))</f>
        <v/>
      </c>
      <c r="K1145" s="32" t="str">
        <f t="shared" si="69"/>
        <v/>
      </c>
      <c r="L1145" s="32" t="str">
        <f t="shared" si="67"/>
        <v/>
      </c>
      <c r="M1145" s="32" t="str">
        <f t="shared" si="68"/>
        <v/>
      </c>
      <c r="N1145" s="4">
        <v>1</v>
      </c>
      <c r="O1145" s="58">
        <v>0</v>
      </c>
      <c r="P1145" s="58">
        <v>0</v>
      </c>
      <c r="Q1145" s="58">
        <v>0</v>
      </c>
      <c r="R1145" s="58">
        <v>0</v>
      </c>
      <c r="S1145" s="58">
        <v>0</v>
      </c>
      <c r="T1145" s="58">
        <v>0</v>
      </c>
      <c r="U1145" s="58">
        <v>0</v>
      </c>
      <c r="V1145" s="58">
        <v>0</v>
      </c>
      <c r="AG1145" t="s">
        <v>1184</v>
      </c>
      <c r="AM1145" s="1" t="str">
        <f t="shared" si="70"/>
        <v>1143_C0015_0021.jpg</v>
      </c>
    </row>
    <row r="1146" spans="1:39" x14ac:dyDescent="0.35">
      <c r="A1146">
        <v>1142</v>
      </c>
      <c r="B1146">
        <v>1143</v>
      </c>
      <c r="F1146" s="64" t="s">
        <v>4476</v>
      </c>
      <c r="G1146" s="64"/>
      <c r="H1146" s="64"/>
      <c r="I1146" s="64">
        <v>1</v>
      </c>
      <c r="J1146" s="32" t="str">
        <f>IF(AND(E1146=1,OR(E1145=0,E1145="")),MAX(#REF!)+1,IF(AND(E1146=1,E1145=1),J1145,""))</f>
        <v/>
      </c>
      <c r="K1146" s="32" t="str">
        <f t="shared" si="69"/>
        <v/>
      </c>
      <c r="L1146" s="32" t="str">
        <f t="shared" si="67"/>
        <v/>
      </c>
      <c r="M1146" s="32" t="str">
        <f t="shared" si="68"/>
        <v/>
      </c>
      <c r="N1146" s="4">
        <v>1</v>
      </c>
      <c r="O1146" s="58">
        <v>0</v>
      </c>
      <c r="P1146" s="58">
        <v>0</v>
      </c>
      <c r="Q1146" s="58">
        <v>0</v>
      </c>
      <c r="R1146" s="58">
        <v>0</v>
      </c>
      <c r="S1146" s="58">
        <v>0</v>
      </c>
      <c r="T1146" s="58">
        <v>0</v>
      </c>
      <c r="U1146" s="58">
        <v>0</v>
      </c>
      <c r="V1146" s="58">
        <v>0</v>
      </c>
      <c r="AG1146" t="s">
        <v>1185</v>
      </c>
      <c r="AM1146" s="1" t="str">
        <f t="shared" si="70"/>
        <v>1144_C0015_0016.jpg</v>
      </c>
    </row>
    <row r="1147" spans="1:39" x14ac:dyDescent="0.35">
      <c r="A1147">
        <v>1143</v>
      </c>
      <c r="B1147">
        <v>1144</v>
      </c>
      <c r="F1147" s="64" t="s">
        <v>4477</v>
      </c>
      <c r="G1147" s="64"/>
      <c r="H1147" s="64"/>
      <c r="I1147" s="64">
        <v>1</v>
      </c>
      <c r="J1147" s="32" t="str">
        <f>IF(AND(E1147=1,OR(E1146=0,E1146="")),MAX(#REF!)+1,IF(AND(E1147=1,E1146=1),J1146,""))</f>
        <v/>
      </c>
      <c r="K1147" s="32" t="str">
        <f t="shared" si="69"/>
        <v/>
      </c>
      <c r="L1147" s="32" t="str">
        <f t="shared" si="67"/>
        <v/>
      </c>
      <c r="M1147" s="32" t="str">
        <f t="shared" si="68"/>
        <v/>
      </c>
      <c r="N1147" s="4">
        <v>1</v>
      </c>
      <c r="O1147" s="58">
        <v>0</v>
      </c>
      <c r="P1147" s="58">
        <v>0</v>
      </c>
      <c r="Q1147" s="58">
        <v>0</v>
      </c>
      <c r="R1147" s="58">
        <v>0</v>
      </c>
      <c r="S1147" s="58">
        <v>0</v>
      </c>
      <c r="T1147" s="58">
        <v>0</v>
      </c>
      <c r="U1147" s="58">
        <v>0</v>
      </c>
      <c r="V1147" s="58">
        <v>0</v>
      </c>
      <c r="AG1147" t="s">
        <v>1186</v>
      </c>
      <c r="AM1147" s="1" t="str">
        <f t="shared" si="70"/>
        <v>1145_C0014_0308.jpg</v>
      </c>
    </row>
    <row r="1148" spans="1:39" x14ac:dyDescent="0.35">
      <c r="A1148">
        <v>1144</v>
      </c>
      <c r="B1148">
        <v>1145</v>
      </c>
      <c r="F1148" s="64" t="s">
        <v>4478</v>
      </c>
      <c r="G1148" s="64"/>
      <c r="H1148" s="64"/>
      <c r="I1148" s="64">
        <v>1</v>
      </c>
      <c r="J1148" s="32" t="str">
        <f>IF(AND(E1148=1,OR(E1147=0,E1147="")),MAX(#REF!)+1,IF(AND(E1148=1,E1147=1),J1147,""))</f>
        <v/>
      </c>
      <c r="K1148" s="32" t="str">
        <f t="shared" si="69"/>
        <v/>
      </c>
      <c r="L1148" s="32" t="str">
        <f t="shared" si="67"/>
        <v/>
      </c>
      <c r="M1148" s="32" t="str">
        <f t="shared" si="68"/>
        <v/>
      </c>
      <c r="N1148" s="4">
        <v>1</v>
      </c>
      <c r="O1148" s="58">
        <v>0</v>
      </c>
      <c r="P1148" s="58">
        <v>0</v>
      </c>
      <c r="Q1148" s="58">
        <v>0</v>
      </c>
      <c r="R1148" s="58">
        <v>0</v>
      </c>
      <c r="S1148" s="58">
        <v>0</v>
      </c>
      <c r="T1148" s="58">
        <v>0</v>
      </c>
      <c r="U1148" s="58">
        <v>0</v>
      </c>
      <c r="V1148" s="58">
        <v>0</v>
      </c>
      <c r="AG1148" t="s">
        <v>1187</v>
      </c>
      <c r="AM1148" s="1" t="str">
        <f t="shared" si="70"/>
        <v>1146_C0015_0004.jpg</v>
      </c>
    </row>
    <row r="1149" spans="1:39" x14ac:dyDescent="0.35">
      <c r="A1149">
        <v>1145</v>
      </c>
      <c r="B1149">
        <v>1146</v>
      </c>
      <c r="F1149" s="64" t="s">
        <v>4479</v>
      </c>
      <c r="G1149" s="64"/>
      <c r="H1149" s="64"/>
      <c r="I1149" s="64">
        <v>1</v>
      </c>
      <c r="J1149" s="32" t="str">
        <f>IF(AND(E1149=1,OR(E1148=0,E1148="")),MAX(#REF!)+1,IF(AND(E1149=1,E1148=1),J1148,""))</f>
        <v/>
      </c>
      <c r="K1149" s="32" t="str">
        <f t="shared" si="69"/>
        <v/>
      </c>
      <c r="L1149" s="32" t="str">
        <f t="shared" si="67"/>
        <v/>
      </c>
      <c r="M1149" s="32" t="str">
        <f t="shared" si="68"/>
        <v/>
      </c>
      <c r="N1149" s="4">
        <v>1</v>
      </c>
      <c r="O1149" s="58">
        <v>0</v>
      </c>
      <c r="P1149" s="58">
        <v>0</v>
      </c>
      <c r="Q1149" s="58">
        <v>0</v>
      </c>
      <c r="R1149" s="58">
        <v>0</v>
      </c>
      <c r="S1149" s="58">
        <v>0</v>
      </c>
      <c r="T1149" s="58">
        <v>0</v>
      </c>
      <c r="U1149" s="58">
        <v>0</v>
      </c>
      <c r="V1149" s="58">
        <v>0</v>
      </c>
      <c r="AG1149" t="s">
        <v>1188</v>
      </c>
      <c r="AM1149" s="1" t="str">
        <f t="shared" si="70"/>
        <v>1147_C0015_0001.jpg</v>
      </c>
    </row>
    <row r="1150" spans="1:39" x14ac:dyDescent="0.35">
      <c r="A1150">
        <v>1146</v>
      </c>
      <c r="B1150">
        <v>1147</v>
      </c>
      <c r="F1150" s="64" t="s">
        <v>4480</v>
      </c>
      <c r="G1150" s="64"/>
      <c r="H1150" s="64"/>
      <c r="I1150" s="64">
        <v>1</v>
      </c>
      <c r="J1150" s="32" t="str">
        <f>IF(AND(E1150=1,OR(E1149=0,E1149="")),MAX(#REF!)+1,IF(AND(E1150=1,E1149=1),J1149,""))</f>
        <v/>
      </c>
      <c r="K1150" s="32" t="str">
        <f t="shared" si="69"/>
        <v/>
      </c>
      <c r="L1150" s="32" t="str">
        <f t="shared" si="67"/>
        <v/>
      </c>
      <c r="M1150" s="32" t="str">
        <f t="shared" si="68"/>
        <v/>
      </c>
      <c r="N1150" s="4">
        <v>1</v>
      </c>
      <c r="O1150" s="58">
        <v>0</v>
      </c>
      <c r="P1150" s="58">
        <v>0</v>
      </c>
      <c r="Q1150" s="58">
        <v>0</v>
      </c>
      <c r="R1150" s="58">
        <v>0</v>
      </c>
      <c r="S1150" s="58">
        <v>0</v>
      </c>
      <c r="T1150" s="58">
        <v>0</v>
      </c>
      <c r="U1150" s="58">
        <v>0</v>
      </c>
      <c r="V1150" s="58">
        <v>0</v>
      </c>
      <c r="AG1150" t="s">
        <v>1189</v>
      </c>
      <c r="AM1150" s="1" t="str">
        <f t="shared" si="70"/>
        <v>1148_C0014_0441.jpg</v>
      </c>
    </row>
    <row r="1151" spans="1:39" x14ac:dyDescent="0.35">
      <c r="A1151">
        <v>1147</v>
      </c>
      <c r="B1151">
        <v>1148</v>
      </c>
      <c r="F1151" s="64" t="s">
        <v>4481</v>
      </c>
      <c r="G1151" s="64"/>
      <c r="H1151" s="64"/>
      <c r="I1151" s="64">
        <v>1</v>
      </c>
      <c r="J1151" s="32" t="str">
        <f>IF(AND(E1151=1,OR(E1150=0,E1150="")),MAX(#REF!)+1,IF(AND(E1151=1,E1150=1),J1150,""))</f>
        <v/>
      </c>
      <c r="K1151" s="32" t="str">
        <f t="shared" si="69"/>
        <v/>
      </c>
      <c r="L1151" s="32" t="str">
        <f t="shared" si="67"/>
        <v/>
      </c>
      <c r="M1151" s="32" t="str">
        <f t="shared" si="68"/>
        <v/>
      </c>
      <c r="N1151" s="4">
        <v>1</v>
      </c>
      <c r="O1151" s="58">
        <v>1</v>
      </c>
      <c r="P1151" s="58">
        <v>0</v>
      </c>
      <c r="Q1151" s="58">
        <v>0</v>
      </c>
      <c r="R1151" s="58">
        <v>0</v>
      </c>
      <c r="S1151" s="58">
        <v>0</v>
      </c>
      <c r="T1151" s="58">
        <v>0</v>
      </c>
      <c r="U1151" s="58">
        <v>0</v>
      </c>
      <c r="V1151" s="58">
        <v>0</v>
      </c>
      <c r="AG1151" t="s">
        <v>1190</v>
      </c>
      <c r="AM1151" s="1" t="str">
        <f t="shared" si="70"/>
        <v>1149_C0014_0440.jpg</v>
      </c>
    </row>
    <row r="1152" spans="1:39" x14ac:dyDescent="0.35">
      <c r="A1152">
        <v>1148</v>
      </c>
      <c r="B1152">
        <v>1149</v>
      </c>
      <c r="F1152" s="64" t="s">
        <v>4482</v>
      </c>
      <c r="G1152" s="64"/>
      <c r="H1152" s="64"/>
      <c r="I1152" s="64">
        <v>1</v>
      </c>
      <c r="J1152" s="32" t="str">
        <f>IF(AND(E1152=1,OR(E1151=0,E1151="")),MAX(#REF!)+1,IF(AND(E1152=1,E1151=1),J1151,""))</f>
        <v/>
      </c>
      <c r="K1152" s="32" t="str">
        <f t="shared" si="69"/>
        <v/>
      </c>
      <c r="L1152" s="32" t="str">
        <f t="shared" si="67"/>
        <v/>
      </c>
      <c r="M1152" s="32" t="str">
        <f t="shared" si="68"/>
        <v/>
      </c>
      <c r="N1152" s="4">
        <v>1</v>
      </c>
      <c r="O1152" s="58">
        <v>0</v>
      </c>
      <c r="P1152" s="58">
        <v>0</v>
      </c>
      <c r="Q1152" s="58">
        <v>0</v>
      </c>
      <c r="R1152" s="58">
        <v>0</v>
      </c>
      <c r="S1152" s="58">
        <v>0</v>
      </c>
      <c r="T1152" s="58">
        <v>0</v>
      </c>
      <c r="U1152" s="58">
        <v>0</v>
      </c>
      <c r="V1152" s="58">
        <v>0</v>
      </c>
      <c r="AG1152" t="s">
        <v>1191</v>
      </c>
      <c r="AM1152" s="1" t="str">
        <f t="shared" si="70"/>
        <v>1150_C0014_0312.jpg</v>
      </c>
    </row>
    <row r="1153" spans="1:39" x14ac:dyDescent="0.35">
      <c r="A1153">
        <v>1149</v>
      </c>
      <c r="B1153">
        <v>1150</v>
      </c>
      <c r="F1153" s="64" t="s">
        <v>4483</v>
      </c>
      <c r="G1153" s="64"/>
      <c r="H1153" s="64"/>
      <c r="I1153" s="64">
        <v>1</v>
      </c>
      <c r="J1153" s="32" t="str">
        <f>IF(AND(E1153=1,OR(E1152=0,E1152="")),MAX(#REF!)+1,IF(AND(E1153=1,E1152=1),J1152,""))</f>
        <v/>
      </c>
      <c r="K1153" s="32" t="str">
        <f t="shared" si="69"/>
        <v/>
      </c>
      <c r="L1153" s="32" t="str">
        <f t="shared" si="67"/>
        <v/>
      </c>
      <c r="M1153" s="32" t="str">
        <f t="shared" si="68"/>
        <v/>
      </c>
      <c r="N1153" s="4">
        <v>1</v>
      </c>
      <c r="O1153" s="58">
        <v>0</v>
      </c>
      <c r="P1153" s="58">
        <v>0</v>
      </c>
      <c r="Q1153" s="58">
        <v>0</v>
      </c>
      <c r="R1153" s="58">
        <v>0</v>
      </c>
      <c r="S1153" s="58">
        <v>0</v>
      </c>
      <c r="T1153" s="58">
        <v>0</v>
      </c>
      <c r="U1153" s="58">
        <v>0</v>
      </c>
      <c r="V1153" s="58">
        <v>0</v>
      </c>
      <c r="AG1153" t="s">
        <v>1192</v>
      </c>
      <c r="AM1153" s="1" t="str">
        <f t="shared" si="70"/>
        <v>1151_C0014_0282.jpg</v>
      </c>
    </row>
    <row r="1154" spans="1:39" x14ac:dyDescent="0.35">
      <c r="A1154">
        <v>1150</v>
      </c>
      <c r="B1154">
        <v>1151</v>
      </c>
      <c r="F1154" s="64" t="s">
        <v>4484</v>
      </c>
      <c r="G1154" s="64"/>
      <c r="H1154" s="64"/>
      <c r="I1154" s="64">
        <v>1</v>
      </c>
      <c r="J1154" s="32" t="str">
        <f>IF(AND(E1154=1,OR(E1153=0,E1153="")),MAX(#REF!)+1,IF(AND(E1154=1,E1153=1),J1153,""))</f>
        <v/>
      </c>
      <c r="K1154" s="32" t="str">
        <f t="shared" si="69"/>
        <v/>
      </c>
      <c r="L1154" s="32" t="str">
        <f t="shared" si="67"/>
        <v/>
      </c>
      <c r="M1154" s="32" t="str">
        <f t="shared" si="68"/>
        <v/>
      </c>
      <c r="N1154" s="4">
        <v>1</v>
      </c>
      <c r="O1154" s="58">
        <v>0</v>
      </c>
      <c r="P1154" s="58">
        <v>0</v>
      </c>
      <c r="Q1154" s="58">
        <v>0</v>
      </c>
      <c r="R1154" s="58">
        <v>0</v>
      </c>
      <c r="S1154" s="58">
        <v>0</v>
      </c>
      <c r="T1154" s="58">
        <v>0</v>
      </c>
      <c r="U1154" s="58">
        <v>0</v>
      </c>
      <c r="V1154" s="58">
        <v>0</v>
      </c>
      <c r="AG1154" t="s">
        <v>1193</v>
      </c>
      <c r="AM1154" s="1" t="str">
        <f t="shared" si="70"/>
        <v>1152_C0014_0315.jpg</v>
      </c>
    </row>
    <row r="1155" spans="1:39" x14ac:dyDescent="0.35">
      <c r="A1155">
        <v>1151</v>
      </c>
      <c r="B1155">
        <v>1152</v>
      </c>
      <c r="F1155" s="64" t="s">
        <v>4485</v>
      </c>
      <c r="G1155" s="64"/>
      <c r="H1155" s="64"/>
      <c r="I1155" s="64">
        <v>1</v>
      </c>
      <c r="J1155" s="32" t="str">
        <f>IF(AND(E1155=1,OR(E1154=0,E1154="")),MAX(#REF!)+1,IF(AND(E1155=1,E1154=1),J1154,""))</f>
        <v/>
      </c>
      <c r="K1155" s="32" t="str">
        <f t="shared" si="69"/>
        <v/>
      </c>
      <c r="L1155" s="32" t="str">
        <f t="shared" si="67"/>
        <v/>
      </c>
      <c r="M1155" s="32" t="str">
        <f t="shared" si="68"/>
        <v/>
      </c>
      <c r="N1155" s="4">
        <v>1</v>
      </c>
      <c r="O1155" s="58">
        <v>0</v>
      </c>
      <c r="P1155" s="58">
        <v>0</v>
      </c>
      <c r="Q1155" s="58">
        <v>0</v>
      </c>
      <c r="R1155" s="58">
        <v>0</v>
      </c>
      <c r="S1155" s="58">
        <v>0</v>
      </c>
      <c r="T1155" s="58">
        <v>0</v>
      </c>
      <c r="U1155" s="58">
        <v>0</v>
      </c>
      <c r="V1155" s="58">
        <v>0</v>
      </c>
      <c r="AG1155" t="s">
        <v>1194</v>
      </c>
      <c r="AM1155" s="1" t="str">
        <f t="shared" si="70"/>
        <v>1153_C0014_0273.jpg</v>
      </c>
    </row>
    <row r="1156" spans="1:39" x14ac:dyDescent="0.35">
      <c r="A1156">
        <v>1152</v>
      </c>
      <c r="B1156">
        <v>1153</v>
      </c>
      <c r="F1156" s="64" t="s">
        <v>4486</v>
      </c>
      <c r="G1156" s="64"/>
      <c r="H1156" s="64"/>
      <c r="I1156" s="64">
        <v>1</v>
      </c>
      <c r="J1156" s="32" t="str">
        <f>IF(AND(E1156=1,OR(E1155=0,E1155="")),MAX(#REF!)+1,IF(AND(E1156=1,E1155=1),J1155,""))</f>
        <v/>
      </c>
      <c r="K1156" s="32" t="str">
        <f t="shared" si="69"/>
        <v/>
      </c>
      <c r="L1156" s="32" t="str">
        <f t="shared" ref="L1156:L1219" si="71">IF(K1156="","",IF(K1156&gt;=100,"HV",""))</f>
        <v/>
      </c>
      <c r="M1156" s="32" t="str">
        <f t="shared" ref="M1156:M1219" si="72">IF(K1156&lt;&gt;"",K1156^2,"")</f>
        <v/>
      </c>
      <c r="N1156" s="4">
        <v>1</v>
      </c>
      <c r="O1156" s="58">
        <v>0</v>
      </c>
      <c r="P1156" s="58">
        <v>0</v>
      </c>
      <c r="Q1156" s="58">
        <v>0</v>
      </c>
      <c r="R1156" s="58">
        <v>0</v>
      </c>
      <c r="S1156" s="58">
        <v>0</v>
      </c>
      <c r="T1156" s="58">
        <v>0</v>
      </c>
      <c r="U1156" s="58">
        <v>0</v>
      </c>
      <c r="V1156" s="58">
        <v>0</v>
      </c>
      <c r="AG1156" t="s">
        <v>1195</v>
      </c>
      <c r="AM1156" s="1" t="str">
        <f t="shared" si="70"/>
        <v>1154_C0014_0318.jpg</v>
      </c>
    </row>
    <row r="1157" spans="1:39" x14ac:dyDescent="0.35">
      <c r="A1157">
        <v>1153</v>
      </c>
      <c r="B1157">
        <v>1154</v>
      </c>
      <c r="F1157" s="64" t="s">
        <v>4487</v>
      </c>
      <c r="G1157" s="64"/>
      <c r="H1157" s="64"/>
      <c r="I1157" s="64">
        <v>1</v>
      </c>
      <c r="J1157" s="32" t="str">
        <f>IF(AND(E1157=1,OR(E1156=0,E1156="")),MAX(#REF!)+1,IF(AND(E1157=1,E1156=1),J1156,""))</f>
        <v/>
      </c>
      <c r="K1157" s="32" t="str">
        <f t="shared" si="69"/>
        <v/>
      </c>
      <c r="L1157" s="32" t="str">
        <f t="shared" si="71"/>
        <v/>
      </c>
      <c r="M1157" s="32" t="str">
        <f t="shared" si="72"/>
        <v/>
      </c>
      <c r="N1157" s="4">
        <v>1</v>
      </c>
      <c r="O1157" s="58">
        <v>0</v>
      </c>
      <c r="P1157" s="58">
        <v>0</v>
      </c>
      <c r="Q1157" s="58">
        <v>0</v>
      </c>
      <c r="R1157" s="58">
        <v>0</v>
      </c>
      <c r="S1157" s="58">
        <v>0</v>
      </c>
      <c r="T1157" s="58">
        <v>0</v>
      </c>
      <c r="U1157" s="58">
        <v>0</v>
      </c>
      <c r="V1157" s="58">
        <v>0</v>
      </c>
      <c r="AG1157" t="s">
        <v>1196</v>
      </c>
      <c r="AM1157" s="1" t="str">
        <f t="shared" si="70"/>
        <v>1155_C0014_0319.jpg</v>
      </c>
    </row>
    <row r="1158" spans="1:39" x14ac:dyDescent="0.35">
      <c r="A1158">
        <v>1154</v>
      </c>
      <c r="B1158">
        <v>1155</v>
      </c>
      <c r="F1158" s="64" t="s">
        <v>4488</v>
      </c>
      <c r="G1158" s="64"/>
      <c r="H1158" s="64"/>
      <c r="I1158" s="64">
        <v>1</v>
      </c>
      <c r="J1158" s="32" t="str">
        <f>IF(AND(E1158=1,OR(E1157=0,E1157="")),MAX(#REF!)+1,IF(AND(E1158=1,E1157=1),J1157,""))</f>
        <v/>
      </c>
      <c r="K1158" s="32" t="str">
        <f t="shared" si="69"/>
        <v/>
      </c>
      <c r="L1158" s="32" t="str">
        <f t="shared" si="71"/>
        <v/>
      </c>
      <c r="M1158" s="32" t="str">
        <f t="shared" si="72"/>
        <v/>
      </c>
      <c r="N1158" s="4">
        <v>1</v>
      </c>
      <c r="O1158" s="58">
        <v>0</v>
      </c>
      <c r="P1158" s="58">
        <v>0</v>
      </c>
      <c r="Q1158" s="58">
        <v>0</v>
      </c>
      <c r="R1158" s="58">
        <v>0</v>
      </c>
      <c r="S1158" s="58">
        <v>0</v>
      </c>
      <c r="T1158" s="58">
        <v>0</v>
      </c>
      <c r="U1158" s="58">
        <v>0</v>
      </c>
      <c r="V1158" s="58">
        <v>0</v>
      </c>
      <c r="AG1158" t="s">
        <v>1197</v>
      </c>
      <c r="AM1158" s="1" t="str">
        <f t="shared" si="70"/>
        <v>1156_C0014_0268.jpg</v>
      </c>
    </row>
    <row r="1159" spans="1:39" x14ac:dyDescent="0.35">
      <c r="A1159">
        <v>1155</v>
      </c>
      <c r="B1159">
        <v>1156</v>
      </c>
      <c r="F1159" s="64" t="s">
        <v>4489</v>
      </c>
      <c r="G1159" s="64"/>
      <c r="H1159" s="64"/>
      <c r="I1159" s="64">
        <v>1</v>
      </c>
      <c r="J1159" s="32" t="str">
        <f>IF(AND(E1159=1,OR(E1158=0,E1158="")),MAX(#REF!)+1,IF(AND(E1159=1,E1158=1),J1158,""))</f>
        <v/>
      </c>
      <c r="K1159" s="32" t="str">
        <f t="shared" si="69"/>
        <v/>
      </c>
      <c r="L1159" s="32" t="str">
        <f t="shared" si="71"/>
        <v/>
      </c>
      <c r="M1159" s="32" t="str">
        <f t="shared" si="72"/>
        <v/>
      </c>
      <c r="N1159" s="4">
        <v>1</v>
      </c>
      <c r="O1159" s="58">
        <v>0</v>
      </c>
      <c r="P1159" s="58">
        <v>0</v>
      </c>
      <c r="Q1159" s="58">
        <v>0</v>
      </c>
      <c r="R1159" s="58">
        <v>0</v>
      </c>
      <c r="S1159" s="58">
        <v>0</v>
      </c>
      <c r="T1159" s="58">
        <v>0</v>
      </c>
      <c r="U1159" s="58">
        <v>0</v>
      </c>
      <c r="V1159" s="58">
        <v>0</v>
      </c>
      <c r="AG1159" t="s">
        <v>1198</v>
      </c>
      <c r="AM1159" s="1" t="str">
        <f t="shared" si="70"/>
        <v>1157_C0014_0321.jpg</v>
      </c>
    </row>
    <row r="1160" spans="1:39" x14ac:dyDescent="0.35">
      <c r="A1160">
        <v>1156</v>
      </c>
      <c r="B1160">
        <v>1157</v>
      </c>
      <c r="F1160" s="64" t="s">
        <v>4490</v>
      </c>
      <c r="G1160" s="64"/>
      <c r="H1160" s="64"/>
      <c r="I1160" s="64">
        <v>1</v>
      </c>
      <c r="J1160" s="32" t="str">
        <f>IF(AND(E1160=1,OR(E1159=0,E1159="")),MAX(#REF!)+1,IF(AND(E1160=1,E1159=1),J1159,""))</f>
        <v/>
      </c>
      <c r="K1160" s="32" t="str">
        <f t="shared" si="69"/>
        <v/>
      </c>
      <c r="L1160" s="32" t="str">
        <f t="shared" si="71"/>
        <v/>
      </c>
      <c r="M1160" s="32" t="str">
        <f t="shared" si="72"/>
        <v/>
      </c>
      <c r="N1160" s="4">
        <v>1</v>
      </c>
      <c r="O1160" s="58">
        <v>0</v>
      </c>
      <c r="P1160" s="58">
        <v>0</v>
      </c>
      <c r="Q1160" s="58">
        <v>0</v>
      </c>
      <c r="R1160" s="58">
        <v>0</v>
      </c>
      <c r="S1160" s="58">
        <v>0</v>
      </c>
      <c r="T1160" s="58">
        <v>0</v>
      </c>
      <c r="U1160" s="58">
        <v>0</v>
      </c>
      <c r="V1160" s="58">
        <v>0</v>
      </c>
      <c r="AG1160" t="s">
        <v>1199</v>
      </c>
      <c r="AM1160" s="1" t="str">
        <f t="shared" si="70"/>
        <v>1158_C0014_0260.jpg</v>
      </c>
    </row>
    <row r="1161" spans="1:39" x14ac:dyDescent="0.35">
      <c r="A1161">
        <v>1157</v>
      </c>
      <c r="B1161">
        <v>1158</v>
      </c>
      <c r="F1161" s="64" t="s">
        <v>4491</v>
      </c>
      <c r="G1161" s="64"/>
      <c r="H1161" s="64"/>
      <c r="I1161" s="64">
        <v>1</v>
      </c>
      <c r="J1161" s="32" t="str">
        <f>IF(AND(E1161=1,OR(E1160=0,E1160="")),MAX(#REF!)+1,IF(AND(E1161=1,E1160=1),J1160,""))</f>
        <v/>
      </c>
      <c r="K1161" s="32" t="str">
        <f t="shared" si="69"/>
        <v/>
      </c>
      <c r="L1161" s="32" t="str">
        <f t="shared" si="71"/>
        <v/>
      </c>
      <c r="M1161" s="32" t="str">
        <f t="shared" si="72"/>
        <v/>
      </c>
      <c r="N1161" s="4">
        <v>1</v>
      </c>
      <c r="O1161" s="58">
        <v>0</v>
      </c>
      <c r="P1161" s="58">
        <v>0</v>
      </c>
      <c r="Q1161" s="58">
        <v>0</v>
      </c>
      <c r="R1161" s="58">
        <v>0</v>
      </c>
      <c r="S1161" s="58">
        <v>0</v>
      </c>
      <c r="T1161" s="58">
        <v>0</v>
      </c>
      <c r="U1161" s="58">
        <v>0</v>
      </c>
      <c r="V1161" s="58">
        <v>0</v>
      </c>
      <c r="AG1161" t="s">
        <v>1200</v>
      </c>
      <c r="AM1161" s="1" t="str">
        <f t="shared" si="70"/>
        <v>1159_C0014_0393.jpg</v>
      </c>
    </row>
    <row r="1162" spans="1:39" x14ac:dyDescent="0.35">
      <c r="A1162">
        <v>1158</v>
      </c>
      <c r="B1162">
        <v>1159</v>
      </c>
      <c r="F1162" s="64" t="s">
        <v>4492</v>
      </c>
      <c r="G1162" s="64"/>
      <c r="H1162" s="64"/>
      <c r="I1162" s="64">
        <v>1</v>
      </c>
      <c r="J1162" s="32" t="str">
        <f>IF(AND(E1162=1,OR(E1161=0,E1161="")),MAX(#REF!)+1,IF(AND(E1162=1,E1161=1),J1161,""))</f>
        <v/>
      </c>
      <c r="K1162" s="32" t="str">
        <f t="shared" si="69"/>
        <v/>
      </c>
      <c r="L1162" s="32" t="str">
        <f t="shared" si="71"/>
        <v/>
      </c>
      <c r="M1162" s="32" t="str">
        <f t="shared" si="72"/>
        <v/>
      </c>
      <c r="N1162" s="4">
        <v>1</v>
      </c>
      <c r="O1162" s="58">
        <v>0</v>
      </c>
      <c r="P1162" s="58">
        <v>0</v>
      </c>
      <c r="Q1162" s="58">
        <v>0</v>
      </c>
      <c r="R1162" s="58">
        <v>0</v>
      </c>
      <c r="S1162" s="58">
        <v>0</v>
      </c>
      <c r="T1162" s="58">
        <v>0</v>
      </c>
      <c r="U1162" s="58">
        <v>0</v>
      </c>
      <c r="V1162" s="58">
        <v>0</v>
      </c>
      <c r="AG1162" t="s">
        <v>1201</v>
      </c>
      <c r="AM1162" s="1" t="str">
        <f t="shared" si="70"/>
        <v>1160_C0014_0434.jpg</v>
      </c>
    </row>
    <row r="1163" spans="1:39" x14ac:dyDescent="0.35">
      <c r="A1163">
        <v>1159</v>
      </c>
      <c r="B1163">
        <v>1160</v>
      </c>
      <c r="F1163" s="64" t="s">
        <v>4493</v>
      </c>
      <c r="G1163" s="64"/>
      <c r="H1163" s="64"/>
      <c r="I1163" s="64">
        <v>1</v>
      </c>
      <c r="J1163" s="32" t="str">
        <f>IF(AND(E1163=1,OR(E1162=0,E1162="")),MAX(#REF!)+1,IF(AND(E1163=1,E1162=1),J1162,""))</f>
        <v/>
      </c>
      <c r="K1163" s="32" t="str">
        <f t="shared" si="69"/>
        <v/>
      </c>
      <c r="L1163" s="32" t="str">
        <f t="shared" si="71"/>
        <v/>
      </c>
      <c r="M1163" s="32" t="str">
        <f t="shared" si="72"/>
        <v/>
      </c>
      <c r="N1163" s="4">
        <v>1</v>
      </c>
      <c r="O1163" s="58">
        <v>0</v>
      </c>
      <c r="P1163" s="58">
        <v>0</v>
      </c>
      <c r="Q1163" s="58">
        <v>0</v>
      </c>
      <c r="R1163" s="58">
        <v>0</v>
      </c>
      <c r="S1163" s="58">
        <v>1</v>
      </c>
      <c r="T1163" s="58">
        <v>0</v>
      </c>
      <c r="U1163" s="58">
        <v>0</v>
      </c>
      <c r="V1163" s="58">
        <v>0</v>
      </c>
      <c r="AG1163" t="s">
        <v>1202</v>
      </c>
      <c r="AM1163" s="1" t="str">
        <f t="shared" si="70"/>
        <v>1161_C0014_0247.jpg</v>
      </c>
    </row>
    <row r="1164" spans="1:39" x14ac:dyDescent="0.35">
      <c r="A1164">
        <v>1160</v>
      </c>
      <c r="B1164">
        <v>1161</v>
      </c>
      <c r="F1164" s="64" t="s">
        <v>4494</v>
      </c>
      <c r="G1164" s="64"/>
      <c r="H1164" s="64"/>
      <c r="I1164" s="64">
        <v>1</v>
      </c>
      <c r="J1164" s="32" t="str">
        <f>IF(AND(E1164=1,OR(E1163=0,E1163="")),MAX(#REF!)+1,IF(AND(E1164=1,E1163=1),J1163,""))</f>
        <v/>
      </c>
      <c r="K1164" s="32" t="str">
        <f t="shared" si="69"/>
        <v/>
      </c>
      <c r="L1164" s="32" t="str">
        <f t="shared" si="71"/>
        <v/>
      </c>
      <c r="M1164" s="32" t="str">
        <f t="shared" si="72"/>
        <v/>
      </c>
      <c r="N1164" s="4">
        <v>1</v>
      </c>
      <c r="O1164" s="58">
        <v>0</v>
      </c>
      <c r="P1164" s="58">
        <v>0</v>
      </c>
      <c r="Q1164" s="58">
        <v>0</v>
      </c>
      <c r="R1164" s="58">
        <v>0</v>
      </c>
      <c r="S1164" s="58">
        <v>0</v>
      </c>
      <c r="T1164" s="58">
        <v>0</v>
      </c>
      <c r="U1164" s="58">
        <v>0</v>
      </c>
      <c r="V1164" s="58">
        <v>0</v>
      </c>
      <c r="AG1164" t="s">
        <v>1203</v>
      </c>
      <c r="AM1164" s="1" t="str">
        <f t="shared" si="70"/>
        <v>1162_C0014_0421.jpg</v>
      </c>
    </row>
    <row r="1165" spans="1:39" x14ac:dyDescent="0.35">
      <c r="A1165">
        <v>1161</v>
      </c>
      <c r="B1165">
        <v>1162</v>
      </c>
      <c r="F1165" s="64" t="s">
        <v>4495</v>
      </c>
      <c r="G1165" s="64"/>
      <c r="H1165" s="64"/>
      <c r="I1165" s="64">
        <v>1</v>
      </c>
      <c r="J1165" s="32" t="str">
        <f>IF(AND(E1165=1,OR(E1164=0,E1164="")),MAX(#REF!)+1,IF(AND(E1165=1,E1164=1),J1164,""))</f>
        <v/>
      </c>
      <c r="K1165" s="32" t="str">
        <f t="shared" si="69"/>
        <v/>
      </c>
      <c r="L1165" s="32" t="str">
        <f t="shared" si="71"/>
        <v/>
      </c>
      <c r="M1165" s="32" t="str">
        <f t="shared" si="72"/>
        <v/>
      </c>
      <c r="N1165" s="4">
        <v>1</v>
      </c>
      <c r="O1165" s="58">
        <v>0</v>
      </c>
      <c r="P1165" s="58">
        <v>0</v>
      </c>
      <c r="Q1165" s="58">
        <v>0</v>
      </c>
      <c r="R1165" s="58">
        <v>0</v>
      </c>
      <c r="S1165" s="58">
        <v>0</v>
      </c>
      <c r="T1165" s="58">
        <v>0</v>
      </c>
      <c r="U1165" s="58">
        <v>0</v>
      </c>
      <c r="V1165" s="58">
        <v>0</v>
      </c>
      <c r="AG1165" t="s">
        <v>1204</v>
      </c>
      <c r="AM1165" s="1" t="str">
        <f t="shared" si="70"/>
        <v>1163_C0014_0395.jpg</v>
      </c>
    </row>
    <row r="1166" spans="1:39" x14ac:dyDescent="0.35">
      <c r="A1166">
        <v>1162</v>
      </c>
      <c r="B1166">
        <v>1163</v>
      </c>
      <c r="F1166" s="64" t="s">
        <v>4496</v>
      </c>
      <c r="G1166" s="64"/>
      <c r="H1166" s="64"/>
      <c r="I1166" s="64">
        <v>1</v>
      </c>
      <c r="J1166" s="32" t="str">
        <f>IF(AND(E1166=1,OR(E1165=0,E1165="")),MAX(#REF!)+1,IF(AND(E1166=1,E1165=1),J1165,""))</f>
        <v/>
      </c>
      <c r="K1166" s="32" t="str">
        <f t="shared" si="69"/>
        <v/>
      </c>
      <c r="L1166" s="32" t="str">
        <f t="shared" si="71"/>
        <v/>
      </c>
      <c r="M1166" s="32" t="str">
        <f t="shared" si="72"/>
        <v/>
      </c>
      <c r="N1166" s="4">
        <v>1</v>
      </c>
      <c r="O1166" s="58">
        <v>0</v>
      </c>
      <c r="P1166" s="58">
        <v>0</v>
      </c>
      <c r="Q1166" s="58">
        <v>0</v>
      </c>
      <c r="R1166" s="58">
        <v>0</v>
      </c>
      <c r="S1166" s="58">
        <v>0</v>
      </c>
      <c r="T1166" s="58">
        <v>0</v>
      </c>
      <c r="U1166" s="58">
        <v>0</v>
      </c>
      <c r="V1166" s="58">
        <v>0</v>
      </c>
      <c r="AG1166" t="s">
        <v>1205</v>
      </c>
      <c r="AM1166" s="1" t="str">
        <f t="shared" si="70"/>
        <v>1164_C0014_0382.jpg</v>
      </c>
    </row>
    <row r="1167" spans="1:39" x14ac:dyDescent="0.35">
      <c r="A1167">
        <v>1163</v>
      </c>
      <c r="B1167">
        <v>1164</v>
      </c>
      <c r="F1167" s="64" t="s">
        <v>4497</v>
      </c>
      <c r="G1167" s="64"/>
      <c r="H1167" s="64"/>
      <c r="I1167" s="64">
        <v>1</v>
      </c>
      <c r="J1167" s="32" t="str">
        <f>IF(AND(E1167=1,OR(E1166=0,E1166="")),MAX(#REF!)+1,IF(AND(E1167=1,E1166=1),J1166,""))</f>
        <v/>
      </c>
      <c r="K1167" s="32" t="str">
        <f t="shared" si="69"/>
        <v/>
      </c>
      <c r="L1167" s="32" t="str">
        <f t="shared" si="71"/>
        <v/>
      </c>
      <c r="M1167" s="32" t="str">
        <f t="shared" si="72"/>
        <v/>
      </c>
      <c r="N1167" s="4">
        <v>1</v>
      </c>
      <c r="O1167" s="58">
        <v>0</v>
      </c>
      <c r="P1167" s="58">
        <v>0</v>
      </c>
      <c r="Q1167" s="58">
        <v>0</v>
      </c>
      <c r="R1167" s="58">
        <v>0</v>
      </c>
      <c r="S1167" s="58">
        <v>0</v>
      </c>
      <c r="T1167" s="58">
        <v>0</v>
      </c>
      <c r="U1167" s="58">
        <v>0</v>
      </c>
      <c r="V1167" s="58">
        <v>0</v>
      </c>
      <c r="AG1167" t="s">
        <v>1206</v>
      </c>
      <c r="AM1167" s="1" t="str">
        <f t="shared" si="70"/>
        <v>1165_C0014_0326.jpg</v>
      </c>
    </row>
    <row r="1168" spans="1:39" x14ac:dyDescent="0.35">
      <c r="A1168">
        <v>1164</v>
      </c>
      <c r="B1168">
        <v>1165</v>
      </c>
      <c r="F1168" s="64" t="s">
        <v>4498</v>
      </c>
      <c r="G1168" s="64"/>
      <c r="H1168" s="64"/>
      <c r="I1168" s="64">
        <v>1</v>
      </c>
      <c r="J1168" s="32" t="str">
        <f>IF(AND(E1168=1,OR(E1167=0,E1167="")),MAX(#REF!)+1,IF(AND(E1168=1,E1167=1),J1167,""))</f>
        <v/>
      </c>
      <c r="K1168" s="32" t="str">
        <f t="shared" si="69"/>
        <v/>
      </c>
      <c r="L1168" s="32" t="str">
        <f t="shared" si="71"/>
        <v/>
      </c>
      <c r="M1168" s="32" t="str">
        <f t="shared" si="72"/>
        <v/>
      </c>
      <c r="N1168" s="4">
        <v>1</v>
      </c>
      <c r="O1168" s="58">
        <v>0</v>
      </c>
      <c r="P1168" s="58">
        <v>0</v>
      </c>
      <c r="Q1168" s="58">
        <v>0</v>
      </c>
      <c r="R1168" s="58">
        <v>0</v>
      </c>
      <c r="S1168" s="58">
        <v>0</v>
      </c>
      <c r="T1168" s="58">
        <v>0</v>
      </c>
      <c r="U1168" s="58">
        <v>0</v>
      </c>
      <c r="V1168" s="58">
        <v>0</v>
      </c>
      <c r="AG1168" t="s">
        <v>1207</v>
      </c>
      <c r="AM1168" s="1" t="str">
        <f t="shared" si="70"/>
        <v>1166_C0014_0362.jpg</v>
      </c>
    </row>
    <row r="1169" spans="1:39" x14ac:dyDescent="0.35">
      <c r="A1169">
        <v>1165</v>
      </c>
      <c r="B1169">
        <v>1166</v>
      </c>
      <c r="F1169" s="64" t="s">
        <v>4499</v>
      </c>
      <c r="G1169" s="64"/>
      <c r="H1169" s="64"/>
      <c r="I1169" s="64">
        <v>1</v>
      </c>
      <c r="J1169" s="32" t="str">
        <f>IF(AND(E1169=1,OR(E1168=0,E1168="")),MAX(#REF!)+1,IF(AND(E1169=1,E1168=1),J1168,""))</f>
        <v/>
      </c>
      <c r="K1169" s="32" t="str">
        <f t="shared" si="69"/>
        <v/>
      </c>
      <c r="L1169" s="32" t="str">
        <f t="shared" si="71"/>
        <v/>
      </c>
      <c r="M1169" s="32" t="str">
        <f t="shared" si="72"/>
        <v/>
      </c>
      <c r="N1169" s="4">
        <v>1</v>
      </c>
      <c r="O1169" s="58">
        <v>0</v>
      </c>
      <c r="P1169" s="58">
        <v>0</v>
      </c>
      <c r="Q1169" s="58">
        <v>0</v>
      </c>
      <c r="R1169" s="58">
        <v>0</v>
      </c>
      <c r="S1169" s="58">
        <v>0</v>
      </c>
      <c r="T1169" s="58">
        <v>0</v>
      </c>
      <c r="U1169" s="58">
        <v>0</v>
      </c>
      <c r="V1169" s="58">
        <v>0</v>
      </c>
      <c r="AG1169" t="s">
        <v>1208</v>
      </c>
      <c r="AM1169" s="1" t="str">
        <f t="shared" si="70"/>
        <v>1167_C0014_0402.jpg</v>
      </c>
    </row>
    <row r="1170" spans="1:39" x14ac:dyDescent="0.35">
      <c r="A1170">
        <v>1166</v>
      </c>
      <c r="B1170">
        <v>1167</v>
      </c>
      <c r="F1170" s="64" t="s">
        <v>4500</v>
      </c>
      <c r="G1170" s="64"/>
      <c r="H1170" s="64"/>
      <c r="I1170" s="64">
        <v>1</v>
      </c>
      <c r="J1170" s="32" t="str">
        <f>IF(AND(E1170=1,OR(E1169=0,E1169="")),MAX(#REF!)+1,IF(AND(E1170=1,E1169=1),J1169,""))</f>
        <v/>
      </c>
      <c r="K1170" s="32" t="str">
        <f t="shared" si="69"/>
        <v/>
      </c>
      <c r="L1170" s="32" t="str">
        <f t="shared" si="71"/>
        <v/>
      </c>
      <c r="M1170" s="32" t="str">
        <f t="shared" si="72"/>
        <v/>
      </c>
      <c r="N1170" s="4">
        <v>1</v>
      </c>
      <c r="O1170" s="58">
        <v>0</v>
      </c>
      <c r="P1170" s="58">
        <v>0</v>
      </c>
      <c r="Q1170" s="58">
        <v>0</v>
      </c>
      <c r="R1170" s="58">
        <v>0</v>
      </c>
      <c r="S1170" s="58">
        <v>0</v>
      </c>
      <c r="T1170" s="58">
        <v>0</v>
      </c>
      <c r="U1170" s="58">
        <v>0</v>
      </c>
      <c r="V1170" s="58">
        <v>0</v>
      </c>
      <c r="AG1170" t="s">
        <v>1209</v>
      </c>
      <c r="AM1170" s="1" t="str">
        <f t="shared" si="70"/>
        <v>1168_C0014_0235.jpg</v>
      </c>
    </row>
    <row r="1171" spans="1:39" x14ac:dyDescent="0.35">
      <c r="A1171">
        <v>1167</v>
      </c>
      <c r="B1171">
        <v>1168</v>
      </c>
      <c r="F1171" s="64" t="s">
        <v>4501</v>
      </c>
      <c r="G1171" s="64"/>
      <c r="H1171" s="64"/>
      <c r="I1171" s="64">
        <v>1</v>
      </c>
      <c r="J1171" s="32">
        <v>91</v>
      </c>
      <c r="K1171" s="32">
        <f t="shared" si="69"/>
        <v>10</v>
      </c>
      <c r="L1171" s="32" t="str">
        <f t="shared" si="71"/>
        <v/>
      </c>
      <c r="M1171" s="32">
        <f t="shared" si="72"/>
        <v>100</v>
      </c>
      <c r="N1171" s="4">
        <v>1</v>
      </c>
      <c r="O1171" s="58">
        <v>0</v>
      </c>
      <c r="P1171" s="58">
        <v>0</v>
      </c>
      <c r="Q1171" s="58">
        <v>0</v>
      </c>
      <c r="R1171" s="58">
        <v>0</v>
      </c>
      <c r="S1171" s="58">
        <v>0</v>
      </c>
      <c r="T1171" s="58">
        <v>0</v>
      </c>
      <c r="U1171" s="58">
        <v>0</v>
      </c>
      <c r="V1171" s="58">
        <v>0</v>
      </c>
      <c r="AG1171" t="s">
        <v>1210</v>
      </c>
      <c r="AM1171" s="1" t="str">
        <f t="shared" si="70"/>
        <v>1169_C0014_0360.jpg</v>
      </c>
    </row>
    <row r="1172" spans="1:39" x14ac:dyDescent="0.35">
      <c r="A1172">
        <v>1168</v>
      </c>
      <c r="B1172">
        <v>1169</v>
      </c>
      <c r="F1172" s="64" t="s">
        <v>4502</v>
      </c>
      <c r="G1172" s="64"/>
      <c r="H1172" s="64"/>
      <c r="I1172" s="64">
        <v>1</v>
      </c>
      <c r="J1172" s="32" t="str">
        <f>IF(AND(E1172=1,OR(E1171=0,E1171="")),MAX(#REF!)+1,IF(AND(E1172=1,E1171=1),J1171,""))</f>
        <v/>
      </c>
      <c r="K1172" s="32" t="str">
        <f t="shared" si="69"/>
        <v/>
      </c>
      <c r="L1172" s="32" t="str">
        <f t="shared" si="71"/>
        <v/>
      </c>
      <c r="M1172" s="32" t="str">
        <f t="shared" si="72"/>
        <v/>
      </c>
      <c r="N1172" s="4">
        <v>1</v>
      </c>
      <c r="O1172" s="58">
        <v>0</v>
      </c>
      <c r="P1172" s="58">
        <v>0</v>
      </c>
      <c r="Q1172" s="58">
        <v>0</v>
      </c>
      <c r="R1172" s="58">
        <v>0</v>
      </c>
      <c r="S1172" s="58">
        <v>0</v>
      </c>
      <c r="T1172" s="58">
        <v>0</v>
      </c>
      <c r="U1172" s="58">
        <v>0</v>
      </c>
      <c r="V1172" s="58">
        <v>0</v>
      </c>
      <c r="AG1172" t="s">
        <v>1211</v>
      </c>
      <c r="AM1172" s="1" t="str">
        <f t="shared" si="70"/>
        <v>1170_C0014_0231.jpg</v>
      </c>
    </row>
    <row r="1173" spans="1:39" x14ac:dyDescent="0.35">
      <c r="A1173">
        <v>1169</v>
      </c>
      <c r="B1173">
        <v>1170</v>
      </c>
      <c r="F1173" s="64" t="s">
        <v>4503</v>
      </c>
      <c r="G1173" s="64"/>
      <c r="H1173" s="64"/>
      <c r="I1173" s="64">
        <v>1</v>
      </c>
      <c r="J1173" s="32" t="str">
        <f>IF(AND(E1173=1,OR(E1172=0,E1172="")),MAX(#REF!)+1,IF(AND(E1173=1,E1172=1),J1172,""))</f>
        <v/>
      </c>
      <c r="K1173" s="32" t="str">
        <f t="shared" si="69"/>
        <v/>
      </c>
      <c r="L1173" s="32" t="str">
        <f t="shared" si="71"/>
        <v/>
      </c>
      <c r="M1173" s="32" t="str">
        <f t="shared" si="72"/>
        <v/>
      </c>
      <c r="N1173" s="4">
        <v>1</v>
      </c>
      <c r="O1173" s="58">
        <v>0</v>
      </c>
      <c r="P1173" s="58">
        <v>0</v>
      </c>
      <c r="Q1173" s="58">
        <v>0</v>
      </c>
      <c r="R1173" s="58">
        <v>0</v>
      </c>
      <c r="S1173" s="58">
        <v>0</v>
      </c>
      <c r="T1173" s="58">
        <v>0</v>
      </c>
      <c r="U1173" s="58">
        <v>0</v>
      </c>
      <c r="V1173" s="58">
        <v>0</v>
      </c>
      <c r="AG1173" t="s">
        <v>1212</v>
      </c>
      <c r="AM1173" s="1" t="str">
        <f t="shared" si="70"/>
        <v>1171_C0014_0229.jpg</v>
      </c>
    </row>
    <row r="1174" spans="1:39" x14ac:dyDescent="0.35">
      <c r="A1174">
        <v>1170</v>
      </c>
      <c r="B1174">
        <v>1171</v>
      </c>
      <c r="F1174" s="64" t="s">
        <v>4504</v>
      </c>
      <c r="G1174" s="64"/>
      <c r="H1174" s="64"/>
      <c r="I1174" s="64">
        <v>1</v>
      </c>
      <c r="J1174" s="32" t="str">
        <f>IF(AND(E1174=1,OR(E1173=0,E1173="")),MAX(#REF!)+1,IF(AND(E1174=1,E1173=1),J1173,""))</f>
        <v/>
      </c>
      <c r="K1174" s="32" t="str">
        <f t="shared" si="69"/>
        <v/>
      </c>
      <c r="L1174" s="32" t="str">
        <f t="shared" si="71"/>
        <v/>
      </c>
      <c r="M1174" s="32" t="str">
        <f t="shared" si="72"/>
        <v/>
      </c>
      <c r="N1174" s="4">
        <v>1</v>
      </c>
      <c r="O1174" s="58">
        <v>0</v>
      </c>
      <c r="P1174" s="58">
        <v>0</v>
      </c>
      <c r="Q1174" s="58">
        <v>0</v>
      </c>
      <c r="R1174" s="58">
        <v>0</v>
      </c>
      <c r="S1174" s="58">
        <v>0</v>
      </c>
      <c r="T1174" s="58">
        <v>0</v>
      </c>
      <c r="U1174" s="58">
        <v>0</v>
      </c>
      <c r="V1174" s="58">
        <v>0</v>
      </c>
      <c r="AG1174" t="s">
        <v>1213</v>
      </c>
      <c r="AM1174" s="1" t="str">
        <f t="shared" si="70"/>
        <v>1172_C0014_0225.jpg</v>
      </c>
    </row>
    <row r="1175" spans="1:39" x14ac:dyDescent="0.35">
      <c r="A1175">
        <v>1171</v>
      </c>
      <c r="B1175">
        <v>1172</v>
      </c>
      <c r="F1175" s="64" t="s">
        <v>4505</v>
      </c>
      <c r="G1175" s="64"/>
      <c r="H1175" s="64"/>
      <c r="I1175" s="64">
        <v>1</v>
      </c>
      <c r="J1175" s="32" t="str">
        <f>IF(AND(E1175=1,OR(E1174=0,E1174="")),MAX(#REF!)+1,IF(AND(E1175=1,E1174=1),J1174,""))</f>
        <v/>
      </c>
      <c r="K1175" s="32" t="str">
        <f t="shared" si="69"/>
        <v/>
      </c>
      <c r="L1175" s="32" t="str">
        <f t="shared" si="71"/>
        <v/>
      </c>
      <c r="M1175" s="32" t="str">
        <f t="shared" si="72"/>
        <v/>
      </c>
      <c r="N1175" s="4">
        <v>1</v>
      </c>
      <c r="O1175" s="58">
        <v>0</v>
      </c>
      <c r="P1175" s="58">
        <v>0</v>
      </c>
      <c r="Q1175" s="58">
        <v>0</v>
      </c>
      <c r="R1175" s="58">
        <v>0</v>
      </c>
      <c r="S1175" s="58">
        <v>0</v>
      </c>
      <c r="T1175" s="58">
        <v>0</v>
      </c>
      <c r="U1175" s="58">
        <v>0</v>
      </c>
      <c r="V1175" s="58">
        <v>0</v>
      </c>
      <c r="AG1175" t="s">
        <v>1214</v>
      </c>
      <c r="AM1175" s="1" t="str">
        <f t="shared" si="70"/>
        <v>1173_C0014_0359.jpg</v>
      </c>
    </row>
    <row r="1176" spans="1:39" x14ac:dyDescent="0.35">
      <c r="A1176">
        <v>1172</v>
      </c>
      <c r="B1176">
        <v>1173</v>
      </c>
      <c r="F1176" s="64" t="s">
        <v>4506</v>
      </c>
      <c r="G1176" s="64"/>
      <c r="H1176" s="64"/>
      <c r="I1176" s="64">
        <v>1</v>
      </c>
      <c r="J1176" s="32" t="str">
        <f>IF(AND(E1176=1,OR(E1175=0,E1175="")),MAX(#REF!)+1,IF(AND(E1176=1,E1175=1),J1175,""))</f>
        <v/>
      </c>
      <c r="K1176" s="32" t="str">
        <f t="shared" si="69"/>
        <v/>
      </c>
      <c r="L1176" s="32" t="str">
        <f t="shared" si="71"/>
        <v/>
      </c>
      <c r="M1176" s="32" t="str">
        <f t="shared" si="72"/>
        <v/>
      </c>
      <c r="N1176" s="4">
        <v>1</v>
      </c>
      <c r="O1176" s="58">
        <v>0</v>
      </c>
      <c r="P1176" s="58">
        <v>0</v>
      </c>
      <c r="Q1176" s="58">
        <v>0</v>
      </c>
      <c r="R1176" s="58">
        <v>0</v>
      </c>
      <c r="S1176" s="58">
        <v>0</v>
      </c>
      <c r="T1176" s="58">
        <v>0</v>
      </c>
      <c r="U1176" s="58">
        <v>0</v>
      </c>
      <c r="V1176" s="58">
        <v>0</v>
      </c>
      <c r="AG1176" t="s">
        <v>1215</v>
      </c>
      <c r="AM1176" s="1" t="str">
        <f t="shared" si="70"/>
        <v>1174_C0014_0221.jpg</v>
      </c>
    </row>
    <row r="1177" spans="1:39" x14ac:dyDescent="0.35">
      <c r="A1177">
        <v>1173</v>
      </c>
      <c r="B1177">
        <v>1174</v>
      </c>
      <c r="F1177" s="64" t="s">
        <v>4507</v>
      </c>
      <c r="G1177" s="64"/>
      <c r="H1177" s="64"/>
      <c r="I1177" s="64">
        <v>1</v>
      </c>
      <c r="J1177" s="32" t="str">
        <f>IF(AND(E1177=1,OR(E1176=0,E1176="")),MAX(#REF!)+1,IF(AND(E1177=1,E1176=1),J1176,""))</f>
        <v/>
      </c>
      <c r="K1177" s="32" t="str">
        <f t="shared" si="69"/>
        <v/>
      </c>
      <c r="L1177" s="32" t="str">
        <f t="shared" si="71"/>
        <v/>
      </c>
      <c r="M1177" s="32" t="str">
        <f t="shared" si="72"/>
        <v/>
      </c>
      <c r="N1177" s="4">
        <v>1</v>
      </c>
      <c r="O1177" s="58">
        <v>0</v>
      </c>
      <c r="P1177" s="58">
        <v>0</v>
      </c>
      <c r="Q1177" s="58">
        <v>0</v>
      </c>
      <c r="R1177" s="58">
        <v>0</v>
      </c>
      <c r="S1177" s="58">
        <v>0</v>
      </c>
      <c r="T1177" s="58">
        <v>0</v>
      </c>
      <c r="U1177" s="58">
        <v>0</v>
      </c>
      <c r="V1177" s="58">
        <v>0</v>
      </c>
      <c r="AG1177" t="s">
        <v>1216</v>
      </c>
      <c r="AM1177" s="1" t="str">
        <f t="shared" si="70"/>
        <v>1175_C0014_0218.jpg</v>
      </c>
    </row>
    <row r="1178" spans="1:39" x14ac:dyDescent="0.35">
      <c r="A1178">
        <v>1174</v>
      </c>
      <c r="B1178">
        <v>1175</v>
      </c>
      <c r="F1178" s="64" t="s">
        <v>4508</v>
      </c>
      <c r="G1178" s="64"/>
      <c r="H1178" s="64"/>
      <c r="I1178" s="64">
        <v>1</v>
      </c>
      <c r="J1178" s="32" t="str">
        <f>IF(AND(E1178=1,OR(E1177=0,E1177="")),MAX(#REF!)+1,IF(AND(E1178=1,E1177=1),J1177,""))</f>
        <v/>
      </c>
      <c r="K1178" s="32" t="str">
        <f t="shared" si="69"/>
        <v/>
      </c>
      <c r="L1178" s="32" t="str">
        <f t="shared" si="71"/>
        <v/>
      </c>
      <c r="M1178" s="32" t="str">
        <f t="shared" si="72"/>
        <v/>
      </c>
      <c r="N1178" s="4">
        <v>1</v>
      </c>
      <c r="O1178" s="58">
        <v>0</v>
      </c>
      <c r="P1178" s="58">
        <v>0</v>
      </c>
      <c r="Q1178" s="58">
        <v>0</v>
      </c>
      <c r="R1178" s="58">
        <v>0</v>
      </c>
      <c r="S1178" s="58">
        <v>0</v>
      </c>
      <c r="T1178" s="58">
        <v>0</v>
      </c>
      <c r="U1178" s="58">
        <v>0</v>
      </c>
      <c r="V1178" s="58">
        <v>0</v>
      </c>
      <c r="AG1178" t="s">
        <v>1217</v>
      </c>
      <c r="AM1178" s="1" t="str">
        <f t="shared" si="70"/>
        <v>1176_C0014_0216.jpg</v>
      </c>
    </row>
    <row r="1179" spans="1:39" x14ac:dyDescent="0.35">
      <c r="A1179">
        <v>1175</v>
      </c>
      <c r="B1179">
        <v>1176</v>
      </c>
      <c r="F1179" s="64" t="s">
        <v>4509</v>
      </c>
      <c r="G1179" s="64"/>
      <c r="H1179" s="64"/>
      <c r="I1179" s="64">
        <v>1</v>
      </c>
      <c r="J1179" s="32" t="str">
        <f>IF(AND(E1179=1,OR(E1178=0,E1178="")),MAX(#REF!)+1,IF(AND(E1179=1,E1178=1),J1178,""))</f>
        <v/>
      </c>
      <c r="K1179" s="32" t="str">
        <f t="shared" si="69"/>
        <v/>
      </c>
      <c r="L1179" s="32" t="str">
        <f t="shared" si="71"/>
        <v/>
      </c>
      <c r="M1179" s="32" t="str">
        <f t="shared" si="72"/>
        <v/>
      </c>
      <c r="N1179" s="4">
        <v>1</v>
      </c>
      <c r="O1179" s="58">
        <v>0</v>
      </c>
      <c r="P1179" s="58">
        <v>0</v>
      </c>
      <c r="Q1179" s="58">
        <v>0</v>
      </c>
      <c r="R1179" s="58">
        <v>0</v>
      </c>
      <c r="S1179" s="58">
        <v>0</v>
      </c>
      <c r="T1179" s="58">
        <v>0</v>
      </c>
      <c r="U1179" s="58">
        <v>0</v>
      </c>
      <c r="V1179" s="58">
        <v>0</v>
      </c>
      <c r="AG1179" t="s">
        <v>1218</v>
      </c>
      <c r="AM1179" s="1" t="str">
        <f t="shared" si="70"/>
        <v>1177_C0014_0346.jpg</v>
      </c>
    </row>
    <row r="1180" spans="1:39" x14ac:dyDescent="0.35">
      <c r="A1180">
        <v>1176</v>
      </c>
      <c r="B1180">
        <v>1177</v>
      </c>
      <c r="F1180" s="64" t="s">
        <v>4510</v>
      </c>
      <c r="G1180" s="64"/>
      <c r="H1180" s="64" t="s">
        <v>26</v>
      </c>
      <c r="I1180" s="64"/>
      <c r="J1180" s="32" t="str">
        <f>IF(AND(E1180=1,OR(E1179=0,E1179="")),MAX(#REF!)+1,IF(AND(E1180=1,E1179=1),J1179,""))</f>
        <v/>
      </c>
      <c r="K1180" s="32" t="str">
        <f t="shared" si="69"/>
        <v/>
      </c>
      <c r="L1180" s="32" t="str">
        <f t="shared" si="71"/>
        <v/>
      </c>
      <c r="M1180" s="32" t="str">
        <f t="shared" si="72"/>
        <v/>
      </c>
      <c r="N1180" s="4"/>
      <c r="AG1180" t="s">
        <v>1219</v>
      </c>
      <c r="AM1180" s="1" t="str">
        <f t="shared" si="70"/>
        <v>1178_C0014_0209.jpg</v>
      </c>
    </row>
    <row r="1181" spans="1:39" x14ac:dyDescent="0.35">
      <c r="A1181">
        <v>1177</v>
      </c>
      <c r="B1181">
        <v>1178</v>
      </c>
      <c r="F1181" s="64" t="s">
        <v>4511</v>
      </c>
      <c r="G1181" s="64"/>
      <c r="H1181" s="64"/>
      <c r="I1181" s="64">
        <v>1</v>
      </c>
      <c r="J1181" s="32" t="str">
        <f>IF(AND(E1181=1,OR(E1180=0,E1180="")),MAX(#REF!)+1,IF(AND(E1181=1,E1180=1),J1180,""))</f>
        <v/>
      </c>
      <c r="K1181" s="32" t="str">
        <f t="shared" si="69"/>
        <v/>
      </c>
      <c r="L1181" s="32" t="str">
        <f t="shared" si="71"/>
        <v/>
      </c>
      <c r="M1181" s="32" t="str">
        <f t="shared" si="72"/>
        <v/>
      </c>
      <c r="N1181" s="4">
        <v>1</v>
      </c>
      <c r="O1181" s="58">
        <v>0</v>
      </c>
      <c r="P1181" s="58">
        <v>0</v>
      </c>
      <c r="Q1181" s="58">
        <v>0</v>
      </c>
      <c r="R1181" s="58">
        <v>0</v>
      </c>
      <c r="S1181" s="58">
        <v>0</v>
      </c>
      <c r="T1181" s="58">
        <v>0</v>
      </c>
      <c r="U1181" s="58">
        <v>0</v>
      </c>
      <c r="V1181" s="58">
        <v>0</v>
      </c>
      <c r="AG1181" t="s">
        <v>1220</v>
      </c>
      <c r="AM1181" s="1" t="str">
        <f t="shared" si="70"/>
        <v>1179_C0014_0206.jpg</v>
      </c>
    </row>
    <row r="1182" spans="1:39" x14ac:dyDescent="0.35">
      <c r="A1182">
        <v>1178</v>
      </c>
      <c r="B1182">
        <v>1179</v>
      </c>
      <c r="F1182" s="64" t="s">
        <v>4512</v>
      </c>
      <c r="G1182" s="64"/>
      <c r="H1182" s="64"/>
      <c r="I1182" s="64">
        <v>1</v>
      </c>
      <c r="J1182" s="32" t="str">
        <f>IF(AND(E1182=1,OR(E1181=0,E1181="")),MAX(#REF!)+1,IF(AND(E1182=1,E1181=1),J1181,""))</f>
        <v/>
      </c>
      <c r="K1182" s="32" t="str">
        <f t="shared" si="69"/>
        <v/>
      </c>
      <c r="L1182" s="32" t="str">
        <f t="shared" si="71"/>
        <v/>
      </c>
      <c r="M1182" s="32" t="str">
        <f t="shared" si="72"/>
        <v/>
      </c>
      <c r="N1182" s="4">
        <v>1</v>
      </c>
      <c r="O1182" s="58">
        <v>0</v>
      </c>
      <c r="P1182" s="58">
        <v>0</v>
      </c>
      <c r="Q1182" s="58">
        <v>0</v>
      </c>
      <c r="R1182" s="58">
        <v>0</v>
      </c>
      <c r="S1182" s="58">
        <v>0</v>
      </c>
      <c r="T1182" s="58">
        <v>0</v>
      </c>
      <c r="U1182" s="58">
        <v>0</v>
      </c>
      <c r="V1182" s="58">
        <v>0</v>
      </c>
      <c r="AG1182" t="s">
        <v>1221</v>
      </c>
      <c r="AM1182" s="1" t="str">
        <f t="shared" si="70"/>
        <v>1180_C0014_0202.jpg</v>
      </c>
    </row>
    <row r="1183" spans="1:39" x14ac:dyDescent="0.35">
      <c r="A1183">
        <v>1179</v>
      </c>
      <c r="B1183">
        <v>1180</v>
      </c>
      <c r="F1183" s="64" t="s">
        <v>4513</v>
      </c>
      <c r="G1183" s="64"/>
      <c r="H1183" s="64"/>
      <c r="I1183" s="64">
        <v>1</v>
      </c>
      <c r="J1183" s="32" t="str">
        <f>IF(AND(E1183=1,OR(E1182=0,E1182="")),MAX(#REF!)+1,IF(AND(E1183=1,E1182=1),J1182,""))</f>
        <v/>
      </c>
      <c r="K1183" s="32" t="str">
        <f t="shared" ref="K1183:K1246" si="73">IF(J1183="","",COUNTIF(J:J,J1183)*10)</f>
        <v/>
      </c>
      <c r="L1183" s="32" t="str">
        <f t="shared" si="71"/>
        <v/>
      </c>
      <c r="M1183" s="32" t="str">
        <f t="shared" si="72"/>
        <v/>
      </c>
      <c r="N1183" s="4">
        <v>1</v>
      </c>
      <c r="O1183" s="58">
        <v>0</v>
      </c>
      <c r="P1183" s="58">
        <v>0</v>
      </c>
      <c r="Q1183" s="58">
        <v>0</v>
      </c>
      <c r="R1183" s="58">
        <v>0</v>
      </c>
      <c r="S1183" s="58">
        <v>0</v>
      </c>
      <c r="T1183" s="58">
        <v>0</v>
      </c>
      <c r="U1183" s="58">
        <v>0</v>
      </c>
      <c r="V1183" s="58">
        <v>0</v>
      </c>
      <c r="AG1183" t="s">
        <v>1222</v>
      </c>
      <c r="AM1183" s="1" t="str">
        <f t="shared" si="70"/>
        <v>1181_C0014_0344.jpg</v>
      </c>
    </row>
    <row r="1184" spans="1:39" x14ac:dyDescent="0.35">
      <c r="A1184">
        <v>1180</v>
      </c>
      <c r="B1184">
        <v>1181</v>
      </c>
      <c r="F1184" s="64" t="s">
        <v>4514</v>
      </c>
      <c r="G1184" s="64"/>
      <c r="H1184" s="64" t="s">
        <v>26</v>
      </c>
      <c r="I1184" s="64"/>
      <c r="J1184" s="32" t="str">
        <f>IF(AND(E1184=1,OR(E1183=0,E1183="")),MAX(#REF!)+1,IF(AND(E1184=1,E1183=1),J1183,""))</f>
        <v/>
      </c>
      <c r="K1184" s="32" t="str">
        <f t="shared" si="73"/>
        <v/>
      </c>
      <c r="L1184" s="32" t="str">
        <f t="shared" si="71"/>
        <v/>
      </c>
      <c r="M1184" s="32" t="str">
        <f t="shared" si="72"/>
        <v/>
      </c>
      <c r="N1184" s="4"/>
      <c r="AG1184" t="s">
        <v>1223</v>
      </c>
      <c r="AM1184" s="1" t="str">
        <f t="shared" si="70"/>
        <v>1182_C0014_0197.jpg</v>
      </c>
    </row>
    <row r="1185" spans="1:39" x14ac:dyDescent="0.35">
      <c r="A1185">
        <v>1181</v>
      </c>
      <c r="B1185">
        <v>1182</v>
      </c>
      <c r="F1185" s="64" t="s">
        <v>4515</v>
      </c>
      <c r="G1185" s="64"/>
      <c r="H1185" s="64"/>
      <c r="I1185" s="64">
        <v>1</v>
      </c>
      <c r="J1185" s="32" t="str">
        <f>IF(AND(E1185=1,OR(E1184=0,E1184="")),MAX(#REF!)+1,IF(AND(E1185=1,E1184=1),J1184,""))</f>
        <v/>
      </c>
      <c r="K1185" s="32" t="str">
        <f t="shared" si="73"/>
        <v/>
      </c>
      <c r="L1185" s="32" t="str">
        <f t="shared" si="71"/>
        <v/>
      </c>
      <c r="M1185" s="32" t="str">
        <f t="shared" si="72"/>
        <v/>
      </c>
      <c r="N1185" s="4">
        <v>1</v>
      </c>
      <c r="O1185" s="58">
        <v>0</v>
      </c>
      <c r="P1185" s="58">
        <v>0</v>
      </c>
      <c r="Q1185" s="58">
        <v>0</v>
      </c>
      <c r="R1185" s="58">
        <v>0</v>
      </c>
      <c r="S1185" s="58">
        <v>0</v>
      </c>
      <c r="T1185" s="58">
        <v>0</v>
      </c>
      <c r="U1185" s="58">
        <v>0</v>
      </c>
      <c r="V1185" s="58">
        <v>0</v>
      </c>
      <c r="AG1185" t="s">
        <v>1224</v>
      </c>
      <c r="AM1185" s="1" t="str">
        <f t="shared" si="70"/>
        <v>1183_C0014_0195.jpg</v>
      </c>
    </row>
    <row r="1186" spans="1:39" x14ac:dyDescent="0.35">
      <c r="A1186">
        <v>1182</v>
      </c>
      <c r="B1186">
        <v>1183</v>
      </c>
      <c r="F1186" s="64" t="s">
        <v>4516</v>
      </c>
      <c r="G1186" s="64"/>
      <c r="H1186" s="64"/>
      <c r="I1186" s="64">
        <v>1</v>
      </c>
      <c r="J1186" s="32" t="str">
        <f>IF(AND(E1186=1,OR(E1185=0,E1185="")),MAX(#REF!)+1,IF(AND(E1186=1,E1185=1),J1185,""))</f>
        <v/>
      </c>
      <c r="K1186" s="32" t="str">
        <f t="shared" si="73"/>
        <v/>
      </c>
      <c r="L1186" s="32" t="str">
        <f t="shared" si="71"/>
        <v/>
      </c>
      <c r="M1186" s="32" t="str">
        <f t="shared" si="72"/>
        <v/>
      </c>
      <c r="N1186" s="4">
        <v>1</v>
      </c>
      <c r="O1186" s="58">
        <v>0</v>
      </c>
      <c r="P1186" s="58">
        <v>0</v>
      </c>
      <c r="Q1186" s="58">
        <v>0</v>
      </c>
      <c r="R1186" s="58">
        <v>0</v>
      </c>
      <c r="S1186" s="58">
        <v>0</v>
      </c>
      <c r="T1186" s="58">
        <v>0</v>
      </c>
      <c r="U1186" s="58">
        <v>0</v>
      </c>
      <c r="V1186" s="58">
        <v>0</v>
      </c>
      <c r="AG1186" t="s">
        <v>1225</v>
      </c>
      <c r="AM1186" s="1" t="str">
        <f t="shared" si="70"/>
        <v>1184_C0014_0188.jpg</v>
      </c>
    </row>
    <row r="1187" spans="1:39" x14ac:dyDescent="0.35">
      <c r="A1187">
        <v>1183</v>
      </c>
      <c r="B1187">
        <v>1184</v>
      </c>
      <c r="F1187" s="64" t="s">
        <v>4517</v>
      </c>
      <c r="G1187" s="64"/>
      <c r="H1187" s="64"/>
      <c r="I1187" s="64">
        <v>1</v>
      </c>
      <c r="J1187" s="32" t="str">
        <f>IF(AND(E1187=1,OR(E1186=0,E1186="")),MAX(#REF!)+1,IF(AND(E1187=1,E1186=1),J1186,""))</f>
        <v/>
      </c>
      <c r="K1187" s="32" t="str">
        <f t="shared" si="73"/>
        <v/>
      </c>
      <c r="L1187" s="32" t="str">
        <f t="shared" si="71"/>
        <v/>
      </c>
      <c r="M1187" s="32" t="str">
        <f t="shared" si="72"/>
        <v/>
      </c>
      <c r="N1187" s="4">
        <v>1</v>
      </c>
      <c r="O1187" s="58">
        <v>0</v>
      </c>
      <c r="P1187" s="58">
        <v>0</v>
      </c>
      <c r="Q1187" s="58">
        <v>0</v>
      </c>
      <c r="R1187" s="58">
        <v>0</v>
      </c>
      <c r="S1187" s="58">
        <v>0</v>
      </c>
      <c r="T1187" s="58">
        <v>0</v>
      </c>
      <c r="U1187" s="58">
        <v>0</v>
      </c>
      <c r="V1187" s="58">
        <v>0</v>
      </c>
      <c r="AG1187" t="s">
        <v>1226</v>
      </c>
      <c r="AM1187" s="1" t="str">
        <f t="shared" si="70"/>
        <v>1185_C0014_0185.jpg</v>
      </c>
    </row>
    <row r="1188" spans="1:39" x14ac:dyDescent="0.35">
      <c r="A1188">
        <v>1184</v>
      </c>
      <c r="B1188">
        <v>1185</v>
      </c>
      <c r="F1188" s="64" t="s">
        <v>4518</v>
      </c>
      <c r="G1188" s="64"/>
      <c r="H1188" s="64"/>
      <c r="I1188" s="64">
        <v>1</v>
      </c>
      <c r="J1188" s="32" t="str">
        <f>IF(AND(E1188=1,OR(E1187=0,E1187="")),MAX(#REF!)+1,IF(AND(E1188=1,E1187=1),J1187,""))</f>
        <v/>
      </c>
      <c r="K1188" s="32" t="str">
        <f t="shared" si="73"/>
        <v/>
      </c>
      <c r="L1188" s="32" t="str">
        <f t="shared" si="71"/>
        <v/>
      </c>
      <c r="M1188" s="32" t="str">
        <f t="shared" si="72"/>
        <v/>
      </c>
      <c r="N1188" s="4">
        <v>1</v>
      </c>
      <c r="O1188" s="58">
        <v>0</v>
      </c>
      <c r="P1188" s="58">
        <v>0</v>
      </c>
      <c r="Q1188" s="58">
        <v>0</v>
      </c>
      <c r="R1188" s="58">
        <v>0</v>
      </c>
      <c r="S1188" s="58">
        <v>0</v>
      </c>
      <c r="T1188" s="58">
        <v>0</v>
      </c>
      <c r="U1188" s="58">
        <v>0</v>
      </c>
      <c r="V1188" s="58">
        <v>0</v>
      </c>
      <c r="AG1188" t="s">
        <v>1227</v>
      </c>
      <c r="AM1188" s="1" t="str">
        <f t="shared" si="70"/>
        <v>1186_C0014_0182.jpg</v>
      </c>
    </row>
    <row r="1189" spans="1:39" x14ac:dyDescent="0.35">
      <c r="A1189">
        <v>1185</v>
      </c>
      <c r="B1189">
        <v>1186</v>
      </c>
      <c r="F1189" s="64" t="s">
        <v>4519</v>
      </c>
      <c r="G1189" s="64"/>
      <c r="H1189" s="64"/>
      <c r="I1189" s="64">
        <v>1</v>
      </c>
      <c r="J1189" s="32" t="str">
        <f>IF(AND(E1189=1,OR(E1188=0,E1188="")),MAX(#REF!)+1,IF(AND(E1189=1,E1188=1),J1188,""))</f>
        <v/>
      </c>
      <c r="K1189" s="32" t="str">
        <f t="shared" si="73"/>
        <v/>
      </c>
      <c r="L1189" s="32" t="str">
        <f t="shared" si="71"/>
        <v/>
      </c>
      <c r="M1189" s="32" t="str">
        <f t="shared" si="72"/>
        <v/>
      </c>
      <c r="N1189" s="4">
        <v>1</v>
      </c>
      <c r="O1189" s="58">
        <v>0</v>
      </c>
      <c r="P1189" s="58">
        <v>0</v>
      </c>
      <c r="Q1189" s="58">
        <v>0</v>
      </c>
      <c r="R1189" s="58">
        <v>0</v>
      </c>
      <c r="S1189" s="58">
        <v>0</v>
      </c>
      <c r="T1189" s="58">
        <v>0</v>
      </c>
      <c r="U1189" s="58">
        <v>0</v>
      </c>
      <c r="V1189" s="58">
        <v>0</v>
      </c>
      <c r="AG1189" t="s">
        <v>1228</v>
      </c>
      <c r="AM1189" s="1" t="str">
        <f t="shared" si="70"/>
        <v>1187_C0014_0178.jpg</v>
      </c>
    </row>
    <row r="1190" spans="1:39" x14ac:dyDescent="0.35">
      <c r="A1190">
        <v>1186</v>
      </c>
      <c r="B1190">
        <v>1187</v>
      </c>
      <c r="F1190" s="64" t="s">
        <v>4520</v>
      </c>
      <c r="G1190" s="64"/>
      <c r="H1190" s="64"/>
      <c r="I1190" s="64">
        <v>1</v>
      </c>
      <c r="J1190" s="32" t="str">
        <f>IF(AND(E1190=1,OR(E1189=0,E1189="")),MAX(#REF!)+1,IF(AND(E1190=1,E1189=1),J1189,""))</f>
        <v/>
      </c>
      <c r="K1190" s="32" t="str">
        <f t="shared" si="73"/>
        <v/>
      </c>
      <c r="L1190" s="32" t="str">
        <f t="shared" si="71"/>
        <v/>
      </c>
      <c r="M1190" s="32" t="str">
        <f t="shared" si="72"/>
        <v/>
      </c>
      <c r="N1190" s="4">
        <v>1</v>
      </c>
      <c r="O1190" s="58">
        <v>0</v>
      </c>
      <c r="P1190" s="58">
        <v>0</v>
      </c>
      <c r="Q1190" s="58">
        <v>0</v>
      </c>
      <c r="R1190" s="58">
        <v>0</v>
      </c>
      <c r="S1190" s="58">
        <v>0</v>
      </c>
      <c r="T1190" s="58">
        <v>0</v>
      </c>
      <c r="U1190" s="58">
        <v>0</v>
      </c>
      <c r="V1190" s="58">
        <v>0</v>
      </c>
      <c r="AG1190" t="s">
        <v>1229</v>
      </c>
      <c r="AM1190" s="1" t="str">
        <f t="shared" si="70"/>
        <v>1188_C0014_0175.jpg</v>
      </c>
    </row>
    <row r="1191" spans="1:39" x14ac:dyDescent="0.35">
      <c r="A1191">
        <v>1187</v>
      </c>
      <c r="B1191">
        <v>1188</v>
      </c>
      <c r="F1191" s="64" t="s">
        <v>4521</v>
      </c>
      <c r="G1191" s="64"/>
      <c r="H1191" s="64"/>
      <c r="I1191" s="64">
        <v>1</v>
      </c>
      <c r="J1191" s="32" t="str">
        <f>IF(AND(E1191=1,OR(E1190=0,E1190="")),MAX(#REF!)+1,IF(AND(E1191=1,E1190=1),J1190,""))</f>
        <v/>
      </c>
      <c r="K1191" s="32" t="str">
        <f t="shared" si="73"/>
        <v/>
      </c>
      <c r="L1191" s="32" t="str">
        <f t="shared" si="71"/>
        <v/>
      </c>
      <c r="M1191" s="32" t="str">
        <f t="shared" si="72"/>
        <v/>
      </c>
      <c r="N1191" s="4">
        <v>1</v>
      </c>
      <c r="O1191" s="58">
        <v>0</v>
      </c>
      <c r="P1191" s="58">
        <v>0</v>
      </c>
      <c r="Q1191" s="58">
        <v>0</v>
      </c>
      <c r="R1191" s="58">
        <v>0</v>
      </c>
      <c r="S1191" s="58">
        <v>0</v>
      </c>
      <c r="T1191" s="58">
        <v>0</v>
      </c>
      <c r="U1191" s="58">
        <v>0</v>
      </c>
      <c r="V1191" s="58">
        <v>0</v>
      </c>
      <c r="AG1191" t="s">
        <v>1230</v>
      </c>
      <c r="AM1191" s="1" t="str">
        <f t="shared" si="70"/>
        <v>1189_C0014_0172.jpg</v>
      </c>
    </row>
    <row r="1192" spans="1:39" x14ac:dyDescent="0.35">
      <c r="A1192">
        <v>1188</v>
      </c>
      <c r="B1192">
        <v>1189</v>
      </c>
      <c r="F1192" s="64" t="s">
        <v>4522</v>
      </c>
      <c r="G1192" s="64"/>
      <c r="H1192" s="64"/>
      <c r="I1192" s="64">
        <v>1</v>
      </c>
      <c r="J1192" s="32" t="str">
        <f>IF(AND(E1192=1,OR(E1191=0,E1191="")),MAX(#REF!)+1,IF(AND(E1192=1,E1191=1),J1191,""))</f>
        <v/>
      </c>
      <c r="K1192" s="32" t="str">
        <f t="shared" si="73"/>
        <v/>
      </c>
      <c r="L1192" s="32" t="str">
        <f t="shared" si="71"/>
        <v/>
      </c>
      <c r="M1192" s="32" t="str">
        <f t="shared" si="72"/>
        <v/>
      </c>
      <c r="N1192" s="4">
        <v>1</v>
      </c>
      <c r="O1192" s="58">
        <v>0</v>
      </c>
      <c r="P1192" s="58">
        <v>0</v>
      </c>
      <c r="Q1192" s="58">
        <v>0</v>
      </c>
      <c r="R1192" s="58">
        <v>0</v>
      </c>
      <c r="S1192" s="58">
        <v>0</v>
      </c>
      <c r="T1192" s="58">
        <v>0</v>
      </c>
      <c r="U1192" s="58">
        <v>0</v>
      </c>
      <c r="V1192" s="58">
        <v>0</v>
      </c>
      <c r="AG1192" t="s">
        <v>1231</v>
      </c>
      <c r="AM1192" s="1" t="str">
        <f t="shared" si="70"/>
        <v>1190_C0014_0168.jpg</v>
      </c>
    </row>
    <row r="1193" spans="1:39" x14ac:dyDescent="0.35">
      <c r="A1193">
        <v>1189</v>
      </c>
      <c r="B1193">
        <v>1190</v>
      </c>
      <c r="F1193" s="64" t="s">
        <v>4523</v>
      </c>
      <c r="G1193" s="64"/>
      <c r="H1193" s="64"/>
      <c r="I1193" s="64">
        <v>1</v>
      </c>
      <c r="J1193" s="32" t="str">
        <f>IF(AND(E1193=1,OR(E1192=0,E1192="")),MAX(#REF!)+1,IF(AND(E1193=1,E1192=1),J1192,""))</f>
        <v/>
      </c>
      <c r="K1193" s="32" t="str">
        <f t="shared" si="73"/>
        <v/>
      </c>
      <c r="L1193" s="32" t="str">
        <f t="shared" si="71"/>
        <v/>
      </c>
      <c r="M1193" s="32" t="str">
        <f t="shared" si="72"/>
        <v/>
      </c>
      <c r="N1193" s="4">
        <v>1</v>
      </c>
      <c r="O1193" s="58">
        <v>0</v>
      </c>
      <c r="P1193" s="58">
        <v>0</v>
      </c>
      <c r="Q1193" s="58">
        <v>0</v>
      </c>
      <c r="R1193" s="58">
        <v>0</v>
      </c>
      <c r="S1193" s="58">
        <v>0</v>
      </c>
      <c r="T1193" s="58">
        <v>0</v>
      </c>
      <c r="U1193" s="58">
        <v>0</v>
      </c>
      <c r="V1193" s="58">
        <v>0</v>
      </c>
      <c r="AG1193" t="s">
        <v>1232</v>
      </c>
      <c r="AM1193" s="1" t="str">
        <f t="shared" si="70"/>
        <v>1191_C0014_0163.jpg</v>
      </c>
    </row>
    <row r="1194" spans="1:39" x14ac:dyDescent="0.35">
      <c r="A1194">
        <v>1190</v>
      </c>
      <c r="B1194">
        <v>1191</v>
      </c>
      <c r="F1194" s="64" t="s">
        <v>4524</v>
      </c>
      <c r="G1194" s="64"/>
      <c r="H1194" s="64"/>
      <c r="I1194" s="64">
        <v>0</v>
      </c>
      <c r="J1194" s="32" t="str">
        <f>IF(AND(E1194=1,OR(E1193=0,E1193="")),MAX(#REF!)+1,IF(AND(E1194=1,E1193=1),J1193,""))</f>
        <v/>
      </c>
      <c r="K1194" s="32" t="str">
        <f t="shared" si="73"/>
        <v/>
      </c>
      <c r="L1194" s="32" t="str">
        <f t="shared" si="71"/>
        <v/>
      </c>
      <c r="M1194" s="32" t="str">
        <f t="shared" si="72"/>
        <v/>
      </c>
      <c r="N1194" s="4">
        <v>1</v>
      </c>
      <c r="O1194" s="58">
        <v>0</v>
      </c>
      <c r="P1194" s="58">
        <v>0</v>
      </c>
      <c r="Q1194" s="58">
        <v>0</v>
      </c>
      <c r="R1194" s="58">
        <v>0</v>
      </c>
      <c r="S1194" s="58">
        <v>0</v>
      </c>
      <c r="T1194" s="58">
        <v>0</v>
      </c>
      <c r="U1194" s="58">
        <v>0</v>
      </c>
      <c r="V1194" s="58">
        <v>0</v>
      </c>
      <c r="AG1194" t="s">
        <v>1233</v>
      </c>
      <c r="AM1194" s="1" t="str">
        <f t="shared" si="70"/>
        <v>1192_C0014_0160.jpg</v>
      </c>
    </row>
    <row r="1195" spans="1:39" x14ac:dyDescent="0.35">
      <c r="A1195">
        <v>1191</v>
      </c>
      <c r="B1195">
        <v>1192</v>
      </c>
      <c r="F1195" s="64" t="s">
        <v>4525</v>
      </c>
      <c r="G1195" s="64"/>
      <c r="H1195" s="64"/>
      <c r="I1195" s="64">
        <v>1</v>
      </c>
      <c r="J1195" s="32" t="str">
        <f>IF(AND(E1195=1,OR(E1194=0,E1194="")),MAX(#REF!)+1,IF(AND(E1195=1,E1194=1),J1194,""))</f>
        <v/>
      </c>
      <c r="K1195" s="32" t="str">
        <f t="shared" si="73"/>
        <v/>
      </c>
      <c r="L1195" s="32" t="str">
        <f t="shared" si="71"/>
        <v/>
      </c>
      <c r="M1195" s="32" t="str">
        <f t="shared" si="72"/>
        <v/>
      </c>
      <c r="N1195" s="4">
        <v>1</v>
      </c>
      <c r="O1195" s="58">
        <v>0</v>
      </c>
      <c r="P1195" s="58">
        <v>0</v>
      </c>
      <c r="Q1195" s="58">
        <v>0</v>
      </c>
      <c r="R1195" s="58">
        <v>0</v>
      </c>
      <c r="S1195" s="58">
        <v>0</v>
      </c>
      <c r="T1195" s="58">
        <v>0</v>
      </c>
      <c r="U1195" s="58">
        <v>0</v>
      </c>
      <c r="V1195" s="58">
        <v>0</v>
      </c>
      <c r="AG1195" t="s">
        <v>1234</v>
      </c>
      <c r="AM1195" s="1" t="str">
        <f t="shared" si="70"/>
        <v>1193_C0014_0156.jpg</v>
      </c>
    </row>
    <row r="1196" spans="1:39" x14ac:dyDescent="0.35">
      <c r="A1196">
        <v>1192</v>
      </c>
      <c r="B1196">
        <v>1193</v>
      </c>
      <c r="F1196" s="64" t="s">
        <v>4526</v>
      </c>
      <c r="G1196" s="64"/>
      <c r="H1196" s="64"/>
      <c r="I1196" s="64">
        <v>1</v>
      </c>
      <c r="J1196" s="32" t="str">
        <f>IF(AND(E1196=1,OR(E1195=0,E1195="")),MAX(#REF!)+1,IF(AND(E1196=1,E1195=1),J1195,""))</f>
        <v/>
      </c>
      <c r="K1196" s="32" t="str">
        <f t="shared" si="73"/>
        <v/>
      </c>
      <c r="L1196" s="32" t="str">
        <f t="shared" si="71"/>
        <v/>
      </c>
      <c r="M1196" s="32" t="str">
        <f t="shared" si="72"/>
        <v/>
      </c>
      <c r="N1196" s="4">
        <v>1</v>
      </c>
      <c r="O1196" s="58">
        <v>0</v>
      </c>
      <c r="P1196" s="58">
        <v>0</v>
      </c>
      <c r="Q1196" s="58">
        <v>0</v>
      </c>
      <c r="R1196" s="58">
        <v>0</v>
      </c>
      <c r="S1196" s="58">
        <v>0</v>
      </c>
      <c r="T1196" s="58">
        <v>0</v>
      </c>
      <c r="U1196" s="58">
        <v>0</v>
      </c>
      <c r="V1196" s="58">
        <v>0</v>
      </c>
      <c r="AG1196" t="s">
        <v>1235</v>
      </c>
      <c r="AM1196" s="1" t="str">
        <f t="shared" si="70"/>
        <v>1194_C0014_0153.jpg</v>
      </c>
    </row>
    <row r="1197" spans="1:39" x14ac:dyDescent="0.35">
      <c r="A1197">
        <v>1193</v>
      </c>
      <c r="B1197">
        <v>1194</v>
      </c>
      <c r="F1197" s="64" t="s">
        <v>4527</v>
      </c>
      <c r="G1197" s="64"/>
      <c r="H1197" s="64"/>
      <c r="I1197" s="64">
        <v>1</v>
      </c>
      <c r="J1197" s="32" t="str">
        <f>IF(AND(E1197=1,OR(E1196=0,E1196="")),MAX(#REF!)+1,IF(AND(E1197=1,E1196=1),J1196,""))</f>
        <v/>
      </c>
      <c r="K1197" s="32" t="str">
        <f t="shared" si="73"/>
        <v/>
      </c>
      <c r="L1197" s="32" t="str">
        <f t="shared" si="71"/>
        <v/>
      </c>
      <c r="M1197" s="32" t="str">
        <f t="shared" si="72"/>
        <v/>
      </c>
      <c r="N1197" s="4">
        <v>1</v>
      </c>
      <c r="O1197" s="58">
        <v>0</v>
      </c>
      <c r="P1197" s="58">
        <v>0</v>
      </c>
      <c r="Q1197" s="58">
        <v>0</v>
      </c>
      <c r="R1197" s="58">
        <v>0</v>
      </c>
      <c r="S1197" s="58">
        <v>0</v>
      </c>
      <c r="T1197" s="58">
        <v>0</v>
      </c>
      <c r="U1197" s="58">
        <v>0</v>
      </c>
      <c r="V1197" s="58">
        <v>0</v>
      </c>
      <c r="AG1197" t="s">
        <v>1236</v>
      </c>
      <c r="AM1197" s="1" t="str">
        <f t="shared" si="70"/>
        <v>1195_C0014_0150.jpg</v>
      </c>
    </row>
    <row r="1198" spans="1:39" x14ac:dyDescent="0.35">
      <c r="A1198">
        <v>1194</v>
      </c>
      <c r="B1198">
        <v>1195</v>
      </c>
      <c r="F1198" s="64" t="s">
        <v>4528</v>
      </c>
      <c r="G1198" s="64"/>
      <c r="H1198" s="64"/>
      <c r="I1198" s="64">
        <v>1</v>
      </c>
      <c r="J1198" s="32" t="str">
        <f>IF(AND(E1198=1,OR(E1197=0,E1197="")),MAX(#REF!)+1,IF(AND(E1198=1,E1197=1),J1197,""))</f>
        <v/>
      </c>
      <c r="K1198" s="32" t="str">
        <f t="shared" si="73"/>
        <v/>
      </c>
      <c r="L1198" s="32" t="str">
        <f t="shared" si="71"/>
        <v/>
      </c>
      <c r="M1198" s="32" t="str">
        <f t="shared" si="72"/>
        <v/>
      </c>
      <c r="N1198" s="4">
        <v>1</v>
      </c>
      <c r="O1198" s="58">
        <v>0</v>
      </c>
      <c r="P1198" s="58">
        <v>0</v>
      </c>
      <c r="Q1198" s="58">
        <v>0</v>
      </c>
      <c r="R1198" s="58">
        <v>0</v>
      </c>
      <c r="S1198" s="58">
        <v>0</v>
      </c>
      <c r="T1198" s="58">
        <v>0</v>
      </c>
      <c r="U1198" s="58">
        <v>0</v>
      </c>
      <c r="V1198" s="58">
        <v>0</v>
      </c>
      <c r="AG1198" t="s">
        <v>1237</v>
      </c>
      <c r="AM1198" s="1" t="str">
        <f t="shared" si="70"/>
        <v>1196_C0014_0146.jpg</v>
      </c>
    </row>
    <row r="1199" spans="1:39" x14ac:dyDescent="0.35">
      <c r="A1199">
        <v>1195</v>
      </c>
      <c r="B1199">
        <v>1196</v>
      </c>
      <c r="F1199" s="64" t="s">
        <v>4529</v>
      </c>
      <c r="G1199" s="64"/>
      <c r="H1199" s="64"/>
      <c r="I1199" s="64">
        <v>1</v>
      </c>
      <c r="J1199" s="32" t="str">
        <f>IF(AND(E1199=1,OR(E1198=0,E1198="")),MAX(#REF!)+1,IF(AND(E1199=1,E1198=1),J1198,""))</f>
        <v/>
      </c>
      <c r="K1199" s="32" t="str">
        <f t="shared" si="73"/>
        <v/>
      </c>
      <c r="L1199" s="32" t="str">
        <f t="shared" si="71"/>
        <v/>
      </c>
      <c r="M1199" s="32" t="str">
        <f t="shared" si="72"/>
        <v/>
      </c>
      <c r="N1199" s="4">
        <v>1</v>
      </c>
      <c r="O1199" s="58">
        <v>0</v>
      </c>
      <c r="P1199" s="58">
        <v>0</v>
      </c>
      <c r="Q1199" s="58">
        <v>0</v>
      </c>
      <c r="R1199" s="58">
        <v>0</v>
      </c>
      <c r="S1199" s="58">
        <v>0</v>
      </c>
      <c r="T1199" s="58">
        <v>0</v>
      </c>
      <c r="U1199" s="58">
        <v>0</v>
      </c>
      <c r="V1199" s="58">
        <v>0</v>
      </c>
      <c r="AG1199" t="s">
        <v>1238</v>
      </c>
      <c r="AM1199" s="1" t="str">
        <f t="shared" si="70"/>
        <v>1197_C0014_0332.jpg</v>
      </c>
    </row>
    <row r="1200" spans="1:39" x14ac:dyDescent="0.35">
      <c r="A1200">
        <v>1196</v>
      </c>
      <c r="B1200">
        <v>1197</v>
      </c>
      <c r="F1200" s="64" t="s">
        <v>4530</v>
      </c>
      <c r="G1200" s="64"/>
      <c r="H1200" s="64" t="s">
        <v>26</v>
      </c>
      <c r="I1200" s="64"/>
      <c r="J1200" s="32" t="str">
        <f>IF(AND(E1200=1,OR(E1199=0,E1199="")),MAX(#REF!)+1,IF(AND(E1200=1,E1199=1),J1199,""))</f>
        <v/>
      </c>
      <c r="K1200" s="32" t="str">
        <f t="shared" si="73"/>
        <v/>
      </c>
      <c r="L1200" s="32" t="str">
        <f t="shared" si="71"/>
        <v/>
      </c>
      <c r="M1200" s="32" t="str">
        <f t="shared" si="72"/>
        <v/>
      </c>
      <c r="N1200" s="4"/>
      <c r="AG1200" t="s">
        <v>1239</v>
      </c>
      <c r="AM1200" s="1" t="str">
        <f t="shared" si="70"/>
        <v>1198_C0014_0141.jpg</v>
      </c>
    </row>
    <row r="1201" spans="1:39" x14ac:dyDescent="0.35">
      <c r="A1201">
        <v>1197</v>
      </c>
      <c r="B1201">
        <v>1198</v>
      </c>
      <c r="F1201" s="64" t="s">
        <v>4531</v>
      </c>
      <c r="G1201" s="64"/>
      <c r="H1201" s="64"/>
      <c r="I1201" s="64">
        <v>1</v>
      </c>
      <c r="J1201" s="32" t="str">
        <f>IF(AND(E1201=1,OR(E1200=0,E1200="")),MAX(#REF!)+1,IF(AND(E1201=1,E1200=1),J1200,""))</f>
        <v/>
      </c>
      <c r="K1201" s="32" t="str">
        <f t="shared" si="73"/>
        <v/>
      </c>
      <c r="L1201" s="32" t="str">
        <f t="shared" si="71"/>
        <v/>
      </c>
      <c r="M1201" s="32" t="str">
        <f t="shared" si="72"/>
        <v/>
      </c>
      <c r="N1201" s="4">
        <v>1</v>
      </c>
      <c r="O1201" s="58">
        <v>0</v>
      </c>
      <c r="P1201" s="58">
        <v>0</v>
      </c>
      <c r="Q1201" s="58">
        <v>0</v>
      </c>
      <c r="R1201" s="58">
        <v>0</v>
      </c>
      <c r="S1201" s="58">
        <v>0</v>
      </c>
      <c r="T1201" s="58">
        <v>0</v>
      </c>
      <c r="U1201" s="58">
        <v>0</v>
      </c>
      <c r="V1201" s="58">
        <v>0</v>
      </c>
      <c r="AG1201" t="s">
        <v>1240</v>
      </c>
      <c r="AM1201" s="1" t="str">
        <f t="shared" si="70"/>
        <v>1199_C0014_0138.jpg</v>
      </c>
    </row>
    <row r="1202" spans="1:39" x14ac:dyDescent="0.35">
      <c r="A1202">
        <v>1198</v>
      </c>
      <c r="B1202">
        <v>1199</v>
      </c>
      <c r="F1202" s="64" t="s">
        <v>4532</v>
      </c>
      <c r="G1202" s="64"/>
      <c r="H1202" s="64"/>
      <c r="I1202" s="64">
        <v>1</v>
      </c>
      <c r="J1202" s="32" t="str">
        <f>IF(AND(E1202=1,OR(E1201=0,E1201="")),MAX(#REF!)+1,IF(AND(E1202=1,E1201=1),J1201,""))</f>
        <v/>
      </c>
      <c r="K1202" s="32" t="str">
        <f t="shared" si="73"/>
        <v/>
      </c>
      <c r="L1202" s="32" t="str">
        <f t="shared" si="71"/>
        <v/>
      </c>
      <c r="M1202" s="32" t="str">
        <f t="shared" si="72"/>
        <v/>
      </c>
      <c r="N1202" s="4">
        <v>1</v>
      </c>
      <c r="O1202" s="58">
        <v>0</v>
      </c>
      <c r="P1202" s="58">
        <v>0</v>
      </c>
      <c r="Q1202" s="58">
        <v>0</v>
      </c>
      <c r="R1202" s="58">
        <v>0</v>
      </c>
      <c r="S1202" s="58">
        <v>0</v>
      </c>
      <c r="T1202" s="58">
        <v>0</v>
      </c>
      <c r="U1202" s="58">
        <v>0</v>
      </c>
      <c r="V1202" s="58">
        <v>0</v>
      </c>
      <c r="AG1202" t="s">
        <v>1241</v>
      </c>
      <c r="AM1202" s="1" t="str">
        <f t="shared" si="70"/>
        <v>1200_C0014_0134.jpg</v>
      </c>
    </row>
    <row r="1203" spans="1:39" x14ac:dyDescent="0.35">
      <c r="A1203">
        <v>1199</v>
      </c>
      <c r="B1203">
        <v>1200</v>
      </c>
      <c r="F1203" s="64" t="s">
        <v>4533</v>
      </c>
      <c r="G1203" s="64"/>
      <c r="H1203" s="64"/>
      <c r="I1203" s="64">
        <v>1</v>
      </c>
      <c r="J1203" s="32" t="str">
        <f>IF(AND(E1203=1,OR(E1202=0,E1202="")),MAX(#REF!)+1,IF(AND(E1203=1,E1202=1),J1202,""))</f>
        <v/>
      </c>
      <c r="K1203" s="32" t="str">
        <f t="shared" si="73"/>
        <v/>
      </c>
      <c r="L1203" s="32" t="str">
        <f t="shared" si="71"/>
        <v/>
      </c>
      <c r="M1203" s="32" t="str">
        <f t="shared" si="72"/>
        <v/>
      </c>
      <c r="N1203" s="4">
        <v>1</v>
      </c>
      <c r="O1203" s="58">
        <v>0</v>
      </c>
      <c r="P1203" s="58">
        <v>0</v>
      </c>
      <c r="Q1203" s="58">
        <v>0</v>
      </c>
      <c r="R1203" s="58">
        <v>0</v>
      </c>
      <c r="S1203" s="58">
        <v>0</v>
      </c>
      <c r="T1203" s="58">
        <v>0</v>
      </c>
      <c r="U1203" s="58">
        <v>0</v>
      </c>
      <c r="V1203" s="58">
        <v>0</v>
      </c>
      <c r="AG1203" t="s">
        <v>1242</v>
      </c>
      <c r="AM1203" s="1" t="str">
        <f t="shared" si="70"/>
        <v>1201_C0014_0131.jpg</v>
      </c>
    </row>
    <row r="1204" spans="1:39" x14ac:dyDescent="0.35">
      <c r="A1204">
        <v>1200</v>
      </c>
      <c r="B1204">
        <v>1201</v>
      </c>
      <c r="F1204" s="64" t="s">
        <v>4534</v>
      </c>
      <c r="G1204" s="64"/>
      <c r="H1204" s="64"/>
      <c r="I1204" s="64">
        <v>1</v>
      </c>
      <c r="J1204" s="32" t="str">
        <f>IF(AND(E1204=1,OR(E1203=0,E1203="")),MAX(#REF!)+1,IF(AND(E1204=1,E1203=1),J1203,""))</f>
        <v/>
      </c>
      <c r="K1204" s="32" t="str">
        <f t="shared" si="73"/>
        <v/>
      </c>
      <c r="L1204" s="32" t="str">
        <f t="shared" si="71"/>
        <v/>
      </c>
      <c r="M1204" s="32" t="str">
        <f t="shared" si="72"/>
        <v/>
      </c>
      <c r="N1204" s="4">
        <v>1</v>
      </c>
      <c r="O1204" s="58">
        <v>0</v>
      </c>
      <c r="P1204" s="58">
        <v>0</v>
      </c>
      <c r="Q1204" s="58">
        <v>0</v>
      </c>
      <c r="R1204" s="58">
        <v>0</v>
      </c>
      <c r="S1204" s="58">
        <v>0</v>
      </c>
      <c r="T1204" s="58">
        <v>0</v>
      </c>
      <c r="U1204" s="58">
        <v>0</v>
      </c>
      <c r="V1204" s="58">
        <v>0</v>
      </c>
      <c r="AG1204" t="s">
        <v>1243</v>
      </c>
      <c r="AM1204" s="1" t="str">
        <f t="shared" si="70"/>
        <v>1202_C0014_0128.jpg</v>
      </c>
    </row>
    <row r="1205" spans="1:39" x14ac:dyDescent="0.35">
      <c r="A1205">
        <v>1201</v>
      </c>
      <c r="B1205">
        <v>1202</v>
      </c>
      <c r="F1205" s="64" t="s">
        <v>4535</v>
      </c>
      <c r="G1205" s="64"/>
      <c r="H1205" s="64"/>
      <c r="I1205" s="64">
        <v>1</v>
      </c>
      <c r="J1205" s="32" t="str">
        <f>IF(AND(E1205=1,OR(E1204=0,E1204="")),MAX(#REF!)+1,IF(AND(E1205=1,E1204=1),J1204,""))</f>
        <v/>
      </c>
      <c r="K1205" s="32" t="str">
        <f t="shared" si="73"/>
        <v/>
      </c>
      <c r="L1205" s="32" t="str">
        <f t="shared" si="71"/>
        <v/>
      </c>
      <c r="M1205" s="32" t="str">
        <f t="shared" si="72"/>
        <v/>
      </c>
      <c r="N1205" s="4">
        <v>1</v>
      </c>
      <c r="O1205" s="58">
        <v>0</v>
      </c>
      <c r="P1205" s="58">
        <v>0</v>
      </c>
      <c r="Q1205" s="58">
        <v>0</v>
      </c>
      <c r="R1205" s="58">
        <v>0</v>
      </c>
      <c r="S1205" s="58">
        <v>0</v>
      </c>
      <c r="T1205" s="58">
        <v>0</v>
      </c>
      <c r="U1205" s="58">
        <v>0</v>
      </c>
      <c r="V1205" s="58">
        <v>0</v>
      </c>
      <c r="AG1205" t="s">
        <v>1244</v>
      </c>
      <c r="AM1205" s="1" t="str">
        <f t="shared" si="70"/>
        <v>1203_C0014_0125.jpg</v>
      </c>
    </row>
    <row r="1206" spans="1:39" x14ac:dyDescent="0.35">
      <c r="A1206">
        <v>1202</v>
      </c>
      <c r="B1206">
        <v>1203</v>
      </c>
      <c r="F1206" s="64" t="s">
        <v>4536</v>
      </c>
      <c r="G1206" s="64"/>
      <c r="H1206" s="64"/>
      <c r="I1206" s="64">
        <v>1</v>
      </c>
      <c r="J1206" s="32" t="str">
        <f>IF(AND(E1206=1,OR(E1205=0,E1205="")),MAX(#REF!)+1,IF(AND(E1206=1,E1205=1),J1205,""))</f>
        <v/>
      </c>
      <c r="K1206" s="32" t="str">
        <f t="shared" si="73"/>
        <v/>
      </c>
      <c r="L1206" s="32" t="str">
        <f t="shared" si="71"/>
        <v/>
      </c>
      <c r="M1206" s="32" t="str">
        <f t="shared" si="72"/>
        <v/>
      </c>
      <c r="N1206" s="4">
        <v>1</v>
      </c>
      <c r="O1206" s="58">
        <v>0</v>
      </c>
      <c r="P1206" s="58">
        <v>0</v>
      </c>
      <c r="Q1206" s="58">
        <v>0</v>
      </c>
      <c r="R1206" s="58">
        <v>0</v>
      </c>
      <c r="S1206" s="58">
        <v>0</v>
      </c>
      <c r="T1206" s="58">
        <v>0</v>
      </c>
      <c r="U1206" s="58">
        <v>0</v>
      </c>
      <c r="V1206" s="58">
        <v>0</v>
      </c>
      <c r="AG1206" t="s">
        <v>1245</v>
      </c>
      <c r="AM1206" s="1" t="str">
        <f t="shared" si="70"/>
        <v>1204_C0014_0122.jpg</v>
      </c>
    </row>
    <row r="1207" spans="1:39" x14ac:dyDescent="0.35">
      <c r="A1207">
        <v>1203</v>
      </c>
      <c r="B1207">
        <v>1204</v>
      </c>
      <c r="F1207" s="64" t="s">
        <v>4537</v>
      </c>
      <c r="G1207" s="64"/>
      <c r="H1207" s="64"/>
      <c r="I1207" s="64">
        <v>1</v>
      </c>
      <c r="J1207" s="32" t="str">
        <f>IF(AND(E1207=1,OR(E1206=0,E1206="")),MAX(#REF!)+1,IF(AND(E1207=1,E1206=1),J1206,""))</f>
        <v/>
      </c>
      <c r="K1207" s="32" t="str">
        <f t="shared" si="73"/>
        <v/>
      </c>
      <c r="L1207" s="32" t="str">
        <f t="shared" si="71"/>
        <v/>
      </c>
      <c r="M1207" s="32" t="str">
        <f t="shared" si="72"/>
        <v/>
      </c>
      <c r="N1207" s="4">
        <v>1</v>
      </c>
      <c r="O1207" s="58">
        <v>0</v>
      </c>
      <c r="P1207" s="58">
        <v>0</v>
      </c>
      <c r="Q1207" s="58">
        <v>0</v>
      </c>
      <c r="R1207" s="58">
        <v>0</v>
      </c>
      <c r="S1207" s="58">
        <v>0</v>
      </c>
      <c r="T1207" s="58">
        <v>0</v>
      </c>
      <c r="U1207" s="58">
        <v>0</v>
      </c>
      <c r="V1207" s="58">
        <v>0</v>
      </c>
      <c r="AG1207" t="s">
        <v>1246</v>
      </c>
      <c r="AM1207" s="1" t="str">
        <f t="shared" ref="AM1207:AM1270" si="74">HYPERLINK("E:\CAFNEC_GBRF\2023\JohnstoneRiver\Frames_for_Analysis\" &amp; F1208, F1208)</f>
        <v>1205_C0014_0119.jpg</v>
      </c>
    </row>
    <row r="1208" spans="1:39" x14ac:dyDescent="0.35">
      <c r="A1208">
        <v>1204</v>
      </c>
      <c r="B1208">
        <v>1205</v>
      </c>
      <c r="F1208" s="64" t="s">
        <v>4538</v>
      </c>
      <c r="G1208" s="64"/>
      <c r="H1208" s="64"/>
      <c r="I1208" s="64">
        <v>1</v>
      </c>
      <c r="J1208" s="32" t="str">
        <f>IF(AND(E1208=1,OR(E1207=0,E1207="")),MAX(#REF!)+1,IF(AND(E1208=1,E1207=1),J1207,""))</f>
        <v/>
      </c>
      <c r="K1208" s="32" t="str">
        <f t="shared" si="73"/>
        <v/>
      </c>
      <c r="L1208" s="32" t="str">
        <f t="shared" si="71"/>
        <v/>
      </c>
      <c r="M1208" s="32" t="str">
        <f t="shared" si="72"/>
        <v/>
      </c>
      <c r="N1208" s="4">
        <v>1</v>
      </c>
      <c r="O1208" s="58">
        <v>0</v>
      </c>
      <c r="P1208" s="58">
        <v>0</v>
      </c>
      <c r="Q1208" s="58">
        <v>0</v>
      </c>
      <c r="R1208" s="58">
        <v>0</v>
      </c>
      <c r="S1208" s="58">
        <v>0</v>
      </c>
      <c r="T1208" s="58">
        <v>0</v>
      </c>
      <c r="U1208" s="58">
        <v>0</v>
      </c>
      <c r="V1208" s="58">
        <v>0</v>
      </c>
      <c r="AG1208" t="s">
        <v>1247</v>
      </c>
      <c r="AM1208" s="1" t="str">
        <f t="shared" si="74"/>
        <v>1206_C0014_0116.jpg</v>
      </c>
    </row>
    <row r="1209" spans="1:39" x14ac:dyDescent="0.35">
      <c r="A1209">
        <v>1205</v>
      </c>
      <c r="B1209">
        <v>1206</v>
      </c>
      <c r="F1209" s="64" t="s">
        <v>4539</v>
      </c>
      <c r="G1209" s="64"/>
      <c r="H1209" s="64"/>
      <c r="I1209" s="64">
        <v>1</v>
      </c>
      <c r="J1209" s="32" t="str">
        <f>IF(AND(E1209=1,OR(E1208=0,E1208="")),MAX(#REF!)+1,IF(AND(E1209=1,E1208=1),J1208,""))</f>
        <v/>
      </c>
      <c r="K1209" s="32" t="str">
        <f t="shared" si="73"/>
        <v/>
      </c>
      <c r="L1209" s="32" t="str">
        <f t="shared" si="71"/>
        <v/>
      </c>
      <c r="M1209" s="32" t="str">
        <f t="shared" si="72"/>
        <v/>
      </c>
      <c r="N1209" s="4">
        <v>1</v>
      </c>
      <c r="O1209" s="58">
        <v>0</v>
      </c>
      <c r="P1209" s="58">
        <v>0</v>
      </c>
      <c r="Q1209" s="58">
        <v>0</v>
      </c>
      <c r="R1209" s="58">
        <v>0</v>
      </c>
      <c r="S1209" s="58">
        <v>0</v>
      </c>
      <c r="T1209" s="58">
        <v>0</v>
      </c>
      <c r="U1209" s="58">
        <v>0</v>
      </c>
      <c r="V1209" s="58">
        <v>0</v>
      </c>
      <c r="AG1209" t="s">
        <v>1248</v>
      </c>
      <c r="AM1209" s="1" t="str">
        <f t="shared" si="74"/>
        <v>1207_C0014_0113.jpg</v>
      </c>
    </row>
    <row r="1210" spans="1:39" x14ac:dyDescent="0.35">
      <c r="A1210">
        <v>1206</v>
      </c>
      <c r="B1210">
        <v>1207</v>
      </c>
      <c r="F1210" s="64" t="s">
        <v>4540</v>
      </c>
      <c r="G1210" s="64"/>
      <c r="H1210" s="64"/>
      <c r="I1210" s="64">
        <v>1</v>
      </c>
      <c r="J1210" s="32" t="str">
        <f>IF(AND(E1210=1,OR(E1209=0,E1209="")),MAX(#REF!)+1,IF(AND(E1210=1,E1209=1),J1209,""))</f>
        <v/>
      </c>
      <c r="K1210" s="32" t="str">
        <f t="shared" si="73"/>
        <v/>
      </c>
      <c r="L1210" s="32" t="str">
        <f t="shared" si="71"/>
        <v/>
      </c>
      <c r="M1210" s="32" t="str">
        <f t="shared" si="72"/>
        <v/>
      </c>
      <c r="N1210" s="4">
        <v>1</v>
      </c>
      <c r="O1210" s="58">
        <v>0</v>
      </c>
      <c r="P1210" s="58">
        <v>0</v>
      </c>
      <c r="Q1210" s="58">
        <v>0</v>
      </c>
      <c r="R1210" s="58">
        <v>0</v>
      </c>
      <c r="S1210" s="58">
        <v>0</v>
      </c>
      <c r="T1210" s="58">
        <v>0</v>
      </c>
      <c r="U1210" s="58">
        <v>0</v>
      </c>
      <c r="V1210" s="58">
        <v>0</v>
      </c>
      <c r="AG1210" t="s">
        <v>1249</v>
      </c>
      <c r="AM1210" s="1" t="str">
        <f t="shared" si="74"/>
        <v>1208_C0014_0109.jpg</v>
      </c>
    </row>
    <row r="1211" spans="1:39" x14ac:dyDescent="0.35">
      <c r="A1211">
        <v>1207</v>
      </c>
      <c r="B1211">
        <v>1208</v>
      </c>
      <c r="F1211" s="64" t="s">
        <v>4541</v>
      </c>
      <c r="G1211" s="64"/>
      <c r="H1211" s="64"/>
      <c r="I1211" s="64">
        <v>1</v>
      </c>
      <c r="J1211" s="32" t="str">
        <f>IF(AND(E1211=1,OR(E1210=0,E1210="")),MAX(#REF!)+1,IF(AND(E1211=1,E1210=1),J1210,""))</f>
        <v/>
      </c>
      <c r="K1211" s="32" t="str">
        <f t="shared" si="73"/>
        <v/>
      </c>
      <c r="L1211" s="32" t="str">
        <f t="shared" si="71"/>
        <v/>
      </c>
      <c r="M1211" s="32" t="str">
        <f t="shared" si="72"/>
        <v/>
      </c>
      <c r="N1211" s="4">
        <v>1</v>
      </c>
      <c r="O1211" s="58">
        <v>0</v>
      </c>
      <c r="P1211" s="58">
        <v>0</v>
      </c>
      <c r="Q1211" s="58">
        <v>0</v>
      </c>
      <c r="R1211" s="58">
        <v>0</v>
      </c>
      <c r="S1211" s="58">
        <v>0</v>
      </c>
      <c r="T1211" s="58">
        <v>0</v>
      </c>
      <c r="U1211" s="58">
        <v>0</v>
      </c>
      <c r="V1211" s="58">
        <v>0</v>
      </c>
      <c r="AG1211" t="s">
        <v>1250</v>
      </c>
      <c r="AM1211" s="1" t="str">
        <f t="shared" si="74"/>
        <v>1209_C0014_0107.jpg</v>
      </c>
    </row>
    <row r="1212" spans="1:39" x14ac:dyDescent="0.35">
      <c r="A1212">
        <v>1208</v>
      </c>
      <c r="B1212">
        <v>1209</v>
      </c>
      <c r="F1212" s="64" t="s">
        <v>4542</v>
      </c>
      <c r="G1212" s="64"/>
      <c r="H1212" s="64"/>
      <c r="I1212" s="64">
        <v>1</v>
      </c>
      <c r="J1212" s="32" t="str">
        <f>IF(AND(E1212=1,OR(E1211=0,E1211="")),MAX(#REF!)+1,IF(AND(E1212=1,E1211=1),J1211,""))</f>
        <v/>
      </c>
      <c r="K1212" s="32" t="str">
        <f t="shared" si="73"/>
        <v/>
      </c>
      <c r="L1212" s="32" t="str">
        <f t="shared" si="71"/>
        <v/>
      </c>
      <c r="M1212" s="32" t="str">
        <f t="shared" si="72"/>
        <v/>
      </c>
      <c r="N1212" s="4">
        <v>1</v>
      </c>
      <c r="O1212" s="58">
        <v>0</v>
      </c>
      <c r="P1212" s="58">
        <v>0</v>
      </c>
      <c r="Q1212" s="58">
        <v>0</v>
      </c>
      <c r="R1212" s="58">
        <v>0</v>
      </c>
      <c r="S1212" s="58">
        <v>0</v>
      </c>
      <c r="T1212" s="58">
        <v>0</v>
      </c>
      <c r="U1212" s="58">
        <v>0</v>
      </c>
      <c r="V1212" s="58">
        <v>0</v>
      </c>
      <c r="AG1212" t="s">
        <v>1251</v>
      </c>
      <c r="AM1212" s="1" t="str">
        <f t="shared" si="74"/>
        <v>1210_C0014_0102.jpg</v>
      </c>
    </row>
    <row r="1213" spans="1:39" x14ac:dyDescent="0.35">
      <c r="A1213">
        <v>1209</v>
      </c>
      <c r="B1213">
        <v>1210</v>
      </c>
      <c r="F1213" s="64" t="s">
        <v>4543</v>
      </c>
      <c r="G1213" s="64"/>
      <c r="H1213" s="64"/>
      <c r="I1213" s="64">
        <v>1</v>
      </c>
      <c r="J1213" s="32" t="str">
        <f>IF(AND(E1213=1,OR(E1212=0,E1212="")),MAX(#REF!)+1,IF(AND(E1213=1,E1212=1),J1212,""))</f>
        <v/>
      </c>
      <c r="K1213" s="32" t="str">
        <f t="shared" si="73"/>
        <v/>
      </c>
      <c r="L1213" s="32" t="str">
        <f t="shared" si="71"/>
        <v/>
      </c>
      <c r="M1213" s="32" t="str">
        <f t="shared" si="72"/>
        <v/>
      </c>
      <c r="N1213" s="4">
        <v>1</v>
      </c>
      <c r="O1213" s="58">
        <v>0</v>
      </c>
      <c r="P1213" s="58">
        <v>0</v>
      </c>
      <c r="Q1213" s="58">
        <v>0</v>
      </c>
      <c r="R1213" s="58">
        <v>0</v>
      </c>
      <c r="S1213" s="58">
        <v>0</v>
      </c>
      <c r="T1213" s="58">
        <v>0</v>
      </c>
      <c r="U1213" s="58">
        <v>0</v>
      </c>
      <c r="V1213" s="58">
        <v>0</v>
      </c>
      <c r="AG1213" t="s">
        <v>1252</v>
      </c>
      <c r="AM1213" s="1" t="str">
        <f t="shared" si="74"/>
        <v>1211_C0014_0099.jpg</v>
      </c>
    </row>
    <row r="1214" spans="1:39" x14ac:dyDescent="0.35">
      <c r="A1214">
        <v>1210</v>
      </c>
      <c r="B1214">
        <v>1211</v>
      </c>
      <c r="F1214" s="64" t="s">
        <v>4544</v>
      </c>
      <c r="G1214" s="64"/>
      <c r="H1214" s="64"/>
      <c r="I1214" s="64">
        <v>1</v>
      </c>
      <c r="J1214" s="32" t="str">
        <f>IF(AND(E1214=1,OR(E1213=0,E1213="")),MAX(#REF!)+1,IF(AND(E1214=1,E1213=1),J1213,""))</f>
        <v/>
      </c>
      <c r="K1214" s="32" t="str">
        <f t="shared" si="73"/>
        <v/>
      </c>
      <c r="L1214" s="32" t="str">
        <f t="shared" si="71"/>
        <v/>
      </c>
      <c r="M1214" s="32" t="str">
        <f t="shared" si="72"/>
        <v/>
      </c>
      <c r="N1214" s="4">
        <v>1</v>
      </c>
      <c r="O1214" s="58">
        <v>0</v>
      </c>
      <c r="P1214" s="58">
        <v>0</v>
      </c>
      <c r="Q1214" s="58">
        <v>0</v>
      </c>
      <c r="R1214" s="58">
        <v>0</v>
      </c>
      <c r="S1214" s="58">
        <v>0</v>
      </c>
      <c r="T1214" s="58">
        <v>0</v>
      </c>
      <c r="U1214" s="58">
        <v>0</v>
      </c>
      <c r="V1214" s="58">
        <v>0</v>
      </c>
      <c r="AG1214" t="s">
        <v>1253</v>
      </c>
      <c r="AM1214" s="1" t="str">
        <f t="shared" si="74"/>
        <v>1212_C0014_0095.jpg</v>
      </c>
    </row>
    <row r="1215" spans="1:39" x14ac:dyDescent="0.35">
      <c r="A1215">
        <v>1211</v>
      </c>
      <c r="B1215">
        <v>1212</v>
      </c>
      <c r="F1215" s="64" t="s">
        <v>4545</v>
      </c>
      <c r="G1215" s="64"/>
      <c r="H1215" s="64"/>
      <c r="I1215" s="64">
        <v>1</v>
      </c>
      <c r="J1215" s="32" t="str">
        <f>IF(AND(E1215=1,OR(E1214=0,E1214="")),MAX(#REF!)+1,IF(AND(E1215=1,E1214=1),J1214,""))</f>
        <v/>
      </c>
      <c r="K1215" s="32" t="str">
        <f t="shared" si="73"/>
        <v/>
      </c>
      <c r="L1215" s="32" t="str">
        <f t="shared" si="71"/>
        <v/>
      </c>
      <c r="M1215" s="32" t="str">
        <f t="shared" si="72"/>
        <v/>
      </c>
      <c r="N1215" s="4">
        <v>1</v>
      </c>
      <c r="O1215" s="58">
        <v>0</v>
      </c>
      <c r="P1215" s="58">
        <v>0</v>
      </c>
      <c r="Q1215" s="58">
        <v>0</v>
      </c>
      <c r="R1215" s="58">
        <v>0</v>
      </c>
      <c r="S1215" s="58">
        <v>0</v>
      </c>
      <c r="T1215" s="58">
        <v>0</v>
      </c>
      <c r="U1215" s="58">
        <v>0</v>
      </c>
      <c r="V1215" s="58">
        <v>0</v>
      </c>
      <c r="AG1215" t="s">
        <v>1254</v>
      </c>
      <c r="AM1215" s="1" t="str">
        <f t="shared" si="74"/>
        <v>1213_C0014_0092.jpg</v>
      </c>
    </row>
    <row r="1216" spans="1:39" x14ac:dyDescent="0.35">
      <c r="A1216">
        <v>1212</v>
      </c>
      <c r="B1216">
        <v>1213</v>
      </c>
      <c r="F1216" s="64" t="s">
        <v>4546</v>
      </c>
      <c r="G1216" s="64"/>
      <c r="H1216" s="64"/>
      <c r="I1216" s="64">
        <v>1</v>
      </c>
      <c r="J1216" s="32" t="str">
        <f>IF(AND(E1216=1,OR(E1215=0,E1215="")),MAX(#REF!)+1,IF(AND(E1216=1,E1215=1),J1215,""))</f>
        <v/>
      </c>
      <c r="K1216" s="32" t="str">
        <f t="shared" si="73"/>
        <v/>
      </c>
      <c r="L1216" s="32" t="str">
        <f t="shared" si="71"/>
        <v/>
      </c>
      <c r="M1216" s="32" t="str">
        <f t="shared" si="72"/>
        <v/>
      </c>
      <c r="N1216" s="4">
        <v>1</v>
      </c>
      <c r="O1216" s="58">
        <v>0</v>
      </c>
      <c r="P1216" s="58">
        <v>0</v>
      </c>
      <c r="Q1216" s="58">
        <v>0</v>
      </c>
      <c r="R1216" s="58">
        <v>1</v>
      </c>
      <c r="S1216" s="58">
        <v>0</v>
      </c>
      <c r="T1216" s="58">
        <v>0</v>
      </c>
      <c r="U1216" s="58">
        <v>0</v>
      </c>
      <c r="V1216" s="58">
        <v>0</v>
      </c>
      <c r="AG1216" t="s">
        <v>1255</v>
      </c>
      <c r="AM1216" s="1" t="str">
        <f t="shared" si="74"/>
        <v>1214_C0014_0089.jpg</v>
      </c>
    </row>
    <row r="1217" spans="1:39" x14ac:dyDescent="0.35">
      <c r="A1217">
        <v>1213</v>
      </c>
      <c r="B1217">
        <v>1214</v>
      </c>
      <c r="F1217" s="64" t="s">
        <v>4547</v>
      </c>
      <c r="G1217" s="64"/>
      <c r="H1217" s="64"/>
      <c r="I1217" s="64">
        <v>0</v>
      </c>
      <c r="J1217" s="32" t="str">
        <f>IF(AND(E1217=1,OR(E1216=0,E1216="")),MAX(#REF!)+1,IF(AND(E1217=1,E1216=1),J1216,""))</f>
        <v/>
      </c>
      <c r="K1217" s="32" t="str">
        <f t="shared" si="73"/>
        <v/>
      </c>
      <c r="L1217" s="32" t="str">
        <f t="shared" si="71"/>
        <v/>
      </c>
      <c r="M1217" s="32" t="str">
        <f t="shared" si="72"/>
        <v/>
      </c>
      <c r="N1217" s="4">
        <v>1</v>
      </c>
      <c r="O1217" s="58">
        <v>0</v>
      </c>
      <c r="P1217" s="58">
        <v>0</v>
      </c>
      <c r="Q1217" s="58">
        <v>0</v>
      </c>
      <c r="R1217" s="58">
        <v>0</v>
      </c>
      <c r="S1217" s="58">
        <v>0</v>
      </c>
      <c r="T1217" s="58">
        <v>0</v>
      </c>
      <c r="U1217" s="58">
        <v>0</v>
      </c>
      <c r="V1217" s="58">
        <v>0</v>
      </c>
      <c r="AG1217" t="s">
        <v>1256</v>
      </c>
      <c r="AM1217" s="1" t="str">
        <f t="shared" si="74"/>
        <v>1215_C0014_0085.jpg</v>
      </c>
    </row>
    <row r="1218" spans="1:39" x14ac:dyDescent="0.35">
      <c r="A1218">
        <v>1214</v>
      </c>
      <c r="B1218">
        <v>1215</v>
      </c>
      <c r="F1218" s="64" t="s">
        <v>4548</v>
      </c>
      <c r="G1218" s="64"/>
      <c r="H1218" s="64"/>
      <c r="I1218" s="64">
        <v>0</v>
      </c>
      <c r="J1218" s="32" t="str">
        <f>IF(AND(E1218=1,OR(E1217=0,E1217="")),MAX(#REF!)+1,IF(AND(E1218=1,E1217=1),J1217,""))</f>
        <v/>
      </c>
      <c r="K1218" s="32" t="str">
        <f t="shared" si="73"/>
        <v/>
      </c>
      <c r="L1218" s="32" t="str">
        <f t="shared" si="71"/>
        <v/>
      </c>
      <c r="M1218" s="32" t="str">
        <f t="shared" si="72"/>
        <v/>
      </c>
      <c r="N1218" s="4">
        <v>1</v>
      </c>
      <c r="O1218" s="58">
        <v>0</v>
      </c>
      <c r="P1218" s="58">
        <v>0</v>
      </c>
      <c r="Q1218" s="58">
        <v>0</v>
      </c>
      <c r="R1218" s="58">
        <v>0</v>
      </c>
      <c r="S1218" s="58">
        <v>0</v>
      </c>
      <c r="T1218" s="58">
        <v>0</v>
      </c>
      <c r="U1218" s="58">
        <v>0</v>
      </c>
      <c r="V1218" s="58">
        <v>0</v>
      </c>
      <c r="AG1218" t="s">
        <v>1257</v>
      </c>
      <c r="AM1218" s="1" t="str">
        <f t="shared" si="74"/>
        <v>1216_C0014_0083.jpg</v>
      </c>
    </row>
    <row r="1219" spans="1:39" x14ac:dyDescent="0.35">
      <c r="A1219">
        <v>1215</v>
      </c>
      <c r="B1219">
        <v>1216</v>
      </c>
      <c r="F1219" s="64" t="s">
        <v>4549</v>
      </c>
      <c r="G1219" s="64"/>
      <c r="H1219" s="64"/>
      <c r="I1219" s="64">
        <v>0</v>
      </c>
      <c r="J1219" s="32" t="str">
        <f>IF(AND(E1219=1,OR(E1218=0,E1218="")),MAX(#REF!)+1,IF(AND(E1219=1,E1218=1),J1218,""))</f>
        <v/>
      </c>
      <c r="K1219" s="32" t="str">
        <f t="shared" si="73"/>
        <v/>
      </c>
      <c r="L1219" s="32" t="str">
        <f t="shared" si="71"/>
        <v/>
      </c>
      <c r="M1219" s="32" t="str">
        <f t="shared" si="72"/>
        <v/>
      </c>
      <c r="N1219" s="4">
        <v>1</v>
      </c>
      <c r="O1219" s="58">
        <v>0</v>
      </c>
      <c r="P1219" s="58">
        <v>0</v>
      </c>
      <c r="Q1219" s="58">
        <v>0</v>
      </c>
      <c r="R1219" s="58">
        <v>0</v>
      </c>
      <c r="S1219" s="58">
        <v>0</v>
      </c>
      <c r="T1219" s="58">
        <v>0</v>
      </c>
      <c r="U1219" s="58">
        <v>0</v>
      </c>
      <c r="V1219" s="58">
        <v>0</v>
      </c>
      <c r="AG1219" t="s">
        <v>1258</v>
      </c>
      <c r="AM1219" s="1" t="str">
        <f t="shared" si="74"/>
        <v>1217_C0014_0079.jpg</v>
      </c>
    </row>
    <row r="1220" spans="1:39" x14ac:dyDescent="0.35">
      <c r="A1220">
        <v>1216</v>
      </c>
      <c r="B1220">
        <v>1217</v>
      </c>
      <c r="F1220" s="64" t="s">
        <v>4550</v>
      </c>
      <c r="G1220" s="64"/>
      <c r="H1220" s="64"/>
      <c r="I1220" s="64">
        <v>0</v>
      </c>
      <c r="J1220" s="32" t="str">
        <f>IF(AND(E1220=1,OR(E1219=0,E1219="")),MAX(#REF!)+1,IF(AND(E1220=1,E1219=1),J1219,""))</f>
        <v/>
      </c>
      <c r="K1220" s="32" t="str">
        <f t="shared" si="73"/>
        <v/>
      </c>
      <c r="L1220" s="32" t="str">
        <f t="shared" ref="L1220:L1283" si="75">IF(K1220="","",IF(K1220&gt;=100,"HV",""))</f>
        <v/>
      </c>
      <c r="M1220" s="32" t="str">
        <f t="shared" ref="M1220:M1283" si="76">IF(K1220&lt;&gt;"",K1220^2,"")</f>
        <v/>
      </c>
      <c r="N1220" s="4">
        <v>2</v>
      </c>
      <c r="O1220" s="58">
        <v>0</v>
      </c>
      <c r="P1220" s="58">
        <v>1</v>
      </c>
      <c r="Q1220" s="58">
        <v>0</v>
      </c>
      <c r="R1220" s="58">
        <v>0</v>
      </c>
      <c r="S1220" s="58">
        <v>0</v>
      </c>
      <c r="T1220" s="58">
        <v>0</v>
      </c>
      <c r="U1220" s="58">
        <v>0</v>
      </c>
      <c r="V1220" s="58">
        <v>0</v>
      </c>
      <c r="AG1220" t="s">
        <v>1259</v>
      </c>
      <c r="AM1220" s="1" t="str">
        <f t="shared" si="74"/>
        <v>1218_C0014_0076.jpg</v>
      </c>
    </row>
    <row r="1221" spans="1:39" x14ac:dyDescent="0.35">
      <c r="A1221">
        <v>1217</v>
      </c>
      <c r="B1221">
        <v>1218</v>
      </c>
      <c r="F1221" s="64" t="s">
        <v>4551</v>
      </c>
      <c r="G1221" s="64"/>
      <c r="H1221" s="64"/>
      <c r="I1221" s="64">
        <v>1</v>
      </c>
      <c r="J1221" s="32" t="str">
        <f>IF(AND(E1221=1,OR(E1220=0,E1220="")),MAX(#REF!)+1,IF(AND(E1221=1,E1220=1),J1220,""))</f>
        <v/>
      </c>
      <c r="K1221" s="32" t="str">
        <f t="shared" si="73"/>
        <v/>
      </c>
      <c r="L1221" s="32" t="str">
        <f t="shared" si="75"/>
        <v/>
      </c>
      <c r="M1221" s="32" t="str">
        <f t="shared" si="76"/>
        <v/>
      </c>
      <c r="N1221" s="4">
        <v>2</v>
      </c>
      <c r="O1221" s="58">
        <v>0</v>
      </c>
      <c r="P1221" s="58">
        <v>1</v>
      </c>
      <c r="Q1221" s="58">
        <v>0</v>
      </c>
      <c r="R1221" s="58">
        <v>0</v>
      </c>
      <c r="S1221" s="58">
        <v>0</v>
      </c>
      <c r="T1221" s="58">
        <v>0</v>
      </c>
      <c r="U1221" s="58">
        <v>0</v>
      </c>
      <c r="V1221" s="58">
        <v>0</v>
      </c>
      <c r="AG1221" t="s">
        <v>1260</v>
      </c>
      <c r="AM1221" s="1" t="str">
        <f t="shared" si="74"/>
        <v>1219_C0014_0073.jpg</v>
      </c>
    </row>
    <row r="1222" spans="1:39" x14ac:dyDescent="0.35">
      <c r="A1222">
        <v>1218</v>
      </c>
      <c r="B1222">
        <v>1219</v>
      </c>
      <c r="F1222" s="64" t="s">
        <v>4552</v>
      </c>
      <c r="G1222" s="64"/>
      <c r="H1222" s="64"/>
      <c r="I1222" s="64">
        <v>1</v>
      </c>
      <c r="J1222" s="32" t="str">
        <f>IF(AND(E1222=1,OR(E1221=0,E1221="")),MAX(#REF!)+1,IF(AND(E1222=1,E1221=1),J1221,""))</f>
        <v/>
      </c>
      <c r="K1222" s="32" t="str">
        <f t="shared" si="73"/>
        <v/>
      </c>
      <c r="L1222" s="32" t="str">
        <f t="shared" si="75"/>
        <v/>
      </c>
      <c r="M1222" s="32" t="str">
        <f t="shared" si="76"/>
        <v/>
      </c>
      <c r="N1222" s="4">
        <v>2</v>
      </c>
      <c r="O1222" s="58">
        <v>0</v>
      </c>
      <c r="P1222" s="58">
        <v>1</v>
      </c>
      <c r="Q1222" s="58">
        <v>0</v>
      </c>
      <c r="R1222" s="58">
        <v>0</v>
      </c>
      <c r="S1222" s="58">
        <v>0</v>
      </c>
      <c r="T1222" s="58">
        <v>0</v>
      </c>
      <c r="U1222" s="58">
        <v>0</v>
      </c>
      <c r="V1222" s="58">
        <v>0</v>
      </c>
      <c r="AG1222" t="s">
        <v>1261</v>
      </c>
      <c r="AM1222" s="1" t="str">
        <f t="shared" si="74"/>
        <v>1220_C0014_0069.jpg</v>
      </c>
    </row>
    <row r="1223" spans="1:39" x14ac:dyDescent="0.35">
      <c r="A1223">
        <v>1219</v>
      </c>
      <c r="B1223">
        <v>1220</v>
      </c>
      <c r="F1223" s="64" t="s">
        <v>4553</v>
      </c>
      <c r="G1223" s="64"/>
      <c r="H1223" s="64"/>
      <c r="I1223" s="64">
        <v>0</v>
      </c>
      <c r="J1223" s="32" t="str">
        <f>IF(AND(E1223=1,OR(E1222=0,E1222="")),MAX(#REF!)+1,IF(AND(E1223=1,E1222=1),J1222,""))</f>
        <v/>
      </c>
      <c r="K1223" s="32" t="str">
        <f t="shared" si="73"/>
        <v/>
      </c>
      <c r="L1223" s="32" t="str">
        <f t="shared" si="75"/>
        <v/>
      </c>
      <c r="M1223" s="32" t="str">
        <f t="shared" si="76"/>
        <v/>
      </c>
      <c r="N1223" s="4">
        <v>2</v>
      </c>
      <c r="O1223" s="58">
        <v>0</v>
      </c>
      <c r="P1223" s="58">
        <v>1</v>
      </c>
      <c r="Q1223" s="58">
        <v>0</v>
      </c>
      <c r="R1223" s="58">
        <v>0</v>
      </c>
      <c r="S1223" s="58">
        <v>0</v>
      </c>
      <c r="T1223" s="58">
        <v>0</v>
      </c>
      <c r="U1223" s="58">
        <v>0</v>
      </c>
      <c r="V1223" s="58">
        <v>0</v>
      </c>
      <c r="AG1223" t="s">
        <v>1262</v>
      </c>
      <c r="AM1223" s="1" t="str">
        <f t="shared" si="74"/>
        <v>1221_C0014_0065.jpg</v>
      </c>
    </row>
    <row r="1224" spans="1:39" x14ac:dyDescent="0.35">
      <c r="A1224">
        <v>1220</v>
      </c>
      <c r="B1224">
        <v>1221</v>
      </c>
      <c r="F1224" s="64" t="s">
        <v>4554</v>
      </c>
      <c r="G1224" s="64"/>
      <c r="H1224" s="64"/>
      <c r="I1224" s="64">
        <v>1</v>
      </c>
      <c r="J1224" s="32" t="str">
        <f>IF(AND(E1224=1,OR(E1223=0,E1223="")),MAX(#REF!)+1,IF(AND(E1224=1,E1223=1),J1223,""))</f>
        <v/>
      </c>
      <c r="K1224" s="32" t="str">
        <f t="shared" si="73"/>
        <v/>
      </c>
      <c r="L1224" s="32" t="str">
        <f t="shared" si="75"/>
        <v/>
      </c>
      <c r="M1224" s="32" t="str">
        <f t="shared" si="76"/>
        <v/>
      </c>
      <c r="N1224" s="4">
        <v>2</v>
      </c>
      <c r="O1224" s="58">
        <v>0</v>
      </c>
      <c r="P1224" s="58">
        <v>1</v>
      </c>
      <c r="Q1224" s="58">
        <v>0</v>
      </c>
      <c r="R1224" s="58">
        <v>0</v>
      </c>
      <c r="S1224" s="58">
        <v>0</v>
      </c>
      <c r="T1224" s="58">
        <v>0</v>
      </c>
      <c r="U1224" s="58">
        <v>0</v>
      </c>
      <c r="V1224" s="58">
        <v>0</v>
      </c>
      <c r="AG1224" t="s">
        <v>1263</v>
      </c>
      <c r="AM1224" s="1" t="str">
        <f t="shared" si="74"/>
        <v>1222_C0014_0060.jpg</v>
      </c>
    </row>
    <row r="1225" spans="1:39" x14ac:dyDescent="0.35">
      <c r="A1225">
        <v>1221</v>
      </c>
      <c r="B1225">
        <v>1222</v>
      </c>
      <c r="F1225" s="64" t="s">
        <v>4555</v>
      </c>
      <c r="G1225" s="64"/>
      <c r="H1225" s="64"/>
      <c r="I1225" s="64">
        <v>1</v>
      </c>
      <c r="J1225" s="32" t="str">
        <f>IF(AND(E1225=1,OR(E1224=0,E1224="")),MAX(#REF!)+1,IF(AND(E1225=1,E1224=1),J1224,""))</f>
        <v/>
      </c>
      <c r="K1225" s="32" t="str">
        <f t="shared" si="73"/>
        <v/>
      </c>
      <c r="L1225" s="32" t="str">
        <f t="shared" si="75"/>
        <v/>
      </c>
      <c r="M1225" s="32" t="str">
        <f t="shared" si="76"/>
        <v/>
      </c>
      <c r="N1225" s="4">
        <v>2</v>
      </c>
      <c r="O1225" s="58">
        <v>0</v>
      </c>
      <c r="P1225" s="58">
        <v>1</v>
      </c>
      <c r="Q1225" s="58">
        <v>0</v>
      </c>
      <c r="R1225" s="58">
        <v>0</v>
      </c>
      <c r="S1225" s="58">
        <v>0</v>
      </c>
      <c r="T1225" s="58">
        <v>0</v>
      </c>
      <c r="U1225" s="58">
        <v>0</v>
      </c>
      <c r="V1225" s="58">
        <v>0</v>
      </c>
      <c r="AG1225" t="s">
        <v>1264</v>
      </c>
      <c r="AM1225" s="1" t="str">
        <f t="shared" si="74"/>
        <v>1223_C0014_0058.jpg</v>
      </c>
    </row>
    <row r="1226" spans="1:39" x14ac:dyDescent="0.35">
      <c r="A1226">
        <v>1222</v>
      </c>
      <c r="B1226">
        <v>1223</v>
      </c>
      <c r="F1226" s="64" t="s">
        <v>4556</v>
      </c>
      <c r="G1226" s="64"/>
      <c r="H1226" s="64"/>
      <c r="I1226" s="64">
        <v>1</v>
      </c>
      <c r="J1226" s="32" t="str">
        <f>IF(AND(E1226=1,OR(E1225=0,E1225="")),MAX(#REF!)+1,IF(AND(E1226=1,E1225=1),J1225,""))</f>
        <v/>
      </c>
      <c r="K1226" s="32" t="str">
        <f t="shared" si="73"/>
        <v/>
      </c>
      <c r="L1226" s="32" t="str">
        <f t="shared" si="75"/>
        <v/>
      </c>
      <c r="M1226" s="32" t="str">
        <f t="shared" si="76"/>
        <v/>
      </c>
      <c r="N1226" s="4">
        <v>2</v>
      </c>
      <c r="O1226" s="58">
        <v>0</v>
      </c>
      <c r="P1226" s="58">
        <v>1</v>
      </c>
      <c r="Q1226" s="58">
        <v>0</v>
      </c>
      <c r="R1226" s="58">
        <v>0</v>
      </c>
      <c r="S1226" s="58">
        <v>0</v>
      </c>
      <c r="T1226" s="58">
        <v>0</v>
      </c>
      <c r="U1226" s="58">
        <v>0</v>
      </c>
      <c r="V1226" s="58">
        <v>0</v>
      </c>
      <c r="AG1226" t="s">
        <v>1265</v>
      </c>
      <c r="AM1226" s="1" t="str">
        <f t="shared" si="74"/>
        <v>1224_C0014_0056.jpg</v>
      </c>
    </row>
    <row r="1227" spans="1:39" x14ac:dyDescent="0.35">
      <c r="A1227">
        <v>1223</v>
      </c>
      <c r="B1227">
        <v>1224</v>
      </c>
      <c r="F1227" s="64" t="s">
        <v>4557</v>
      </c>
      <c r="G1227" s="64"/>
      <c r="H1227" s="64"/>
      <c r="I1227" s="64">
        <v>1</v>
      </c>
      <c r="J1227" s="32" t="str">
        <f>IF(AND(E1227=1,OR(E1226=0,E1226="")),MAX(#REF!)+1,IF(AND(E1227=1,E1226=1),J1226,""))</f>
        <v/>
      </c>
      <c r="K1227" s="32" t="str">
        <f t="shared" si="73"/>
        <v/>
      </c>
      <c r="L1227" s="32" t="str">
        <f t="shared" si="75"/>
        <v/>
      </c>
      <c r="M1227" s="32" t="str">
        <f t="shared" si="76"/>
        <v/>
      </c>
      <c r="N1227" s="4">
        <v>2</v>
      </c>
      <c r="O1227" s="58">
        <v>0</v>
      </c>
      <c r="P1227" s="58">
        <v>1</v>
      </c>
      <c r="Q1227" s="58">
        <v>0</v>
      </c>
      <c r="R1227" s="58">
        <v>0</v>
      </c>
      <c r="S1227" s="58">
        <v>0</v>
      </c>
      <c r="T1227" s="58">
        <v>0</v>
      </c>
      <c r="U1227" s="58">
        <v>0</v>
      </c>
      <c r="V1227" s="58">
        <v>0</v>
      </c>
      <c r="AG1227" t="s">
        <v>1266</v>
      </c>
      <c r="AM1227" s="1" t="str">
        <f t="shared" si="74"/>
        <v>1225_C0014_0001.jpg</v>
      </c>
    </row>
    <row r="1228" spans="1:39" x14ac:dyDescent="0.35">
      <c r="A1228">
        <v>1224</v>
      </c>
      <c r="B1228">
        <v>1225</v>
      </c>
      <c r="F1228" s="64" t="s">
        <v>4558</v>
      </c>
      <c r="G1228" s="64"/>
      <c r="H1228" s="64"/>
      <c r="I1228" s="64">
        <v>0</v>
      </c>
      <c r="J1228" s="32" t="str">
        <f>IF(AND(E1228=1,OR(E1227=0,E1227="")),MAX(#REF!)+1,IF(AND(E1228=1,E1227=1),J1227,""))</f>
        <v/>
      </c>
      <c r="K1228" s="32" t="str">
        <f t="shared" si="73"/>
        <v/>
      </c>
      <c r="L1228" s="32" t="str">
        <f t="shared" si="75"/>
        <v/>
      </c>
      <c r="M1228" s="32" t="str">
        <f t="shared" si="76"/>
        <v/>
      </c>
      <c r="N1228" s="4">
        <v>2</v>
      </c>
      <c r="O1228" s="58">
        <v>0</v>
      </c>
      <c r="P1228" s="58">
        <v>1</v>
      </c>
      <c r="Q1228" s="58">
        <v>0</v>
      </c>
      <c r="R1228" s="58">
        <v>0</v>
      </c>
      <c r="S1228" s="58">
        <v>0</v>
      </c>
      <c r="T1228" s="58">
        <v>0</v>
      </c>
      <c r="U1228" s="58">
        <v>0</v>
      </c>
      <c r="V1228" s="58">
        <v>0</v>
      </c>
      <c r="AG1228" t="s">
        <v>1267</v>
      </c>
      <c r="AM1228" s="1" t="str">
        <f t="shared" si="74"/>
        <v>1226_C0014_0047.jpg</v>
      </c>
    </row>
    <row r="1229" spans="1:39" x14ac:dyDescent="0.35">
      <c r="A1229">
        <v>1225</v>
      </c>
      <c r="B1229">
        <v>1226</v>
      </c>
      <c r="F1229" s="64" t="s">
        <v>4559</v>
      </c>
      <c r="G1229" s="64"/>
      <c r="H1229" s="64"/>
      <c r="I1229" s="64">
        <v>1</v>
      </c>
      <c r="J1229" s="32" t="str">
        <f>IF(AND(E1229=1,OR(E1228=0,E1228="")),MAX(#REF!)+1,IF(AND(E1229=1,E1228=1),J1228,""))</f>
        <v/>
      </c>
      <c r="K1229" s="32" t="str">
        <f t="shared" si="73"/>
        <v/>
      </c>
      <c r="L1229" s="32" t="str">
        <f t="shared" si="75"/>
        <v/>
      </c>
      <c r="M1229" s="32" t="str">
        <f t="shared" si="76"/>
        <v/>
      </c>
      <c r="N1229" s="4">
        <v>2</v>
      </c>
      <c r="O1229" s="58">
        <v>0</v>
      </c>
      <c r="P1229" s="58">
        <v>1</v>
      </c>
      <c r="Q1229" s="58">
        <v>0</v>
      </c>
      <c r="R1229" s="58">
        <v>0</v>
      </c>
      <c r="S1229" s="58">
        <v>0</v>
      </c>
      <c r="T1229" s="58">
        <v>0</v>
      </c>
      <c r="U1229" s="58">
        <v>0</v>
      </c>
      <c r="V1229" s="58">
        <v>0</v>
      </c>
      <c r="AG1229" t="s">
        <v>1268</v>
      </c>
      <c r="AM1229" s="1" t="str">
        <f t="shared" si="74"/>
        <v>1227_C0014_0043.jpg</v>
      </c>
    </row>
    <row r="1230" spans="1:39" x14ac:dyDescent="0.35">
      <c r="A1230">
        <v>1226</v>
      </c>
      <c r="B1230">
        <v>1227</v>
      </c>
      <c r="F1230" s="64" t="s">
        <v>4560</v>
      </c>
      <c r="G1230" s="64"/>
      <c r="H1230" s="64"/>
      <c r="I1230" s="64">
        <v>0</v>
      </c>
      <c r="J1230" s="32" t="str">
        <f>IF(AND(E1230=1,OR(E1229=0,E1229="")),MAX(#REF!)+1,IF(AND(E1230=1,E1229=1),J1229,""))</f>
        <v/>
      </c>
      <c r="K1230" s="32" t="str">
        <f t="shared" si="73"/>
        <v/>
      </c>
      <c r="L1230" s="32" t="str">
        <f t="shared" si="75"/>
        <v/>
      </c>
      <c r="M1230" s="32" t="str">
        <f t="shared" si="76"/>
        <v/>
      </c>
      <c r="N1230" s="4">
        <v>2</v>
      </c>
      <c r="O1230" s="58">
        <v>0</v>
      </c>
      <c r="P1230" s="58">
        <v>1</v>
      </c>
      <c r="Q1230" s="58">
        <v>0</v>
      </c>
      <c r="R1230" s="58">
        <v>0</v>
      </c>
      <c r="S1230" s="58">
        <v>0</v>
      </c>
      <c r="T1230" s="58">
        <v>0</v>
      </c>
      <c r="U1230" s="58">
        <v>0</v>
      </c>
      <c r="V1230" s="58">
        <v>0</v>
      </c>
      <c r="AG1230" t="s">
        <v>1269</v>
      </c>
      <c r="AM1230" s="1" t="str">
        <f t="shared" si="74"/>
        <v>1228_C0014_0038.jpg</v>
      </c>
    </row>
    <row r="1231" spans="1:39" x14ac:dyDescent="0.35">
      <c r="A1231">
        <v>1227</v>
      </c>
      <c r="B1231">
        <v>1228</v>
      </c>
      <c r="F1231" s="64" t="s">
        <v>4561</v>
      </c>
      <c r="G1231" s="64"/>
      <c r="H1231" s="64"/>
      <c r="I1231" s="64">
        <v>0</v>
      </c>
      <c r="J1231" s="32" t="str">
        <f>IF(AND(E1231=1,OR(E1230=0,E1230="")),MAX(#REF!)+1,IF(AND(E1231=1,E1230=1),J1230,""))</f>
        <v/>
      </c>
      <c r="K1231" s="32" t="str">
        <f t="shared" si="73"/>
        <v/>
      </c>
      <c r="L1231" s="32" t="str">
        <f t="shared" si="75"/>
        <v/>
      </c>
      <c r="M1231" s="32" t="str">
        <f t="shared" si="76"/>
        <v/>
      </c>
      <c r="N1231" s="4">
        <v>2</v>
      </c>
      <c r="O1231" s="58">
        <v>0</v>
      </c>
      <c r="P1231" s="58">
        <v>1</v>
      </c>
      <c r="Q1231" s="58">
        <v>0</v>
      </c>
      <c r="R1231" s="58">
        <v>0</v>
      </c>
      <c r="S1231" s="58">
        <v>0</v>
      </c>
      <c r="T1231" s="58">
        <v>0</v>
      </c>
      <c r="U1231" s="58">
        <v>0</v>
      </c>
      <c r="V1231" s="58">
        <v>0</v>
      </c>
      <c r="AG1231" t="s">
        <v>1270</v>
      </c>
      <c r="AM1231" s="1" t="str">
        <f t="shared" si="74"/>
        <v>1229_C0014_0036.jpg</v>
      </c>
    </row>
    <row r="1232" spans="1:39" x14ac:dyDescent="0.35">
      <c r="A1232">
        <v>1228</v>
      </c>
      <c r="B1232">
        <v>1229</v>
      </c>
      <c r="F1232" s="64" t="s">
        <v>4562</v>
      </c>
      <c r="G1232" s="64"/>
      <c r="H1232" s="64"/>
      <c r="I1232" s="64">
        <v>0</v>
      </c>
      <c r="J1232" s="32" t="str">
        <f>IF(AND(E1232=1,OR(E1231=0,E1231="")),MAX(#REF!)+1,IF(AND(E1232=1,E1231=1),J1231,""))</f>
        <v/>
      </c>
      <c r="K1232" s="32" t="str">
        <f t="shared" si="73"/>
        <v/>
      </c>
      <c r="L1232" s="32" t="str">
        <f t="shared" si="75"/>
        <v/>
      </c>
      <c r="M1232" s="32" t="str">
        <f t="shared" si="76"/>
        <v/>
      </c>
      <c r="N1232" s="4">
        <v>2</v>
      </c>
      <c r="O1232" s="58">
        <v>0</v>
      </c>
      <c r="P1232" s="58">
        <v>1</v>
      </c>
      <c r="Q1232" s="58">
        <v>0</v>
      </c>
      <c r="R1232" s="58">
        <v>0</v>
      </c>
      <c r="S1232" s="58">
        <v>0</v>
      </c>
      <c r="T1232" s="58">
        <v>0</v>
      </c>
      <c r="U1232" s="58">
        <v>0</v>
      </c>
      <c r="V1232" s="58">
        <v>0</v>
      </c>
      <c r="AG1232" t="s">
        <v>1271</v>
      </c>
      <c r="AM1232" s="1" t="str">
        <f t="shared" si="74"/>
        <v>1230_C0014_0033.jpg</v>
      </c>
    </row>
    <row r="1233" spans="1:39" x14ac:dyDescent="0.35">
      <c r="A1233">
        <v>1229</v>
      </c>
      <c r="B1233">
        <v>1230</v>
      </c>
      <c r="F1233" s="64" t="s">
        <v>4563</v>
      </c>
      <c r="G1233" s="64"/>
      <c r="H1233" s="64"/>
      <c r="I1233" s="64">
        <v>1</v>
      </c>
      <c r="J1233" s="32" t="str">
        <f>IF(AND(E1233=1,OR(E1232=0,E1232="")),MAX(#REF!)+1,IF(AND(E1233=1,E1232=1),J1232,""))</f>
        <v/>
      </c>
      <c r="K1233" s="32" t="str">
        <f t="shared" si="73"/>
        <v/>
      </c>
      <c r="L1233" s="32" t="str">
        <f t="shared" si="75"/>
        <v/>
      </c>
      <c r="M1233" s="32" t="str">
        <f t="shared" si="76"/>
        <v/>
      </c>
      <c r="N1233" s="4">
        <v>2</v>
      </c>
      <c r="O1233" s="58">
        <v>0</v>
      </c>
      <c r="P1233" s="58">
        <v>1</v>
      </c>
      <c r="Q1233" s="58">
        <v>0</v>
      </c>
      <c r="R1233" s="58">
        <v>0</v>
      </c>
      <c r="S1233" s="58">
        <v>0</v>
      </c>
      <c r="T1233" s="58">
        <v>0</v>
      </c>
      <c r="U1233" s="58">
        <v>0</v>
      </c>
      <c r="V1233" s="58">
        <v>0</v>
      </c>
      <c r="AG1233" t="s">
        <v>1272</v>
      </c>
      <c r="AM1233" s="1" t="str">
        <f t="shared" si="74"/>
        <v>1231_C0014_0030.jpg</v>
      </c>
    </row>
    <row r="1234" spans="1:39" x14ac:dyDescent="0.35">
      <c r="A1234">
        <v>1230</v>
      </c>
      <c r="B1234">
        <v>1231</v>
      </c>
      <c r="F1234" s="64" t="s">
        <v>4564</v>
      </c>
      <c r="G1234" s="64"/>
      <c r="H1234" s="64"/>
      <c r="I1234" s="64">
        <v>0</v>
      </c>
      <c r="J1234" s="32" t="str">
        <f>IF(AND(E1234=1,OR(E1233=0,E1233="")),MAX(#REF!)+1,IF(AND(E1234=1,E1233=1),J1233,""))</f>
        <v/>
      </c>
      <c r="K1234" s="32" t="str">
        <f t="shared" si="73"/>
        <v/>
      </c>
      <c r="L1234" s="32" t="str">
        <f t="shared" si="75"/>
        <v/>
      </c>
      <c r="M1234" s="32" t="str">
        <f t="shared" si="76"/>
        <v/>
      </c>
      <c r="N1234" s="4">
        <v>2</v>
      </c>
      <c r="O1234" s="58">
        <v>0</v>
      </c>
      <c r="P1234" s="58">
        <v>1</v>
      </c>
      <c r="Q1234" s="58">
        <v>0</v>
      </c>
      <c r="R1234" s="58">
        <v>0</v>
      </c>
      <c r="S1234" s="58">
        <v>0</v>
      </c>
      <c r="T1234" s="58">
        <v>0</v>
      </c>
      <c r="U1234" s="58">
        <v>0</v>
      </c>
      <c r="V1234" s="58">
        <v>0</v>
      </c>
      <c r="AG1234" t="s">
        <v>1273</v>
      </c>
      <c r="AM1234" s="1" t="str">
        <f t="shared" si="74"/>
        <v>1232_C0014_0027.jpg</v>
      </c>
    </row>
    <row r="1235" spans="1:39" x14ac:dyDescent="0.35">
      <c r="A1235">
        <v>1231</v>
      </c>
      <c r="B1235">
        <v>1232</v>
      </c>
      <c r="F1235" s="64" t="s">
        <v>4565</v>
      </c>
      <c r="G1235" s="64"/>
      <c r="H1235" s="64"/>
      <c r="I1235" s="64">
        <v>0</v>
      </c>
      <c r="J1235" s="32" t="str">
        <f>IF(AND(E1235=1,OR(E1234=0,E1234="")),MAX(#REF!)+1,IF(AND(E1235=1,E1234=1),J1234,""))</f>
        <v/>
      </c>
      <c r="K1235" s="32" t="str">
        <f t="shared" si="73"/>
        <v/>
      </c>
      <c r="L1235" s="32" t="str">
        <f t="shared" si="75"/>
        <v/>
      </c>
      <c r="M1235" s="32" t="str">
        <f t="shared" si="76"/>
        <v/>
      </c>
      <c r="N1235" s="4">
        <v>2</v>
      </c>
      <c r="O1235" s="58">
        <v>0</v>
      </c>
      <c r="P1235" s="58">
        <v>1</v>
      </c>
      <c r="Q1235" s="58">
        <v>0</v>
      </c>
      <c r="R1235" s="58">
        <v>0</v>
      </c>
      <c r="S1235" s="58">
        <v>0</v>
      </c>
      <c r="T1235" s="58">
        <v>0</v>
      </c>
      <c r="U1235" s="58">
        <v>0</v>
      </c>
      <c r="V1235" s="58">
        <v>0</v>
      </c>
      <c r="AG1235" t="s">
        <v>1274</v>
      </c>
      <c r="AM1235" s="1" t="str">
        <f t="shared" si="74"/>
        <v>1233_C0014_0024.jpg</v>
      </c>
    </row>
    <row r="1236" spans="1:39" x14ac:dyDescent="0.35">
      <c r="A1236">
        <v>1232</v>
      </c>
      <c r="B1236">
        <v>1233</v>
      </c>
      <c r="F1236" s="64" t="s">
        <v>4566</v>
      </c>
      <c r="G1236" s="64"/>
      <c r="H1236" s="64"/>
      <c r="I1236" s="64">
        <v>0</v>
      </c>
      <c r="J1236" s="32" t="str">
        <f>IF(AND(E1236=1,OR(E1235=0,E1235="")),MAX(#REF!)+1,IF(AND(E1236=1,E1235=1),J1235,""))</f>
        <v/>
      </c>
      <c r="K1236" s="32" t="str">
        <f t="shared" si="73"/>
        <v/>
      </c>
      <c r="L1236" s="32" t="str">
        <f t="shared" si="75"/>
        <v/>
      </c>
      <c r="M1236" s="32" t="str">
        <f t="shared" si="76"/>
        <v/>
      </c>
      <c r="N1236" s="4">
        <v>2</v>
      </c>
      <c r="O1236" s="58">
        <v>0</v>
      </c>
      <c r="P1236" s="58">
        <v>1</v>
      </c>
      <c r="Q1236" s="58">
        <v>0</v>
      </c>
      <c r="R1236" s="58">
        <v>0</v>
      </c>
      <c r="S1236" s="58">
        <v>0</v>
      </c>
      <c r="T1236" s="58">
        <v>0</v>
      </c>
      <c r="U1236" s="58">
        <v>0</v>
      </c>
      <c r="V1236" s="58">
        <v>0</v>
      </c>
      <c r="AG1236" t="s">
        <v>1275</v>
      </c>
      <c r="AM1236" s="1" t="str">
        <f t="shared" si="74"/>
        <v>1234_C0014_0020.jpg</v>
      </c>
    </row>
    <row r="1237" spans="1:39" x14ac:dyDescent="0.35">
      <c r="A1237">
        <v>1233</v>
      </c>
      <c r="B1237">
        <v>1234</v>
      </c>
      <c r="F1237" s="64" t="s">
        <v>4567</v>
      </c>
      <c r="G1237" s="64"/>
      <c r="H1237" s="64"/>
      <c r="I1237" s="64">
        <v>0</v>
      </c>
      <c r="J1237" s="32" t="str">
        <f>IF(AND(E1237=1,OR(E1236=0,E1236="")),MAX(#REF!)+1,IF(AND(E1237=1,E1236=1),J1236,""))</f>
        <v/>
      </c>
      <c r="K1237" s="32" t="str">
        <f t="shared" si="73"/>
        <v/>
      </c>
      <c r="L1237" s="32" t="str">
        <f t="shared" si="75"/>
        <v/>
      </c>
      <c r="M1237" s="32" t="str">
        <f t="shared" si="76"/>
        <v/>
      </c>
      <c r="N1237" s="4">
        <v>2</v>
      </c>
      <c r="O1237" s="58">
        <v>0</v>
      </c>
      <c r="P1237" s="58">
        <v>1</v>
      </c>
      <c r="Q1237" s="58">
        <v>0</v>
      </c>
      <c r="R1237" s="58">
        <v>0</v>
      </c>
      <c r="S1237" s="58">
        <v>0</v>
      </c>
      <c r="T1237" s="58">
        <v>0</v>
      </c>
      <c r="U1237" s="58">
        <v>0</v>
      </c>
      <c r="V1237" s="58">
        <v>0</v>
      </c>
      <c r="AG1237" t="s">
        <v>1276</v>
      </c>
      <c r="AM1237" s="1" t="str">
        <f t="shared" si="74"/>
        <v>1235_C0014_0003.jpg</v>
      </c>
    </row>
    <row r="1238" spans="1:39" x14ac:dyDescent="0.35">
      <c r="A1238">
        <v>1234</v>
      </c>
      <c r="B1238">
        <v>1235</v>
      </c>
      <c r="F1238" s="64" t="s">
        <v>4568</v>
      </c>
      <c r="G1238" s="64"/>
      <c r="H1238" s="64"/>
      <c r="I1238" s="64">
        <v>1</v>
      </c>
      <c r="J1238" s="32" t="str">
        <f>IF(AND(E1238=1,OR(E1237=0,E1237="")),MAX(#REF!)+1,IF(AND(E1238=1,E1237=1),J1237,""))</f>
        <v/>
      </c>
      <c r="K1238" s="32" t="str">
        <f t="shared" si="73"/>
        <v/>
      </c>
      <c r="L1238" s="32" t="str">
        <f t="shared" si="75"/>
        <v/>
      </c>
      <c r="M1238" s="32" t="str">
        <f t="shared" si="76"/>
        <v/>
      </c>
      <c r="N1238" s="4">
        <v>2</v>
      </c>
      <c r="O1238" s="58">
        <v>0</v>
      </c>
      <c r="P1238" s="58">
        <v>1</v>
      </c>
      <c r="Q1238" s="58">
        <v>0</v>
      </c>
      <c r="R1238" s="58">
        <v>0</v>
      </c>
      <c r="S1238" s="58">
        <v>0</v>
      </c>
      <c r="T1238" s="58">
        <v>0</v>
      </c>
      <c r="U1238" s="58">
        <v>0</v>
      </c>
      <c r="V1238" s="58">
        <v>0</v>
      </c>
      <c r="AG1238" t="s">
        <v>1277</v>
      </c>
      <c r="AM1238" s="1" t="str">
        <f t="shared" si="74"/>
        <v>1236_C0014_0011.jpg</v>
      </c>
    </row>
    <row r="1239" spans="1:39" x14ac:dyDescent="0.35">
      <c r="A1239">
        <v>1235</v>
      </c>
      <c r="B1239">
        <v>1236</v>
      </c>
      <c r="F1239" s="64" t="s">
        <v>4569</v>
      </c>
      <c r="G1239" s="64"/>
      <c r="H1239" s="64"/>
      <c r="I1239" s="64">
        <v>0</v>
      </c>
      <c r="J1239" s="32" t="str">
        <f>IF(AND(E1239=1,OR(E1238=0,E1238="")),MAX(#REF!)+1,IF(AND(E1239=1,E1238=1),J1238,""))</f>
        <v/>
      </c>
      <c r="K1239" s="32" t="str">
        <f t="shared" si="73"/>
        <v/>
      </c>
      <c r="L1239" s="32" t="str">
        <f t="shared" si="75"/>
        <v/>
      </c>
      <c r="M1239" s="32" t="str">
        <f t="shared" si="76"/>
        <v/>
      </c>
      <c r="N1239" s="4">
        <v>2</v>
      </c>
      <c r="O1239" s="58">
        <v>0</v>
      </c>
      <c r="P1239" s="58">
        <v>1</v>
      </c>
      <c r="Q1239" s="58">
        <v>0</v>
      </c>
      <c r="R1239" s="58">
        <v>0</v>
      </c>
      <c r="S1239" s="58">
        <v>0</v>
      </c>
      <c r="T1239" s="58">
        <v>0</v>
      </c>
      <c r="U1239" s="58">
        <v>0</v>
      </c>
      <c r="V1239" s="58">
        <v>0</v>
      </c>
      <c r="AG1239" t="s">
        <v>1278</v>
      </c>
      <c r="AM1239" s="1" t="str">
        <f t="shared" si="74"/>
        <v>1237_C0013_3436.jpg</v>
      </c>
    </row>
    <row r="1240" spans="1:39" x14ac:dyDescent="0.35">
      <c r="A1240">
        <v>1236</v>
      </c>
      <c r="B1240">
        <v>1237</v>
      </c>
      <c r="F1240" s="64" t="s">
        <v>4570</v>
      </c>
      <c r="G1240" s="64"/>
      <c r="H1240" s="64"/>
      <c r="I1240" s="64">
        <v>0</v>
      </c>
      <c r="J1240" s="32" t="str">
        <f>IF(AND(E1240=1,OR(E1239=0,E1239="")),MAX(#REF!)+1,IF(AND(E1240=1,E1239=1),J1239,""))</f>
        <v/>
      </c>
      <c r="K1240" s="32" t="str">
        <f t="shared" si="73"/>
        <v/>
      </c>
      <c r="L1240" s="32" t="str">
        <f t="shared" si="75"/>
        <v/>
      </c>
      <c r="M1240" s="32" t="str">
        <f t="shared" si="76"/>
        <v/>
      </c>
      <c r="N1240" s="4">
        <v>2</v>
      </c>
      <c r="O1240" s="58">
        <v>0</v>
      </c>
      <c r="P1240" s="58">
        <v>1</v>
      </c>
      <c r="Q1240" s="58">
        <v>0</v>
      </c>
      <c r="R1240" s="58">
        <v>0</v>
      </c>
      <c r="S1240" s="58">
        <v>0</v>
      </c>
      <c r="T1240" s="58">
        <v>0</v>
      </c>
      <c r="U1240" s="58">
        <v>0</v>
      </c>
      <c r="V1240" s="58">
        <v>0</v>
      </c>
      <c r="AG1240" t="s">
        <v>1279</v>
      </c>
      <c r="AM1240" s="1" t="str">
        <f t="shared" si="74"/>
        <v>1238_C0013_3431.jpg</v>
      </c>
    </row>
    <row r="1241" spans="1:39" x14ac:dyDescent="0.35">
      <c r="A1241">
        <v>1237</v>
      </c>
      <c r="B1241">
        <v>1238</v>
      </c>
      <c r="F1241" s="64" t="s">
        <v>4571</v>
      </c>
      <c r="G1241" s="64"/>
      <c r="H1241" s="64"/>
      <c r="I1241" s="64">
        <v>1</v>
      </c>
      <c r="J1241" s="32" t="str">
        <f>IF(AND(E1241=1,OR(E1240=0,E1240="")),MAX(#REF!)+1,IF(AND(E1241=1,E1240=1),J1240,""))</f>
        <v/>
      </c>
      <c r="K1241" s="32" t="str">
        <f t="shared" si="73"/>
        <v/>
      </c>
      <c r="L1241" s="32" t="str">
        <f t="shared" si="75"/>
        <v/>
      </c>
      <c r="M1241" s="32" t="str">
        <f t="shared" si="76"/>
        <v/>
      </c>
      <c r="N1241" s="4">
        <v>2</v>
      </c>
      <c r="O1241" s="58">
        <v>0</v>
      </c>
      <c r="P1241" s="58">
        <v>1</v>
      </c>
      <c r="Q1241" s="58">
        <v>0</v>
      </c>
      <c r="R1241" s="58">
        <v>0</v>
      </c>
      <c r="S1241" s="58">
        <v>0</v>
      </c>
      <c r="T1241" s="58">
        <v>0</v>
      </c>
      <c r="U1241" s="58">
        <v>0</v>
      </c>
      <c r="V1241" s="58">
        <v>0</v>
      </c>
      <c r="AG1241" t="s">
        <v>1280</v>
      </c>
      <c r="AM1241" s="1" t="str">
        <f t="shared" si="74"/>
        <v>1239_C0013_3427.jpg</v>
      </c>
    </row>
    <row r="1242" spans="1:39" x14ac:dyDescent="0.35">
      <c r="A1242">
        <v>1238</v>
      </c>
      <c r="B1242">
        <v>1239</v>
      </c>
      <c r="F1242" s="64" t="s">
        <v>4572</v>
      </c>
      <c r="G1242" s="64"/>
      <c r="H1242" s="64"/>
      <c r="I1242" s="64">
        <v>0</v>
      </c>
      <c r="J1242" s="32" t="str">
        <f>IF(AND(E1242=1,OR(E1241=0,E1241="")),MAX(#REF!)+1,IF(AND(E1242=1,E1241=1),J1241,""))</f>
        <v/>
      </c>
      <c r="K1242" s="32" t="str">
        <f t="shared" si="73"/>
        <v/>
      </c>
      <c r="L1242" s="32" t="str">
        <f t="shared" si="75"/>
        <v/>
      </c>
      <c r="M1242" s="32" t="str">
        <f t="shared" si="76"/>
        <v/>
      </c>
      <c r="N1242" s="4">
        <v>2</v>
      </c>
      <c r="O1242" s="58">
        <v>0</v>
      </c>
      <c r="P1242" s="58">
        <v>1</v>
      </c>
      <c r="Q1242" s="58">
        <v>0</v>
      </c>
      <c r="R1242" s="58">
        <v>0</v>
      </c>
      <c r="S1242" s="58">
        <v>0</v>
      </c>
      <c r="T1242" s="58">
        <v>0</v>
      </c>
      <c r="U1242" s="58">
        <v>0</v>
      </c>
      <c r="V1242" s="58">
        <v>0</v>
      </c>
      <c r="AG1242" t="s">
        <v>1281</v>
      </c>
      <c r="AM1242" s="1" t="str">
        <f t="shared" si="74"/>
        <v>1240_C0013_3423.jpg</v>
      </c>
    </row>
    <row r="1243" spans="1:39" x14ac:dyDescent="0.35">
      <c r="A1243">
        <v>1239</v>
      </c>
      <c r="B1243">
        <v>1240</v>
      </c>
      <c r="F1243" s="64" t="s">
        <v>4573</v>
      </c>
      <c r="G1243" s="64"/>
      <c r="H1243" s="64"/>
      <c r="I1243" s="64">
        <v>0</v>
      </c>
      <c r="J1243" s="32" t="str">
        <f>IF(AND(E1243=1,OR(E1242=0,E1242="")),MAX(#REF!)+1,IF(AND(E1243=1,E1242=1),J1242,""))</f>
        <v/>
      </c>
      <c r="K1243" s="32" t="str">
        <f t="shared" si="73"/>
        <v/>
      </c>
      <c r="L1243" s="32" t="str">
        <f t="shared" si="75"/>
        <v/>
      </c>
      <c r="M1243" s="32" t="str">
        <f t="shared" si="76"/>
        <v/>
      </c>
      <c r="N1243" s="4">
        <v>2</v>
      </c>
      <c r="O1243" s="58">
        <v>0</v>
      </c>
      <c r="P1243" s="58">
        <v>1</v>
      </c>
      <c r="Q1243" s="58">
        <v>0</v>
      </c>
      <c r="R1243" s="58">
        <v>0</v>
      </c>
      <c r="S1243" s="58">
        <v>0</v>
      </c>
      <c r="T1243" s="58">
        <v>0</v>
      </c>
      <c r="U1243" s="58">
        <v>0</v>
      </c>
      <c r="V1243" s="58">
        <v>0</v>
      </c>
      <c r="AG1243" t="s">
        <v>1282</v>
      </c>
      <c r="AM1243" s="1" t="str">
        <f t="shared" si="74"/>
        <v>1241_C0013_3416.jpg</v>
      </c>
    </row>
    <row r="1244" spans="1:39" x14ac:dyDescent="0.35">
      <c r="A1244">
        <v>1240</v>
      </c>
      <c r="B1244">
        <v>1241</v>
      </c>
      <c r="F1244" s="64" t="s">
        <v>4574</v>
      </c>
      <c r="G1244" s="64"/>
      <c r="H1244" s="64"/>
      <c r="I1244" s="64">
        <v>0</v>
      </c>
      <c r="J1244" s="32" t="str">
        <f>IF(AND(E1244=1,OR(E1243=0,E1243="")),MAX(#REF!)+1,IF(AND(E1244=1,E1243=1),J1243,""))</f>
        <v/>
      </c>
      <c r="K1244" s="32" t="str">
        <f t="shared" si="73"/>
        <v/>
      </c>
      <c r="L1244" s="32" t="str">
        <f t="shared" si="75"/>
        <v/>
      </c>
      <c r="M1244" s="32" t="str">
        <f t="shared" si="76"/>
        <v/>
      </c>
      <c r="N1244" s="4">
        <v>2</v>
      </c>
      <c r="O1244" s="58">
        <v>0</v>
      </c>
      <c r="P1244" s="58">
        <v>1</v>
      </c>
      <c r="Q1244" s="58">
        <v>0</v>
      </c>
      <c r="R1244" s="58">
        <v>0</v>
      </c>
      <c r="S1244" s="58">
        <v>0</v>
      </c>
      <c r="T1244" s="58">
        <v>0</v>
      </c>
      <c r="U1244" s="58">
        <v>0</v>
      </c>
      <c r="V1244" s="58">
        <v>0</v>
      </c>
      <c r="AG1244" t="s">
        <v>1283</v>
      </c>
      <c r="AM1244" s="1" t="str">
        <f t="shared" si="74"/>
        <v>1242_C0013_3411.jpg</v>
      </c>
    </row>
    <row r="1245" spans="1:39" x14ac:dyDescent="0.35">
      <c r="A1245">
        <v>1241</v>
      </c>
      <c r="B1245">
        <v>1242</v>
      </c>
      <c r="F1245" s="64" t="s">
        <v>4575</v>
      </c>
      <c r="G1245" s="64"/>
      <c r="H1245" s="64"/>
      <c r="I1245" s="64">
        <v>0</v>
      </c>
      <c r="J1245" s="32" t="str">
        <f>IF(AND(E1245=1,OR(E1244=0,E1244="")),MAX(#REF!)+1,IF(AND(E1245=1,E1244=1),J1244,""))</f>
        <v/>
      </c>
      <c r="K1245" s="32" t="str">
        <f t="shared" si="73"/>
        <v/>
      </c>
      <c r="L1245" s="32" t="str">
        <f t="shared" si="75"/>
        <v/>
      </c>
      <c r="M1245" s="32" t="str">
        <f t="shared" si="76"/>
        <v/>
      </c>
      <c r="N1245" s="4">
        <v>2</v>
      </c>
      <c r="O1245" s="58">
        <v>0</v>
      </c>
      <c r="P1245" s="58">
        <v>1</v>
      </c>
      <c r="Q1245" s="58">
        <v>0</v>
      </c>
      <c r="R1245" s="58">
        <v>0</v>
      </c>
      <c r="S1245" s="58">
        <v>0</v>
      </c>
      <c r="T1245" s="58">
        <v>0</v>
      </c>
      <c r="U1245" s="58">
        <v>0</v>
      </c>
      <c r="V1245" s="58">
        <v>0</v>
      </c>
      <c r="AG1245" t="s">
        <v>1284</v>
      </c>
      <c r="AM1245" s="1" t="str">
        <f t="shared" si="74"/>
        <v>1243_C0013_3408.jpg</v>
      </c>
    </row>
    <row r="1246" spans="1:39" x14ac:dyDescent="0.35">
      <c r="A1246">
        <v>1242</v>
      </c>
      <c r="B1246">
        <v>1243</v>
      </c>
      <c r="F1246" s="64" t="s">
        <v>4576</v>
      </c>
      <c r="G1246" s="64"/>
      <c r="H1246" s="64"/>
      <c r="I1246" s="64">
        <v>0</v>
      </c>
      <c r="J1246" s="32" t="str">
        <f>IF(AND(E1246=1,OR(E1245=0,E1245="")),MAX(#REF!)+1,IF(AND(E1246=1,E1245=1),J1245,""))</f>
        <v/>
      </c>
      <c r="K1246" s="32" t="str">
        <f t="shared" si="73"/>
        <v/>
      </c>
      <c r="L1246" s="32" t="str">
        <f t="shared" si="75"/>
        <v/>
      </c>
      <c r="M1246" s="32" t="str">
        <f t="shared" si="76"/>
        <v/>
      </c>
      <c r="N1246" s="4">
        <v>2</v>
      </c>
      <c r="O1246" s="58">
        <v>0</v>
      </c>
      <c r="P1246" s="58">
        <v>1</v>
      </c>
      <c r="Q1246" s="58">
        <v>0</v>
      </c>
      <c r="R1246" s="58">
        <v>0</v>
      </c>
      <c r="S1246" s="58">
        <v>0</v>
      </c>
      <c r="T1246" s="58">
        <v>0</v>
      </c>
      <c r="U1246" s="58">
        <v>0</v>
      </c>
      <c r="V1246" s="58">
        <v>0</v>
      </c>
      <c r="AG1246" t="s">
        <v>1285</v>
      </c>
      <c r="AM1246" s="1" t="str">
        <f t="shared" si="74"/>
        <v>1244_C0013_3403.jpg</v>
      </c>
    </row>
    <row r="1247" spans="1:39" x14ac:dyDescent="0.35">
      <c r="A1247">
        <v>1243</v>
      </c>
      <c r="B1247">
        <v>1244</v>
      </c>
      <c r="F1247" s="64" t="s">
        <v>4577</v>
      </c>
      <c r="G1247" s="64"/>
      <c r="H1247" s="64"/>
      <c r="I1247" s="64">
        <v>0</v>
      </c>
      <c r="J1247" s="32" t="str">
        <f>IF(AND(E1247=1,OR(E1246=0,E1246="")),MAX(#REF!)+1,IF(AND(E1247=1,E1246=1),J1246,""))</f>
        <v/>
      </c>
      <c r="K1247" s="32" t="str">
        <f t="shared" ref="K1247:K1310" si="77">IF(J1247="","",COUNTIF(J:J,J1247)*10)</f>
        <v/>
      </c>
      <c r="L1247" s="32" t="str">
        <f t="shared" si="75"/>
        <v/>
      </c>
      <c r="M1247" s="32" t="str">
        <f t="shared" si="76"/>
        <v/>
      </c>
      <c r="N1247" s="4">
        <v>2</v>
      </c>
      <c r="O1247" s="58">
        <v>0</v>
      </c>
      <c r="P1247" s="58">
        <v>1</v>
      </c>
      <c r="Q1247" s="58">
        <v>0</v>
      </c>
      <c r="R1247" s="58">
        <v>0</v>
      </c>
      <c r="S1247" s="58">
        <v>0</v>
      </c>
      <c r="T1247" s="58">
        <v>0</v>
      </c>
      <c r="U1247" s="58">
        <v>0</v>
      </c>
      <c r="V1247" s="58">
        <v>0</v>
      </c>
      <c r="AG1247" t="s">
        <v>1286</v>
      </c>
      <c r="AM1247" s="1" t="str">
        <f t="shared" si="74"/>
        <v>1245_C0013_3401.jpg</v>
      </c>
    </row>
    <row r="1248" spans="1:39" x14ac:dyDescent="0.35">
      <c r="A1248">
        <v>1244</v>
      </c>
      <c r="B1248">
        <v>1245</v>
      </c>
      <c r="F1248" s="64" t="s">
        <v>4578</v>
      </c>
      <c r="G1248" s="64"/>
      <c r="H1248" s="64"/>
      <c r="I1248" s="64">
        <v>0</v>
      </c>
      <c r="J1248" s="32" t="str">
        <f>IF(AND(E1248=1,OR(E1247=0,E1247="")),MAX(#REF!)+1,IF(AND(E1248=1,E1247=1),J1247,""))</f>
        <v/>
      </c>
      <c r="K1248" s="32" t="str">
        <f t="shared" si="77"/>
        <v/>
      </c>
      <c r="L1248" s="32" t="str">
        <f t="shared" si="75"/>
        <v/>
      </c>
      <c r="M1248" s="32" t="str">
        <f t="shared" si="76"/>
        <v/>
      </c>
      <c r="N1248" s="4">
        <v>2</v>
      </c>
      <c r="O1248" s="58">
        <v>0</v>
      </c>
      <c r="P1248" s="58">
        <v>1</v>
      </c>
      <c r="Q1248" s="58">
        <v>0</v>
      </c>
      <c r="R1248" s="58">
        <v>0</v>
      </c>
      <c r="S1248" s="58">
        <v>0</v>
      </c>
      <c r="T1248" s="58">
        <v>0</v>
      </c>
      <c r="U1248" s="58">
        <v>0</v>
      </c>
      <c r="V1248" s="58">
        <v>0</v>
      </c>
      <c r="AG1248" t="s">
        <v>1287</v>
      </c>
      <c r="AM1248" s="1" t="str">
        <f t="shared" si="74"/>
        <v>1246_C0013_3395.jpg</v>
      </c>
    </row>
    <row r="1249" spans="1:39" x14ac:dyDescent="0.35">
      <c r="A1249">
        <v>1245</v>
      </c>
      <c r="B1249">
        <v>1246</v>
      </c>
      <c r="F1249" s="64" t="s">
        <v>4579</v>
      </c>
      <c r="G1249" s="64"/>
      <c r="H1249" s="64"/>
      <c r="I1249" s="64">
        <v>1</v>
      </c>
      <c r="J1249" s="32" t="str">
        <f>IF(AND(E1249=1,OR(E1248=0,E1248="")),MAX(#REF!)+1,IF(AND(E1249=1,E1248=1),J1248,""))</f>
        <v/>
      </c>
      <c r="K1249" s="32" t="str">
        <f t="shared" si="77"/>
        <v/>
      </c>
      <c r="L1249" s="32" t="str">
        <f t="shared" si="75"/>
        <v/>
      </c>
      <c r="M1249" s="32" t="str">
        <f t="shared" si="76"/>
        <v/>
      </c>
      <c r="N1249" s="4">
        <v>2</v>
      </c>
      <c r="O1249" s="58">
        <v>0</v>
      </c>
      <c r="P1249" s="58">
        <v>1</v>
      </c>
      <c r="Q1249" s="58">
        <v>0</v>
      </c>
      <c r="R1249" s="58">
        <v>0</v>
      </c>
      <c r="S1249" s="58">
        <v>0</v>
      </c>
      <c r="T1249" s="58">
        <v>0</v>
      </c>
      <c r="U1249" s="58">
        <v>0</v>
      </c>
      <c r="V1249" s="58">
        <v>0</v>
      </c>
      <c r="AG1249" t="s">
        <v>1288</v>
      </c>
      <c r="AM1249" s="1" t="str">
        <f t="shared" si="74"/>
        <v>1247_C0013_3391.jpg</v>
      </c>
    </row>
    <row r="1250" spans="1:39" x14ac:dyDescent="0.35">
      <c r="A1250">
        <v>1246</v>
      </c>
      <c r="B1250">
        <v>1247</v>
      </c>
      <c r="F1250" s="64" t="s">
        <v>4580</v>
      </c>
      <c r="G1250" s="64"/>
      <c r="H1250" s="64"/>
      <c r="I1250" s="64">
        <v>0</v>
      </c>
      <c r="J1250" s="32" t="str">
        <f>IF(AND(E1250=1,OR(E1249=0,E1249="")),MAX(#REF!)+1,IF(AND(E1250=1,E1249=1),J1249,""))</f>
        <v/>
      </c>
      <c r="K1250" s="32" t="str">
        <f t="shared" si="77"/>
        <v/>
      </c>
      <c r="L1250" s="32" t="str">
        <f t="shared" si="75"/>
        <v/>
      </c>
      <c r="M1250" s="32" t="str">
        <f t="shared" si="76"/>
        <v/>
      </c>
      <c r="N1250" s="4">
        <v>2</v>
      </c>
      <c r="O1250" s="58">
        <v>0</v>
      </c>
      <c r="P1250" s="58">
        <v>1</v>
      </c>
      <c r="Q1250" s="58">
        <v>0</v>
      </c>
      <c r="R1250" s="58">
        <v>0</v>
      </c>
      <c r="S1250" s="58">
        <v>0</v>
      </c>
      <c r="T1250" s="58">
        <v>0</v>
      </c>
      <c r="U1250" s="58">
        <v>0</v>
      </c>
      <c r="V1250" s="58">
        <v>0</v>
      </c>
      <c r="AG1250" t="s">
        <v>1289</v>
      </c>
      <c r="AM1250" s="1" t="str">
        <f t="shared" si="74"/>
        <v>1248_C0013_3389.jpg</v>
      </c>
    </row>
    <row r="1251" spans="1:39" x14ac:dyDescent="0.35">
      <c r="A1251">
        <v>1247</v>
      </c>
      <c r="B1251">
        <v>1248</v>
      </c>
      <c r="F1251" s="64" t="s">
        <v>4581</v>
      </c>
      <c r="G1251" s="64"/>
      <c r="H1251" s="64"/>
      <c r="I1251" s="64">
        <v>1</v>
      </c>
      <c r="J1251" s="32" t="str">
        <f>IF(AND(E1251=1,OR(E1250=0,E1250="")),MAX(#REF!)+1,IF(AND(E1251=1,E1250=1),J1250,""))</f>
        <v/>
      </c>
      <c r="K1251" s="32" t="str">
        <f t="shared" si="77"/>
        <v/>
      </c>
      <c r="L1251" s="32" t="str">
        <f t="shared" si="75"/>
        <v/>
      </c>
      <c r="M1251" s="32" t="str">
        <f t="shared" si="76"/>
        <v/>
      </c>
      <c r="N1251" s="4">
        <v>2</v>
      </c>
      <c r="O1251" s="58">
        <v>0</v>
      </c>
      <c r="P1251" s="58">
        <v>1</v>
      </c>
      <c r="Q1251" s="58">
        <v>0</v>
      </c>
      <c r="R1251" s="58">
        <v>0</v>
      </c>
      <c r="S1251" s="58">
        <v>0</v>
      </c>
      <c r="T1251" s="58">
        <v>0</v>
      </c>
      <c r="U1251" s="58">
        <v>0</v>
      </c>
      <c r="V1251" s="58">
        <v>0</v>
      </c>
      <c r="AG1251" t="s">
        <v>1290</v>
      </c>
      <c r="AM1251" s="1" t="str">
        <f t="shared" si="74"/>
        <v>1249_C0013_3383.jpg</v>
      </c>
    </row>
    <row r="1252" spans="1:39" x14ac:dyDescent="0.35">
      <c r="A1252">
        <v>1248</v>
      </c>
      <c r="B1252">
        <v>1249</v>
      </c>
      <c r="F1252" s="64" t="s">
        <v>4582</v>
      </c>
      <c r="G1252" s="64"/>
      <c r="H1252" s="64"/>
      <c r="I1252" s="64">
        <v>0</v>
      </c>
      <c r="J1252" s="32" t="str">
        <f>IF(AND(E1252=1,OR(E1251=0,E1251="")),MAX(#REF!)+1,IF(AND(E1252=1,E1251=1),J1251,""))</f>
        <v/>
      </c>
      <c r="K1252" s="32" t="str">
        <f t="shared" si="77"/>
        <v/>
      </c>
      <c r="L1252" s="32" t="str">
        <f t="shared" si="75"/>
        <v/>
      </c>
      <c r="M1252" s="32" t="str">
        <f t="shared" si="76"/>
        <v/>
      </c>
      <c r="N1252" s="4">
        <v>2</v>
      </c>
      <c r="O1252" s="58">
        <v>0</v>
      </c>
      <c r="P1252" s="58">
        <v>1</v>
      </c>
      <c r="Q1252" s="58">
        <v>0</v>
      </c>
      <c r="R1252" s="58">
        <v>0</v>
      </c>
      <c r="S1252" s="58">
        <v>0</v>
      </c>
      <c r="T1252" s="58">
        <v>0</v>
      </c>
      <c r="U1252" s="58">
        <v>0</v>
      </c>
      <c r="V1252" s="58">
        <v>0</v>
      </c>
      <c r="AG1252" t="s">
        <v>1291</v>
      </c>
      <c r="AM1252" s="1" t="str">
        <f t="shared" si="74"/>
        <v>1250_C0013_3381.jpg</v>
      </c>
    </row>
    <row r="1253" spans="1:39" x14ac:dyDescent="0.35">
      <c r="A1253">
        <v>1249</v>
      </c>
      <c r="B1253">
        <v>1250</v>
      </c>
      <c r="F1253" s="64" t="s">
        <v>4583</v>
      </c>
      <c r="G1253" s="64"/>
      <c r="H1253" s="64"/>
      <c r="I1253" s="64">
        <v>0</v>
      </c>
      <c r="J1253" s="32" t="str">
        <f>IF(AND(E1253=1,OR(E1252=0,E1252="")),MAX(#REF!)+1,IF(AND(E1253=1,E1252=1),J1252,""))</f>
        <v/>
      </c>
      <c r="K1253" s="32" t="str">
        <f t="shared" si="77"/>
        <v/>
      </c>
      <c r="L1253" s="32" t="str">
        <f t="shared" si="75"/>
        <v/>
      </c>
      <c r="M1253" s="32" t="str">
        <f t="shared" si="76"/>
        <v/>
      </c>
      <c r="N1253" s="4">
        <v>2</v>
      </c>
      <c r="O1253" s="58">
        <v>0</v>
      </c>
      <c r="P1253" s="58">
        <v>1</v>
      </c>
      <c r="Q1253" s="58">
        <v>0</v>
      </c>
      <c r="R1253" s="58">
        <v>0</v>
      </c>
      <c r="S1253" s="58">
        <v>0</v>
      </c>
      <c r="T1253" s="58">
        <v>0</v>
      </c>
      <c r="U1253" s="58">
        <v>0</v>
      </c>
      <c r="V1253" s="58">
        <v>0</v>
      </c>
      <c r="AG1253" t="s">
        <v>1292</v>
      </c>
      <c r="AM1253" s="1" t="str">
        <f t="shared" si="74"/>
        <v>1251_C0013_3377.jpg</v>
      </c>
    </row>
    <row r="1254" spans="1:39" x14ac:dyDescent="0.35">
      <c r="A1254">
        <v>1250</v>
      </c>
      <c r="B1254">
        <v>1251</v>
      </c>
      <c r="F1254" s="64" t="s">
        <v>4584</v>
      </c>
      <c r="G1254" s="64"/>
      <c r="H1254" s="64"/>
      <c r="I1254" s="64">
        <v>0</v>
      </c>
      <c r="J1254" s="32" t="str">
        <f>IF(AND(E1254=1,OR(E1253=0,E1253="")),MAX(#REF!)+1,IF(AND(E1254=1,E1253=1),J1253,""))</f>
        <v/>
      </c>
      <c r="K1254" s="32" t="str">
        <f t="shared" si="77"/>
        <v/>
      </c>
      <c r="L1254" s="32" t="str">
        <f t="shared" si="75"/>
        <v/>
      </c>
      <c r="M1254" s="32" t="str">
        <f t="shared" si="76"/>
        <v/>
      </c>
      <c r="N1254" s="4">
        <v>2</v>
      </c>
      <c r="O1254" s="58">
        <v>0</v>
      </c>
      <c r="P1254" s="58">
        <v>1</v>
      </c>
      <c r="Q1254" s="58">
        <v>0</v>
      </c>
      <c r="R1254" s="58">
        <v>0</v>
      </c>
      <c r="S1254" s="58">
        <v>0</v>
      </c>
      <c r="T1254" s="58">
        <v>0</v>
      </c>
      <c r="U1254" s="58">
        <v>0</v>
      </c>
      <c r="V1254" s="58">
        <v>0</v>
      </c>
      <c r="AG1254" t="s">
        <v>1293</v>
      </c>
      <c r="AM1254" s="1" t="str">
        <f t="shared" si="74"/>
        <v>1252_C0013_3372.jpg</v>
      </c>
    </row>
    <row r="1255" spans="1:39" x14ac:dyDescent="0.35">
      <c r="A1255">
        <v>1251</v>
      </c>
      <c r="B1255">
        <v>1252</v>
      </c>
      <c r="F1255" s="64" t="s">
        <v>4585</v>
      </c>
      <c r="G1255" s="64"/>
      <c r="H1255" s="64"/>
      <c r="I1255" s="64">
        <v>0</v>
      </c>
      <c r="J1255" s="32" t="str">
        <f>IF(AND(E1255=1,OR(E1254=0,E1254="")),MAX(#REF!)+1,IF(AND(E1255=1,E1254=1),J1254,""))</f>
        <v/>
      </c>
      <c r="K1255" s="32" t="str">
        <f t="shared" si="77"/>
        <v/>
      </c>
      <c r="L1255" s="32" t="str">
        <f t="shared" si="75"/>
        <v/>
      </c>
      <c r="M1255" s="32" t="str">
        <f t="shared" si="76"/>
        <v/>
      </c>
      <c r="N1255" s="4">
        <v>2</v>
      </c>
      <c r="O1255" s="58">
        <v>0</v>
      </c>
      <c r="P1255" s="58">
        <v>1</v>
      </c>
      <c r="Q1255" s="58">
        <v>0</v>
      </c>
      <c r="R1255" s="58">
        <v>0</v>
      </c>
      <c r="S1255" s="58">
        <v>0</v>
      </c>
      <c r="T1255" s="58">
        <v>0</v>
      </c>
      <c r="U1255" s="58">
        <v>0</v>
      </c>
      <c r="V1255" s="58">
        <v>0</v>
      </c>
      <c r="AG1255" t="s">
        <v>1294</v>
      </c>
      <c r="AM1255" s="1" t="str">
        <f t="shared" si="74"/>
        <v>1253_C0013_3369.jpg</v>
      </c>
    </row>
    <row r="1256" spans="1:39" x14ac:dyDescent="0.35">
      <c r="A1256">
        <v>1252</v>
      </c>
      <c r="B1256">
        <v>1253</v>
      </c>
      <c r="F1256" s="64" t="s">
        <v>4586</v>
      </c>
      <c r="G1256" s="64"/>
      <c r="H1256" s="64"/>
      <c r="I1256" s="64">
        <v>0</v>
      </c>
      <c r="J1256" s="32" t="str">
        <f>IF(AND(E1256=1,OR(E1255=0,E1255="")),MAX(#REF!)+1,IF(AND(E1256=1,E1255=1),J1255,""))</f>
        <v/>
      </c>
      <c r="K1256" s="32" t="str">
        <f t="shared" si="77"/>
        <v/>
      </c>
      <c r="L1256" s="32" t="str">
        <f t="shared" si="75"/>
        <v/>
      </c>
      <c r="M1256" s="32" t="str">
        <f t="shared" si="76"/>
        <v/>
      </c>
      <c r="N1256" s="4">
        <v>2</v>
      </c>
      <c r="O1256" s="58">
        <v>0</v>
      </c>
      <c r="P1256" s="58">
        <v>1</v>
      </c>
      <c r="Q1256" s="58">
        <v>0</v>
      </c>
      <c r="R1256" s="58">
        <v>0</v>
      </c>
      <c r="S1256" s="58">
        <v>0</v>
      </c>
      <c r="T1256" s="58">
        <v>0</v>
      </c>
      <c r="U1256" s="58">
        <v>0</v>
      </c>
      <c r="V1256" s="58">
        <v>0</v>
      </c>
      <c r="AG1256" t="s">
        <v>1295</v>
      </c>
      <c r="AM1256" s="1" t="str">
        <f t="shared" si="74"/>
        <v>1254_C0013_3365.jpg</v>
      </c>
    </row>
    <row r="1257" spans="1:39" x14ac:dyDescent="0.35">
      <c r="A1257">
        <v>1253</v>
      </c>
      <c r="B1257">
        <v>1254</v>
      </c>
      <c r="F1257" s="64" t="s">
        <v>4587</v>
      </c>
      <c r="G1257" s="64"/>
      <c r="H1257" s="64"/>
      <c r="I1257" s="64">
        <v>0</v>
      </c>
      <c r="J1257" s="32" t="str">
        <f>IF(AND(E1257=1,OR(E1256=0,E1256="")),MAX(#REF!)+1,IF(AND(E1257=1,E1256=1),J1256,""))</f>
        <v/>
      </c>
      <c r="K1257" s="32" t="str">
        <f t="shared" si="77"/>
        <v/>
      </c>
      <c r="L1257" s="32" t="str">
        <f t="shared" si="75"/>
        <v/>
      </c>
      <c r="M1257" s="32" t="str">
        <f t="shared" si="76"/>
        <v/>
      </c>
      <c r="N1257" s="4">
        <v>2</v>
      </c>
      <c r="O1257" s="58">
        <v>0</v>
      </c>
      <c r="P1257" s="58">
        <v>1</v>
      </c>
      <c r="Q1257" s="58">
        <v>0</v>
      </c>
      <c r="R1257" s="58">
        <v>0</v>
      </c>
      <c r="S1257" s="58">
        <v>0</v>
      </c>
      <c r="T1257" s="58">
        <v>0</v>
      </c>
      <c r="U1257" s="58">
        <v>0</v>
      </c>
      <c r="V1257" s="58">
        <v>0</v>
      </c>
      <c r="AG1257" t="s">
        <v>1296</v>
      </c>
      <c r="AM1257" s="1" t="str">
        <f t="shared" si="74"/>
        <v>1255_C0013_3361.jpg</v>
      </c>
    </row>
    <row r="1258" spans="1:39" x14ac:dyDescent="0.35">
      <c r="A1258">
        <v>1254</v>
      </c>
      <c r="B1258">
        <v>1255</v>
      </c>
      <c r="F1258" s="64" t="s">
        <v>4588</v>
      </c>
      <c r="G1258" s="64"/>
      <c r="H1258" s="64"/>
      <c r="I1258" s="64">
        <v>1</v>
      </c>
      <c r="J1258" s="32" t="str">
        <f>IF(AND(E1258=1,OR(E1257=0,E1257="")),MAX(#REF!)+1,IF(AND(E1258=1,E1257=1),J1257,""))</f>
        <v/>
      </c>
      <c r="K1258" s="32" t="str">
        <f t="shared" si="77"/>
        <v/>
      </c>
      <c r="L1258" s="32" t="str">
        <f t="shared" si="75"/>
        <v/>
      </c>
      <c r="M1258" s="32" t="str">
        <f t="shared" si="76"/>
        <v/>
      </c>
      <c r="N1258" s="4">
        <v>2</v>
      </c>
      <c r="O1258" s="58">
        <v>0</v>
      </c>
      <c r="P1258" s="58">
        <v>1</v>
      </c>
      <c r="Q1258" s="58">
        <v>0</v>
      </c>
      <c r="R1258" s="58">
        <v>0</v>
      </c>
      <c r="S1258" s="58">
        <v>0</v>
      </c>
      <c r="T1258" s="58">
        <v>0</v>
      </c>
      <c r="U1258" s="58">
        <v>0</v>
      </c>
      <c r="V1258" s="58">
        <v>0</v>
      </c>
      <c r="AG1258" t="s">
        <v>1297</v>
      </c>
      <c r="AM1258" s="1" t="str">
        <f t="shared" si="74"/>
        <v>1256_C0013_3359.jpg</v>
      </c>
    </row>
    <row r="1259" spans="1:39" x14ac:dyDescent="0.35">
      <c r="A1259">
        <v>1255</v>
      </c>
      <c r="B1259">
        <v>1256</v>
      </c>
      <c r="F1259" s="64" t="s">
        <v>4589</v>
      </c>
      <c r="G1259" s="64"/>
      <c r="H1259" s="64"/>
      <c r="I1259" s="64">
        <v>1</v>
      </c>
      <c r="J1259" s="32" t="str">
        <f>IF(AND(E1259=1,OR(E1258=0,E1258="")),MAX(#REF!)+1,IF(AND(E1259=1,E1258=1),J1258,""))</f>
        <v/>
      </c>
      <c r="K1259" s="32" t="str">
        <f t="shared" si="77"/>
        <v/>
      </c>
      <c r="L1259" s="32" t="str">
        <f t="shared" si="75"/>
        <v/>
      </c>
      <c r="M1259" s="32" t="str">
        <f t="shared" si="76"/>
        <v/>
      </c>
      <c r="N1259" s="4">
        <v>2</v>
      </c>
      <c r="O1259" s="58">
        <v>0</v>
      </c>
      <c r="P1259" s="58">
        <v>1</v>
      </c>
      <c r="Q1259" s="58">
        <v>0</v>
      </c>
      <c r="R1259" s="58">
        <v>0</v>
      </c>
      <c r="S1259" s="58">
        <v>0</v>
      </c>
      <c r="T1259" s="58">
        <v>0</v>
      </c>
      <c r="U1259" s="58">
        <v>0</v>
      </c>
      <c r="V1259" s="58">
        <v>0</v>
      </c>
      <c r="AG1259" t="s">
        <v>1298</v>
      </c>
      <c r="AM1259" s="1" t="str">
        <f t="shared" si="74"/>
        <v>1257_C0013_3355.jpg</v>
      </c>
    </row>
    <row r="1260" spans="1:39" x14ac:dyDescent="0.35">
      <c r="A1260">
        <v>1256</v>
      </c>
      <c r="B1260">
        <v>1257</v>
      </c>
      <c r="F1260" s="64" t="s">
        <v>4590</v>
      </c>
      <c r="G1260" s="64"/>
      <c r="H1260" s="64"/>
      <c r="I1260" s="64">
        <v>0</v>
      </c>
      <c r="J1260" s="32" t="str">
        <f>IF(AND(E1260=1,OR(E1259=0,E1259="")),MAX(#REF!)+1,IF(AND(E1260=1,E1259=1),J1259,""))</f>
        <v/>
      </c>
      <c r="K1260" s="32" t="str">
        <f t="shared" si="77"/>
        <v/>
      </c>
      <c r="L1260" s="32" t="str">
        <f t="shared" si="75"/>
        <v/>
      </c>
      <c r="M1260" s="32" t="str">
        <f t="shared" si="76"/>
        <v/>
      </c>
      <c r="N1260" s="4">
        <v>2</v>
      </c>
      <c r="O1260" s="58">
        <v>0</v>
      </c>
      <c r="P1260" s="58">
        <v>1</v>
      </c>
      <c r="Q1260" s="58">
        <v>0</v>
      </c>
      <c r="R1260" s="58">
        <v>0</v>
      </c>
      <c r="S1260" s="58">
        <v>0</v>
      </c>
      <c r="T1260" s="58">
        <v>0</v>
      </c>
      <c r="U1260" s="58">
        <v>0</v>
      </c>
      <c r="V1260" s="58">
        <v>0</v>
      </c>
      <c r="AG1260" t="s">
        <v>1299</v>
      </c>
      <c r="AM1260" s="1" t="str">
        <f t="shared" si="74"/>
        <v>1258_C0013_3351.jpg</v>
      </c>
    </row>
    <row r="1261" spans="1:39" x14ac:dyDescent="0.35">
      <c r="A1261">
        <v>1257</v>
      </c>
      <c r="B1261">
        <v>1258</v>
      </c>
      <c r="F1261" s="64" t="s">
        <v>4591</v>
      </c>
      <c r="G1261" s="64"/>
      <c r="H1261" s="64"/>
      <c r="I1261" s="64">
        <v>1</v>
      </c>
      <c r="J1261" s="32" t="str">
        <f>IF(AND(E1261=1,OR(E1260=0,E1260="")),MAX(#REF!)+1,IF(AND(E1261=1,E1260=1),J1260,""))</f>
        <v/>
      </c>
      <c r="K1261" s="32" t="str">
        <f t="shared" si="77"/>
        <v/>
      </c>
      <c r="L1261" s="32" t="str">
        <f t="shared" si="75"/>
        <v/>
      </c>
      <c r="M1261" s="32" t="str">
        <f t="shared" si="76"/>
        <v/>
      </c>
      <c r="N1261" s="4">
        <v>2</v>
      </c>
      <c r="O1261" s="58">
        <v>0</v>
      </c>
      <c r="P1261" s="58">
        <v>1</v>
      </c>
      <c r="Q1261" s="58">
        <v>0</v>
      </c>
      <c r="R1261" s="58">
        <v>0</v>
      </c>
      <c r="S1261" s="58">
        <v>0</v>
      </c>
      <c r="T1261" s="58">
        <v>0</v>
      </c>
      <c r="U1261" s="58">
        <v>0</v>
      </c>
      <c r="V1261" s="58">
        <v>0</v>
      </c>
      <c r="AG1261" t="s">
        <v>1300</v>
      </c>
      <c r="AM1261" s="1" t="str">
        <f t="shared" si="74"/>
        <v>1259_C0013_3348.jpg</v>
      </c>
    </row>
    <row r="1262" spans="1:39" x14ac:dyDescent="0.35">
      <c r="A1262">
        <v>1258</v>
      </c>
      <c r="B1262">
        <v>1259</v>
      </c>
      <c r="F1262" s="64" t="s">
        <v>4592</v>
      </c>
      <c r="G1262" s="64"/>
      <c r="H1262" s="64"/>
      <c r="I1262" s="64">
        <v>1</v>
      </c>
      <c r="J1262" s="32" t="str">
        <f>IF(AND(E1262=1,OR(E1261=0,E1261="")),MAX(#REF!)+1,IF(AND(E1262=1,E1261=1),J1261,""))</f>
        <v/>
      </c>
      <c r="K1262" s="32" t="str">
        <f t="shared" si="77"/>
        <v/>
      </c>
      <c r="L1262" s="32" t="str">
        <f t="shared" si="75"/>
        <v/>
      </c>
      <c r="M1262" s="32" t="str">
        <f t="shared" si="76"/>
        <v/>
      </c>
      <c r="N1262" s="4">
        <v>2</v>
      </c>
      <c r="O1262" s="58">
        <v>0</v>
      </c>
      <c r="P1262" s="58">
        <v>1</v>
      </c>
      <c r="Q1262" s="58">
        <v>0</v>
      </c>
      <c r="R1262" s="58">
        <v>0</v>
      </c>
      <c r="S1262" s="58">
        <v>0</v>
      </c>
      <c r="T1262" s="58">
        <v>0</v>
      </c>
      <c r="U1262" s="58">
        <v>0</v>
      </c>
      <c r="V1262" s="58">
        <v>0</v>
      </c>
      <c r="AG1262" t="s">
        <v>1301</v>
      </c>
      <c r="AM1262" s="1" t="str">
        <f t="shared" si="74"/>
        <v>1260_C0013_3344.jpg</v>
      </c>
    </row>
    <row r="1263" spans="1:39" x14ac:dyDescent="0.35">
      <c r="A1263">
        <v>1259</v>
      </c>
      <c r="B1263">
        <v>1260</v>
      </c>
      <c r="F1263" s="64" t="s">
        <v>4593</v>
      </c>
      <c r="G1263" s="64"/>
      <c r="H1263" s="64"/>
      <c r="I1263" s="64">
        <v>0</v>
      </c>
      <c r="J1263" s="32" t="str">
        <f>IF(AND(E1263=1,OR(E1262=0,E1262="")),MAX(#REF!)+1,IF(AND(E1263=1,E1262=1),J1262,""))</f>
        <v/>
      </c>
      <c r="K1263" s="32" t="str">
        <f t="shared" si="77"/>
        <v/>
      </c>
      <c r="L1263" s="32" t="str">
        <f t="shared" si="75"/>
        <v/>
      </c>
      <c r="M1263" s="32" t="str">
        <f t="shared" si="76"/>
        <v/>
      </c>
      <c r="N1263" s="4">
        <v>2</v>
      </c>
      <c r="O1263" s="58">
        <v>0</v>
      </c>
      <c r="P1263" s="58">
        <v>1</v>
      </c>
      <c r="Q1263" s="58">
        <v>0</v>
      </c>
      <c r="R1263" s="58">
        <v>0</v>
      </c>
      <c r="S1263" s="58">
        <v>0</v>
      </c>
      <c r="T1263" s="58">
        <v>0</v>
      </c>
      <c r="U1263" s="58">
        <v>0</v>
      </c>
      <c r="V1263" s="58">
        <v>0</v>
      </c>
      <c r="AG1263" t="s">
        <v>1302</v>
      </c>
      <c r="AM1263" s="1" t="str">
        <f t="shared" si="74"/>
        <v>1261_C0013_3339.jpg</v>
      </c>
    </row>
    <row r="1264" spans="1:39" x14ac:dyDescent="0.35">
      <c r="A1264">
        <v>1260</v>
      </c>
      <c r="B1264">
        <v>1261</v>
      </c>
      <c r="F1264" s="64" t="s">
        <v>4594</v>
      </c>
      <c r="G1264" s="64"/>
      <c r="H1264" s="64" t="s">
        <v>26</v>
      </c>
      <c r="I1264" s="64"/>
      <c r="J1264" s="32" t="str">
        <f>IF(AND(E1264=1,OR(E1263=0,E1263="")),MAX(#REF!)+1,IF(AND(E1264=1,E1263=1),J1263,""))</f>
        <v/>
      </c>
      <c r="K1264" s="32" t="str">
        <f t="shared" si="77"/>
        <v/>
      </c>
      <c r="L1264" s="32" t="str">
        <f t="shared" si="75"/>
        <v/>
      </c>
      <c r="M1264" s="32" t="str">
        <f t="shared" si="76"/>
        <v/>
      </c>
      <c r="N1264" s="4"/>
      <c r="AG1264" t="s">
        <v>1303</v>
      </c>
      <c r="AM1264" s="1" t="str">
        <f t="shared" si="74"/>
        <v>1262_C0013_3335.jpg</v>
      </c>
    </row>
    <row r="1265" spans="1:39" x14ac:dyDescent="0.35">
      <c r="A1265">
        <v>1261</v>
      </c>
      <c r="B1265">
        <v>1262</v>
      </c>
      <c r="F1265" s="64" t="s">
        <v>4595</v>
      </c>
      <c r="G1265" s="64"/>
      <c r="H1265" s="64" t="s">
        <v>26</v>
      </c>
      <c r="I1265" s="64"/>
      <c r="J1265" s="32" t="str">
        <f>IF(AND(E1265=1,OR(E1264=0,E1264="")),MAX(#REF!)+1,IF(AND(E1265=1,E1264=1),J1264,""))</f>
        <v/>
      </c>
      <c r="K1265" s="32" t="str">
        <f t="shared" si="77"/>
        <v/>
      </c>
      <c r="L1265" s="32" t="str">
        <f t="shared" si="75"/>
        <v/>
      </c>
      <c r="M1265" s="32" t="str">
        <f t="shared" si="76"/>
        <v/>
      </c>
      <c r="N1265" s="4"/>
      <c r="AG1265" t="s">
        <v>1304</v>
      </c>
      <c r="AM1265" s="1" t="str">
        <f t="shared" si="74"/>
        <v>1263_C0013_3330.jpg</v>
      </c>
    </row>
    <row r="1266" spans="1:39" x14ac:dyDescent="0.35">
      <c r="A1266">
        <v>1262</v>
      </c>
      <c r="B1266">
        <v>1263</v>
      </c>
      <c r="F1266" s="64" t="s">
        <v>4596</v>
      </c>
      <c r="G1266" s="64"/>
      <c r="H1266" s="64" t="s">
        <v>26</v>
      </c>
      <c r="I1266" s="64"/>
      <c r="J1266" s="32" t="str">
        <f>IF(AND(E1266=1,OR(E1265=0,E1265="")),MAX(#REF!)+1,IF(AND(E1266=1,E1265=1),J1265,""))</f>
        <v/>
      </c>
      <c r="K1266" s="32" t="str">
        <f t="shared" si="77"/>
        <v/>
      </c>
      <c r="L1266" s="32" t="str">
        <f t="shared" si="75"/>
        <v/>
      </c>
      <c r="M1266" s="32" t="str">
        <f t="shared" si="76"/>
        <v/>
      </c>
      <c r="N1266" s="4"/>
      <c r="AG1266" t="s">
        <v>1305</v>
      </c>
      <c r="AM1266" s="1" t="str">
        <f t="shared" si="74"/>
        <v>1264_C0013_3325.jpg</v>
      </c>
    </row>
    <row r="1267" spans="1:39" x14ac:dyDescent="0.35">
      <c r="A1267">
        <v>1263</v>
      </c>
      <c r="B1267">
        <v>1264</v>
      </c>
      <c r="F1267" s="64" t="s">
        <v>4597</v>
      </c>
      <c r="G1267" s="64"/>
      <c r="H1267" s="64" t="s">
        <v>26</v>
      </c>
      <c r="I1267" s="64"/>
      <c r="J1267" s="32" t="str">
        <f>IF(AND(E1267=1,OR(E1266=0,E1266="")),MAX(#REF!)+1,IF(AND(E1267=1,E1266=1),J1266,""))</f>
        <v/>
      </c>
      <c r="K1267" s="32" t="str">
        <f t="shared" si="77"/>
        <v/>
      </c>
      <c r="L1267" s="32" t="str">
        <f t="shared" si="75"/>
        <v/>
      </c>
      <c r="M1267" s="32" t="str">
        <f t="shared" si="76"/>
        <v/>
      </c>
      <c r="N1267" s="4"/>
      <c r="AG1267" t="s">
        <v>1306</v>
      </c>
      <c r="AM1267" s="1" t="str">
        <f t="shared" si="74"/>
        <v>1265_C0013_3321.jpg</v>
      </c>
    </row>
    <row r="1268" spans="1:39" x14ac:dyDescent="0.35">
      <c r="A1268">
        <v>1264</v>
      </c>
      <c r="B1268">
        <v>1265</v>
      </c>
      <c r="F1268" s="64" t="s">
        <v>4598</v>
      </c>
      <c r="G1268" s="64"/>
      <c r="H1268" s="64"/>
      <c r="I1268" s="64">
        <v>1</v>
      </c>
      <c r="J1268" s="32" t="str">
        <f>IF(AND(E1268=1,OR(E1267=0,E1267="")),MAX(#REF!)+1,IF(AND(E1268=1,E1267=1),J1267,""))</f>
        <v/>
      </c>
      <c r="K1268" s="32" t="str">
        <f t="shared" si="77"/>
        <v/>
      </c>
      <c r="L1268" s="32" t="str">
        <f t="shared" si="75"/>
        <v/>
      </c>
      <c r="M1268" s="32" t="str">
        <f t="shared" si="76"/>
        <v/>
      </c>
      <c r="N1268" s="4">
        <v>2</v>
      </c>
      <c r="O1268" s="58">
        <v>0</v>
      </c>
      <c r="P1268" s="58">
        <v>1</v>
      </c>
      <c r="Q1268" s="58">
        <v>0</v>
      </c>
      <c r="R1268" s="58">
        <v>1</v>
      </c>
      <c r="S1268" s="58">
        <v>0</v>
      </c>
      <c r="T1268" s="58">
        <v>0</v>
      </c>
      <c r="U1268" s="58">
        <v>0</v>
      </c>
      <c r="V1268" s="58" t="s">
        <v>6905</v>
      </c>
      <c r="AG1268" t="s">
        <v>1307</v>
      </c>
      <c r="AM1268" s="1" t="str">
        <f t="shared" si="74"/>
        <v>1266_C0013_3315.jpg</v>
      </c>
    </row>
    <row r="1269" spans="1:39" x14ac:dyDescent="0.35">
      <c r="A1269">
        <v>1265</v>
      </c>
      <c r="B1269">
        <v>1266</v>
      </c>
      <c r="F1269" s="64" t="s">
        <v>4599</v>
      </c>
      <c r="G1269" s="64"/>
      <c r="H1269" s="64"/>
      <c r="I1269" s="64">
        <v>1</v>
      </c>
      <c r="J1269" s="32" t="str">
        <f>IF(AND(E1269=1,OR(E1268=0,E1268="")),MAX(#REF!)+1,IF(AND(E1269=1,E1268=1),J1268,""))</f>
        <v/>
      </c>
      <c r="K1269" s="32" t="str">
        <f t="shared" si="77"/>
        <v/>
      </c>
      <c r="L1269" s="32" t="str">
        <f t="shared" si="75"/>
        <v/>
      </c>
      <c r="M1269" s="32" t="str">
        <f t="shared" si="76"/>
        <v/>
      </c>
      <c r="N1269" s="4">
        <v>2</v>
      </c>
      <c r="O1269" s="58">
        <v>1</v>
      </c>
      <c r="P1269" s="58">
        <v>1</v>
      </c>
      <c r="Q1269" s="58">
        <v>0</v>
      </c>
      <c r="R1269" s="58">
        <v>0</v>
      </c>
      <c r="S1269" s="58">
        <v>0</v>
      </c>
      <c r="T1269" s="58">
        <v>0</v>
      </c>
      <c r="U1269" s="58">
        <v>0</v>
      </c>
      <c r="V1269" s="58">
        <v>0</v>
      </c>
      <c r="AG1269" t="s">
        <v>1308</v>
      </c>
      <c r="AM1269" s="1" t="str">
        <f t="shared" si="74"/>
        <v>1267_C0013_3311.jpg</v>
      </c>
    </row>
    <row r="1270" spans="1:39" x14ac:dyDescent="0.35">
      <c r="A1270">
        <v>1266</v>
      </c>
      <c r="B1270">
        <v>1267</v>
      </c>
      <c r="F1270" s="64" t="s">
        <v>4600</v>
      </c>
      <c r="G1270" s="64"/>
      <c r="H1270" s="64"/>
      <c r="I1270" s="64">
        <v>1</v>
      </c>
      <c r="J1270" s="32" t="str">
        <f>IF(AND(E1270=1,OR(E1269=0,E1269="")),MAX(#REF!)+1,IF(AND(E1270=1,E1269=1),J1269,""))</f>
        <v/>
      </c>
      <c r="K1270" s="32" t="str">
        <f t="shared" si="77"/>
        <v/>
      </c>
      <c r="L1270" s="32" t="str">
        <f t="shared" si="75"/>
        <v/>
      </c>
      <c r="M1270" s="32" t="str">
        <f t="shared" si="76"/>
        <v/>
      </c>
      <c r="N1270" s="4">
        <v>2</v>
      </c>
      <c r="O1270" s="58">
        <v>0</v>
      </c>
      <c r="P1270" s="58">
        <v>1</v>
      </c>
      <c r="Q1270" s="58">
        <v>0</v>
      </c>
      <c r="R1270" s="58">
        <v>0</v>
      </c>
      <c r="S1270" s="58">
        <v>0</v>
      </c>
      <c r="T1270" s="58">
        <v>0</v>
      </c>
      <c r="U1270" s="58">
        <v>0</v>
      </c>
      <c r="V1270" s="58" t="s">
        <v>6905</v>
      </c>
      <c r="AG1270" t="s">
        <v>1309</v>
      </c>
      <c r="AM1270" s="1" t="str">
        <f t="shared" si="74"/>
        <v>1268_C0013_3307.jpg</v>
      </c>
    </row>
    <row r="1271" spans="1:39" x14ac:dyDescent="0.35">
      <c r="A1271">
        <v>1267</v>
      </c>
      <c r="B1271">
        <v>1268</v>
      </c>
      <c r="F1271" s="64" t="s">
        <v>4601</v>
      </c>
      <c r="G1271" s="64"/>
      <c r="H1271" s="64"/>
      <c r="I1271" s="64">
        <v>1</v>
      </c>
      <c r="J1271" s="32" t="str">
        <f>IF(AND(E1271=1,OR(E1270=0,E1270="")),MAX(#REF!)+1,IF(AND(E1271=1,E1270=1),J1270,""))</f>
        <v/>
      </c>
      <c r="K1271" s="32" t="str">
        <f t="shared" si="77"/>
        <v/>
      </c>
      <c r="L1271" s="32" t="str">
        <f t="shared" si="75"/>
        <v/>
      </c>
      <c r="M1271" s="32" t="str">
        <f t="shared" si="76"/>
        <v/>
      </c>
      <c r="N1271" s="4">
        <v>2</v>
      </c>
      <c r="O1271" s="58">
        <v>1</v>
      </c>
      <c r="P1271" s="58">
        <v>1</v>
      </c>
      <c r="Q1271" s="58">
        <v>0</v>
      </c>
      <c r="R1271" s="58">
        <v>0</v>
      </c>
      <c r="S1271" s="58">
        <v>0</v>
      </c>
      <c r="T1271" s="58">
        <v>0</v>
      </c>
      <c r="U1271" s="58">
        <v>0</v>
      </c>
      <c r="V1271" s="58" t="s">
        <v>6905</v>
      </c>
      <c r="AG1271" t="s">
        <v>1310</v>
      </c>
      <c r="AM1271" s="1" t="str">
        <f t="shared" ref="AM1271:AM1278" si="78">HYPERLINK("E:\CAFNEC_GBRF\2023\JohnstoneRiver\Frames_for_Analysis\" &amp; F1272, F1272)</f>
        <v>1269_C0013_3302.jpg</v>
      </c>
    </row>
    <row r="1272" spans="1:39" x14ac:dyDescent="0.35">
      <c r="A1272">
        <v>1268</v>
      </c>
      <c r="B1272">
        <v>1269</v>
      </c>
      <c r="F1272" s="64" t="s">
        <v>4602</v>
      </c>
      <c r="G1272" s="64"/>
      <c r="H1272" s="64"/>
      <c r="I1272" s="64">
        <v>1</v>
      </c>
      <c r="J1272" s="32" t="str">
        <f>IF(AND(E1272=1,OR(E1271=0,E1271="")),MAX(#REF!)+1,IF(AND(E1272=1,E1271=1),J1271,""))</f>
        <v/>
      </c>
      <c r="K1272" s="32" t="str">
        <f t="shared" si="77"/>
        <v/>
      </c>
      <c r="L1272" s="32" t="str">
        <f t="shared" si="75"/>
        <v/>
      </c>
      <c r="M1272" s="32" t="str">
        <f t="shared" si="76"/>
        <v/>
      </c>
      <c r="N1272" s="4">
        <v>2</v>
      </c>
      <c r="O1272" s="58">
        <v>0</v>
      </c>
      <c r="P1272" s="58">
        <v>1</v>
      </c>
      <c r="Q1272" s="58">
        <v>0</v>
      </c>
      <c r="R1272" s="58">
        <v>0</v>
      </c>
      <c r="S1272" s="58">
        <v>0</v>
      </c>
      <c r="T1272" s="58">
        <v>0</v>
      </c>
      <c r="U1272" s="58">
        <v>0</v>
      </c>
      <c r="V1272" s="58" t="s">
        <v>6905</v>
      </c>
      <c r="AG1272" t="s">
        <v>1311</v>
      </c>
      <c r="AM1272" s="1" t="str">
        <f t="shared" si="78"/>
        <v>1270_C0013_3296.jpg</v>
      </c>
    </row>
    <row r="1273" spans="1:39" x14ac:dyDescent="0.35">
      <c r="A1273">
        <v>1269</v>
      </c>
      <c r="B1273">
        <v>1270</v>
      </c>
      <c r="F1273" s="64" t="s">
        <v>4603</v>
      </c>
      <c r="G1273" s="64"/>
      <c r="H1273" s="64"/>
      <c r="I1273" s="64">
        <v>0</v>
      </c>
      <c r="J1273" s="32" t="str">
        <f>IF(AND(E1273=1,OR(E1272=0,E1272="")),MAX(#REF!)+1,IF(AND(E1273=1,E1272=1),J1272,""))</f>
        <v/>
      </c>
      <c r="K1273" s="32" t="str">
        <f t="shared" si="77"/>
        <v/>
      </c>
      <c r="L1273" s="32" t="str">
        <f t="shared" si="75"/>
        <v/>
      </c>
      <c r="M1273" s="32" t="str">
        <f t="shared" si="76"/>
        <v/>
      </c>
      <c r="N1273" s="4">
        <v>2</v>
      </c>
      <c r="O1273" s="58">
        <v>1</v>
      </c>
      <c r="P1273" s="58">
        <v>1</v>
      </c>
      <c r="Q1273" s="58">
        <v>0</v>
      </c>
      <c r="R1273" s="58">
        <v>0</v>
      </c>
      <c r="S1273" s="58">
        <v>0</v>
      </c>
      <c r="T1273" s="58">
        <v>0</v>
      </c>
      <c r="U1273" s="58">
        <v>0</v>
      </c>
      <c r="V1273" s="58" t="s">
        <v>6905</v>
      </c>
      <c r="AG1273" t="s">
        <v>1312</v>
      </c>
      <c r="AM1273" s="1" t="str">
        <f t="shared" si="78"/>
        <v>1271_C0013_3297.jpg</v>
      </c>
    </row>
    <row r="1274" spans="1:39" x14ac:dyDescent="0.35">
      <c r="A1274">
        <v>1270</v>
      </c>
      <c r="B1274">
        <v>1271</v>
      </c>
      <c r="F1274" s="64" t="s">
        <v>4604</v>
      </c>
      <c r="G1274" s="64"/>
      <c r="H1274" s="64"/>
      <c r="I1274" s="64">
        <v>0</v>
      </c>
      <c r="J1274" s="32" t="str">
        <f>IF(AND(E1274=1,OR(E1273=0,E1273="")),MAX(#REF!)+1,IF(AND(E1274=1,E1273=1),J1273,""))</f>
        <v/>
      </c>
      <c r="K1274" s="32" t="str">
        <f t="shared" si="77"/>
        <v/>
      </c>
      <c r="L1274" s="32" t="str">
        <f t="shared" si="75"/>
        <v/>
      </c>
      <c r="M1274" s="32" t="str">
        <f t="shared" si="76"/>
        <v/>
      </c>
      <c r="N1274" s="4">
        <v>2</v>
      </c>
      <c r="O1274" s="58">
        <v>0</v>
      </c>
      <c r="P1274" s="58">
        <v>1</v>
      </c>
      <c r="Q1274" s="58">
        <v>0</v>
      </c>
      <c r="R1274" s="58">
        <v>0</v>
      </c>
      <c r="S1274" s="58">
        <v>0</v>
      </c>
      <c r="T1274" s="58">
        <v>0</v>
      </c>
      <c r="U1274" s="58">
        <v>0</v>
      </c>
      <c r="V1274" s="58" t="s">
        <v>6905</v>
      </c>
      <c r="AG1274" t="s">
        <v>1313</v>
      </c>
      <c r="AM1274" s="1" t="str">
        <f t="shared" si="78"/>
        <v>1272_C0013_3291.jpg</v>
      </c>
    </row>
    <row r="1275" spans="1:39" x14ac:dyDescent="0.35">
      <c r="A1275">
        <v>1271</v>
      </c>
      <c r="B1275">
        <v>1272</v>
      </c>
      <c r="F1275" s="64" t="s">
        <v>4605</v>
      </c>
      <c r="G1275" s="64"/>
      <c r="H1275" s="64"/>
      <c r="I1275" s="64">
        <v>1</v>
      </c>
      <c r="J1275" s="32" t="str">
        <f>IF(AND(E1275=1,OR(E1274=0,E1274="")),MAX(#REF!)+1,IF(AND(E1275=1,E1274=1),J1274,""))</f>
        <v/>
      </c>
      <c r="K1275" s="32" t="str">
        <f t="shared" si="77"/>
        <v/>
      </c>
      <c r="L1275" s="32" t="str">
        <f t="shared" si="75"/>
        <v/>
      </c>
      <c r="M1275" s="32" t="str">
        <f t="shared" si="76"/>
        <v/>
      </c>
      <c r="N1275" s="4">
        <v>2</v>
      </c>
      <c r="O1275" s="58">
        <v>0</v>
      </c>
      <c r="P1275" s="58">
        <v>1</v>
      </c>
      <c r="Q1275" s="58">
        <v>0</v>
      </c>
      <c r="R1275" s="58">
        <v>0</v>
      </c>
      <c r="S1275" s="58">
        <v>0</v>
      </c>
      <c r="T1275" s="58">
        <v>0</v>
      </c>
      <c r="U1275" s="58">
        <v>0</v>
      </c>
      <c r="V1275" s="58" t="s">
        <v>6905</v>
      </c>
      <c r="AG1275" t="s">
        <v>1314</v>
      </c>
      <c r="AM1275" s="1" t="str">
        <f t="shared" si="78"/>
        <v>1273_C0013_3286.jpg</v>
      </c>
    </row>
    <row r="1276" spans="1:39" x14ac:dyDescent="0.35">
      <c r="A1276">
        <v>1272</v>
      </c>
      <c r="B1276">
        <v>1273</v>
      </c>
      <c r="F1276" s="64" t="s">
        <v>4606</v>
      </c>
      <c r="G1276" s="64"/>
      <c r="H1276" s="64"/>
      <c r="I1276" s="64">
        <v>0</v>
      </c>
      <c r="J1276" s="32" t="str">
        <f>IF(AND(E1276=1,OR(E1275=0,E1275="")),MAX(#REF!)+1,IF(AND(E1276=1,E1275=1),J1275,""))</f>
        <v/>
      </c>
      <c r="K1276" s="32" t="str">
        <f t="shared" si="77"/>
        <v/>
      </c>
      <c r="L1276" s="32" t="str">
        <f t="shared" si="75"/>
        <v/>
      </c>
      <c r="M1276" s="32" t="str">
        <f t="shared" si="76"/>
        <v/>
      </c>
      <c r="N1276" s="4">
        <v>2</v>
      </c>
      <c r="O1276" s="58">
        <v>0</v>
      </c>
      <c r="P1276" s="58">
        <v>1</v>
      </c>
      <c r="Q1276" s="58">
        <v>0</v>
      </c>
      <c r="R1276" s="58">
        <v>0</v>
      </c>
      <c r="S1276" s="58">
        <v>1</v>
      </c>
      <c r="T1276" s="58">
        <v>0</v>
      </c>
      <c r="U1276" s="58">
        <v>0</v>
      </c>
      <c r="V1276" s="58">
        <v>0</v>
      </c>
      <c r="AG1276" t="s">
        <v>1315</v>
      </c>
      <c r="AM1276" s="1" t="str">
        <f t="shared" si="78"/>
        <v>1274_C0013_3280.jpg</v>
      </c>
    </row>
    <row r="1277" spans="1:39" x14ac:dyDescent="0.35">
      <c r="A1277">
        <v>1273</v>
      </c>
      <c r="B1277">
        <v>1274</v>
      </c>
      <c r="F1277" s="64" t="s">
        <v>4607</v>
      </c>
      <c r="G1277" s="64"/>
      <c r="H1277" s="64"/>
      <c r="I1277" s="64">
        <v>1</v>
      </c>
      <c r="J1277" s="32" t="str">
        <f>IF(AND(E1277=1,OR(E1276=0,E1276="")),MAX(#REF!)+1,IF(AND(E1277=1,E1276=1),J1276,""))</f>
        <v/>
      </c>
      <c r="K1277" s="32" t="str">
        <f t="shared" si="77"/>
        <v/>
      </c>
      <c r="L1277" s="32" t="str">
        <f t="shared" si="75"/>
        <v/>
      </c>
      <c r="M1277" s="32" t="str">
        <f t="shared" si="76"/>
        <v/>
      </c>
      <c r="N1277" s="4">
        <v>2</v>
      </c>
      <c r="O1277" s="58">
        <v>0</v>
      </c>
      <c r="P1277" s="58">
        <v>1</v>
      </c>
      <c r="Q1277" s="58">
        <v>0</v>
      </c>
      <c r="R1277" s="58">
        <v>0</v>
      </c>
      <c r="S1277" s="58">
        <v>0</v>
      </c>
      <c r="T1277" s="58">
        <v>0</v>
      </c>
      <c r="U1277" s="58">
        <v>0</v>
      </c>
      <c r="V1277" s="58">
        <v>0</v>
      </c>
      <c r="AG1277" t="s">
        <v>1316</v>
      </c>
      <c r="AM1277" s="1" t="str">
        <f t="shared" si="78"/>
        <v>1275_C0013_3278.jpg</v>
      </c>
    </row>
    <row r="1278" spans="1:39" x14ac:dyDescent="0.35">
      <c r="A1278">
        <v>1274</v>
      </c>
      <c r="B1278">
        <v>1275</v>
      </c>
      <c r="F1278" s="64" t="s">
        <v>4608</v>
      </c>
      <c r="G1278" s="64"/>
      <c r="H1278" s="64"/>
      <c r="I1278" s="64">
        <v>0</v>
      </c>
      <c r="J1278" s="32" t="str">
        <f>IF(AND(E1278=1,OR(E1277=0,E1277="")),MAX(#REF!)+1,IF(AND(E1278=1,E1277=1),J1277,""))</f>
        <v/>
      </c>
      <c r="K1278" s="32" t="str">
        <f t="shared" si="77"/>
        <v/>
      </c>
      <c r="L1278" s="32" t="str">
        <f t="shared" si="75"/>
        <v/>
      </c>
      <c r="M1278" s="32" t="str">
        <f t="shared" si="76"/>
        <v/>
      </c>
      <c r="N1278" s="4">
        <v>2</v>
      </c>
      <c r="O1278" s="58">
        <v>0</v>
      </c>
      <c r="P1278" s="58">
        <v>1</v>
      </c>
      <c r="Q1278" s="58">
        <v>0</v>
      </c>
      <c r="R1278" s="58">
        <v>0</v>
      </c>
      <c r="S1278" s="58">
        <v>1</v>
      </c>
      <c r="T1278" s="58">
        <v>0</v>
      </c>
      <c r="U1278" s="58">
        <v>0</v>
      </c>
      <c r="V1278" s="58">
        <v>0</v>
      </c>
      <c r="AG1278" t="s">
        <v>1317</v>
      </c>
      <c r="AM1278" s="1" t="str">
        <f t="shared" si="78"/>
        <v>1276_C0013_3272.jpg</v>
      </c>
    </row>
    <row r="1279" spans="1:39" x14ac:dyDescent="0.35">
      <c r="A1279">
        <v>1275</v>
      </c>
      <c r="B1279">
        <v>1276</v>
      </c>
      <c r="F1279" s="64" t="s">
        <v>4609</v>
      </c>
      <c r="G1279" s="64"/>
      <c r="H1279" s="64"/>
      <c r="I1279" s="64">
        <v>1</v>
      </c>
      <c r="J1279" s="32" t="str">
        <f>IF(AND(E1279=1,OR(E1278=0,E1278="")),MAX(#REF!)+1,IF(AND(E1279=1,E1278=1),J1278,""))</f>
        <v/>
      </c>
      <c r="K1279" s="32" t="str">
        <f t="shared" si="77"/>
        <v/>
      </c>
      <c r="L1279" s="32" t="str">
        <f t="shared" si="75"/>
        <v/>
      </c>
      <c r="M1279" s="32" t="str">
        <f t="shared" si="76"/>
        <v/>
      </c>
      <c r="N1279" s="4">
        <v>3</v>
      </c>
      <c r="O1279" s="58">
        <v>0</v>
      </c>
      <c r="P1279" s="58">
        <v>1</v>
      </c>
      <c r="Q1279" s="58">
        <v>0</v>
      </c>
      <c r="R1279" s="58">
        <v>0</v>
      </c>
      <c r="S1279" s="58">
        <v>0</v>
      </c>
      <c r="T1279" s="58">
        <v>0</v>
      </c>
      <c r="U1279" s="58">
        <v>0</v>
      </c>
      <c r="V1279" s="58">
        <v>0</v>
      </c>
      <c r="AG1279" t="s">
        <v>1318</v>
      </c>
      <c r="AM1279" s="1"/>
    </row>
    <row r="1280" spans="1:39" x14ac:dyDescent="0.35">
      <c r="A1280">
        <v>1276</v>
      </c>
      <c r="B1280">
        <v>1277</v>
      </c>
      <c r="F1280" s="64"/>
      <c r="G1280" s="64"/>
      <c r="H1280" s="64" t="s">
        <v>26</v>
      </c>
      <c r="I1280" s="64"/>
      <c r="J1280" s="32" t="str">
        <f>IF(AND(E1280=1,OR(E1279=0,E1279="")),MAX(#REF!)+1,IF(AND(E1280=1,E1279=1),J1279,""))</f>
        <v/>
      </c>
      <c r="K1280" s="32" t="str">
        <f t="shared" si="77"/>
        <v/>
      </c>
      <c r="L1280" s="32" t="str">
        <f t="shared" si="75"/>
        <v/>
      </c>
      <c r="M1280" s="32" t="str">
        <f t="shared" si="76"/>
        <v/>
      </c>
      <c r="N1280" s="4"/>
      <c r="AG1280" t="s">
        <v>1319</v>
      </c>
      <c r="AM1280" s="1"/>
    </row>
    <row r="1281" spans="1:39" x14ac:dyDescent="0.35">
      <c r="A1281">
        <v>1277</v>
      </c>
      <c r="B1281">
        <v>1278</v>
      </c>
      <c r="F1281" s="64"/>
      <c r="G1281" s="64"/>
      <c r="H1281" s="64" t="s">
        <v>26</v>
      </c>
      <c r="I1281" s="64"/>
      <c r="J1281" s="32" t="str">
        <f>IF(AND(E1281=1,OR(E1280=0,E1280="")),MAX(#REF!)+1,IF(AND(E1281=1,E1280=1),J1280,""))</f>
        <v/>
      </c>
      <c r="K1281" s="32" t="str">
        <f t="shared" si="77"/>
        <v/>
      </c>
      <c r="L1281" s="32" t="str">
        <f t="shared" si="75"/>
        <v/>
      </c>
      <c r="M1281" s="32" t="str">
        <f t="shared" si="76"/>
        <v/>
      </c>
      <c r="N1281" s="4"/>
      <c r="AG1281" t="s">
        <v>1320</v>
      </c>
      <c r="AM1281" s="1"/>
    </row>
    <row r="1282" spans="1:39" x14ac:dyDescent="0.35">
      <c r="A1282">
        <v>1278</v>
      </c>
      <c r="B1282">
        <v>1279</v>
      </c>
      <c r="F1282" s="64"/>
      <c r="G1282" s="64"/>
      <c r="H1282" s="64" t="s">
        <v>26</v>
      </c>
      <c r="I1282" s="64"/>
      <c r="J1282" s="32" t="str">
        <f>IF(AND(E1282=1,OR(E1281=0,E1281="")),MAX(#REF!)+1,IF(AND(E1282=1,E1281=1),J1281,""))</f>
        <v/>
      </c>
      <c r="K1282" s="32" t="str">
        <f t="shared" si="77"/>
        <v/>
      </c>
      <c r="L1282" s="32" t="str">
        <f t="shared" si="75"/>
        <v/>
      </c>
      <c r="M1282" s="32" t="str">
        <f t="shared" si="76"/>
        <v/>
      </c>
      <c r="N1282" s="4"/>
      <c r="AG1282" t="s">
        <v>1321</v>
      </c>
      <c r="AM1282" s="1"/>
    </row>
    <row r="1283" spans="1:39" x14ac:dyDescent="0.35">
      <c r="A1283">
        <v>1279</v>
      </c>
      <c r="B1283">
        <v>1280</v>
      </c>
      <c r="F1283" s="64"/>
      <c r="G1283" s="64"/>
      <c r="H1283" s="64" t="s">
        <v>26</v>
      </c>
      <c r="I1283" s="64"/>
      <c r="J1283" s="32" t="str">
        <f>IF(AND(E1283=1,OR(E1282=0,E1282="")),MAX(#REF!)+1,IF(AND(E1283=1,E1282=1),J1282,""))</f>
        <v/>
      </c>
      <c r="K1283" s="32" t="str">
        <f t="shared" si="77"/>
        <v/>
      </c>
      <c r="L1283" s="32" t="str">
        <f t="shared" si="75"/>
        <v/>
      </c>
      <c r="M1283" s="32" t="str">
        <f t="shared" si="76"/>
        <v/>
      </c>
      <c r="N1283" s="4"/>
      <c r="AG1283" t="s">
        <v>1322</v>
      </c>
      <c r="AM1283" s="1"/>
    </row>
    <row r="1284" spans="1:39" x14ac:dyDescent="0.35">
      <c r="A1284">
        <v>1280</v>
      </c>
      <c r="B1284">
        <v>1281</v>
      </c>
      <c r="F1284" s="64"/>
      <c r="G1284" s="64"/>
      <c r="H1284" s="64" t="s">
        <v>26</v>
      </c>
      <c r="I1284" s="64"/>
      <c r="J1284" s="32" t="str">
        <f>IF(AND(E1284=1,OR(E1283=0,E1283="")),MAX(#REF!)+1,IF(AND(E1284=1,E1283=1),J1283,""))</f>
        <v/>
      </c>
      <c r="K1284" s="32" t="str">
        <f t="shared" si="77"/>
        <v/>
      </c>
      <c r="L1284" s="32" t="str">
        <f t="shared" ref="L1284:L1347" si="79">IF(K1284="","",IF(K1284&gt;=100,"HV",""))</f>
        <v/>
      </c>
      <c r="M1284" s="32" t="str">
        <f t="shared" ref="M1284:M1347" si="80">IF(K1284&lt;&gt;"",K1284^2,"")</f>
        <v/>
      </c>
      <c r="N1284" s="4"/>
      <c r="AG1284" t="s">
        <v>1323</v>
      </c>
      <c r="AM1284" s="1"/>
    </row>
    <row r="1285" spans="1:39" x14ac:dyDescent="0.35">
      <c r="A1285">
        <v>1281</v>
      </c>
      <c r="B1285">
        <v>1282</v>
      </c>
      <c r="F1285" s="64"/>
      <c r="G1285" s="64"/>
      <c r="H1285" s="64" t="s">
        <v>26</v>
      </c>
      <c r="I1285" s="64"/>
      <c r="J1285" s="32" t="str">
        <f>IF(AND(E1285=1,OR(E1284=0,E1284="")),MAX(#REF!)+1,IF(AND(E1285=1,E1284=1),J1284,""))</f>
        <v/>
      </c>
      <c r="K1285" s="32" t="str">
        <f t="shared" si="77"/>
        <v/>
      </c>
      <c r="L1285" s="32" t="str">
        <f t="shared" si="79"/>
        <v/>
      </c>
      <c r="M1285" s="32" t="str">
        <f t="shared" si="80"/>
        <v/>
      </c>
      <c r="N1285" s="4"/>
      <c r="AG1285" t="s">
        <v>77</v>
      </c>
      <c r="AM1285" s="1"/>
    </row>
    <row r="1286" spans="1:39" x14ac:dyDescent="0.35">
      <c r="A1286">
        <v>1282</v>
      </c>
      <c r="B1286">
        <v>1283</v>
      </c>
      <c r="F1286" s="64"/>
      <c r="G1286" s="64"/>
      <c r="H1286" s="64" t="s">
        <v>26</v>
      </c>
      <c r="I1286" s="64"/>
      <c r="J1286" s="32" t="str">
        <f>IF(AND(E1286=1,OR(E1285=0,E1285="")),MAX(#REF!)+1,IF(AND(E1286=1,E1285=1),J1285,""))</f>
        <v/>
      </c>
      <c r="K1286" s="32" t="str">
        <f t="shared" si="77"/>
        <v/>
      </c>
      <c r="L1286" s="32" t="str">
        <f t="shared" si="79"/>
        <v/>
      </c>
      <c r="M1286" s="32" t="str">
        <f t="shared" si="80"/>
        <v/>
      </c>
      <c r="N1286" s="4"/>
      <c r="AG1286" t="s">
        <v>1324</v>
      </c>
      <c r="AM1286" s="1"/>
    </row>
    <row r="1287" spans="1:39" x14ac:dyDescent="0.35">
      <c r="A1287">
        <v>1283</v>
      </c>
      <c r="B1287">
        <v>1284</v>
      </c>
      <c r="F1287" s="64"/>
      <c r="G1287" s="64"/>
      <c r="H1287" s="64" t="s">
        <v>26</v>
      </c>
      <c r="I1287" s="64"/>
      <c r="J1287" s="32" t="str">
        <f>IF(AND(E1287=1,OR(E1286=0,E1286="")),MAX(#REF!)+1,IF(AND(E1287=1,E1286=1),J1286,""))</f>
        <v/>
      </c>
      <c r="K1287" s="32" t="str">
        <f t="shared" si="77"/>
        <v/>
      </c>
      <c r="L1287" s="32" t="str">
        <f t="shared" si="79"/>
        <v/>
      </c>
      <c r="M1287" s="32" t="str">
        <f t="shared" si="80"/>
        <v/>
      </c>
      <c r="N1287" s="4"/>
      <c r="AG1287" t="s">
        <v>1325</v>
      </c>
      <c r="AM1287" s="1"/>
    </row>
    <row r="1288" spans="1:39" x14ac:dyDescent="0.35">
      <c r="A1288">
        <v>1284</v>
      </c>
      <c r="B1288">
        <v>1285</v>
      </c>
      <c r="F1288" s="64"/>
      <c r="G1288" s="64"/>
      <c r="H1288" s="64" t="s">
        <v>26</v>
      </c>
      <c r="I1288" s="64"/>
      <c r="J1288" s="32" t="str">
        <f>IF(AND(E1288=1,OR(E1287=0,E1287="")),MAX(#REF!)+1,IF(AND(E1288=1,E1287=1),J1287,""))</f>
        <v/>
      </c>
      <c r="K1288" s="32" t="str">
        <f t="shared" si="77"/>
        <v/>
      </c>
      <c r="L1288" s="32" t="str">
        <f t="shared" si="79"/>
        <v/>
      </c>
      <c r="M1288" s="32" t="str">
        <f t="shared" si="80"/>
        <v/>
      </c>
      <c r="N1288" s="4"/>
      <c r="AG1288" t="s">
        <v>1326</v>
      </c>
      <c r="AM1288" s="1"/>
    </row>
    <row r="1289" spans="1:39" x14ac:dyDescent="0.35">
      <c r="A1289">
        <v>1285</v>
      </c>
      <c r="B1289">
        <v>1286</v>
      </c>
      <c r="F1289" s="64"/>
      <c r="G1289" s="64"/>
      <c r="H1289" s="64" t="s">
        <v>26</v>
      </c>
      <c r="I1289" s="64"/>
      <c r="J1289" s="32" t="str">
        <f>IF(AND(E1289=1,OR(E1288=0,E1288="")),MAX(#REF!)+1,IF(AND(E1289=1,E1288=1),J1288,""))</f>
        <v/>
      </c>
      <c r="K1289" s="32" t="str">
        <f t="shared" si="77"/>
        <v/>
      </c>
      <c r="L1289" s="32" t="str">
        <f t="shared" si="79"/>
        <v/>
      </c>
      <c r="M1289" s="32" t="str">
        <f t="shared" si="80"/>
        <v/>
      </c>
      <c r="N1289" s="4"/>
      <c r="AG1289" t="s">
        <v>1327</v>
      </c>
      <c r="AM1289" s="1"/>
    </row>
    <row r="1290" spans="1:39" x14ac:dyDescent="0.35">
      <c r="A1290">
        <v>1286</v>
      </c>
      <c r="B1290">
        <v>1287</v>
      </c>
      <c r="F1290" s="64"/>
      <c r="G1290" s="64"/>
      <c r="H1290" s="64" t="s">
        <v>26</v>
      </c>
      <c r="I1290" s="64"/>
      <c r="J1290" s="32" t="str">
        <f>IF(AND(E1290=1,OR(E1289=0,E1289="")),MAX(#REF!)+1,IF(AND(E1290=1,E1289=1),J1289,""))</f>
        <v/>
      </c>
      <c r="K1290" s="32" t="str">
        <f t="shared" si="77"/>
        <v/>
      </c>
      <c r="L1290" s="32" t="str">
        <f t="shared" si="79"/>
        <v/>
      </c>
      <c r="M1290" s="32" t="str">
        <f t="shared" si="80"/>
        <v/>
      </c>
      <c r="N1290" s="4"/>
      <c r="AG1290" t="s">
        <v>1328</v>
      </c>
      <c r="AM1290" s="1"/>
    </row>
    <row r="1291" spans="1:39" x14ac:dyDescent="0.35">
      <c r="A1291">
        <v>1287</v>
      </c>
      <c r="B1291">
        <v>1288</v>
      </c>
      <c r="F1291" s="64"/>
      <c r="G1291" s="64"/>
      <c r="H1291" s="64" t="s">
        <v>26</v>
      </c>
      <c r="I1291" s="64"/>
      <c r="J1291" s="32" t="str">
        <f>IF(AND(E1291=1,OR(E1290=0,E1290="")),MAX(#REF!)+1,IF(AND(E1291=1,E1290=1),J1290,""))</f>
        <v/>
      </c>
      <c r="K1291" s="32" t="str">
        <f t="shared" si="77"/>
        <v/>
      </c>
      <c r="L1291" s="32" t="str">
        <f t="shared" si="79"/>
        <v/>
      </c>
      <c r="M1291" s="32" t="str">
        <f t="shared" si="80"/>
        <v/>
      </c>
      <c r="N1291" s="4"/>
      <c r="AG1291" t="s">
        <v>1329</v>
      </c>
      <c r="AM1291" s="1"/>
    </row>
    <row r="1292" spans="1:39" x14ac:dyDescent="0.35">
      <c r="A1292">
        <v>1288</v>
      </c>
      <c r="B1292">
        <v>1289</v>
      </c>
      <c r="F1292" s="64"/>
      <c r="G1292" s="64"/>
      <c r="H1292" s="64" t="s">
        <v>26</v>
      </c>
      <c r="I1292" s="64"/>
      <c r="J1292" s="32" t="str">
        <f>IF(AND(E1292=1,OR(E1291=0,E1291="")),MAX(#REF!)+1,IF(AND(E1292=1,E1291=1),J1291,""))</f>
        <v/>
      </c>
      <c r="K1292" s="32" t="str">
        <f t="shared" si="77"/>
        <v/>
      </c>
      <c r="L1292" s="32" t="str">
        <f t="shared" si="79"/>
        <v/>
      </c>
      <c r="M1292" s="32" t="str">
        <f t="shared" si="80"/>
        <v/>
      </c>
      <c r="N1292" s="4"/>
      <c r="AG1292" t="s">
        <v>1330</v>
      </c>
      <c r="AM1292" s="1"/>
    </row>
    <row r="1293" spans="1:39" x14ac:dyDescent="0.35">
      <c r="A1293">
        <v>1289</v>
      </c>
      <c r="B1293">
        <v>1290</v>
      </c>
      <c r="F1293" s="64"/>
      <c r="G1293" s="64"/>
      <c r="H1293" s="64" t="s">
        <v>26</v>
      </c>
      <c r="I1293" s="64"/>
      <c r="J1293" s="32" t="str">
        <f>IF(AND(E1293=1,OR(E1292=0,E1292="")),MAX(#REF!)+1,IF(AND(E1293=1,E1292=1),J1292,""))</f>
        <v/>
      </c>
      <c r="K1293" s="32" t="str">
        <f t="shared" si="77"/>
        <v/>
      </c>
      <c r="L1293" s="32" t="str">
        <f t="shared" si="79"/>
        <v/>
      </c>
      <c r="M1293" s="32" t="str">
        <f t="shared" si="80"/>
        <v/>
      </c>
      <c r="N1293" s="4"/>
      <c r="AG1293" t="s">
        <v>1331</v>
      </c>
      <c r="AM1293" s="1"/>
    </row>
    <row r="1294" spans="1:39" x14ac:dyDescent="0.35">
      <c r="A1294">
        <v>1290</v>
      </c>
      <c r="B1294">
        <v>1291</v>
      </c>
      <c r="F1294" s="64"/>
      <c r="G1294" s="64"/>
      <c r="H1294" s="64" t="s">
        <v>26</v>
      </c>
      <c r="I1294" s="64"/>
      <c r="J1294" s="32" t="str">
        <f>IF(AND(E1294=1,OR(E1293=0,E1293="")),MAX(#REF!)+1,IF(AND(E1294=1,E1293=1),J1293,""))</f>
        <v/>
      </c>
      <c r="K1294" s="32" t="str">
        <f t="shared" si="77"/>
        <v/>
      </c>
      <c r="L1294" s="32" t="str">
        <f t="shared" si="79"/>
        <v/>
      </c>
      <c r="M1294" s="32" t="str">
        <f t="shared" si="80"/>
        <v/>
      </c>
      <c r="N1294" s="4"/>
      <c r="AG1294" t="s">
        <v>1332</v>
      </c>
      <c r="AM1294" s="1"/>
    </row>
    <row r="1295" spans="1:39" x14ac:dyDescent="0.35">
      <c r="A1295">
        <v>1291</v>
      </c>
      <c r="B1295">
        <v>1292</v>
      </c>
      <c r="F1295" s="64"/>
      <c r="G1295" s="64"/>
      <c r="H1295" s="64" t="s">
        <v>26</v>
      </c>
      <c r="I1295" s="64"/>
      <c r="J1295" s="32" t="str">
        <f>IF(AND(E1295=1,OR(E1294=0,E1294="")),MAX(#REF!)+1,IF(AND(E1295=1,E1294=1),J1294,""))</f>
        <v/>
      </c>
      <c r="K1295" s="32" t="str">
        <f t="shared" si="77"/>
        <v/>
      </c>
      <c r="L1295" s="32" t="str">
        <f t="shared" si="79"/>
        <v/>
      </c>
      <c r="M1295" s="32" t="str">
        <f t="shared" si="80"/>
        <v/>
      </c>
      <c r="N1295" s="4"/>
      <c r="AG1295" t="s">
        <v>1333</v>
      </c>
      <c r="AM1295" s="1"/>
    </row>
    <row r="1296" spans="1:39" x14ac:dyDescent="0.35">
      <c r="A1296">
        <v>1292</v>
      </c>
      <c r="B1296">
        <v>1293</v>
      </c>
      <c r="F1296" s="64"/>
      <c r="G1296" s="64"/>
      <c r="H1296" s="64" t="s">
        <v>26</v>
      </c>
      <c r="I1296" s="64"/>
      <c r="J1296" s="32" t="str">
        <f>IF(AND(E1296=1,OR(E1295=0,E1295="")),MAX(#REF!)+1,IF(AND(E1296=1,E1295=1),J1295,""))</f>
        <v/>
      </c>
      <c r="K1296" s="32" t="str">
        <f t="shared" si="77"/>
        <v/>
      </c>
      <c r="L1296" s="32" t="str">
        <f t="shared" si="79"/>
        <v/>
      </c>
      <c r="M1296" s="32" t="str">
        <f t="shared" si="80"/>
        <v/>
      </c>
      <c r="N1296" s="4"/>
      <c r="AG1296" t="s">
        <v>1334</v>
      </c>
      <c r="AM1296" s="1"/>
    </row>
    <row r="1297" spans="1:39" x14ac:dyDescent="0.35">
      <c r="A1297">
        <v>1293</v>
      </c>
      <c r="B1297">
        <v>1294</v>
      </c>
      <c r="F1297" s="64"/>
      <c r="G1297" s="64"/>
      <c r="H1297" s="64" t="s">
        <v>26</v>
      </c>
      <c r="I1297" s="64"/>
      <c r="J1297" s="32" t="str">
        <f>IF(AND(E1297=1,OR(E1296=0,E1296="")),MAX(#REF!)+1,IF(AND(E1297=1,E1296=1),J1296,""))</f>
        <v/>
      </c>
      <c r="K1297" s="32" t="str">
        <f t="shared" si="77"/>
        <v/>
      </c>
      <c r="L1297" s="32" t="str">
        <f t="shared" si="79"/>
        <v/>
      </c>
      <c r="M1297" s="32" t="str">
        <f t="shared" si="80"/>
        <v/>
      </c>
      <c r="N1297" s="4"/>
      <c r="AG1297" t="s">
        <v>1335</v>
      </c>
      <c r="AM1297" s="1"/>
    </row>
    <row r="1298" spans="1:39" x14ac:dyDescent="0.35">
      <c r="A1298">
        <v>1294</v>
      </c>
      <c r="B1298">
        <v>1295</v>
      </c>
      <c r="F1298" s="64"/>
      <c r="G1298" s="64"/>
      <c r="H1298" s="64" t="s">
        <v>26</v>
      </c>
      <c r="I1298" s="64"/>
      <c r="J1298" s="32" t="str">
        <f>IF(AND(E1298=1,OR(E1297=0,E1297="")),MAX(#REF!)+1,IF(AND(E1298=1,E1297=1),J1297,""))</f>
        <v/>
      </c>
      <c r="K1298" s="32" t="str">
        <f t="shared" si="77"/>
        <v/>
      </c>
      <c r="L1298" s="32" t="str">
        <f t="shared" si="79"/>
        <v/>
      </c>
      <c r="M1298" s="32" t="str">
        <f t="shared" si="80"/>
        <v/>
      </c>
      <c r="N1298" s="4"/>
      <c r="AG1298" t="s">
        <v>1336</v>
      </c>
      <c r="AM1298" s="1"/>
    </row>
    <row r="1299" spans="1:39" x14ac:dyDescent="0.35">
      <c r="A1299">
        <v>1295</v>
      </c>
      <c r="B1299">
        <v>1296</v>
      </c>
      <c r="F1299" s="64"/>
      <c r="G1299" s="64"/>
      <c r="H1299" s="64" t="s">
        <v>26</v>
      </c>
      <c r="I1299" s="64"/>
      <c r="J1299" s="32" t="str">
        <f>IF(AND(E1299=1,OR(E1298=0,E1298="")),MAX(#REF!)+1,IF(AND(E1299=1,E1298=1),J1298,""))</f>
        <v/>
      </c>
      <c r="K1299" s="32" t="str">
        <f t="shared" si="77"/>
        <v/>
      </c>
      <c r="L1299" s="32" t="str">
        <f t="shared" si="79"/>
        <v/>
      </c>
      <c r="M1299" s="32" t="str">
        <f t="shared" si="80"/>
        <v/>
      </c>
      <c r="N1299" s="4"/>
      <c r="AG1299" t="s">
        <v>1337</v>
      </c>
      <c r="AM1299" s="1"/>
    </row>
    <row r="1300" spans="1:39" x14ac:dyDescent="0.35">
      <c r="A1300">
        <v>1296</v>
      </c>
      <c r="B1300">
        <v>1297</v>
      </c>
      <c r="F1300" s="64"/>
      <c r="G1300" s="64"/>
      <c r="H1300" s="64" t="s">
        <v>26</v>
      </c>
      <c r="I1300" s="64"/>
      <c r="J1300" s="32" t="str">
        <f>IF(AND(E1300=1,OR(E1299=0,E1299="")),MAX(#REF!)+1,IF(AND(E1300=1,E1299=1),J1299,""))</f>
        <v/>
      </c>
      <c r="K1300" s="32" t="str">
        <f t="shared" si="77"/>
        <v/>
      </c>
      <c r="L1300" s="32" t="str">
        <f t="shared" si="79"/>
        <v/>
      </c>
      <c r="M1300" s="32" t="str">
        <f t="shared" si="80"/>
        <v/>
      </c>
      <c r="N1300" s="4"/>
      <c r="AG1300" t="s">
        <v>1338</v>
      </c>
      <c r="AM1300" s="1"/>
    </row>
    <row r="1301" spans="1:39" x14ac:dyDescent="0.35">
      <c r="A1301">
        <v>1297</v>
      </c>
      <c r="B1301">
        <v>1298</v>
      </c>
      <c r="F1301" s="64"/>
      <c r="G1301" s="64"/>
      <c r="H1301" s="64" t="s">
        <v>26</v>
      </c>
      <c r="I1301" s="64"/>
      <c r="J1301" s="32" t="str">
        <f>IF(AND(E1301=1,OR(E1300=0,E1300="")),MAX(#REF!)+1,IF(AND(E1301=1,E1300=1),J1300,""))</f>
        <v/>
      </c>
      <c r="K1301" s="32" t="str">
        <f t="shared" si="77"/>
        <v/>
      </c>
      <c r="L1301" s="32" t="str">
        <f t="shared" si="79"/>
        <v/>
      </c>
      <c r="M1301" s="32" t="str">
        <f t="shared" si="80"/>
        <v/>
      </c>
      <c r="N1301" s="4"/>
      <c r="AG1301" t="s">
        <v>1339</v>
      </c>
      <c r="AM1301" s="1"/>
    </row>
    <row r="1302" spans="1:39" x14ac:dyDescent="0.35">
      <c r="A1302">
        <v>1298</v>
      </c>
      <c r="B1302">
        <v>1299</v>
      </c>
      <c r="F1302" s="64"/>
      <c r="G1302" s="64"/>
      <c r="H1302" s="64" t="s">
        <v>26</v>
      </c>
      <c r="I1302" s="64"/>
      <c r="J1302" s="32" t="str">
        <f>IF(AND(E1302=1,OR(E1301=0,E1301="")),MAX(#REF!)+1,IF(AND(E1302=1,E1301=1),J1301,""))</f>
        <v/>
      </c>
      <c r="K1302" s="32" t="str">
        <f t="shared" si="77"/>
        <v/>
      </c>
      <c r="L1302" s="32" t="str">
        <f t="shared" si="79"/>
        <v/>
      </c>
      <c r="M1302" s="32" t="str">
        <f t="shared" si="80"/>
        <v/>
      </c>
      <c r="N1302" s="4"/>
      <c r="AG1302" t="s">
        <v>1340</v>
      </c>
      <c r="AM1302" s="1"/>
    </row>
    <row r="1303" spans="1:39" x14ac:dyDescent="0.35">
      <c r="A1303">
        <v>1299</v>
      </c>
      <c r="B1303">
        <v>1300</v>
      </c>
      <c r="F1303" s="64"/>
      <c r="G1303" s="64"/>
      <c r="H1303" s="64" t="s">
        <v>26</v>
      </c>
      <c r="I1303" s="64"/>
      <c r="J1303" s="32" t="str">
        <f>IF(AND(E1303=1,OR(E1302=0,E1302="")),MAX(#REF!)+1,IF(AND(E1303=1,E1302=1),J1302,""))</f>
        <v/>
      </c>
      <c r="K1303" s="32" t="str">
        <f t="shared" si="77"/>
        <v/>
      </c>
      <c r="L1303" s="32" t="str">
        <f t="shared" si="79"/>
        <v/>
      </c>
      <c r="M1303" s="32" t="str">
        <f t="shared" si="80"/>
        <v/>
      </c>
      <c r="N1303" s="4"/>
      <c r="AG1303" t="s">
        <v>1341</v>
      </c>
      <c r="AM1303" s="1"/>
    </row>
    <row r="1304" spans="1:39" x14ac:dyDescent="0.35">
      <c r="A1304">
        <v>1300</v>
      </c>
      <c r="B1304">
        <v>1301</v>
      </c>
      <c r="F1304" s="64"/>
      <c r="G1304" s="64"/>
      <c r="H1304" s="64" t="s">
        <v>26</v>
      </c>
      <c r="I1304" s="64"/>
      <c r="J1304" s="32" t="str">
        <f>IF(AND(E1304=1,OR(E1303=0,E1303="")),MAX(#REF!)+1,IF(AND(E1304=1,E1303=1),J1303,""))</f>
        <v/>
      </c>
      <c r="K1304" s="32" t="str">
        <f t="shared" si="77"/>
        <v/>
      </c>
      <c r="L1304" s="32" t="str">
        <f t="shared" si="79"/>
        <v/>
      </c>
      <c r="M1304" s="32" t="str">
        <f t="shared" si="80"/>
        <v/>
      </c>
      <c r="N1304" s="4"/>
      <c r="AG1304" t="s">
        <v>1342</v>
      </c>
      <c r="AM1304" s="1"/>
    </row>
    <row r="1305" spans="1:39" x14ac:dyDescent="0.35">
      <c r="A1305">
        <v>1301</v>
      </c>
      <c r="B1305">
        <v>1302</v>
      </c>
      <c r="F1305" s="64"/>
      <c r="G1305" s="64"/>
      <c r="H1305" s="64" t="s">
        <v>26</v>
      </c>
      <c r="I1305" s="64"/>
      <c r="J1305" s="32" t="str">
        <f>IF(AND(E1305=1,OR(E1304=0,E1304="")),MAX(#REF!)+1,IF(AND(E1305=1,E1304=1),J1304,""))</f>
        <v/>
      </c>
      <c r="K1305" s="32" t="str">
        <f t="shared" si="77"/>
        <v/>
      </c>
      <c r="L1305" s="32" t="str">
        <f t="shared" si="79"/>
        <v/>
      </c>
      <c r="M1305" s="32" t="str">
        <f t="shared" si="80"/>
        <v/>
      </c>
      <c r="N1305" s="4"/>
      <c r="AG1305" t="s">
        <v>1343</v>
      </c>
      <c r="AM1305" s="1"/>
    </row>
    <row r="1306" spans="1:39" x14ac:dyDescent="0.35">
      <c r="A1306">
        <v>1302</v>
      </c>
      <c r="B1306">
        <v>1303</v>
      </c>
      <c r="F1306" s="64"/>
      <c r="G1306" s="64"/>
      <c r="H1306" s="64" t="s">
        <v>26</v>
      </c>
      <c r="I1306" s="64"/>
      <c r="J1306" s="32" t="str">
        <f>IF(AND(E1306=1,OR(E1305=0,E1305="")),MAX(#REF!)+1,IF(AND(E1306=1,E1305=1),J1305,""))</f>
        <v/>
      </c>
      <c r="K1306" s="32" t="str">
        <f t="shared" si="77"/>
        <v/>
      </c>
      <c r="L1306" s="32" t="str">
        <f t="shared" si="79"/>
        <v/>
      </c>
      <c r="M1306" s="32" t="str">
        <f t="shared" si="80"/>
        <v/>
      </c>
      <c r="N1306" s="4"/>
      <c r="AG1306" t="s">
        <v>1344</v>
      </c>
      <c r="AM1306" s="1"/>
    </row>
    <row r="1307" spans="1:39" x14ac:dyDescent="0.35">
      <c r="A1307">
        <v>1303</v>
      </c>
      <c r="B1307">
        <v>1304</v>
      </c>
      <c r="F1307" s="64"/>
      <c r="G1307" s="64"/>
      <c r="H1307" s="64" t="s">
        <v>26</v>
      </c>
      <c r="I1307" s="64"/>
      <c r="J1307" s="32" t="str">
        <f>IF(AND(E1307=1,OR(E1306=0,E1306="")),MAX(#REF!)+1,IF(AND(E1307=1,E1306=1),J1306,""))</f>
        <v/>
      </c>
      <c r="K1307" s="32" t="str">
        <f t="shared" si="77"/>
        <v/>
      </c>
      <c r="L1307" s="32" t="str">
        <f t="shared" si="79"/>
        <v/>
      </c>
      <c r="M1307" s="32" t="str">
        <f t="shared" si="80"/>
        <v/>
      </c>
      <c r="N1307" s="4"/>
      <c r="AG1307" t="s">
        <v>1345</v>
      </c>
      <c r="AM1307" s="1"/>
    </row>
    <row r="1308" spans="1:39" x14ac:dyDescent="0.35">
      <c r="A1308">
        <v>1304</v>
      </c>
      <c r="B1308">
        <v>1305</v>
      </c>
      <c r="F1308" s="64"/>
      <c r="G1308" s="64"/>
      <c r="H1308" s="64" t="s">
        <v>26</v>
      </c>
      <c r="I1308" s="64"/>
      <c r="J1308" s="32" t="str">
        <f>IF(AND(E1308=1,OR(E1307=0,E1307="")),MAX(#REF!)+1,IF(AND(E1308=1,E1307=1),J1307,""))</f>
        <v/>
      </c>
      <c r="K1308" s="32" t="str">
        <f t="shared" si="77"/>
        <v/>
      </c>
      <c r="L1308" s="32" t="str">
        <f t="shared" si="79"/>
        <v/>
      </c>
      <c r="M1308" s="32" t="str">
        <f t="shared" si="80"/>
        <v/>
      </c>
      <c r="N1308" s="4"/>
      <c r="AG1308" t="s">
        <v>1346</v>
      </c>
      <c r="AM1308" s="1"/>
    </row>
    <row r="1309" spans="1:39" x14ac:dyDescent="0.35">
      <c r="A1309">
        <v>1305</v>
      </c>
      <c r="B1309">
        <v>1306</v>
      </c>
      <c r="F1309" s="64"/>
      <c r="G1309" s="64"/>
      <c r="H1309" s="64" t="s">
        <v>26</v>
      </c>
      <c r="I1309" s="64"/>
      <c r="J1309" s="32" t="str">
        <f>IF(AND(E1309=1,OR(E1308=0,E1308="")),MAX(#REF!)+1,IF(AND(E1309=1,E1308=1),J1308,""))</f>
        <v/>
      </c>
      <c r="K1309" s="32" t="str">
        <f t="shared" si="77"/>
        <v/>
      </c>
      <c r="L1309" s="32" t="str">
        <f t="shared" si="79"/>
        <v/>
      </c>
      <c r="M1309" s="32" t="str">
        <f t="shared" si="80"/>
        <v/>
      </c>
      <c r="N1309" s="4"/>
      <c r="AG1309" t="s">
        <v>1347</v>
      </c>
      <c r="AM1309" s="1"/>
    </row>
    <row r="1310" spans="1:39" x14ac:dyDescent="0.35">
      <c r="A1310">
        <v>1306</v>
      </c>
      <c r="B1310">
        <v>1307</v>
      </c>
      <c r="F1310" s="64"/>
      <c r="G1310" s="64"/>
      <c r="H1310" s="64" t="s">
        <v>26</v>
      </c>
      <c r="I1310" s="64"/>
      <c r="J1310" s="32" t="str">
        <f>IF(AND(E1310=1,OR(E1309=0,E1309="")),MAX(#REF!)+1,IF(AND(E1310=1,E1309=1),J1309,""))</f>
        <v/>
      </c>
      <c r="K1310" s="32" t="str">
        <f t="shared" si="77"/>
        <v/>
      </c>
      <c r="L1310" s="32" t="str">
        <f t="shared" si="79"/>
        <v/>
      </c>
      <c r="M1310" s="32" t="str">
        <f t="shared" si="80"/>
        <v/>
      </c>
      <c r="N1310" s="4"/>
      <c r="AG1310" t="s">
        <v>1348</v>
      </c>
      <c r="AM1310" s="1"/>
    </row>
    <row r="1311" spans="1:39" x14ac:dyDescent="0.35">
      <c r="A1311">
        <v>1307</v>
      </c>
      <c r="B1311">
        <v>1308</v>
      </c>
      <c r="F1311" s="64"/>
      <c r="G1311" s="64"/>
      <c r="H1311" s="64" t="s">
        <v>26</v>
      </c>
      <c r="I1311" s="64"/>
      <c r="J1311" s="32" t="str">
        <f>IF(AND(E1311=1,OR(E1310=0,E1310="")),MAX(#REF!)+1,IF(AND(E1311=1,E1310=1),J1310,""))</f>
        <v/>
      </c>
      <c r="K1311" s="32" t="str">
        <f t="shared" ref="K1311:K1374" si="81">IF(J1311="","",COUNTIF(J:J,J1311)*10)</f>
        <v/>
      </c>
      <c r="L1311" s="32" t="str">
        <f t="shared" si="79"/>
        <v/>
      </c>
      <c r="M1311" s="32" t="str">
        <f t="shared" si="80"/>
        <v/>
      </c>
      <c r="N1311" s="4"/>
      <c r="AG1311" t="s">
        <v>1349</v>
      </c>
      <c r="AM1311" s="1"/>
    </row>
    <row r="1312" spans="1:39" x14ac:dyDescent="0.35">
      <c r="A1312">
        <v>1308</v>
      </c>
      <c r="B1312">
        <v>1309</v>
      </c>
      <c r="F1312" s="64"/>
      <c r="G1312" s="64"/>
      <c r="H1312" s="64" t="s">
        <v>26</v>
      </c>
      <c r="I1312" s="64"/>
      <c r="J1312" s="32" t="str">
        <f>IF(AND(E1312=1,OR(E1311=0,E1311="")),MAX(#REF!)+1,IF(AND(E1312=1,E1311=1),J1311,""))</f>
        <v/>
      </c>
      <c r="K1312" s="32" t="str">
        <f t="shared" si="81"/>
        <v/>
      </c>
      <c r="L1312" s="32" t="str">
        <f t="shared" si="79"/>
        <v/>
      </c>
      <c r="M1312" s="32" t="str">
        <f t="shared" si="80"/>
        <v/>
      </c>
      <c r="N1312" s="4"/>
      <c r="AG1312" t="s">
        <v>1350</v>
      </c>
      <c r="AM1312" s="1"/>
    </row>
    <row r="1313" spans="1:39" x14ac:dyDescent="0.35">
      <c r="A1313">
        <v>1309</v>
      </c>
      <c r="B1313">
        <v>1310</v>
      </c>
      <c r="F1313" s="64"/>
      <c r="G1313" s="64"/>
      <c r="H1313" s="64" t="s">
        <v>26</v>
      </c>
      <c r="I1313" s="64"/>
      <c r="J1313" s="32" t="str">
        <f>IF(AND(E1313=1,OR(E1312=0,E1312="")),MAX(#REF!)+1,IF(AND(E1313=1,E1312=1),J1312,""))</f>
        <v/>
      </c>
      <c r="K1313" s="32" t="str">
        <f t="shared" si="81"/>
        <v/>
      </c>
      <c r="L1313" s="32" t="str">
        <f t="shared" si="79"/>
        <v/>
      </c>
      <c r="M1313" s="32" t="str">
        <f t="shared" si="80"/>
        <v/>
      </c>
      <c r="N1313" s="4"/>
      <c r="AG1313" t="s">
        <v>1351</v>
      </c>
      <c r="AM1313" s="1"/>
    </row>
    <row r="1314" spans="1:39" x14ac:dyDescent="0.35">
      <c r="A1314">
        <v>1310</v>
      </c>
      <c r="B1314">
        <v>1311</v>
      </c>
      <c r="F1314" s="64"/>
      <c r="G1314" s="64"/>
      <c r="H1314" s="64" t="s">
        <v>26</v>
      </c>
      <c r="I1314" s="64"/>
      <c r="J1314" s="32" t="str">
        <f>IF(AND(E1314=1,OR(E1313=0,E1313="")),MAX(#REF!)+1,IF(AND(E1314=1,E1313=1),J1313,""))</f>
        <v/>
      </c>
      <c r="K1314" s="32" t="str">
        <f t="shared" si="81"/>
        <v/>
      </c>
      <c r="L1314" s="32" t="str">
        <f t="shared" si="79"/>
        <v/>
      </c>
      <c r="M1314" s="32" t="str">
        <f t="shared" si="80"/>
        <v/>
      </c>
      <c r="N1314" s="4"/>
      <c r="AG1314" t="s">
        <v>1352</v>
      </c>
      <c r="AM1314" s="1"/>
    </row>
    <row r="1315" spans="1:39" x14ac:dyDescent="0.35">
      <c r="A1315">
        <v>1311</v>
      </c>
      <c r="B1315">
        <v>1312</v>
      </c>
      <c r="F1315" s="64"/>
      <c r="G1315" s="64"/>
      <c r="H1315" s="64" t="s">
        <v>26</v>
      </c>
      <c r="I1315" s="64"/>
      <c r="J1315" s="32" t="str">
        <f>IF(AND(E1315=1,OR(E1314=0,E1314="")),MAX(#REF!)+1,IF(AND(E1315=1,E1314=1),J1314,""))</f>
        <v/>
      </c>
      <c r="K1315" s="32" t="str">
        <f t="shared" si="81"/>
        <v/>
      </c>
      <c r="L1315" s="32" t="str">
        <f t="shared" si="79"/>
        <v/>
      </c>
      <c r="M1315" s="32" t="str">
        <f t="shared" si="80"/>
        <v/>
      </c>
      <c r="N1315" s="4"/>
      <c r="AG1315" t="s">
        <v>1353</v>
      </c>
      <c r="AM1315" s="1"/>
    </row>
    <row r="1316" spans="1:39" x14ac:dyDescent="0.35">
      <c r="A1316">
        <v>1312</v>
      </c>
      <c r="B1316">
        <v>1313</v>
      </c>
      <c r="F1316" s="64"/>
      <c r="G1316" s="64"/>
      <c r="H1316" s="64" t="s">
        <v>26</v>
      </c>
      <c r="I1316" s="64"/>
      <c r="J1316" s="32" t="str">
        <f>IF(AND(E1316=1,OR(E1315=0,E1315="")),MAX(#REF!)+1,IF(AND(E1316=1,E1315=1),J1315,""))</f>
        <v/>
      </c>
      <c r="K1316" s="32" t="str">
        <f t="shared" si="81"/>
        <v/>
      </c>
      <c r="L1316" s="32" t="str">
        <f t="shared" si="79"/>
        <v/>
      </c>
      <c r="M1316" s="32" t="str">
        <f t="shared" si="80"/>
        <v/>
      </c>
      <c r="N1316" s="4"/>
      <c r="AG1316" t="s">
        <v>1354</v>
      </c>
      <c r="AM1316" s="1"/>
    </row>
    <row r="1317" spans="1:39" x14ac:dyDescent="0.35">
      <c r="A1317">
        <v>1313</v>
      </c>
      <c r="B1317">
        <v>1314</v>
      </c>
      <c r="F1317" s="64"/>
      <c r="G1317" s="64"/>
      <c r="H1317" s="64" t="s">
        <v>26</v>
      </c>
      <c r="I1317" s="64"/>
      <c r="J1317" s="32" t="str">
        <f>IF(AND(E1317=1,OR(E1316=0,E1316="")),MAX(#REF!)+1,IF(AND(E1317=1,E1316=1),J1316,""))</f>
        <v/>
      </c>
      <c r="K1317" s="32" t="str">
        <f t="shared" si="81"/>
        <v/>
      </c>
      <c r="L1317" s="32" t="str">
        <f t="shared" si="79"/>
        <v/>
      </c>
      <c r="M1317" s="32" t="str">
        <f t="shared" si="80"/>
        <v/>
      </c>
      <c r="N1317" s="4"/>
      <c r="AG1317" t="s">
        <v>1355</v>
      </c>
      <c r="AM1317" s="1"/>
    </row>
    <row r="1318" spans="1:39" x14ac:dyDescent="0.35">
      <c r="A1318">
        <v>1314</v>
      </c>
      <c r="B1318">
        <v>1315</v>
      </c>
      <c r="F1318" s="64"/>
      <c r="G1318" s="64"/>
      <c r="H1318" s="64" t="s">
        <v>26</v>
      </c>
      <c r="I1318" s="64"/>
      <c r="J1318" s="32" t="str">
        <f>IF(AND(E1318=1,OR(E1317=0,E1317="")),MAX(#REF!)+1,IF(AND(E1318=1,E1317=1),J1317,""))</f>
        <v/>
      </c>
      <c r="K1318" s="32" t="str">
        <f t="shared" si="81"/>
        <v/>
      </c>
      <c r="L1318" s="32" t="str">
        <f t="shared" si="79"/>
        <v/>
      </c>
      <c r="M1318" s="32" t="str">
        <f t="shared" si="80"/>
        <v/>
      </c>
      <c r="N1318" s="4"/>
      <c r="AG1318" t="s">
        <v>1356</v>
      </c>
      <c r="AM1318" s="1"/>
    </row>
    <row r="1319" spans="1:39" x14ac:dyDescent="0.35">
      <c r="A1319">
        <v>1315</v>
      </c>
      <c r="B1319">
        <v>1316</v>
      </c>
      <c r="F1319" s="64"/>
      <c r="G1319" s="64"/>
      <c r="H1319" s="64" t="s">
        <v>26</v>
      </c>
      <c r="I1319" s="64"/>
      <c r="J1319" s="32" t="str">
        <f>IF(AND(E1319=1,OR(E1318=0,E1318="")),MAX(#REF!)+1,IF(AND(E1319=1,E1318=1),J1318,""))</f>
        <v/>
      </c>
      <c r="K1319" s="32" t="str">
        <f t="shared" si="81"/>
        <v/>
      </c>
      <c r="L1319" s="32" t="str">
        <f t="shared" si="79"/>
        <v/>
      </c>
      <c r="M1319" s="32" t="str">
        <f t="shared" si="80"/>
        <v/>
      </c>
      <c r="N1319" s="4"/>
      <c r="AG1319" t="s">
        <v>1357</v>
      </c>
      <c r="AM1319" s="1"/>
    </row>
    <row r="1320" spans="1:39" x14ac:dyDescent="0.35">
      <c r="A1320">
        <v>1316</v>
      </c>
      <c r="B1320">
        <v>1317</v>
      </c>
      <c r="F1320" s="64"/>
      <c r="G1320" s="64"/>
      <c r="H1320" s="64" t="s">
        <v>26</v>
      </c>
      <c r="I1320" s="64"/>
      <c r="J1320" s="32" t="str">
        <f>IF(AND(E1320=1,OR(E1319=0,E1319="")),MAX(#REF!)+1,IF(AND(E1320=1,E1319=1),J1319,""))</f>
        <v/>
      </c>
      <c r="K1320" s="32" t="str">
        <f t="shared" si="81"/>
        <v/>
      </c>
      <c r="L1320" s="32" t="str">
        <f t="shared" si="79"/>
        <v/>
      </c>
      <c r="M1320" s="32" t="str">
        <f t="shared" si="80"/>
        <v/>
      </c>
      <c r="N1320" s="4"/>
      <c r="AG1320" t="s">
        <v>1358</v>
      </c>
      <c r="AM1320" s="1"/>
    </row>
    <row r="1321" spans="1:39" x14ac:dyDescent="0.35">
      <c r="A1321">
        <v>1317</v>
      </c>
      <c r="B1321">
        <v>1318</v>
      </c>
      <c r="F1321" s="64"/>
      <c r="G1321" s="64"/>
      <c r="H1321" s="64" t="s">
        <v>26</v>
      </c>
      <c r="I1321" s="64"/>
      <c r="J1321" s="32" t="str">
        <f>IF(AND(E1321=1,OR(E1320=0,E1320="")),MAX(#REF!)+1,IF(AND(E1321=1,E1320=1),J1320,""))</f>
        <v/>
      </c>
      <c r="K1321" s="32" t="str">
        <f t="shared" si="81"/>
        <v/>
      </c>
      <c r="L1321" s="32" t="str">
        <f t="shared" si="79"/>
        <v/>
      </c>
      <c r="M1321" s="32" t="str">
        <f t="shared" si="80"/>
        <v/>
      </c>
      <c r="N1321" s="4"/>
      <c r="AG1321" t="s">
        <v>1359</v>
      </c>
      <c r="AM1321" s="1"/>
    </row>
    <row r="1322" spans="1:39" x14ac:dyDescent="0.35">
      <c r="A1322">
        <v>1318</v>
      </c>
      <c r="B1322">
        <v>1319</v>
      </c>
      <c r="F1322" s="64"/>
      <c r="G1322" s="64"/>
      <c r="H1322" s="64" t="s">
        <v>26</v>
      </c>
      <c r="I1322" s="64"/>
      <c r="J1322" s="32" t="str">
        <f>IF(AND(E1322=1,OR(E1321=0,E1321="")),MAX(#REF!)+1,IF(AND(E1322=1,E1321=1),J1321,""))</f>
        <v/>
      </c>
      <c r="K1322" s="32" t="str">
        <f t="shared" si="81"/>
        <v/>
      </c>
      <c r="L1322" s="32" t="str">
        <f t="shared" si="79"/>
        <v/>
      </c>
      <c r="M1322" s="32" t="str">
        <f t="shared" si="80"/>
        <v/>
      </c>
      <c r="N1322" s="4"/>
      <c r="AG1322" t="s">
        <v>1360</v>
      </c>
      <c r="AM1322" s="1"/>
    </row>
    <row r="1323" spans="1:39" x14ac:dyDescent="0.35">
      <c r="A1323">
        <v>1319</v>
      </c>
      <c r="B1323">
        <v>1320</v>
      </c>
      <c r="F1323" s="64"/>
      <c r="G1323" s="64"/>
      <c r="H1323" s="64" t="s">
        <v>26</v>
      </c>
      <c r="I1323" s="64"/>
      <c r="J1323" s="32" t="str">
        <f>IF(AND(E1323=1,OR(E1322=0,E1322="")),MAX(#REF!)+1,IF(AND(E1323=1,E1322=1),J1322,""))</f>
        <v/>
      </c>
      <c r="K1323" s="32" t="str">
        <f t="shared" si="81"/>
        <v/>
      </c>
      <c r="L1323" s="32" t="str">
        <f t="shared" si="79"/>
        <v/>
      </c>
      <c r="M1323" s="32" t="str">
        <f t="shared" si="80"/>
        <v/>
      </c>
      <c r="N1323" s="4"/>
      <c r="AG1323" t="s">
        <v>1361</v>
      </c>
      <c r="AM1323" s="1"/>
    </row>
    <row r="1324" spans="1:39" x14ac:dyDescent="0.35">
      <c r="A1324">
        <v>1320</v>
      </c>
      <c r="B1324">
        <v>1321</v>
      </c>
      <c r="F1324" s="64"/>
      <c r="G1324" s="64"/>
      <c r="H1324" s="64" t="s">
        <v>26</v>
      </c>
      <c r="I1324" s="64"/>
      <c r="J1324" s="32" t="str">
        <f>IF(AND(E1324=1,OR(E1323=0,E1323="")),MAX(#REF!)+1,IF(AND(E1324=1,E1323=1),J1323,""))</f>
        <v/>
      </c>
      <c r="K1324" s="32" t="str">
        <f t="shared" si="81"/>
        <v/>
      </c>
      <c r="L1324" s="32" t="str">
        <f t="shared" si="79"/>
        <v/>
      </c>
      <c r="M1324" s="32" t="str">
        <f t="shared" si="80"/>
        <v/>
      </c>
      <c r="N1324" s="4"/>
      <c r="AG1324" t="s">
        <v>1362</v>
      </c>
      <c r="AM1324" s="1"/>
    </row>
    <row r="1325" spans="1:39" x14ac:dyDescent="0.35">
      <c r="A1325">
        <v>1321</v>
      </c>
      <c r="B1325">
        <v>1322</v>
      </c>
      <c r="F1325" s="64"/>
      <c r="G1325" s="64"/>
      <c r="H1325" s="64" t="s">
        <v>26</v>
      </c>
      <c r="I1325" s="64"/>
      <c r="J1325" s="32" t="str">
        <f>IF(AND(E1325=1,OR(E1324=0,E1324="")),MAX(#REF!)+1,IF(AND(E1325=1,E1324=1),J1324,""))</f>
        <v/>
      </c>
      <c r="K1325" s="32" t="str">
        <f t="shared" si="81"/>
        <v/>
      </c>
      <c r="L1325" s="32" t="str">
        <f t="shared" si="79"/>
        <v/>
      </c>
      <c r="M1325" s="32" t="str">
        <f t="shared" si="80"/>
        <v/>
      </c>
      <c r="N1325" s="4"/>
      <c r="AG1325" t="s">
        <v>1363</v>
      </c>
      <c r="AM1325" s="1"/>
    </row>
    <row r="1326" spans="1:39" x14ac:dyDescent="0.35">
      <c r="A1326">
        <v>1322</v>
      </c>
      <c r="B1326">
        <v>1323</v>
      </c>
      <c r="F1326" s="64"/>
      <c r="G1326" s="64"/>
      <c r="H1326" s="64" t="s">
        <v>26</v>
      </c>
      <c r="I1326" s="64"/>
      <c r="J1326" s="32" t="str">
        <f>IF(AND(E1326=1,OR(E1325=0,E1325="")),MAX(#REF!)+1,IF(AND(E1326=1,E1325=1),J1325,""))</f>
        <v/>
      </c>
      <c r="K1326" s="32" t="str">
        <f t="shared" si="81"/>
        <v/>
      </c>
      <c r="L1326" s="32" t="str">
        <f t="shared" si="79"/>
        <v/>
      </c>
      <c r="M1326" s="32" t="str">
        <f t="shared" si="80"/>
        <v/>
      </c>
      <c r="N1326" s="4"/>
      <c r="AG1326" t="s">
        <v>1364</v>
      </c>
      <c r="AM1326" s="1"/>
    </row>
    <row r="1327" spans="1:39" x14ac:dyDescent="0.35">
      <c r="A1327">
        <v>1323</v>
      </c>
      <c r="B1327">
        <v>1324</v>
      </c>
      <c r="F1327" s="64"/>
      <c r="G1327" s="64"/>
      <c r="H1327" s="64" t="s">
        <v>26</v>
      </c>
      <c r="I1327" s="64"/>
      <c r="J1327" s="32" t="str">
        <f>IF(AND(E1327=1,OR(E1326=0,E1326="")),MAX(#REF!)+1,IF(AND(E1327=1,E1326=1),J1326,""))</f>
        <v/>
      </c>
      <c r="K1327" s="32" t="str">
        <f t="shared" si="81"/>
        <v/>
      </c>
      <c r="L1327" s="32" t="str">
        <f t="shared" si="79"/>
        <v/>
      </c>
      <c r="M1327" s="32" t="str">
        <f t="shared" si="80"/>
        <v/>
      </c>
      <c r="N1327" s="4"/>
      <c r="AG1327" t="s">
        <v>1365</v>
      </c>
      <c r="AM1327" s="1"/>
    </row>
    <row r="1328" spans="1:39" x14ac:dyDescent="0.35">
      <c r="A1328">
        <v>1324</v>
      </c>
      <c r="B1328">
        <v>1325</v>
      </c>
      <c r="F1328" s="64"/>
      <c r="G1328" s="64"/>
      <c r="H1328" s="64" t="s">
        <v>26</v>
      </c>
      <c r="I1328" s="64"/>
      <c r="J1328" s="32" t="str">
        <f>IF(AND(E1328=1,OR(E1327=0,E1327="")),MAX(#REF!)+1,IF(AND(E1328=1,E1327=1),J1327,""))</f>
        <v/>
      </c>
      <c r="K1328" s="32" t="str">
        <f t="shared" si="81"/>
        <v/>
      </c>
      <c r="L1328" s="32" t="str">
        <f t="shared" si="79"/>
        <v/>
      </c>
      <c r="M1328" s="32" t="str">
        <f t="shared" si="80"/>
        <v/>
      </c>
      <c r="N1328" s="4"/>
      <c r="AG1328" t="s">
        <v>1366</v>
      </c>
      <c r="AM1328" s="1"/>
    </row>
    <row r="1329" spans="1:39" x14ac:dyDescent="0.35">
      <c r="A1329">
        <v>1325</v>
      </c>
      <c r="B1329">
        <v>1326</v>
      </c>
      <c r="F1329" s="64"/>
      <c r="G1329" s="64"/>
      <c r="H1329" s="64" t="s">
        <v>26</v>
      </c>
      <c r="I1329" s="64"/>
      <c r="J1329" s="32" t="str">
        <f>IF(AND(E1329=1,OR(E1328=0,E1328="")),MAX(#REF!)+1,IF(AND(E1329=1,E1328=1),J1328,""))</f>
        <v/>
      </c>
      <c r="K1329" s="32" t="str">
        <f t="shared" si="81"/>
        <v/>
      </c>
      <c r="L1329" s="32" t="str">
        <f t="shared" si="79"/>
        <v/>
      </c>
      <c r="M1329" s="32" t="str">
        <f t="shared" si="80"/>
        <v/>
      </c>
      <c r="N1329" s="4"/>
      <c r="AG1329" t="s">
        <v>1367</v>
      </c>
      <c r="AM1329" s="1"/>
    </row>
    <row r="1330" spans="1:39" x14ac:dyDescent="0.35">
      <c r="A1330">
        <v>1326</v>
      </c>
      <c r="B1330">
        <v>1327</v>
      </c>
      <c r="F1330" s="64"/>
      <c r="G1330" s="64"/>
      <c r="H1330" s="64" t="s">
        <v>26</v>
      </c>
      <c r="I1330" s="64"/>
      <c r="J1330" s="32" t="str">
        <f>IF(AND(E1330=1,OR(E1329=0,E1329="")),MAX(#REF!)+1,IF(AND(E1330=1,E1329=1),J1329,""))</f>
        <v/>
      </c>
      <c r="K1330" s="32" t="str">
        <f t="shared" si="81"/>
        <v/>
      </c>
      <c r="L1330" s="32" t="str">
        <f t="shared" si="79"/>
        <v/>
      </c>
      <c r="M1330" s="32" t="str">
        <f t="shared" si="80"/>
        <v/>
      </c>
      <c r="N1330" s="4"/>
      <c r="AG1330" t="s">
        <v>1368</v>
      </c>
      <c r="AM1330" s="1"/>
    </row>
    <row r="1331" spans="1:39" x14ac:dyDescent="0.35">
      <c r="A1331">
        <v>1327</v>
      </c>
      <c r="B1331">
        <v>1328</v>
      </c>
      <c r="F1331" s="64"/>
      <c r="G1331" s="64"/>
      <c r="H1331" s="64" t="s">
        <v>26</v>
      </c>
      <c r="I1331" s="64"/>
      <c r="J1331" s="32" t="str">
        <f>IF(AND(E1331=1,OR(E1330=0,E1330="")),MAX(#REF!)+1,IF(AND(E1331=1,E1330=1),J1330,""))</f>
        <v/>
      </c>
      <c r="K1331" s="32" t="str">
        <f t="shared" si="81"/>
        <v/>
      </c>
      <c r="L1331" s="32" t="str">
        <f t="shared" si="79"/>
        <v/>
      </c>
      <c r="M1331" s="32" t="str">
        <f t="shared" si="80"/>
        <v/>
      </c>
      <c r="N1331" s="4"/>
      <c r="AG1331" t="s">
        <v>1369</v>
      </c>
      <c r="AM1331" s="1"/>
    </row>
    <row r="1332" spans="1:39" x14ac:dyDescent="0.35">
      <c r="A1332">
        <v>1328</v>
      </c>
      <c r="B1332">
        <v>1329</v>
      </c>
      <c r="F1332" s="64"/>
      <c r="G1332" s="64"/>
      <c r="H1332" s="64" t="s">
        <v>26</v>
      </c>
      <c r="I1332" s="64"/>
      <c r="J1332" s="32" t="str">
        <f>IF(AND(E1332=1,OR(E1331=0,E1331="")),MAX(#REF!)+1,IF(AND(E1332=1,E1331=1),J1331,""))</f>
        <v/>
      </c>
      <c r="K1332" s="32" t="str">
        <f t="shared" si="81"/>
        <v/>
      </c>
      <c r="L1332" s="32" t="str">
        <f t="shared" si="79"/>
        <v/>
      </c>
      <c r="M1332" s="32" t="str">
        <f t="shared" si="80"/>
        <v/>
      </c>
      <c r="N1332" s="4"/>
      <c r="AG1332" t="s">
        <v>1370</v>
      </c>
      <c r="AM1332" s="1"/>
    </row>
    <row r="1333" spans="1:39" x14ac:dyDescent="0.35">
      <c r="A1333">
        <v>1329</v>
      </c>
      <c r="B1333">
        <v>1330</v>
      </c>
      <c r="F1333" s="64"/>
      <c r="G1333" s="64"/>
      <c r="H1333" s="64" t="s">
        <v>26</v>
      </c>
      <c r="I1333" s="64"/>
      <c r="J1333" s="32" t="str">
        <f>IF(AND(E1333=1,OR(E1332=0,E1332="")),MAX(#REF!)+1,IF(AND(E1333=1,E1332=1),J1332,""))</f>
        <v/>
      </c>
      <c r="K1333" s="32" t="str">
        <f t="shared" si="81"/>
        <v/>
      </c>
      <c r="L1333" s="32" t="str">
        <f t="shared" si="79"/>
        <v/>
      </c>
      <c r="M1333" s="32" t="str">
        <f t="shared" si="80"/>
        <v/>
      </c>
      <c r="N1333" s="4"/>
      <c r="AG1333" t="s">
        <v>1371</v>
      </c>
      <c r="AM1333" s="1"/>
    </row>
    <row r="1334" spans="1:39" x14ac:dyDescent="0.35">
      <c r="A1334">
        <v>1330</v>
      </c>
      <c r="B1334">
        <v>1331</v>
      </c>
      <c r="F1334" s="64"/>
      <c r="G1334" s="64"/>
      <c r="H1334" s="64" t="s">
        <v>26</v>
      </c>
      <c r="I1334" s="64"/>
      <c r="J1334" s="32" t="str">
        <f>IF(AND(E1334=1,OR(E1333=0,E1333="")),MAX(#REF!)+1,IF(AND(E1334=1,E1333=1),J1333,""))</f>
        <v/>
      </c>
      <c r="K1334" s="32" t="str">
        <f t="shared" si="81"/>
        <v/>
      </c>
      <c r="L1334" s="32" t="str">
        <f t="shared" si="79"/>
        <v/>
      </c>
      <c r="M1334" s="32" t="str">
        <f t="shared" si="80"/>
        <v/>
      </c>
      <c r="N1334" s="4"/>
      <c r="AG1334" t="s">
        <v>1372</v>
      </c>
      <c r="AM1334" s="1"/>
    </row>
    <row r="1335" spans="1:39" x14ac:dyDescent="0.35">
      <c r="A1335">
        <v>1331</v>
      </c>
      <c r="B1335">
        <v>1332</v>
      </c>
      <c r="F1335" s="64"/>
      <c r="G1335" s="64"/>
      <c r="H1335" s="64" t="s">
        <v>26</v>
      </c>
      <c r="I1335" s="64"/>
      <c r="J1335" s="32" t="str">
        <f>IF(AND(E1335=1,OR(E1334=0,E1334="")),MAX(#REF!)+1,IF(AND(E1335=1,E1334=1),J1334,""))</f>
        <v/>
      </c>
      <c r="K1335" s="32" t="str">
        <f t="shared" si="81"/>
        <v/>
      </c>
      <c r="L1335" s="32" t="str">
        <f t="shared" si="79"/>
        <v/>
      </c>
      <c r="M1335" s="32" t="str">
        <f t="shared" si="80"/>
        <v/>
      </c>
      <c r="N1335" s="4"/>
      <c r="AG1335" t="s">
        <v>1373</v>
      </c>
      <c r="AM1335" s="1"/>
    </row>
    <row r="1336" spans="1:39" x14ac:dyDescent="0.35">
      <c r="A1336">
        <v>1332</v>
      </c>
      <c r="B1336">
        <v>1333</v>
      </c>
      <c r="F1336" s="64"/>
      <c r="G1336" s="64"/>
      <c r="H1336" s="64" t="s">
        <v>26</v>
      </c>
      <c r="I1336" s="64"/>
      <c r="J1336" s="32" t="str">
        <f>IF(AND(E1336=1,OR(E1335=0,E1335="")),MAX(#REF!)+1,IF(AND(E1336=1,E1335=1),J1335,""))</f>
        <v/>
      </c>
      <c r="K1336" s="32" t="str">
        <f t="shared" si="81"/>
        <v/>
      </c>
      <c r="L1336" s="32" t="str">
        <f t="shared" si="79"/>
        <v/>
      </c>
      <c r="M1336" s="32" t="str">
        <f t="shared" si="80"/>
        <v/>
      </c>
      <c r="N1336" s="4"/>
      <c r="AG1336" t="s">
        <v>1374</v>
      </c>
      <c r="AM1336" s="1"/>
    </row>
    <row r="1337" spans="1:39" x14ac:dyDescent="0.35">
      <c r="A1337">
        <v>1333</v>
      </c>
      <c r="B1337">
        <v>1334</v>
      </c>
      <c r="F1337" s="64"/>
      <c r="G1337" s="64"/>
      <c r="H1337" s="64" t="s">
        <v>26</v>
      </c>
      <c r="I1337" s="64"/>
      <c r="J1337" s="32" t="str">
        <f>IF(AND(E1337=1,OR(E1336=0,E1336="")),MAX(#REF!)+1,IF(AND(E1337=1,E1336=1),J1336,""))</f>
        <v/>
      </c>
      <c r="K1337" s="32" t="str">
        <f t="shared" si="81"/>
        <v/>
      </c>
      <c r="L1337" s="32" t="str">
        <f t="shared" si="79"/>
        <v/>
      </c>
      <c r="M1337" s="32" t="str">
        <f t="shared" si="80"/>
        <v/>
      </c>
      <c r="N1337" s="4"/>
      <c r="AG1337" t="s">
        <v>1375</v>
      </c>
      <c r="AM1337" s="1"/>
    </row>
    <row r="1338" spans="1:39" x14ac:dyDescent="0.35">
      <c r="A1338">
        <v>1334</v>
      </c>
      <c r="B1338">
        <v>1335</v>
      </c>
      <c r="F1338" s="64"/>
      <c r="G1338" s="64"/>
      <c r="H1338" s="64" t="s">
        <v>26</v>
      </c>
      <c r="I1338" s="64"/>
      <c r="J1338" s="32" t="str">
        <f>IF(AND(E1338=1,OR(E1337=0,E1337="")),MAX(#REF!)+1,IF(AND(E1338=1,E1337=1),J1337,""))</f>
        <v/>
      </c>
      <c r="K1338" s="32" t="str">
        <f t="shared" si="81"/>
        <v/>
      </c>
      <c r="L1338" s="32" t="str">
        <f t="shared" si="79"/>
        <v/>
      </c>
      <c r="M1338" s="32" t="str">
        <f t="shared" si="80"/>
        <v/>
      </c>
      <c r="N1338" s="4"/>
      <c r="AG1338" t="s">
        <v>1376</v>
      </c>
      <c r="AM1338" s="1"/>
    </row>
    <row r="1339" spans="1:39" x14ac:dyDescent="0.35">
      <c r="A1339">
        <v>1335</v>
      </c>
      <c r="B1339">
        <v>1336</v>
      </c>
      <c r="F1339" s="64"/>
      <c r="G1339" s="64"/>
      <c r="H1339" s="64" t="s">
        <v>26</v>
      </c>
      <c r="I1339" s="64"/>
      <c r="J1339" s="32" t="str">
        <f>IF(AND(E1339=1,OR(E1338=0,E1338="")),MAX(#REF!)+1,IF(AND(E1339=1,E1338=1),J1338,""))</f>
        <v/>
      </c>
      <c r="K1339" s="32" t="str">
        <f t="shared" si="81"/>
        <v/>
      </c>
      <c r="L1339" s="32" t="str">
        <f t="shared" si="79"/>
        <v/>
      </c>
      <c r="M1339" s="32" t="str">
        <f t="shared" si="80"/>
        <v/>
      </c>
      <c r="N1339" s="4"/>
      <c r="AG1339" t="s">
        <v>1377</v>
      </c>
      <c r="AM1339" s="1"/>
    </row>
    <row r="1340" spans="1:39" x14ac:dyDescent="0.35">
      <c r="A1340">
        <v>1336</v>
      </c>
      <c r="B1340">
        <v>1337</v>
      </c>
      <c r="F1340" s="64"/>
      <c r="G1340" s="64"/>
      <c r="H1340" s="64" t="s">
        <v>26</v>
      </c>
      <c r="I1340" s="64"/>
      <c r="J1340" s="32" t="str">
        <f>IF(AND(E1340=1,OR(E1339=0,E1339="")),MAX(#REF!)+1,IF(AND(E1340=1,E1339=1),J1339,""))</f>
        <v/>
      </c>
      <c r="K1340" s="32" t="str">
        <f t="shared" si="81"/>
        <v/>
      </c>
      <c r="L1340" s="32" t="str">
        <f t="shared" si="79"/>
        <v/>
      </c>
      <c r="M1340" s="32" t="str">
        <f t="shared" si="80"/>
        <v/>
      </c>
      <c r="N1340" s="4"/>
      <c r="AG1340" t="s">
        <v>1378</v>
      </c>
      <c r="AM1340" s="1"/>
    </row>
    <row r="1341" spans="1:39" x14ac:dyDescent="0.35">
      <c r="A1341">
        <v>1337</v>
      </c>
      <c r="B1341">
        <v>1338</v>
      </c>
      <c r="F1341" s="64"/>
      <c r="G1341" s="64"/>
      <c r="H1341" s="64" t="s">
        <v>26</v>
      </c>
      <c r="I1341" s="64"/>
      <c r="J1341" s="32" t="str">
        <f>IF(AND(E1341=1,OR(E1340=0,E1340="")),MAX(#REF!)+1,IF(AND(E1341=1,E1340=1),J1340,""))</f>
        <v/>
      </c>
      <c r="K1341" s="32" t="str">
        <f t="shared" si="81"/>
        <v/>
      </c>
      <c r="L1341" s="32" t="str">
        <f t="shared" si="79"/>
        <v/>
      </c>
      <c r="M1341" s="32" t="str">
        <f t="shared" si="80"/>
        <v/>
      </c>
      <c r="N1341" s="4"/>
      <c r="AG1341" t="s">
        <v>1379</v>
      </c>
      <c r="AM1341" s="1"/>
    </row>
    <row r="1342" spans="1:39" x14ac:dyDescent="0.35">
      <c r="A1342">
        <v>1338</v>
      </c>
      <c r="B1342">
        <v>1339</v>
      </c>
      <c r="F1342" s="64"/>
      <c r="G1342" s="64"/>
      <c r="H1342" s="64" t="s">
        <v>26</v>
      </c>
      <c r="I1342" s="64"/>
      <c r="J1342" s="32" t="str">
        <f>IF(AND(E1342=1,OR(E1341=0,E1341="")),MAX(#REF!)+1,IF(AND(E1342=1,E1341=1),J1341,""))</f>
        <v/>
      </c>
      <c r="K1342" s="32" t="str">
        <f t="shared" si="81"/>
        <v/>
      </c>
      <c r="L1342" s="32" t="str">
        <f t="shared" si="79"/>
        <v/>
      </c>
      <c r="M1342" s="32" t="str">
        <f t="shared" si="80"/>
        <v/>
      </c>
      <c r="N1342" s="4"/>
      <c r="AG1342" t="s">
        <v>1380</v>
      </c>
      <c r="AM1342" s="1"/>
    </row>
    <row r="1343" spans="1:39" x14ac:dyDescent="0.35">
      <c r="A1343">
        <v>1339</v>
      </c>
      <c r="B1343">
        <v>1340</v>
      </c>
      <c r="F1343" s="64"/>
      <c r="G1343" s="64"/>
      <c r="H1343" s="64" t="s">
        <v>26</v>
      </c>
      <c r="I1343" s="64"/>
      <c r="J1343" s="32" t="str">
        <f>IF(AND(E1343=1,OR(E1342=0,E1342="")),MAX(#REF!)+1,IF(AND(E1343=1,E1342=1),J1342,""))</f>
        <v/>
      </c>
      <c r="K1343" s="32" t="str">
        <f t="shared" si="81"/>
        <v/>
      </c>
      <c r="L1343" s="32" t="str">
        <f t="shared" si="79"/>
        <v/>
      </c>
      <c r="M1343" s="32" t="str">
        <f t="shared" si="80"/>
        <v/>
      </c>
      <c r="N1343" s="4"/>
      <c r="AG1343" t="s">
        <v>1381</v>
      </c>
      <c r="AM1343" s="1"/>
    </row>
    <row r="1344" spans="1:39" x14ac:dyDescent="0.35">
      <c r="A1344">
        <v>1340</v>
      </c>
      <c r="B1344">
        <v>1341</v>
      </c>
      <c r="F1344" s="64"/>
      <c r="G1344" s="64"/>
      <c r="H1344" s="64" t="s">
        <v>26</v>
      </c>
      <c r="I1344" s="64"/>
      <c r="J1344" s="32" t="str">
        <f>IF(AND(E1344=1,OR(E1343=0,E1343="")),MAX(#REF!)+1,IF(AND(E1344=1,E1343=1),J1343,""))</f>
        <v/>
      </c>
      <c r="K1344" s="32" t="str">
        <f t="shared" si="81"/>
        <v/>
      </c>
      <c r="L1344" s="32" t="str">
        <f t="shared" si="79"/>
        <v/>
      </c>
      <c r="M1344" s="32" t="str">
        <f t="shared" si="80"/>
        <v/>
      </c>
      <c r="N1344" s="4"/>
      <c r="AG1344" t="s">
        <v>1382</v>
      </c>
      <c r="AM1344" s="1"/>
    </row>
    <row r="1345" spans="1:39" x14ac:dyDescent="0.35">
      <c r="A1345">
        <v>1341</v>
      </c>
      <c r="B1345">
        <v>1342</v>
      </c>
      <c r="F1345" s="64"/>
      <c r="G1345" s="64"/>
      <c r="H1345" s="64" t="s">
        <v>26</v>
      </c>
      <c r="I1345" s="64"/>
      <c r="J1345" s="32" t="str">
        <f>IF(AND(E1345=1,OR(E1344=0,E1344="")),MAX(#REF!)+1,IF(AND(E1345=1,E1344=1),J1344,""))</f>
        <v/>
      </c>
      <c r="K1345" s="32" t="str">
        <f t="shared" si="81"/>
        <v/>
      </c>
      <c r="L1345" s="32" t="str">
        <f t="shared" si="79"/>
        <v/>
      </c>
      <c r="M1345" s="32" t="str">
        <f t="shared" si="80"/>
        <v/>
      </c>
      <c r="N1345" s="4"/>
      <c r="AG1345" t="s">
        <v>1383</v>
      </c>
      <c r="AM1345" s="1"/>
    </row>
    <row r="1346" spans="1:39" x14ac:dyDescent="0.35">
      <c r="A1346">
        <v>1342</v>
      </c>
      <c r="B1346">
        <v>1343</v>
      </c>
      <c r="F1346" s="64"/>
      <c r="G1346" s="64"/>
      <c r="H1346" s="64" t="s">
        <v>26</v>
      </c>
      <c r="I1346" s="64"/>
      <c r="J1346" s="32" t="str">
        <f>IF(AND(E1346=1,OR(E1345=0,E1345="")),MAX(#REF!)+1,IF(AND(E1346=1,E1345=1),J1345,""))</f>
        <v/>
      </c>
      <c r="K1346" s="32" t="str">
        <f t="shared" si="81"/>
        <v/>
      </c>
      <c r="L1346" s="32" t="str">
        <f t="shared" si="79"/>
        <v/>
      </c>
      <c r="M1346" s="32" t="str">
        <f t="shared" si="80"/>
        <v/>
      </c>
      <c r="N1346" s="4"/>
      <c r="AG1346" t="s">
        <v>1384</v>
      </c>
      <c r="AM1346" s="1"/>
    </row>
    <row r="1347" spans="1:39" x14ac:dyDescent="0.35">
      <c r="A1347">
        <v>1343</v>
      </c>
      <c r="B1347">
        <v>1344</v>
      </c>
      <c r="F1347" s="64"/>
      <c r="G1347" s="64"/>
      <c r="H1347" s="64" t="s">
        <v>26</v>
      </c>
      <c r="I1347" s="64"/>
      <c r="J1347" s="32" t="str">
        <f>IF(AND(E1347=1,OR(E1346=0,E1346="")),MAX(#REF!)+1,IF(AND(E1347=1,E1346=1),J1346,""))</f>
        <v/>
      </c>
      <c r="K1347" s="32" t="str">
        <f t="shared" si="81"/>
        <v/>
      </c>
      <c r="L1347" s="32" t="str">
        <f t="shared" si="79"/>
        <v/>
      </c>
      <c r="M1347" s="32" t="str">
        <f t="shared" si="80"/>
        <v/>
      </c>
      <c r="N1347" s="4"/>
      <c r="AG1347" t="s">
        <v>1385</v>
      </c>
      <c r="AM1347" s="1"/>
    </row>
    <row r="1348" spans="1:39" x14ac:dyDescent="0.35">
      <c r="A1348">
        <v>1344</v>
      </c>
      <c r="B1348">
        <v>1345</v>
      </c>
      <c r="F1348" s="64"/>
      <c r="G1348" s="64"/>
      <c r="H1348" s="64" t="s">
        <v>26</v>
      </c>
      <c r="I1348" s="64"/>
      <c r="J1348" s="32" t="str">
        <f>IF(AND(E1348=1,OR(E1347=0,E1347="")),MAX(#REF!)+1,IF(AND(E1348=1,E1347=1),J1347,""))</f>
        <v/>
      </c>
      <c r="K1348" s="32" t="str">
        <f t="shared" si="81"/>
        <v/>
      </c>
      <c r="L1348" s="32" t="str">
        <f t="shared" ref="L1348:L1411" si="82">IF(K1348="","",IF(K1348&gt;=100,"HV",""))</f>
        <v/>
      </c>
      <c r="M1348" s="32" t="str">
        <f t="shared" ref="M1348:M1411" si="83">IF(K1348&lt;&gt;"",K1348^2,"")</f>
        <v/>
      </c>
      <c r="N1348" s="4"/>
      <c r="AG1348" t="s">
        <v>1386</v>
      </c>
      <c r="AM1348" s="1"/>
    </row>
    <row r="1349" spans="1:39" x14ac:dyDescent="0.35">
      <c r="A1349">
        <v>1345</v>
      </c>
      <c r="B1349">
        <v>1346</v>
      </c>
      <c r="F1349" s="64"/>
      <c r="G1349" s="64"/>
      <c r="H1349" s="64" t="s">
        <v>26</v>
      </c>
      <c r="I1349" s="64"/>
      <c r="J1349" s="32" t="str">
        <f>IF(AND(E1349=1,OR(E1348=0,E1348="")),MAX(#REF!)+1,IF(AND(E1349=1,E1348=1),J1348,""))</f>
        <v/>
      </c>
      <c r="K1349" s="32" t="str">
        <f t="shared" si="81"/>
        <v/>
      </c>
      <c r="L1349" s="32" t="str">
        <f t="shared" si="82"/>
        <v/>
      </c>
      <c r="M1349" s="32" t="str">
        <f t="shared" si="83"/>
        <v/>
      </c>
      <c r="N1349" s="4"/>
      <c r="AG1349" t="s">
        <v>1387</v>
      </c>
      <c r="AM1349" s="1"/>
    </row>
    <row r="1350" spans="1:39" x14ac:dyDescent="0.35">
      <c r="A1350">
        <v>1346</v>
      </c>
      <c r="B1350">
        <v>1347</v>
      </c>
      <c r="F1350" s="64"/>
      <c r="G1350" s="64"/>
      <c r="H1350" s="64" t="s">
        <v>26</v>
      </c>
      <c r="I1350" s="64"/>
      <c r="J1350" s="32" t="str">
        <f>IF(AND(E1350=1,OR(E1349=0,E1349="")),MAX(#REF!)+1,IF(AND(E1350=1,E1349=1),J1349,""))</f>
        <v/>
      </c>
      <c r="K1350" s="32" t="str">
        <f t="shared" si="81"/>
        <v/>
      </c>
      <c r="L1350" s="32" t="str">
        <f t="shared" si="82"/>
        <v/>
      </c>
      <c r="M1350" s="32" t="str">
        <f t="shared" si="83"/>
        <v/>
      </c>
      <c r="N1350" s="4"/>
      <c r="AG1350" t="s">
        <v>1388</v>
      </c>
      <c r="AM1350" s="1"/>
    </row>
    <row r="1351" spans="1:39" x14ac:dyDescent="0.35">
      <c r="A1351">
        <v>1347</v>
      </c>
      <c r="B1351">
        <v>1348</v>
      </c>
      <c r="F1351" s="64"/>
      <c r="G1351" s="64"/>
      <c r="H1351" s="64" t="s">
        <v>26</v>
      </c>
      <c r="I1351" s="64"/>
      <c r="J1351" s="32" t="str">
        <f>IF(AND(E1351=1,OR(E1350=0,E1350="")),MAX(#REF!)+1,IF(AND(E1351=1,E1350=1),J1350,""))</f>
        <v/>
      </c>
      <c r="K1351" s="32" t="str">
        <f t="shared" si="81"/>
        <v/>
      </c>
      <c r="L1351" s="32" t="str">
        <f t="shared" si="82"/>
        <v/>
      </c>
      <c r="M1351" s="32" t="str">
        <f t="shared" si="83"/>
        <v/>
      </c>
      <c r="N1351" s="4"/>
      <c r="AG1351" t="s">
        <v>1389</v>
      </c>
      <c r="AM1351" s="1"/>
    </row>
    <row r="1352" spans="1:39" x14ac:dyDescent="0.35">
      <c r="A1352">
        <v>1348</v>
      </c>
      <c r="B1352">
        <v>1349</v>
      </c>
      <c r="F1352" s="64"/>
      <c r="G1352" s="64"/>
      <c r="H1352" s="64" t="s">
        <v>26</v>
      </c>
      <c r="I1352" s="64"/>
      <c r="J1352" s="32" t="str">
        <f>IF(AND(E1352=1,OR(E1351=0,E1351="")),MAX(#REF!)+1,IF(AND(E1352=1,E1351=1),J1351,""))</f>
        <v/>
      </c>
      <c r="K1352" s="32" t="str">
        <f t="shared" si="81"/>
        <v/>
      </c>
      <c r="L1352" s="32" t="str">
        <f t="shared" si="82"/>
        <v/>
      </c>
      <c r="M1352" s="32" t="str">
        <f t="shared" si="83"/>
        <v/>
      </c>
      <c r="N1352" s="4"/>
      <c r="AG1352" t="s">
        <v>1390</v>
      </c>
      <c r="AM1352" s="1"/>
    </row>
    <row r="1353" spans="1:39" x14ac:dyDescent="0.35">
      <c r="A1353">
        <v>1349</v>
      </c>
      <c r="B1353">
        <v>1350</v>
      </c>
      <c r="F1353" s="64"/>
      <c r="G1353" s="64"/>
      <c r="H1353" s="64" t="s">
        <v>26</v>
      </c>
      <c r="I1353" s="64"/>
      <c r="J1353" s="32" t="str">
        <f>IF(AND(E1353=1,OR(E1352=0,E1352="")),MAX(#REF!)+1,IF(AND(E1353=1,E1352=1),J1352,""))</f>
        <v/>
      </c>
      <c r="K1353" s="32" t="str">
        <f t="shared" si="81"/>
        <v/>
      </c>
      <c r="L1353" s="32" t="str">
        <f t="shared" si="82"/>
        <v/>
      </c>
      <c r="M1353" s="32" t="str">
        <f t="shared" si="83"/>
        <v/>
      </c>
      <c r="N1353" s="4"/>
      <c r="AG1353" t="s">
        <v>1391</v>
      </c>
      <c r="AM1353" s="1"/>
    </row>
    <row r="1354" spans="1:39" x14ac:dyDescent="0.35">
      <c r="A1354">
        <v>1350</v>
      </c>
      <c r="B1354">
        <v>1351</v>
      </c>
      <c r="F1354" s="64"/>
      <c r="G1354" s="64"/>
      <c r="H1354" s="64" t="s">
        <v>26</v>
      </c>
      <c r="I1354" s="64"/>
      <c r="J1354" s="32" t="str">
        <f>IF(AND(E1354=1,OR(E1353=0,E1353="")),MAX(#REF!)+1,IF(AND(E1354=1,E1353=1),J1353,""))</f>
        <v/>
      </c>
      <c r="K1354" s="32" t="str">
        <f t="shared" si="81"/>
        <v/>
      </c>
      <c r="L1354" s="32" t="str">
        <f t="shared" si="82"/>
        <v/>
      </c>
      <c r="M1354" s="32" t="str">
        <f t="shared" si="83"/>
        <v/>
      </c>
      <c r="N1354" s="4"/>
      <c r="AG1354" t="s">
        <v>1392</v>
      </c>
      <c r="AM1354" s="1"/>
    </row>
    <row r="1355" spans="1:39" x14ac:dyDescent="0.35">
      <c r="A1355">
        <v>1351</v>
      </c>
      <c r="B1355">
        <v>1352</v>
      </c>
      <c r="F1355" s="64"/>
      <c r="G1355" s="64"/>
      <c r="H1355" s="64" t="s">
        <v>26</v>
      </c>
      <c r="I1355" s="64"/>
      <c r="J1355" s="32" t="str">
        <f>IF(AND(E1355=1,OR(E1354=0,E1354="")),MAX(#REF!)+1,IF(AND(E1355=1,E1354=1),J1354,""))</f>
        <v/>
      </c>
      <c r="K1355" s="32" t="str">
        <f t="shared" si="81"/>
        <v/>
      </c>
      <c r="L1355" s="32" t="str">
        <f t="shared" si="82"/>
        <v/>
      </c>
      <c r="M1355" s="32" t="str">
        <f t="shared" si="83"/>
        <v/>
      </c>
      <c r="N1355" s="4"/>
      <c r="AG1355" t="s">
        <v>1393</v>
      </c>
      <c r="AM1355" s="1"/>
    </row>
    <row r="1356" spans="1:39" x14ac:dyDescent="0.35">
      <c r="A1356">
        <v>1352</v>
      </c>
      <c r="B1356">
        <v>1353</v>
      </c>
      <c r="F1356" s="64"/>
      <c r="G1356" s="64"/>
      <c r="H1356" s="64" t="s">
        <v>26</v>
      </c>
      <c r="I1356" s="64"/>
      <c r="J1356" s="32" t="str">
        <f>IF(AND(E1356=1,OR(E1355=0,E1355="")),MAX(#REF!)+1,IF(AND(E1356=1,E1355=1),J1355,""))</f>
        <v/>
      </c>
      <c r="K1356" s="32" t="str">
        <f t="shared" si="81"/>
        <v/>
      </c>
      <c r="L1356" s="32" t="str">
        <f t="shared" si="82"/>
        <v/>
      </c>
      <c r="M1356" s="32" t="str">
        <f t="shared" si="83"/>
        <v/>
      </c>
      <c r="N1356" s="4"/>
      <c r="AG1356" t="s">
        <v>1394</v>
      </c>
      <c r="AM1356" s="1"/>
    </row>
    <row r="1357" spans="1:39" x14ac:dyDescent="0.35">
      <c r="A1357">
        <v>1353</v>
      </c>
      <c r="B1357">
        <v>1354</v>
      </c>
      <c r="F1357" s="64"/>
      <c r="G1357" s="64"/>
      <c r="H1357" s="64" t="s">
        <v>26</v>
      </c>
      <c r="I1357" s="64"/>
      <c r="J1357" s="32" t="str">
        <f>IF(AND(E1357=1,OR(E1356=0,E1356="")),MAX(#REF!)+1,IF(AND(E1357=1,E1356=1),J1356,""))</f>
        <v/>
      </c>
      <c r="K1357" s="32" t="str">
        <f t="shared" si="81"/>
        <v/>
      </c>
      <c r="L1357" s="32" t="str">
        <f t="shared" si="82"/>
        <v/>
      </c>
      <c r="M1357" s="32" t="str">
        <f t="shared" si="83"/>
        <v/>
      </c>
      <c r="N1357" s="4"/>
      <c r="AG1357" t="s">
        <v>1395</v>
      </c>
      <c r="AM1357" s="1"/>
    </row>
    <row r="1358" spans="1:39" x14ac:dyDescent="0.35">
      <c r="A1358">
        <v>1354</v>
      </c>
      <c r="B1358">
        <v>1355</v>
      </c>
      <c r="F1358" s="64"/>
      <c r="G1358" s="64"/>
      <c r="H1358" s="64" t="s">
        <v>26</v>
      </c>
      <c r="I1358" s="64"/>
      <c r="J1358" s="32" t="str">
        <f>IF(AND(E1358=1,OR(E1357=0,E1357="")),MAX(#REF!)+1,IF(AND(E1358=1,E1357=1),J1357,""))</f>
        <v/>
      </c>
      <c r="K1358" s="32" t="str">
        <f t="shared" si="81"/>
        <v/>
      </c>
      <c r="L1358" s="32" t="str">
        <f t="shared" si="82"/>
        <v/>
      </c>
      <c r="M1358" s="32" t="str">
        <f t="shared" si="83"/>
        <v/>
      </c>
      <c r="N1358" s="4"/>
      <c r="AG1358" t="s">
        <v>1396</v>
      </c>
      <c r="AM1358" s="1"/>
    </row>
    <row r="1359" spans="1:39" x14ac:dyDescent="0.35">
      <c r="A1359">
        <v>1355</v>
      </c>
      <c r="B1359">
        <v>1356</v>
      </c>
      <c r="F1359" s="64"/>
      <c r="G1359" s="64"/>
      <c r="H1359" s="64" t="s">
        <v>26</v>
      </c>
      <c r="I1359" s="64"/>
      <c r="J1359" s="32" t="str">
        <f>IF(AND(E1359=1,OR(E1358=0,E1358="")),MAX(#REF!)+1,IF(AND(E1359=1,E1358=1),J1358,""))</f>
        <v/>
      </c>
      <c r="K1359" s="32" t="str">
        <f t="shared" si="81"/>
        <v/>
      </c>
      <c r="L1359" s="32" t="str">
        <f t="shared" si="82"/>
        <v/>
      </c>
      <c r="M1359" s="32" t="str">
        <f t="shared" si="83"/>
        <v/>
      </c>
      <c r="N1359" s="4"/>
      <c r="AG1359" t="s">
        <v>77</v>
      </c>
      <c r="AM1359" s="1"/>
    </row>
    <row r="1360" spans="1:39" x14ac:dyDescent="0.35">
      <c r="A1360">
        <v>1356</v>
      </c>
      <c r="B1360">
        <v>1357</v>
      </c>
      <c r="F1360" s="64"/>
      <c r="G1360" s="64"/>
      <c r="H1360" s="64" t="s">
        <v>26</v>
      </c>
      <c r="I1360" s="64"/>
      <c r="J1360" s="32" t="str">
        <f>IF(AND(E1360=1,OR(E1359=0,E1359="")),MAX(#REF!)+1,IF(AND(E1360=1,E1359=1),J1359,""))</f>
        <v/>
      </c>
      <c r="K1360" s="32" t="str">
        <f t="shared" si="81"/>
        <v/>
      </c>
      <c r="L1360" s="32" t="str">
        <f t="shared" si="82"/>
        <v/>
      </c>
      <c r="M1360" s="32" t="str">
        <f t="shared" si="83"/>
        <v/>
      </c>
      <c r="N1360" s="4"/>
      <c r="AG1360" t="s">
        <v>77</v>
      </c>
      <c r="AM1360" s="1"/>
    </row>
    <row r="1361" spans="1:39" x14ac:dyDescent="0.35">
      <c r="A1361">
        <v>1357</v>
      </c>
      <c r="B1361">
        <v>1358</v>
      </c>
      <c r="F1361" s="64"/>
      <c r="G1361" s="64"/>
      <c r="H1361" s="64" t="s">
        <v>26</v>
      </c>
      <c r="I1361" s="64"/>
      <c r="J1361" s="32" t="str">
        <f>IF(AND(E1361=1,OR(E1360=0,E1360="")),MAX(#REF!)+1,IF(AND(E1361=1,E1360=1),J1360,""))</f>
        <v/>
      </c>
      <c r="K1361" s="32" t="str">
        <f t="shared" si="81"/>
        <v/>
      </c>
      <c r="L1361" s="32" t="str">
        <f t="shared" si="82"/>
        <v/>
      </c>
      <c r="M1361" s="32" t="str">
        <f t="shared" si="83"/>
        <v/>
      </c>
      <c r="N1361" s="4"/>
      <c r="AG1361" t="s">
        <v>77</v>
      </c>
      <c r="AM1361" s="1"/>
    </row>
    <row r="1362" spans="1:39" x14ac:dyDescent="0.35">
      <c r="A1362">
        <v>1358</v>
      </c>
      <c r="B1362">
        <v>1359</v>
      </c>
      <c r="F1362" s="64"/>
      <c r="G1362" s="64"/>
      <c r="H1362" s="64" t="s">
        <v>26</v>
      </c>
      <c r="I1362" s="64"/>
      <c r="J1362" s="32" t="str">
        <f>IF(AND(E1362=1,OR(E1361=0,E1361="")),MAX(#REF!)+1,IF(AND(E1362=1,E1361=1),J1361,""))</f>
        <v/>
      </c>
      <c r="K1362" s="32" t="str">
        <f t="shared" si="81"/>
        <v/>
      </c>
      <c r="L1362" s="32" t="str">
        <f t="shared" si="82"/>
        <v/>
      </c>
      <c r="M1362" s="32" t="str">
        <f t="shared" si="83"/>
        <v/>
      </c>
      <c r="N1362" s="4"/>
      <c r="AG1362" t="s">
        <v>1397</v>
      </c>
      <c r="AM1362" s="1"/>
    </row>
    <row r="1363" spans="1:39" x14ac:dyDescent="0.35">
      <c r="A1363">
        <v>1359</v>
      </c>
      <c r="B1363">
        <v>1360</v>
      </c>
      <c r="F1363" s="64"/>
      <c r="G1363" s="64"/>
      <c r="H1363" s="64" t="s">
        <v>26</v>
      </c>
      <c r="I1363" s="64"/>
      <c r="J1363" s="32" t="str">
        <f>IF(AND(E1363=1,OR(E1362=0,E1362="")),MAX(#REF!)+1,IF(AND(E1363=1,E1362=1),J1362,""))</f>
        <v/>
      </c>
      <c r="K1363" s="32" t="str">
        <f t="shared" si="81"/>
        <v/>
      </c>
      <c r="L1363" s="32" t="str">
        <f t="shared" si="82"/>
        <v/>
      </c>
      <c r="M1363" s="32" t="str">
        <f t="shared" si="83"/>
        <v/>
      </c>
      <c r="N1363" s="4"/>
      <c r="AG1363" t="s">
        <v>77</v>
      </c>
      <c r="AM1363" s="1"/>
    </row>
    <row r="1364" spans="1:39" x14ac:dyDescent="0.35">
      <c r="A1364">
        <v>1360</v>
      </c>
      <c r="B1364">
        <v>1361</v>
      </c>
      <c r="F1364" s="64"/>
      <c r="G1364" s="64"/>
      <c r="H1364" s="64" t="s">
        <v>26</v>
      </c>
      <c r="I1364" s="64"/>
      <c r="J1364" s="32">
        <v>101</v>
      </c>
      <c r="K1364" s="32">
        <f t="shared" si="81"/>
        <v>10</v>
      </c>
      <c r="L1364" s="32" t="str">
        <f t="shared" si="82"/>
        <v/>
      </c>
      <c r="M1364" s="32">
        <f t="shared" si="83"/>
        <v>100</v>
      </c>
      <c r="N1364" s="4"/>
      <c r="AG1364" t="s">
        <v>77</v>
      </c>
      <c r="AM1364" s="1"/>
    </row>
    <row r="1365" spans="1:39" x14ac:dyDescent="0.35">
      <c r="A1365">
        <v>1361</v>
      </c>
      <c r="B1365">
        <v>1362</v>
      </c>
      <c r="F1365" s="64"/>
      <c r="G1365" s="64"/>
      <c r="H1365" s="64" t="s">
        <v>26</v>
      </c>
      <c r="I1365" s="64"/>
      <c r="J1365" s="32" t="str">
        <f>IF(AND(E1365=1,OR(E1364=0,E1364="")),MAX(#REF!)+1,IF(AND(E1365=1,E1364=1),J1364,""))</f>
        <v/>
      </c>
      <c r="K1365" s="32" t="str">
        <f t="shared" si="81"/>
        <v/>
      </c>
      <c r="L1365" s="32" t="str">
        <f t="shared" si="82"/>
        <v/>
      </c>
      <c r="M1365" s="32" t="str">
        <f t="shared" si="83"/>
        <v/>
      </c>
      <c r="N1365" s="4"/>
      <c r="AG1365" t="s">
        <v>77</v>
      </c>
      <c r="AM1365" s="1"/>
    </row>
    <row r="1366" spans="1:39" x14ac:dyDescent="0.35">
      <c r="A1366">
        <v>1362</v>
      </c>
      <c r="B1366">
        <v>1363</v>
      </c>
      <c r="F1366" s="64"/>
      <c r="G1366" s="64"/>
      <c r="H1366" s="64" t="s">
        <v>26</v>
      </c>
      <c r="I1366" s="64"/>
      <c r="J1366" s="32" t="str">
        <f>IF(AND(E1366=1,OR(E1365=0,E1365="")),MAX(#REF!)+1,IF(AND(E1366=1,E1365=1),J1365,""))</f>
        <v/>
      </c>
      <c r="K1366" s="32" t="str">
        <f t="shared" si="81"/>
        <v/>
      </c>
      <c r="L1366" s="32" t="str">
        <f t="shared" si="82"/>
        <v/>
      </c>
      <c r="M1366" s="32" t="str">
        <f t="shared" si="83"/>
        <v/>
      </c>
      <c r="N1366" s="4"/>
      <c r="AG1366" t="s">
        <v>77</v>
      </c>
      <c r="AM1366" s="1"/>
    </row>
    <row r="1367" spans="1:39" x14ac:dyDescent="0.35">
      <c r="A1367">
        <v>1363</v>
      </c>
      <c r="B1367">
        <v>1364</v>
      </c>
      <c r="F1367" s="64"/>
      <c r="G1367" s="64"/>
      <c r="H1367" s="64" t="s">
        <v>26</v>
      </c>
      <c r="I1367" s="64"/>
      <c r="J1367" s="32" t="str">
        <f>IF(AND(E1367=1,OR(E1366=0,E1366="")),MAX(#REF!)+1,IF(AND(E1367=1,E1366=1),J1366,""))</f>
        <v/>
      </c>
      <c r="K1367" s="32" t="str">
        <f t="shared" si="81"/>
        <v/>
      </c>
      <c r="L1367" s="32" t="str">
        <f t="shared" si="82"/>
        <v/>
      </c>
      <c r="M1367" s="32" t="str">
        <f t="shared" si="83"/>
        <v/>
      </c>
      <c r="N1367" s="4"/>
      <c r="AG1367" t="s">
        <v>77</v>
      </c>
      <c r="AM1367" s="1"/>
    </row>
    <row r="1368" spans="1:39" x14ac:dyDescent="0.35">
      <c r="A1368">
        <v>1364</v>
      </c>
      <c r="B1368">
        <v>1365</v>
      </c>
      <c r="F1368" s="64"/>
      <c r="G1368" s="64"/>
      <c r="H1368" s="64" t="s">
        <v>26</v>
      </c>
      <c r="I1368" s="64"/>
      <c r="J1368" s="32" t="str">
        <f>IF(AND(E1368=1,OR(E1367=0,E1367="")),MAX(#REF!)+1,IF(AND(E1368=1,E1367=1),J1367,""))</f>
        <v/>
      </c>
      <c r="K1368" s="32" t="str">
        <f t="shared" si="81"/>
        <v/>
      </c>
      <c r="L1368" s="32" t="str">
        <f t="shared" si="82"/>
        <v/>
      </c>
      <c r="M1368" s="32" t="str">
        <f t="shared" si="83"/>
        <v/>
      </c>
      <c r="N1368" s="4"/>
      <c r="AG1368" t="s">
        <v>77</v>
      </c>
      <c r="AM1368" s="1"/>
    </row>
    <row r="1369" spans="1:39" x14ac:dyDescent="0.35">
      <c r="A1369">
        <v>1365</v>
      </c>
      <c r="B1369">
        <v>1366</v>
      </c>
      <c r="F1369" s="64"/>
      <c r="G1369" s="64"/>
      <c r="H1369" s="64" t="s">
        <v>26</v>
      </c>
      <c r="I1369" s="64"/>
      <c r="J1369" s="32" t="str">
        <f>IF(AND(E1369=1,OR(E1368=0,E1368="")),MAX(#REF!)+1,IF(AND(E1369=1,E1368=1),J1368,""))</f>
        <v/>
      </c>
      <c r="K1369" s="32" t="str">
        <f t="shared" si="81"/>
        <v/>
      </c>
      <c r="L1369" s="32" t="str">
        <f t="shared" si="82"/>
        <v/>
      </c>
      <c r="M1369" s="32" t="str">
        <f t="shared" si="83"/>
        <v/>
      </c>
      <c r="N1369" s="4"/>
      <c r="AG1369" t="s">
        <v>1398</v>
      </c>
      <c r="AM1369" s="1"/>
    </row>
    <row r="1370" spans="1:39" x14ac:dyDescent="0.35">
      <c r="A1370">
        <v>1366</v>
      </c>
      <c r="B1370">
        <v>1367</v>
      </c>
      <c r="F1370" s="64"/>
      <c r="G1370" s="64"/>
      <c r="H1370" s="64" t="s">
        <v>26</v>
      </c>
      <c r="I1370" s="64"/>
      <c r="J1370" s="32" t="str">
        <f>IF(AND(E1370=1,OR(E1369=0,E1369="")),MAX(#REF!)+1,IF(AND(E1370=1,E1369=1),J1369,""))</f>
        <v/>
      </c>
      <c r="K1370" s="32" t="str">
        <f t="shared" si="81"/>
        <v/>
      </c>
      <c r="L1370" s="32" t="str">
        <f t="shared" si="82"/>
        <v/>
      </c>
      <c r="M1370" s="32" t="str">
        <f t="shared" si="83"/>
        <v/>
      </c>
      <c r="N1370" s="4"/>
      <c r="AG1370" t="s">
        <v>77</v>
      </c>
      <c r="AM1370" s="1"/>
    </row>
    <row r="1371" spans="1:39" x14ac:dyDescent="0.35">
      <c r="A1371">
        <v>1367</v>
      </c>
      <c r="B1371">
        <v>1368</v>
      </c>
      <c r="F1371" s="64"/>
      <c r="G1371" s="64"/>
      <c r="H1371" s="64" t="s">
        <v>26</v>
      </c>
      <c r="I1371" s="64"/>
      <c r="J1371" s="32" t="str">
        <f>IF(AND(E1371=1,OR(E1370=0,E1370="")),MAX(#REF!)+1,IF(AND(E1371=1,E1370=1),J1370,""))</f>
        <v/>
      </c>
      <c r="K1371" s="32" t="str">
        <f t="shared" si="81"/>
        <v/>
      </c>
      <c r="L1371" s="32" t="str">
        <f t="shared" si="82"/>
        <v/>
      </c>
      <c r="M1371" s="32" t="str">
        <f t="shared" si="83"/>
        <v/>
      </c>
      <c r="N1371" s="4"/>
      <c r="AG1371" t="s">
        <v>77</v>
      </c>
      <c r="AM1371" s="1"/>
    </row>
    <row r="1372" spans="1:39" x14ac:dyDescent="0.35">
      <c r="A1372">
        <v>1368</v>
      </c>
      <c r="B1372">
        <v>1369</v>
      </c>
      <c r="F1372" s="64"/>
      <c r="G1372" s="64"/>
      <c r="H1372" s="64" t="s">
        <v>26</v>
      </c>
      <c r="I1372" s="64"/>
      <c r="J1372" s="32" t="str">
        <f>IF(AND(E1372=1,OR(E1371=0,E1371="")),MAX(#REF!)+1,IF(AND(E1372=1,E1371=1),J1371,""))</f>
        <v/>
      </c>
      <c r="K1372" s="32" t="str">
        <f t="shared" si="81"/>
        <v/>
      </c>
      <c r="L1372" s="32" t="str">
        <f t="shared" si="82"/>
        <v/>
      </c>
      <c r="M1372" s="32" t="str">
        <f t="shared" si="83"/>
        <v/>
      </c>
      <c r="N1372" s="4"/>
      <c r="AG1372" t="s">
        <v>77</v>
      </c>
      <c r="AM1372" s="1"/>
    </row>
    <row r="1373" spans="1:39" x14ac:dyDescent="0.35">
      <c r="A1373">
        <v>1369</v>
      </c>
      <c r="B1373">
        <v>1370</v>
      </c>
      <c r="F1373" s="64"/>
      <c r="G1373" s="64"/>
      <c r="H1373" s="64" t="s">
        <v>26</v>
      </c>
      <c r="I1373" s="64"/>
      <c r="J1373" s="32" t="str">
        <f>IF(AND(E1373=1,OR(E1372=0,E1372="")),MAX(#REF!)+1,IF(AND(E1373=1,E1372=1),J1372,""))</f>
        <v/>
      </c>
      <c r="K1373" s="32" t="str">
        <f t="shared" si="81"/>
        <v/>
      </c>
      <c r="L1373" s="32" t="str">
        <f t="shared" si="82"/>
        <v/>
      </c>
      <c r="M1373" s="32" t="str">
        <f t="shared" si="83"/>
        <v/>
      </c>
      <c r="N1373" s="4"/>
      <c r="AG1373" t="s">
        <v>77</v>
      </c>
      <c r="AM1373" s="1"/>
    </row>
    <row r="1374" spans="1:39" x14ac:dyDescent="0.35">
      <c r="A1374">
        <v>1370</v>
      </c>
      <c r="B1374">
        <v>1371</v>
      </c>
      <c r="F1374" s="64"/>
      <c r="G1374" s="64"/>
      <c r="H1374" s="64" t="s">
        <v>26</v>
      </c>
      <c r="I1374" s="64"/>
      <c r="J1374" s="32" t="str">
        <f>IF(AND(E1374=1,OR(E1373=0,E1373="")),MAX(#REF!)+1,IF(AND(E1374=1,E1373=1),J1373,""))</f>
        <v/>
      </c>
      <c r="K1374" s="32" t="str">
        <f t="shared" si="81"/>
        <v/>
      </c>
      <c r="L1374" s="32" t="str">
        <f t="shared" si="82"/>
        <v/>
      </c>
      <c r="M1374" s="32" t="str">
        <f t="shared" si="83"/>
        <v/>
      </c>
      <c r="N1374" s="4"/>
      <c r="AG1374" t="s">
        <v>77</v>
      </c>
      <c r="AM1374" s="1"/>
    </row>
    <row r="1375" spans="1:39" x14ac:dyDescent="0.35">
      <c r="A1375">
        <v>1371</v>
      </c>
      <c r="B1375">
        <v>1372</v>
      </c>
      <c r="F1375" s="64"/>
      <c r="G1375" s="64"/>
      <c r="H1375" s="64" t="s">
        <v>26</v>
      </c>
      <c r="I1375" s="64"/>
      <c r="J1375" s="32" t="str">
        <f>IF(AND(E1375=1,OR(E1374=0,E1374="")),MAX(#REF!)+1,IF(AND(E1375=1,E1374=1),J1374,""))</f>
        <v/>
      </c>
      <c r="K1375" s="32" t="str">
        <f t="shared" ref="K1375:K1438" si="84">IF(J1375="","",COUNTIF(J:J,J1375)*10)</f>
        <v/>
      </c>
      <c r="L1375" s="32" t="str">
        <f t="shared" si="82"/>
        <v/>
      </c>
      <c r="M1375" s="32" t="str">
        <f t="shared" si="83"/>
        <v/>
      </c>
      <c r="N1375" s="4"/>
      <c r="AG1375" t="s">
        <v>77</v>
      </c>
      <c r="AM1375" s="1"/>
    </row>
    <row r="1376" spans="1:39" x14ac:dyDescent="0.35">
      <c r="A1376">
        <v>1372</v>
      </c>
      <c r="B1376">
        <v>1373</v>
      </c>
      <c r="F1376" s="64"/>
      <c r="G1376" s="64"/>
      <c r="H1376" s="64" t="s">
        <v>26</v>
      </c>
      <c r="I1376" s="64"/>
      <c r="J1376" s="32" t="str">
        <f>IF(AND(E1376=1,OR(E1375=0,E1375="")),MAX(#REF!)+1,IF(AND(E1376=1,E1375=1),J1375,""))</f>
        <v/>
      </c>
      <c r="K1376" s="32" t="str">
        <f t="shared" si="84"/>
        <v/>
      </c>
      <c r="L1376" s="32" t="str">
        <f t="shared" si="82"/>
        <v/>
      </c>
      <c r="M1376" s="32" t="str">
        <f t="shared" si="83"/>
        <v/>
      </c>
      <c r="N1376" s="4"/>
      <c r="AG1376" t="s">
        <v>77</v>
      </c>
      <c r="AM1376" s="1"/>
    </row>
    <row r="1377" spans="1:39" x14ac:dyDescent="0.35">
      <c r="A1377">
        <v>1373</v>
      </c>
      <c r="B1377">
        <v>1374</v>
      </c>
      <c r="F1377" s="64"/>
      <c r="G1377" s="64"/>
      <c r="H1377" s="64" t="s">
        <v>26</v>
      </c>
      <c r="I1377" s="64"/>
      <c r="J1377" s="32" t="str">
        <f>IF(AND(E1377=1,OR(E1376=0,E1376="")),MAX(#REF!)+1,IF(AND(E1377=1,E1376=1),J1376,""))</f>
        <v/>
      </c>
      <c r="K1377" s="32" t="str">
        <f t="shared" si="84"/>
        <v/>
      </c>
      <c r="L1377" s="32" t="str">
        <f t="shared" si="82"/>
        <v/>
      </c>
      <c r="M1377" s="32" t="str">
        <f t="shared" si="83"/>
        <v/>
      </c>
      <c r="N1377" s="4"/>
      <c r="AG1377" t="s">
        <v>77</v>
      </c>
      <c r="AM1377" s="1"/>
    </row>
    <row r="1378" spans="1:39" x14ac:dyDescent="0.35">
      <c r="A1378">
        <v>1374</v>
      </c>
      <c r="B1378">
        <v>1375</v>
      </c>
      <c r="F1378" s="64"/>
      <c r="G1378" s="64"/>
      <c r="H1378" s="64" t="s">
        <v>26</v>
      </c>
      <c r="I1378" s="64"/>
      <c r="J1378" s="32" t="str">
        <f>IF(AND(E1378=1,OR(E1377=0,E1377="")),MAX(#REF!)+1,IF(AND(E1378=1,E1377=1),J1377,""))</f>
        <v/>
      </c>
      <c r="K1378" s="32" t="str">
        <f t="shared" si="84"/>
        <v/>
      </c>
      <c r="L1378" s="32" t="str">
        <f t="shared" si="82"/>
        <v/>
      </c>
      <c r="M1378" s="32" t="str">
        <f t="shared" si="83"/>
        <v/>
      </c>
      <c r="N1378" s="4"/>
      <c r="AG1378" t="s">
        <v>77</v>
      </c>
      <c r="AM1378" s="1"/>
    </row>
    <row r="1379" spans="1:39" x14ac:dyDescent="0.35">
      <c r="A1379">
        <v>1375</v>
      </c>
      <c r="B1379">
        <v>1376</v>
      </c>
      <c r="F1379" s="64"/>
      <c r="G1379" s="64"/>
      <c r="H1379" s="64" t="s">
        <v>26</v>
      </c>
      <c r="I1379" s="64"/>
      <c r="J1379" s="32" t="str">
        <f>IF(AND(E1379=1,OR(E1378=0,E1378="")),MAX(#REF!)+1,IF(AND(E1379=1,E1378=1),J1378,""))</f>
        <v/>
      </c>
      <c r="K1379" s="32" t="str">
        <f t="shared" si="84"/>
        <v/>
      </c>
      <c r="L1379" s="32" t="str">
        <f t="shared" si="82"/>
        <v/>
      </c>
      <c r="M1379" s="32" t="str">
        <f t="shared" si="83"/>
        <v/>
      </c>
      <c r="N1379" s="4"/>
      <c r="AG1379" t="s">
        <v>77</v>
      </c>
      <c r="AM1379" s="1"/>
    </row>
    <row r="1380" spans="1:39" x14ac:dyDescent="0.35">
      <c r="A1380">
        <v>1376</v>
      </c>
      <c r="B1380">
        <v>1377</v>
      </c>
      <c r="F1380" s="64"/>
      <c r="G1380" s="64"/>
      <c r="H1380" s="64" t="s">
        <v>26</v>
      </c>
      <c r="I1380" s="64"/>
      <c r="J1380" s="32" t="str">
        <f>IF(AND(E1380=1,OR(E1379=0,E1379="")),MAX(#REF!)+1,IF(AND(E1380=1,E1379=1),J1379,""))</f>
        <v/>
      </c>
      <c r="K1380" s="32" t="str">
        <f t="shared" si="84"/>
        <v/>
      </c>
      <c r="L1380" s="32" t="str">
        <f t="shared" si="82"/>
        <v/>
      </c>
      <c r="M1380" s="32" t="str">
        <f t="shared" si="83"/>
        <v/>
      </c>
      <c r="N1380" s="4"/>
      <c r="AG1380" t="s">
        <v>77</v>
      </c>
      <c r="AM1380" s="1"/>
    </row>
    <row r="1381" spans="1:39" x14ac:dyDescent="0.35">
      <c r="A1381">
        <v>1377</v>
      </c>
      <c r="B1381">
        <v>1378</v>
      </c>
      <c r="F1381" s="64"/>
      <c r="G1381" s="64"/>
      <c r="H1381" s="64" t="s">
        <v>26</v>
      </c>
      <c r="I1381" s="64"/>
      <c r="J1381" s="32" t="str">
        <f>IF(AND(E1381=1,OR(E1380=0,E1380="")),MAX(#REF!)+1,IF(AND(E1381=1,E1380=1),J1380,""))</f>
        <v/>
      </c>
      <c r="K1381" s="32" t="str">
        <f t="shared" si="84"/>
        <v/>
      </c>
      <c r="L1381" s="32" t="str">
        <f t="shared" si="82"/>
        <v/>
      </c>
      <c r="M1381" s="32" t="str">
        <f t="shared" si="83"/>
        <v/>
      </c>
      <c r="N1381" s="4"/>
      <c r="AG1381" t="s">
        <v>77</v>
      </c>
      <c r="AM1381" s="1"/>
    </row>
    <row r="1382" spans="1:39" x14ac:dyDescent="0.35">
      <c r="A1382">
        <v>1378</v>
      </c>
      <c r="B1382">
        <v>1379</v>
      </c>
      <c r="F1382" s="64"/>
      <c r="G1382" s="64"/>
      <c r="H1382" s="64" t="s">
        <v>26</v>
      </c>
      <c r="I1382" s="64"/>
      <c r="J1382" s="32" t="str">
        <f>IF(AND(E1382=1,OR(E1381=0,E1381="")),MAX(#REF!)+1,IF(AND(E1382=1,E1381=1),J1381,""))</f>
        <v/>
      </c>
      <c r="K1382" s="32" t="str">
        <f t="shared" si="84"/>
        <v/>
      </c>
      <c r="L1382" s="32" t="str">
        <f t="shared" si="82"/>
        <v/>
      </c>
      <c r="M1382" s="32" t="str">
        <f t="shared" si="83"/>
        <v/>
      </c>
      <c r="N1382" s="4"/>
      <c r="AG1382" t="s">
        <v>77</v>
      </c>
      <c r="AM1382" s="1"/>
    </row>
    <row r="1383" spans="1:39" x14ac:dyDescent="0.35">
      <c r="A1383">
        <v>1379</v>
      </c>
      <c r="B1383">
        <v>1380</v>
      </c>
      <c r="F1383" s="64"/>
      <c r="G1383" s="64"/>
      <c r="H1383" s="64" t="s">
        <v>26</v>
      </c>
      <c r="I1383" s="64"/>
      <c r="J1383" s="32" t="str">
        <f>IF(AND(E1383=1,OR(E1382=0,E1382="")),MAX(#REF!)+1,IF(AND(E1383=1,E1382=1),J1382,""))</f>
        <v/>
      </c>
      <c r="K1383" s="32" t="str">
        <f t="shared" si="84"/>
        <v/>
      </c>
      <c r="L1383" s="32" t="str">
        <f t="shared" si="82"/>
        <v/>
      </c>
      <c r="M1383" s="32" t="str">
        <f t="shared" si="83"/>
        <v/>
      </c>
      <c r="N1383" s="4"/>
      <c r="AG1383" t="s">
        <v>77</v>
      </c>
      <c r="AM1383" s="1"/>
    </row>
    <row r="1384" spans="1:39" x14ac:dyDescent="0.35">
      <c r="A1384">
        <v>1380</v>
      </c>
      <c r="B1384">
        <v>1381</v>
      </c>
      <c r="F1384" s="64"/>
      <c r="G1384" s="64"/>
      <c r="H1384" s="64" t="s">
        <v>26</v>
      </c>
      <c r="I1384" s="64"/>
      <c r="J1384" s="32" t="str">
        <f>IF(AND(E1384=1,OR(E1383=0,E1383="")),MAX(#REF!)+1,IF(AND(E1384=1,E1383=1),J1383,""))</f>
        <v/>
      </c>
      <c r="K1384" s="32" t="str">
        <f t="shared" si="84"/>
        <v/>
      </c>
      <c r="L1384" s="32" t="str">
        <f t="shared" si="82"/>
        <v/>
      </c>
      <c r="M1384" s="32" t="str">
        <f t="shared" si="83"/>
        <v/>
      </c>
      <c r="N1384" s="4"/>
      <c r="AG1384" t="s">
        <v>77</v>
      </c>
      <c r="AM1384" s="1"/>
    </row>
    <row r="1385" spans="1:39" x14ac:dyDescent="0.35">
      <c r="A1385">
        <v>1381</v>
      </c>
      <c r="B1385">
        <v>1382</v>
      </c>
      <c r="F1385" s="64"/>
      <c r="G1385" s="64"/>
      <c r="H1385" s="64" t="s">
        <v>26</v>
      </c>
      <c r="I1385" s="64"/>
      <c r="J1385" s="32" t="str">
        <f>IF(AND(E1385=1,OR(E1384=0,E1384="")),MAX(#REF!)+1,IF(AND(E1385=1,E1384=1),J1384,""))</f>
        <v/>
      </c>
      <c r="K1385" s="32" t="str">
        <f t="shared" si="84"/>
        <v/>
      </c>
      <c r="L1385" s="32" t="str">
        <f t="shared" si="82"/>
        <v/>
      </c>
      <c r="M1385" s="32" t="str">
        <f t="shared" si="83"/>
        <v/>
      </c>
      <c r="N1385" s="4"/>
      <c r="AG1385" t="s">
        <v>77</v>
      </c>
      <c r="AM1385" s="1"/>
    </row>
    <row r="1386" spans="1:39" x14ac:dyDescent="0.35">
      <c r="A1386">
        <v>1382</v>
      </c>
      <c r="B1386">
        <v>1383</v>
      </c>
      <c r="F1386" s="64"/>
      <c r="G1386" s="64"/>
      <c r="H1386" s="64" t="s">
        <v>26</v>
      </c>
      <c r="I1386" s="64"/>
      <c r="J1386" s="32" t="str">
        <f>IF(AND(E1386=1,OR(E1385=0,E1385="")),MAX(#REF!)+1,IF(AND(E1386=1,E1385=1),J1385,""))</f>
        <v/>
      </c>
      <c r="K1386" s="32" t="str">
        <f t="shared" si="84"/>
        <v/>
      </c>
      <c r="L1386" s="32" t="str">
        <f t="shared" si="82"/>
        <v/>
      </c>
      <c r="M1386" s="32" t="str">
        <f t="shared" si="83"/>
        <v/>
      </c>
      <c r="N1386" s="4"/>
      <c r="AG1386" t="s">
        <v>77</v>
      </c>
      <c r="AM1386" s="1"/>
    </row>
    <row r="1387" spans="1:39" x14ac:dyDescent="0.35">
      <c r="A1387">
        <v>1383</v>
      </c>
      <c r="B1387">
        <v>1384</v>
      </c>
      <c r="F1387" s="64"/>
      <c r="G1387" s="64"/>
      <c r="H1387" s="64" t="s">
        <v>26</v>
      </c>
      <c r="I1387" s="64"/>
      <c r="J1387" s="32" t="str">
        <f>IF(AND(E1387=1,OR(E1386=0,E1386="")),MAX(#REF!)+1,IF(AND(E1387=1,E1386=1),J1386,""))</f>
        <v/>
      </c>
      <c r="K1387" s="32" t="str">
        <f t="shared" si="84"/>
        <v/>
      </c>
      <c r="L1387" s="32" t="str">
        <f t="shared" si="82"/>
        <v/>
      </c>
      <c r="M1387" s="32" t="str">
        <f t="shared" si="83"/>
        <v/>
      </c>
      <c r="N1387" s="4"/>
      <c r="AG1387" t="s">
        <v>77</v>
      </c>
      <c r="AM1387" s="1"/>
    </row>
    <row r="1388" spans="1:39" x14ac:dyDescent="0.35">
      <c r="A1388">
        <v>1384</v>
      </c>
      <c r="B1388">
        <v>1385</v>
      </c>
      <c r="F1388" s="64"/>
      <c r="G1388" s="64"/>
      <c r="H1388" s="64" t="s">
        <v>26</v>
      </c>
      <c r="I1388" s="64"/>
      <c r="J1388" s="32" t="str">
        <f>IF(AND(E1388=1,OR(E1387=0,E1387="")),MAX(#REF!)+1,IF(AND(E1388=1,E1387=1),J1387,""))</f>
        <v/>
      </c>
      <c r="K1388" s="32" t="str">
        <f t="shared" si="84"/>
        <v/>
      </c>
      <c r="L1388" s="32" t="str">
        <f t="shared" si="82"/>
        <v/>
      </c>
      <c r="M1388" s="32" t="str">
        <f t="shared" si="83"/>
        <v/>
      </c>
      <c r="N1388" s="4"/>
      <c r="AG1388" t="s">
        <v>77</v>
      </c>
      <c r="AM1388" s="1"/>
    </row>
    <row r="1389" spans="1:39" x14ac:dyDescent="0.35">
      <c r="A1389">
        <v>1385</v>
      </c>
      <c r="B1389">
        <v>1386</v>
      </c>
      <c r="F1389" s="64"/>
      <c r="G1389" s="64"/>
      <c r="H1389" s="64" t="s">
        <v>26</v>
      </c>
      <c r="I1389" s="64"/>
      <c r="J1389" s="32" t="str">
        <f>IF(AND(E1389=1,OR(E1388=0,E1388="")),MAX(#REF!)+1,IF(AND(E1389=1,E1388=1),J1388,""))</f>
        <v/>
      </c>
      <c r="K1389" s="32" t="str">
        <f t="shared" si="84"/>
        <v/>
      </c>
      <c r="L1389" s="32" t="str">
        <f t="shared" si="82"/>
        <v/>
      </c>
      <c r="M1389" s="32" t="str">
        <f t="shared" si="83"/>
        <v/>
      </c>
      <c r="N1389" s="4"/>
      <c r="AG1389" t="s">
        <v>77</v>
      </c>
      <c r="AM1389" s="1"/>
    </row>
    <row r="1390" spans="1:39" x14ac:dyDescent="0.35">
      <c r="A1390">
        <v>1386</v>
      </c>
      <c r="B1390">
        <v>1387</v>
      </c>
      <c r="F1390" s="64"/>
      <c r="G1390" s="64"/>
      <c r="H1390" s="64" t="s">
        <v>26</v>
      </c>
      <c r="I1390" s="64"/>
      <c r="J1390" s="32" t="str">
        <f>IF(AND(E1390=1,OR(E1389=0,E1389="")),MAX(#REF!)+1,IF(AND(E1390=1,E1389=1),J1389,""))</f>
        <v/>
      </c>
      <c r="K1390" s="32" t="str">
        <f t="shared" si="84"/>
        <v/>
      </c>
      <c r="L1390" s="32" t="str">
        <f t="shared" si="82"/>
        <v/>
      </c>
      <c r="M1390" s="32" t="str">
        <f t="shared" si="83"/>
        <v/>
      </c>
      <c r="N1390" s="4"/>
      <c r="AG1390" t="s">
        <v>77</v>
      </c>
      <c r="AM1390" s="1"/>
    </row>
    <row r="1391" spans="1:39" x14ac:dyDescent="0.35">
      <c r="A1391">
        <v>1387</v>
      </c>
      <c r="B1391">
        <v>1388</v>
      </c>
      <c r="F1391" s="64"/>
      <c r="G1391" s="64"/>
      <c r="H1391" s="64" t="s">
        <v>26</v>
      </c>
      <c r="I1391" s="64"/>
      <c r="J1391" s="32" t="str">
        <f>IF(AND(E1391=1,OR(E1390=0,E1390="")),MAX(#REF!)+1,IF(AND(E1391=1,E1390=1),J1390,""))</f>
        <v/>
      </c>
      <c r="K1391" s="32" t="str">
        <f t="shared" si="84"/>
        <v/>
      </c>
      <c r="L1391" s="32" t="str">
        <f t="shared" si="82"/>
        <v/>
      </c>
      <c r="M1391" s="32" t="str">
        <f t="shared" si="83"/>
        <v/>
      </c>
      <c r="N1391" s="4"/>
      <c r="AG1391" t="s">
        <v>77</v>
      </c>
      <c r="AM1391" s="1"/>
    </row>
    <row r="1392" spans="1:39" x14ac:dyDescent="0.35">
      <c r="A1392">
        <v>1388</v>
      </c>
      <c r="B1392">
        <v>1389</v>
      </c>
      <c r="F1392" s="64"/>
      <c r="G1392" s="64"/>
      <c r="H1392" s="64" t="s">
        <v>26</v>
      </c>
      <c r="I1392" s="64"/>
      <c r="J1392" s="32" t="str">
        <f>IF(AND(E1392=1,OR(E1391=0,E1391="")),MAX(#REF!)+1,IF(AND(E1392=1,E1391=1),J1391,""))</f>
        <v/>
      </c>
      <c r="K1392" s="32" t="str">
        <f t="shared" si="84"/>
        <v/>
      </c>
      <c r="L1392" s="32" t="str">
        <f t="shared" si="82"/>
        <v/>
      </c>
      <c r="M1392" s="32" t="str">
        <f t="shared" si="83"/>
        <v/>
      </c>
      <c r="N1392" s="4"/>
      <c r="AG1392" t="s">
        <v>77</v>
      </c>
      <c r="AM1392" s="1"/>
    </row>
    <row r="1393" spans="1:39" x14ac:dyDescent="0.35">
      <c r="A1393">
        <v>1389</v>
      </c>
      <c r="B1393">
        <v>1390</v>
      </c>
      <c r="F1393" s="64"/>
      <c r="G1393" s="64"/>
      <c r="H1393" s="64" t="s">
        <v>26</v>
      </c>
      <c r="I1393" s="64"/>
      <c r="J1393" s="32" t="str">
        <f>IF(AND(E1393=1,OR(E1392=0,E1392="")),MAX(#REF!)+1,IF(AND(E1393=1,E1392=1),J1392,""))</f>
        <v/>
      </c>
      <c r="K1393" s="32" t="str">
        <f t="shared" si="84"/>
        <v/>
      </c>
      <c r="L1393" s="32" t="str">
        <f t="shared" si="82"/>
        <v/>
      </c>
      <c r="M1393" s="32" t="str">
        <f t="shared" si="83"/>
        <v/>
      </c>
      <c r="N1393" s="4"/>
      <c r="AG1393" t="s">
        <v>77</v>
      </c>
      <c r="AM1393" s="1"/>
    </row>
    <row r="1394" spans="1:39" x14ac:dyDescent="0.35">
      <c r="A1394">
        <v>1390</v>
      </c>
      <c r="B1394">
        <v>1391</v>
      </c>
      <c r="F1394" s="64"/>
      <c r="G1394" s="64"/>
      <c r="H1394" s="64" t="s">
        <v>26</v>
      </c>
      <c r="I1394" s="64"/>
      <c r="J1394" s="32" t="str">
        <f>IF(AND(E1394=1,OR(E1393=0,E1393="")),MAX(#REF!)+1,IF(AND(E1394=1,E1393=1),J1393,""))</f>
        <v/>
      </c>
      <c r="K1394" s="32" t="str">
        <f t="shared" si="84"/>
        <v/>
      </c>
      <c r="L1394" s="32" t="str">
        <f t="shared" si="82"/>
        <v/>
      </c>
      <c r="M1394" s="32" t="str">
        <f t="shared" si="83"/>
        <v/>
      </c>
      <c r="N1394" s="4"/>
      <c r="AG1394" t="s">
        <v>77</v>
      </c>
      <c r="AM1394" s="1"/>
    </row>
    <row r="1395" spans="1:39" x14ac:dyDescent="0.35">
      <c r="A1395">
        <v>1391</v>
      </c>
      <c r="B1395">
        <v>1392</v>
      </c>
      <c r="F1395" s="64"/>
      <c r="G1395" s="64"/>
      <c r="H1395" s="64" t="s">
        <v>26</v>
      </c>
      <c r="I1395" s="64"/>
      <c r="J1395" s="32" t="str">
        <f>IF(AND(E1395=1,OR(E1394=0,E1394="")),MAX(#REF!)+1,IF(AND(E1395=1,E1394=1),J1394,""))</f>
        <v/>
      </c>
      <c r="K1395" s="32" t="str">
        <f t="shared" si="84"/>
        <v/>
      </c>
      <c r="L1395" s="32" t="str">
        <f t="shared" si="82"/>
        <v/>
      </c>
      <c r="M1395" s="32" t="str">
        <f t="shared" si="83"/>
        <v/>
      </c>
      <c r="N1395" s="4"/>
      <c r="AG1395" t="s">
        <v>77</v>
      </c>
      <c r="AM1395" s="1"/>
    </row>
    <row r="1396" spans="1:39" x14ac:dyDescent="0.35">
      <c r="A1396">
        <v>1392</v>
      </c>
      <c r="B1396">
        <v>1393</v>
      </c>
      <c r="F1396" s="64"/>
      <c r="G1396" s="64"/>
      <c r="H1396" s="64" t="s">
        <v>26</v>
      </c>
      <c r="I1396" s="64"/>
      <c r="J1396" s="32" t="str">
        <f>IF(AND(E1396=1,OR(E1395=0,E1395="")),MAX(#REF!)+1,IF(AND(E1396=1,E1395=1),J1395,""))</f>
        <v/>
      </c>
      <c r="K1396" s="32" t="str">
        <f t="shared" si="84"/>
        <v/>
      </c>
      <c r="L1396" s="32" t="str">
        <f t="shared" si="82"/>
        <v/>
      </c>
      <c r="M1396" s="32" t="str">
        <f t="shared" si="83"/>
        <v/>
      </c>
      <c r="N1396" s="4"/>
      <c r="AG1396" t="s">
        <v>77</v>
      </c>
      <c r="AM1396" s="1" t="str">
        <f t="shared" ref="AM1396:AM1427" si="85">HYPERLINK("E:\CAFNEC_GBRF\2023\JohnstoneRiver\Frames_for_Analysis\" &amp; F1397, F1397)</f>
        <v>1394_C0013_3268.jpg</v>
      </c>
    </row>
    <row r="1397" spans="1:39" x14ac:dyDescent="0.35">
      <c r="A1397">
        <v>1393</v>
      </c>
      <c r="B1397">
        <v>1394</v>
      </c>
      <c r="F1397" s="64" t="s">
        <v>4610</v>
      </c>
      <c r="G1397" s="64"/>
      <c r="H1397" s="64" t="s">
        <v>26</v>
      </c>
      <c r="I1397" s="64"/>
      <c r="J1397" s="32" t="str">
        <f>IF(AND(E1397=1,OR(E1396=0,E1396="")),MAX(#REF!)+1,IF(AND(E1397=1,E1396=1),J1396,""))</f>
        <v/>
      </c>
      <c r="K1397" s="32" t="str">
        <f t="shared" si="84"/>
        <v/>
      </c>
      <c r="L1397" s="32" t="str">
        <f t="shared" si="82"/>
        <v/>
      </c>
      <c r="M1397" s="32" t="str">
        <f t="shared" si="83"/>
        <v/>
      </c>
      <c r="N1397" s="4"/>
      <c r="AG1397" t="s">
        <v>77</v>
      </c>
      <c r="AM1397" s="1" t="str">
        <f t="shared" si="85"/>
        <v>1395_C0013_3263.jpg</v>
      </c>
    </row>
    <row r="1398" spans="1:39" x14ac:dyDescent="0.35">
      <c r="A1398">
        <v>1394</v>
      </c>
      <c r="B1398">
        <v>1395</v>
      </c>
      <c r="F1398" s="64" t="s">
        <v>4611</v>
      </c>
      <c r="G1398" s="64"/>
      <c r="H1398" s="64" t="s">
        <v>26</v>
      </c>
      <c r="I1398" s="64"/>
      <c r="J1398" s="32" t="str">
        <f>IF(AND(E1398=1,OR(E1397=0,E1397="")),MAX(#REF!)+1,IF(AND(E1398=1,E1397=1),J1397,""))</f>
        <v/>
      </c>
      <c r="K1398" s="32" t="str">
        <f t="shared" si="84"/>
        <v/>
      </c>
      <c r="L1398" s="32" t="str">
        <f t="shared" si="82"/>
        <v/>
      </c>
      <c r="M1398" s="32" t="str">
        <f t="shared" si="83"/>
        <v/>
      </c>
      <c r="N1398" s="4"/>
      <c r="AG1398" t="s">
        <v>77</v>
      </c>
      <c r="AM1398" s="1" t="str">
        <f t="shared" si="85"/>
        <v>1396_C0013_3260.jpg</v>
      </c>
    </row>
    <row r="1399" spans="1:39" x14ac:dyDescent="0.35">
      <c r="A1399">
        <v>1395</v>
      </c>
      <c r="B1399">
        <v>1396</v>
      </c>
      <c r="F1399" s="64" t="s">
        <v>4612</v>
      </c>
      <c r="G1399" s="64"/>
      <c r="H1399" s="64"/>
      <c r="I1399" s="64">
        <v>0</v>
      </c>
      <c r="J1399" s="32" t="str">
        <f>IF(AND(E1399=1,OR(E1398=0,E1398="")),MAX(#REF!)+1,IF(AND(E1399=1,E1398=1),J1398,""))</f>
        <v/>
      </c>
      <c r="K1399" s="32" t="str">
        <f t="shared" si="84"/>
        <v/>
      </c>
      <c r="L1399" s="32" t="str">
        <f t="shared" si="82"/>
        <v/>
      </c>
      <c r="M1399" s="32" t="str">
        <f t="shared" si="83"/>
        <v/>
      </c>
      <c r="N1399" s="4">
        <v>2</v>
      </c>
      <c r="O1399" s="58">
        <v>0</v>
      </c>
      <c r="P1399" s="58">
        <v>1</v>
      </c>
      <c r="Q1399" s="58">
        <v>0</v>
      </c>
      <c r="R1399" s="58">
        <v>0</v>
      </c>
      <c r="S1399" s="58">
        <v>0</v>
      </c>
      <c r="T1399" s="58">
        <v>0</v>
      </c>
      <c r="U1399" s="58">
        <v>0</v>
      </c>
      <c r="V1399" s="58">
        <v>0</v>
      </c>
      <c r="AG1399" t="s">
        <v>77</v>
      </c>
      <c r="AM1399" s="1" t="str">
        <f t="shared" si="85"/>
        <v>1397_C0013_3255.jpg</v>
      </c>
    </row>
    <row r="1400" spans="1:39" x14ac:dyDescent="0.35">
      <c r="A1400">
        <v>1396</v>
      </c>
      <c r="B1400">
        <v>1397</v>
      </c>
      <c r="F1400" s="64" t="s">
        <v>4613</v>
      </c>
      <c r="G1400" s="64"/>
      <c r="H1400" s="64"/>
      <c r="I1400" s="64">
        <v>1</v>
      </c>
      <c r="J1400" s="32" t="str">
        <f>IF(AND(E1400=1,OR(E1399=0,E1399="")),MAX(#REF!)+1,IF(AND(E1400=1,E1399=1),J1399,""))</f>
        <v/>
      </c>
      <c r="K1400" s="32" t="str">
        <f t="shared" si="84"/>
        <v/>
      </c>
      <c r="L1400" s="32" t="str">
        <f t="shared" si="82"/>
        <v/>
      </c>
      <c r="M1400" s="32" t="str">
        <f t="shared" si="83"/>
        <v/>
      </c>
      <c r="N1400" s="4">
        <v>2</v>
      </c>
      <c r="O1400" s="58">
        <v>0</v>
      </c>
      <c r="P1400" s="58">
        <v>1</v>
      </c>
      <c r="Q1400" s="58">
        <v>0</v>
      </c>
      <c r="R1400" s="58">
        <v>0</v>
      </c>
      <c r="S1400" s="58">
        <v>0</v>
      </c>
      <c r="T1400" s="58">
        <v>0</v>
      </c>
      <c r="U1400" s="58">
        <v>0</v>
      </c>
      <c r="V1400" s="58">
        <v>0</v>
      </c>
      <c r="AG1400" t="s">
        <v>77</v>
      </c>
      <c r="AM1400" s="1" t="str">
        <f t="shared" si="85"/>
        <v>1398_C0013_3250.jpg</v>
      </c>
    </row>
    <row r="1401" spans="1:39" x14ac:dyDescent="0.35">
      <c r="A1401">
        <v>1397</v>
      </c>
      <c r="B1401">
        <v>1398</v>
      </c>
      <c r="F1401" s="64" t="s">
        <v>4614</v>
      </c>
      <c r="G1401" s="64"/>
      <c r="H1401" s="64"/>
      <c r="I1401" s="64">
        <v>1</v>
      </c>
      <c r="J1401" s="32" t="str">
        <f>IF(AND(E1401=1,OR(E1400=0,E1400="")),MAX(#REF!)+1,IF(AND(E1401=1,E1400=1),J1400,""))</f>
        <v/>
      </c>
      <c r="K1401" s="32" t="str">
        <f t="shared" si="84"/>
        <v/>
      </c>
      <c r="L1401" s="32" t="str">
        <f t="shared" si="82"/>
        <v/>
      </c>
      <c r="M1401" s="32" t="str">
        <f t="shared" si="83"/>
        <v/>
      </c>
      <c r="N1401" s="4">
        <v>2</v>
      </c>
      <c r="O1401" s="58">
        <v>0</v>
      </c>
      <c r="P1401" s="58">
        <v>1</v>
      </c>
      <c r="Q1401" s="58">
        <v>0</v>
      </c>
      <c r="R1401" s="58">
        <v>0</v>
      </c>
      <c r="S1401" s="58">
        <v>0</v>
      </c>
      <c r="T1401" s="58">
        <v>0</v>
      </c>
      <c r="U1401" s="58">
        <v>0</v>
      </c>
      <c r="V1401" s="58">
        <v>0</v>
      </c>
      <c r="AG1401" t="s">
        <v>77</v>
      </c>
      <c r="AM1401" s="1" t="str">
        <f t="shared" si="85"/>
        <v>1399_C0013_3247.jpg</v>
      </c>
    </row>
    <row r="1402" spans="1:39" x14ac:dyDescent="0.35">
      <c r="A1402">
        <v>1398</v>
      </c>
      <c r="B1402">
        <v>1399</v>
      </c>
      <c r="F1402" s="64" t="s">
        <v>4615</v>
      </c>
      <c r="G1402" s="64"/>
      <c r="H1402" s="64"/>
      <c r="I1402" s="64">
        <v>1</v>
      </c>
      <c r="J1402" s="32" t="str">
        <f>IF(AND(E1402=1,OR(E1401=0,E1401="")),MAX(#REF!)+1,IF(AND(E1402=1,E1401=1),J1401,""))</f>
        <v/>
      </c>
      <c r="K1402" s="32" t="str">
        <f t="shared" si="84"/>
        <v/>
      </c>
      <c r="L1402" s="32" t="str">
        <f t="shared" si="82"/>
        <v/>
      </c>
      <c r="M1402" s="32" t="str">
        <f t="shared" si="83"/>
        <v/>
      </c>
      <c r="N1402" s="4">
        <v>2</v>
      </c>
      <c r="O1402" s="58">
        <v>0</v>
      </c>
      <c r="P1402" s="58">
        <v>1</v>
      </c>
      <c r="Q1402" s="58">
        <v>0</v>
      </c>
      <c r="R1402" s="58">
        <v>0</v>
      </c>
      <c r="S1402" s="58">
        <v>0</v>
      </c>
      <c r="T1402" s="58">
        <v>0</v>
      </c>
      <c r="U1402" s="58">
        <v>0</v>
      </c>
      <c r="V1402" s="58">
        <v>0</v>
      </c>
      <c r="AG1402" t="s">
        <v>77</v>
      </c>
      <c r="AM1402" s="1" t="str">
        <f t="shared" si="85"/>
        <v>1400_C0013_3242.jpg</v>
      </c>
    </row>
    <row r="1403" spans="1:39" x14ac:dyDescent="0.35">
      <c r="A1403">
        <v>1399</v>
      </c>
      <c r="B1403">
        <v>1400</v>
      </c>
      <c r="F1403" s="64" t="s">
        <v>4616</v>
      </c>
      <c r="G1403" s="64"/>
      <c r="H1403" s="64"/>
      <c r="I1403" s="64">
        <v>1</v>
      </c>
      <c r="J1403" s="32" t="str">
        <f>IF(AND(E1403=1,OR(E1402=0,E1402="")),MAX(#REF!)+1,IF(AND(E1403=1,E1402=1),J1402,""))</f>
        <v/>
      </c>
      <c r="K1403" s="32" t="str">
        <f t="shared" si="84"/>
        <v/>
      </c>
      <c r="L1403" s="32" t="str">
        <f t="shared" si="82"/>
        <v/>
      </c>
      <c r="M1403" s="32" t="str">
        <f t="shared" si="83"/>
        <v/>
      </c>
      <c r="N1403" s="4">
        <v>2</v>
      </c>
      <c r="O1403" s="58">
        <v>0</v>
      </c>
      <c r="P1403" s="58">
        <v>1</v>
      </c>
      <c r="Q1403" s="58">
        <v>2</v>
      </c>
      <c r="R1403" s="58">
        <v>0</v>
      </c>
      <c r="S1403" s="58">
        <v>0</v>
      </c>
      <c r="T1403" s="58">
        <v>0</v>
      </c>
      <c r="U1403" s="58">
        <v>0</v>
      </c>
      <c r="V1403" s="58" t="s">
        <v>6905</v>
      </c>
      <c r="AG1403" t="s">
        <v>77</v>
      </c>
      <c r="AM1403" s="1" t="str">
        <f t="shared" si="85"/>
        <v>1401_C0013_3238.jpg</v>
      </c>
    </row>
    <row r="1404" spans="1:39" x14ac:dyDescent="0.35">
      <c r="A1404">
        <v>1400</v>
      </c>
      <c r="B1404">
        <v>1401</v>
      </c>
      <c r="F1404" s="64" t="s">
        <v>4617</v>
      </c>
      <c r="G1404" s="64"/>
      <c r="H1404" s="64"/>
      <c r="I1404" s="64">
        <v>0</v>
      </c>
      <c r="J1404" s="32" t="str">
        <f>IF(AND(E1404=1,OR(E1403=0,E1403="")),MAX(#REF!)+1,IF(AND(E1404=1,E1403=1),J1403,""))</f>
        <v/>
      </c>
      <c r="K1404" s="32" t="str">
        <f t="shared" si="84"/>
        <v/>
      </c>
      <c r="L1404" s="32" t="str">
        <f t="shared" si="82"/>
        <v/>
      </c>
      <c r="M1404" s="32" t="str">
        <f t="shared" si="83"/>
        <v/>
      </c>
      <c r="N1404" s="4">
        <v>2</v>
      </c>
      <c r="O1404" s="58">
        <v>0</v>
      </c>
      <c r="P1404" s="58">
        <v>1</v>
      </c>
      <c r="Q1404" s="58">
        <v>0</v>
      </c>
      <c r="R1404" s="58">
        <v>0</v>
      </c>
      <c r="S1404" s="58">
        <v>0</v>
      </c>
      <c r="T1404" s="58">
        <v>0</v>
      </c>
      <c r="U1404" s="58">
        <v>0</v>
      </c>
      <c r="V1404" s="58" t="s">
        <v>6905</v>
      </c>
      <c r="AG1404" t="s">
        <v>77</v>
      </c>
      <c r="AM1404" s="1" t="str">
        <f t="shared" si="85"/>
        <v>1402_C0013_3235.jpg</v>
      </c>
    </row>
    <row r="1405" spans="1:39" x14ac:dyDescent="0.35">
      <c r="A1405">
        <v>1401</v>
      </c>
      <c r="B1405">
        <v>1402</v>
      </c>
      <c r="F1405" s="64" t="s">
        <v>4618</v>
      </c>
      <c r="G1405" s="64"/>
      <c r="H1405" s="64"/>
      <c r="I1405" s="64">
        <v>0</v>
      </c>
      <c r="J1405" s="32" t="str">
        <f>IF(AND(E1405=1,OR(E1404=0,E1404="")),MAX(#REF!)+1,IF(AND(E1405=1,E1404=1),J1404,""))</f>
        <v/>
      </c>
      <c r="K1405" s="32" t="str">
        <f t="shared" si="84"/>
        <v/>
      </c>
      <c r="L1405" s="32" t="str">
        <f t="shared" si="82"/>
        <v/>
      </c>
      <c r="M1405" s="32" t="str">
        <f t="shared" si="83"/>
        <v/>
      </c>
      <c r="N1405" s="4">
        <v>3</v>
      </c>
      <c r="O1405" s="58">
        <v>0</v>
      </c>
      <c r="P1405" s="58">
        <v>1</v>
      </c>
      <c r="Q1405" s="58">
        <v>0</v>
      </c>
      <c r="R1405" s="58">
        <v>0</v>
      </c>
      <c r="S1405" s="58">
        <v>0</v>
      </c>
      <c r="T1405" s="58">
        <v>0</v>
      </c>
      <c r="U1405" s="58">
        <v>0</v>
      </c>
      <c r="V1405" s="58">
        <v>0</v>
      </c>
      <c r="AG1405" t="s">
        <v>77</v>
      </c>
      <c r="AM1405" s="1" t="str">
        <f t="shared" si="85"/>
        <v>1403_C0013_3229.jpg</v>
      </c>
    </row>
    <row r="1406" spans="1:39" x14ac:dyDescent="0.35">
      <c r="A1406">
        <v>1402</v>
      </c>
      <c r="B1406">
        <v>1403</v>
      </c>
      <c r="F1406" s="64" t="s">
        <v>4619</v>
      </c>
      <c r="G1406" s="64"/>
      <c r="H1406" s="64"/>
      <c r="I1406" s="64">
        <v>0</v>
      </c>
      <c r="J1406" s="32" t="str">
        <f>IF(AND(E1406=1,OR(E1405=0,E1405="")),MAX(#REF!)+1,IF(AND(E1406=1,E1405=1),J1405,""))</f>
        <v/>
      </c>
      <c r="K1406" s="32" t="str">
        <f t="shared" si="84"/>
        <v/>
      </c>
      <c r="L1406" s="32" t="str">
        <f t="shared" si="82"/>
        <v/>
      </c>
      <c r="M1406" s="32" t="str">
        <f t="shared" si="83"/>
        <v/>
      </c>
      <c r="N1406" s="4">
        <v>3</v>
      </c>
      <c r="O1406" s="58">
        <v>0</v>
      </c>
      <c r="P1406" s="58">
        <v>1</v>
      </c>
      <c r="Q1406" s="58">
        <v>0</v>
      </c>
      <c r="R1406" s="58">
        <v>0</v>
      </c>
      <c r="S1406" s="58">
        <v>0</v>
      </c>
      <c r="T1406" s="58">
        <v>0</v>
      </c>
      <c r="U1406" s="58">
        <v>0</v>
      </c>
      <c r="V1406" s="58">
        <v>0</v>
      </c>
      <c r="AG1406" t="s">
        <v>77</v>
      </c>
      <c r="AM1406" s="1" t="str">
        <f t="shared" si="85"/>
        <v>1404_C0013_3223.jpg</v>
      </c>
    </row>
    <row r="1407" spans="1:39" x14ac:dyDescent="0.35">
      <c r="A1407">
        <v>1403</v>
      </c>
      <c r="B1407">
        <v>1404</v>
      </c>
      <c r="F1407" s="64" t="s">
        <v>4620</v>
      </c>
      <c r="G1407" s="64"/>
      <c r="H1407" s="64"/>
      <c r="I1407" s="64">
        <v>0</v>
      </c>
      <c r="J1407" s="32" t="str">
        <f>IF(AND(E1407=1,OR(E1406=0,E1406="")),MAX(#REF!)+1,IF(AND(E1407=1,E1406=1),J1406,""))</f>
        <v/>
      </c>
      <c r="K1407" s="32" t="str">
        <f t="shared" si="84"/>
        <v/>
      </c>
      <c r="L1407" s="32" t="str">
        <f t="shared" si="82"/>
        <v/>
      </c>
      <c r="M1407" s="32" t="str">
        <f t="shared" si="83"/>
        <v/>
      </c>
      <c r="N1407" s="4">
        <v>2</v>
      </c>
      <c r="O1407" s="58">
        <v>0</v>
      </c>
      <c r="P1407" s="58">
        <v>1</v>
      </c>
      <c r="Q1407" s="58">
        <v>0</v>
      </c>
      <c r="R1407" s="58">
        <v>0</v>
      </c>
      <c r="S1407" s="58">
        <v>0</v>
      </c>
      <c r="T1407" s="58">
        <v>0</v>
      </c>
      <c r="U1407" s="58">
        <v>0</v>
      </c>
      <c r="V1407" s="58">
        <v>0</v>
      </c>
      <c r="AG1407" t="s">
        <v>77</v>
      </c>
      <c r="AM1407" s="1" t="str">
        <f t="shared" si="85"/>
        <v>1405_C0013_3218.jpg</v>
      </c>
    </row>
    <row r="1408" spans="1:39" x14ac:dyDescent="0.35">
      <c r="A1408">
        <v>1404</v>
      </c>
      <c r="B1408">
        <v>1405</v>
      </c>
      <c r="F1408" s="64" t="s">
        <v>4621</v>
      </c>
      <c r="G1408" s="64"/>
      <c r="H1408" s="64"/>
      <c r="I1408" s="64">
        <v>0</v>
      </c>
      <c r="J1408" s="32" t="str">
        <f>IF(AND(E1408=1,OR(E1407=0,E1407="")),MAX(#REF!)+1,IF(AND(E1408=1,E1407=1),J1407,""))</f>
        <v/>
      </c>
      <c r="K1408" s="32" t="str">
        <f t="shared" si="84"/>
        <v/>
      </c>
      <c r="L1408" s="32" t="str">
        <f t="shared" si="82"/>
        <v/>
      </c>
      <c r="M1408" s="32" t="str">
        <f t="shared" si="83"/>
        <v/>
      </c>
      <c r="N1408" s="4">
        <v>2</v>
      </c>
      <c r="O1408" s="58">
        <v>0</v>
      </c>
      <c r="P1408" s="58">
        <v>1</v>
      </c>
      <c r="Q1408" s="58">
        <v>0</v>
      </c>
      <c r="R1408" s="58">
        <v>0</v>
      </c>
      <c r="S1408" s="58">
        <v>0</v>
      </c>
      <c r="T1408" s="58">
        <v>0</v>
      </c>
      <c r="U1408" s="58">
        <v>1</v>
      </c>
      <c r="V1408" s="58" t="s">
        <v>6905</v>
      </c>
      <c r="AG1408" t="s">
        <v>77</v>
      </c>
      <c r="AM1408" s="1" t="str">
        <f t="shared" si="85"/>
        <v>1406_C0013_3213.jpg</v>
      </c>
    </row>
    <row r="1409" spans="1:39" x14ac:dyDescent="0.35">
      <c r="A1409">
        <v>1405</v>
      </c>
      <c r="B1409">
        <v>1406</v>
      </c>
      <c r="F1409" s="64" t="s">
        <v>4622</v>
      </c>
      <c r="G1409" s="64"/>
      <c r="H1409" s="64"/>
      <c r="I1409" s="64">
        <v>1</v>
      </c>
      <c r="J1409" s="32" t="str">
        <f>IF(AND(E1409=1,OR(E1408=0,E1408="")),MAX(#REF!)+1,IF(AND(E1409=1,E1408=1),J1408,""))</f>
        <v/>
      </c>
      <c r="K1409" s="32" t="str">
        <f t="shared" si="84"/>
        <v/>
      </c>
      <c r="L1409" s="32" t="str">
        <f t="shared" si="82"/>
        <v/>
      </c>
      <c r="M1409" s="32" t="str">
        <f t="shared" si="83"/>
        <v/>
      </c>
      <c r="N1409" s="4">
        <v>2</v>
      </c>
      <c r="O1409" s="58">
        <v>0</v>
      </c>
      <c r="P1409" s="58">
        <v>1</v>
      </c>
      <c r="Q1409" s="58">
        <v>0</v>
      </c>
      <c r="R1409" s="58">
        <v>0</v>
      </c>
      <c r="S1409" s="58">
        <v>0</v>
      </c>
      <c r="T1409" s="58">
        <v>0</v>
      </c>
      <c r="U1409" s="58">
        <v>0</v>
      </c>
      <c r="V1409" s="58" t="s">
        <v>6905</v>
      </c>
      <c r="AG1409" t="s">
        <v>77</v>
      </c>
      <c r="AM1409" s="1" t="str">
        <f t="shared" si="85"/>
        <v>1407_C0013_3209.jpg</v>
      </c>
    </row>
    <row r="1410" spans="1:39" x14ac:dyDescent="0.35">
      <c r="A1410">
        <v>1406</v>
      </c>
      <c r="B1410">
        <v>1407</v>
      </c>
      <c r="F1410" s="64" t="s">
        <v>4623</v>
      </c>
      <c r="G1410" s="64"/>
      <c r="H1410" s="64"/>
      <c r="I1410" s="64">
        <v>0</v>
      </c>
      <c r="J1410" s="32">
        <v>106</v>
      </c>
      <c r="K1410" s="32">
        <f t="shared" si="84"/>
        <v>10</v>
      </c>
      <c r="L1410" s="32" t="str">
        <f t="shared" si="82"/>
        <v/>
      </c>
      <c r="M1410" s="32">
        <f t="shared" si="83"/>
        <v>100</v>
      </c>
      <c r="N1410" s="4">
        <v>2</v>
      </c>
      <c r="O1410" s="58">
        <v>0</v>
      </c>
      <c r="P1410" s="58">
        <v>1</v>
      </c>
      <c r="Q1410" s="58">
        <v>0</v>
      </c>
      <c r="R1410" s="58">
        <v>0</v>
      </c>
      <c r="S1410" s="58">
        <v>0</v>
      </c>
      <c r="T1410" s="58">
        <v>0</v>
      </c>
      <c r="U1410" s="58">
        <v>0</v>
      </c>
      <c r="V1410" s="58" t="s">
        <v>6905</v>
      </c>
      <c r="AG1410" t="s">
        <v>77</v>
      </c>
      <c r="AM1410" s="1" t="str">
        <f t="shared" si="85"/>
        <v>1408_C0013_3205.jpg</v>
      </c>
    </row>
    <row r="1411" spans="1:39" x14ac:dyDescent="0.35">
      <c r="A1411">
        <v>1407</v>
      </c>
      <c r="B1411">
        <v>1408</v>
      </c>
      <c r="F1411" s="64" t="s">
        <v>4624</v>
      </c>
      <c r="G1411" s="64"/>
      <c r="H1411" s="64"/>
      <c r="I1411" s="64">
        <v>0</v>
      </c>
      <c r="J1411" s="32" t="str">
        <f>IF(AND(E1411=1,OR(E1410=0,E1410="")),MAX(#REF!)+1,IF(AND(E1411=1,E1410=1),J1410,""))</f>
        <v/>
      </c>
      <c r="K1411" s="32" t="str">
        <f t="shared" si="84"/>
        <v/>
      </c>
      <c r="L1411" s="32" t="str">
        <f t="shared" si="82"/>
        <v/>
      </c>
      <c r="M1411" s="32" t="str">
        <f t="shared" si="83"/>
        <v/>
      </c>
      <c r="N1411" s="4">
        <v>2</v>
      </c>
      <c r="O1411" s="58">
        <v>0</v>
      </c>
      <c r="P1411" s="58">
        <v>1</v>
      </c>
      <c r="Q1411" s="58">
        <v>0</v>
      </c>
      <c r="R1411" s="58">
        <v>0</v>
      </c>
      <c r="S1411" s="58">
        <v>0</v>
      </c>
      <c r="T1411" s="58">
        <v>0</v>
      </c>
      <c r="U1411" s="58">
        <v>0</v>
      </c>
      <c r="V1411" s="58" t="s">
        <v>6905</v>
      </c>
      <c r="AG1411" t="s">
        <v>77</v>
      </c>
      <c r="AM1411" s="1" t="str">
        <f t="shared" si="85"/>
        <v>1409_C0013_3200.jpg</v>
      </c>
    </row>
    <row r="1412" spans="1:39" x14ac:dyDescent="0.35">
      <c r="A1412">
        <v>1408</v>
      </c>
      <c r="B1412">
        <v>1409</v>
      </c>
      <c r="F1412" s="64" t="s">
        <v>4625</v>
      </c>
      <c r="G1412" s="64"/>
      <c r="H1412" s="64"/>
      <c r="I1412" s="64">
        <v>0</v>
      </c>
      <c r="J1412" s="32" t="str">
        <f>IF(AND(E1412=1,OR(E1411=0,E1411="")),MAX(#REF!)+1,IF(AND(E1412=1,E1411=1),J1411,""))</f>
        <v/>
      </c>
      <c r="K1412" s="32" t="str">
        <f t="shared" si="84"/>
        <v/>
      </c>
      <c r="L1412" s="32" t="str">
        <f t="shared" ref="L1412:L1475" si="86">IF(K1412="","",IF(K1412&gt;=100,"HV",""))</f>
        <v/>
      </c>
      <c r="M1412" s="32" t="str">
        <f t="shared" ref="M1412:M1475" si="87">IF(K1412&lt;&gt;"",K1412^2,"")</f>
        <v/>
      </c>
      <c r="N1412" s="4">
        <v>2</v>
      </c>
      <c r="O1412" s="58">
        <v>0</v>
      </c>
      <c r="P1412" s="58">
        <v>1</v>
      </c>
      <c r="Q1412" s="58">
        <v>0</v>
      </c>
      <c r="R1412" s="58">
        <v>0</v>
      </c>
      <c r="S1412" s="58">
        <v>0</v>
      </c>
      <c r="T1412" s="58">
        <v>0</v>
      </c>
      <c r="U1412" s="58">
        <v>0</v>
      </c>
      <c r="V1412" s="58">
        <v>0</v>
      </c>
      <c r="AG1412" t="s">
        <v>77</v>
      </c>
      <c r="AM1412" s="1" t="str">
        <f t="shared" si="85"/>
        <v>1410_C0013_3196.jpg</v>
      </c>
    </row>
    <row r="1413" spans="1:39" x14ac:dyDescent="0.35">
      <c r="A1413">
        <v>1409</v>
      </c>
      <c r="B1413">
        <v>1410</v>
      </c>
      <c r="F1413" s="64" t="s">
        <v>4626</v>
      </c>
      <c r="G1413" s="64"/>
      <c r="H1413" s="64"/>
      <c r="I1413" s="64">
        <v>0</v>
      </c>
      <c r="J1413" s="32" t="str">
        <f>IF(AND(E1413=1,OR(E1412=0,E1412="")),MAX(#REF!)+1,IF(AND(E1413=1,E1412=1),J1412,""))</f>
        <v/>
      </c>
      <c r="K1413" s="32" t="str">
        <f t="shared" si="84"/>
        <v/>
      </c>
      <c r="L1413" s="32" t="str">
        <f t="shared" si="86"/>
        <v/>
      </c>
      <c r="M1413" s="32" t="str">
        <f t="shared" si="87"/>
        <v/>
      </c>
      <c r="N1413" s="4">
        <v>2</v>
      </c>
      <c r="O1413" s="58">
        <v>1</v>
      </c>
      <c r="P1413" s="58">
        <v>1</v>
      </c>
      <c r="Q1413" s="58">
        <v>0</v>
      </c>
      <c r="R1413" s="58">
        <v>0</v>
      </c>
      <c r="S1413" s="58">
        <v>0</v>
      </c>
      <c r="T1413" s="58">
        <v>0</v>
      </c>
      <c r="U1413" s="58">
        <v>0</v>
      </c>
      <c r="V1413" s="58">
        <v>0</v>
      </c>
      <c r="AG1413" t="s">
        <v>77</v>
      </c>
      <c r="AM1413" s="1" t="str">
        <f t="shared" si="85"/>
        <v>1411_C0013_3193.jpg</v>
      </c>
    </row>
    <row r="1414" spans="1:39" x14ac:dyDescent="0.35">
      <c r="A1414">
        <v>1410</v>
      </c>
      <c r="B1414">
        <v>1411</v>
      </c>
      <c r="F1414" s="64" t="s">
        <v>4627</v>
      </c>
      <c r="G1414" s="64"/>
      <c r="H1414" s="64"/>
      <c r="I1414" s="64">
        <v>0</v>
      </c>
      <c r="J1414" s="32" t="str">
        <f>IF(AND(E1414=1,OR(E1413=0,E1413="")),MAX(#REF!)+1,IF(AND(E1414=1,E1413=1),J1413,""))</f>
        <v/>
      </c>
      <c r="K1414" s="32" t="str">
        <f t="shared" si="84"/>
        <v/>
      </c>
      <c r="L1414" s="32" t="str">
        <f t="shared" si="86"/>
        <v/>
      </c>
      <c r="M1414" s="32" t="str">
        <f t="shared" si="87"/>
        <v/>
      </c>
      <c r="N1414" s="4">
        <v>2</v>
      </c>
      <c r="O1414" s="58">
        <v>0</v>
      </c>
      <c r="P1414" s="58">
        <v>1</v>
      </c>
      <c r="Q1414" s="58">
        <v>0</v>
      </c>
      <c r="R1414" s="58">
        <v>0</v>
      </c>
      <c r="S1414" s="58">
        <v>0</v>
      </c>
      <c r="T1414" s="58">
        <v>0</v>
      </c>
      <c r="U1414" s="58">
        <v>0</v>
      </c>
      <c r="V1414" s="58">
        <v>0</v>
      </c>
      <c r="AG1414" t="s">
        <v>77</v>
      </c>
      <c r="AM1414" s="1" t="str">
        <f t="shared" si="85"/>
        <v>1412_C0013_3189.jpg</v>
      </c>
    </row>
    <row r="1415" spans="1:39" x14ac:dyDescent="0.35">
      <c r="A1415">
        <v>1411</v>
      </c>
      <c r="B1415">
        <v>1412</v>
      </c>
      <c r="F1415" s="64" t="s">
        <v>4628</v>
      </c>
      <c r="G1415" s="64"/>
      <c r="H1415" s="64"/>
      <c r="I1415" s="64">
        <v>0</v>
      </c>
      <c r="J1415" s="32" t="str">
        <f>IF(AND(E1415=1,OR(E1414=0,E1414="")),MAX(#REF!)+1,IF(AND(E1415=1,E1414=1),J1414,""))</f>
        <v/>
      </c>
      <c r="K1415" s="32" t="str">
        <f t="shared" si="84"/>
        <v/>
      </c>
      <c r="L1415" s="32" t="str">
        <f t="shared" si="86"/>
        <v/>
      </c>
      <c r="M1415" s="32" t="str">
        <f t="shared" si="87"/>
        <v/>
      </c>
      <c r="N1415" s="4">
        <v>2</v>
      </c>
      <c r="O1415" s="58">
        <v>0</v>
      </c>
      <c r="P1415" s="58">
        <v>1</v>
      </c>
      <c r="Q1415" s="58">
        <v>2</v>
      </c>
      <c r="R1415" s="58">
        <v>0</v>
      </c>
      <c r="S1415" s="58">
        <v>0</v>
      </c>
      <c r="T1415" s="58">
        <v>0</v>
      </c>
      <c r="U1415" s="58">
        <v>0</v>
      </c>
      <c r="V1415" s="58">
        <v>0</v>
      </c>
      <c r="AG1415" t="s">
        <v>77</v>
      </c>
      <c r="AM1415" s="1" t="str">
        <f t="shared" si="85"/>
        <v>1413_C0013_3186.jpg</v>
      </c>
    </row>
    <row r="1416" spans="1:39" x14ac:dyDescent="0.35">
      <c r="A1416">
        <v>1412</v>
      </c>
      <c r="B1416">
        <v>1413</v>
      </c>
      <c r="F1416" s="64" t="s">
        <v>4629</v>
      </c>
      <c r="G1416" s="64"/>
      <c r="H1416" s="64"/>
      <c r="I1416" s="64">
        <v>0</v>
      </c>
      <c r="J1416" s="32" t="str">
        <f>IF(AND(E1416=1,OR(E1415=0,E1415="")),MAX(#REF!)+1,IF(AND(E1416=1,E1415=1),J1415,""))</f>
        <v/>
      </c>
      <c r="K1416" s="32" t="str">
        <f t="shared" si="84"/>
        <v/>
      </c>
      <c r="L1416" s="32" t="str">
        <f t="shared" si="86"/>
        <v/>
      </c>
      <c r="M1416" s="32" t="str">
        <f t="shared" si="87"/>
        <v/>
      </c>
      <c r="N1416" s="4">
        <v>2</v>
      </c>
      <c r="O1416" s="58">
        <v>0</v>
      </c>
      <c r="P1416" s="58">
        <v>1</v>
      </c>
      <c r="Q1416" s="58">
        <v>2</v>
      </c>
      <c r="R1416" s="58">
        <v>0</v>
      </c>
      <c r="S1416" s="58">
        <v>0</v>
      </c>
      <c r="T1416" s="58">
        <v>0</v>
      </c>
      <c r="U1416" s="58">
        <v>0</v>
      </c>
      <c r="V1416" s="58">
        <v>0</v>
      </c>
      <c r="AG1416" t="s">
        <v>77</v>
      </c>
      <c r="AM1416" s="1" t="str">
        <f t="shared" si="85"/>
        <v>1414_C0013_3183.jpg</v>
      </c>
    </row>
    <row r="1417" spans="1:39" x14ac:dyDescent="0.35">
      <c r="A1417">
        <v>1413</v>
      </c>
      <c r="B1417">
        <v>1414</v>
      </c>
      <c r="F1417" s="64" t="s">
        <v>4630</v>
      </c>
      <c r="G1417" s="64"/>
      <c r="H1417" s="64"/>
      <c r="I1417" s="64">
        <v>0</v>
      </c>
      <c r="J1417" s="32" t="str">
        <f>IF(AND(E1417=1,OR(E1416=0,E1416="")),MAX(#REF!)+1,IF(AND(E1417=1,E1416=1),J1416,""))</f>
        <v/>
      </c>
      <c r="K1417" s="32" t="str">
        <f t="shared" si="84"/>
        <v/>
      </c>
      <c r="L1417" s="32" t="str">
        <f t="shared" si="86"/>
        <v/>
      </c>
      <c r="M1417" s="32" t="str">
        <f t="shared" si="87"/>
        <v/>
      </c>
      <c r="N1417" s="4">
        <v>2</v>
      </c>
      <c r="O1417" s="58">
        <v>0</v>
      </c>
      <c r="P1417" s="58">
        <v>1</v>
      </c>
      <c r="Q1417" s="58">
        <v>2</v>
      </c>
      <c r="R1417" s="58">
        <v>0</v>
      </c>
      <c r="S1417" s="58">
        <v>0</v>
      </c>
      <c r="T1417" s="58">
        <v>0</v>
      </c>
      <c r="U1417" s="58">
        <v>0</v>
      </c>
      <c r="V1417" s="58">
        <v>0</v>
      </c>
      <c r="AG1417" t="s">
        <v>77</v>
      </c>
      <c r="AM1417" s="1" t="str">
        <f t="shared" si="85"/>
        <v>1415_C0013_3178.jpg</v>
      </c>
    </row>
    <row r="1418" spans="1:39" x14ac:dyDescent="0.35">
      <c r="A1418">
        <v>1414</v>
      </c>
      <c r="B1418">
        <v>1415</v>
      </c>
      <c r="F1418" s="64" t="s">
        <v>4631</v>
      </c>
      <c r="G1418" s="64"/>
      <c r="H1418" s="64"/>
      <c r="I1418" s="64">
        <v>1</v>
      </c>
      <c r="J1418" s="32" t="str">
        <f>IF(AND(E1418=1,OR(E1417=0,E1417="")),MAX(#REF!)+1,IF(AND(E1418=1,E1417=1),J1417,""))</f>
        <v/>
      </c>
      <c r="K1418" s="32" t="str">
        <f t="shared" si="84"/>
        <v/>
      </c>
      <c r="L1418" s="32" t="str">
        <f t="shared" si="86"/>
        <v/>
      </c>
      <c r="M1418" s="32" t="str">
        <f t="shared" si="87"/>
        <v/>
      </c>
      <c r="N1418" s="4">
        <v>2</v>
      </c>
      <c r="O1418" s="58">
        <v>0</v>
      </c>
      <c r="P1418" s="58">
        <v>1</v>
      </c>
      <c r="Q1418" s="58">
        <v>2</v>
      </c>
      <c r="R1418" s="58">
        <v>0</v>
      </c>
      <c r="S1418" s="58">
        <v>0</v>
      </c>
      <c r="T1418" s="58">
        <v>0</v>
      </c>
      <c r="U1418" s="58">
        <v>0</v>
      </c>
      <c r="V1418" s="58">
        <v>0</v>
      </c>
      <c r="AG1418" t="s">
        <v>77</v>
      </c>
      <c r="AM1418" s="1" t="str">
        <f t="shared" si="85"/>
        <v>1416_C0013_3175.jpg</v>
      </c>
    </row>
    <row r="1419" spans="1:39" x14ac:dyDescent="0.35">
      <c r="A1419">
        <v>1415</v>
      </c>
      <c r="B1419">
        <v>1416</v>
      </c>
      <c r="F1419" s="64" t="s">
        <v>4632</v>
      </c>
      <c r="G1419" s="64"/>
      <c r="H1419" s="64"/>
      <c r="I1419" s="64">
        <v>1</v>
      </c>
      <c r="J1419" s="32" t="str">
        <f>IF(AND(E1419=1,OR(E1418=0,E1418="")),MAX(#REF!)+1,IF(AND(E1419=1,E1418=1),J1418,""))</f>
        <v/>
      </c>
      <c r="K1419" s="32" t="str">
        <f t="shared" si="84"/>
        <v/>
      </c>
      <c r="L1419" s="32" t="str">
        <f t="shared" si="86"/>
        <v/>
      </c>
      <c r="M1419" s="32" t="str">
        <f t="shared" si="87"/>
        <v/>
      </c>
      <c r="N1419" s="4">
        <v>2</v>
      </c>
      <c r="O1419" s="58">
        <v>0</v>
      </c>
      <c r="P1419" s="58">
        <v>1</v>
      </c>
      <c r="Q1419" s="58">
        <v>0</v>
      </c>
      <c r="R1419" s="58">
        <v>0</v>
      </c>
      <c r="S1419" s="58">
        <v>0</v>
      </c>
      <c r="T1419" s="58">
        <v>0</v>
      </c>
      <c r="U1419" s="58">
        <v>0</v>
      </c>
      <c r="V1419" s="58">
        <v>0</v>
      </c>
      <c r="AG1419" t="s">
        <v>77</v>
      </c>
      <c r="AM1419" s="1" t="str">
        <f t="shared" si="85"/>
        <v>1417_C0013_3169.jpg</v>
      </c>
    </row>
    <row r="1420" spans="1:39" x14ac:dyDescent="0.35">
      <c r="A1420">
        <v>1416</v>
      </c>
      <c r="B1420">
        <v>1417</v>
      </c>
      <c r="F1420" s="64" t="s">
        <v>4633</v>
      </c>
      <c r="G1420" s="64"/>
      <c r="H1420" s="64"/>
      <c r="I1420" s="64">
        <v>1</v>
      </c>
      <c r="J1420" s="32" t="str">
        <f>IF(AND(E1420=1,OR(E1419=0,E1419="")),MAX(#REF!)+1,IF(AND(E1420=1,E1419=1),J1419,""))</f>
        <v/>
      </c>
      <c r="K1420" s="32" t="str">
        <f t="shared" si="84"/>
        <v/>
      </c>
      <c r="L1420" s="32" t="str">
        <f t="shared" si="86"/>
        <v/>
      </c>
      <c r="M1420" s="32" t="str">
        <f t="shared" si="87"/>
        <v/>
      </c>
      <c r="N1420" s="4">
        <v>2</v>
      </c>
      <c r="O1420" s="58">
        <v>0</v>
      </c>
      <c r="P1420" s="58">
        <v>1</v>
      </c>
      <c r="Q1420" s="58">
        <v>0</v>
      </c>
      <c r="R1420" s="58">
        <v>0</v>
      </c>
      <c r="S1420" s="58">
        <v>0</v>
      </c>
      <c r="T1420" s="58">
        <v>0</v>
      </c>
      <c r="U1420" s="58">
        <v>0</v>
      </c>
      <c r="V1420" s="58">
        <v>0</v>
      </c>
      <c r="AG1420" t="s">
        <v>77</v>
      </c>
      <c r="AM1420" s="1" t="str">
        <f t="shared" si="85"/>
        <v>1418_C0013_3164.jpg</v>
      </c>
    </row>
    <row r="1421" spans="1:39" x14ac:dyDescent="0.35">
      <c r="A1421">
        <v>1417</v>
      </c>
      <c r="B1421">
        <v>1418</v>
      </c>
      <c r="F1421" s="64" t="s">
        <v>4634</v>
      </c>
      <c r="G1421" s="64"/>
      <c r="H1421" s="64"/>
      <c r="I1421" s="64">
        <v>1</v>
      </c>
      <c r="J1421" s="32" t="str">
        <f>IF(AND(E1421=1,OR(E1420=0,E1420="")),MAX(#REF!)+1,IF(AND(E1421=1,E1420=1),J1420,""))</f>
        <v/>
      </c>
      <c r="K1421" s="32" t="str">
        <f t="shared" si="84"/>
        <v/>
      </c>
      <c r="L1421" s="32" t="str">
        <f t="shared" si="86"/>
        <v/>
      </c>
      <c r="M1421" s="32" t="str">
        <f t="shared" si="87"/>
        <v/>
      </c>
      <c r="N1421" s="4">
        <v>2</v>
      </c>
      <c r="O1421" s="58">
        <v>0</v>
      </c>
      <c r="P1421" s="58">
        <v>1</v>
      </c>
      <c r="Q1421" s="58">
        <v>0</v>
      </c>
      <c r="R1421" s="58">
        <v>1</v>
      </c>
      <c r="S1421" s="58">
        <v>1</v>
      </c>
      <c r="T1421" s="58">
        <v>0</v>
      </c>
      <c r="U1421" s="58">
        <v>1</v>
      </c>
      <c r="V1421" s="58">
        <v>0</v>
      </c>
      <c r="AG1421" t="s">
        <v>77</v>
      </c>
      <c r="AM1421" s="1" t="str">
        <f t="shared" si="85"/>
        <v>1419_C0013_3158.jpg</v>
      </c>
    </row>
    <row r="1422" spans="1:39" x14ac:dyDescent="0.35">
      <c r="A1422">
        <v>1418</v>
      </c>
      <c r="B1422">
        <v>1419</v>
      </c>
      <c r="F1422" s="64" t="s">
        <v>4635</v>
      </c>
      <c r="G1422" s="64"/>
      <c r="H1422" s="64"/>
      <c r="I1422" s="64">
        <v>1</v>
      </c>
      <c r="J1422" s="32" t="str">
        <f>IF(AND(E1422=1,OR(E1421=0,E1421="")),MAX(#REF!)+1,IF(AND(E1422=1,E1421=1),J1421,""))</f>
        <v/>
      </c>
      <c r="K1422" s="32" t="str">
        <f t="shared" si="84"/>
        <v/>
      </c>
      <c r="L1422" s="32" t="str">
        <f t="shared" si="86"/>
        <v/>
      </c>
      <c r="M1422" s="32" t="str">
        <f t="shared" si="87"/>
        <v/>
      </c>
      <c r="N1422" s="4">
        <v>2</v>
      </c>
      <c r="O1422" s="58">
        <v>1</v>
      </c>
      <c r="P1422" s="58">
        <v>1</v>
      </c>
      <c r="Q1422" s="58">
        <v>0</v>
      </c>
      <c r="R1422" s="58">
        <v>0</v>
      </c>
      <c r="S1422" s="58">
        <v>0</v>
      </c>
      <c r="T1422" s="58">
        <v>0</v>
      </c>
      <c r="U1422" s="58">
        <v>1</v>
      </c>
      <c r="V1422" s="58">
        <v>0</v>
      </c>
      <c r="AG1422" t="s">
        <v>77</v>
      </c>
      <c r="AM1422" s="1" t="str">
        <f t="shared" si="85"/>
        <v>1420_C0013_3154.jpg</v>
      </c>
    </row>
    <row r="1423" spans="1:39" x14ac:dyDescent="0.35">
      <c r="A1423">
        <v>1419</v>
      </c>
      <c r="B1423">
        <v>1420</v>
      </c>
      <c r="F1423" s="64" t="s">
        <v>4636</v>
      </c>
      <c r="G1423" s="64"/>
      <c r="H1423" s="64"/>
      <c r="I1423" s="64">
        <v>1</v>
      </c>
      <c r="J1423" s="32" t="str">
        <f>IF(AND(E1423=1,OR(E1422=0,E1422="")),MAX(#REF!)+1,IF(AND(E1423=1,E1422=1),J1422,""))</f>
        <v/>
      </c>
      <c r="K1423" s="32" t="str">
        <f t="shared" si="84"/>
        <v/>
      </c>
      <c r="L1423" s="32" t="str">
        <f t="shared" si="86"/>
        <v/>
      </c>
      <c r="M1423" s="32" t="str">
        <f t="shared" si="87"/>
        <v/>
      </c>
      <c r="N1423" s="4">
        <v>2</v>
      </c>
      <c r="O1423" s="58">
        <v>0</v>
      </c>
      <c r="P1423" s="58">
        <v>1</v>
      </c>
      <c r="Q1423" s="58">
        <v>0</v>
      </c>
      <c r="R1423" s="58">
        <v>0</v>
      </c>
      <c r="S1423" s="58">
        <v>0</v>
      </c>
      <c r="T1423" s="58">
        <v>0</v>
      </c>
      <c r="U1423" s="58">
        <v>1</v>
      </c>
      <c r="V1423" s="58">
        <v>0</v>
      </c>
      <c r="AG1423" t="s">
        <v>77</v>
      </c>
      <c r="AM1423" s="1" t="str">
        <f t="shared" si="85"/>
        <v>1421_C0013_3150.jpg</v>
      </c>
    </row>
    <row r="1424" spans="1:39" x14ac:dyDescent="0.35">
      <c r="A1424">
        <v>1420</v>
      </c>
      <c r="B1424">
        <v>1421</v>
      </c>
      <c r="F1424" s="64" t="s">
        <v>4637</v>
      </c>
      <c r="G1424" s="64"/>
      <c r="H1424" s="64"/>
      <c r="I1424" s="64">
        <v>1</v>
      </c>
      <c r="J1424" s="32" t="str">
        <f>IF(AND(E1424=1,OR(E1423=0,E1423="")),MAX(#REF!)+1,IF(AND(E1424=1,E1423=1),J1423,""))</f>
        <v/>
      </c>
      <c r="K1424" s="32" t="str">
        <f t="shared" si="84"/>
        <v/>
      </c>
      <c r="L1424" s="32" t="str">
        <f t="shared" si="86"/>
        <v/>
      </c>
      <c r="M1424" s="32" t="str">
        <f t="shared" si="87"/>
        <v/>
      </c>
      <c r="N1424" s="4">
        <v>2</v>
      </c>
      <c r="O1424" s="58">
        <v>1</v>
      </c>
      <c r="P1424" s="58">
        <v>1</v>
      </c>
      <c r="Q1424" s="58">
        <v>0</v>
      </c>
      <c r="R1424" s="58">
        <v>0</v>
      </c>
      <c r="S1424" s="58">
        <v>0</v>
      </c>
      <c r="T1424" s="58">
        <v>0</v>
      </c>
      <c r="U1424" s="58">
        <v>1</v>
      </c>
      <c r="V1424" s="58">
        <v>0</v>
      </c>
      <c r="AG1424" t="s">
        <v>77</v>
      </c>
      <c r="AM1424" s="1" t="str">
        <f t="shared" si="85"/>
        <v>1422_C0013_3147.jpg</v>
      </c>
    </row>
    <row r="1425" spans="1:39" x14ac:dyDescent="0.35">
      <c r="A1425">
        <v>1421</v>
      </c>
      <c r="B1425">
        <v>1422</v>
      </c>
      <c r="F1425" s="64" t="s">
        <v>4638</v>
      </c>
      <c r="G1425" s="64"/>
      <c r="H1425" s="64"/>
      <c r="I1425" s="64">
        <v>1</v>
      </c>
      <c r="J1425" s="32" t="str">
        <f>IF(AND(E1425=1,OR(E1424=0,E1424="")),MAX(#REF!)+1,IF(AND(E1425=1,E1424=1),J1424,""))</f>
        <v/>
      </c>
      <c r="K1425" s="32" t="str">
        <f t="shared" si="84"/>
        <v/>
      </c>
      <c r="L1425" s="32" t="str">
        <f t="shared" si="86"/>
        <v/>
      </c>
      <c r="M1425" s="32" t="str">
        <f t="shared" si="87"/>
        <v/>
      </c>
      <c r="N1425" s="4">
        <v>2</v>
      </c>
      <c r="O1425" s="58">
        <v>0</v>
      </c>
      <c r="P1425" s="58">
        <v>1</v>
      </c>
      <c r="Q1425" s="58">
        <v>0</v>
      </c>
      <c r="R1425" s="58">
        <v>0</v>
      </c>
      <c r="S1425" s="58">
        <v>0</v>
      </c>
      <c r="T1425" s="58">
        <v>0</v>
      </c>
      <c r="U1425" s="58">
        <v>1</v>
      </c>
      <c r="V1425" s="58" t="s">
        <v>6905</v>
      </c>
      <c r="AG1425" t="s">
        <v>77</v>
      </c>
      <c r="AM1425" s="1" t="str">
        <f t="shared" si="85"/>
        <v>1423_C0013_3143.jpg</v>
      </c>
    </row>
    <row r="1426" spans="1:39" x14ac:dyDescent="0.35">
      <c r="A1426">
        <v>1422</v>
      </c>
      <c r="B1426">
        <v>1423</v>
      </c>
      <c r="F1426" s="64" t="s">
        <v>4639</v>
      </c>
      <c r="G1426" s="64"/>
      <c r="H1426" s="64"/>
      <c r="I1426" s="64">
        <v>1</v>
      </c>
      <c r="J1426" s="32" t="str">
        <f>IF(AND(E1426=1,OR(E1425=0,E1425="")),MAX(#REF!)+1,IF(AND(E1426=1,E1425=1),J1425,""))</f>
        <v/>
      </c>
      <c r="K1426" s="32" t="str">
        <f t="shared" si="84"/>
        <v/>
      </c>
      <c r="L1426" s="32" t="str">
        <f t="shared" si="86"/>
        <v/>
      </c>
      <c r="M1426" s="32" t="str">
        <f t="shared" si="87"/>
        <v/>
      </c>
      <c r="N1426" s="4">
        <v>2</v>
      </c>
      <c r="O1426" s="58">
        <v>1</v>
      </c>
      <c r="P1426" s="58">
        <v>1</v>
      </c>
      <c r="Q1426" s="58">
        <v>0</v>
      </c>
      <c r="R1426" s="58">
        <v>0</v>
      </c>
      <c r="S1426" s="58">
        <v>0</v>
      </c>
      <c r="T1426" s="58">
        <v>0</v>
      </c>
      <c r="U1426" s="58">
        <v>1</v>
      </c>
      <c r="V1426" s="58">
        <v>0</v>
      </c>
      <c r="AG1426" t="s">
        <v>77</v>
      </c>
      <c r="AM1426" s="1" t="str">
        <f t="shared" si="85"/>
        <v>1424_C0013_3140.jpg</v>
      </c>
    </row>
    <row r="1427" spans="1:39" x14ac:dyDescent="0.35">
      <c r="A1427">
        <v>1423</v>
      </c>
      <c r="B1427">
        <v>1424</v>
      </c>
      <c r="F1427" s="64" t="s">
        <v>4640</v>
      </c>
      <c r="G1427" s="64"/>
      <c r="H1427" s="64"/>
      <c r="I1427" s="64">
        <v>0</v>
      </c>
      <c r="J1427" s="32" t="str">
        <f>IF(AND(E1427=1,OR(E1426=0,E1426="")),MAX(#REF!)+1,IF(AND(E1427=1,E1426=1),J1426,""))</f>
        <v/>
      </c>
      <c r="K1427" s="32" t="str">
        <f t="shared" si="84"/>
        <v/>
      </c>
      <c r="L1427" s="32" t="str">
        <f t="shared" si="86"/>
        <v/>
      </c>
      <c r="M1427" s="32" t="str">
        <f t="shared" si="87"/>
        <v/>
      </c>
      <c r="N1427" s="4">
        <v>2</v>
      </c>
      <c r="O1427" s="58">
        <v>1</v>
      </c>
      <c r="P1427" s="58">
        <v>1</v>
      </c>
      <c r="Q1427" s="58">
        <v>0</v>
      </c>
      <c r="R1427" s="58">
        <v>0</v>
      </c>
      <c r="S1427" s="58">
        <v>0</v>
      </c>
      <c r="T1427" s="58">
        <v>0</v>
      </c>
      <c r="U1427" s="58">
        <v>1</v>
      </c>
      <c r="V1427" s="58">
        <v>0</v>
      </c>
      <c r="AG1427" t="s">
        <v>77</v>
      </c>
      <c r="AM1427" s="1" t="str">
        <f t="shared" si="85"/>
        <v>1425_C0013_3135.jpg</v>
      </c>
    </row>
    <row r="1428" spans="1:39" x14ac:dyDescent="0.35">
      <c r="A1428">
        <v>1424</v>
      </c>
      <c r="B1428">
        <v>1425</v>
      </c>
      <c r="F1428" s="64" t="s">
        <v>4641</v>
      </c>
      <c r="G1428" s="64"/>
      <c r="H1428" s="64"/>
      <c r="I1428" s="64">
        <v>0</v>
      </c>
      <c r="J1428" s="32" t="str">
        <f>IF(AND(E1428=1,OR(E1427=0,E1427="")),MAX(#REF!)+1,IF(AND(E1428=1,E1427=1),J1427,""))</f>
        <v/>
      </c>
      <c r="K1428" s="32" t="str">
        <f t="shared" si="84"/>
        <v/>
      </c>
      <c r="L1428" s="32" t="str">
        <f t="shared" si="86"/>
        <v/>
      </c>
      <c r="M1428" s="32" t="str">
        <f t="shared" si="87"/>
        <v/>
      </c>
      <c r="N1428" s="4">
        <v>2</v>
      </c>
      <c r="O1428" s="58">
        <v>0</v>
      </c>
      <c r="P1428" s="58">
        <v>1</v>
      </c>
      <c r="Q1428" s="58">
        <v>1</v>
      </c>
      <c r="R1428" s="58">
        <v>1</v>
      </c>
      <c r="S1428" s="58">
        <v>0</v>
      </c>
      <c r="T1428" s="58">
        <v>0</v>
      </c>
      <c r="U1428" s="58">
        <v>0</v>
      </c>
      <c r="V1428" s="58">
        <v>0</v>
      </c>
      <c r="AG1428" t="s">
        <v>77</v>
      </c>
      <c r="AM1428" s="1" t="str">
        <f t="shared" ref="AM1428:AM1459" si="88">HYPERLINK("E:\CAFNEC_GBRF\2023\JohnstoneRiver\Frames_for_Analysis\" &amp; F1429, F1429)</f>
        <v>1426_C0013_3131.jpg</v>
      </c>
    </row>
    <row r="1429" spans="1:39" x14ac:dyDescent="0.35">
      <c r="A1429">
        <v>1425</v>
      </c>
      <c r="B1429">
        <v>1426</v>
      </c>
      <c r="F1429" s="64" t="s">
        <v>4642</v>
      </c>
      <c r="G1429" s="64"/>
      <c r="H1429" s="64"/>
      <c r="I1429" s="64">
        <v>1</v>
      </c>
      <c r="J1429" s="32" t="str">
        <f>IF(AND(E1429=1,OR(E1428=0,E1428="")),MAX(#REF!)+1,IF(AND(E1429=1,E1428=1),J1428,""))</f>
        <v/>
      </c>
      <c r="K1429" s="32" t="str">
        <f t="shared" si="84"/>
        <v/>
      </c>
      <c r="L1429" s="32" t="str">
        <f t="shared" si="86"/>
        <v/>
      </c>
      <c r="M1429" s="32" t="str">
        <f t="shared" si="87"/>
        <v/>
      </c>
      <c r="N1429" s="4">
        <v>2</v>
      </c>
      <c r="O1429" s="58">
        <v>0</v>
      </c>
      <c r="P1429" s="58">
        <v>1</v>
      </c>
      <c r="Q1429" s="58">
        <v>0</v>
      </c>
      <c r="R1429" s="58">
        <v>0</v>
      </c>
      <c r="S1429" s="58">
        <v>0</v>
      </c>
      <c r="T1429" s="58">
        <v>0</v>
      </c>
      <c r="U1429" s="58">
        <v>0</v>
      </c>
      <c r="V1429" s="58">
        <v>0</v>
      </c>
      <c r="AG1429" t="s">
        <v>77</v>
      </c>
      <c r="AM1429" s="1" t="str">
        <f t="shared" si="88"/>
        <v>1427_C0013_3129.jpg</v>
      </c>
    </row>
    <row r="1430" spans="1:39" x14ac:dyDescent="0.35">
      <c r="A1430">
        <v>1426</v>
      </c>
      <c r="B1430">
        <v>1427</v>
      </c>
      <c r="F1430" s="64" t="s">
        <v>4643</v>
      </c>
      <c r="G1430" s="64"/>
      <c r="H1430" s="64"/>
      <c r="I1430" s="64">
        <v>1</v>
      </c>
      <c r="J1430" s="32" t="str">
        <f>IF(AND(E1430=1,OR(E1429=0,E1429="")),MAX(#REF!)+1,IF(AND(E1430=1,E1429=1),J1429,""))</f>
        <v/>
      </c>
      <c r="K1430" s="32" t="str">
        <f t="shared" si="84"/>
        <v/>
      </c>
      <c r="L1430" s="32" t="str">
        <f t="shared" si="86"/>
        <v/>
      </c>
      <c r="M1430" s="32" t="str">
        <f t="shared" si="87"/>
        <v/>
      </c>
      <c r="N1430" s="4">
        <v>2</v>
      </c>
      <c r="O1430" s="58">
        <v>1</v>
      </c>
      <c r="P1430" s="58">
        <v>1</v>
      </c>
      <c r="Q1430" s="58">
        <v>0</v>
      </c>
      <c r="R1430" s="58">
        <v>0</v>
      </c>
      <c r="S1430" s="58">
        <v>0</v>
      </c>
      <c r="T1430" s="58">
        <v>0</v>
      </c>
      <c r="U1430" s="58">
        <v>0</v>
      </c>
      <c r="V1430" s="58">
        <v>0</v>
      </c>
      <c r="AG1430" t="s">
        <v>77</v>
      </c>
      <c r="AM1430" s="1" t="str">
        <f t="shared" si="88"/>
        <v>1428_C0013_3123.jpg</v>
      </c>
    </row>
    <row r="1431" spans="1:39" x14ac:dyDescent="0.35">
      <c r="A1431">
        <v>1427</v>
      </c>
      <c r="B1431">
        <v>1428</v>
      </c>
      <c r="F1431" s="64" t="s">
        <v>4644</v>
      </c>
      <c r="G1431" s="64"/>
      <c r="H1431" s="64"/>
      <c r="I1431" s="64">
        <v>0</v>
      </c>
      <c r="J1431" s="32" t="str">
        <f>IF(AND(E1431=1,OR(E1430=0,E1430="")),MAX(#REF!)+1,IF(AND(E1431=1,E1430=1),J1430,""))</f>
        <v/>
      </c>
      <c r="K1431" s="32" t="str">
        <f t="shared" si="84"/>
        <v/>
      </c>
      <c r="L1431" s="32" t="str">
        <f t="shared" si="86"/>
        <v/>
      </c>
      <c r="M1431" s="32" t="str">
        <f t="shared" si="87"/>
        <v/>
      </c>
      <c r="N1431" s="4">
        <v>2</v>
      </c>
      <c r="O1431" s="58">
        <v>0</v>
      </c>
      <c r="P1431" s="58">
        <v>1</v>
      </c>
      <c r="Q1431" s="58">
        <v>0</v>
      </c>
      <c r="R1431" s="58">
        <v>0</v>
      </c>
      <c r="S1431" s="58">
        <v>0</v>
      </c>
      <c r="T1431" s="58">
        <v>0</v>
      </c>
      <c r="U1431" s="58">
        <v>0</v>
      </c>
      <c r="V1431" s="58">
        <v>0</v>
      </c>
      <c r="AG1431" t="s">
        <v>77</v>
      </c>
      <c r="AM1431" s="1" t="str">
        <f t="shared" si="88"/>
        <v>1429_C0013_3119.jpg</v>
      </c>
    </row>
    <row r="1432" spans="1:39" x14ac:dyDescent="0.35">
      <c r="A1432">
        <v>1428</v>
      </c>
      <c r="B1432">
        <v>1429</v>
      </c>
      <c r="F1432" s="64" t="s">
        <v>4645</v>
      </c>
      <c r="G1432" s="64"/>
      <c r="H1432" s="64"/>
      <c r="I1432" s="64">
        <v>0</v>
      </c>
      <c r="J1432" s="32" t="str">
        <f>IF(AND(E1432=1,OR(E1431=0,E1431="")),MAX(#REF!)+1,IF(AND(E1432=1,E1431=1),J1431,""))</f>
        <v/>
      </c>
      <c r="K1432" s="32" t="str">
        <f t="shared" si="84"/>
        <v/>
      </c>
      <c r="L1432" s="32" t="str">
        <f t="shared" si="86"/>
        <v/>
      </c>
      <c r="M1432" s="32" t="str">
        <f t="shared" si="87"/>
        <v/>
      </c>
      <c r="N1432" s="4">
        <v>2</v>
      </c>
      <c r="O1432" s="58">
        <v>0</v>
      </c>
      <c r="P1432" s="58">
        <v>1</v>
      </c>
      <c r="Q1432" s="58">
        <v>0</v>
      </c>
      <c r="R1432" s="58">
        <v>1</v>
      </c>
      <c r="S1432" s="58">
        <v>0</v>
      </c>
      <c r="T1432" s="58">
        <v>0</v>
      </c>
      <c r="U1432" s="58">
        <v>1</v>
      </c>
      <c r="V1432" s="58">
        <v>0</v>
      </c>
      <c r="AG1432" t="s">
        <v>77</v>
      </c>
      <c r="AM1432" s="1" t="str">
        <f t="shared" si="88"/>
        <v>1430_C0013_3116.jpg</v>
      </c>
    </row>
    <row r="1433" spans="1:39" x14ac:dyDescent="0.35">
      <c r="A1433">
        <v>1429</v>
      </c>
      <c r="B1433">
        <v>1430</v>
      </c>
      <c r="F1433" s="64" t="s">
        <v>4646</v>
      </c>
      <c r="G1433" s="64"/>
      <c r="H1433" s="64"/>
      <c r="I1433" s="64">
        <v>0</v>
      </c>
      <c r="J1433" s="32" t="str">
        <f>IF(AND(E1433=1,OR(E1432=0,E1432="")),MAX(#REF!)+1,IF(AND(E1433=1,E1432=1),J1432,""))</f>
        <v/>
      </c>
      <c r="K1433" s="32" t="str">
        <f t="shared" si="84"/>
        <v/>
      </c>
      <c r="L1433" s="32" t="str">
        <f t="shared" si="86"/>
        <v/>
      </c>
      <c r="M1433" s="32" t="str">
        <f t="shared" si="87"/>
        <v/>
      </c>
      <c r="N1433" s="4">
        <v>2</v>
      </c>
      <c r="O1433" s="58">
        <v>0</v>
      </c>
      <c r="P1433" s="58">
        <v>1</v>
      </c>
      <c r="Q1433" s="58">
        <v>0</v>
      </c>
      <c r="R1433" s="58">
        <v>0</v>
      </c>
      <c r="S1433" s="58">
        <v>0</v>
      </c>
      <c r="T1433" s="58">
        <v>0</v>
      </c>
      <c r="U1433" s="58">
        <v>1</v>
      </c>
      <c r="V1433" s="58">
        <v>0</v>
      </c>
      <c r="AG1433" t="s">
        <v>77</v>
      </c>
      <c r="AM1433" s="1" t="str">
        <f t="shared" si="88"/>
        <v>1431_C0013_3110.jpg</v>
      </c>
    </row>
    <row r="1434" spans="1:39" x14ac:dyDescent="0.35">
      <c r="A1434">
        <v>1430</v>
      </c>
      <c r="B1434">
        <v>1431</v>
      </c>
      <c r="F1434" s="64" t="s">
        <v>4647</v>
      </c>
      <c r="G1434" s="64"/>
      <c r="H1434" s="64"/>
      <c r="I1434" s="64">
        <v>1</v>
      </c>
      <c r="J1434" s="32" t="str">
        <f>IF(AND(E1434=1,OR(E1433=0,E1433="")),MAX(#REF!)+1,IF(AND(E1434=1,E1433=1),J1433,""))</f>
        <v/>
      </c>
      <c r="K1434" s="32" t="str">
        <f t="shared" si="84"/>
        <v/>
      </c>
      <c r="L1434" s="32" t="str">
        <f t="shared" si="86"/>
        <v/>
      </c>
      <c r="M1434" s="32" t="str">
        <f t="shared" si="87"/>
        <v/>
      </c>
      <c r="N1434" s="4">
        <v>2</v>
      </c>
      <c r="O1434" s="58">
        <v>0</v>
      </c>
      <c r="P1434" s="58">
        <v>1</v>
      </c>
      <c r="Q1434" s="58">
        <v>0</v>
      </c>
      <c r="R1434" s="58">
        <v>0</v>
      </c>
      <c r="S1434" s="58">
        <v>0</v>
      </c>
      <c r="T1434" s="58">
        <v>0</v>
      </c>
      <c r="U1434" s="58">
        <v>1</v>
      </c>
      <c r="V1434" s="58">
        <v>0</v>
      </c>
      <c r="AG1434" t="s">
        <v>77</v>
      </c>
      <c r="AM1434" s="1" t="str">
        <f t="shared" si="88"/>
        <v>1432_C0013_3105.jpg</v>
      </c>
    </row>
    <row r="1435" spans="1:39" x14ac:dyDescent="0.35">
      <c r="A1435">
        <v>1431</v>
      </c>
      <c r="B1435">
        <v>1432</v>
      </c>
      <c r="F1435" s="64" t="s">
        <v>4648</v>
      </c>
      <c r="G1435" s="64"/>
      <c r="H1435" s="64"/>
      <c r="I1435" s="64">
        <v>0</v>
      </c>
      <c r="J1435" s="32" t="str">
        <f>IF(AND(E1435=1,OR(E1434=0,E1434="")),MAX(#REF!)+1,IF(AND(E1435=1,E1434=1),J1434,""))</f>
        <v/>
      </c>
      <c r="K1435" s="32" t="str">
        <f t="shared" si="84"/>
        <v/>
      </c>
      <c r="L1435" s="32" t="str">
        <f t="shared" si="86"/>
        <v/>
      </c>
      <c r="M1435" s="32" t="str">
        <f t="shared" si="87"/>
        <v/>
      </c>
      <c r="N1435" s="4">
        <v>2</v>
      </c>
      <c r="O1435" s="58">
        <v>0</v>
      </c>
      <c r="P1435" s="58">
        <v>1</v>
      </c>
      <c r="Q1435" s="58">
        <v>0</v>
      </c>
      <c r="R1435" s="58">
        <v>0</v>
      </c>
      <c r="S1435" s="58">
        <v>0</v>
      </c>
      <c r="T1435" s="58">
        <v>0</v>
      </c>
      <c r="U1435" s="58">
        <v>1</v>
      </c>
      <c r="V1435" s="58" t="s">
        <v>6905</v>
      </c>
      <c r="AG1435" t="s">
        <v>77</v>
      </c>
      <c r="AM1435" s="1" t="str">
        <f t="shared" si="88"/>
        <v>1433_C0013_3101.jpg</v>
      </c>
    </row>
    <row r="1436" spans="1:39" x14ac:dyDescent="0.35">
      <c r="A1436">
        <v>1432</v>
      </c>
      <c r="B1436">
        <v>1433</v>
      </c>
      <c r="F1436" s="64" t="s">
        <v>4649</v>
      </c>
      <c r="G1436" s="64"/>
      <c r="H1436" s="64"/>
      <c r="I1436" s="64">
        <v>0</v>
      </c>
      <c r="J1436" s="32" t="str">
        <f>IF(AND(E1436=1,OR(E1435=0,E1435="")),MAX(#REF!)+1,IF(AND(E1436=1,E1435=1),J1435,""))</f>
        <v/>
      </c>
      <c r="K1436" s="32" t="str">
        <f t="shared" si="84"/>
        <v/>
      </c>
      <c r="L1436" s="32" t="str">
        <f t="shared" si="86"/>
        <v/>
      </c>
      <c r="M1436" s="32" t="str">
        <f t="shared" si="87"/>
        <v/>
      </c>
      <c r="N1436" s="4">
        <v>2</v>
      </c>
      <c r="O1436" s="58">
        <v>0</v>
      </c>
      <c r="P1436" s="58">
        <v>1</v>
      </c>
      <c r="Q1436" s="58">
        <v>0</v>
      </c>
      <c r="R1436" s="58">
        <v>0</v>
      </c>
      <c r="S1436" s="58">
        <v>0</v>
      </c>
      <c r="T1436" s="58">
        <v>0</v>
      </c>
      <c r="U1436" s="58">
        <v>1</v>
      </c>
      <c r="V1436" s="58">
        <v>0</v>
      </c>
      <c r="AG1436" t="s">
        <v>77</v>
      </c>
      <c r="AM1436" s="1" t="str">
        <f t="shared" si="88"/>
        <v>1434_C0013_3096.jpg</v>
      </c>
    </row>
    <row r="1437" spans="1:39" x14ac:dyDescent="0.35">
      <c r="A1437">
        <v>1433</v>
      </c>
      <c r="B1437">
        <v>1434</v>
      </c>
      <c r="F1437" s="64" t="s">
        <v>4650</v>
      </c>
      <c r="G1437" s="64"/>
      <c r="H1437" s="64"/>
      <c r="I1437" s="64">
        <v>0</v>
      </c>
      <c r="J1437" s="32" t="str">
        <f>IF(AND(E1437=1,OR(E1436=0,E1436="")),MAX(#REF!)+1,IF(AND(E1437=1,E1436=1),J1436,""))</f>
        <v/>
      </c>
      <c r="K1437" s="32" t="str">
        <f t="shared" si="84"/>
        <v/>
      </c>
      <c r="L1437" s="32" t="str">
        <f t="shared" si="86"/>
        <v/>
      </c>
      <c r="M1437" s="32" t="str">
        <f t="shared" si="87"/>
        <v/>
      </c>
      <c r="N1437" s="4">
        <v>2</v>
      </c>
      <c r="O1437" s="58">
        <v>0</v>
      </c>
      <c r="P1437" s="58">
        <v>1</v>
      </c>
      <c r="Q1437" s="58">
        <v>0</v>
      </c>
      <c r="R1437" s="58">
        <v>0</v>
      </c>
      <c r="S1437" s="58">
        <v>0</v>
      </c>
      <c r="T1437" s="58">
        <v>0</v>
      </c>
      <c r="U1437" s="58">
        <v>0</v>
      </c>
      <c r="V1437" s="58">
        <v>0</v>
      </c>
      <c r="AG1437" t="s">
        <v>77</v>
      </c>
      <c r="AM1437" s="1" t="str">
        <f t="shared" si="88"/>
        <v>1435_C0013_3091.jpg</v>
      </c>
    </row>
    <row r="1438" spans="1:39" x14ac:dyDescent="0.35">
      <c r="A1438">
        <v>1434</v>
      </c>
      <c r="B1438">
        <v>1435</v>
      </c>
      <c r="F1438" s="64" t="s">
        <v>4651</v>
      </c>
      <c r="G1438" s="64"/>
      <c r="H1438" s="64"/>
      <c r="I1438" s="64">
        <v>0</v>
      </c>
      <c r="J1438" s="32" t="str">
        <f>IF(AND(E1438=1,OR(E1437=0,E1437="")),MAX(#REF!)+1,IF(AND(E1438=1,E1437=1),J1437,""))</f>
        <v/>
      </c>
      <c r="K1438" s="32" t="str">
        <f t="shared" si="84"/>
        <v/>
      </c>
      <c r="L1438" s="32" t="str">
        <f t="shared" si="86"/>
        <v/>
      </c>
      <c r="M1438" s="32" t="str">
        <f t="shared" si="87"/>
        <v/>
      </c>
      <c r="N1438" s="4">
        <v>2</v>
      </c>
      <c r="O1438" s="58">
        <v>0</v>
      </c>
      <c r="P1438" s="58">
        <v>1</v>
      </c>
      <c r="Q1438" s="58">
        <v>0</v>
      </c>
      <c r="R1438" s="58">
        <v>0</v>
      </c>
      <c r="S1438" s="58">
        <v>0</v>
      </c>
      <c r="T1438" s="58">
        <v>0</v>
      </c>
      <c r="U1438" s="58">
        <v>0</v>
      </c>
      <c r="V1438" s="58">
        <v>0</v>
      </c>
      <c r="AG1438" t="s">
        <v>77</v>
      </c>
      <c r="AM1438" s="1" t="str">
        <f t="shared" si="88"/>
        <v>1436_C0013_3086.jpg</v>
      </c>
    </row>
    <row r="1439" spans="1:39" x14ac:dyDescent="0.35">
      <c r="A1439">
        <v>1435</v>
      </c>
      <c r="B1439">
        <v>1436</v>
      </c>
      <c r="F1439" s="64" t="s">
        <v>4652</v>
      </c>
      <c r="G1439" s="64"/>
      <c r="H1439" s="64"/>
      <c r="I1439" s="64">
        <v>0</v>
      </c>
      <c r="J1439" s="32" t="str">
        <f>IF(AND(E1439=1,OR(E1438=0,E1438="")),MAX(#REF!)+1,IF(AND(E1439=1,E1438=1),J1438,""))</f>
        <v/>
      </c>
      <c r="K1439" s="32" t="str">
        <f t="shared" ref="K1439:K1502" si="89">IF(J1439="","",COUNTIF(J:J,J1439)*10)</f>
        <v/>
      </c>
      <c r="L1439" s="32" t="str">
        <f t="shared" si="86"/>
        <v/>
      </c>
      <c r="M1439" s="32" t="str">
        <f t="shared" si="87"/>
        <v/>
      </c>
      <c r="N1439" s="4">
        <v>2</v>
      </c>
      <c r="O1439" s="58">
        <v>0</v>
      </c>
      <c r="P1439" s="58">
        <v>1</v>
      </c>
      <c r="Q1439" s="58">
        <v>0</v>
      </c>
      <c r="R1439" s="58">
        <v>0</v>
      </c>
      <c r="S1439" s="58">
        <v>0</v>
      </c>
      <c r="T1439" s="58">
        <v>0</v>
      </c>
      <c r="U1439" s="58">
        <v>0</v>
      </c>
      <c r="V1439" s="58">
        <v>0</v>
      </c>
      <c r="AG1439" t="s">
        <v>77</v>
      </c>
      <c r="AM1439" s="1" t="str">
        <f t="shared" si="88"/>
        <v>1437_C0013_3081.jpg</v>
      </c>
    </row>
    <row r="1440" spans="1:39" x14ac:dyDescent="0.35">
      <c r="A1440">
        <v>1436</v>
      </c>
      <c r="B1440">
        <v>1437</v>
      </c>
      <c r="F1440" s="64" t="s">
        <v>4653</v>
      </c>
      <c r="G1440" s="64"/>
      <c r="H1440" s="64"/>
      <c r="I1440" s="64">
        <v>1</v>
      </c>
      <c r="J1440" s="32" t="str">
        <f>IF(AND(E1440=1,OR(E1439=0,E1439="")),MAX(#REF!)+1,IF(AND(E1440=1,E1439=1),J1439,""))</f>
        <v/>
      </c>
      <c r="K1440" s="32" t="str">
        <f t="shared" si="89"/>
        <v/>
      </c>
      <c r="L1440" s="32" t="str">
        <f t="shared" si="86"/>
        <v/>
      </c>
      <c r="M1440" s="32" t="str">
        <f t="shared" si="87"/>
        <v/>
      </c>
      <c r="N1440" s="4">
        <v>2</v>
      </c>
      <c r="O1440" s="58">
        <v>0</v>
      </c>
      <c r="P1440" s="58">
        <v>1</v>
      </c>
      <c r="Q1440" s="58">
        <v>0</v>
      </c>
      <c r="R1440" s="58">
        <v>0</v>
      </c>
      <c r="S1440" s="58">
        <v>0</v>
      </c>
      <c r="T1440" s="58">
        <v>0</v>
      </c>
      <c r="U1440" s="58">
        <v>0</v>
      </c>
      <c r="V1440" s="58" t="s">
        <v>6905</v>
      </c>
      <c r="AG1440" t="s">
        <v>77</v>
      </c>
      <c r="AM1440" s="1" t="str">
        <f t="shared" si="88"/>
        <v>1438_C0013_3076.jpg</v>
      </c>
    </row>
    <row r="1441" spans="1:39" x14ac:dyDescent="0.35">
      <c r="A1441">
        <v>1437</v>
      </c>
      <c r="B1441">
        <v>1438</v>
      </c>
      <c r="F1441" s="64" t="s">
        <v>4654</v>
      </c>
      <c r="G1441" s="64"/>
      <c r="H1441" s="64"/>
      <c r="I1441" s="64">
        <v>1</v>
      </c>
      <c r="J1441" s="32" t="str">
        <f>IF(AND(E1441=1,OR(E1440=0,E1440="")),MAX(#REF!)+1,IF(AND(E1441=1,E1440=1),J1440,""))</f>
        <v/>
      </c>
      <c r="K1441" s="32" t="str">
        <f t="shared" si="89"/>
        <v/>
      </c>
      <c r="L1441" s="32" t="str">
        <f t="shared" si="86"/>
        <v/>
      </c>
      <c r="M1441" s="32" t="str">
        <f t="shared" si="87"/>
        <v/>
      </c>
      <c r="N1441" s="4">
        <v>2</v>
      </c>
      <c r="O1441" s="58">
        <v>0</v>
      </c>
      <c r="P1441" s="58">
        <v>1</v>
      </c>
      <c r="Q1441" s="58">
        <v>0</v>
      </c>
      <c r="R1441" s="58">
        <v>0</v>
      </c>
      <c r="S1441" s="58">
        <v>1</v>
      </c>
      <c r="T1441" s="58">
        <v>0</v>
      </c>
      <c r="U1441" s="58">
        <v>0</v>
      </c>
      <c r="V1441" s="58">
        <v>0</v>
      </c>
      <c r="AG1441" t="s">
        <v>77</v>
      </c>
      <c r="AM1441" s="1" t="str">
        <f t="shared" si="88"/>
        <v>1439_C0013_3072.jpg</v>
      </c>
    </row>
    <row r="1442" spans="1:39" x14ac:dyDescent="0.35">
      <c r="A1442">
        <v>1438</v>
      </c>
      <c r="B1442">
        <v>1439</v>
      </c>
      <c r="F1442" s="64" t="s">
        <v>4655</v>
      </c>
      <c r="G1442" s="64"/>
      <c r="H1442" s="64"/>
      <c r="I1442" s="64">
        <v>1</v>
      </c>
      <c r="J1442" s="32" t="str">
        <f>IF(AND(E1442=1,OR(E1441=0,E1441="")),MAX(#REF!)+1,IF(AND(E1442=1,E1441=1),J1441,""))</f>
        <v/>
      </c>
      <c r="K1442" s="32" t="str">
        <f t="shared" si="89"/>
        <v/>
      </c>
      <c r="L1442" s="32" t="str">
        <f t="shared" si="86"/>
        <v/>
      </c>
      <c r="M1442" s="32" t="str">
        <f t="shared" si="87"/>
        <v/>
      </c>
      <c r="N1442" s="4">
        <v>2</v>
      </c>
      <c r="O1442" s="58">
        <v>1</v>
      </c>
      <c r="P1442" s="58">
        <v>1</v>
      </c>
      <c r="Q1442" s="58">
        <v>0</v>
      </c>
      <c r="R1442" s="58">
        <v>0</v>
      </c>
      <c r="S1442" s="58">
        <v>0</v>
      </c>
      <c r="T1442" s="58">
        <v>0</v>
      </c>
      <c r="U1442" s="58">
        <v>0</v>
      </c>
      <c r="V1442" s="58">
        <v>0</v>
      </c>
      <c r="AG1442" t="s">
        <v>77</v>
      </c>
      <c r="AM1442" s="1" t="str">
        <f t="shared" si="88"/>
        <v>1440_C0013_3067.jpg</v>
      </c>
    </row>
    <row r="1443" spans="1:39" x14ac:dyDescent="0.35">
      <c r="A1443">
        <v>1439</v>
      </c>
      <c r="B1443">
        <v>1440</v>
      </c>
      <c r="F1443" s="64" t="s">
        <v>4656</v>
      </c>
      <c r="G1443" s="64"/>
      <c r="H1443" s="64"/>
      <c r="I1443" s="64">
        <v>0</v>
      </c>
      <c r="J1443" s="32" t="str">
        <f>IF(AND(E1443=1,OR(E1442=0,E1442="")),MAX(#REF!)+1,IF(AND(E1443=1,E1442=1),J1442,""))</f>
        <v/>
      </c>
      <c r="K1443" s="32" t="str">
        <f t="shared" si="89"/>
        <v/>
      </c>
      <c r="L1443" s="32" t="str">
        <f t="shared" si="86"/>
        <v/>
      </c>
      <c r="M1443" s="32" t="str">
        <f t="shared" si="87"/>
        <v/>
      </c>
      <c r="N1443" s="4">
        <v>2</v>
      </c>
      <c r="O1443" s="58">
        <v>0</v>
      </c>
      <c r="P1443" s="58">
        <v>1</v>
      </c>
      <c r="Q1443" s="58">
        <v>0</v>
      </c>
      <c r="R1443" s="58">
        <v>0</v>
      </c>
      <c r="S1443" s="58">
        <v>0</v>
      </c>
      <c r="T1443" s="58">
        <v>0</v>
      </c>
      <c r="U1443" s="58">
        <v>0</v>
      </c>
      <c r="V1443" s="58">
        <v>0</v>
      </c>
      <c r="AG1443" t="s">
        <v>77</v>
      </c>
      <c r="AM1443" s="1" t="str">
        <f t="shared" si="88"/>
        <v>1441_C0013_3063.jpg</v>
      </c>
    </row>
    <row r="1444" spans="1:39" x14ac:dyDescent="0.35">
      <c r="A1444">
        <v>1440</v>
      </c>
      <c r="B1444">
        <v>1441</v>
      </c>
      <c r="F1444" s="64" t="s">
        <v>4657</v>
      </c>
      <c r="G1444" s="64"/>
      <c r="H1444" s="64"/>
      <c r="I1444" s="64">
        <v>1</v>
      </c>
      <c r="J1444" s="32" t="str">
        <f>IF(AND(E1444=1,OR(E1443=0,E1443="")),MAX(#REF!)+1,IF(AND(E1444=1,E1443=1),J1443,""))</f>
        <v/>
      </c>
      <c r="K1444" s="32" t="str">
        <f t="shared" si="89"/>
        <v/>
      </c>
      <c r="L1444" s="32" t="str">
        <f t="shared" si="86"/>
        <v/>
      </c>
      <c r="M1444" s="32" t="str">
        <f t="shared" si="87"/>
        <v/>
      </c>
      <c r="N1444" s="4">
        <v>2</v>
      </c>
      <c r="O1444" s="58">
        <v>0</v>
      </c>
      <c r="P1444" s="58">
        <v>1</v>
      </c>
      <c r="Q1444" s="58">
        <v>0</v>
      </c>
      <c r="R1444" s="58">
        <v>0</v>
      </c>
      <c r="S1444" s="58">
        <v>0</v>
      </c>
      <c r="T1444" s="58">
        <v>0</v>
      </c>
      <c r="U1444" s="58">
        <v>0</v>
      </c>
      <c r="V1444" s="58">
        <v>0</v>
      </c>
      <c r="AG1444" t="s">
        <v>77</v>
      </c>
      <c r="AM1444" s="1" t="str">
        <f t="shared" si="88"/>
        <v>1442_C0013_3058.jpg</v>
      </c>
    </row>
    <row r="1445" spans="1:39" x14ac:dyDescent="0.35">
      <c r="A1445">
        <v>1441</v>
      </c>
      <c r="B1445">
        <v>1442</v>
      </c>
      <c r="F1445" s="64" t="s">
        <v>4658</v>
      </c>
      <c r="G1445" s="64"/>
      <c r="H1445" s="64"/>
      <c r="I1445" s="64">
        <v>0</v>
      </c>
      <c r="J1445" s="32" t="str">
        <f>IF(AND(E1445=1,OR(E1444=0,E1444="")),MAX(#REF!)+1,IF(AND(E1445=1,E1444=1),J1444,""))</f>
        <v/>
      </c>
      <c r="K1445" s="32" t="str">
        <f t="shared" si="89"/>
        <v/>
      </c>
      <c r="L1445" s="32" t="str">
        <f t="shared" si="86"/>
        <v/>
      </c>
      <c r="M1445" s="32" t="str">
        <f t="shared" si="87"/>
        <v/>
      </c>
      <c r="N1445" s="4">
        <v>3</v>
      </c>
      <c r="O1445" s="58">
        <v>0</v>
      </c>
      <c r="P1445" s="58">
        <v>1</v>
      </c>
      <c r="Q1445" s="58">
        <v>0</v>
      </c>
      <c r="R1445" s="58">
        <v>0</v>
      </c>
      <c r="S1445" s="58">
        <v>1</v>
      </c>
      <c r="T1445" s="58">
        <v>0</v>
      </c>
      <c r="U1445" s="58">
        <v>0</v>
      </c>
      <c r="V1445" s="58">
        <v>0</v>
      </c>
      <c r="AG1445" t="s">
        <v>77</v>
      </c>
      <c r="AM1445" s="1" t="str">
        <f t="shared" si="88"/>
        <v>1443_C0013_3053.jpg</v>
      </c>
    </row>
    <row r="1446" spans="1:39" x14ac:dyDescent="0.35">
      <c r="A1446">
        <v>1442</v>
      </c>
      <c r="B1446">
        <v>1443</v>
      </c>
      <c r="F1446" s="64" t="s">
        <v>4659</v>
      </c>
      <c r="G1446" s="64"/>
      <c r="H1446" s="64"/>
      <c r="I1446" s="64">
        <v>1</v>
      </c>
      <c r="J1446" s="32" t="str">
        <f>IF(AND(E1446=1,OR(E1445=0,E1445="")),MAX(#REF!)+1,IF(AND(E1446=1,E1445=1),J1445,""))</f>
        <v/>
      </c>
      <c r="K1446" s="32" t="str">
        <f t="shared" si="89"/>
        <v/>
      </c>
      <c r="L1446" s="32" t="str">
        <f t="shared" si="86"/>
        <v/>
      </c>
      <c r="M1446" s="32" t="str">
        <f t="shared" si="87"/>
        <v/>
      </c>
      <c r="N1446" s="4">
        <v>2</v>
      </c>
      <c r="O1446" s="58">
        <v>0</v>
      </c>
      <c r="P1446" s="58">
        <v>1</v>
      </c>
      <c r="Q1446" s="58">
        <v>0</v>
      </c>
      <c r="R1446" s="58">
        <v>0</v>
      </c>
      <c r="S1446" s="58">
        <v>0</v>
      </c>
      <c r="T1446" s="58">
        <v>0</v>
      </c>
      <c r="U1446" s="58">
        <v>0</v>
      </c>
      <c r="V1446" s="58">
        <v>0</v>
      </c>
      <c r="AG1446" t="s">
        <v>77</v>
      </c>
      <c r="AM1446" s="1" t="str">
        <f t="shared" si="88"/>
        <v>1444_C0013_3049.jpg</v>
      </c>
    </row>
    <row r="1447" spans="1:39" x14ac:dyDescent="0.35">
      <c r="A1447">
        <v>1443</v>
      </c>
      <c r="B1447">
        <v>1444</v>
      </c>
      <c r="F1447" s="64" t="s">
        <v>4660</v>
      </c>
      <c r="G1447" s="64"/>
      <c r="H1447" s="64"/>
      <c r="I1447" s="64">
        <v>1</v>
      </c>
      <c r="J1447" s="32" t="str">
        <f>IF(AND(E1447=1,OR(E1446=0,E1446="")),MAX(#REF!)+1,IF(AND(E1447=1,E1446=1),J1446,""))</f>
        <v/>
      </c>
      <c r="K1447" s="32" t="str">
        <f t="shared" si="89"/>
        <v/>
      </c>
      <c r="L1447" s="32" t="str">
        <f t="shared" si="86"/>
        <v/>
      </c>
      <c r="M1447" s="32" t="str">
        <f t="shared" si="87"/>
        <v/>
      </c>
      <c r="N1447" s="4">
        <v>2</v>
      </c>
      <c r="O1447" s="58">
        <v>0</v>
      </c>
      <c r="P1447" s="58">
        <v>1</v>
      </c>
      <c r="Q1447" s="58">
        <v>0</v>
      </c>
      <c r="R1447" s="58">
        <v>1</v>
      </c>
      <c r="S1447" s="58">
        <v>0</v>
      </c>
      <c r="T1447" s="58">
        <v>0</v>
      </c>
      <c r="U1447" s="58">
        <v>0</v>
      </c>
      <c r="V1447" s="58">
        <v>0</v>
      </c>
      <c r="AG1447" t="s">
        <v>77</v>
      </c>
      <c r="AM1447" s="1" t="str">
        <f t="shared" si="88"/>
        <v>1445_C0013_3044.jpg</v>
      </c>
    </row>
    <row r="1448" spans="1:39" x14ac:dyDescent="0.35">
      <c r="A1448">
        <v>1444</v>
      </c>
      <c r="B1448">
        <v>1445</v>
      </c>
      <c r="F1448" s="64" t="s">
        <v>4661</v>
      </c>
      <c r="G1448" s="64"/>
      <c r="H1448" s="64"/>
      <c r="I1448" s="64">
        <v>0</v>
      </c>
      <c r="J1448" s="32" t="str">
        <f>IF(AND(E1448=1,OR(E1447=0,E1447="")),MAX(#REF!)+1,IF(AND(E1448=1,E1447=1),J1447,""))</f>
        <v/>
      </c>
      <c r="K1448" s="32" t="str">
        <f t="shared" si="89"/>
        <v/>
      </c>
      <c r="L1448" s="32" t="str">
        <f t="shared" si="86"/>
        <v/>
      </c>
      <c r="M1448" s="32" t="str">
        <f t="shared" si="87"/>
        <v/>
      </c>
      <c r="N1448" s="4">
        <v>2</v>
      </c>
      <c r="O1448" s="58">
        <v>0</v>
      </c>
      <c r="P1448" s="58">
        <v>1</v>
      </c>
      <c r="Q1448" s="58">
        <v>0</v>
      </c>
      <c r="R1448" s="58">
        <v>0</v>
      </c>
      <c r="S1448" s="58">
        <v>0</v>
      </c>
      <c r="T1448" s="58">
        <v>0</v>
      </c>
      <c r="U1448" s="58">
        <v>0</v>
      </c>
      <c r="V1448" s="58">
        <v>0</v>
      </c>
      <c r="AG1448" t="s">
        <v>77</v>
      </c>
      <c r="AM1448" s="1" t="str">
        <f t="shared" si="88"/>
        <v>1446_C0013_3039.jpg</v>
      </c>
    </row>
    <row r="1449" spans="1:39" x14ac:dyDescent="0.35">
      <c r="A1449">
        <v>1445</v>
      </c>
      <c r="B1449">
        <v>1446</v>
      </c>
      <c r="F1449" s="64" t="s">
        <v>4662</v>
      </c>
      <c r="G1449" s="64"/>
      <c r="H1449" s="64"/>
      <c r="I1449" s="64">
        <v>0</v>
      </c>
      <c r="J1449" s="32" t="str">
        <f>IF(AND(E1449=1,OR(E1448=0,E1448="")),MAX(#REF!)+1,IF(AND(E1449=1,E1448=1),J1448,""))</f>
        <v/>
      </c>
      <c r="K1449" s="32" t="str">
        <f t="shared" si="89"/>
        <v/>
      </c>
      <c r="L1449" s="32" t="str">
        <f t="shared" si="86"/>
        <v/>
      </c>
      <c r="M1449" s="32" t="str">
        <f t="shared" si="87"/>
        <v/>
      </c>
      <c r="N1449" s="4">
        <v>2</v>
      </c>
      <c r="O1449" s="58">
        <v>1</v>
      </c>
      <c r="P1449" s="58">
        <v>1</v>
      </c>
      <c r="Q1449" s="58">
        <v>0</v>
      </c>
      <c r="R1449" s="58">
        <v>0</v>
      </c>
      <c r="S1449" s="58">
        <v>0</v>
      </c>
      <c r="T1449" s="58">
        <v>0</v>
      </c>
      <c r="U1449" s="58">
        <v>1</v>
      </c>
      <c r="V1449" s="58">
        <v>0</v>
      </c>
      <c r="AG1449" t="s">
        <v>77</v>
      </c>
      <c r="AM1449" s="1" t="str">
        <f t="shared" si="88"/>
        <v>1447_C0013_3034.jpg</v>
      </c>
    </row>
    <row r="1450" spans="1:39" x14ac:dyDescent="0.35">
      <c r="A1450">
        <v>1446</v>
      </c>
      <c r="B1450">
        <v>1447</v>
      </c>
      <c r="F1450" s="64" t="s">
        <v>4663</v>
      </c>
      <c r="G1450" s="64"/>
      <c r="H1450" s="64"/>
      <c r="I1450" s="64">
        <v>1</v>
      </c>
      <c r="J1450" s="32" t="str">
        <f>IF(AND(E1450=1,OR(E1449=0,E1449="")),MAX(#REF!)+1,IF(AND(E1450=1,E1449=1),J1449,""))</f>
        <v/>
      </c>
      <c r="K1450" s="32" t="str">
        <f t="shared" si="89"/>
        <v/>
      </c>
      <c r="L1450" s="32" t="str">
        <f t="shared" si="86"/>
        <v/>
      </c>
      <c r="M1450" s="32" t="str">
        <f t="shared" si="87"/>
        <v/>
      </c>
      <c r="N1450" s="4">
        <v>2</v>
      </c>
      <c r="O1450" s="58">
        <v>0</v>
      </c>
      <c r="P1450" s="58">
        <v>1</v>
      </c>
      <c r="Q1450" s="58">
        <v>0</v>
      </c>
      <c r="R1450" s="58">
        <v>0</v>
      </c>
      <c r="S1450" s="58">
        <v>0</v>
      </c>
      <c r="T1450" s="58">
        <v>0</v>
      </c>
      <c r="U1450" s="58">
        <v>1</v>
      </c>
      <c r="V1450" s="58">
        <v>0</v>
      </c>
      <c r="AG1450" t="s">
        <v>77</v>
      </c>
      <c r="AM1450" s="1" t="str">
        <f t="shared" si="88"/>
        <v>1448_C0013_3030.jpg</v>
      </c>
    </row>
    <row r="1451" spans="1:39" x14ac:dyDescent="0.35">
      <c r="A1451">
        <v>1447</v>
      </c>
      <c r="B1451">
        <v>1448</v>
      </c>
      <c r="F1451" s="64" t="s">
        <v>4664</v>
      </c>
      <c r="G1451" s="64"/>
      <c r="H1451" s="64"/>
      <c r="I1451" s="64">
        <v>1</v>
      </c>
      <c r="J1451" s="32" t="str">
        <f>IF(AND(E1451=1,OR(E1450=0,E1450="")),MAX(#REF!)+1,IF(AND(E1451=1,E1450=1),J1450,""))</f>
        <v/>
      </c>
      <c r="K1451" s="32" t="str">
        <f t="shared" si="89"/>
        <v/>
      </c>
      <c r="L1451" s="32" t="str">
        <f t="shared" si="86"/>
        <v/>
      </c>
      <c r="M1451" s="32" t="str">
        <f t="shared" si="87"/>
        <v/>
      </c>
      <c r="N1451" s="4">
        <v>2</v>
      </c>
      <c r="O1451" s="58">
        <v>0</v>
      </c>
      <c r="P1451" s="58">
        <v>1</v>
      </c>
      <c r="Q1451" s="58">
        <v>0</v>
      </c>
      <c r="R1451" s="58">
        <v>0</v>
      </c>
      <c r="S1451" s="58">
        <v>0</v>
      </c>
      <c r="T1451" s="58">
        <v>0</v>
      </c>
      <c r="U1451" s="58">
        <v>1</v>
      </c>
      <c r="V1451" s="58">
        <v>0</v>
      </c>
      <c r="AG1451" t="s">
        <v>77</v>
      </c>
      <c r="AM1451" s="1" t="str">
        <f t="shared" si="88"/>
        <v>1449_C0013_3024.jpg</v>
      </c>
    </row>
    <row r="1452" spans="1:39" x14ac:dyDescent="0.35">
      <c r="A1452">
        <v>1448</v>
      </c>
      <c r="B1452">
        <v>1449</v>
      </c>
      <c r="F1452" s="64" t="s">
        <v>4665</v>
      </c>
      <c r="G1452" s="64"/>
      <c r="H1452" s="64"/>
      <c r="I1452" s="64">
        <v>0</v>
      </c>
      <c r="J1452" s="32" t="str">
        <f>IF(AND(E1452=1,OR(E1451=0,E1451="")),MAX(#REF!)+1,IF(AND(E1452=1,E1451=1),J1451,""))</f>
        <v/>
      </c>
      <c r="K1452" s="32" t="str">
        <f t="shared" si="89"/>
        <v/>
      </c>
      <c r="L1452" s="32" t="str">
        <f t="shared" si="86"/>
        <v/>
      </c>
      <c r="M1452" s="32" t="str">
        <f t="shared" si="87"/>
        <v/>
      </c>
      <c r="N1452" s="4">
        <v>3</v>
      </c>
      <c r="O1452" s="58">
        <v>0</v>
      </c>
      <c r="P1452" s="58">
        <v>1</v>
      </c>
      <c r="Q1452" s="58">
        <v>0</v>
      </c>
      <c r="R1452" s="58">
        <v>0</v>
      </c>
      <c r="S1452" s="58">
        <v>0</v>
      </c>
      <c r="T1452" s="58">
        <v>0</v>
      </c>
      <c r="U1452" s="58">
        <v>0</v>
      </c>
      <c r="V1452" s="58">
        <v>0</v>
      </c>
      <c r="AG1452" t="s">
        <v>77</v>
      </c>
      <c r="AM1452" s="1" t="str">
        <f t="shared" si="88"/>
        <v>1450_C0013_3020.jpg</v>
      </c>
    </row>
    <row r="1453" spans="1:39" x14ac:dyDescent="0.35">
      <c r="A1453">
        <v>1449</v>
      </c>
      <c r="B1453">
        <v>1450</v>
      </c>
      <c r="F1453" s="64" t="s">
        <v>4666</v>
      </c>
      <c r="G1453" s="64"/>
      <c r="H1453" s="64"/>
      <c r="I1453" s="64">
        <v>0</v>
      </c>
      <c r="J1453" s="32" t="str">
        <f>IF(AND(E1453=1,OR(E1452=0,E1452="")),MAX(#REF!)+1,IF(AND(E1453=1,E1452=1),J1452,""))</f>
        <v/>
      </c>
      <c r="K1453" s="32" t="str">
        <f t="shared" si="89"/>
        <v/>
      </c>
      <c r="L1453" s="32" t="str">
        <f t="shared" si="86"/>
        <v/>
      </c>
      <c r="M1453" s="32" t="str">
        <f t="shared" si="87"/>
        <v/>
      </c>
      <c r="N1453" s="4">
        <v>3</v>
      </c>
      <c r="O1453" s="58">
        <v>0</v>
      </c>
      <c r="P1453" s="58">
        <v>1</v>
      </c>
      <c r="Q1453" s="58">
        <v>0</v>
      </c>
      <c r="R1453" s="58">
        <v>0</v>
      </c>
      <c r="S1453" s="58">
        <v>0</v>
      </c>
      <c r="T1453" s="58">
        <v>0</v>
      </c>
      <c r="U1453" s="58">
        <v>0</v>
      </c>
      <c r="V1453" s="58">
        <v>0</v>
      </c>
      <c r="AG1453" t="s">
        <v>77</v>
      </c>
      <c r="AM1453" s="1" t="str">
        <f t="shared" si="88"/>
        <v>1451_C0013_3017.jpg</v>
      </c>
    </row>
    <row r="1454" spans="1:39" x14ac:dyDescent="0.35">
      <c r="A1454">
        <v>1450</v>
      </c>
      <c r="B1454">
        <v>1451</v>
      </c>
      <c r="F1454" s="64" t="s">
        <v>4667</v>
      </c>
      <c r="G1454" s="64"/>
      <c r="H1454" s="64"/>
      <c r="I1454" s="64">
        <v>0</v>
      </c>
      <c r="J1454" s="32" t="str">
        <f>IF(AND(E1454=1,OR(E1453=0,E1453="")),MAX(#REF!)+1,IF(AND(E1454=1,E1453=1),J1453,""))</f>
        <v/>
      </c>
      <c r="K1454" s="32" t="str">
        <f t="shared" si="89"/>
        <v/>
      </c>
      <c r="L1454" s="32" t="str">
        <f t="shared" si="86"/>
        <v/>
      </c>
      <c r="M1454" s="32" t="str">
        <f t="shared" si="87"/>
        <v/>
      </c>
      <c r="N1454" s="4">
        <v>3</v>
      </c>
      <c r="O1454" s="58">
        <v>0</v>
      </c>
      <c r="P1454" s="58">
        <v>1</v>
      </c>
      <c r="Q1454" s="58">
        <v>0</v>
      </c>
      <c r="R1454" s="58">
        <v>0</v>
      </c>
      <c r="S1454" s="58">
        <v>0</v>
      </c>
      <c r="T1454" s="58">
        <v>0</v>
      </c>
      <c r="U1454" s="58">
        <v>0</v>
      </c>
      <c r="V1454" s="58">
        <v>0</v>
      </c>
      <c r="AG1454" t="s">
        <v>77</v>
      </c>
      <c r="AM1454" s="1" t="str">
        <f t="shared" si="88"/>
        <v>1452_C0013_3013.jpg</v>
      </c>
    </row>
    <row r="1455" spans="1:39" x14ac:dyDescent="0.35">
      <c r="A1455">
        <v>1451</v>
      </c>
      <c r="B1455">
        <v>1452</v>
      </c>
      <c r="F1455" s="64" t="s">
        <v>4668</v>
      </c>
      <c r="G1455" s="64"/>
      <c r="H1455" s="64"/>
      <c r="I1455" s="64">
        <v>0</v>
      </c>
      <c r="J1455" s="32" t="str">
        <f>IF(AND(E1455=1,OR(E1454=0,E1454="")),MAX(#REF!)+1,IF(AND(E1455=1,E1454=1),J1454,""))</f>
        <v/>
      </c>
      <c r="K1455" s="32" t="str">
        <f t="shared" si="89"/>
        <v/>
      </c>
      <c r="L1455" s="32" t="str">
        <f t="shared" si="86"/>
        <v/>
      </c>
      <c r="M1455" s="32" t="str">
        <f t="shared" si="87"/>
        <v/>
      </c>
      <c r="N1455" s="4">
        <v>3</v>
      </c>
      <c r="O1455" s="58">
        <v>0</v>
      </c>
      <c r="P1455" s="58">
        <v>1</v>
      </c>
      <c r="Q1455" s="58">
        <v>0</v>
      </c>
      <c r="R1455" s="58">
        <v>0</v>
      </c>
      <c r="S1455" s="58">
        <v>0</v>
      </c>
      <c r="T1455" s="58">
        <v>0</v>
      </c>
      <c r="U1455" s="58">
        <v>0</v>
      </c>
      <c r="V1455" s="58">
        <v>0</v>
      </c>
      <c r="AG1455" t="s">
        <v>77</v>
      </c>
      <c r="AM1455" s="1" t="str">
        <f t="shared" si="88"/>
        <v>1453_C0013_3008.jpg</v>
      </c>
    </row>
    <row r="1456" spans="1:39" x14ac:dyDescent="0.35">
      <c r="A1456">
        <v>1452</v>
      </c>
      <c r="B1456">
        <v>1453</v>
      </c>
      <c r="F1456" s="64" t="s">
        <v>4669</v>
      </c>
      <c r="G1456" s="64"/>
      <c r="H1456" s="64"/>
      <c r="I1456" s="64">
        <v>0</v>
      </c>
      <c r="J1456" s="32" t="str">
        <f>IF(AND(E1456=1,OR(E1455=0,E1455="")),MAX(#REF!)+1,IF(AND(E1456=1,E1455=1),J1455,""))</f>
        <v/>
      </c>
      <c r="K1456" s="32" t="str">
        <f t="shared" si="89"/>
        <v/>
      </c>
      <c r="L1456" s="32" t="str">
        <f t="shared" si="86"/>
        <v/>
      </c>
      <c r="M1456" s="32" t="str">
        <f t="shared" si="87"/>
        <v/>
      </c>
      <c r="N1456" s="4">
        <v>3</v>
      </c>
      <c r="O1456" s="58">
        <v>0</v>
      </c>
      <c r="P1456" s="58">
        <v>1</v>
      </c>
      <c r="Q1456" s="58">
        <v>0</v>
      </c>
      <c r="R1456" s="58">
        <v>0</v>
      </c>
      <c r="S1456" s="58">
        <v>0</v>
      </c>
      <c r="T1456" s="58">
        <v>0</v>
      </c>
      <c r="U1456" s="58">
        <v>0</v>
      </c>
      <c r="V1456" s="58">
        <v>0</v>
      </c>
      <c r="AG1456" t="s">
        <v>77</v>
      </c>
      <c r="AM1456" s="1" t="str">
        <f t="shared" si="88"/>
        <v>1454_C0013_3004.jpg</v>
      </c>
    </row>
    <row r="1457" spans="1:39" x14ac:dyDescent="0.35">
      <c r="A1457">
        <v>1453</v>
      </c>
      <c r="B1457">
        <v>1454</v>
      </c>
      <c r="F1457" s="64" t="s">
        <v>4670</v>
      </c>
      <c r="G1457" s="64"/>
      <c r="H1457" s="64"/>
      <c r="I1457" s="64">
        <v>0</v>
      </c>
      <c r="J1457" s="32" t="str">
        <f>IF(AND(E1457=1,OR(E1456=0,E1456="")),MAX(#REF!)+1,IF(AND(E1457=1,E1456=1),J1456,""))</f>
        <v/>
      </c>
      <c r="K1457" s="32" t="str">
        <f t="shared" si="89"/>
        <v/>
      </c>
      <c r="L1457" s="32" t="str">
        <f t="shared" si="86"/>
        <v/>
      </c>
      <c r="M1457" s="32" t="str">
        <f t="shared" si="87"/>
        <v/>
      </c>
      <c r="N1457" s="4">
        <v>3</v>
      </c>
      <c r="O1457" s="58">
        <v>0</v>
      </c>
      <c r="P1457" s="58">
        <v>1</v>
      </c>
      <c r="Q1457" s="58">
        <v>0</v>
      </c>
      <c r="R1457" s="58">
        <v>0</v>
      </c>
      <c r="S1457" s="58">
        <v>0</v>
      </c>
      <c r="T1457" s="58">
        <v>0</v>
      </c>
      <c r="U1457" s="58">
        <v>0</v>
      </c>
      <c r="V1457" s="58">
        <v>0</v>
      </c>
      <c r="AG1457" t="s">
        <v>77</v>
      </c>
      <c r="AM1457" s="1" t="str">
        <f t="shared" si="88"/>
        <v>1455_C0013_2999.jpg</v>
      </c>
    </row>
    <row r="1458" spans="1:39" x14ac:dyDescent="0.35">
      <c r="A1458">
        <v>1454</v>
      </c>
      <c r="B1458">
        <v>1455</v>
      </c>
      <c r="F1458" s="64" t="s">
        <v>4671</v>
      </c>
      <c r="G1458" s="64"/>
      <c r="H1458" s="64"/>
      <c r="I1458" s="64">
        <v>0</v>
      </c>
      <c r="J1458" s="32" t="str">
        <f>IF(AND(E1458=1,OR(E1457=0,E1457="")),MAX(#REF!)+1,IF(AND(E1458=1,E1457=1),J1457,""))</f>
        <v/>
      </c>
      <c r="K1458" s="32" t="str">
        <f t="shared" si="89"/>
        <v/>
      </c>
      <c r="L1458" s="32" t="str">
        <f t="shared" si="86"/>
        <v/>
      </c>
      <c r="M1458" s="32" t="str">
        <f t="shared" si="87"/>
        <v/>
      </c>
      <c r="N1458" s="4">
        <v>3</v>
      </c>
      <c r="O1458" s="58">
        <v>0</v>
      </c>
      <c r="P1458" s="58">
        <v>1</v>
      </c>
      <c r="Q1458" s="58">
        <v>0</v>
      </c>
      <c r="R1458" s="58">
        <v>0</v>
      </c>
      <c r="S1458" s="58">
        <v>0</v>
      </c>
      <c r="T1458" s="58">
        <v>0</v>
      </c>
      <c r="U1458" s="58">
        <v>0</v>
      </c>
      <c r="V1458" s="58">
        <v>0</v>
      </c>
      <c r="AG1458" t="s">
        <v>77</v>
      </c>
      <c r="AM1458" s="1" t="str">
        <f t="shared" si="88"/>
        <v>1456_C0013_2996.jpg</v>
      </c>
    </row>
    <row r="1459" spans="1:39" x14ac:dyDescent="0.35">
      <c r="A1459">
        <v>1455</v>
      </c>
      <c r="B1459">
        <v>1456</v>
      </c>
      <c r="F1459" s="64" t="s">
        <v>4672</v>
      </c>
      <c r="G1459" s="64"/>
      <c r="H1459" s="64"/>
      <c r="I1459" s="64">
        <v>0</v>
      </c>
      <c r="J1459" s="32" t="str">
        <f>IF(AND(E1459=1,OR(E1458=0,E1458="")),MAX(#REF!)+1,IF(AND(E1459=1,E1458=1),J1458,""))</f>
        <v/>
      </c>
      <c r="K1459" s="32" t="str">
        <f t="shared" si="89"/>
        <v/>
      </c>
      <c r="L1459" s="32" t="str">
        <f t="shared" si="86"/>
        <v/>
      </c>
      <c r="M1459" s="32" t="str">
        <f t="shared" si="87"/>
        <v/>
      </c>
      <c r="N1459" s="4">
        <v>3</v>
      </c>
      <c r="O1459" s="58">
        <v>0</v>
      </c>
      <c r="P1459" s="58">
        <v>1</v>
      </c>
      <c r="Q1459" s="58">
        <v>0</v>
      </c>
      <c r="R1459" s="58">
        <v>0</v>
      </c>
      <c r="S1459" s="58">
        <v>0</v>
      </c>
      <c r="T1459" s="58">
        <v>0</v>
      </c>
      <c r="U1459" s="58">
        <v>0</v>
      </c>
      <c r="V1459" s="58">
        <v>0</v>
      </c>
      <c r="AG1459" t="s">
        <v>77</v>
      </c>
      <c r="AM1459" s="1" t="str">
        <f t="shared" si="88"/>
        <v>1457_C0013_2991.jpg</v>
      </c>
    </row>
    <row r="1460" spans="1:39" x14ac:dyDescent="0.35">
      <c r="A1460">
        <v>1456</v>
      </c>
      <c r="B1460">
        <v>1457</v>
      </c>
      <c r="F1460" s="64" t="s">
        <v>4673</v>
      </c>
      <c r="G1460" s="64"/>
      <c r="H1460" s="64"/>
      <c r="I1460" s="64">
        <v>1</v>
      </c>
      <c r="J1460" s="32" t="str">
        <f>IF(AND(E1460=1,OR(E1459=0,E1459="")),MAX(#REF!)+1,IF(AND(E1460=1,E1459=1),J1459,""))</f>
        <v/>
      </c>
      <c r="K1460" s="32" t="str">
        <f t="shared" si="89"/>
        <v/>
      </c>
      <c r="L1460" s="32" t="str">
        <f t="shared" si="86"/>
        <v/>
      </c>
      <c r="M1460" s="32" t="str">
        <f t="shared" si="87"/>
        <v/>
      </c>
      <c r="N1460" s="4">
        <v>2</v>
      </c>
      <c r="O1460" s="58">
        <v>0</v>
      </c>
      <c r="P1460" s="58">
        <v>1</v>
      </c>
      <c r="Q1460" s="58">
        <v>0</v>
      </c>
      <c r="R1460" s="58">
        <v>0</v>
      </c>
      <c r="S1460" s="58">
        <v>0</v>
      </c>
      <c r="T1460" s="58">
        <v>0</v>
      </c>
      <c r="U1460" s="58">
        <v>0</v>
      </c>
      <c r="V1460" s="58">
        <v>0</v>
      </c>
      <c r="AG1460" t="s">
        <v>77</v>
      </c>
      <c r="AM1460" s="1" t="str">
        <f t="shared" ref="AM1460:AM1491" si="90">HYPERLINK("E:\CAFNEC_GBRF\2023\JohnstoneRiver\Frames_for_Analysis\" &amp; F1461, F1461)</f>
        <v>1458_C0013_2986.jpg</v>
      </c>
    </row>
    <row r="1461" spans="1:39" x14ac:dyDescent="0.35">
      <c r="A1461">
        <v>1457</v>
      </c>
      <c r="B1461">
        <v>1458</v>
      </c>
      <c r="F1461" s="64" t="s">
        <v>4674</v>
      </c>
      <c r="G1461" s="64"/>
      <c r="H1461" s="64"/>
      <c r="I1461" s="64">
        <v>1</v>
      </c>
      <c r="J1461" s="32" t="str">
        <f>IF(AND(E1461=1,OR(E1460=0,E1460="")),MAX(#REF!)+1,IF(AND(E1461=1,E1460=1),J1460,""))</f>
        <v/>
      </c>
      <c r="K1461" s="32" t="str">
        <f t="shared" si="89"/>
        <v/>
      </c>
      <c r="L1461" s="32" t="str">
        <f t="shared" si="86"/>
        <v/>
      </c>
      <c r="M1461" s="32" t="str">
        <f t="shared" si="87"/>
        <v/>
      </c>
      <c r="N1461" s="4">
        <v>2</v>
      </c>
      <c r="O1461" s="58">
        <v>1</v>
      </c>
      <c r="P1461" s="58">
        <v>1</v>
      </c>
      <c r="Q1461" s="58">
        <v>0</v>
      </c>
      <c r="R1461" s="58">
        <v>0</v>
      </c>
      <c r="S1461" s="58">
        <v>0</v>
      </c>
      <c r="T1461" s="58">
        <v>0</v>
      </c>
      <c r="U1461" s="58">
        <v>0</v>
      </c>
      <c r="V1461" s="58">
        <v>0</v>
      </c>
      <c r="AG1461" t="s">
        <v>77</v>
      </c>
      <c r="AM1461" s="1" t="str">
        <f t="shared" si="90"/>
        <v>1459_C0013_2983.jpg</v>
      </c>
    </row>
    <row r="1462" spans="1:39" x14ac:dyDescent="0.35">
      <c r="A1462">
        <v>1458</v>
      </c>
      <c r="B1462">
        <v>1459</v>
      </c>
      <c r="F1462" s="64" t="s">
        <v>4675</v>
      </c>
      <c r="G1462" s="64"/>
      <c r="H1462" s="64"/>
      <c r="I1462" s="64">
        <v>1</v>
      </c>
      <c r="J1462" s="32" t="str">
        <f>IF(AND(E1462=1,OR(E1461=0,E1461="")),MAX(#REF!)+1,IF(AND(E1462=1,E1461=1),J1461,""))</f>
        <v/>
      </c>
      <c r="K1462" s="32" t="str">
        <f t="shared" si="89"/>
        <v/>
      </c>
      <c r="L1462" s="32" t="str">
        <f t="shared" si="86"/>
        <v/>
      </c>
      <c r="M1462" s="32" t="str">
        <f t="shared" si="87"/>
        <v/>
      </c>
      <c r="N1462" s="4">
        <v>2</v>
      </c>
      <c r="O1462" s="58">
        <v>0</v>
      </c>
      <c r="P1462" s="58">
        <v>1</v>
      </c>
      <c r="Q1462" s="58">
        <v>0</v>
      </c>
      <c r="R1462" s="58">
        <v>0</v>
      </c>
      <c r="S1462" s="58">
        <v>0</v>
      </c>
      <c r="T1462" s="58">
        <v>0</v>
      </c>
      <c r="U1462" s="58">
        <v>0</v>
      </c>
      <c r="V1462" s="58">
        <v>0</v>
      </c>
      <c r="AG1462" t="s">
        <v>77</v>
      </c>
      <c r="AM1462" s="1" t="str">
        <f t="shared" si="90"/>
        <v>1460_C0013_2979.jpg</v>
      </c>
    </row>
    <row r="1463" spans="1:39" x14ac:dyDescent="0.35">
      <c r="A1463">
        <v>1459</v>
      </c>
      <c r="B1463">
        <v>1460</v>
      </c>
      <c r="F1463" s="64" t="s">
        <v>4676</v>
      </c>
      <c r="G1463" s="64"/>
      <c r="H1463" s="64"/>
      <c r="I1463" s="64">
        <v>0</v>
      </c>
      <c r="J1463" s="32" t="str">
        <f>IF(AND(E1463=1,OR(E1462=0,E1462="")),MAX(#REF!)+1,IF(AND(E1463=1,E1462=1),J1462,""))</f>
        <v/>
      </c>
      <c r="K1463" s="32" t="str">
        <f t="shared" si="89"/>
        <v/>
      </c>
      <c r="L1463" s="32" t="str">
        <f t="shared" si="86"/>
        <v/>
      </c>
      <c r="M1463" s="32" t="str">
        <f t="shared" si="87"/>
        <v/>
      </c>
      <c r="N1463" s="4">
        <v>2</v>
      </c>
      <c r="O1463" s="58">
        <v>0</v>
      </c>
      <c r="P1463" s="58">
        <v>1</v>
      </c>
      <c r="Q1463" s="58">
        <v>0</v>
      </c>
      <c r="R1463" s="58">
        <v>0</v>
      </c>
      <c r="S1463" s="58">
        <v>0</v>
      </c>
      <c r="T1463" s="58">
        <v>0</v>
      </c>
      <c r="U1463" s="58">
        <v>0</v>
      </c>
      <c r="V1463" s="58">
        <v>0</v>
      </c>
      <c r="AG1463" t="s">
        <v>77</v>
      </c>
      <c r="AM1463" s="1" t="str">
        <f t="shared" si="90"/>
        <v>1461_C0013_2975.jpg</v>
      </c>
    </row>
    <row r="1464" spans="1:39" x14ac:dyDescent="0.35">
      <c r="A1464">
        <v>1460</v>
      </c>
      <c r="B1464">
        <v>1461</v>
      </c>
      <c r="F1464" s="64" t="s">
        <v>4677</v>
      </c>
      <c r="G1464" s="64"/>
      <c r="H1464" s="64"/>
      <c r="I1464" s="64">
        <v>0</v>
      </c>
      <c r="J1464" s="32" t="str">
        <f>IF(AND(E1464=1,OR(E1463=0,E1463="")),MAX(#REF!)+1,IF(AND(E1464=1,E1463=1),J1463,""))</f>
        <v/>
      </c>
      <c r="K1464" s="32" t="str">
        <f t="shared" si="89"/>
        <v/>
      </c>
      <c r="L1464" s="32" t="str">
        <f t="shared" si="86"/>
        <v/>
      </c>
      <c r="M1464" s="32" t="str">
        <f t="shared" si="87"/>
        <v/>
      </c>
      <c r="N1464" s="4">
        <v>3</v>
      </c>
      <c r="O1464" s="58">
        <v>1</v>
      </c>
      <c r="P1464" s="58">
        <v>1</v>
      </c>
      <c r="Q1464" s="58">
        <v>0</v>
      </c>
      <c r="R1464" s="58">
        <v>0</v>
      </c>
      <c r="S1464" s="58">
        <v>0</v>
      </c>
      <c r="T1464" s="58">
        <v>0</v>
      </c>
      <c r="U1464" s="58">
        <v>0</v>
      </c>
      <c r="V1464" s="58">
        <v>0</v>
      </c>
      <c r="AG1464" t="s">
        <v>77</v>
      </c>
      <c r="AM1464" s="1" t="str">
        <f t="shared" si="90"/>
        <v>1462_C0013_2971.jpg</v>
      </c>
    </row>
    <row r="1465" spans="1:39" x14ac:dyDescent="0.35">
      <c r="A1465">
        <v>1461</v>
      </c>
      <c r="B1465">
        <v>1462</v>
      </c>
      <c r="F1465" s="64" t="s">
        <v>4678</v>
      </c>
      <c r="G1465" s="64"/>
      <c r="H1465" s="64"/>
      <c r="I1465" s="64">
        <v>0</v>
      </c>
      <c r="J1465" s="32" t="str">
        <f>IF(AND(E1465=1,OR(E1464=0,E1464="")),MAX(#REF!)+1,IF(AND(E1465=1,E1464=1),J1464,""))</f>
        <v/>
      </c>
      <c r="K1465" s="32" t="str">
        <f t="shared" si="89"/>
        <v/>
      </c>
      <c r="L1465" s="32" t="str">
        <f t="shared" si="86"/>
        <v/>
      </c>
      <c r="M1465" s="32" t="str">
        <f t="shared" si="87"/>
        <v/>
      </c>
      <c r="N1465" s="4">
        <v>3</v>
      </c>
      <c r="O1465" s="58">
        <v>0</v>
      </c>
      <c r="P1465" s="58">
        <v>1</v>
      </c>
      <c r="Q1465" s="58">
        <v>0</v>
      </c>
      <c r="R1465" s="58">
        <v>0</v>
      </c>
      <c r="S1465" s="58">
        <v>0</v>
      </c>
      <c r="T1465" s="58">
        <v>0</v>
      </c>
      <c r="U1465" s="58">
        <v>0</v>
      </c>
      <c r="V1465" s="58">
        <v>0</v>
      </c>
      <c r="AG1465" t="s">
        <v>77</v>
      </c>
      <c r="AM1465" s="1" t="str">
        <f t="shared" si="90"/>
        <v>1463_C0013_2967.jpg</v>
      </c>
    </row>
    <row r="1466" spans="1:39" x14ac:dyDescent="0.35">
      <c r="A1466">
        <v>1462</v>
      </c>
      <c r="B1466">
        <v>1463</v>
      </c>
      <c r="F1466" s="64" t="s">
        <v>4679</v>
      </c>
      <c r="G1466" s="64"/>
      <c r="H1466" s="64"/>
      <c r="I1466" s="64">
        <v>0</v>
      </c>
      <c r="J1466" s="32" t="str">
        <f>IF(AND(E1466=1,OR(E1465=0,E1465="")),MAX(#REF!)+1,IF(AND(E1466=1,E1465=1),J1465,""))</f>
        <v/>
      </c>
      <c r="K1466" s="32" t="str">
        <f t="shared" si="89"/>
        <v/>
      </c>
      <c r="L1466" s="32" t="str">
        <f t="shared" si="86"/>
        <v/>
      </c>
      <c r="M1466" s="32" t="str">
        <f t="shared" si="87"/>
        <v/>
      </c>
      <c r="N1466" s="4">
        <v>3</v>
      </c>
      <c r="O1466" s="58">
        <v>1</v>
      </c>
      <c r="P1466" s="58">
        <v>1</v>
      </c>
      <c r="Q1466" s="58">
        <v>0</v>
      </c>
      <c r="R1466" s="58">
        <v>0</v>
      </c>
      <c r="S1466" s="58">
        <v>0</v>
      </c>
      <c r="T1466" s="58">
        <v>0</v>
      </c>
      <c r="U1466" s="58">
        <v>0</v>
      </c>
      <c r="V1466" s="58">
        <v>0</v>
      </c>
      <c r="AG1466" t="s">
        <v>77</v>
      </c>
      <c r="AM1466" s="1" t="str">
        <f t="shared" si="90"/>
        <v>1464_C0013_2963.jpg</v>
      </c>
    </row>
    <row r="1467" spans="1:39" x14ac:dyDescent="0.35">
      <c r="A1467">
        <v>1463</v>
      </c>
      <c r="B1467">
        <v>1464</v>
      </c>
      <c r="F1467" s="64" t="s">
        <v>4680</v>
      </c>
      <c r="G1467" s="64"/>
      <c r="H1467" s="64"/>
      <c r="I1467" s="64">
        <v>1</v>
      </c>
      <c r="J1467" s="32" t="str">
        <f>IF(AND(E1467=1,OR(E1466=0,E1466="")),MAX(#REF!)+1,IF(AND(E1467=1,E1466=1),J1466,""))</f>
        <v/>
      </c>
      <c r="K1467" s="32" t="str">
        <f t="shared" si="89"/>
        <v/>
      </c>
      <c r="L1467" s="32" t="str">
        <f t="shared" si="86"/>
        <v/>
      </c>
      <c r="M1467" s="32" t="str">
        <f t="shared" si="87"/>
        <v/>
      </c>
      <c r="N1467" s="4">
        <v>2</v>
      </c>
      <c r="O1467" s="58">
        <v>0</v>
      </c>
      <c r="P1467" s="58">
        <v>1</v>
      </c>
      <c r="Q1467" s="58">
        <v>0</v>
      </c>
      <c r="R1467" s="58">
        <v>0</v>
      </c>
      <c r="S1467" s="58">
        <v>1</v>
      </c>
      <c r="T1467" s="58">
        <v>0</v>
      </c>
      <c r="U1467" s="58">
        <v>0</v>
      </c>
      <c r="V1467" s="58">
        <v>0</v>
      </c>
      <c r="AG1467" t="s">
        <v>77</v>
      </c>
      <c r="AM1467" s="1" t="str">
        <f t="shared" si="90"/>
        <v>1465_C0013_2959.jpg</v>
      </c>
    </row>
    <row r="1468" spans="1:39" x14ac:dyDescent="0.35">
      <c r="A1468">
        <v>1464</v>
      </c>
      <c r="B1468">
        <v>1465</v>
      </c>
      <c r="F1468" s="64" t="s">
        <v>4681</v>
      </c>
      <c r="G1468" s="64"/>
      <c r="H1468" s="64"/>
      <c r="I1468" s="64">
        <v>1</v>
      </c>
      <c r="J1468" s="32" t="str">
        <f>IF(AND(E1468=1,OR(E1467=0,E1467="")),MAX(#REF!)+1,IF(AND(E1468=1,E1467=1),J1467,""))</f>
        <v/>
      </c>
      <c r="K1468" s="32" t="str">
        <f t="shared" si="89"/>
        <v/>
      </c>
      <c r="L1468" s="32" t="str">
        <f t="shared" si="86"/>
        <v/>
      </c>
      <c r="M1468" s="32" t="str">
        <f t="shared" si="87"/>
        <v/>
      </c>
      <c r="N1468" s="4">
        <v>2</v>
      </c>
      <c r="O1468" s="58">
        <v>0</v>
      </c>
      <c r="P1468" s="58">
        <v>1</v>
      </c>
      <c r="Q1468" s="58">
        <v>0</v>
      </c>
      <c r="R1468" s="58">
        <v>0</v>
      </c>
      <c r="S1468" s="58">
        <v>0</v>
      </c>
      <c r="T1468" s="58">
        <v>0</v>
      </c>
      <c r="U1468" s="58">
        <v>0</v>
      </c>
      <c r="V1468" s="58" t="s">
        <v>6905</v>
      </c>
      <c r="AG1468" t="s">
        <v>77</v>
      </c>
      <c r="AM1468" s="1" t="str">
        <f t="shared" si="90"/>
        <v>1466_C0013_2957.jpg</v>
      </c>
    </row>
    <row r="1469" spans="1:39" x14ac:dyDescent="0.35">
      <c r="A1469">
        <v>1465</v>
      </c>
      <c r="B1469">
        <v>1466</v>
      </c>
      <c r="F1469" s="64" t="s">
        <v>4682</v>
      </c>
      <c r="G1469" s="64"/>
      <c r="H1469" s="64"/>
      <c r="I1469" s="64">
        <v>1</v>
      </c>
      <c r="J1469" s="32" t="str">
        <f>IF(AND(E1469=1,OR(E1468=0,E1468="")),MAX(#REF!)+1,IF(AND(E1469=1,E1468=1),J1468,""))</f>
        <v/>
      </c>
      <c r="K1469" s="32" t="str">
        <f t="shared" si="89"/>
        <v/>
      </c>
      <c r="L1469" s="32" t="str">
        <f t="shared" si="86"/>
        <v/>
      </c>
      <c r="M1469" s="32" t="str">
        <f t="shared" si="87"/>
        <v/>
      </c>
      <c r="N1469" s="4">
        <v>2</v>
      </c>
      <c r="O1469" s="58">
        <v>0</v>
      </c>
      <c r="P1469" s="58">
        <v>1</v>
      </c>
      <c r="Q1469" s="58">
        <v>0</v>
      </c>
      <c r="R1469" s="58">
        <v>0</v>
      </c>
      <c r="S1469" s="58">
        <v>0</v>
      </c>
      <c r="T1469" s="58">
        <v>0</v>
      </c>
      <c r="U1469" s="58">
        <v>0</v>
      </c>
      <c r="V1469" s="58" t="s">
        <v>6905</v>
      </c>
      <c r="AG1469" t="s">
        <v>77</v>
      </c>
      <c r="AM1469" s="1" t="str">
        <f t="shared" si="90"/>
        <v>1467_C0013_2952.jpg</v>
      </c>
    </row>
    <row r="1470" spans="1:39" x14ac:dyDescent="0.35">
      <c r="A1470">
        <v>1466</v>
      </c>
      <c r="B1470">
        <v>1467</v>
      </c>
      <c r="F1470" s="64" t="s">
        <v>4683</v>
      </c>
      <c r="G1470" s="64"/>
      <c r="H1470" s="64"/>
      <c r="I1470" s="64">
        <v>0</v>
      </c>
      <c r="J1470" s="32" t="str">
        <f>IF(AND(E1470=1,OR(E1469=0,E1469="")),MAX(#REF!)+1,IF(AND(E1470=1,E1469=1),J1469,""))</f>
        <v/>
      </c>
      <c r="K1470" s="32" t="str">
        <f t="shared" si="89"/>
        <v/>
      </c>
      <c r="L1470" s="32" t="str">
        <f t="shared" si="86"/>
        <v/>
      </c>
      <c r="M1470" s="32" t="str">
        <f t="shared" si="87"/>
        <v/>
      </c>
      <c r="N1470" s="4">
        <v>3</v>
      </c>
      <c r="O1470" s="58">
        <v>0</v>
      </c>
      <c r="P1470" s="58">
        <v>1</v>
      </c>
      <c r="Q1470" s="58">
        <v>0</v>
      </c>
      <c r="R1470" s="58">
        <v>0</v>
      </c>
      <c r="S1470" s="58">
        <v>0</v>
      </c>
      <c r="T1470" s="58">
        <v>0</v>
      </c>
      <c r="U1470" s="58">
        <v>0</v>
      </c>
      <c r="V1470" s="58" t="s">
        <v>6905</v>
      </c>
      <c r="AG1470" t="s">
        <v>77</v>
      </c>
      <c r="AM1470" s="1" t="str">
        <f t="shared" si="90"/>
        <v>1468_C0013_2946.jpg</v>
      </c>
    </row>
    <row r="1471" spans="1:39" x14ac:dyDescent="0.35">
      <c r="A1471">
        <v>1467</v>
      </c>
      <c r="B1471">
        <v>1468</v>
      </c>
      <c r="F1471" s="64" t="s">
        <v>4684</v>
      </c>
      <c r="G1471" s="64"/>
      <c r="H1471" s="64"/>
      <c r="I1471" s="64">
        <v>0</v>
      </c>
      <c r="J1471" s="32" t="str">
        <f>IF(AND(E1471=1,OR(E1470=0,E1470="")),MAX(#REF!)+1,IF(AND(E1471=1,E1470=1),J1470,""))</f>
        <v/>
      </c>
      <c r="K1471" s="32" t="str">
        <f t="shared" si="89"/>
        <v/>
      </c>
      <c r="L1471" s="32" t="str">
        <f t="shared" si="86"/>
        <v/>
      </c>
      <c r="M1471" s="32" t="str">
        <f t="shared" si="87"/>
        <v/>
      </c>
      <c r="N1471" s="4">
        <v>3</v>
      </c>
      <c r="O1471" s="58">
        <v>1</v>
      </c>
      <c r="P1471" s="58">
        <v>1</v>
      </c>
      <c r="Q1471" s="58">
        <v>0</v>
      </c>
      <c r="R1471" s="58">
        <v>0</v>
      </c>
      <c r="S1471" s="58">
        <v>0</v>
      </c>
      <c r="T1471" s="58">
        <v>0</v>
      </c>
      <c r="U1471" s="58">
        <v>0</v>
      </c>
      <c r="V1471" s="58">
        <v>0</v>
      </c>
      <c r="AG1471" t="s">
        <v>77</v>
      </c>
      <c r="AM1471" s="1" t="str">
        <f t="shared" si="90"/>
        <v>1469_C0013_2943.jpg</v>
      </c>
    </row>
    <row r="1472" spans="1:39" x14ac:dyDescent="0.35">
      <c r="A1472">
        <v>1468</v>
      </c>
      <c r="B1472">
        <v>1469</v>
      </c>
      <c r="F1472" s="64" t="s">
        <v>4685</v>
      </c>
      <c r="G1472" s="64"/>
      <c r="H1472" s="64"/>
      <c r="I1472" s="64">
        <v>0</v>
      </c>
      <c r="J1472" s="32" t="str">
        <f>IF(AND(E1472=1,OR(E1471=0,E1471="")),MAX(#REF!)+1,IF(AND(E1472=1,E1471=1),J1471,""))</f>
        <v/>
      </c>
      <c r="K1472" s="32" t="str">
        <f t="shared" si="89"/>
        <v/>
      </c>
      <c r="L1472" s="32" t="str">
        <f t="shared" si="86"/>
        <v/>
      </c>
      <c r="M1472" s="32" t="str">
        <f t="shared" si="87"/>
        <v/>
      </c>
      <c r="N1472" s="4">
        <v>3</v>
      </c>
      <c r="O1472" s="58">
        <v>0</v>
      </c>
      <c r="P1472" s="58">
        <v>1</v>
      </c>
      <c r="Q1472" s="58">
        <v>0</v>
      </c>
      <c r="R1472" s="58">
        <v>0</v>
      </c>
      <c r="S1472" s="58">
        <v>0</v>
      </c>
      <c r="T1472" s="58">
        <v>0</v>
      </c>
      <c r="U1472" s="58">
        <v>0</v>
      </c>
      <c r="V1472" s="58">
        <v>0</v>
      </c>
      <c r="AG1472" t="s">
        <v>77</v>
      </c>
      <c r="AM1472" s="1" t="str">
        <f t="shared" si="90"/>
        <v>1470_C0013_2939.jpg</v>
      </c>
    </row>
    <row r="1473" spans="1:39" x14ac:dyDescent="0.35">
      <c r="A1473">
        <v>1469</v>
      </c>
      <c r="B1473">
        <v>1470</v>
      </c>
      <c r="F1473" s="64" t="s">
        <v>4686</v>
      </c>
      <c r="G1473" s="64"/>
      <c r="H1473" s="64"/>
      <c r="I1473" s="64">
        <v>1</v>
      </c>
      <c r="J1473" s="32" t="str">
        <f>IF(AND(E1473=1,OR(E1472=0,E1472="")),MAX(#REF!)+1,IF(AND(E1473=1,E1472=1),J1472,""))</f>
        <v/>
      </c>
      <c r="K1473" s="32" t="str">
        <f t="shared" si="89"/>
        <v/>
      </c>
      <c r="L1473" s="32" t="str">
        <f t="shared" si="86"/>
        <v/>
      </c>
      <c r="M1473" s="32" t="str">
        <f t="shared" si="87"/>
        <v/>
      </c>
      <c r="N1473" s="4">
        <v>2</v>
      </c>
      <c r="O1473" s="58">
        <v>0</v>
      </c>
      <c r="P1473" s="58">
        <v>1</v>
      </c>
      <c r="Q1473" s="58">
        <v>0</v>
      </c>
      <c r="R1473" s="58">
        <v>0</v>
      </c>
      <c r="S1473" s="58">
        <v>0</v>
      </c>
      <c r="T1473" s="58">
        <v>0</v>
      </c>
      <c r="U1473" s="58">
        <v>0</v>
      </c>
      <c r="V1473" s="58">
        <v>0</v>
      </c>
      <c r="AG1473" t="s">
        <v>77</v>
      </c>
      <c r="AM1473" s="1" t="str">
        <f t="shared" si="90"/>
        <v>1471_C0013_2935.jpg</v>
      </c>
    </row>
    <row r="1474" spans="1:39" x14ac:dyDescent="0.35">
      <c r="A1474">
        <v>1470</v>
      </c>
      <c r="B1474">
        <v>1471</v>
      </c>
      <c r="F1474" s="64" t="s">
        <v>4687</v>
      </c>
      <c r="G1474" s="64"/>
      <c r="H1474" s="64"/>
      <c r="I1474" s="64">
        <v>1</v>
      </c>
      <c r="J1474" s="32" t="str">
        <f>IF(AND(E1474=1,OR(E1473=0,E1473="")),MAX(#REF!)+1,IF(AND(E1474=1,E1473=1),J1473,""))</f>
        <v/>
      </c>
      <c r="K1474" s="32" t="str">
        <f t="shared" si="89"/>
        <v/>
      </c>
      <c r="L1474" s="32" t="str">
        <f t="shared" si="86"/>
        <v/>
      </c>
      <c r="M1474" s="32" t="str">
        <f t="shared" si="87"/>
        <v/>
      </c>
      <c r="N1474" s="4">
        <v>2</v>
      </c>
      <c r="O1474" s="58">
        <v>0</v>
      </c>
      <c r="P1474" s="58">
        <v>1</v>
      </c>
      <c r="Q1474" s="58">
        <v>0</v>
      </c>
      <c r="R1474" s="58">
        <v>0</v>
      </c>
      <c r="S1474" s="58">
        <v>0</v>
      </c>
      <c r="T1474" s="58">
        <v>0</v>
      </c>
      <c r="U1474" s="58">
        <v>0</v>
      </c>
      <c r="V1474" s="58">
        <v>0</v>
      </c>
      <c r="AG1474" t="s">
        <v>77</v>
      </c>
      <c r="AM1474" s="1" t="str">
        <f t="shared" si="90"/>
        <v>1472_C0013_2931.jpg</v>
      </c>
    </row>
    <row r="1475" spans="1:39" x14ac:dyDescent="0.35">
      <c r="A1475">
        <v>1471</v>
      </c>
      <c r="B1475">
        <v>1472</v>
      </c>
      <c r="F1475" s="64" t="s">
        <v>4688</v>
      </c>
      <c r="G1475" s="64"/>
      <c r="H1475" s="64"/>
      <c r="I1475" s="64">
        <v>1</v>
      </c>
      <c r="J1475" s="32" t="str">
        <f>IF(AND(E1475=1,OR(E1474=0,E1474="")),MAX(#REF!)+1,IF(AND(E1475=1,E1474=1),J1474,""))</f>
        <v/>
      </c>
      <c r="K1475" s="32" t="str">
        <f t="shared" si="89"/>
        <v/>
      </c>
      <c r="L1475" s="32" t="str">
        <f t="shared" si="86"/>
        <v/>
      </c>
      <c r="M1475" s="32" t="str">
        <f t="shared" si="87"/>
        <v/>
      </c>
      <c r="N1475" s="4">
        <v>2</v>
      </c>
      <c r="O1475" s="58">
        <v>0</v>
      </c>
      <c r="P1475" s="58">
        <v>1</v>
      </c>
      <c r="Q1475" s="58">
        <v>0</v>
      </c>
      <c r="R1475" s="58">
        <v>1</v>
      </c>
      <c r="S1475" s="58">
        <v>0</v>
      </c>
      <c r="T1475" s="58">
        <v>0</v>
      </c>
      <c r="U1475" s="58">
        <v>1</v>
      </c>
      <c r="V1475" s="58">
        <v>0</v>
      </c>
      <c r="AG1475" t="s">
        <v>77</v>
      </c>
      <c r="AM1475" s="1" t="str">
        <f t="shared" si="90"/>
        <v>1473_C0013_2928.jpg</v>
      </c>
    </row>
    <row r="1476" spans="1:39" x14ac:dyDescent="0.35">
      <c r="A1476">
        <v>1472</v>
      </c>
      <c r="B1476">
        <v>1473</v>
      </c>
      <c r="F1476" s="64" t="s">
        <v>4689</v>
      </c>
      <c r="G1476" s="64"/>
      <c r="H1476" s="64"/>
      <c r="I1476" s="64">
        <v>1</v>
      </c>
      <c r="J1476" s="32" t="str">
        <f>IF(AND(E1476=1,OR(E1475=0,E1475="")),MAX(#REF!)+1,IF(AND(E1476=1,E1475=1),J1475,""))</f>
        <v/>
      </c>
      <c r="K1476" s="32" t="str">
        <f t="shared" si="89"/>
        <v/>
      </c>
      <c r="L1476" s="32" t="str">
        <f t="shared" ref="L1476:L1539" si="91">IF(K1476="","",IF(K1476&gt;=100,"HV",""))</f>
        <v/>
      </c>
      <c r="M1476" s="32" t="str">
        <f t="shared" ref="M1476:M1539" si="92">IF(K1476&lt;&gt;"",K1476^2,"")</f>
        <v/>
      </c>
      <c r="N1476" s="4">
        <v>2</v>
      </c>
      <c r="O1476" s="58">
        <v>0</v>
      </c>
      <c r="P1476" s="58">
        <v>1</v>
      </c>
      <c r="Q1476" s="58">
        <v>0</v>
      </c>
      <c r="R1476" s="58">
        <v>0</v>
      </c>
      <c r="S1476" s="58">
        <v>0</v>
      </c>
      <c r="T1476" s="58">
        <v>0</v>
      </c>
      <c r="U1476" s="58">
        <v>0</v>
      </c>
      <c r="V1476" s="58">
        <v>0</v>
      </c>
      <c r="AG1476" t="s">
        <v>77</v>
      </c>
      <c r="AM1476" s="1" t="str">
        <f t="shared" si="90"/>
        <v>1474_C0013_2925.jpg</v>
      </c>
    </row>
    <row r="1477" spans="1:39" x14ac:dyDescent="0.35">
      <c r="A1477">
        <v>1473</v>
      </c>
      <c r="B1477">
        <v>1474</v>
      </c>
      <c r="F1477" s="64" t="s">
        <v>4690</v>
      </c>
      <c r="G1477" s="64"/>
      <c r="H1477" s="64"/>
      <c r="I1477" s="64">
        <v>1</v>
      </c>
      <c r="J1477" s="32" t="str">
        <f>IF(AND(E1477=1,OR(E1476=0,E1476="")),MAX(#REF!)+1,IF(AND(E1477=1,E1476=1),J1476,""))</f>
        <v/>
      </c>
      <c r="K1477" s="32" t="str">
        <f t="shared" si="89"/>
        <v/>
      </c>
      <c r="L1477" s="32" t="str">
        <f t="shared" si="91"/>
        <v/>
      </c>
      <c r="M1477" s="32" t="str">
        <f t="shared" si="92"/>
        <v/>
      </c>
      <c r="N1477" s="4">
        <v>2</v>
      </c>
      <c r="O1477" s="58">
        <v>0</v>
      </c>
      <c r="P1477" s="58">
        <v>1</v>
      </c>
      <c r="Q1477" s="58">
        <v>0</v>
      </c>
      <c r="R1477" s="58">
        <v>0</v>
      </c>
      <c r="S1477" s="58">
        <v>0</v>
      </c>
      <c r="T1477" s="58">
        <v>0</v>
      </c>
      <c r="U1477" s="58">
        <v>0</v>
      </c>
      <c r="V1477" s="58">
        <v>0</v>
      </c>
      <c r="AG1477" t="s">
        <v>77</v>
      </c>
      <c r="AM1477" s="1" t="str">
        <f t="shared" si="90"/>
        <v>1475_C0013_2921.jpg</v>
      </c>
    </row>
    <row r="1478" spans="1:39" x14ac:dyDescent="0.35">
      <c r="A1478">
        <v>1474</v>
      </c>
      <c r="B1478">
        <v>1475</v>
      </c>
      <c r="F1478" s="64" t="s">
        <v>4691</v>
      </c>
      <c r="G1478" s="64"/>
      <c r="H1478" s="64"/>
      <c r="I1478" s="64">
        <v>1</v>
      </c>
      <c r="J1478" s="32" t="str">
        <f>IF(AND(E1478=1,OR(E1477=0,E1477="")),MAX(#REF!)+1,IF(AND(E1478=1,E1477=1),J1477,""))</f>
        <v/>
      </c>
      <c r="K1478" s="32" t="str">
        <f t="shared" si="89"/>
        <v/>
      </c>
      <c r="L1478" s="32" t="str">
        <f t="shared" si="91"/>
        <v/>
      </c>
      <c r="M1478" s="32" t="str">
        <f t="shared" si="92"/>
        <v/>
      </c>
      <c r="N1478" s="4">
        <v>2</v>
      </c>
      <c r="O1478" s="58">
        <v>0</v>
      </c>
      <c r="P1478" s="58">
        <v>1</v>
      </c>
      <c r="Q1478" s="58">
        <v>0</v>
      </c>
      <c r="R1478" s="58">
        <v>1</v>
      </c>
      <c r="S1478" s="58">
        <v>0</v>
      </c>
      <c r="T1478" s="58">
        <v>0</v>
      </c>
      <c r="U1478" s="58">
        <v>0</v>
      </c>
      <c r="V1478" s="58">
        <v>0</v>
      </c>
      <c r="AG1478" t="s">
        <v>77</v>
      </c>
      <c r="AM1478" s="1" t="str">
        <f t="shared" si="90"/>
        <v>1476_C0013_2919.jpg</v>
      </c>
    </row>
    <row r="1479" spans="1:39" x14ac:dyDescent="0.35">
      <c r="A1479">
        <v>1475</v>
      </c>
      <c r="B1479">
        <v>1476</v>
      </c>
      <c r="F1479" s="64" t="s">
        <v>4692</v>
      </c>
      <c r="G1479" s="64"/>
      <c r="H1479" s="64"/>
      <c r="I1479" s="64">
        <v>1</v>
      </c>
      <c r="J1479" s="32" t="str">
        <f>IF(AND(E1479=1,OR(E1478=0,E1478="")),MAX(#REF!)+1,IF(AND(E1479=1,E1478=1),J1478,""))</f>
        <v/>
      </c>
      <c r="K1479" s="32" t="str">
        <f t="shared" si="89"/>
        <v/>
      </c>
      <c r="L1479" s="32" t="str">
        <f t="shared" si="91"/>
        <v/>
      </c>
      <c r="M1479" s="32" t="str">
        <f t="shared" si="92"/>
        <v/>
      </c>
      <c r="N1479" s="4">
        <v>2</v>
      </c>
      <c r="O1479" s="58">
        <v>0</v>
      </c>
      <c r="P1479" s="58">
        <v>1</v>
      </c>
      <c r="Q1479" s="58">
        <v>0</v>
      </c>
      <c r="R1479" s="58">
        <v>0</v>
      </c>
      <c r="S1479" s="58">
        <v>0</v>
      </c>
      <c r="T1479" s="58">
        <v>0</v>
      </c>
      <c r="U1479" s="58">
        <v>0</v>
      </c>
      <c r="V1479" s="58">
        <v>0</v>
      </c>
      <c r="AG1479" t="s">
        <v>77</v>
      </c>
      <c r="AM1479" s="1" t="str">
        <f t="shared" si="90"/>
        <v>1477_C0013_2913.jpg</v>
      </c>
    </row>
    <row r="1480" spans="1:39" x14ac:dyDescent="0.35">
      <c r="A1480">
        <v>1476</v>
      </c>
      <c r="B1480">
        <v>1477</v>
      </c>
      <c r="F1480" s="64" t="s">
        <v>4693</v>
      </c>
      <c r="G1480" s="64"/>
      <c r="H1480" s="64"/>
      <c r="I1480" s="64">
        <v>1</v>
      </c>
      <c r="J1480" s="32" t="str">
        <f>IF(AND(E1480=1,OR(E1479=0,E1479="")),MAX(#REF!)+1,IF(AND(E1480=1,E1479=1),J1479,""))</f>
        <v/>
      </c>
      <c r="K1480" s="32" t="str">
        <f t="shared" si="89"/>
        <v/>
      </c>
      <c r="L1480" s="32" t="str">
        <f t="shared" si="91"/>
        <v/>
      </c>
      <c r="M1480" s="32" t="str">
        <f t="shared" si="92"/>
        <v/>
      </c>
      <c r="N1480" s="4">
        <v>2</v>
      </c>
      <c r="O1480" s="58">
        <v>0</v>
      </c>
      <c r="P1480" s="58">
        <v>1</v>
      </c>
      <c r="Q1480" s="58">
        <v>0</v>
      </c>
      <c r="R1480" s="58">
        <v>0</v>
      </c>
      <c r="S1480" s="58">
        <v>0</v>
      </c>
      <c r="T1480" s="58">
        <v>0</v>
      </c>
      <c r="U1480" s="58">
        <v>0</v>
      </c>
      <c r="V1480" s="58">
        <v>0</v>
      </c>
      <c r="AG1480" t="s">
        <v>77</v>
      </c>
      <c r="AM1480" s="1" t="str">
        <f t="shared" si="90"/>
        <v>1478_C0013_2909.jpg</v>
      </c>
    </row>
    <row r="1481" spans="1:39" x14ac:dyDescent="0.35">
      <c r="A1481">
        <v>1477</v>
      </c>
      <c r="B1481">
        <v>1478</v>
      </c>
      <c r="F1481" s="64" t="s">
        <v>4694</v>
      </c>
      <c r="G1481" s="64"/>
      <c r="H1481" s="64"/>
      <c r="I1481" s="64">
        <v>1</v>
      </c>
      <c r="J1481" s="32" t="str">
        <f>IF(AND(E1481=1,OR(E1480=0,E1480="")),MAX(#REF!)+1,IF(AND(E1481=1,E1480=1),J1480,""))</f>
        <v/>
      </c>
      <c r="K1481" s="32" t="str">
        <f t="shared" si="89"/>
        <v/>
      </c>
      <c r="L1481" s="32" t="str">
        <f t="shared" si="91"/>
        <v/>
      </c>
      <c r="M1481" s="32" t="str">
        <f t="shared" si="92"/>
        <v/>
      </c>
      <c r="N1481" s="4">
        <v>2</v>
      </c>
      <c r="O1481" s="58">
        <v>0</v>
      </c>
      <c r="P1481" s="58">
        <v>1</v>
      </c>
      <c r="Q1481" s="58">
        <v>2</v>
      </c>
      <c r="R1481" s="58">
        <v>0</v>
      </c>
      <c r="S1481" s="58">
        <v>0</v>
      </c>
      <c r="T1481" s="58">
        <v>0</v>
      </c>
      <c r="U1481" s="58">
        <v>0</v>
      </c>
      <c r="V1481" s="58" t="s">
        <v>6905</v>
      </c>
      <c r="AG1481" t="s">
        <v>77</v>
      </c>
      <c r="AM1481" s="1" t="str">
        <f t="shared" si="90"/>
        <v>1479_C0013_2904.jpg</v>
      </c>
    </row>
    <row r="1482" spans="1:39" x14ac:dyDescent="0.35">
      <c r="A1482">
        <v>1478</v>
      </c>
      <c r="B1482">
        <v>1479</v>
      </c>
      <c r="F1482" s="64" t="s">
        <v>4695</v>
      </c>
      <c r="G1482" s="64"/>
      <c r="H1482" s="64"/>
      <c r="I1482" s="64">
        <v>1</v>
      </c>
      <c r="J1482" s="32" t="str">
        <f>IF(AND(E1482=1,OR(E1481=0,E1481="")),MAX(#REF!)+1,IF(AND(E1482=1,E1481=1),J1481,""))</f>
        <v/>
      </c>
      <c r="K1482" s="32" t="str">
        <f t="shared" si="89"/>
        <v/>
      </c>
      <c r="L1482" s="32" t="str">
        <f t="shared" si="91"/>
        <v/>
      </c>
      <c r="M1482" s="32" t="str">
        <f t="shared" si="92"/>
        <v/>
      </c>
      <c r="N1482" s="4">
        <v>2</v>
      </c>
      <c r="O1482" s="58">
        <v>0</v>
      </c>
      <c r="P1482" s="58">
        <v>1</v>
      </c>
      <c r="Q1482" s="58">
        <v>2</v>
      </c>
      <c r="R1482" s="58">
        <v>0</v>
      </c>
      <c r="S1482" s="58">
        <v>0</v>
      </c>
      <c r="T1482" s="58">
        <v>0</v>
      </c>
      <c r="U1482" s="58">
        <v>0</v>
      </c>
      <c r="V1482" s="58">
        <v>0</v>
      </c>
      <c r="AG1482" t="s">
        <v>77</v>
      </c>
      <c r="AM1482" s="1" t="str">
        <f t="shared" si="90"/>
        <v>1480_C0013_2901.jpg</v>
      </c>
    </row>
    <row r="1483" spans="1:39" x14ac:dyDescent="0.35">
      <c r="A1483">
        <v>1479</v>
      </c>
      <c r="B1483">
        <v>1480</v>
      </c>
      <c r="F1483" s="64" t="s">
        <v>4696</v>
      </c>
      <c r="G1483" s="64"/>
      <c r="H1483" s="64"/>
      <c r="I1483" s="64">
        <v>1</v>
      </c>
      <c r="J1483" s="32" t="str">
        <f>IF(AND(E1483=1,OR(E1482=0,E1482="")),MAX(#REF!)+1,IF(AND(E1483=1,E1482=1),J1482,""))</f>
        <v/>
      </c>
      <c r="K1483" s="32" t="str">
        <f t="shared" si="89"/>
        <v/>
      </c>
      <c r="L1483" s="32" t="str">
        <f t="shared" si="91"/>
        <v/>
      </c>
      <c r="M1483" s="32" t="str">
        <f t="shared" si="92"/>
        <v/>
      </c>
      <c r="N1483" s="4">
        <v>2</v>
      </c>
      <c r="O1483" s="58">
        <v>0</v>
      </c>
      <c r="P1483" s="58">
        <v>1</v>
      </c>
      <c r="Q1483" s="58">
        <v>0</v>
      </c>
      <c r="R1483" s="58">
        <v>0</v>
      </c>
      <c r="S1483" s="58">
        <v>0</v>
      </c>
      <c r="T1483" s="58">
        <v>0</v>
      </c>
      <c r="U1483" s="58">
        <v>0</v>
      </c>
      <c r="V1483" s="58">
        <v>0</v>
      </c>
      <c r="AG1483" t="s">
        <v>77</v>
      </c>
      <c r="AM1483" s="1" t="str">
        <f t="shared" si="90"/>
        <v>1481_C0013_2898.jpg</v>
      </c>
    </row>
    <row r="1484" spans="1:39" x14ac:dyDescent="0.35">
      <c r="A1484">
        <v>1480</v>
      </c>
      <c r="B1484">
        <v>1481</v>
      </c>
      <c r="F1484" s="64" t="s">
        <v>4697</v>
      </c>
      <c r="G1484" s="64"/>
      <c r="H1484" s="64"/>
      <c r="I1484" s="64">
        <v>1</v>
      </c>
      <c r="J1484" s="32" t="str">
        <f>IF(AND(E1484=1,OR(E1483=0,E1483="")),MAX(#REF!)+1,IF(AND(E1484=1,E1483=1),J1483,""))</f>
        <v/>
      </c>
      <c r="K1484" s="32" t="str">
        <f t="shared" si="89"/>
        <v/>
      </c>
      <c r="L1484" s="32" t="str">
        <f t="shared" si="91"/>
        <v/>
      </c>
      <c r="M1484" s="32" t="str">
        <f t="shared" si="92"/>
        <v/>
      </c>
      <c r="N1484" s="4">
        <v>2</v>
      </c>
      <c r="O1484" s="58">
        <v>0</v>
      </c>
      <c r="P1484" s="58">
        <v>1</v>
      </c>
      <c r="Q1484" s="58">
        <v>0</v>
      </c>
      <c r="R1484" s="58">
        <v>0</v>
      </c>
      <c r="S1484" s="58">
        <v>0</v>
      </c>
      <c r="T1484" s="58">
        <v>0</v>
      </c>
      <c r="U1484" s="58">
        <v>0</v>
      </c>
      <c r="V1484" s="58">
        <v>0</v>
      </c>
      <c r="AG1484" t="s">
        <v>77</v>
      </c>
      <c r="AM1484" s="1" t="str">
        <f t="shared" si="90"/>
        <v>1482_C0013_2894.jpg</v>
      </c>
    </row>
    <row r="1485" spans="1:39" x14ac:dyDescent="0.35">
      <c r="A1485">
        <v>1481</v>
      </c>
      <c r="B1485">
        <v>1482</v>
      </c>
      <c r="F1485" s="64" t="s">
        <v>4698</v>
      </c>
      <c r="G1485" s="64"/>
      <c r="H1485" s="64"/>
      <c r="I1485" s="64">
        <v>0</v>
      </c>
      <c r="J1485" s="32" t="str">
        <f>IF(AND(E1485=1,OR(E1484=0,E1484="")),MAX(#REF!)+1,IF(AND(E1485=1,E1484=1),J1484,""))</f>
        <v/>
      </c>
      <c r="K1485" s="32" t="str">
        <f t="shared" si="89"/>
        <v/>
      </c>
      <c r="L1485" s="32" t="str">
        <f t="shared" si="91"/>
        <v/>
      </c>
      <c r="M1485" s="32" t="str">
        <f t="shared" si="92"/>
        <v/>
      </c>
      <c r="N1485" s="4">
        <v>3</v>
      </c>
      <c r="O1485" s="58">
        <v>0</v>
      </c>
      <c r="P1485" s="58">
        <v>1</v>
      </c>
      <c r="Q1485" s="58">
        <v>0</v>
      </c>
      <c r="R1485" s="58">
        <v>0</v>
      </c>
      <c r="S1485" s="58">
        <v>0</v>
      </c>
      <c r="T1485" s="58">
        <v>0</v>
      </c>
      <c r="U1485" s="58">
        <v>0</v>
      </c>
      <c r="V1485" s="58">
        <v>0</v>
      </c>
      <c r="AG1485" t="s">
        <v>77</v>
      </c>
      <c r="AM1485" s="1" t="str">
        <f t="shared" si="90"/>
        <v>1483_C0013_2890.jpg</v>
      </c>
    </row>
    <row r="1486" spans="1:39" x14ac:dyDescent="0.35">
      <c r="A1486">
        <v>1482</v>
      </c>
      <c r="B1486">
        <v>1483</v>
      </c>
      <c r="F1486" s="64" t="s">
        <v>4699</v>
      </c>
      <c r="G1486" s="64"/>
      <c r="H1486" s="64"/>
      <c r="I1486" s="64">
        <v>1</v>
      </c>
      <c r="J1486" s="32" t="str">
        <f>IF(AND(E1486=1,OR(E1485=0,E1485="")),MAX(#REF!)+1,IF(AND(E1486=1,E1485=1),J1485,""))</f>
        <v/>
      </c>
      <c r="K1486" s="32" t="str">
        <f t="shared" si="89"/>
        <v/>
      </c>
      <c r="L1486" s="32" t="str">
        <f t="shared" si="91"/>
        <v/>
      </c>
      <c r="M1486" s="32" t="str">
        <f t="shared" si="92"/>
        <v/>
      </c>
      <c r="N1486" s="4">
        <v>2</v>
      </c>
      <c r="O1486" s="58">
        <v>0</v>
      </c>
      <c r="P1486" s="58">
        <v>1</v>
      </c>
      <c r="Q1486" s="58">
        <v>0</v>
      </c>
      <c r="R1486" s="58">
        <v>0</v>
      </c>
      <c r="S1486" s="58">
        <v>0</v>
      </c>
      <c r="T1486" s="58">
        <v>0</v>
      </c>
      <c r="U1486" s="58">
        <v>0</v>
      </c>
      <c r="V1486" s="58">
        <v>0</v>
      </c>
      <c r="AG1486" t="s">
        <v>77</v>
      </c>
      <c r="AM1486" s="1" t="str">
        <f t="shared" si="90"/>
        <v>1484_C0013_2887.jpg</v>
      </c>
    </row>
    <row r="1487" spans="1:39" x14ac:dyDescent="0.35">
      <c r="A1487">
        <v>1483</v>
      </c>
      <c r="B1487">
        <v>1484</v>
      </c>
      <c r="F1487" s="64" t="s">
        <v>4700</v>
      </c>
      <c r="G1487" s="64"/>
      <c r="H1487" s="64"/>
      <c r="I1487" s="64">
        <v>0</v>
      </c>
      <c r="J1487" s="32" t="str">
        <f>IF(AND(E1487=1,OR(E1486=0,E1486="")),MAX(#REF!)+1,IF(AND(E1487=1,E1486=1),J1486,""))</f>
        <v/>
      </c>
      <c r="K1487" s="32" t="str">
        <f t="shared" si="89"/>
        <v/>
      </c>
      <c r="L1487" s="32" t="str">
        <f t="shared" si="91"/>
        <v/>
      </c>
      <c r="M1487" s="32" t="str">
        <f t="shared" si="92"/>
        <v/>
      </c>
      <c r="N1487" s="4">
        <v>3</v>
      </c>
      <c r="O1487" s="58">
        <v>1</v>
      </c>
      <c r="P1487" s="58">
        <v>1</v>
      </c>
      <c r="Q1487" s="58">
        <v>0</v>
      </c>
      <c r="R1487" s="58">
        <v>0</v>
      </c>
      <c r="S1487" s="58">
        <v>0</v>
      </c>
      <c r="T1487" s="58">
        <v>0</v>
      </c>
      <c r="U1487" s="58">
        <v>0</v>
      </c>
      <c r="V1487" s="58">
        <v>0</v>
      </c>
      <c r="AG1487" t="s">
        <v>77</v>
      </c>
      <c r="AM1487" s="1" t="str">
        <f t="shared" si="90"/>
        <v>1485_C0013_2882.jpg</v>
      </c>
    </row>
    <row r="1488" spans="1:39" x14ac:dyDescent="0.35">
      <c r="A1488">
        <v>1484</v>
      </c>
      <c r="B1488">
        <v>1485</v>
      </c>
      <c r="F1488" s="64" t="s">
        <v>4701</v>
      </c>
      <c r="G1488" s="64"/>
      <c r="H1488" s="64"/>
      <c r="I1488" s="64">
        <v>1</v>
      </c>
      <c r="J1488" s="32" t="str">
        <f>IF(AND(E1488=1,OR(E1487=0,E1487="")),MAX(#REF!)+1,IF(AND(E1488=1,E1487=1),J1487,""))</f>
        <v/>
      </c>
      <c r="K1488" s="32" t="str">
        <f t="shared" si="89"/>
        <v/>
      </c>
      <c r="L1488" s="32" t="str">
        <f t="shared" si="91"/>
        <v/>
      </c>
      <c r="M1488" s="32" t="str">
        <f t="shared" si="92"/>
        <v/>
      </c>
      <c r="N1488" s="4">
        <v>2</v>
      </c>
      <c r="O1488" s="58">
        <v>0</v>
      </c>
      <c r="P1488" s="58">
        <v>1</v>
      </c>
      <c r="Q1488" s="58">
        <v>1</v>
      </c>
      <c r="R1488" s="58">
        <v>0</v>
      </c>
      <c r="S1488" s="58">
        <v>0</v>
      </c>
      <c r="T1488" s="58">
        <v>0</v>
      </c>
      <c r="U1488" s="58">
        <v>0</v>
      </c>
      <c r="V1488" s="58">
        <v>0</v>
      </c>
      <c r="AG1488" t="s">
        <v>77</v>
      </c>
      <c r="AM1488" s="1" t="str">
        <f t="shared" si="90"/>
        <v>1486_C0013_2878.jpg</v>
      </c>
    </row>
    <row r="1489" spans="1:39" x14ac:dyDescent="0.35">
      <c r="A1489">
        <v>1485</v>
      </c>
      <c r="B1489">
        <v>1486</v>
      </c>
      <c r="F1489" s="64" t="s">
        <v>4702</v>
      </c>
      <c r="G1489" s="64"/>
      <c r="H1489" s="64"/>
      <c r="I1489" s="64">
        <v>1</v>
      </c>
      <c r="J1489" s="32" t="str">
        <f>IF(AND(E1489=1,OR(E1488=0,E1488="")),MAX(#REF!)+1,IF(AND(E1489=1,E1488=1),J1488,""))</f>
        <v/>
      </c>
      <c r="K1489" s="32" t="str">
        <f t="shared" si="89"/>
        <v/>
      </c>
      <c r="L1489" s="32" t="str">
        <f t="shared" si="91"/>
        <v/>
      </c>
      <c r="M1489" s="32" t="str">
        <f t="shared" si="92"/>
        <v/>
      </c>
      <c r="N1489" s="4">
        <v>2</v>
      </c>
      <c r="O1489" s="58">
        <v>0</v>
      </c>
      <c r="P1489" s="58">
        <v>1</v>
      </c>
      <c r="Q1489" s="58">
        <v>0</v>
      </c>
      <c r="R1489" s="58">
        <v>0</v>
      </c>
      <c r="S1489" s="58">
        <v>0</v>
      </c>
      <c r="T1489" s="58">
        <v>0</v>
      </c>
      <c r="U1489" s="58">
        <v>0</v>
      </c>
      <c r="V1489" s="58">
        <v>0</v>
      </c>
      <c r="AG1489" t="s">
        <v>77</v>
      </c>
      <c r="AM1489" s="1" t="str">
        <f t="shared" si="90"/>
        <v>1487_C0013_2875.jpg</v>
      </c>
    </row>
    <row r="1490" spans="1:39" x14ac:dyDescent="0.35">
      <c r="A1490">
        <v>1486</v>
      </c>
      <c r="B1490">
        <v>1487</v>
      </c>
      <c r="F1490" s="64" t="s">
        <v>4703</v>
      </c>
      <c r="G1490" s="64"/>
      <c r="H1490" s="64"/>
      <c r="I1490" s="64">
        <v>1</v>
      </c>
      <c r="J1490" s="32" t="str">
        <f>IF(AND(E1490=1,OR(E1489=0,E1489="")),MAX(#REF!)+1,IF(AND(E1490=1,E1489=1),J1489,""))</f>
        <v/>
      </c>
      <c r="K1490" s="32" t="str">
        <f t="shared" si="89"/>
        <v/>
      </c>
      <c r="L1490" s="32" t="str">
        <f t="shared" si="91"/>
        <v/>
      </c>
      <c r="M1490" s="32" t="str">
        <f t="shared" si="92"/>
        <v/>
      </c>
      <c r="N1490" s="4">
        <v>2</v>
      </c>
      <c r="O1490" s="58">
        <v>0</v>
      </c>
      <c r="P1490" s="58">
        <v>1</v>
      </c>
      <c r="Q1490" s="58">
        <v>0</v>
      </c>
      <c r="R1490" s="58">
        <v>0</v>
      </c>
      <c r="S1490" s="58">
        <v>0</v>
      </c>
      <c r="T1490" s="58">
        <v>0</v>
      </c>
      <c r="U1490" s="58">
        <v>0</v>
      </c>
      <c r="V1490" s="58">
        <v>0</v>
      </c>
      <c r="AG1490" t="s">
        <v>77</v>
      </c>
      <c r="AM1490" s="1" t="str">
        <f t="shared" si="90"/>
        <v>1488_C0013_2871.jpg</v>
      </c>
    </row>
    <row r="1491" spans="1:39" x14ac:dyDescent="0.35">
      <c r="A1491">
        <v>1487</v>
      </c>
      <c r="B1491">
        <v>1488</v>
      </c>
      <c r="F1491" s="64" t="s">
        <v>4704</v>
      </c>
      <c r="G1491" s="64"/>
      <c r="H1491" s="64"/>
      <c r="I1491" s="64">
        <v>1</v>
      </c>
      <c r="J1491" s="32" t="str">
        <f>IF(AND(E1491=1,OR(E1490=0,E1490="")),MAX(#REF!)+1,IF(AND(E1491=1,E1490=1),J1490,""))</f>
        <v/>
      </c>
      <c r="K1491" s="32" t="str">
        <f t="shared" si="89"/>
        <v/>
      </c>
      <c r="L1491" s="32" t="str">
        <f t="shared" si="91"/>
        <v/>
      </c>
      <c r="M1491" s="32" t="str">
        <f t="shared" si="92"/>
        <v/>
      </c>
      <c r="N1491" s="4">
        <v>2</v>
      </c>
      <c r="O1491" s="58">
        <v>0</v>
      </c>
      <c r="P1491" s="58">
        <v>1</v>
      </c>
      <c r="Q1491" s="58">
        <v>0</v>
      </c>
      <c r="R1491" s="58">
        <v>0</v>
      </c>
      <c r="S1491" s="58">
        <v>0</v>
      </c>
      <c r="T1491" s="58">
        <v>0</v>
      </c>
      <c r="U1491" s="58">
        <v>0</v>
      </c>
      <c r="V1491" s="58">
        <v>0</v>
      </c>
      <c r="AG1491" t="s">
        <v>77</v>
      </c>
      <c r="AM1491" s="1" t="str">
        <f t="shared" si="90"/>
        <v>1489_C0013_2868.jpg</v>
      </c>
    </row>
    <row r="1492" spans="1:39" x14ac:dyDescent="0.35">
      <c r="A1492">
        <v>1488</v>
      </c>
      <c r="B1492">
        <v>1489</v>
      </c>
      <c r="F1492" s="64" t="s">
        <v>4705</v>
      </c>
      <c r="G1492" s="64"/>
      <c r="H1492" s="64"/>
      <c r="I1492" s="64">
        <v>1</v>
      </c>
      <c r="J1492" s="32" t="str">
        <f>IF(AND(E1492=1,OR(E1491=0,E1491="")),MAX(#REF!)+1,IF(AND(E1492=1,E1491=1),J1491,""))</f>
        <v/>
      </c>
      <c r="K1492" s="32" t="str">
        <f t="shared" si="89"/>
        <v/>
      </c>
      <c r="L1492" s="32" t="str">
        <f t="shared" si="91"/>
        <v/>
      </c>
      <c r="M1492" s="32" t="str">
        <f t="shared" si="92"/>
        <v/>
      </c>
      <c r="N1492" s="4">
        <v>2</v>
      </c>
      <c r="O1492" s="58">
        <v>0</v>
      </c>
      <c r="P1492" s="58">
        <v>1</v>
      </c>
      <c r="Q1492" s="58">
        <v>0</v>
      </c>
      <c r="R1492" s="58">
        <v>0</v>
      </c>
      <c r="S1492" s="58">
        <v>0</v>
      </c>
      <c r="T1492" s="58">
        <v>0</v>
      </c>
      <c r="U1492" s="58">
        <v>0</v>
      </c>
      <c r="V1492" s="58">
        <v>0</v>
      </c>
      <c r="AG1492" t="s">
        <v>77</v>
      </c>
      <c r="AM1492" s="1" t="str">
        <f t="shared" ref="AM1492:AM1523" si="93">HYPERLINK("E:\CAFNEC_GBRF\2023\JohnstoneRiver\Frames_for_Analysis\" &amp; F1493, F1493)</f>
        <v>1490_C0013_2865.jpg</v>
      </c>
    </row>
    <row r="1493" spans="1:39" x14ac:dyDescent="0.35">
      <c r="A1493">
        <v>1489</v>
      </c>
      <c r="B1493">
        <v>1490</v>
      </c>
      <c r="F1493" s="64" t="s">
        <v>4706</v>
      </c>
      <c r="G1493" s="64"/>
      <c r="H1493" s="64"/>
      <c r="I1493" s="64">
        <v>1</v>
      </c>
      <c r="J1493" s="32" t="str">
        <f>IF(AND(E1493=1,OR(E1492=0,E1492="")),MAX(#REF!)+1,IF(AND(E1493=1,E1492=1),J1492,""))</f>
        <v/>
      </c>
      <c r="K1493" s="32" t="str">
        <f t="shared" si="89"/>
        <v/>
      </c>
      <c r="L1493" s="32" t="str">
        <f t="shared" si="91"/>
        <v/>
      </c>
      <c r="M1493" s="32" t="str">
        <f t="shared" si="92"/>
        <v/>
      </c>
      <c r="N1493" s="4">
        <v>2</v>
      </c>
      <c r="O1493" s="58">
        <v>0</v>
      </c>
      <c r="P1493" s="58">
        <v>1</v>
      </c>
      <c r="Q1493" s="58">
        <v>0</v>
      </c>
      <c r="R1493" s="58">
        <v>0</v>
      </c>
      <c r="S1493" s="58">
        <v>0</v>
      </c>
      <c r="T1493" s="58">
        <v>0</v>
      </c>
      <c r="U1493" s="58">
        <v>0</v>
      </c>
      <c r="V1493" s="58">
        <v>0</v>
      </c>
      <c r="AG1493" t="s">
        <v>77</v>
      </c>
      <c r="AM1493" s="1" t="str">
        <f t="shared" si="93"/>
        <v>1491_C0013_2862.jpg</v>
      </c>
    </row>
    <row r="1494" spans="1:39" x14ac:dyDescent="0.35">
      <c r="A1494">
        <v>1490</v>
      </c>
      <c r="B1494">
        <v>1491</v>
      </c>
      <c r="F1494" s="64" t="s">
        <v>4707</v>
      </c>
      <c r="G1494" s="64"/>
      <c r="H1494" s="64"/>
      <c r="I1494" s="64">
        <v>1</v>
      </c>
      <c r="J1494" s="32" t="str">
        <f>IF(AND(E1494=1,OR(E1493=0,E1493="")),MAX(#REF!)+1,IF(AND(E1494=1,E1493=1),J1493,""))</f>
        <v/>
      </c>
      <c r="K1494" s="32" t="str">
        <f t="shared" si="89"/>
        <v/>
      </c>
      <c r="L1494" s="32" t="str">
        <f t="shared" si="91"/>
        <v/>
      </c>
      <c r="M1494" s="32" t="str">
        <f t="shared" si="92"/>
        <v/>
      </c>
      <c r="N1494" s="4">
        <v>2</v>
      </c>
      <c r="O1494" s="58">
        <v>0</v>
      </c>
      <c r="P1494" s="58">
        <v>1</v>
      </c>
      <c r="Q1494" s="58">
        <v>0</v>
      </c>
      <c r="R1494" s="58">
        <v>0</v>
      </c>
      <c r="S1494" s="58">
        <v>0</v>
      </c>
      <c r="T1494" s="58">
        <v>0</v>
      </c>
      <c r="U1494" s="58">
        <v>0</v>
      </c>
      <c r="V1494" s="58">
        <v>0</v>
      </c>
      <c r="AG1494" t="s">
        <v>77</v>
      </c>
      <c r="AM1494" s="1" t="str">
        <f t="shared" si="93"/>
        <v>1492_C0013_2859.jpg</v>
      </c>
    </row>
    <row r="1495" spans="1:39" x14ac:dyDescent="0.35">
      <c r="A1495">
        <v>1491</v>
      </c>
      <c r="B1495">
        <v>1492</v>
      </c>
      <c r="F1495" s="64" t="s">
        <v>4708</v>
      </c>
      <c r="G1495" s="64"/>
      <c r="H1495" s="64"/>
      <c r="I1495" s="64">
        <v>1</v>
      </c>
      <c r="J1495" s="32" t="str">
        <f>IF(AND(E1495=1,OR(E1494=0,E1494="")),MAX(#REF!)+1,IF(AND(E1495=1,E1494=1),J1494,""))</f>
        <v/>
      </c>
      <c r="K1495" s="32" t="str">
        <f t="shared" si="89"/>
        <v/>
      </c>
      <c r="L1495" s="32" t="str">
        <f t="shared" si="91"/>
        <v/>
      </c>
      <c r="M1495" s="32" t="str">
        <f t="shared" si="92"/>
        <v/>
      </c>
      <c r="N1495" s="4">
        <v>2</v>
      </c>
      <c r="O1495" s="58">
        <v>0</v>
      </c>
      <c r="P1495" s="58">
        <v>1</v>
      </c>
      <c r="Q1495" s="58">
        <v>0</v>
      </c>
      <c r="R1495" s="58">
        <v>1</v>
      </c>
      <c r="S1495" s="58">
        <v>0</v>
      </c>
      <c r="T1495" s="58">
        <v>0</v>
      </c>
      <c r="U1495" s="58">
        <v>0</v>
      </c>
      <c r="V1495" s="58">
        <v>0</v>
      </c>
      <c r="AG1495" t="s">
        <v>77</v>
      </c>
      <c r="AM1495" s="1" t="str">
        <f t="shared" si="93"/>
        <v>1493_C0013_2855.jpg</v>
      </c>
    </row>
    <row r="1496" spans="1:39" x14ac:dyDescent="0.35">
      <c r="A1496">
        <v>1492</v>
      </c>
      <c r="B1496">
        <v>1493</v>
      </c>
      <c r="F1496" s="64" t="s">
        <v>4709</v>
      </c>
      <c r="G1496" s="64"/>
      <c r="H1496" s="64"/>
      <c r="I1496" s="64">
        <v>1</v>
      </c>
      <c r="J1496" s="32" t="str">
        <f>IF(AND(E1496=1,OR(E1495=0,E1495="")),MAX(#REF!)+1,IF(AND(E1496=1,E1495=1),J1495,""))</f>
        <v/>
      </c>
      <c r="K1496" s="32" t="str">
        <f t="shared" si="89"/>
        <v/>
      </c>
      <c r="L1496" s="32" t="str">
        <f t="shared" si="91"/>
        <v/>
      </c>
      <c r="M1496" s="32" t="str">
        <f t="shared" si="92"/>
        <v/>
      </c>
      <c r="N1496" s="4">
        <v>2</v>
      </c>
      <c r="O1496" s="58">
        <v>0</v>
      </c>
      <c r="P1496" s="58">
        <v>1</v>
      </c>
      <c r="Q1496" s="58">
        <v>0</v>
      </c>
      <c r="R1496" s="58">
        <v>0</v>
      </c>
      <c r="S1496" s="58">
        <v>0</v>
      </c>
      <c r="T1496" s="58">
        <v>0</v>
      </c>
      <c r="U1496" s="58">
        <v>0</v>
      </c>
      <c r="V1496" s="58">
        <v>0</v>
      </c>
      <c r="AG1496" t="s">
        <v>77</v>
      </c>
      <c r="AM1496" s="1" t="str">
        <f t="shared" si="93"/>
        <v>1494_C0013_2852.jpg</v>
      </c>
    </row>
    <row r="1497" spans="1:39" x14ac:dyDescent="0.35">
      <c r="A1497">
        <v>1493</v>
      </c>
      <c r="B1497">
        <v>1494</v>
      </c>
      <c r="F1497" s="64" t="s">
        <v>4710</v>
      </c>
      <c r="G1497" s="64"/>
      <c r="H1497" s="64"/>
      <c r="I1497" s="64">
        <v>1</v>
      </c>
      <c r="J1497" s="32" t="str">
        <f>IF(AND(E1497=1,OR(E1496=0,E1496="")),MAX(#REF!)+1,IF(AND(E1497=1,E1496=1),J1496,""))</f>
        <v/>
      </c>
      <c r="K1497" s="32" t="str">
        <f t="shared" si="89"/>
        <v/>
      </c>
      <c r="L1497" s="32" t="str">
        <f t="shared" si="91"/>
        <v/>
      </c>
      <c r="M1497" s="32" t="str">
        <f t="shared" si="92"/>
        <v/>
      </c>
      <c r="N1497" s="4">
        <v>2</v>
      </c>
      <c r="O1497" s="58">
        <v>0</v>
      </c>
      <c r="P1497" s="58">
        <v>1</v>
      </c>
      <c r="Q1497" s="58">
        <v>0</v>
      </c>
      <c r="R1497" s="58">
        <v>0</v>
      </c>
      <c r="S1497" s="58">
        <v>0</v>
      </c>
      <c r="T1497" s="58">
        <v>0</v>
      </c>
      <c r="U1497" s="58">
        <v>0</v>
      </c>
      <c r="V1497" s="58">
        <v>0</v>
      </c>
      <c r="AG1497" t="s">
        <v>77</v>
      </c>
      <c r="AM1497" s="1" t="str">
        <f t="shared" si="93"/>
        <v>1495_C0013_2849.jpg</v>
      </c>
    </row>
    <row r="1498" spans="1:39" x14ac:dyDescent="0.35">
      <c r="A1498">
        <v>1494</v>
      </c>
      <c r="B1498">
        <v>1495</v>
      </c>
      <c r="F1498" s="64" t="s">
        <v>4711</v>
      </c>
      <c r="G1498" s="64"/>
      <c r="H1498" s="64"/>
      <c r="I1498" s="64">
        <v>1</v>
      </c>
      <c r="J1498" s="32" t="str">
        <f>IF(AND(E1498=1,OR(E1497=0,E1497="")),MAX(#REF!)+1,IF(AND(E1498=1,E1497=1),J1497,""))</f>
        <v/>
      </c>
      <c r="K1498" s="32" t="str">
        <f t="shared" si="89"/>
        <v/>
      </c>
      <c r="L1498" s="32" t="str">
        <f t="shared" si="91"/>
        <v/>
      </c>
      <c r="M1498" s="32" t="str">
        <f t="shared" si="92"/>
        <v/>
      </c>
      <c r="N1498" s="4">
        <v>2</v>
      </c>
      <c r="O1498" s="58">
        <v>0</v>
      </c>
      <c r="P1498" s="58">
        <v>1</v>
      </c>
      <c r="Q1498" s="58">
        <v>0</v>
      </c>
      <c r="R1498" s="58">
        <v>0</v>
      </c>
      <c r="S1498" s="58">
        <v>0</v>
      </c>
      <c r="T1498" s="58">
        <v>0</v>
      </c>
      <c r="U1498" s="58">
        <v>0</v>
      </c>
      <c r="V1498" s="58">
        <v>0</v>
      </c>
      <c r="AG1498" t="s">
        <v>77</v>
      </c>
      <c r="AM1498" s="1" t="str">
        <f t="shared" si="93"/>
        <v>1496_C0013_2846.jpg</v>
      </c>
    </row>
    <row r="1499" spans="1:39" x14ac:dyDescent="0.35">
      <c r="A1499">
        <v>1495</v>
      </c>
      <c r="B1499">
        <v>1496</v>
      </c>
      <c r="F1499" s="64" t="s">
        <v>4712</v>
      </c>
      <c r="G1499" s="64"/>
      <c r="H1499" s="64"/>
      <c r="I1499" s="64">
        <v>1</v>
      </c>
      <c r="J1499" s="32" t="str">
        <f>IF(AND(E1499=1,OR(E1498=0,E1498="")),MAX(#REF!)+1,IF(AND(E1499=1,E1498=1),J1498,""))</f>
        <v/>
      </c>
      <c r="K1499" s="32" t="str">
        <f t="shared" si="89"/>
        <v/>
      </c>
      <c r="L1499" s="32" t="str">
        <f t="shared" si="91"/>
        <v/>
      </c>
      <c r="M1499" s="32" t="str">
        <f t="shared" si="92"/>
        <v/>
      </c>
      <c r="N1499" s="4">
        <v>2</v>
      </c>
      <c r="O1499" s="58">
        <v>0</v>
      </c>
      <c r="P1499" s="58">
        <v>1</v>
      </c>
      <c r="Q1499" s="58">
        <v>0</v>
      </c>
      <c r="R1499" s="58">
        <v>0</v>
      </c>
      <c r="S1499" s="58">
        <v>0</v>
      </c>
      <c r="T1499" s="58">
        <v>0</v>
      </c>
      <c r="U1499" s="58">
        <v>0</v>
      </c>
      <c r="V1499" s="58">
        <v>0</v>
      </c>
      <c r="AG1499" t="s">
        <v>77</v>
      </c>
      <c r="AM1499" s="1" t="str">
        <f t="shared" si="93"/>
        <v>1497_C0013_2842.jpg</v>
      </c>
    </row>
    <row r="1500" spans="1:39" x14ac:dyDescent="0.35">
      <c r="A1500">
        <v>1496</v>
      </c>
      <c r="B1500">
        <v>1497</v>
      </c>
      <c r="F1500" s="64" t="s">
        <v>4713</v>
      </c>
      <c r="G1500" s="64"/>
      <c r="H1500" s="64"/>
      <c r="I1500" s="64">
        <v>1</v>
      </c>
      <c r="J1500" s="32" t="str">
        <f>IF(AND(E1500=1,OR(E1499=0,E1499="")),MAX(#REF!)+1,IF(AND(E1500=1,E1499=1),J1499,""))</f>
        <v/>
      </c>
      <c r="K1500" s="32" t="str">
        <f t="shared" si="89"/>
        <v/>
      </c>
      <c r="L1500" s="32" t="str">
        <f t="shared" si="91"/>
        <v/>
      </c>
      <c r="M1500" s="32" t="str">
        <f t="shared" si="92"/>
        <v/>
      </c>
      <c r="N1500" s="4">
        <v>2</v>
      </c>
      <c r="O1500" s="58">
        <v>0</v>
      </c>
      <c r="P1500" s="58">
        <v>1</v>
      </c>
      <c r="Q1500" s="58">
        <v>0</v>
      </c>
      <c r="R1500" s="58">
        <v>0</v>
      </c>
      <c r="S1500" s="58">
        <v>0</v>
      </c>
      <c r="T1500" s="58">
        <v>0</v>
      </c>
      <c r="U1500" s="58">
        <v>0</v>
      </c>
      <c r="V1500" s="58">
        <v>0</v>
      </c>
      <c r="AG1500" t="s">
        <v>77</v>
      </c>
      <c r="AM1500" s="1" t="str">
        <f t="shared" si="93"/>
        <v>1498_C0013_2839.jpg</v>
      </c>
    </row>
    <row r="1501" spans="1:39" x14ac:dyDescent="0.35">
      <c r="A1501">
        <v>1497</v>
      </c>
      <c r="B1501">
        <v>1498</v>
      </c>
      <c r="F1501" s="64" t="s">
        <v>4714</v>
      </c>
      <c r="G1501" s="64"/>
      <c r="H1501" s="64"/>
      <c r="I1501" s="64">
        <v>1</v>
      </c>
      <c r="J1501" s="32" t="str">
        <f>IF(AND(E1501=1,OR(E1500=0,E1500="")),MAX(#REF!)+1,IF(AND(E1501=1,E1500=1),J1500,""))</f>
        <v/>
      </c>
      <c r="K1501" s="32" t="str">
        <f t="shared" si="89"/>
        <v/>
      </c>
      <c r="L1501" s="32" t="str">
        <f t="shared" si="91"/>
        <v/>
      </c>
      <c r="M1501" s="32" t="str">
        <f t="shared" si="92"/>
        <v/>
      </c>
      <c r="N1501" s="4">
        <v>2</v>
      </c>
      <c r="O1501" s="58">
        <v>0</v>
      </c>
      <c r="P1501" s="58">
        <v>1</v>
      </c>
      <c r="Q1501" s="58">
        <v>0</v>
      </c>
      <c r="R1501" s="58">
        <v>0</v>
      </c>
      <c r="S1501" s="58">
        <v>0</v>
      </c>
      <c r="T1501" s="58">
        <v>0</v>
      </c>
      <c r="U1501" s="58">
        <v>0</v>
      </c>
      <c r="V1501" s="58">
        <v>0</v>
      </c>
      <c r="AG1501" t="s">
        <v>77</v>
      </c>
      <c r="AM1501" s="1" t="str">
        <f t="shared" si="93"/>
        <v>1499_C0013_2836.jpg</v>
      </c>
    </row>
    <row r="1502" spans="1:39" x14ac:dyDescent="0.35">
      <c r="A1502">
        <v>1498</v>
      </c>
      <c r="B1502">
        <v>1499</v>
      </c>
      <c r="F1502" s="64" t="s">
        <v>4715</v>
      </c>
      <c r="G1502" s="64"/>
      <c r="H1502" s="64"/>
      <c r="I1502" s="64">
        <v>1</v>
      </c>
      <c r="J1502" s="32" t="str">
        <f>IF(AND(E1502=1,OR(E1501=0,E1501="")),MAX(#REF!)+1,IF(AND(E1502=1,E1501=1),J1501,""))</f>
        <v/>
      </c>
      <c r="K1502" s="32" t="str">
        <f t="shared" si="89"/>
        <v/>
      </c>
      <c r="L1502" s="32" t="str">
        <f t="shared" si="91"/>
        <v/>
      </c>
      <c r="M1502" s="32" t="str">
        <f t="shared" si="92"/>
        <v/>
      </c>
      <c r="N1502" s="4">
        <v>2</v>
      </c>
      <c r="O1502" s="58">
        <v>0</v>
      </c>
      <c r="P1502" s="58">
        <v>1</v>
      </c>
      <c r="Q1502" s="58">
        <v>0</v>
      </c>
      <c r="R1502" s="58">
        <v>0</v>
      </c>
      <c r="S1502" s="58">
        <v>0</v>
      </c>
      <c r="T1502" s="58">
        <v>0</v>
      </c>
      <c r="U1502" s="58">
        <v>0</v>
      </c>
      <c r="V1502" s="58">
        <v>0</v>
      </c>
      <c r="AG1502" t="s">
        <v>77</v>
      </c>
      <c r="AM1502" s="1" t="str">
        <f t="shared" si="93"/>
        <v>1500_C0013_2832.jpg</v>
      </c>
    </row>
    <row r="1503" spans="1:39" x14ac:dyDescent="0.35">
      <c r="A1503">
        <v>1499</v>
      </c>
      <c r="B1503">
        <v>1500</v>
      </c>
      <c r="F1503" s="64" t="s">
        <v>4716</v>
      </c>
      <c r="G1503" s="64"/>
      <c r="H1503" s="64"/>
      <c r="I1503" s="64">
        <v>1</v>
      </c>
      <c r="J1503" s="32" t="str">
        <f>IF(AND(E1503=1,OR(E1502=0,E1502="")),MAX(#REF!)+1,IF(AND(E1503=1,E1502=1),J1502,""))</f>
        <v/>
      </c>
      <c r="K1503" s="32" t="str">
        <f t="shared" ref="K1503:K1566" si="94">IF(J1503="","",COUNTIF(J:J,J1503)*10)</f>
        <v/>
      </c>
      <c r="L1503" s="32" t="str">
        <f t="shared" si="91"/>
        <v/>
      </c>
      <c r="M1503" s="32" t="str">
        <f t="shared" si="92"/>
        <v/>
      </c>
      <c r="N1503" s="4">
        <v>2</v>
      </c>
      <c r="O1503" s="58">
        <v>0</v>
      </c>
      <c r="P1503" s="58">
        <v>1</v>
      </c>
      <c r="Q1503" s="58">
        <v>0</v>
      </c>
      <c r="R1503" s="58">
        <v>0</v>
      </c>
      <c r="S1503" s="58">
        <v>0</v>
      </c>
      <c r="T1503" s="58">
        <v>0</v>
      </c>
      <c r="U1503" s="58">
        <v>0</v>
      </c>
      <c r="V1503" s="58">
        <v>0</v>
      </c>
      <c r="AG1503" t="s">
        <v>77</v>
      </c>
      <c r="AM1503" s="1" t="str">
        <f t="shared" si="93"/>
        <v>1501_C0013_2829.jpg</v>
      </c>
    </row>
    <row r="1504" spans="1:39" x14ac:dyDescent="0.35">
      <c r="A1504">
        <v>1500</v>
      </c>
      <c r="B1504">
        <v>1501</v>
      </c>
      <c r="F1504" s="64" t="s">
        <v>4717</v>
      </c>
      <c r="G1504" s="64"/>
      <c r="H1504" s="64"/>
      <c r="I1504" s="64">
        <v>1</v>
      </c>
      <c r="J1504" s="32" t="str">
        <f>IF(AND(E1504=1,OR(E1503=0,E1503="")),MAX(#REF!)+1,IF(AND(E1504=1,E1503=1),J1503,""))</f>
        <v/>
      </c>
      <c r="K1504" s="32" t="str">
        <f t="shared" si="94"/>
        <v/>
      </c>
      <c r="L1504" s="32" t="str">
        <f t="shared" si="91"/>
        <v/>
      </c>
      <c r="M1504" s="32" t="str">
        <f t="shared" si="92"/>
        <v/>
      </c>
      <c r="N1504" s="4">
        <v>2</v>
      </c>
      <c r="O1504" s="58">
        <v>0</v>
      </c>
      <c r="P1504" s="58">
        <v>1</v>
      </c>
      <c r="Q1504" s="58">
        <v>0</v>
      </c>
      <c r="R1504" s="58">
        <v>0</v>
      </c>
      <c r="S1504" s="58">
        <v>0</v>
      </c>
      <c r="T1504" s="58">
        <v>0</v>
      </c>
      <c r="U1504" s="58">
        <v>0</v>
      </c>
      <c r="V1504" s="58">
        <v>0</v>
      </c>
      <c r="AG1504" t="s">
        <v>77</v>
      </c>
      <c r="AM1504" s="1" t="str">
        <f t="shared" si="93"/>
        <v>1502_C0013_2826.jpg</v>
      </c>
    </row>
    <row r="1505" spans="1:39" x14ac:dyDescent="0.35">
      <c r="A1505">
        <v>1501</v>
      </c>
      <c r="B1505">
        <v>1502</v>
      </c>
      <c r="F1505" s="64" t="s">
        <v>4718</v>
      </c>
      <c r="G1505" s="64"/>
      <c r="H1505" s="64"/>
      <c r="I1505" s="64">
        <v>1</v>
      </c>
      <c r="J1505" s="32" t="str">
        <f>IF(AND(E1505=1,OR(E1504=0,E1504="")),MAX(#REF!)+1,IF(AND(E1505=1,E1504=1),J1504,""))</f>
        <v/>
      </c>
      <c r="K1505" s="32" t="str">
        <f t="shared" si="94"/>
        <v/>
      </c>
      <c r="L1505" s="32" t="str">
        <f t="shared" si="91"/>
        <v/>
      </c>
      <c r="M1505" s="32" t="str">
        <f t="shared" si="92"/>
        <v/>
      </c>
      <c r="N1505" s="4">
        <v>2</v>
      </c>
      <c r="O1505" s="58">
        <v>0</v>
      </c>
      <c r="P1505" s="58">
        <v>1</v>
      </c>
      <c r="Q1505" s="58">
        <v>0</v>
      </c>
      <c r="R1505" s="58">
        <v>0</v>
      </c>
      <c r="S1505" s="58">
        <v>0</v>
      </c>
      <c r="T1505" s="58">
        <v>0</v>
      </c>
      <c r="U1505" s="58">
        <v>0</v>
      </c>
      <c r="V1505" s="58">
        <v>0</v>
      </c>
      <c r="AG1505" t="s">
        <v>77</v>
      </c>
      <c r="AM1505" s="1" t="str">
        <f t="shared" si="93"/>
        <v>1503_C0013_2823.jpg</v>
      </c>
    </row>
    <row r="1506" spans="1:39" x14ac:dyDescent="0.35">
      <c r="A1506">
        <v>1502</v>
      </c>
      <c r="B1506">
        <v>1503</v>
      </c>
      <c r="F1506" s="64" t="s">
        <v>4719</v>
      </c>
      <c r="G1506" s="64"/>
      <c r="H1506" s="64"/>
      <c r="I1506" s="64">
        <v>1</v>
      </c>
      <c r="J1506" s="32" t="str">
        <f>IF(AND(E1506=1,OR(E1505=0,E1505="")),MAX(#REF!)+1,IF(AND(E1506=1,E1505=1),J1505,""))</f>
        <v/>
      </c>
      <c r="K1506" s="32" t="str">
        <f t="shared" si="94"/>
        <v/>
      </c>
      <c r="L1506" s="32" t="str">
        <f t="shared" si="91"/>
        <v/>
      </c>
      <c r="M1506" s="32" t="str">
        <f t="shared" si="92"/>
        <v/>
      </c>
      <c r="N1506" s="4">
        <v>2</v>
      </c>
      <c r="O1506" s="58">
        <v>0</v>
      </c>
      <c r="P1506" s="58">
        <v>1</v>
      </c>
      <c r="Q1506" s="58">
        <v>0</v>
      </c>
      <c r="R1506" s="58">
        <v>0</v>
      </c>
      <c r="S1506" s="58">
        <v>0</v>
      </c>
      <c r="T1506" s="58">
        <v>0</v>
      </c>
      <c r="U1506" s="58">
        <v>0</v>
      </c>
      <c r="V1506" s="58">
        <v>0</v>
      </c>
      <c r="AG1506" t="s">
        <v>77</v>
      </c>
      <c r="AM1506" s="1" t="str">
        <f t="shared" si="93"/>
        <v>1504_C0013_2819.jpg</v>
      </c>
    </row>
    <row r="1507" spans="1:39" x14ac:dyDescent="0.35">
      <c r="A1507">
        <v>1503</v>
      </c>
      <c r="B1507">
        <v>1504</v>
      </c>
      <c r="F1507" s="64" t="s">
        <v>4720</v>
      </c>
      <c r="G1507" s="64"/>
      <c r="H1507" s="64"/>
      <c r="I1507" s="64">
        <v>1</v>
      </c>
      <c r="J1507" s="32" t="str">
        <f>IF(AND(E1507=1,OR(E1506=0,E1506="")),MAX(#REF!)+1,IF(AND(E1507=1,E1506=1),J1506,""))</f>
        <v/>
      </c>
      <c r="K1507" s="32" t="str">
        <f t="shared" si="94"/>
        <v/>
      </c>
      <c r="L1507" s="32" t="str">
        <f t="shared" si="91"/>
        <v/>
      </c>
      <c r="M1507" s="32" t="str">
        <f t="shared" si="92"/>
        <v/>
      </c>
      <c r="N1507" s="4">
        <v>2</v>
      </c>
      <c r="O1507" s="58">
        <v>1</v>
      </c>
      <c r="P1507" s="58">
        <v>1</v>
      </c>
      <c r="Q1507" s="58">
        <v>0</v>
      </c>
      <c r="R1507" s="58">
        <v>0</v>
      </c>
      <c r="S1507" s="58">
        <v>0</v>
      </c>
      <c r="T1507" s="58">
        <v>0</v>
      </c>
      <c r="U1507" s="58">
        <v>0</v>
      </c>
      <c r="V1507" s="58">
        <v>0</v>
      </c>
      <c r="AG1507" t="s">
        <v>77</v>
      </c>
      <c r="AM1507" s="1" t="str">
        <f t="shared" si="93"/>
        <v>1505_C0013_2817.jpg</v>
      </c>
    </row>
    <row r="1508" spans="1:39" x14ac:dyDescent="0.35">
      <c r="A1508">
        <v>1504</v>
      </c>
      <c r="B1508">
        <v>1505</v>
      </c>
      <c r="F1508" s="64" t="s">
        <v>4721</v>
      </c>
      <c r="G1508" s="64"/>
      <c r="H1508" s="64"/>
      <c r="I1508" s="64">
        <v>0</v>
      </c>
      <c r="J1508" s="32" t="str">
        <f>IF(AND(E1508=1,OR(E1507=0,E1507="")),MAX(#REF!)+1,IF(AND(E1508=1,E1507=1),J1507,""))</f>
        <v/>
      </c>
      <c r="K1508" s="32" t="str">
        <f t="shared" si="94"/>
        <v/>
      </c>
      <c r="L1508" s="32" t="str">
        <f t="shared" si="91"/>
        <v/>
      </c>
      <c r="M1508" s="32" t="str">
        <f t="shared" si="92"/>
        <v/>
      </c>
      <c r="N1508" s="4">
        <v>2</v>
      </c>
      <c r="O1508" s="58">
        <v>0</v>
      </c>
      <c r="P1508" s="58">
        <v>1</v>
      </c>
      <c r="Q1508" s="58">
        <v>0</v>
      </c>
      <c r="R1508" s="58">
        <v>1</v>
      </c>
      <c r="S1508" s="58">
        <v>0</v>
      </c>
      <c r="T1508" s="58">
        <v>0</v>
      </c>
      <c r="U1508" s="58">
        <v>0</v>
      </c>
      <c r="V1508" s="58">
        <v>0</v>
      </c>
      <c r="AG1508" t="s">
        <v>77</v>
      </c>
      <c r="AM1508" s="1" t="str">
        <f t="shared" si="93"/>
        <v>1506_C0013_2813.jpg</v>
      </c>
    </row>
    <row r="1509" spans="1:39" x14ac:dyDescent="0.35">
      <c r="A1509">
        <v>1505</v>
      </c>
      <c r="B1509">
        <v>1506</v>
      </c>
      <c r="F1509" s="64" t="s">
        <v>4722</v>
      </c>
      <c r="G1509" s="64"/>
      <c r="H1509" s="64"/>
      <c r="I1509" s="64">
        <v>1</v>
      </c>
      <c r="J1509" s="32" t="str">
        <f>IF(AND(E1509=1,OR(E1508=0,E1508="")),MAX(#REF!)+1,IF(AND(E1509=1,E1508=1),J1508,""))</f>
        <v/>
      </c>
      <c r="K1509" s="32" t="str">
        <f t="shared" si="94"/>
        <v/>
      </c>
      <c r="L1509" s="32" t="str">
        <f t="shared" si="91"/>
        <v/>
      </c>
      <c r="M1509" s="32" t="str">
        <f t="shared" si="92"/>
        <v/>
      </c>
      <c r="N1509" s="4">
        <v>2</v>
      </c>
      <c r="O1509" s="58">
        <v>0</v>
      </c>
      <c r="P1509" s="58">
        <v>1</v>
      </c>
      <c r="Q1509" s="58">
        <v>0</v>
      </c>
      <c r="R1509" s="58">
        <v>0</v>
      </c>
      <c r="S1509" s="58">
        <v>0</v>
      </c>
      <c r="T1509" s="58">
        <v>0</v>
      </c>
      <c r="U1509" s="58">
        <v>0</v>
      </c>
      <c r="V1509" s="58">
        <v>0</v>
      </c>
      <c r="AG1509" t="s">
        <v>77</v>
      </c>
      <c r="AM1509" s="1" t="str">
        <f t="shared" si="93"/>
        <v>1507_C0013_2810.jpg</v>
      </c>
    </row>
    <row r="1510" spans="1:39" x14ac:dyDescent="0.35">
      <c r="A1510">
        <v>1506</v>
      </c>
      <c r="B1510">
        <v>1507</v>
      </c>
      <c r="F1510" s="64" t="s">
        <v>4723</v>
      </c>
      <c r="G1510" s="64"/>
      <c r="H1510" s="64"/>
      <c r="I1510" s="64">
        <v>1</v>
      </c>
      <c r="J1510" s="32" t="str">
        <f>IF(AND(E1510=1,OR(E1509=0,E1509="")),MAX(#REF!)+1,IF(AND(E1510=1,E1509=1),J1509,""))</f>
        <v/>
      </c>
      <c r="K1510" s="32" t="str">
        <f t="shared" si="94"/>
        <v/>
      </c>
      <c r="L1510" s="32" t="str">
        <f t="shared" si="91"/>
        <v/>
      </c>
      <c r="M1510" s="32" t="str">
        <f t="shared" si="92"/>
        <v/>
      </c>
      <c r="N1510" s="4">
        <v>2</v>
      </c>
      <c r="O1510" s="58">
        <v>0</v>
      </c>
      <c r="P1510" s="58">
        <v>1</v>
      </c>
      <c r="Q1510" s="58">
        <v>0</v>
      </c>
      <c r="R1510" s="58">
        <v>0</v>
      </c>
      <c r="S1510" s="58">
        <v>0</v>
      </c>
      <c r="T1510" s="58">
        <v>0</v>
      </c>
      <c r="U1510" s="58">
        <v>0</v>
      </c>
      <c r="V1510" s="58">
        <v>0</v>
      </c>
      <c r="AG1510" t="s">
        <v>77</v>
      </c>
      <c r="AM1510" s="1" t="str">
        <f t="shared" si="93"/>
        <v>1508_C0013_2806.jpg</v>
      </c>
    </row>
    <row r="1511" spans="1:39" x14ac:dyDescent="0.35">
      <c r="A1511">
        <v>1507</v>
      </c>
      <c r="B1511">
        <v>1508</v>
      </c>
      <c r="F1511" s="64" t="s">
        <v>4724</v>
      </c>
      <c r="G1511" s="64"/>
      <c r="H1511" s="64"/>
      <c r="I1511" s="64">
        <v>1</v>
      </c>
      <c r="J1511" s="32" t="str">
        <f>IF(AND(E1511=1,OR(E1510=0,E1510="")),MAX(#REF!)+1,IF(AND(E1511=1,E1510=1),J1510,""))</f>
        <v/>
      </c>
      <c r="K1511" s="32" t="str">
        <f t="shared" si="94"/>
        <v/>
      </c>
      <c r="L1511" s="32" t="str">
        <f t="shared" si="91"/>
        <v/>
      </c>
      <c r="M1511" s="32" t="str">
        <f t="shared" si="92"/>
        <v/>
      </c>
      <c r="N1511" s="4">
        <v>2</v>
      </c>
      <c r="O1511" s="58">
        <v>0</v>
      </c>
      <c r="P1511" s="58">
        <v>1</v>
      </c>
      <c r="Q1511" s="58">
        <v>0</v>
      </c>
      <c r="R1511" s="58">
        <v>0</v>
      </c>
      <c r="S1511" s="58">
        <v>0</v>
      </c>
      <c r="T1511" s="58">
        <v>0</v>
      </c>
      <c r="U1511" s="58">
        <v>0</v>
      </c>
      <c r="V1511" s="58">
        <v>0</v>
      </c>
      <c r="AG1511" t="s">
        <v>77</v>
      </c>
      <c r="AM1511" s="1" t="str">
        <f t="shared" si="93"/>
        <v>1509_C0013_2803.jpg</v>
      </c>
    </row>
    <row r="1512" spans="1:39" x14ac:dyDescent="0.35">
      <c r="A1512">
        <v>1508</v>
      </c>
      <c r="B1512">
        <v>1509</v>
      </c>
      <c r="F1512" s="64" t="s">
        <v>4725</v>
      </c>
      <c r="G1512" s="64"/>
      <c r="H1512" s="64"/>
      <c r="I1512" s="64">
        <v>1</v>
      </c>
      <c r="J1512" s="32" t="str">
        <f>IF(AND(E1512=1,OR(E1511=0,E1511="")),MAX(#REF!)+1,IF(AND(E1512=1,E1511=1),J1511,""))</f>
        <v/>
      </c>
      <c r="K1512" s="32" t="str">
        <f t="shared" si="94"/>
        <v/>
      </c>
      <c r="L1512" s="32" t="str">
        <f t="shared" si="91"/>
        <v/>
      </c>
      <c r="M1512" s="32" t="str">
        <f t="shared" si="92"/>
        <v/>
      </c>
      <c r="N1512" s="4">
        <v>2</v>
      </c>
      <c r="O1512" s="58">
        <v>0</v>
      </c>
      <c r="P1512" s="58">
        <v>1</v>
      </c>
      <c r="Q1512" s="58">
        <v>0</v>
      </c>
      <c r="R1512" s="58">
        <v>0</v>
      </c>
      <c r="S1512" s="58">
        <v>0</v>
      </c>
      <c r="T1512" s="58">
        <v>0</v>
      </c>
      <c r="U1512" s="58">
        <v>0</v>
      </c>
      <c r="V1512" s="58">
        <v>0</v>
      </c>
      <c r="AG1512" t="s">
        <v>77</v>
      </c>
      <c r="AM1512" s="1" t="str">
        <f t="shared" si="93"/>
        <v>1510_C0013_2800.jpg</v>
      </c>
    </row>
    <row r="1513" spans="1:39" x14ac:dyDescent="0.35">
      <c r="A1513">
        <v>1509</v>
      </c>
      <c r="B1513">
        <v>1510</v>
      </c>
      <c r="F1513" s="64" t="s">
        <v>4726</v>
      </c>
      <c r="G1513" s="64"/>
      <c r="H1513" s="64"/>
      <c r="I1513" s="64">
        <v>0</v>
      </c>
      <c r="J1513" s="32" t="str">
        <f>IF(AND(E1513=1,OR(E1512=0,E1512="")),MAX(#REF!)+1,IF(AND(E1513=1,E1512=1),J1512,""))</f>
        <v/>
      </c>
      <c r="K1513" s="32" t="str">
        <f t="shared" si="94"/>
        <v/>
      </c>
      <c r="L1513" s="32" t="str">
        <f t="shared" si="91"/>
        <v/>
      </c>
      <c r="M1513" s="32" t="str">
        <f t="shared" si="92"/>
        <v/>
      </c>
      <c r="N1513" s="4">
        <v>2</v>
      </c>
      <c r="O1513" s="58">
        <v>0</v>
      </c>
      <c r="P1513" s="58">
        <v>1</v>
      </c>
      <c r="Q1513" s="58">
        <v>0</v>
      </c>
      <c r="R1513" s="58">
        <v>0</v>
      </c>
      <c r="S1513" s="58">
        <v>0</v>
      </c>
      <c r="T1513" s="58">
        <v>0</v>
      </c>
      <c r="U1513" s="58">
        <v>0</v>
      </c>
      <c r="V1513" s="58">
        <v>0</v>
      </c>
      <c r="AG1513" t="s">
        <v>77</v>
      </c>
      <c r="AM1513" s="1" t="str">
        <f t="shared" si="93"/>
        <v>1511_C0013_2796.jpg</v>
      </c>
    </row>
    <row r="1514" spans="1:39" x14ac:dyDescent="0.35">
      <c r="A1514">
        <v>1510</v>
      </c>
      <c r="B1514">
        <v>1511</v>
      </c>
      <c r="F1514" s="64" t="s">
        <v>4727</v>
      </c>
      <c r="G1514" s="64"/>
      <c r="H1514" s="64"/>
      <c r="I1514" s="64">
        <v>0</v>
      </c>
      <c r="J1514" s="32" t="str">
        <f>IF(AND(E1514=1,OR(E1513=0,E1513="")),MAX(#REF!)+1,IF(AND(E1514=1,E1513=1),J1513,""))</f>
        <v/>
      </c>
      <c r="K1514" s="32" t="str">
        <f t="shared" si="94"/>
        <v/>
      </c>
      <c r="L1514" s="32" t="str">
        <f t="shared" si="91"/>
        <v/>
      </c>
      <c r="M1514" s="32" t="str">
        <f t="shared" si="92"/>
        <v/>
      </c>
      <c r="N1514" s="4">
        <v>2</v>
      </c>
      <c r="O1514" s="58">
        <v>0</v>
      </c>
      <c r="P1514" s="58">
        <v>1</v>
      </c>
      <c r="Q1514" s="58">
        <v>0</v>
      </c>
      <c r="R1514" s="58">
        <v>0</v>
      </c>
      <c r="S1514" s="58">
        <v>0</v>
      </c>
      <c r="T1514" s="58">
        <v>0</v>
      </c>
      <c r="U1514" s="58">
        <v>0</v>
      </c>
      <c r="V1514" s="58">
        <v>0</v>
      </c>
      <c r="AG1514" t="s">
        <v>77</v>
      </c>
      <c r="AM1514" s="1" t="str">
        <f t="shared" si="93"/>
        <v>1512_C0013_2793.jpg</v>
      </c>
    </row>
    <row r="1515" spans="1:39" x14ac:dyDescent="0.35">
      <c r="A1515">
        <v>1511</v>
      </c>
      <c r="B1515">
        <v>1512</v>
      </c>
      <c r="F1515" s="64" t="s">
        <v>4728</v>
      </c>
      <c r="G1515" s="64"/>
      <c r="H1515" s="64"/>
      <c r="I1515" s="64">
        <v>1</v>
      </c>
      <c r="J1515" s="32" t="str">
        <f>IF(AND(E1515=1,OR(E1514=0,E1514="")),MAX(#REF!)+1,IF(AND(E1515=1,E1514=1),J1514,""))</f>
        <v/>
      </c>
      <c r="K1515" s="32" t="str">
        <f t="shared" si="94"/>
        <v/>
      </c>
      <c r="L1515" s="32" t="str">
        <f t="shared" si="91"/>
        <v/>
      </c>
      <c r="M1515" s="32" t="str">
        <f t="shared" si="92"/>
        <v/>
      </c>
      <c r="N1515" s="4">
        <v>2</v>
      </c>
      <c r="O1515" s="58">
        <v>0</v>
      </c>
      <c r="P1515" s="58">
        <v>1</v>
      </c>
      <c r="Q1515" s="58">
        <v>0</v>
      </c>
      <c r="R1515" s="58">
        <v>0</v>
      </c>
      <c r="S1515" s="58">
        <v>0</v>
      </c>
      <c r="T1515" s="58">
        <v>0</v>
      </c>
      <c r="U1515" s="58">
        <v>0</v>
      </c>
      <c r="V1515" s="58">
        <v>0</v>
      </c>
      <c r="AG1515" t="s">
        <v>77</v>
      </c>
      <c r="AM1515" s="1" t="str">
        <f t="shared" si="93"/>
        <v>1513_C0013_2788.jpg</v>
      </c>
    </row>
    <row r="1516" spans="1:39" x14ac:dyDescent="0.35">
      <c r="A1516">
        <v>1512</v>
      </c>
      <c r="B1516">
        <v>1513</v>
      </c>
      <c r="F1516" s="64" t="s">
        <v>4729</v>
      </c>
      <c r="G1516" s="64"/>
      <c r="H1516" s="64"/>
      <c r="I1516" s="64">
        <v>1</v>
      </c>
      <c r="J1516" s="32" t="str">
        <f>IF(AND(E1516=1,OR(E1515=0,E1515="")),MAX(#REF!)+1,IF(AND(E1516=1,E1515=1),J1515,""))</f>
        <v/>
      </c>
      <c r="K1516" s="32" t="str">
        <f t="shared" si="94"/>
        <v/>
      </c>
      <c r="L1516" s="32" t="str">
        <f t="shared" si="91"/>
        <v/>
      </c>
      <c r="M1516" s="32" t="str">
        <f t="shared" si="92"/>
        <v/>
      </c>
      <c r="N1516" s="4">
        <v>2</v>
      </c>
      <c r="O1516" s="58">
        <v>0</v>
      </c>
      <c r="P1516" s="58">
        <v>1</v>
      </c>
      <c r="Q1516" s="58">
        <v>0</v>
      </c>
      <c r="R1516" s="58">
        <v>0</v>
      </c>
      <c r="S1516" s="58">
        <v>0</v>
      </c>
      <c r="T1516" s="58">
        <v>0</v>
      </c>
      <c r="U1516" s="58">
        <v>0</v>
      </c>
      <c r="V1516" s="58">
        <v>0</v>
      </c>
      <c r="AG1516" t="s">
        <v>77</v>
      </c>
      <c r="AM1516" s="1" t="str">
        <f t="shared" si="93"/>
        <v>1514_C0013_2785.jpg</v>
      </c>
    </row>
    <row r="1517" spans="1:39" x14ac:dyDescent="0.35">
      <c r="A1517">
        <v>1513</v>
      </c>
      <c r="B1517">
        <v>1514</v>
      </c>
      <c r="F1517" s="64" t="s">
        <v>4730</v>
      </c>
      <c r="G1517" s="64"/>
      <c r="H1517" s="64"/>
      <c r="I1517" s="64">
        <v>1</v>
      </c>
      <c r="J1517" s="32" t="str">
        <f>IF(AND(E1517=1,OR(E1516=0,E1516="")),MAX(#REF!)+1,IF(AND(E1517=1,E1516=1),J1516,""))</f>
        <v/>
      </c>
      <c r="K1517" s="32" t="str">
        <f t="shared" si="94"/>
        <v/>
      </c>
      <c r="L1517" s="32" t="str">
        <f t="shared" si="91"/>
        <v/>
      </c>
      <c r="M1517" s="32" t="str">
        <f t="shared" si="92"/>
        <v/>
      </c>
      <c r="N1517" s="4">
        <v>2</v>
      </c>
      <c r="O1517" s="58">
        <v>0</v>
      </c>
      <c r="P1517" s="58">
        <v>1</v>
      </c>
      <c r="Q1517" s="58">
        <v>0</v>
      </c>
      <c r="R1517" s="58">
        <v>0</v>
      </c>
      <c r="S1517" s="58">
        <v>0</v>
      </c>
      <c r="T1517" s="58">
        <v>0</v>
      </c>
      <c r="U1517" s="58">
        <v>0</v>
      </c>
      <c r="V1517" s="58">
        <v>0</v>
      </c>
      <c r="AG1517" t="s">
        <v>77</v>
      </c>
      <c r="AM1517" s="1" t="str">
        <f t="shared" si="93"/>
        <v>1515_C0013_2782.jpg</v>
      </c>
    </row>
    <row r="1518" spans="1:39" x14ac:dyDescent="0.35">
      <c r="A1518">
        <v>1514</v>
      </c>
      <c r="B1518">
        <v>1515</v>
      </c>
      <c r="F1518" s="64" t="s">
        <v>4731</v>
      </c>
      <c r="G1518" s="64"/>
      <c r="H1518" s="64"/>
      <c r="I1518" s="64">
        <v>1</v>
      </c>
      <c r="J1518" s="32" t="str">
        <f>IF(AND(E1518=1,OR(E1517=0,E1517="")),MAX(#REF!)+1,IF(AND(E1518=1,E1517=1),J1517,""))</f>
        <v/>
      </c>
      <c r="K1518" s="32" t="str">
        <f t="shared" si="94"/>
        <v/>
      </c>
      <c r="L1518" s="32" t="str">
        <f t="shared" si="91"/>
        <v/>
      </c>
      <c r="M1518" s="32" t="str">
        <f t="shared" si="92"/>
        <v/>
      </c>
      <c r="N1518" s="4">
        <v>2</v>
      </c>
      <c r="O1518" s="58">
        <v>0</v>
      </c>
      <c r="P1518" s="58">
        <v>1</v>
      </c>
      <c r="Q1518" s="58">
        <v>0</v>
      </c>
      <c r="R1518" s="58">
        <v>0</v>
      </c>
      <c r="S1518" s="58">
        <v>0</v>
      </c>
      <c r="T1518" s="58">
        <v>0</v>
      </c>
      <c r="U1518" s="58">
        <v>0</v>
      </c>
      <c r="V1518" s="58">
        <v>0</v>
      </c>
      <c r="AG1518" t="s">
        <v>77</v>
      </c>
      <c r="AM1518" s="1" t="str">
        <f t="shared" si="93"/>
        <v>1516_C0013_2780.jpg</v>
      </c>
    </row>
    <row r="1519" spans="1:39" x14ac:dyDescent="0.35">
      <c r="A1519">
        <v>1515</v>
      </c>
      <c r="B1519">
        <v>1516</v>
      </c>
      <c r="F1519" s="64" t="s">
        <v>4732</v>
      </c>
      <c r="G1519" s="64"/>
      <c r="H1519" s="64"/>
      <c r="I1519" s="64">
        <v>1</v>
      </c>
      <c r="J1519" s="32" t="str">
        <f>IF(AND(E1519=1,OR(E1518=0,E1518="")),MAX(#REF!)+1,IF(AND(E1519=1,E1518=1),J1518,""))</f>
        <v/>
      </c>
      <c r="K1519" s="32" t="str">
        <f t="shared" si="94"/>
        <v/>
      </c>
      <c r="L1519" s="32" t="str">
        <f t="shared" si="91"/>
        <v/>
      </c>
      <c r="M1519" s="32" t="str">
        <f t="shared" si="92"/>
        <v/>
      </c>
      <c r="N1519" s="4">
        <v>2</v>
      </c>
      <c r="O1519" s="58">
        <v>0</v>
      </c>
      <c r="P1519" s="58">
        <v>1</v>
      </c>
      <c r="Q1519" s="58">
        <v>0</v>
      </c>
      <c r="R1519" s="58">
        <v>0</v>
      </c>
      <c r="S1519" s="58">
        <v>0</v>
      </c>
      <c r="T1519" s="58">
        <v>0</v>
      </c>
      <c r="U1519" s="58">
        <v>0</v>
      </c>
      <c r="V1519" s="58">
        <v>0</v>
      </c>
      <c r="AG1519" t="s">
        <v>77</v>
      </c>
      <c r="AM1519" s="1" t="str">
        <f t="shared" si="93"/>
        <v>1517_C0013_2776.jpg</v>
      </c>
    </row>
    <row r="1520" spans="1:39" x14ac:dyDescent="0.35">
      <c r="A1520">
        <v>1516</v>
      </c>
      <c r="B1520">
        <v>1517</v>
      </c>
      <c r="F1520" s="64" t="s">
        <v>4733</v>
      </c>
      <c r="G1520" s="64"/>
      <c r="H1520" s="64"/>
      <c r="I1520" s="64">
        <v>1</v>
      </c>
      <c r="J1520" s="32" t="str">
        <f>IF(AND(E1520=1,OR(E1519=0,E1519="")),MAX(#REF!)+1,IF(AND(E1520=1,E1519=1),J1519,""))</f>
        <v/>
      </c>
      <c r="K1520" s="32" t="str">
        <f t="shared" si="94"/>
        <v/>
      </c>
      <c r="L1520" s="32" t="str">
        <f t="shared" si="91"/>
        <v/>
      </c>
      <c r="M1520" s="32" t="str">
        <f t="shared" si="92"/>
        <v/>
      </c>
      <c r="N1520" s="4">
        <v>2</v>
      </c>
      <c r="O1520" s="58">
        <v>0</v>
      </c>
      <c r="P1520" s="58">
        <v>1</v>
      </c>
      <c r="Q1520" s="58">
        <v>0</v>
      </c>
      <c r="R1520" s="58">
        <v>0</v>
      </c>
      <c r="S1520" s="58">
        <v>1</v>
      </c>
      <c r="T1520" s="58">
        <v>0</v>
      </c>
      <c r="U1520" s="58">
        <v>0</v>
      </c>
      <c r="V1520" s="58">
        <v>0</v>
      </c>
      <c r="AG1520" t="s">
        <v>77</v>
      </c>
      <c r="AM1520" s="1" t="str">
        <f t="shared" si="93"/>
        <v>1518_C0013_2773.jpg</v>
      </c>
    </row>
    <row r="1521" spans="1:39" x14ac:dyDescent="0.35">
      <c r="A1521">
        <v>1517</v>
      </c>
      <c r="B1521">
        <v>1518</v>
      </c>
      <c r="F1521" s="64" t="s">
        <v>4734</v>
      </c>
      <c r="G1521" s="64"/>
      <c r="H1521" s="64"/>
      <c r="I1521" s="64">
        <v>1</v>
      </c>
      <c r="J1521" s="32" t="str">
        <f>IF(AND(E1521=1,OR(E1520=0,E1520="")),MAX(#REF!)+1,IF(AND(E1521=1,E1520=1),J1520,""))</f>
        <v/>
      </c>
      <c r="K1521" s="32" t="str">
        <f t="shared" si="94"/>
        <v/>
      </c>
      <c r="L1521" s="32" t="str">
        <f t="shared" si="91"/>
        <v/>
      </c>
      <c r="M1521" s="32" t="str">
        <f t="shared" si="92"/>
        <v/>
      </c>
      <c r="N1521" s="4">
        <v>2</v>
      </c>
      <c r="O1521" s="58">
        <v>0</v>
      </c>
      <c r="P1521" s="58">
        <v>1</v>
      </c>
      <c r="Q1521" s="58">
        <v>0</v>
      </c>
      <c r="R1521" s="58">
        <v>0</v>
      </c>
      <c r="S1521" s="58">
        <v>0</v>
      </c>
      <c r="T1521" s="58">
        <v>0</v>
      </c>
      <c r="U1521" s="58">
        <v>0</v>
      </c>
      <c r="V1521" s="58">
        <v>0</v>
      </c>
      <c r="AG1521" t="s">
        <v>77</v>
      </c>
      <c r="AM1521" s="1" t="str">
        <f t="shared" si="93"/>
        <v>1519_C0013_2770.jpg</v>
      </c>
    </row>
    <row r="1522" spans="1:39" x14ac:dyDescent="0.35">
      <c r="A1522">
        <v>1518</v>
      </c>
      <c r="B1522">
        <v>1519</v>
      </c>
      <c r="F1522" s="64" t="s">
        <v>4735</v>
      </c>
      <c r="G1522" s="64"/>
      <c r="H1522" s="64"/>
      <c r="I1522" s="64">
        <v>1</v>
      </c>
      <c r="J1522" s="32" t="str">
        <f>IF(AND(E1522=1,OR(E1521=0,E1521="")),MAX(#REF!)+1,IF(AND(E1522=1,E1521=1),J1521,""))</f>
        <v/>
      </c>
      <c r="K1522" s="32" t="str">
        <f t="shared" si="94"/>
        <v/>
      </c>
      <c r="L1522" s="32" t="str">
        <f t="shared" si="91"/>
        <v/>
      </c>
      <c r="M1522" s="32" t="str">
        <f t="shared" si="92"/>
        <v/>
      </c>
      <c r="N1522" s="4">
        <v>2</v>
      </c>
      <c r="O1522" s="58">
        <v>0</v>
      </c>
      <c r="P1522" s="58">
        <v>1</v>
      </c>
      <c r="Q1522" s="58">
        <v>0</v>
      </c>
      <c r="R1522" s="58">
        <v>0</v>
      </c>
      <c r="S1522" s="58">
        <v>0</v>
      </c>
      <c r="T1522" s="58">
        <v>0</v>
      </c>
      <c r="U1522" s="58">
        <v>0</v>
      </c>
      <c r="V1522" s="58">
        <v>0</v>
      </c>
      <c r="AG1522" t="s">
        <v>77</v>
      </c>
      <c r="AM1522" s="1" t="str">
        <f t="shared" si="93"/>
        <v>1520_C0013_2768.jpg</v>
      </c>
    </row>
    <row r="1523" spans="1:39" x14ac:dyDescent="0.35">
      <c r="A1523">
        <v>1519</v>
      </c>
      <c r="B1523">
        <v>1520</v>
      </c>
      <c r="F1523" s="64" t="s">
        <v>4736</v>
      </c>
      <c r="G1523" s="64"/>
      <c r="H1523" s="64"/>
      <c r="I1523" s="64">
        <v>1</v>
      </c>
      <c r="J1523" s="32" t="str">
        <f>IF(AND(E1523=1,OR(E1522=0,E1522="")),MAX(#REF!)+1,IF(AND(E1523=1,E1522=1),J1522,""))</f>
        <v/>
      </c>
      <c r="K1523" s="32" t="str">
        <f t="shared" si="94"/>
        <v/>
      </c>
      <c r="L1523" s="32" t="str">
        <f t="shared" si="91"/>
        <v/>
      </c>
      <c r="M1523" s="32" t="str">
        <f t="shared" si="92"/>
        <v/>
      </c>
      <c r="N1523" s="4">
        <v>2</v>
      </c>
      <c r="O1523" s="58">
        <v>0</v>
      </c>
      <c r="P1523" s="58">
        <v>1</v>
      </c>
      <c r="Q1523" s="58">
        <v>0</v>
      </c>
      <c r="R1523" s="58">
        <v>0</v>
      </c>
      <c r="S1523" s="58">
        <v>0</v>
      </c>
      <c r="T1523" s="58">
        <v>0</v>
      </c>
      <c r="U1523" s="58">
        <v>0</v>
      </c>
      <c r="V1523" s="58">
        <v>0</v>
      </c>
      <c r="AG1523" t="s">
        <v>77</v>
      </c>
      <c r="AM1523" s="1" t="str">
        <f t="shared" si="93"/>
        <v>1521_C0013_2765.jpg</v>
      </c>
    </row>
    <row r="1524" spans="1:39" x14ac:dyDescent="0.35">
      <c r="A1524">
        <v>1520</v>
      </c>
      <c r="B1524">
        <v>1521</v>
      </c>
      <c r="F1524" s="64" t="s">
        <v>4737</v>
      </c>
      <c r="G1524" s="64"/>
      <c r="H1524" s="64"/>
      <c r="I1524" s="64">
        <v>1</v>
      </c>
      <c r="J1524" s="32" t="str">
        <f>IF(AND(E1524=1,OR(E1523=0,E1523="")),MAX(#REF!)+1,IF(AND(E1524=1,E1523=1),J1523,""))</f>
        <v/>
      </c>
      <c r="K1524" s="32" t="str">
        <f t="shared" si="94"/>
        <v/>
      </c>
      <c r="L1524" s="32" t="str">
        <f t="shared" si="91"/>
        <v/>
      </c>
      <c r="M1524" s="32" t="str">
        <f t="shared" si="92"/>
        <v/>
      </c>
      <c r="N1524" s="4">
        <v>2</v>
      </c>
      <c r="O1524" s="58">
        <v>0</v>
      </c>
      <c r="P1524" s="58">
        <v>1</v>
      </c>
      <c r="Q1524" s="58">
        <v>0</v>
      </c>
      <c r="R1524" s="58">
        <v>0</v>
      </c>
      <c r="S1524" s="58">
        <v>0</v>
      </c>
      <c r="T1524" s="58">
        <v>0</v>
      </c>
      <c r="U1524" s="58">
        <v>0</v>
      </c>
      <c r="V1524" s="58">
        <v>0</v>
      </c>
      <c r="AG1524" t="s">
        <v>77</v>
      </c>
      <c r="AM1524" s="1" t="str">
        <f t="shared" ref="AM1524:AM1547" si="95">HYPERLINK("E:\CAFNEC_GBRF\2023\JohnstoneRiver\Frames_for_Analysis\" &amp; F1525, F1525)</f>
        <v>1522_C0013_2761.jpg</v>
      </c>
    </row>
    <row r="1525" spans="1:39" x14ac:dyDescent="0.35">
      <c r="A1525">
        <v>1521</v>
      </c>
      <c r="B1525">
        <v>1522</v>
      </c>
      <c r="F1525" s="64" t="s">
        <v>4738</v>
      </c>
      <c r="G1525" s="64"/>
      <c r="H1525" s="64"/>
      <c r="I1525" s="64">
        <v>1</v>
      </c>
      <c r="J1525" s="32" t="str">
        <f>IF(AND(E1525=1,OR(E1524=0,E1524="")),MAX(#REF!)+1,IF(AND(E1525=1,E1524=1),J1524,""))</f>
        <v/>
      </c>
      <c r="K1525" s="32" t="str">
        <f t="shared" si="94"/>
        <v/>
      </c>
      <c r="L1525" s="32" t="str">
        <f t="shared" si="91"/>
        <v/>
      </c>
      <c r="M1525" s="32" t="str">
        <f t="shared" si="92"/>
        <v/>
      </c>
      <c r="N1525" s="4">
        <v>2</v>
      </c>
      <c r="O1525" s="58">
        <v>0</v>
      </c>
      <c r="P1525" s="58">
        <v>1</v>
      </c>
      <c r="Q1525" s="58">
        <v>0</v>
      </c>
      <c r="R1525" s="58">
        <v>0</v>
      </c>
      <c r="S1525" s="58">
        <v>0</v>
      </c>
      <c r="T1525" s="58">
        <v>0</v>
      </c>
      <c r="U1525" s="58">
        <v>0</v>
      </c>
      <c r="V1525" s="58">
        <v>0</v>
      </c>
      <c r="AG1525" t="s">
        <v>77</v>
      </c>
      <c r="AM1525" s="1" t="str">
        <f t="shared" si="95"/>
        <v>1523_C0013_2758.jpg</v>
      </c>
    </row>
    <row r="1526" spans="1:39" x14ac:dyDescent="0.35">
      <c r="A1526">
        <v>1522</v>
      </c>
      <c r="B1526">
        <v>1523</v>
      </c>
      <c r="F1526" s="64" t="s">
        <v>4739</v>
      </c>
      <c r="G1526" s="64"/>
      <c r="H1526" s="64"/>
      <c r="I1526" s="64">
        <v>1</v>
      </c>
      <c r="J1526" s="32" t="str">
        <f>IF(AND(E1526=1,OR(E1525=0,E1525="")),MAX(#REF!)+1,IF(AND(E1526=1,E1525=1),J1525,""))</f>
        <v/>
      </c>
      <c r="K1526" s="32" t="str">
        <f t="shared" si="94"/>
        <v/>
      </c>
      <c r="L1526" s="32" t="str">
        <f t="shared" si="91"/>
        <v/>
      </c>
      <c r="M1526" s="32" t="str">
        <f t="shared" si="92"/>
        <v/>
      </c>
      <c r="N1526" s="4">
        <v>2</v>
      </c>
      <c r="O1526" s="58">
        <v>0</v>
      </c>
      <c r="P1526" s="58">
        <v>1</v>
      </c>
      <c r="Q1526" s="58">
        <v>0</v>
      </c>
      <c r="R1526" s="58">
        <v>0</v>
      </c>
      <c r="S1526" s="58">
        <v>0</v>
      </c>
      <c r="T1526" s="58">
        <v>0</v>
      </c>
      <c r="U1526" s="58">
        <v>0</v>
      </c>
      <c r="V1526" s="58">
        <v>0</v>
      </c>
      <c r="AG1526" t="s">
        <v>77</v>
      </c>
      <c r="AM1526" s="1" t="str">
        <f t="shared" si="95"/>
        <v>1524_C0013_2755.jpg</v>
      </c>
    </row>
    <row r="1527" spans="1:39" x14ac:dyDescent="0.35">
      <c r="A1527">
        <v>1523</v>
      </c>
      <c r="B1527">
        <v>1524</v>
      </c>
      <c r="F1527" s="64" t="s">
        <v>4740</v>
      </c>
      <c r="G1527" s="64"/>
      <c r="H1527" s="64"/>
      <c r="I1527" s="64">
        <v>1</v>
      </c>
      <c r="J1527" s="32" t="str">
        <f>IF(AND(E1527=1,OR(E1526=0,E1526="")),MAX(#REF!)+1,IF(AND(E1527=1,E1526=1),J1526,""))</f>
        <v/>
      </c>
      <c r="K1527" s="32" t="str">
        <f t="shared" si="94"/>
        <v/>
      </c>
      <c r="L1527" s="32" t="str">
        <f t="shared" si="91"/>
        <v/>
      </c>
      <c r="M1527" s="32" t="str">
        <f t="shared" si="92"/>
        <v/>
      </c>
      <c r="N1527" s="4">
        <v>2</v>
      </c>
      <c r="O1527" s="58">
        <v>0</v>
      </c>
      <c r="P1527" s="58">
        <v>1</v>
      </c>
      <c r="Q1527" s="58">
        <v>0</v>
      </c>
      <c r="R1527" s="58">
        <v>0</v>
      </c>
      <c r="S1527" s="58">
        <v>0</v>
      </c>
      <c r="T1527" s="58">
        <v>0</v>
      </c>
      <c r="U1527" s="58">
        <v>0</v>
      </c>
      <c r="V1527" s="58">
        <v>0</v>
      </c>
      <c r="AG1527" t="s">
        <v>77</v>
      </c>
      <c r="AM1527" s="1" t="str">
        <f t="shared" si="95"/>
        <v>1525_C0013_2752.jpg</v>
      </c>
    </row>
    <row r="1528" spans="1:39" x14ac:dyDescent="0.35">
      <c r="A1528">
        <v>1524</v>
      </c>
      <c r="B1528">
        <v>1525</v>
      </c>
      <c r="F1528" s="64" t="s">
        <v>4741</v>
      </c>
      <c r="G1528" s="64"/>
      <c r="H1528" s="64"/>
      <c r="I1528" s="64">
        <v>1</v>
      </c>
      <c r="J1528" s="32" t="str">
        <f>IF(AND(E1528=1,OR(E1527=0,E1527="")),MAX(#REF!)+1,IF(AND(E1528=1,E1527=1),J1527,""))</f>
        <v/>
      </c>
      <c r="K1528" s="32" t="str">
        <f t="shared" si="94"/>
        <v/>
      </c>
      <c r="L1528" s="32" t="str">
        <f t="shared" si="91"/>
        <v/>
      </c>
      <c r="M1528" s="32" t="str">
        <f t="shared" si="92"/>
        <v/>
      </c>
      <c r="N1528" s="4">
        <v>2</v>
      </c>
      <c r="O1528" s="58">
        <v>0</v>
      </c>
      <c r="P1528" s="58">
        <v>1</v>
      </c>
      <c r="Q1528" s="58">
        <v>0</v>
      </c>
      <c r="R1528" s="58">
        <v>0</v>
      </c>
      <c r="S1528" s="58">
        <v>0</v>
      </c>
      <c r="T1528" s="58">
        <v>0</v>
      </c>
      <c r="U1528" s="58">
        <v>0</v>
      </c>
      <c r="V1528" s="58">
        <v>0</v>
      </c>
      <c r="AG1528" t="s">
        <v>77</v>
      </c>
      <c r="AM1528" s="1" t="str">
        <f t="shared" si="95"/>
        <v>1526_C0013_2748.jpg</v>
      </c>
    </row>
    <row r="1529" spans="1:39" x14ac:dyDescent="0.35">
      <c r="A1529">
        <v>1525</v>
      </c>
      <c r="B1529">
        <v>1526</v>
      </c>
      <c r="F1529" s="64" t="s">
        <v>4742</v>
      </c>
      <c r="G1529" s="64"/>
      <c r="H1529" s="64"/>
      <c r="I1529" s="64">
        <v>1</v>
      </c>
      <c r="J1529" s="32" t="str">
        <f>IF(AND(E1529=1,OR(E1528=0,E1528="")),MAX(#REF!)+1,IF(AND(E1529=1,E1528=1),J1528,""))</f>
        <v/>
      </c>
      <c r="K1529" s="32" t="str">
        <f t="shared" si="94"/>
        <v/>
      </c>
      <c r="L1529" s="32" t="str">
        <f t="shared" si="91"/>
        <v/>
      </c>
      <c r="M1529" s="32" t="str">
        <f t="shared" si="92"/>
        <v/>
      </c>
      <c r="N1529" s="4">
        <v>2</v>
      </c>
      <c r="O1529" s="58">
        <v>0</v>
      </c>
      <c r="P1529" s="58">
        <v>1</v>
      </c>
      <c r="Q1529" s="58">
        <v>0</v>
      </c>
      <c r="R1529" s="58">
        <v>0</v>
      </c>
      <c r="S1529" s="58">
        <v>0</v>
      </c>
      <c r="T1529" s="58">
        <v>0</v>
      </c>
      <c r="U1529" s="58">
        <v>0</v>
      </c>
      <c r="V1529" s="58">
        <v>0</v>
      </c>
      <c r="AG1529" t="s">
        <v>77</v>
      </c>
      <c r="AM1529" s="1" t="str">
        <f t="shared" si="95"/>
        <v>1527_C0013_2745.jpg</v>
      </c>
    </row>
    <row r="1530" spans="1:39" x14ac:dyDescent="0.35">
      <c r="A1530">
        <v>1526</v>
      </c>
      <c r="B1530">
        <v>1527</v>
      </c>
      <c r="F1530" s="64" t="s">
        <v>4743</v>
      </c>
      <c r="G1530" s="64"/>
      <c r="H1530" s="64"/>
      <c r="I1530" s="64">
        <v>1</v>
      </c>
      <c r="J1530" s="32" t="str">
        <f>IF(AND(E1530=1,OR(E1529=0,E1529="")),MAX(#REF!)+1,IF(AND(E1530=1,E1529=1),J1529,""))</f>
        <v/>
      </c>
      <c r="K1530" s="32" t="str">
        <f t="shared" si="94"/>
        <v/>
      </c>
      <c r="L1530" s="32" t="str">
        <f t="shared" si="91"/>
        <v/>
      </c>
      <c r="M1530" s="32" t="str">
        <f t="shared" si="92"/>
        <v/>
      </c>
      <c r="N1530" s="4">
        <v>2</v>
      </c>
      <c r="O1530" s="58">
        <v>0</v>
      </c>
      <c r="P1530" s="58">
        <v>1</v>
      </c>
      <c r="Q1530" s="58">
        <v>0</v>
      </c>
      <c r="R1530" s="58">
        <v>0</v>
      </c>
      <c r="S1530" s="58">
        <v>0</v>
      </c>
      <c r="T1530" s="58">
        <v>0</v>
      </c>
      <c r="U1530" s="58">
        <v>0</v>
      </c>
      <c r="V1530" s="58">
        <v>0</v>
      </c>
      <c r="AG1530" t="s">
        <v>77</v>
      </c>
      <c r="AM1530" s="1" t="str">
        <f t="shared" si="95"/>
        <v>1528_C0013_2742.jpg</v>
      </c>
    </row>
    <row r="1531" spans="1:39" x14ac:dyDescent="0.35">
      <c r="A1531">
        <v>1527</v>
      </c>
      <c r="B1531">
        <v>1528</v>
      </c>
      <c r="F1531" s="64" t="s">
        <v>4744</v>
      </c>
      <c r="G1531" s="64"/>
      <c r="H1531" s="64"/>
      <c r="I1531" s="64">
        <v>1</v>
      </c>
      <c r="J1531" s="32" t="str">
        <f>IF(AND(E1531=1,OR(E1530=0,E1530="")),MAX(#REF!)+1,IF(AND(E1531=1,E1530=1),J1530,""))</f>
        <v/>
      </c>
      <c r="K1531" s="32" t="str">
        <f t="shared" si="94"/>
        <v/>
      </c>
      <c r="L1531" s="32" t="str">
        <f t="shared" si="91"/>
        <v/>
      </c>
      <c r="M1531" s="32" t="str">
        <f t="shared" si="92"/>
        <v/>
      </c>
      <c r="N1531" s="4">
        <v>2</v>
      </c>
      <c r="O1531" s="58">
        <v>0</v>
      </c>
      <c r="P1531" s="58">
        <v>1</v>
      </c>
      <c r="Q1531" s="58">
        <v>0</v>
      </c>
      <c r="R1531" s="58">
        <v>0</v>
      </c>
      <c r="S1531" s="58">
        <v>0</v>
      </c>
      <c r="T1531" s="58">
        <v>0</v>
      </c>
      <c r="U1531" s="58">
        <v>0</v>
      </c>
      <c r="V1531" s="58">
        <v>0</v>
      </c>
      <c r="AG1531" t="s">
        <v>77</v>
      </c>
      <c r="AM1531" s="1" t="str">
        <f t="shared" si="95"/>
        <v>1529_C0013_2739.jpg</v>
      </c>
    </row>
    <row r="1532" spans="1:39" x14ac:dyDescent="0.35">
      <c r="A1532">
        <v>1528</v>
      </c>
      <c r="B1532">
        <v>1529</v>
      </c>
      <c r="F1532" s="64" t="s">
        <v>4745</v>
      </c>
      <c r="G1532" s="64"/>
      <c r="H1532" s="64"/>
      <c r="I1532" s="64">
        <v>1</v>
      </c>
      <c r="J1532" s="32" t="str">
        <f>IF(AND(E1532=1,OR(E1531=0,E1531="")),MAX(#REF!)+1,IF(AND(E1532=1,E1531=1),J1531,""))</f>
        <v/>
      </c>
      <c r="K1532" s="32" t="str">
        <f t="shared" si="94"/>
        <v/>
      </c>
      <c r="L1532" s="32" t="str">
        <f t="shared" si="91"/>
        <v/>
      </c>
      <c r="M1532" s="32" t="str">
        <f t="shared" si="92"/>
        <v/>
      </c>
      <c r="N1532" s="4">
        <v>2</v>
      </c>
      <c r="O1532" s="58">
        <v>0</v>
      </c>
      <c r="P1532" s="58">
        <v>1</v>
      </c>
      <c r="Q1532" s="58">
        <v>0</v>
      </c>
      <c r="R1532" s="58">
        <v>0</v>
      </c>
      <c r="S1532" s="58">
        <v>0</v>
      </c>
      <c r="T1532" s="58">
        <v>0</v>
      </c>
      <c r="U1532" s="58">
        <v>0</v>
      </c>
      <c r="V1532" s="58">
        <v>0</v>
      </c>
      <c r="AG1532" t="s">
        <v>77</v>
      </c>
      <c r="AM1532" s="1" t="str">
        <f t="shared" si="95"/>
        <v>1530_C0013_2736.jpg</v>
      </c>
    </row>
    <row r="1533" spans="1:39" x14ac:dyDescent="0.35">
      <c r="A1533">
        <v>1529</v>
      </c>
      <c r="B1533">
        <v>1530</v>
      </c>
      <c r="F1533" s="64" t="s">
        <v>4746</v>
      </c>
      <c r="G1533" s="64"/>
      <c r="H1533" s="64"/>
      <c r="I1533" s="64">
        <v>1</v>
      </c>
      <c r="J1533" s="32" t="str">
        <f>IF(AND(E1533=1,OR(E1532=0,E1532="")),MAX(#REF!)+1,IF(AND(E1533=1,E1532=1),J1532,""))</f>
        <v/>
      </c>
      <c r="K1533" s="32" t="str">
        <f t="shared" si="94"/>
        <v/>
      </c>
      <c r="L1533" s="32" t="str">
        <f t="shared" si="91"/>
        <v/>
      </c>
      <c r="M1533" s="32" t="str">
        <f t="shared" si="92"/>
        <v/>
      </c>
      <c r="N1533" s="4">
        <v>2</v>
      </c>
      <c r="O1533" s="58">
        <v>0</v>
      </c>
      <c r="P1533" s="58">
        <v>1</v>
      </c>
      <c r="Q1533" s="58">
        <v>0</v>
      </c>
      <c r="R1533" s="58">
        <v>0</v>
      </c>
      <c r="S1533" s="58">
        <v>0</v>
      </c>
      <c r="T1533" s="58">
        <v>0</v>
      </c>
      <c r="U1533" s="58">
        <v>0</v>
      </c>
      <c r="V1533" s="58">
        <v>0</v>
      </c>
      <c r="AG1533" t="s">
        <v>77</v>
      </c>
      <c r="AM1533" s="1" t="str">
        <f t="shared" si="95"/>
        <v>1531_C0013_2732.jpg</v>
      </c>
    </row>
    <row r="1534" spans="1:39" x14ac:dyDescent="0.35">
      <c r="A1534">
        <v>1530</v>
      </c>
      <c r="B1534">
        <v>1531</v>
      </c>
      <c r="F1534" s="64" t="s">
        <v>4747</v>
      </c>
      <c r="G1534" s="64"/>
      <c r="H1534" s="64"/>
      <c r="I1534" s="64">
        <v>1</v>
      </c>
      <c r="J1534" s="32" t="str">
        <f>IF(AND(E1534=1,OR(E1533=0,E1533="")),MAX(#REF!)+1,IF(AND(E1534=1,E1533=1),J1533,""))</f>
        <v/>
      </c>
      <c r="K1534" s="32" t="str">
        <f t="shared" si="94"/>
        <v/>
      </c>
      <c r="L1534" s="32" t="str">
        <f t="shared" si="91"/>
        <v/>
      </c>
      <c r="M1534" s="32" t="str">
        <f t="shared" si="92"/>
        <v/>
      </c>
      <c r="N1534" s="4">
        <v>2</v>
      </c>
      <c r="O1534" s="58">
        <v>0</v>
      </c>
      <c r="P1534" s="58">
        <v>1</v>
      </c>
      <c r="Q1534" s="58">
        <v>0</v>
      </c>
      <c r="R1534" s="58">
        <v>0</v>
      </c>
      <c r="S1534" s="58">
        <v>0</v>
      </c>
      <c r="T1534" s="58">
        <v>0</v>
      </c>
      <c r="U1534" s="58">
        <v>0</v>
      </c>
      <c r="V1534" s="58">
        <v>0</v>
      </c>
      <c r="AG1534" t="s">
        <v>77</v>
      </c>
      <c r="AM1534" s="1" t="str">
        <f t="shared" si="95"/>
        <v>1532_C0013_2729.jpg</v>
      </c>
    </row>
    <row r="1535" spans="1:39" x14ac:dyDescent="0.35">
      <c r="A1535">
        <v>1531</v>
      </c>
      <c r="B1535">
        <v>1532</v>
      </c>
      <c r="F1535" s="64" t="s">
        <v>4748</v>
      </c>
      <c r="G1535" s="64"/>
      <c r="H1535" s="64"/>
      <c r="I1535" s="64">
        <v>1</v>
      </c>
      <c r="J1535" s="32" t="str">
        <f>IF(AND(E1535=1,OR(E1534=0,E1534="")),MAX(#REF!)+1,IF(AND(E1535=1,E1534=1),J1534,""))</f>
        <v/>
      </c>
      <c r="K1535" s="32" t="str">
        <f t="shared" si="94"/>
        <v/>
      </c>
      <c r="L1535" s="32" t="str">
        <f t="shared" si="91"/>
        <v/>
      </c>
      <c r="M1535" s="32" t="str">
        <f t="shared" si="92"/>
        <v/>
      </c>
      <c r="N1535" s="4">
        <v>2</v>
      </c>
      <c r="O1535" s="58">
        <v>0</v>
      </c>
      <c r="P1535" s="58">
        <v>1</v>
      </c>
      <c r="Q1535" s="58">
        <v>0</v>
      </c>
      <c r="R1535" s="58">
        <v>0</v>
      </c>
      <c r="S1535" s="58">
        <v>0</v>
      </c>
      <c r="T1535" s="58">
        <v>0</v>
      </c>
      <c r="U1535" s="58">
        <v>0</v>
      </c>
      <c r="V1535" s="58">
        <v>0</v>
      </c>
      <c r="AG1535" t="s">
        <v>77</v>
      </c>
      <c r="AM1535" s="1" t="str">
        <f t="shared" si="95"/>
        <v>1533_C0013_2725.jpg</v>
      </c>
    </row>
    <row r="1536" spans="1:39" x14ac:dyDescent="0.35">
      <c r="A1536">
        <v>1532</v>
      </c>
      <c r="B1536">
        <v>1533</v>
      </c>
      <c r="F1536" s="64" t="s">
        <v>4749</v>
      </c>
      <c r="G1536" s="64"/>
      <c r="H1536" s="64"/>
      <c r="I1536" s="64">
        <v>1</v>
      </c>
      <c r="J1536" s="32" t="str">
        <f>IF(AND(E1536=1,OR(E1535=0,E1535="")),MAX(#REF!)+1,IF(AND(E1536=1,E1535=1),J1535,""))</f>
        <v/>
      </c>
      <c r="K1536" s="32" t="str">
        <f t="shared" si="94"/>
        <v/>
      </c>
      <c r="L1536" s="32" t="str">
        <f t="shared" si="91"/>
        <v/>
      </c>
      <c r="M1536" s="32" t="str">
        <f t="shared" si="92"/>
        <v/>
      </c>
      <c r="N1536" s="4">
        <v>2</v>
      </c>
      <c r="O1536" s="58">
        <v>0</v>
      </c>
      <c r="P1536" s="58">
        <v>1</v>
      </c>
      <c r="Q1536" s="58">
        <v>0</v>
      </c>
      <c r="R1536" s="58">
        <v>0</v>
      </c>
      <c r="S1536" s="58">
        <v>0</v>
      </c>
      <c r="T1536" s="58">
        <v>0</v>
      </c>
      <c r="U1536" s="58">
        <v>0</v>
      </c>
      <c r="V1536" s="58">
        <v>0</v>
      </c>
      <c r="AG1536" t="s">
        <v>77</v>
      </c>
      <c r="AM1536" s="1" t="str">
        <f t="shared" si="95"/>
        <v>1534_C0013_2722.jpg</v>
      </c>
    </row>
    <row r="1537" spans="1:39" x14ac:dyDescent="0.35">
      <c r="A1537">
        <v>1533</v>
      </c>
      <c r="B1537">
        <v>1534</v>
      </c>
      <c r="F1537" s="64" t="s">
        <v>4750</v>
      </c>
      <c r="G1537" s="64"/>
      <c r="H1537" s="64"/>
      <c r="I1537" s="64">
        <v>1</v>
      </c>
      <c r="J1537" s="32" t="str">
        <f>IF(AND(E1537=1,OR(E1536=0,E1536="")),MAX(#REF!)+1,IF(AND(E1537=1,E1536=1),J1536,""))</f>
        <v/>
      </c>
      <c r="K1537" s="32" t="str">
        <f t="shared" si="94"/>
        <v/>
      </c>
      <c r="L1537" s="32" t="str">
        <f t="shared" si="91"/>
        <v/>
      </c>
      <c r="M1537" s="32" t="str">
        <f t="shared" si="92"/>
        <v/>
      </c>
      <c r="N1537" s="4">
        <v>2</v>
      </c>
      <c r="O1537" s="58">
        <v>0</v>
      </c>
      <c r="P1537" s="58">
        <v>1</v>
      </c>
      <c r="Q1537" s="58">
        <v>0</v>
      </c>
      <c r="R1537" s="58">
        <v>0</v>
      </c>
      <c r="S1537" s="58">
        <v>0</v>
      </c>
      <c r="T1537" s="58">
        <v>0</v>
      </c>
      <c r="U1537" s="58">
        <v>0</v>
      </c>
      <c r="V1537" s="58">
        <v>0</v>
      </c>
      <c r="AG1537" t="s">
        <v>77</v>
      </c>
      <c r="AM1537" s="1" t="str">
        <f t="shared" si="95"/>
        <v>1535_C0013_2717.jpg</v>
      </c>
    </row>
    <row r="1538" spans="1:39" x14ac:dyDescent="0.35">
      <c r="A1538">
        <v>1534</v>
      </c>
      <c r="B1538">
        <v>1535</v>
      </c>
      <c r="F1538" s="64" t="s">
        <v>4751</v>
      </c>
      <c r="G1538" s="64"/>
      <c r="H1538" s="64"/>
      <c r="I1538" s="64">
        <v>1</v>
      </c>
      <c r="J1538" s="32" t="str">
        <f>IF(AND(E1538=1,OR(E1537=0,E1537="")),MAX(#REF!)+1,IF(AND(E1538=1,E1537=1),J1537,""))</f>
        <v/>
      </c>
      <c r="K1538" s="32" t="str">
        <f t="shared" si="94"/>
        <v/>
      </c>
      <c r="L1538" s="32" t="str">
        <f t="shared" si="91"/>
        <v/>
      </c>
      <c r="M1538" s="32" t="str">
        <f t="shared" si="92"/>
        <v/>
      </c>
      <c r="N1538" s="4">
        <v>2</v>
      </c>
      <c r="O1538" s="58">
        <v>0</v>
      </c>
      <c r="P1538" s="58">
        <v>1</v>
      </c>
      <c r="Q1538" s="58">
        <v>0</v>
      </c>
      <c r="R1538" s="58">
        <v>0</v>
      </c>
      <c r="S1538" s="58">
        <v>0</v>
      </c>
      <c r="T1538" s="58">
        <v>0</v>
      </c>
      <c r="U1538" s="58">
        <v>0</v>
      </c>
      <c r="V1538" s="58">
        <v>0</v>
      </c>
      <c r="AG1538" t="s">
        <v>77</v>
      </c>
      <c r="AM1538" s="1" t="str">
        <f t="shared" si="95"/>
        <v>1536_C0013_2713.jpg</v>
      </c>
    </row>
    <row r="1539" spans="1:39" x14ac:dyDescent="0.35">
      <c r="A1539">
        <v>1535</v>
      </c>
      <c r="B1539">
        <v>1536</v>
      </c>
      <c r="F1539" s="64" t="s">
        <v>4752</v>
      </c>
      <c r="G1539" s="64"/>
      <c r="H1539" s="64"/>
      <c r="I1539" s="64">
        <v>1</v>
      </c>
      <c r="J1539" s="32" t="str">
        <f>IF(AND(E1539=1,OR(E1538=0,E1538="")),MAX(#REF!)+1,IF(AND(E1539=1,E1538=1),J1538,""))</f>
        <v/>
      </c>
      <c r="K1539" s="32" t="str">
        <f t="shared" si="94"/>
        <v/>
      </c>
      <c r="L1539" s="32" t="str">
        <f t="shared" si="91"/>
        <v/>
      </c>
      <c r="M1539" s="32" t="str">
        <f t="shared" si="92"/>
        <v/>
      </c>
      <c r="N1539" s="4">
        <v>2</v>
      </c>
      <c r="O1539" s="58">
        <v>0</v>
      </c>
      <c r="P1539" s="58">
        <v>1</v>
      </c>
      <c r="Q1539" s="58">
        <v>0</v>
      </c>
      <c r="R1539" s="58">
        <v>0</v>
      </c>
      <c r="S1539" s="58">
        <v>0</v>
      </c>
      <c r="T1539" s="58">
        <v>0</v>
      </c>
      <c r="U1539" s="58">
        <v>0</v>
      </c>
      <c r="V1539" s="58">
        <v>0</v>
      </c>
      <c r="AG1539" t="s">
        <v>77</v>
      </c>
      <c r="AM1539" s="1" t="str">
        <f t="shared" si="95"/>
        <v>1537_C0013_2710.jpg</v>
      </c>
    </row>
    <row r="1540" spans="1:39" x14ac:dyDescent="0.35">
      <c r="A1540">
        <v>1536</v>
      </c>
      <c r="B1540">
        <v>1537</v>
      </c>
      <c r="F1540" s="64" t="s">
        <v>4753</v>
      </c>
      <c r="G1540" s="64"/>
      <c r="H1540" s="64"/>
      <c r="I1540" s="64">
        <v>1</v>
      </c>
      <c r="J1540" s="32" t="str">
        <f>IF(AND(E1540=1,OR(E1539=0,E1539="")),MAX(#REF!)+1,IF(AND(E1540=1,E1539=1),J1539,""))</f>
        <v/>
      </c>
      <c r="K1540" s="32" t="str">
        <f t="shared" si="94"/>
        <v/>
      </c>
      <c r="L1540" s="32" t="str">
        <f t="shared" ref="L1540:L1603" si="96">IF(K1540="","",IF(K1540&gt;=100,"HV",""))</f>
        <v/>
      </c>
      <c r="M1540" s="32" t="str">
        <f t="shared" ref="M1540:M1603" si="97">IF(K1540&lt;&gt;"",K1540^2,"")</f>
        <v/>
      </c>
      <c r="N1540" s="4">
        <v>2</v>
      </c>
      <c r="O1540" s="58">
        <v>0</v>
      </c>
      <c r="P1540" s="58">
        <v>1</v>
      </c>
      <c r="Q1540" s="58">
        <v>0</v>
      </c>
      <c r="R1540" s="58">
        <v>0</v>
      </c>
      <c r="S1540" s="58">
        <v>0</v>
      </c>
      <c r="T1540" s="58">
        <v>0</v>
      </c>
      <c r="U1540" s="58">
        <v>0</v>
      </c>
      <c r="V1540" s="58">
        <v>0</v>
      </c>
      <c r="AG1540" t="s">
        <v>77</v>
      </c>
      <c r="AM1540" s="1" t="str">
        <f t="shared" si="95"/>
        <v>1538_C0013_2707.jpg</v>
      </c>
    </row>
    <row r="1541" spans="1:39" x14ac:dyDescent="0.35">
      <c r="A1541">
        <v>1537</v>
      </c>
      <c r="B1541">
        <v>1538</v>
      </c>
      <c r="F1541" s="64" t="s">
        <v>4754</v>
      </c>
      <c r="G1541" s="64"/>
      <c r="H1541" s="64"/>
      <c r="I1541" s="64">
        <v>1</v>
      </c>
      <c r="J1541" s="32" t="str">
        <f>IF(AND(E1541=1,OR(E1540=0,E1540="")),MAX(#REF!)+1,IF(AND(E1541=1,E1540=1),J1540,""))</f>
        <v/>
      </c>
      <c r="K1541" s="32" t="str">
        <f t="shared" si="94"/>
        <v/>
      </c>
      <c r="L1541" s="32" t="str">
        <f t="shared" si="96"/>
        <v/>
      </c>
      <c r="M1541" s="32" t="str">
        <f t="shared" si="97"/>
        <v/>
      </c>
      <c r="N1541" s="4">
        <v>2</v>
      </c>
      <c r="O1541" s="58">
        <v>0</v>
      </c>
      <c r="P1541" s="58">
        <v>1</v>
      </c>
      <c r="Q1541" s="58">
        <v>0</v>
      </c>
      <c r="R1541" s="58">
        <v>0</v>
      </c>
      <c r="S1541" s="58">
        <v>0</v>
      </c>
      <c r="T1541" s="58">
        <v>0</v>
      </c>
      <c r="U1541" s="58">
        <v>0</v>
      </c>
      <c r="V1541" s="58">
        <v>0</v>
      </c>
      <c r="AG1541" t="s">
        <v>77</v>
      </c>
      <c r="AM1541" s="1" t="str">
        <f t="shared" si="95"/>
        <v>1539_C0013_2702.jpg</v>
      </c>
    </row>
    <row r="1542" spans="1:39" x14ac:dyDescent="0.35">
      <c r="A1542">
        <v>1538</v>
      </c>
      <c r="B1542">
        <v>1539</v>
      </c>
      <c r="F1542" s="64" t="s">
        <v>4755</v>
      </c>
      <c r="G1542" s="64"/>
      <c r="H1542" s="64"/>
      <c r="I1542" s="64">
        <v>1</v>
      </c>
      <c r="J1542" s="32" t="str">
        <f>IF(AND(E1542=1,OR(E1541=0,E1541="")),MAX(#REF!)+1,IF(AND(E1542=1,E1541=1),J1541,""))</f>
        <v/>
      </c>
      <c r="K1542" s="32" t="str">
        <f t="shared" si="94"/>
        <v/>
      </c>
      <c r="L1542" s="32" t="str">
        <f t="shared" si="96"/>
        <v/>
      </c>
      <c r="M1542" s="32" t="str">
        <f t="shared" si="97"/>
        <v/>
      </c>
      <c r="N1542" s="4">
        <v>2</v>
      </c>
      <c r="O1542" s="58">
        <v>0</v>
      </c>
      <c r="P1542" s="58">
        <v>1</v>
      </c>
      <c r="Q1542" s="58">
        <v>0</v>
      </c>
      <c r="R1542" s="58">
        <v>0</v>
      </c>
      <c r="S1542" s="58">
        <v>0</v>
      </c>
      <c r="T1542" s="58">
        <v>0</v>
      </c>
      <c r="U1542" s="58">
        <v>0</v>
      </c>
      <c r="V1542" s="58">
        <v>0</v>
      </c>
      <c r="AG1542" t="s">
        <v>77</v>
      </c>
      <c r="AM1542" s="1" t="str">
        <f t="shared" si="95"/>
        <v>1540_C0013_2698.jpg</v>
      </c>
    </row>
    <row r="1543" spans="1:39" x14ac:dyDescent="0.35">
      <c r="A1543">
        <v>1539</v>
      </c>
      <c r="B1543">
        <v>1540</v>
      </c>
      <c r="F1543" s="64" t="s">
        <v>4756</v>
      </c>
      <c r="G1543" s="64"/>
      <c r="H1543" s="64"/>
      <c r="I1543" s="64">
        <v>1</v>
      </c>
      <c r="J1543" s="32" t="str">
        <f>IF(AND(E1543=1,OR(E1542=0,E1542="")),MAX(#REF!)+1,IF(AND(E1543=1,E1542=1),J1542,""))</f>
        <v/>
      </c>
      <c r="K1543" s="32" t="str">
        <f t="shared" si="94"/>
        <v/>
      </c>
      <c r="L1543" s="32" t="str">
        <f t="shared" si="96"/>
        <v/>
      </c>
      <c r="M1543" s="32" t="str">
        <f t="shared" si="97"/>
        <v/>
      </c>
      <c r="N1543" s="4">
        <v>2</v>
      </c>
      <c r="O1543" s="58">
        <v>0</v>
      </c>
      <c r="P1543" s="58">
        <v>1</v>
      </c>
      <c r="Q1543" s="58">
        <v>0</v>
      </c>
      <c r="R1543" s="58">
        <v>0</v>
      </c>
      <c r="S1543" s="58">
        <v>0</v>
      </c>
      <c r="T1543" s="58">
        <v>0</v>
      </c>
      <c r="U1543" s="58">
        <v>0</v>
      </c>
      <c r="V1543" s="58">
        <v>0</v>
      </c>
      <c r="AG1543" t="s">
        <v>77</v>
      </c>
      <c r="AM1543" s="1" t="str">
        <f t="shared" si="95"/>
        <v>1541_C0013_2696.jpg</v>
      </c>
    </row>
    <row r="1544" spans="1:39" x14ac:dyDescent="0.35">
      <c r="A1544">
        <v>1540</v>
      </c>
      <c r="B1544">
        <v>1541</v>
      </c>
      <c r="F1544" s="64" t="s">
        <v>4757</v>
      </c>
      <c r="G1544" s="64"/>
      <c r="H1544" s="64"/>
      <c r="I1544" s="64">
        <v>1</v>
      </c>
      <c r="J1544" s="32" t="str">
        <f>IF(AND(E1544=1,OR(E1543=0,E1543="")),MAX(#REF!)+1,IF(AND(E1544=1,E1543=1),J1543,""))</f>
        <v/>
      </c>
      <c r="K1544" s="32" t="str">
        <f t="shared" si="94"/>
        <v/>
      </c>
      <c r="L1544" s="32" t="str">
        <f t="shared" si="96"/>
        <v/>
      </c>
      <c r="M1544" s="32" t="str">
        <f t="shared" si="97"/>
        <v/>
      </c>
      <c r="N1544" s="4">
        <v>2</v>
      </c>
      <c r="O1544" s="58">
        <v>0</v>
      </c>
      <c r="P1544" s="58">
        <v>1</v>
      </c>
      <c r="Q1544" s="58">
        <v>0</v>
      </c>
      <c r="R1544" s="58">
        <v>0</v>
      </c>
      <c r="S1544" s="58">
        <v>0</v>
      </c>
      <c r="T1544" s="58">
        <v>0</v>
      </c>
      <c r="U1544" s="58">
        <v>0</v>
      </c>
      <c r="V1544" s="58">
        <v>0</v>
      </c>
      <c r="AG1544" t="s">
        <v>77</v>
      </c>
      <c r="AM1544" s="1" t="str">
        <f t="shared" si="95"/>
        <v>1542_C0013_2693.jpg</v>
      </c>
    </row>
    <row r="1545" spans="1:39" x14ac:dyDescent="0.35">
      <c r="A1545">
        <v>1541</v>
      </c>
      <c r="B1545">
        <v>1542</v>
      </c>
      <c r="F1545" s="64" t="s">
        <v>4758</v>
      </c>
      <c r="G1545" s="64"/>
      <c r="H1545" s="64"/>
      <c r="I1545" s="64">
        <v>1</v>
      </c>
      <c r="J1545" s="32" t="str">
        <f>IF(AND(E1545=1,OR(E1544=0,E1544="")),MAX(#REF!)+1,IF(AND(E1545=1,E1544=1),J1544,""))</f>
        <v/>
      </c>
      <c r="K1545" s="32" t="str">
        <f t="shared" si="94"/>
        <v/>
      </c>
      <c r="L1545" s="32" t="str">
        <f t="shared" si="96"/>
        <v/>
      </c>
      <c r="M1545" s="32" t="str">
        <f t="shared" si="97"/>
        <v/>
      </c>
      <c r="N1545" s="4">
        <v>2</v>
      </c>
      <c r="O1545" s="58">
        <v>0</v>
      </c>
      <c r="P1545" s="58">
        <v>1</v>
      </c>
      <c r="Q1545" s="58">
        <v>0</v>
      </c>
      <c r="R1545" s="58">
        <v>0</v>
      </c>
      <c r="S1545" s="58">
        <v>0</v>
      </c>
      <c r="T1545" s="58">
        <v>0</v>
      </c>
      <c r="U1545" s="58">
        <v>0</v>
      </c>
      <c r="V1545" s="58">
        <v>0</v>
      </c>
      <c r="AG1545" t="s">
        <v>77</v>
      </c>
      <c r="AM1545" s="1" t="str">
        <f t="shared" si="95"/>
        <v>1543_C0013_2689.jpg</v>
      </c>
    </row>
    <row r="1546" spans="1:39" x14ac:dyDescent="0.35">
      <c r="A1546">
        <v>1542</v>
      </c>
      <c r="B1546">
        <v>1543</v>
      </c>
      <c r="F1546" s="64" t="s">
        <v>4759</v>
      </c>
      <c r="G1546" s="64"/>
      <c r="H1546" s="64"/>
      <c r="I1546" s="64">
        <v>1</v>
      </c>
      <c r="J1546" s="32" t="str">
        <f>IF(AND(E1546=1,OR(E1545=0,E1545="")),MAX(#REF!)+1,IF(AND(E1546=1,E1545=1),J1545,""))</f>
        <v/>
      </c>
      <c r="K1546" s="32" t="str">
        <f t="shared" si="94"/>
        <v/>
      </c>
      <c r="L1546" s="32" t="str">
        <f t="shared" si="96"/>
        <v/>
      </c>
      <c r="M1546" s="32" t="str">
        <f t="shared" si="97"/>
        <v/>
      </c>
      <c r="N1546" s="4">
        <v>2</v>
      </c>
      <c r="O1546" s="58">
        <v>0</v>
      </c>
      <c r="P1546" s="58">
        <v>1</v>
      </c>
      <c r="Q1546" s="58">
        <v>0</v>
      </c>
      <c r="R1546" s="58">
        <v>0</v>
      </c>
      <c r="S1546" s="58">
        <v>0</v>
      </c>
      <c r="T1546" s="58">
        <v>0</v>
      </c>
      <c r="U1546" s="58">
        <v>0</v>
      </c>
      <c r="V1546" s="58">
        <v>0</v>
      </c>
      <c r="AG1546" t="s">
        <v>77</v>
      </c>
      <c r="AM1546" s="1" t="str">
        <f t="shared" si="95"/>
        <v>1544_C0013_2686.jpg</v>
      </c>
    </row>
    <row r="1547" spans="1:39" x14ac:dyDescent="0.35">
      <c r="A1547">
        <v>1543</v>
      </c>
      <c r="B1547">
        <v>1544</v>
      </c>
      <c r="F1547" s="64" t="s">
        <v>4760</v>
      </c>
      <c r="G1547" s="64"/>
      <c r="H1547" s="64"/>
      <c r="I1547" s="64">
        <v>1</v>
      </c>
      <c r="J1547" s="32" t="str">
        <f>IF(AND(E1547=1,OR(E1546=0,E1546="")),MAX(#REF!)+1,IF(AND(E1547=1,E1546=1),J1546,""))</f>
        <v/>
      </c>
      <c r="K1547" s="32" t="str">
        <f t="shared" si="94"/>
        <v/>
      </c>
      <c r="L1547" s="32" t="str">
        <f t="shared" si="96"/>
        <v/>
      </c>
      <c r="M1547" s="32" t="str">
        <f t="shared" si="97"/>
        <v/>
      </c>
      <c r="N1547" s="4">
        <v>2</v>
      </c>
      <c r="O1547" s="58">
        <v>0</v>
      </c>
      <c r="P1547" s="58">
        <v>1</v>
      </c>
      <c r="Q1547" s="58">
        <v>0</v>
      </c>
      <c r="R1547" s="58">
        <v>0</v>
      </c>
      <c r="S1547" s="58">
        <v>0</v>
      </c>
      <c r="T1547" s="58">
        <v>0</v>
      </c>
      <c r="U1547" s="58">
        <v>0</v>
      </c>
      <c r="V1547" s="58">
        <v>0</v>
      </c>
      <c r="AG1547" t="s">
        <v>77</v>
      </c>
      <c r="AM1547" s="1" t="str">
        <f t="shared" si="95"/>
        <v>1545_C0013_2683.jpg</v>
      </c>
    </row>
    <row r="1548" spans="1:39" x14ac:dyDescent="0.35">
      <c r="A1548">
        <v>1544</v>
      </c>
      <c r="B1548">
        <v>1545</v>
      </c>
      <c r="F1548" s="64" t="s">
        <v>4761</v>
      </c>
      <c r="G1548" s="64"/>
      <c r="H1548" s="64"/>
      <c r="I1548" s="64">
        <v>0</v>
      </c>
      <c r="J1548" s="32" t="str">
        <f>IF(AND(E1548=1,OR(E1547=0,E1547="")),MAX(#REF!)+1,IF(AND(E1548=1,E1547=1),J1547,""))</f>
        <v/>
      </c>
      <c r="K1548" s="32" t="str">
        <f t="shared" si="94"/>
        <v/>
      </c>
      <c r="L1548" s="32" t="str">
        <f t="shared" si="96"/>
        <v/>
      </c>
      <c r="M1548" s="32" t="str">
        <f t="shared" si="97"/>
        <v/>
      </c>
      <c r="N1548" s="4">
        <v>2</v>
      </c>
      <c r="O1548" s="58">
        <v>0</v>
      </c>
      <c r="P1548" s="58">
        <v>1</v>
      </c>
      <c r="Q1548" s="58">
        <v>0</v>
      </c>
      <c r="R1548" s="58">
        <v>0</v>
      </c>
      <c r="S1548" s="58">
        <v>0</v>
      </c>
      <c r="T1548" s="58">
        <v>0</v>
      </c>
      <c r="U1548" s="58">
        <v>0</v>
      </c>
      <c r="V1548" s="58">
        <v>0</v>
      </c>
      <c r="AG1548" t="s">
        <v>77</v>
      </c>
      <c r="AM1548" s="1"/>
    </row>
    <row r="1549" spans="1:39" x14ac:dyDescent="0.35">
      <c r="A1549">
        <v>1545</v>
      </c>
      <c r="B1549">
        <v>1546</v>
      </c>
      <c r="F1549" s="64"/>
      <c r="G1549" s="64"/>
      <c r="H1549" s="64" t="s">
        <v>26</v>
      </c>
      <c r="I1549" s="64"/>
      <c r="J1549" s="32" t="str">
        <f>IF(AND(E1549=1,OR(E1548=0,E1548="")),MAX(#REF!)+1,IF(AND(E1549=1,E1548=1),J1548,""))</f>
        <v/>
      </c>
      <c r="K1549" s="32" t="str">
        <f t="shared" si="94"/>
        <v/>
      </c>
      <c r="L1549" s="32" t="str">
        <f t="shared" si="96"/>
        <v/>
      </c>
      <c r="M1549" s="32" t="str">
        <f t="shared" si="97"/>
        <v/>
      </c>
      <c r="N1549" s="4"/>
      <c r="AG1549" t="s">
        <v>77</v>
      </c>
      <c r="AM1549" s="1" t="str">
        <f t="shared" ref="AM1549:AM1556" si="98">HYPERLINK("E:\CAFNEC_GBRF\2023\JohnstoneRiver\Frames_for_Analysis\" &amp; F1550, F1550)</f>
        <v>1547_C0013_2681.jpg</v>
      </c>
    </row>
    <row r="1550" spans="1:39" x14ac:dyDescent="0.35">
      <c r="A1550">
        <v>1546</v>
      </c>
      <c r="B1550">
        <v>1547</v>
      </c>
      <c r="F1550" s="64" t="s">
        <v>4762</v>
      </c>
      <c r="G1550" s="64"/>
      <c r="H1550" s="64" t="s">
        <v>26</v>
      </c>
      <c r="I1550" s="64"/>
      <c r="J1550" s="32" t="str">
        <f>IF(AND(E1550=1,OR(E1549=0,E1549="")),MAX(#REF!)+1,IF(AND(E1550=1,E1549=1),J1549,""))</f>
        <v/>
      </c>
      <c r="K1550" s="32" t="str">
        <f t="shared" si="94"/>
        <v/>
      </c>
      <c r="L1550" s="32" t="str">
        <f t="shared" si="96"/>
        <v/>
      </c>
      <c r="M1550" s="32" t="str">
        <f t="shared" si="97"/>
        <v/>
      </c>
      <c r="N1550" s="4"/>
      <c r="AG1550" t="s">
        <v>77</v>
      </c>
      <c r="AM1550" s="1" t="str">
        <f t="shared" si="98"/>
        <v>1548_C0013_2680.jpg</v>
      </c>
    </row>
    <row r="1551" spans="1:39" x14ac:dyDescent="0.35">
      <c r="A1551">
        <v>1547</v>
      </c>
      <c r="B1551">
        <v>1548</v>
      </c>
      <c r="F1551" s="64" t="s">
        <v>4763</v>
      </c>
      <c r="G1551" s="64"/>
      <c r="H1551" s="64" t="s">
        <v>26</v>
      </c>
      <c r="I1551" s="64"/>
      <c r="J1551" s="32" t="str">
        <f>IF(AND(E1551=1,OR(E1550=0,E1550="")),MAX(#REF!)+1,IF(AND(E1551=1,E1550=1),J1550,""))</f>
        <v/>
      </c>
      <c r="K1551" s="32" t="str">
        <f t="shared" si="94"/>
        <v/>
      </c>
      <c r="L1551" s="32" t="str">
        <f t="shared" si="96"/>
        <v/>
      </c>
      <c r="M1551" s="32" t="str">
        <f t="shared" si="97"/>
        <v/>
      </c>
      <c r="N1551" s="4"/>
      <c r="AG1551" t="s">
        <v>77</v>
      </c>
      <c r="AM1551" s="1" t="str">
        <f t="shared" si="98"/>
        <v>1549_C0013_2679.jpg</v>
      </c>
    </row>
    <row r="1552" spans="1:39" x14ac:dyDescent="0.35">
      <c r="A1552">
        <v>1548</v>
      </c>
      <c r="B1552">
        <v>1549</v>
      </c>
      <c r="F1552" s="64" t="s">
        <v>4764</v>
      </c>
      <c r="G1552" s="64"/>
      <c r="H1552" s="64" t="s">
        <v>26</v>
      </c>
      <c r="I1552" s="64"/>
      <c r="J1552" s="32" t="str">
        <f>IF(AND(E1552=1,OR(E1551=0,E1551="")),MAX(#REF!)+1,IF(AND(E1552=1,E1551=1),J1551,""))</f>
        <v/>
      </c>
      <c r="K1552" s="32" t="str">
        <f t="shared" si="94"/>
        <v/>
      </c>
      <c r="L1552" s="32" t="str">
        <f t="shared" si="96"/>
        <v/>
      </c>
      <c r="M1552" s="32" t="str">
        <f t="shared" si="97"/>
        <v/>
      </c>
      <c r="N1552" s="4"/>
      <c r="AG1552" t="s">
        <v>77</v>
      </c>
      <c r="AM1552" s="1" t="str">
        <f t="shared" si="98"/>
        <v>1550_C0013_2677.jpg</v>
      </c>
    </row>
    <row r="1553" spans="1:39" x14ac:dyDescent="0.35">
      <c r="A1553">
        <v>1549</v>
      </c>
      <c r="B1553">
        <v>1550</v>
      </c>
      <c r="F1553" s="64" t="s">
        <v>4765</v>
      </c>
      <c r="G1553" s="64"/>
      <c r="H1553" s="64" t="s">
        <v>26</v>
      </c>
      <c r="I1553" s="64"/>
      <c r="J1553" s="32" t="str">
        <f>IF(AND(E1553=1,OR(E1552=0,E1552="")),MAX(#REF!)+1,IF(AND(E1553=1,E1552=1),J1552,""))</f>
        <v/>
      </c>
      <c r="K1553" s="32" t="str">
        <f t="shared" si="94"/>
        <v/>
      </c>
      <c r="L1553" s="32" t="str">
        <f t="shared" si="96"/>
        <v/>
      </c>
      <c r="M1553" s="32" t="str">
        <f t="shared" si="97"/>
        <v/>
      </c>
      <c r="N1553" s="4"/>
      <c r="AG1553" t="s">
        <v>77</v>
      </c>
      <c r="AM1553" s="1" t="str">
        <f t="shared" si="98"/>
        <v>1551_C0013_2678.jpg</v>
      </c>
    </row>
    <row r="1554" spans="1:39" x14ac:dyDescent="0.35">
      <c r="A1554">
        <v>1550</v>
      </c>
      <c r="B1554">
        <v>1551</v>
      </c>
      <c r="F1554" s="64" t="s">
        <v>4766</v>
      </c>
      <c r="G1554" s="64"/>
      <c r="H1554" s="64" t="s">
        <v>26</v>
      </c>
      <c r="I1554" s="64"/>
      <c r="J1554" s="32" t="str">
        <f>IF(AND(E1554=1,OR(E1553=0,E1553="")),MAX(#REF!)+1,IF(AND(E1554=1,E1553=1),J1553,""))</f>
        <v/>
      </c>
      <c r="K1554" s="32" t="str">
        <f t="shared" si="94"/>
        <v/>
      </c>
      <c r="L1554" s="32" t="str">
        <f t="shared" si="96"/>
        <v/>
      </c>
      <c r="M1554" s="32" t="str">
        <f t="shared" si="97"/>
        <v/>
      </c>
      <c r="N1554" s="4"/>
      <c r="AG1554" t="s">
        <v>77</v>
      </c>
      <c r="AM1554" s="1" t="str">
        <f t="shared" si="98"/>
        <v>1552_C0013_2675.jpg</v>
      </c>
    </row>
    <row r="1555" spans="1:39" x14ac:dyDescent="0.35">
      <c r="A1555">
        <v>1551</v>
      </c>
      <c r="B1555">
        <v>1552</v>
      </c>
      <c r="F1555" s="64" t="s">
        <v>4767</v>
      </c>
      <c r="G1555" s="64"/>
      <c r="H1555" s="64" t="s">
        <v>26</v>
      </c>
      <c r="I1555" s="64"/>
      <c r="J1555" s="32" t="str">
        <f>IF(AND(E1555=1,OR(E1554=0,E1554="")),MAX(#REF!)+1,IF(AND(E1555=1,E1554=1),J1554,""))</f>
        <v/>
      </c>
      <c r="K1555" s="32" t="str">
        <f t="shared" si="94"/>
        <v/>
      </c>
      <c r="L1555" s="32" t="str">
        <f t="shared" si="96"/>
        <v/>
      </c>
      <c r="M1555" s="32" t="str">
        <f t="shared" si="97"/>
        <v/>
      </c>
      <c r="N1555" s="4"/>
      <c r="AG1555" t="s">
        <v>77</v>
      </c>
      <c r="AM1555" s="1" t="str">
        <f t="shared" si="98"/>
        <v>1553_C0013_2676.jpg</v>
      </c>
    </row>
    <row r="1556" spans="1:39" x14ac:dyDescent="0.35">
      <c r="A1556">
        <v>1552</v>
      </c>
      <c r="B1556">
        <v>1553</v>
      </c>
      <c r="F1556" s="64" t="s">
        <v>4768</v>
      </c>
      <c r="G1556" s="64"/>
      <c r="H1556" s="64" t="s">
        <v>26</v>
      </c>
      <c r="I1556" s="64"/>
      <c r="J1556" s="32" t="str">
        <f>IF(AND(E1556=1,OR(E1555=0,E1555="")),MAX(#REF!)+1,IF(AND(E1556=1,E1555=1),J1555,""))</f>
        <v/>
      </c>
      <c r="K1556" s="32" t="str">
        <f t="shared" si="94"/>
        <v/>
      </c>
      <c r="L1556" s="32" t="str">
        <f t="shared" si="96"/>
        <v/>
      </c>
      <c r="M1556" s="32" t="str">
        <f t="shared" si="97"/>
        <v/>
      </c>
      <c r="N1556" s="4"/>
      <c r="AG1556" t="s">
        <v>77</v>
      </c>
      <c r="AM1556" s="1" t="str">
        <f t="shared" si="98"/>
        <v>1554_C0013_2673.jpg</v>
      </c>
    </row>
    <row r="1557" spans="1:39" x14ac:dyDescent="0.35">
      <c r="A1557">
        <v>1553</v>
      </c>
      <c r="B1557">
        <v>1554</v>
      </c>
      <c r="F1557" s="64" t="s">
        <v>4769</v>
      </c>
      <c r="G1557" s="64"/>
      <c r="H1557" s="64" t="s">
        <v>26</v>
      </c>
      <c r="I1557" s="64"/>
      <c r="J1557" s="32" t="str">
        <f>IF(AND(E1557=1,OR(E1556=0,E1556="")),MAX(#REF!)+1,IF(AND(E1557=1,E1556=1),J1556,""))</f>
        <v/>
      </c>
      <c r="K1557" s="32" t="str">
        <f t="shared" si="94"/>
        <v/>
      </c>
      <c r="L1557" s="32" t="str">
        <f t="shared" si="96"/>
        <v/>
      </c>
      <c r="M1557" s="32" t="str">
        <f t="shared" si="97"/>
        <v/>
      </c>
      <c r="N1557" s="4"/>
      <c r="AG1557" t="s">
        <v>77</v>
      </c>
      <c r="AM1557" s="1"/>
    </row>
    <row r="1558" spans="1:39" x14ac:dyDescent="0.35">
      <c r="A1558">
        <v>1554</v>
      </c>
      <c r="B1558">
        <v>1555</v>
      </c>
      <c r="F1558" s="64"/>
      <c r="G1558" s="64"/>
      <c r="H1558" s="64" t="s">
        <v>26</v>
      </c>
      <c r="I1558" s="64"/>
      <c r="J1558" s="32" t="str">
        <f>IF(AND(E1558=1,OR(E1557=0,E1557="")),MAX(#REF!)+1,IF(AND(E1558=1,E1557=1),J1557,""))</f>
        <v/>
      </c>
      <c r="K1558" s="32" t="str">
        <f t="shared" si="94"/>
        <v/>
      </c>
      <c r="L1558" s="32" t="str">
        <f t="shared" si="96"/>
        <v/>
      </c>
      <c r="M1558" s="32" t="str">
        <f t="shared" si="97"/>
        <v/>
      </c>
      <c r="N1558" s="4"/>
      <c r="AG1558" t="s">
        <v>77</v>
      </c>
      <c r="AM1558" s="1"/>
    </row>
    <row r="1559" spans="1:39" x14ac:dyDescent="0.35">
      <c r="A1559">
        <v>1555</v>
      </c>
      <c r="B1559">
        <v>1556</v>
      </c>
      <c r="F1559" s="64"/>
      <c r="G1559" s="64"/>
      <c r="H1559" s="64" t="s">
        <v>26</v>
      </c>
      <c r="I1559" s="64"/>
      <c r="J1559" s="32" t="str">
        <f>IF(AND(E1559=1,OR(E1558=0,E1558="")),MAX(#REF!)+1,IF(AND(E1559=1,E1558=1),J1558,""))</f>
        <v/>
      </c>
      <c r="K1559" s="32" t="str">
        <f t="shared" si="94"/>
        <v/>
      </c>
      <c r="L1559" s="32" t="str">
        <f t="shared" si="96"/>
        <v/>
      </c>
      <c r="M1559" s="32" t="str">
        <f t="shared" si="97"/>
        <v/>
      </c>
      <c r="N1559" s="4"/>
      <c r="AG1559" t="s">
        <v>77</v>
      </c>
      <c r="AM1559" s="1" t="str">
        <f>HYPERLINK("E:\CAFNEC_GBRF\2023\JohnstoneRiver\Frames_for_Analysis\" &amp; F1560, F1560)</f>
        <v>1557_C0013_2670.jpg</v>
      </c>
    </row>
    <row r="1560" spans="1:39" x14ac:dyDescent="0.35">
      <c r="A1560">
        <v>1556</v>
      </c>
      <c r="B1560">
        <v>1557</v>
      </c>
      <c r="F1560" s="64" t="s">
        <v>4770</v>
      </c>
      <c r="G1560" s="64"/>
      <c r="H1560" s="64" t="s">
        <v>26</v>
      </c>
      <c r="I1560" s="64"/>
      <c r="J1560" s="32" t="str">
        <f>IF(AND(E1560=1,OR(E1559=0,E1559="")),MAX(#REF!)+1,IF(AND(E1560=1,E1559=1),J1559,""))</f>
        <v/>
      </c>
      <c r="K1560" s="32" t="str">
        <f t="shared" si="94"/>
        <v/>
      </c>
      <c r="L1560" s="32" t="str">
        <f t="shared" si="96"/>
        <v/>
      </c>
      <c r="M1560" s="32" t="str">
        <f t="shared" si="97"/>
        <v/>
      </c>
      <c r="N1560" s="4"/>
      <c r="AG1560" t="s">
        <v>77</v>
      </c>
      <c r="AM1560" s="1" t="str">
        <f>HYPERLINK("E:\CAFNEC_GBRF\2023\JohnstoneRiver\Frames_for_Analysis\" &amp; F1561, F1561)</f>
        <v>1558_C0013_2669.jpg</v>
      </c>
    </row>
    <row r="1561" spans="1:39" x14ac:dyDescent="0.35">
      <c r="A1561">
        <v>1557</v>
      </c>
      <c r="B1561">
        <v>1558</v>
      </c>
      <c r="F1561" s="64" t="s">
        <v>4771</v>
      </c>
      <c r="G1561" s="64"/>
      <c r="H1561" s="64" t="s">
        <v>26</v>
      </c>
      <c r="I1561" s="64"/>
      <c r="J1561" s="32" t="str">
        <f>IF(AND(E1561=1,OR(E1560=0,E1560="")),MAX(#REF!)+1,IF(AND(E1561=1,E1560=1),J1560,""))</f>
        <v/>
      </c>
      <c r="K1561" s="32" t="str">
        <f t="shared" si="94"/>
        <v/>
      </c>
      <c r="L1561" s="32" t="str">
        <f t="shared" si="96"/>
        <v/>
      </c>
      <c r="M1561" s="32" t="str">
        <f t="shared" si="97"/>
        <v/>
      </c>
      <c r="N1561" s="4"/>
      <c r="AG1561" t="s">
        <v>77</v>
      </c>
      <c r="AM1561" s="1"/>
    </row>
    <row r="1562" spans="1:39" x14ac:dyDescent="0.35">
      <c r="A1562">
        <v>1558</v>
      </c>
      <c r="B1562">
        <v>1559</v>
      </c>
      <c r="F1562" s="64"/>
      <c r="G1562" s="64"/>
      <c r="H1562" s="64" t="s">
        <v>26</v>
      </c>
      <c r="I1562" s="64"/>
      <c r="J1562" s="32" t="str">
        <f>IF(AND(E1562=1,OR(E1561=0,E1561="")),MAX(#REF!)+1,IF(AND(E1562=1,E1561=1),J1561,""))</f>
        <v/>
      </c>
      <c r="K1562" s="32" t="str">
        <f t="shared" si="94"/>
        <v/>
      </c>
      <c r="L1562" s="32" t="str">
        <f t="shared" si="96"/>
        <v/>
      </c>
      <c r="M1562" s="32" t="str">
        <f t="shared" si="97"/>
        <v/>
      </c>
      <c r="N1562" s="4"/>
      <c r="AG1562" t="s">
        <v>77</v>
      </c>
      <c r="AM1562" s="1"/>
    </row>
    <row r="1563" spans="1:39" x14ac:dyDescent="0.35">
      <c r="A1563">
        <v>1559</v>
      </c>
      <c r="B1563">
        <v>1560</v>
      </c>
      <c r="F1563" s="64"/>
      <c r="G1563" s="64"/>
      <c r="H1563" s="64" t="s">
        <v>26</v>
      </c>
      <c r="I1563" s="64"/>
      <c r="J1563" s="32" t="str">
        <f>IF(AND(E1563=1,OR(E1562=0,E1562="")),MAX(#REF!)+1,IF(AND(E1563=1,E1562=1),J1562,""))</f>
        <v/>
      </c>
      <c r="K1563" s="32" t="str">
        <f t="shared" si="94"/>
        <v/>
      </c>
      <c r="L1563" s="32" t="str">
        <f t="shared" si="96"/>
        <v/>
      </c>
      <c r="M1563" s="32" t="str">
        <f t="shared" si="97"/>
        <v/>
      </c>
      <c r="N1563" s="4"/>
      <c r="AG1563" t="s">
        <v>77</v>
      </c>
      <c r="AM1563" s="1" t="str">
        <f>HYPERLINK("E:\CAFNEC_GBRF\2023\JohnstoneRiver\Frames_for_Analysis\" &amp; F1564, F1564)</f>
        <v>1561_C0013_2666.jpg</v>
      </c>
    </row>
    <row r="1564" spans="1:39" x14ac:dyDescent="0.35">
      <c r="A1564">
        <v>1560</v>
      </c>
      <c r="B1564">
        <v>1561</v>
      </c>
      <c r="F1564" s="64" t="s">
        <v>4772</v>
      </c>
      <c r="G1564" s="64"/>
      <c r="H1564" s="64" t="s">
        <v>26</v>
      </c>
      <c r="I1564" s="64"/>
      <c r="J1564" s="32" t="str">
        <f>IF(AND(E1564=1,OR(E1563=0,E1563="")),MAX(#REF!)+1,IF(AND(E1564=1,E1563=1),J1563,""))</f>
        <v/>
      </c>
      <c r="K1564" s="32" t="str">
        <f t="shared" si="94"/>
        <v/>
      </c>
      <c r="L1564" s="32" t="str">
        <f t="shared" si="96"/>
        <v/>
      </c>
      <c r="M1564" s="32" t="str">
        <f t="shared" si="97"/>
        <v/>
      </c>
      <c r="N1564" s="4"/>
      <c r="AG1564" t="s">
        <v>77</v>
      </c>
      <c r="AM1564" s="1"/>
    </row>
    <row r="1565" spans="1:39" x14ac:dyDescent="0.35">
      <c r="A1565">
        <v>1561</v>
      </c>
      <c r="B1565">
        <v>1562</v>
      </c>
      <c r="F1565" s="64"/>
      <c r="G1565" s="64"/>
      <c r="H1565" s="64" t="s">
        <v>26</v>
      </c>
      <c r="I1565" s="64"/>
      <c r="J1565" s="32" t="str">
        <f>IF(AND(E1565=1,OR(E1564=0,E1564="")),MAX(#REF!)+1,IF(AND(E1565=1,E1564=1),J1564,""))</f>
        <v/>
      </c>
      <c r="K1565" s="32" t="str">
        <f t="shared" si="94"/>
        <v/>
      </c>
      <c r="L1565" s="32" t="str">
        <f t="shared" si="96"/>
        <v/>
      </c>
      <c r="M1565" s="32" t="str">
        <f t="shared" si="97"/>
        <v/>
      </c>
      <c r="N1565" s="4"/>
      <c r="AG1565" t="s">
        <v>77</v>
      </c>
      <c r="AM1565" s="1"/>
    </row>
    <row r="1566" spans="1:39" x14ac:dyDescent="0.35">
      <c r="A1566">
        <v>1562</v>
      </c>
      <c r="B1566">
        <v>1563</v>
      </c>
      <c r="F1566" s="64"/>
      <c r="G1566" s="64"/>
      <c r="H1566" s="64" t="s">
        <v>26</v>
      </c>
      <c r="I1566" s="64"/>
      <c r="J1566" s="32" t="str">
        <f>IF(AND(E1566=1,OR(E1565=0,E1565="")),MAX(#REF!)+1,IF(AND(E1566=1,E1565=1),J1565,""))</f>
        <v/>
      </c>
      <c r="K1566" s="32" t="str">
        <f t="shared" si="94"/>
        <v/>
      </c>
      <c r="L1566" s="32" t="str">
        <f t="shared" si="96"/>
        <v/>
      </c>
      <c r="M1566" s="32" t="str">
        <f t="shared" si="97"/>
        <v/>
      </c>
      <c r="N1566" s="4"/>
      <c r="AG1566" t="s">
        <v>77</v>
      </c>
      <c r="AM1566" s="1"/>
    </row>
    <row r="1567" spans="1:39" x14ac:dyDescent="0.35">
      <c r="A1567">
        <v>1563</v>
      </c>
      <c r="B1567">
        <v>1564</v>
      </c>
      <c r="F1567" s="64"/>
      <c r="G1567" s="64"/>
      <c r="H1567" s="64" t="s">
        <v>26</v>
      </c>
      <c r="I1567" s="64"/>
      <c r="J1567" s="32" t="str">
        <f>IF(AND(E1567=1,OR(E1566=0,E1566="")),MAX(#REF!)+1,IF(AND(E1567=1,E1566=1),J1566,""))</f>
        <v/>
      </c>
      <c r="K1567" s="32" t="str">
        <f t="shared" ref="K1567:K1630" si="99">IF(J1567="","",COUNTIF(J:J,J1567)*10)</f>
        <v/>
      </c>
      <c r="L1567" s="32" t="str">
        <f t="shared" si="96"/>
        <v/>
      </c>
      <c r="M1567" s="32" t="str">
        <f t="shared" si="97"/>
        <v/>
      </c>
      <c r="N1567" s="4"/>
      <c r="AG1567" t="s">
        <v>77</v>
      </c>
      <c r="AM1567" s="1"/>
    </row>
    <row r="1568" spans="1:39" x14ac:dyDescent="0.35">
      <c r="A1568">
        <v>1564</v>
      </c>
      <c r="B1568">
        <v>1565</v>
      </c>
      <c r="F1568" s="64"/>
      <c r="G1568" s="64"/>
      <c r="H1568" s="64" t="s">
        <v>26</v>
      </c>
      <c r="I1568" s="64"/>
      <c r="J1568" s="32" t="str">
        <f>IF(AND(E1568=1,OR(E1567=0,E1567="")),MAX(#REF!)+1,IF(AND(E1568=1,E1567=1),J1567,""))</f>
        <v/>
      </c>
      <c r="K1568" s="32" t="str">
        <f t="shared" si="99"/>
        <v/>
      </c>
      <c r="L1568" s="32" t="str">
        <f t="shared" si="96"/>
        <v/>
      </c>
      <c r="M1568" s="32" t="str">
        <f t="shared" si="97"/>
        <v/>
      </c>
      <c r="N1568" s="4"/>
      <c r="AG1568" t="s">
        <v>77</v>
      </c>
      <c r="AM1568" s="1"/>
    </row>
    <row r="1569" spans="1:39" x14ac:dyDescent="0.35">
      <c r="A1569">
        <v>1565</v>
      </c>
      <c r="B1569">
        <v>1566</v>
      </c>
      <c r="F1569" s="64"/>
      <c r="G1569" s="64"/>
      <c r="H1569" s="64" t="s">
        <v>26</v>
      </c>
      <c r="I1569" s="64"/>
      <c r="J1569" s="32" t="str">
        <f>IF(AND(E1569=1,OR(E1568=0,E1568="")),MAX(#REF!)+1,IF(AND(E1569=1,E1568=1),J1568,""))</f>
        <v/>
      </c>
      <c r="K1569" s="32" t="str">
        <f t="shared" si="99"/>
        <v/>
      </c>
      <c r="L1569" s="32" t="str">
        <f t="shared" si="96"/>
        <v/>
      </c>
      <c r="M1569" s="32" t="str">
        <f t="shared" si="97"/>
        <v/>
      </c>
      <c r="N1569" s="4"/>
      <c r="AG1569" t="s">
        <v>77</v>
      </c>
      <c r="AM1569" s="1" t="str">
        <f>HYPERLINK("E:\CAFNEC_GBRF\2023\JohnstoneRiver\Frames_for_Analysis\" &amp; F1570, F1570)</f>
        <v>1567_C0013_2665.jpg</v>
      </c>
    </row>
    <row r="1570" spans="1:39" x14ac:dyDescent="0.35">
      <c r="A1570">
        <v>1566</v>
      </c>
      <c r="B1570">
        <v>1567</v>
      </c>
      <c r="F1570" s="64" t="s">
        <v>4773</v>
      </c>
      <c r="G1570" s="64"/>
      <c r="H1570" s="64" t="s">
        <v>26</v>
      </c>
      <c r="I1570" s="64"/>
      <c r="J1570" s="32" t="str">
        <f>IF(AND(E1570=1,OR(E1569=0,E1569="")),MAX(#REF!)+1,IF(AND(E1570=1,E1569=1),J1569,""))</f>
        <v/>
      </c>
      <c r="K1570" s="32" t="str">
        <f t="shared" si="99"/>
        <v/>
      </c>
      <c r="L1570" s="32" t="str">
        <f t="shared" si="96"/>
        <v/>
      </c>
      <c r="M1570" s="32" t="str">
        <f t="shared" si="97"/>
        <v/>
      </c>
      <c r="N1570" s="4"/>
      <c r="AG1570" t="s">
        <v>77</v>
      </c>
      <c r="AM1570" s="1"/>
    </row>
    <row r="1571" spans="1:39" x14ac:dyDescent="0.35">
      <c r="A1571">
        <v>1567</v>
      </c>
      <c r="B1571">
        <v>1568</v>
      </c>
      <c r="F1571" s="64"/>
      <c r="G1571" s="64"/>
      <c r="H1571" s="64" t="s">
        <v>26</v>
      </c>
      <c r="I1571" s="64"/>
      <c r="J1571" s="32" t="str">
        <f>IF(AND(E1571=1,OR(E1570=0,E1570="")),MAX(#REF!)+1,IF(AND(E1571=1,E1570=1),J1570,""))</f>
        <v/>
      </c>
      <c r="K1571" s="32" t="str">
        <f t="shared" si="99"/>
        <v/>
      </c>
      <c r="L1571" s="32" t="str">
        <f t="shared" si="96"/>
        <v/>
      </c>
      <c r="M1571" s="32" t="str">
        <f t="shared" si="97"/>
        <v/>
      </c>
      <c r="N1571" s="4"/>
      <c r="AG1571" t="s">
        <v>77</v>
      </c>
      <c r="AM1571" s="1"/>
    </row>
    <row r="1572" spans="1:39" x14ac:dyDescent="0.35">
      <c r="A1572">
        <v>1568</v>
      </c>
      <c r="B1572">
        <v>1569</v>
      </c>
      <c r="F1572" s="64"/>
      <c r="G1572" s="64"/>
      <c r="H1572" s="64" t="s">
        <v>26</v>
      </c>
      <c r="I1572" s="64"/>
      <c r="J1572" s="32" t="str">
        <f>IF(AND(E1572=1,OR(E1571=0,E1571="")),MAX(#REF!)+1,IF(AND(E1572=1,E1571=1),J1571,""))</f>
        <v/>
      </c>
      <c r="K1572" s="32" t="str">
        <f t="shared" si="99"/>
        <v/>
      </c>
      <c r="L1572" s="32" t="str">
        <f t="shared" si="96"/>
        <v/>
      </c>
      <c r="M1572" s="32" t="str">
        <f t="shared" si="97"/>
        <v/>
      </c>
      <c r="N1572" s="4"/>
      <c r="AG1572" t="s">
        <v>77</v>
      </c>
      <c r="AM1572" s="1"/>
    </row>
    <row r="1573" spans="1:39" x14ac:dyDescent="0.35">
      <c r="A1573">
        <v>1569</v>
      </c>
      <c r="B1573">
        <v>1570</v>
      </c>
      <c r="F1573" s="64"/>
      <c r="G1573" s="64"/>
      <c r="H1573" s="64" t="s">
        <v>26</v>
      </c>
      <c r="I1573" s="64"/>
      <c r="J1573" s="32" t="str">
        <f>IF(AND(E1573=1,OR(E1572=0,E1572="")),MAX(#REF!)+1,IF(AND(E1573=1,E1572=1),J1572,""))</f>
        <v/>
      </c>
      <c r="K1573" s="32" t="str">
        <f t="shared" si="99"/>
        <v/>
      </c>
      <c r="L1573" s="32" t="str">
        <f t="shared" si="96"/>
        <v/>
      </c>
      <c r="M1573" s="32" t="str">
        <f t="shared" si="97"/>
        <v/>
      </c>
      <c r="N1573" s="4"/>
      <c r="AG1573" t="s">
        <v>77</v>
      </c>
      <c r="AM1573" s="1"/>
    </row>
    <row r="1574" spans="1:39" x14ac:dyDescent="0.35">
      <c r="A1574">
        <v>1570</v>
      </c>
      <c r="B1574">
        <v>1571</v>
      </c>
      <c r="F1574" s="64"/>
      <c r="G1574" s="64"/>
      <c r="H1574" s="64" t="s">
        <v>26</v>
      </c>
      <c r="I1574" s="64"/>
      <c r="J1574" s="32" t="str">
        <f>IF(AND(E1574=1,OR(E1573=0,E1573="")),MAX(#REF!)+1,IF(AND(E1574=1,E1573=1),J1573,""))</f>
        <v/>
      </c>
      <c r="K1574" s="32" t="str">
        <f t="shared" si="99"/>
        <v/>
      </c>
      <c r="L1574" s="32" t="str">
        <f t="shared" si="96"/>
        <v/>
      </c>
      <c r="M1574" s="32" t="str">
        <f t="shared" si="97"/>
        <v/>
      </c>
      <c r="N1574" s="4"/>
      <c r="AG1574" t="s">
        <v>77</v>
      </c>
      <c r="AM1574" s="1"/>
    </row>
    <row r="1575" spans="1:39" x14ac:dyDescent="0.35">
      <c r="A1575">
        <v>1571</v>
      </c>
      <c r="B1575">
        <v>1572</v>
      </c>
      <c r="F1575" s="64"/>
      <c r="G1575" s="64"/>
      <c r="H1575" s="64" t="s">
        <v>26</v>
      </c>
      <c r="I1575" s="64"/>
      <c r="J1575" s="32" t="str">
        <f>IF(AND(E1575=1,OR(E1574=0,E1574="")),MAX(#REF!)+1,IF(AND(E1575=1,E1574=1),J1574,""))</f>
        <v/>
      </c>
      <c r="K1575" s="32" t="str">
        <f t="shared" si="99"/>
        <v/>
      </c>
      <c r="L1575" s="32" t="str">
        <f t="shared" si="96"/>
        <v/>
      </c>
      <c r="M1575" s="32" t="str">
        <f t="shared" si="97"/>
        <v/>
      </c>
      <c r="N1575" s="4"/>
      <c r="AG1575" t="s">
        <v>77</v>
      </c>
      <c r="AM1575" s="1"/>
    </row>
    <row r="1576" spans="1:39" x14ac:dyDescent="0.35">
      <c r="A1576">
        <v>1572</v>
      </c>
      <c r="B1576">
        <v>1573</v>
      </c>
      <c r="F1576" s="64"/>
      <c r="G1576" s="64"/>
      <c r="H1576" s="64" t="s">
        <v>26</v>
      </c>
      <c r="I1576" s="64"/>
      <c r="J1576" s="32" t="str">
        <f>IF(AND(E1576=1,OR(E1575=0,E1575="")),MAX(#REF!)+1,IF(AND(E1576=1,E1575=1),J1575,""))</f>
        <v/>
      </c>
      <c r="K1576" s="32" t="str">
        <f t="shared" si="99"/>
        <v/>
      </c>
      <c r="L1576" s="32" t="str">
        <f t="shared" si="96"/>
        <v/>
      </c>
      <c r="M1576" s="32" t="str">
        <f t="shared" si="97"/>
        <v/>
      </c>
      <c r="N1576" s="4"/>
      <c r="AG1576" t="s">
        <v>77</v>
      </c>
      <c r="AM1576" s="1"/>
    </row>
    <row r="1577" spans="1:39" x14ac:dyDescent="0.35">
      <c r="A1577">
        <v>1573</v>
      </c>
      <c r="B1577">
        <v>1574</v>
      </c>
      <c r="F1577" s="64"/>
      <c r="G1577" s="64"/>
      <c r="H1577" s="64" t="s">
        <v>26</v>
      </c>
      <c r="I1577" s="64"/>
      <c r="J1577" s="32" t="str">
        <f>IF(AND(E1577=1,OR(E1576=0,E1576="")),MAX(#REF!)+1,IF(AND(E1577=1,E1576=1),J1576,""))</f>
        <v/>
      </c>
      <c r="K1577" s="32" t="str">
        <f t="shared" si="99"/>
        <v/>
      </c>
      <c r="L1577" s="32" t="str">
        <f t="shared" si="96"/>
        <v/>
      </c>
      <c r="M1577" s="32" t="str">
        <f t="shared" si="97"/>
        <v/>
      </c>
      <c r="N1577" s="4"/>
      <c r="AG1577" t="s">
        <v>77</v>
      </c>
      <c r="AM1577" s="1"/>
    </row>
    <row r="1578" spans="1:39" x14ac:dyDescent="0.35">
      <c r="A1578">
        <v>1574</v>
      </c>
      <c r="B1578">
        <v>1575</v>
      </c>
      <c r="F1578" s="64"/>
      <c r="G1578" s="64"/>
      <c r="H1578" s="64" t="s">
        <v>26</v>
      </c>
      <c r="I1578" s="64"/>
      <c r="J1578" s="32" t="str">
        <f>IF(AND(E1578=1,OR(E1577=0,E1577="")),MAX(#REF!)+1,IF(AND(E1578=1,E1577=1),J1577,""))</f>
        <v/>
      </c>
      <c r="K1578" s="32" t="str">
        <f t="shared" si="99"/>
        <v/>
      </c>
      <c r="L1578" s="32" t="str">
        <f t="shared" si="96"/>
        <v/>
      </c>
      <c r="M1578" s="32" t="str">
        <f t="shared" si="97"/>
        <v/>
      </c>
      <c r="N1578" s="4"/>
      <c r="AG1578" t="s">
        <v>77</v>
      </c>
      <c r="AM1578" s="1"/>
    </row>
    <row r="1579" spans="1:39" x14ac:dyDescent="0.35">
      <c r="A1579">
        <v>1575</v>
      </c>
      <c r="B1579">
        <v>1576</v>
      </c>
      <c r="F1579" s="64"/>
      <c r="G1579" s="64"/>
      <c r="H1579" s="64" t="s">
        <v>26</v>
      </c>
      <c r="I1579" s="64"/>
      <c r="J1579" s="32" t="str">
        <f>IF(AND(E1579=1,OR(E1578=0,E1578="")),MAX(#REF!)+1,IF(AND(E1579=1,E1578=1),J1578,""))</f>
        <v/>
      </c>
      <c r="K1579" s="32" t="str">
        <f t="shared" si="99"/>
        <v/>
      </c>
      <c r="L1579" s="32" t="str">
        <f t="shared" si="96"/>
        <v/>
      </c>
      <c r="M1579" s="32" t="str">
        <f t="shared" si="97"/>
        <v/>
      </c>
      <c r="N1579" s="4"/>
      <c r="AG1579" t="s">
        <v>77</v>
      </c>
      <c r="AM1579" s="1"/>
    </row>
    <row r="1580" spans="1:39" x14ac:dyDescent="0.35">
      <c r="A1580">
        <v>1576</v>
      </c>
      <c r="B1580">
        <v>1577</v>
      </c>
      <c r="F1580" s="64"/>
      <c r="G1580" s="64"/>
      <c r="H1580" s="64" t="s">
        <v>26</v>
      </c>
      <c r="I1580" s="64"/>
      <c r="J1580" s="32" t="str">
        <f>IF(AND(E1580=1,OR(E1579=0,E1579="")),MAX(#REF!)+1,IF(AND(E1580=1,E1579=1),J1579,""))</f>
        <v/>
      </c>
      <c r="K1580" s="32" t="str">
        <f t="shared" si="99"/>
        <v/>
      </c>
      <c r="L1580" s="32" t="str">
        <f t="shared" si="96"/>
        <v/>
      </c>
      <c r="M1580" s="32" t="str">
        <f t="shared" si="97"/>
        <v/>
      </c>
      <c r="N1580" s="4"/>
      <c r="AG1580" t="s">
        <v>77</v>
      </c>
      <c r="AM1580" s="1"/>
    </row>
    <row r="1581" spans="1:39" x14ac:dyDescent="0.35">
      <c r="A1581">
        <v>1577</v>
      </c>
      <c r="B1581">
        <v>1578</v>
      </c>
      <c r="F1581" s="64"/>
      <c r="G1581" s="64"/>
      <c r="H1581" s="64" t="s">
        <v>26</v>
      </c>
      <c r="I1581" s="64"/>
      <c r="J1581" s="32" t="str">
        <f>IF(AND(E1581=1,OR(E1580=0,E1580="")),MAX(#REF!)+1,IF(AND(E1581=1,E1580=1),J1580,""))</f>
        <v/>
      </c>
      <c r="K1581" s="32" t="str">
        <f t="shared" si="99"/>
        <v/>
      </c>
      <c r="L1581" s="32" t="str">
        <f t="shared" si="96"/>
        <v/>
      </c>
      <c r="M1581" s="32" t="str">
        <f t="shared" si="97"/>
        <v/>
      </c>
      <c r="N1581" s="4"/>
      <c r="AG1581" t="s">
        <v>77</v>
      </c>
      <c r="AM1581" s="1"/>
    </row>
    <row r="1582" spans="1:39" x14ac:dyDescent="0.35">
      <c r="A1582">
        <v>1578</v>
      </c>
      <c r="B1582">
        <v>1579</v>
      </c>
      <c r="F1582" s="64"/>
      <c r="G1582" s="64"/>
      <c r="H1582" s="64" t="s">
        <v>26</v>
      </c>
      <c r="I1582" s="64"/>
      <c r="J1582" s="32" t="str">
        <f>IF(AND(E1582=1,OR(E1581=0,E1581="")),MAX(#REF!)+1,IF(AND(E1582=1,E1581=1),J1581,""))</f>
        <v/>
      </c>
      <c r="K1582" s="32" t="str">
        <f t="shared" si="99"/>
        <v/>
      </c>
      <c r="L1582" s="32" t="str">
        <f t="shared" si="96"/>
        <v/>
      </c>
      <c r="M1582" s="32" t="str">
        <f t="shared" si="97"/>
        <v/>
      </c>
      <c r="N1582" s="4"/>
      <c r="AG1582" t="s">
        <v>77</v>
      </c>
      <c r="AM1582" s="1"/>
    </row>
    <row r="1583" spans="1:39" x14ac:dyDescent="0.35">
      <c r="A1583">
        <v>1579</v>
      </c>
      <c r="B1583">
        <v>1580</v>
      </c>
      <c r="F1583" s="64"/>
      <c r="G1583" s="64"/>
      <c r="H1583" s="64" t="s">
        <v>26</v>
      </c>
      <c r="I1583" s="64"/>
      <c r="J1583" s="32" t="str">
        <f>IF(AND(E1583=1,OR(E1582=0,E1582="")),MAX(#REF!)+1,IF(AND(E1583=1,E1582=1),J1582,""))</f>
        <v/>
      </c>
      <c r="K1583" s="32" t="str">
        <f t="shared" si="99"/>
        <v/>
      </c>
      <c r="L1583" s="32" t="str">
        <f t="shared" si="96"/>
        <v/>
      </c>
      <c r="M1583" s="32" t="str">
        <f t="shared" si="97"/>
        <v/>
      </c>
      <c r="N1583" s="4"/>
      <c r="AG1583" t="s">
        <v>77</v>
      </c>
      <c r="AM1583" s="1"/>
    </row>
    <row r="1584" spans="1:39" x14ac:dyDescent="0.35">
      <c r="A1584">
        <v>1580</v>
      </c>
      <c r="B1584">
        <v>1581</v>
      </c>
      <c r="F1584" s="64"/>
      <c r="G1584" s="64"/>
      <c r="H1584" s="64" t="s">
        <v>26</v>
      </c>
      <c r="I1584" s="64"/>
      <c r="J1584" s="32" t="str">
        <f>IF(AND(E1584=1,OR(E1583=0,E1583="")),MAX(#REF!)+1,IF(AND(E1584=1,E1583=1),J1583,""))</f>
        <v/>
      </c>
      <c r="K1584" s="32" t="str">
        <f t="shared" si="99"/>
        <v/>
      </c>
      <c r="L1584" s="32" t="str">
        <f t="shared" si="96"/>
        <v/>
      </c>
      <c r="M1584" s="32" t="str">
        <f t="shared" si="97"/>
        <v/>
      </c>
      <c r="N1584" s="4"/>
      <c r="AG1584" t="s">
        <v>77</v>
      </c>
      <c r="AM1584" s="1"/>
    </row>
    <row r="1585" spans="1:39" x14ac:dyDescent="0.35">
      <c r="A1585">
        <v>1581</v>
      </c>
      <c r="B1585">
        <v>1582</v>
      </c>
      <c r="F1585" s="64"/>
      <c r="G1585" s="64"/>
      <c r="H1585" s="64" t="s">
        <v>26</v>
      </c>
      <c r="I1585" s="64"/>
      <c r="J1585" s="32" t="str">
        <f>IF(AND(E1585=1,OR(E1584=0,E1584="")),MAX(#REF!)+1,IF(AND(E1585=1,E1584=1),J1584,""))</f>
        <v/>
      </c>
      <c r="K1585" s="32" t="str">
        <f t="shared" si="99"/>
        <v/>
      </c>
      <c r="L1585" s="32" t="str">
        <f t="shared" si="96"/>
        <v/>
      </c>
      <c r="M1585" s="32" t="str">
        <f t="shared" si="97"/>
        <v/>
      </c>
      <c r="N1585" s="4"/>
      <c r="AG1585" t="s">
        <v>77</v>
      </c>
      <c r="AM1585" s="1"/>
    </row>
    <row r="1586" spans="1:39" x14ac:dyDescent="0.35">
      <c r="A1586">
        <v>1582</v>
      </c>
      <c r="B1586">
        <v>1583</v>
      </c>
      <c r="F1586" s="64"/>
      <c r="G1586" s="64"/>
      <c r="H1586" s="64" t="s">
        <v>26</v>
      </c>
      <c r="I1586" s="64"/>
      <c r="J1586" s="32" t="str">
        <f>IF(AND(E1586=1,OR(E1585=0,E1585="")),MAX(#REF!)+1,IF(AND(E1586=1,E1585=1),J1585,""))</f>
        <v/>
      </c>
      <c r="K1586" s="32" t="str">
        <f t="shared" si="99"/>
        <v/>
      </c>
      <c r="L1586" s="32" t="str">
        <f t="shared" si="96"/>
        <v/>
      </c>
      <c r="M1586" s="32" t="str">
        <f t="shared" si="97"/>
        <v/>
      </c>
      <c r="N1586" s="4"/>
      <c r="AG1586" t="s">
        <v>77</v>
      </c>
      <c r="AM1586" s="1"/>
    </row>
    <row r="1587" spans="1:39" x14ac:dyDescent="0.35">
      <c r="A1587">
        <v>1583</v>
      </c>
      <c r="B1587">
        <v>1584</v>
      </c>
      <c r="F1587" s="64"/>
      <c r="G1587" s="64"/>
      <c r="H1587" s="64" t="s">
        <v>26</v>
      </c>
      <c r="I1587" s="64"/>
      <c r="J1587" s="32" t="str">
        <f>IF(AND(E1587=1,OR(E1586=0,E1586="")),MAX(#REF!)+1,IF(AND(E1587=1,E1586=1),J1586,""))</f>
        <v/>
      </c>
      <c r="K1587" s="32" t="str">
        <f t="shared" si="99"/>
        <v/>
      </c>
      <c r="L1587" s="32" t="str">
        <f t="shared" si="96"/>
        <v/>
      </c>
      <c r="M1587" s="32" t="str">
        <f t="shared" si="97"/>
        <v/>
      </c>
      <c r="N1587" s="4"/>
      <c r="AG1587" t="s">
        <v>77</v>
      </c>
      <c r="AM1587" s="1"/>
    </row>
    <row r="1588" spans="1:39" x14ac:dyDescent="0.35">
      <c r="A1588">
        <v>1584</v>
      </c>
      <c r="B1588">
        <v>1585</v>
      </c>
      <c r="F1588" s="64"/>
      <c r="G1588" s="64"/>
      <c r="H1588" s="64" t="s">
        <v>26</v>
      </c>
      <c r="I1588" s="64"/>
      <c r="J1588" s="32" t="str">
        <f>IF(AND(E1588=1,OR(E1587=0,E1587="")),MAX(#REF!)+1,IF(AND(E1588=1,E1587=1),J1587,""))</f>
        <v/>
      </c>
      <c r="K1588" s="32" t="str">
        <f t="shared" si="99"/>
        <v/>
      </c>
      <c r="L1588" s="32" t="str">
        <f t="shared" si="96"/>
        <v/>
      </c>
      <c r="M1588" s="32" t="str">
        <f t="shared" si="97"/>
        <v/>
      </c>
      <c r="N1588" s="4"/>
      <c r="AG1588" t="s">
        <v>77</v>
      </c>
      <c r="AM1588" s="1"/>
    </row>
    <row r="1589" spans="1:39" x14ac:dyDescent="0.35">
      <c r="A1589">
        <v>1585</v>
      </c>
      <c r="B1589">
        <v>1586</v>
      </c>
      <c r="F1589" s="64"/>
      <c r="G1589" s="64"/>
      <c r="H1589" s="64" t="s">
        <v>26</v>
      </c>
      <c r="I1589" s="64"/>
      <c r="J1589" s="32" t="str">
        <f>IF(AND(E1589=1,OR(E1588=0,E1588="")),MAX(#REF!)+1,IF(AND(E1589=1,E1588=1),J1588,""))</f>
        <v/>
      </c>
      <c r="K1589" s="32" t="str">
        <f t="shared" si="99"/>
        <v/>
      </c>
      <c r="L1589" s="32" t="str">
        <f t="shared" si="96"/>
        <v/>
      </c>
      <c r="M1589" s="32" t="str">
        <f t="shared" si="97"/>
        <v/>
      </c>
      <c r="N1589" s="4"/>
      <c r="AG1589" t="s">
        <v>77</v>
      </c>
      <c r="AM1589" s="1"/>
    </row>
    <row r="1590" spans="1:39" x14ac:dyDescent="0.35">
      <c r="A1590">
        <v>1586</v>
      </c>
      <c r="B1590">
        <v>1587</v>
      </c>
      <c r="F1590" s="64"/>
      <c r="G1590" s="64"/>
      <c r="H1590" s="64" t="s">
        <v>26</v>
      </c>
      <c r="I1590" s="64"/>
      <c r="J1590" s="32" t="str">
        <f>IF(AND(E1590=1,OR(E1589=0,E1589="")),MAX(#REF!)+1,IF(AND(E1590=1,E1589=1),J1589,""))</f>
        <v/>
      </c>
      <c r="K1590" s="32" t="str">
        <f t="shared" si="99"/>
        <v/>
      </c>
      <c r="L1590" s="32" t="str">
        <f t="shared" si="96"/>
        <v/>
      </c>
      <c r="M1590" s="32" t="str">
        <f t="shared" si="97"/>
        <v/>
      </c>
      <c r="N1590" s="4"/>
      <c r="AG1590" t="s">
        <v>77</v>
      </c>
      <c r="AM1590" s="1"/>
    </row>
    <row r="1591" spans="1:39" x14ac:dyDescent="0.35">
      <c r="A1591">
        <v>1587</v>
      </c>
      <c r="B1591">
        <v>1588</v>
      </c>
      <c r="F1591" s="64"/>
      <c r="G1591" s="64"/>
      <c r="H1591" s="64" t="s">
        <v>26</v>
      </c>
      <c r="I1591" s="64"/>
      <c r="J1591" s="32" t="str">
        <f>IF(AND(E1591=1,OR(E1590=0,E1590="")),MAX(#REF!)+1,IF(AND(E1591=1,E1590=1),J1590,""))</f>
        <v/>
      </c>
      <c r="K1591" s="32" t="str">
        <f t="shared" si="99"/>
        <v/>
      </c>
      <c r="L1591" s="32" t="str">
        <f t="shared" si="96"/>
        <v/>
      </c>
      <c r="M1591" s="32" t="str">
        <f t="shared" si="97"/>
        <v/>
      </c>
      <c r="N1591" s="4"/>
      <c r="AG1591" t="s">
        <v>77</v>
      </c>
      <c r="AM1591" s="1"/>
    </row>
    <row r="1592" spans="1:39" x14ac:dyDescent="0.35">
      <c r="A1592">
        <v>1588</v>
      </c>
      <c r="B1592">
        <v>1589</v>
      </c>
      <c r="F1592" s="64"/>
      <c r="G1592" s="64"/>
      <c r="H1592" s="64" t="s">
        <v>26</v>
      </c>
      <c r="I1592" s="64"/>
      <c r="J1592" s="32" t="str">
        <f>IF(AND(E1592=1,OR(E1591=0,E1591="")),MAX(#REF!)+1,IF(AND(E1592=1,E1591=1),J1591,""))</f>
        <v/>
      </c>
      <c r="K1592" s="32" t="str">
        <f t="shared" si="99"/>
        <v/>
      </c>
      <c r="L1592" s="32" t="str">
        <f t="shared" si="96"/>
        <v/>
      </c>
      <c r="M1592" s="32" t="str">
        <f t="shared" si="97"/>
        <v/>
      </c>
      <c r="N1592" s="4"/>
      <c r="AG1592" t="s">
        <v>77</v>
      </c>
      <c r="AM1592" s="1"/>
    </row>
    <row r="1593" spans="1:39" x14ac:dyDescent="0.35">
      <c r="A1593">
        <v>1589</v>
      </c>
      <c r="B1593">
        <v>1590</v>
      </c>
      <c r="F1593" s="64"/>
      <c r="G1593" s="64"/>
      <c r="H1593" s="64" t="s">
        <v>26</v>
      </c>
      <c r="I1593" s="64"/>
      <c r="J1593" s="32" t="str">
        <f>IF(AND(E1593=1,OR(E1592=0,E1592="")),MAX(#REF!)+1,IF(AND(E1593=1,E1592=1),J1592,""))</f>
        <v/>
      </c>
      <c r="K1593" s="32" t="str">
        <f t="shared" si="99"/>
        <v/>
      </c>
      <c r="L1593" s="32" t="str">
        <f t="shared" si="96"/>
        <v/>
      </c>
      <c r="M1593" s="32" t="str">
        <f t="shared" si="97"/>
        <v/>
      </c>
      <c r="N1593" s="4"/>
      <c r="AG1593" t="s">
        <v>77</v>
      </c>
      <c r="AM1593" s="1"/>
    </row>
    <row r="1594" spans="1:39" x14ac:dyDescent="0.35">
      <c r="A1594">
        <v>1590</v>
      </c>
      <c r="B1594">
        <v>1591</v>
      </c>
      <c r="F1594" s="64"/>
      <c r="G1594" s="64"/>
      <c r="H1594" s="64" t="s">
        <v>26</v>
      </c>
      <c r="I1594" s="64"/>
      <c r="J1594" s="32" t="str">
        <f>IF(AND(E1594=1,OR(E1593=0,E1593="")),MAX(#REF!)+1,IF(AND(E1594=1,E1593=1),J1593,""))</f>
        <v/>
      </c>
      <c r="K1594" s="32" t="str">
        <f t="shared" si="99"/>
        <v/>
      </c>
      <c r="L1594" s="32" t="str">
        <f t="shared" si="96"/>
        <v/>
      </c>
      <c r="M1594" s="32" t="str">
        <f t="shared" si="97"/>
        <v/>
      </c>
      <c r="N1594" s="4"/>
      <c r="AG1594" t="s">
        <v>77</v>
      </c>
      <c r="AM1594" s="1"/>
    </row>
    <row r="1595" spans="1:39" x14ac:dyDescent="0.35">
      <c r="A1595">
        <v>1591</v>
      </c>
      <c r="B1595">
        <v>1592</v>
      </c>
      <c r="F1595" s="64"/>
      <c r="G1595" s="64"/>
      <c r="H1595" s="64" t="s">
        <v>26</v>
      </c>
      <c r="I1595" s="64"/>
      <c r="J1595" s="32" t="str">
        <f>IF(AND(E1595=1,OR(E1594=0,E1594="")),MAX(#REF!)+1,IF(AND(E1595=1,E1594=1),J1594,""))</f>
        <v/>
      </c>
      <c r="K1595" s="32" t="str">
        <f t="shared" si="99"/>
        <v/>
      </c>
      <c r="L1595" s="32" t="str">
        <f t="shared" si="96"/>
        <v/>
      </c>
      <c r="M1595" s="32" t="str">
        <f t="shared" si="97"/>
        <v/>
      </c>
      <c r="N1595" s="4"/>
      <c r="AG1595" t="s">
        <v>77</v>
      </c>
      <c r="AM1595" s="1"/>
    </row>
    <row r="1596" spans="1:39" x14ac:dyDescent="0.35">
      <c r="A1596">
        <v>1592</v>
      </c>
      <c r="B1596">
        <v>1593</v>
      </c>
      <c r="F1596" s="64"/>
      <c r="G1596" s="64"/>
      <c r="H1596" s="64" t="s">
        <v>26</v>
      </c>
      <c r="I1596" s="64"/>
      <c r="J1596" s="32" t="str">
        <f>IF(AND(E1596=1,OR(E1595=0,E1595="")),MAX(#REF!)+1,IF(AND(E1596=1,E1595=1),J1595,""))</f>
        <v/>
      </c>
      <c r="K1596" s="32" t="str">
        <f t="shared" si="99"/>
        <v/>
      </c>
      <c r="L1596" s="32" t="str">
        <f t="shared" si="96"/>
        <v/>
      </c>
      <c r="M1596" s="32" t="str">
        <f t="shared" si="97"/>
        <v/>
      </c>
      <c r="N1596" s="4"/>
      <c r="AG1596" t="s">
        <v>77</v>
      </c>
      <c r="AM1596" s="1"/>
    </row>
    <row r="1597" spans="1:39" x14ac:dyDescent="0.35">
      <c r="A1597">
        <v>1593</v>
      </c>
      <c r="B1597">
        <v>1594</v>
      </c>
      <c r="F1597" s="64"/>
      <c r="G1597" s="64"/>
      <c r="H1597" s="64" t="s">
        <v>26</v>
      </c>
      <c r="I1597" s="64"/>
      <c r="J1597" s="32" t="str">
        <f>IF(AND(E1597=1,OR(E1596=0,E1596="")),MAX(#REF!)+1,IF(AND(E1597=1,E1596=1),J1596,""))</f>
        <v/>
      </c>
      <c r="K1597" s="32" t="str">
        <f t="shared" si="99"/>
        <v/>
      </c>
      <c r="L1597" s="32" t="str">
        <f t="shared" si="96"/>
        <v/>
      </c>
      <c r="M1597" s="32" t="str">
        <f t="shared" si="97"/>
        <v/>
      </c>
      <c r="N1597" s="4"/>
      <c r="AG1597" t="s">
        <v>77</v>
      </c>
      <c r="AM1597" s="1"/>
    </row>
    <row r="1598" spans="1:39" x14ac:dyDescent="0.35">
      <c r="A1598">
        <v>1594</v>
      </c>
      <c r="B1598">
        <v>1595</v>
      </c>
      <c r="F1598" s="64"/>
      <c r="G1598" s="64"/>
      <c r="H1598" s="64" t="s">
        <v>26</v>
      </c>
      <c r="I1598" s="64"/>
      <c r="J1598" s="32" t="str">
        <f>IF(AND(E1598=1,OR(E1597=0,E1597="")),MAX(#REF!)+1,IF(AND(E1598=1,E1597=1),J1597,""))</f>
        <v/>
      </c>
      <c r="K1598" s="32" t="str">
        <f t="shared" si="99"/>
        <v/>
      </c>
      <c r="L1598" s="32" t="str">
        <f t="shared" si="96"/>
        <v/>
      </c>
      <c r="M1598" s="32" t="str">
        <f t="shared" si="97"/>
        <v/>
      </c>
      <c r="N1598" s="4"/>
      <c r="AG1598" t="s">
        <v>77</v>
      </c>
      <c r="AM1598" s="1"/>
    </row>
    <row r="1599" spans="1:39" x14ac:dyDescent="0.35">
      <c r="A1599">
        <v>1595</v>
      </c>
      <c r="B1599">
        <v>1596</v>
      </c>
      <c r="F1599" s="64"/>
      <c r="G1599" s="64"/>
      <c r="H1599" s="64" t="s">
        <v>26</v>
      </c>
      <c r="I1599" s="64"/>
      <c r="J1599" s="32" t="str">
        <f>IF(AND(E1599=1,OR(E1598=0,E1598="")),MAX(#REF!)+1,IF(AND(E1599=1,E1598=1),J1598,""))</f>
        <v/>
      </c>
      <c r="K1599" s="32" t="str">
        <f t="shared" si="99"/>
        <v/>
      </c>
      <c r="L1599" s="32" t="str">
        <f t="shared" si="96"/>
        <v/>
      </c>
      <c r="M1599" s="32" t="str">
        <f t="shared" si="97"/>
        <v/>
      </c>
      <c r="N1599" s="4"/>
      <c r="AG1599" t="s">
        <v>77</v>
      </c>
      <c r="AM1599" s="1"/>
    </row>
    <row r="1600" spans="1:39" x14ac:dyDescent="0.35">
      <c r="A1600">
        <v>1596</v>
      </c>
      <c r="B1600">
        <v>1597</v>
      </c>
      <c r="F1600" s="64"/>
      <c r="G1600" s="64"/>
      <c r="H1600" s="64" t="s">
        <v>26</v>
      </c>
      <c r="I1600" s="64"/>
      <c r="J1600" s="32" t="str">
        <f>IF(AND(E1600=1,OR(E1599=0,E1599="")),MAX(#REF!)+1,IF(AND(E1600=1,E1599=1),J1599,""))</f>
        <v/>
      </c>
      <c r="K1600" s="32" t="str">
        <f t="shared" si="99"/>
        <v/>
      </c>
      <c r="L1600" s="32" t="str">
        <f t="shared" si="96"/>
        <v/>
      </c>
      <c r="M1600" s="32" t="str">
        <f t="shared" si="97"/>
        <v/>
      </c>
      <c r="N1600" s="4"/>
      <c r="AG1600" t="s">
        <v>77</v>
      </c>
      <c r="AM1600" s="1"/>
    </row>
    <row r="1601" spans="1:39" x14ac:dyDescent="0.35">
      <c r="A1601">
        <v>1597</v>
      </c>
      <c r="B1601">
        <v>1598</v>
      </c>
      <c r="F1601" s="64"/>
      <c r="G1601" s="64"/>
      <c r="H1601" s="64" t="s">
        <v>26</v>
      </c>
      <c r="I1601" s="64"/>
      <c r="J1601" s="32" t="str">
        <f>IF(AND(E1601=1,OR(E1600=0,E1600="")),MAX(#REF!)+1,IF(AND(E1601=1,E1600=1),J1600,""))</f>
        <v/>
      </c>
      <c r="K1601" s="32" t="str">
        <f t="shared" si="99"/>
        <v/>
      </c>
      <c r="L1601" s="32" t="str">
        <f t="shared" si="96"/>
        <v/>
      </c>
      <c r="M1601" s="32" t="str">
        <f t="shared" si="97"/>
        <v/>
      </c>
      <c r="N1601" s="4"/>
      <c r="AG1601" t="s">
        <v>77</v>
      </c>
      <c r="AM1601" s="1"/>
    </row>
    <row r="1602" spans="1:39" x14ac:dyDescent="0.35">
      <c r="A1602">
        <v>1598</v>
      </c>
      <c r="B1602">
        <v>1599</v>
      </c>
      <c r="F1602" s="64"/>
      <c r="G1602" s="64"/>
      <c r="H1602" s="64" t="s">
        <v>26</v>
      </c>
      <c r="I1602" s="64"/>
      <c r="J1602" s="32" t="str">
        <f>IF(AND(E1602=1,OR(E1601=0,E1601="")),MAX(#REF!)+1,IF(AND(E1602=1,E1601=1),J1601,""))</f>
        <v/>
      </c>
      <c r="K1602" s="32" t="str">
        <f t="shared" si="99"/>
        <v/>
      </c>
      <c r="L1602" s="32" t="str">
        <f t="shared" si="96"/>
        <v/>
      </c>
      <c r="M1602" s="32" t="str">
        <f t="shared" si="97"/>
        <v/>
      </c>
      <c r="N1602" s="4"/>
      <c r="AG1602" t="s">
        <v>77</v>
      </c>
      <c r="AM1602" s="1"/>
    </row>
    <row r="1603" spans="1:39" x14ac:dyDescent="0.35">
      <c r="A1603">
        <v>1599</v>
      </c>
      <c r="B1603">
        <v>1600</v>
      </c>
      <c r="F1603" s="64"/>
      <c r="G1603" s="64"/>
      <c r="H1603" s="64" t="s">
        <v>26</v>
      </c>
      <c r="I1603" s="64"/>
      <c r="J1603" s="32" t="str">
        <f>IF(AND(E1603=1,OR(E1602=0,E1602="")),MAX(#REF!)+1,IF(AND(E1603=1,E1602=1),J1602,""))</f>
        <v/>
      </c>
      <c r="K1603" s="32" t="str">
        <f t="shared" si="99"/>
        <v/>
      </c>
      <c r="L1603" s="32" t="str">
        <f t="shared" si="96"/>
        <v/>
      </c>
      <c r="M1603" s="32" t="str">
        <f t="shared" si="97"/>
        <v/>
      </c>
      <c r="N1603" s="4"/>
      <c r="AG1603" t="s">
        <v>77</v>
      </c>
      <c r="AM1603" s="1"/>
    </row>
    <row r="1604" spans="1:39" x14ac:dyDescent="0.35">
      <c r="A1604">
        <v>1600</v>
      </c>
      <c r="B1604">
        <v>1601</v>
      </c>
      <c r="F1604" s="64"/>
      <c r="G1604" s="64"/>
      <c r="H1604" s="64" t="s">
        <v>26</v>
      </c>
      <c r="I1604" s="64"/>
      <c r="J1604" s="32" t="str">
        <f>IF(AND(E1604=1,OR(E1603=0,E1603="")),MAX(#REF!)+1,IF(AND(E1604=1,E1603=1),J1603,""))</f>
        <v/>
      </c>
      <c r="K1604" s="32" t="str">
        <f t="shared" si="99"/>
        <v/>
      </c>
      <c r="L1604" s="32" t="str">
        <f t="shared" ref="L1604:L1667" si="100">IF(K1604="","",IF(K1604&gt;=100,"HV",""))</f>
        <v/>
      </c>
      <c r="M1604" s="32" t="str">
        <f t="shared" ref="M1604:M1667" si="101">IF(K1604&lt;&gt;"",K1604^2,"")</f>
        <v/>
      </c>
      <c r="N1604" s="4"/>
      <c r="AG1604" t="s">
        <v>77</v>
      </c>
      <c r="AM1604" s="1"/>
    </row>
    <row r="1605" spans="1:39" x14ac:dyDescent="0.35">
      <c r="A1605">
        <v>1601</v>
      </c>
      <c r="B1605">
        <v>1602</v>
      </c>
      <c r="F1605" s="64"/>
      <c r="G1605" s="64"/>
      <c r="H1605" s="64" t="s">
        <v>26</v>
      </c>
      <c r="I1605" s="64"/>
      <c r="J1605" s="32" t="str">
        <f>IF(AND(E1605=1,OR(E1604=0,E1604="")),MAX(#REF!)+1,IF(AND(E1605=1,E1604=1),J1604,""))</f>
        <v/>
      </c>
      <c r="K1605" s="32" t="str">
        <f t="shared" si="99"/>
        <v/>
      </c>
      <c r="L1605" s="32" t="str">
        <f t="shared" si="100"/>
        <v/>
      </c>
      <c r="M1605" s="32" t="str">
        <f t="shared" si="101"/>
        <v/>
      </c>
      <c r="N1605" s="4"/>
      <c r="AG1605" t="s">
        <v>77</v>
      </c>
      <c r="AM1605" s="1"/>
    </row>
    <row r="1606" spans="1:39" x14ac:dyDescent="0.35">
      <c r="A1606">
        <v>1602</v>
      </c>
      <c r="B1606">
        <v>1603</v>
      </c>
      <c r="F1606" s="64"/>
      <c r="G1606" s="64"/>
      <c r="H1606" s="64" t="s">
        <v>26</v>
      </c>
      <c r="I1606" s="64"/>
      <c r="J1606" s="32" t="str">
        <f>IF(AND(E1606=1,OR(E1605=0,E1605="")),MAX(#REF!)+1,IF(AND(E1606=1,E1605=1),J1605,""))</f>
        <v/>
      </c>
      <c r="K1606" s="32" t="str">
        <f t="shared" si="99"/>
        <v/>
      </c>
      <c r="L1606" s="32" t="str">
        <f t="shared" si="100"/>
        <v/>
      </c>
      <c r="M1606" s="32" t="str">
        <f t="shared" si="101"/>
        <v/>
      </c>
      <c r="N1606" s="4"/>
      <c r="AG1606" t="s">
        <v>77</v>
      </c>
      <c r="AM1606" s="1"/>
    </row>
    <row r="1607" spans="1:39" x14ac:dyDescent="0.35">
      <c r="A1607">
        <v>1603</v>
      </c>
      <c r="B1607">
        <v>1604</v>
      </c>
      <c r="F1607" s="64"/>
      <c r="G1607" s="64"/>
      <c r="H1607" s="64" t="s">
        <v>26</v>
      </c>
      <c r="I1607" s="64"/>
      <c r="J1607" s="32" t="str">
        <f>IF(AND(E1607=1,OR(E1606=0,E1606="")),MAX(#REF!)+1,IF(AND(E1607=1,E1606=1),J1606,""))</f>
        <v/>
      </c>
      <c r="K1607" s="32" t="str">
        <f t="shared" si="99"/>
        <v/>
      </c>
      <c r="L1607" s="32" t="str">
        <f t="shared" si="100"/>
        <v/>
      </c>
      <c r="M1607" s="32" t="str">
        <f t="shared" si="101"/>
        <v/>
      </c>
      <c r="N1607" s="4"/>
      <c r="AG1607" t="s">
        <v>77</v>
      </c>
      <c r="AM1607" s="1"/>
    </row>
    <row r="1608" spans="1:39" x14ac:dyDescent="0.35">
      <c r="A1608">
        <v>1604</v>
      </c>
      <c r="B1608">
        <v>1605</v>
      </c>
      <c r="F1608" s="64"/>
      <c r="G1608" s="64"/>
      <c r="H1608" s="64" t="s">
        <v>26</v>
      </c>
      <c r="I1608" s="64"/>
      <c r="J1608" s="32" t="str">
        <f>IF(AND(E1608=1,OR(E1607=0,E1607="")),MAX(#REF!)+1,IF(AND(E1608=1,E1607=1),J1607,""))</f>
        <v/>
      </c>
      <c r="K1608" s="32" t="str">
        <f t="shared" si="99"/>
        <v/>
      </c>
      <c r="L1608" s="32" t="str">
        <f t="shared" si="100"/>
        <v/>
      </c>
      <c r="M1608" s="32" t="str">
        <f t="shared" si="101"/>
        <v/>
      </c>
      <c r="N1608" s="4"/>
      <c r="AG1608" t="s">
        <v>77</v>
      </c>
      <c r="AM1608" s="1"/>
    </row>
    <row r="1609" spans="1:39" x14ac:dyDescent="0.35">
      <c r="A1609">
        <v>1605</v>
      </c>
      <c r="B1609">
        <v>1606</v>
      </c>
      <c r="F1609" s="64"/>
      <c r="G1609" s="64"/>
      <c r="H1609" s="64" t="s">
        <v>26</v>
      </c>
      <c r="I1609" s="64"/>
      <c r="J1609" s="32" t="str">
        <f>IF(AND(E1609=1,OR(E1608=0,E1608="")),MAX(#REF!)+1,IF(AND(E1609=1,E1608=1),J1608,""))</f>
        <v/>
      </c>
      <c r="K1609" s="32" t="str">
        <f t="shared" si="99"/>
        <v/>
      </c>
      <c r="L1609" s="32" t="str">
        <f t="shared" si="100"/>
        <v/>
      </c>
      <c r="M1609" s="32" t="str">
        <f t="shared" si="101"/>
        <v/>
      </c>
      <c r="N1609" s="4"/>
      <c r="AG1609" t="s">
        <v>77</v>
      </c>
      <c r="AM1609" s="1"/>
    </row>
    <row r="1610" spans="1:39" x14ac:dyDescent="0.35">
      <c r="A1610">
        <v>1606</v>
      </c>
      <c r="B1610">
        <v>1607</v>
      </c>
      <c r="F1610" s="64"/>
      <c r="G1610" s="64"/>
      <c r="H1610" s="64" t="s">
        <v>26</v>
      </c>
      <c r="I1610" s="64"/>
      <c r="J1610" s="32" t="str">
        <f>IF(AND(E1610=1,OR(E1609=0,E1609="")),MAX(#REF!)+1,IF(AND(E1610=1,E1609=1),J1609,""))</f>
        <v/>
      </c>
      <c r="K1610" s="32" t="str">
        <f t="shared" si="99"/>
        <v/>
      </c>
      <c r="L1610" s="32" t="str">
        <f t="shared" si="100"/>
        <v/>
      </c>
      <c r="M1610" s="32" t="str">
        <f t="shared" si="101"/>
        <v/>
      </c>
      <c r="N1610" s="4"/>
      <c r="AG1610" t="s">
        <v>77</v>
      </c>
      <c r="AM1610" s="1"/>
    </row>
    <row r="1611" spans="1:39" x14ac:dyDescent="0.35">
      <c r="A1611">
        <v>1607</v>
      </c>
      <c r="B1611">
        <v>1608</v>
      </c>
      <c r="F1611" s="64"/>
      <c r="G1611" s="64"/>
      <c r="H1611" s="64" t="s">
        <v>26</v>
      </c>
      <c r="I1611" s="64"/>
      <c r="J1611" s="32" t="str">
        <f>IF(AND(E1611=1,OR(E1610=0,E1610="")),MAX(#REF!)+1,IF(AND(E1611=1,E1610=1),J1610,""))</f>
        <v/>
      </c>
      <c r="K1611" s="32" t="str">
        <f t="shared" si="99"/>
        <v/>
      </c>
      <c r="L1611" s="32" t="str">
        <f t="shared" si="100"/>
        <v/>
      </c>
      <c r="M1611" s="32" t="str">
        <f t="shared" si="101"/>
        <v/>
      </c>
      <c r="N1611" s="4"/>
      <c r="AG1611" t="s">
        <v>77</v>
      </c>
      <c r="AM1611" s="1"/>
    </row>
    <row r="1612" spans="1:39" x14ac:dyDescent="0.35">
      <c r="A1612">
        <v>1608</v>
      </c>
      <c r="B1612">
        <v>1609</v>
      </c>
      <c r="F1612" s="64"/>
      <c r="G1612" s="64"/>
      <c r="H1612" s="64" t="s">
        <v>26</v>
      </c>
      <c r="I1612" s="64"/>
      <c r="J1612" s="32" t="str">
        <f>IF(AND(E1612=1,OR(E1611=0,E1611="")),MAX(#REF!)+1,IF(AND(E1612=1,E1611=1),J1611,""))</f>
        <v/>
      </c>
      <c r="K1612" s="32" t="str">
        <f t="shared" si="99"/>
        <v/>
      </c>
      <c r="L1612" s="32" t="str">
        <f t="shared" si="100"/>
        <v/>
      </c>
      <c r="M1612" s="32" t="str">
        <f t="shared" si="101"/>
        <v/>
      </c>
      <c r="N1612" s="4"/>
      <c r="AG1612" t="s">
        <v>77</v>
      </c>
      <c r="AM1612" s="1"/>
    </row>
    <row r="1613" spans="1:39" x14ac:dyDescent="0.35">
      <c r="A1613">
        <v>1609</v>
      </c>
      <c r="B1613">
        <v>1610</v>
      </c>
      <c r="F1613" s="64"/>
      <c r="G1613" s="64"/>
      <c r="H1613" s="64" t="s">
        <v>26</v>
      </c>
      <c r="I1613" s="64"/>
      <c r="J1613" s="32" t="str">
        <f>IF(AND(E1613=1,OR(E1612=0,E1612="")),MAX(#REF!)+1,IF(AND(E1613=1,E1612=1),J1612,""))</f>
        <v/>
      </c>
      <c r="K1613" s="32" t="str">
        <f t="shared" si="99"/>
        <v/>
      </c>
      <c r="L1613" s="32" t="str">
        <f t="shared" si="100"/>
        <v/>
      </c>
      <c r="M1613" s="32" t="str">
        <f t="shared" si="101"/>
        <v/>
      </c>
      <c r="N1613" s="4"/>
      <c r="AG1613" t="s">
        <v>77</v>
      </c>
      <c r="AM1613" s="1"/>
    </row>
    <row r="1614" spans="1:39" x14ac:dyDescent="0.35">
      <c r="A1614">
        <v>1610</v>
      </c>
      <c r="B1614">
        <v>1611</v>
      </c>
      <c r="F1614" s="64"/>
      <c r="G1614" s="64"/>
      <c r="H1614" s="64" t="s">
        <v>26</v>
      </c>
      <c r="I1614" s="64"/>
      <c r="J1614" s="32" t="str">
        <f>IF(AND(E1614=1,OR(E1613=0,E1613="")),MAX(#REF!)+1,IF(AND(E1614=1,E1613=1),J1613,""))</f>
        <v/>
      </c>
      <c r="K1614" s="32" t="str">
        <f t="shared" si="99"/>
        <v/>
      </c>
      <c r="L1614" s="32" t="str">
        <f t="shared" si="100"/>
        <v/>
      </c>
      <c r="M1614" s="32" t="str">
        <f t="shared" si="101"/>
        <v/>
      </c>
      <c r="N1614" s="4"/>
      <c r="AG1614" t="s">
        <v>77</v>
      </c>
      <c r="AM1614" s="1"/>
    </row>
    <row r="1615" spans="1:39" x14ac:dyDescent="0.35">
      <c r="A1615">
        <v>1611</v>
      </c>
      <c r="B1615">
        <v>1612</v>
      </c>
      <c r="F1615" s="64"/>
      <c r="G1615" s="64"/>
      <c r="H1615" s="64" t="s">
        <v>26</v>
      </c>
      <c r="I1615" s="64"/>
      <c r="J1615" s="32" t="str">
        <f>IF(AND(E1615=1,OR(E1614=0,E1614="")),MAX(#REF!)+1,IF(AND(E1615=1,E1614=1),J1614,""))</f>
        <v/>
      </c>
      <c r="K1615" s="32" t="str">
        <f t="shared" si="99"/>
        <v/>
      </c>
      <c r="L1615" s="32" t="str">
        <f t="shared" si="100"/>
        <v/>
      </c>
      <c r="M1615" s="32" t="str">
        <f t="shared" si="101"/>
        <v/>
      </c>
      <c r="N1615" s="4"/>
      <c r="AG1615" t="s">
        <v>77</v>
      </c>
      <c r="AM1615" s="1"/>
    </row>
    <row r="1616" spans="1:39" x14ac:dyDescent="0.35">
      <c r="A1616">
        <v>1612</v>
      </c>
      <c r="B1616">
        <v>1613</v>
      </c>
      <c r="F1616" s="64"/>
      <c r="G1616" s="64"/>
      <c r="H1616" s="64" t="s">
        <v>26</v>
      </c>
      <c r="I1616" s="64"/>
      <c r="J1616" s="32" t="str">
        <f>IF(AND(E1616=1,OR(E1615=0,E1615="")),MAX(#REF!)+1,IF(AND(E1616=1,E1615=1),J1615,""))</f>
        <v/>
      </c>
      <c r="K1616" s="32" t="str">
        <f t="shared" si="99"/>
        <v/>
      </c>
      <c r="L1616" s="32" t="str">
        <f t="shared" si="100"/>
        <v/>
      </c>
      <c r="M1616" s="32" t="str">
        <f t="shared" si="101"/>
        <v/>
      </c>
      <c r="N1616" s="4"/>
      <c r="AG1616" t="s">
        <v>77</v>
      </c>
      <c r="AM1616" s="1"/>
    </row>
    <row r="1617" spans="1:39" x14ac:dyDescent="0.35">
      <c r="A1617">
        <v>1613</v>
      </c>
      <c r="B1617">
        <v>1614</v>
      </c>
      <c r="F1617" s="64"/>
      <c r="G1617" s="64"/>
      <c r="H1617" s="64" t="s">
        <v>26</v>
      </c>
      <c r="I1617" s="64"/>
      <c r="J1617" s="32" t="str">
        <f>IF(AND(E1617=1,OR(E1616=0,E1616="")),MAX(#REF!)+1,IF(AND(E1617=1,E1616=1),J1616,""))</f>
        <v/>
      </c>
      <c r="K1617" s="32" t="str">
        <f t="shared" si="99"/>
        <v/>
      </c>
      <c r="L1617" s="32" t="str">
        <f t="shared" si="100"/>
        <v/>
      </c>
      <c r="M1617" s="32" t="str">
        <f t="shared" si="101"/>
        <v/>
      </c>
      <c r="N1617" s="4"/>
      <c r="AG1617" t="s">
        <v>77</v>
      </c>
      <c r="AM1617" s="1"/>
    </row>
    <row r="1618" spans="1:39" x14ac:dyDescent="0.35">
      <c r="A1618">
        <v>1614</v>
      </c>
      <c r="B1618">
        <v>1615</v>
      </c>
      <c r="F1618" s="64"/>
      <c r="G1618" s="64"/>
      <c r="H1618" s="64" t="s">
        <v>26</v>
      </c>
      <c r="I1618" s="64"/>
      <c r="J1618" s="32" t="str">
        <f>IF(AND(E1618=1,OR(E1617=0,E1617="")),MAX(#REF!)+1,IF(AND(E1618=1,E1617=1),J1617,""))</f>
        <v/>
      </c>
      <c r="K1618" s="32" t="str">
        <f t="shared" si="99"/>
        <v/>
      </c>
      <c r="L1618" s="32" t="str">
        <f t="shared" si="100"/>
        <v/>
      </c>
      <c r="M1618" s="32" t="str">
        <f t="shared" si="101"/>
        <v/>
      </c>
      <c r="N1618" s="4"/>
      <c r="AG1618" t="s">
        <v>77</v>
      </c>
      <c r="AM1618" s="1"/>
    </row>
    <row r="1619" spans="1:39" x14ac:dyDescent="0.35">
      <c r="A1619">
        <v>1615</v>
      </c>
      <c r="B1619">
        <v>1616</v>
      </c>
      <c r="F1619" s="64"/>
      <c r="G1619" s="64"/>
      <c r="H1619" s="64" t="s">
        <v>26</v>
      </c>
      <c r="I1619" s="64"/>
      <c r="J1619" s="32" t="str">
        <f>IF(AND(E1619=1,OR(E1618=0,E1618="")),MAX(#REF!)+1,IF(AND(E1619=1,E1618=1),J1618,""))</f>
        <v/>
      </c>
      <c r="K1619" s="32" t="str">
        <f t="shared" si="99"/>
        <v/>
      </c>
      <c r="L1619" s="32" t="str">
        <f t="shared" si="100"/>
        <v/>
      </c>
      <c r="M1619" s="32" t="str">
        <f t="shared" si="101"/>
        <v/>
      </c>
      <c r="N1619" s="4"/>
      <c r="AG1619" t="s">
        <v>77</v>
      </c>
      <c r="AM1619" s="1"/>
    </row>
    <row r="1620" spans="1:39" x14ac:dyDescent="0.35">
      <c r="A1620">
        <v>1616</v>
      </c>
      <c r="B1620">
        <v>1617</v>
      </c>
      <c r="F1620" s="64"/>
      <c r="G1620" s="64"/>
      <c r="H1620" s="64" t="s">
        <v>26</v>
      </c>
      <c r="I1620" s="64"/>
      <c r="J1620" s="32" t="str">
        <f>IF(AND(E1620=1,OR(E1619=0,E1619="")),MAX(#REF!)+1,IF(AND(E1620=1,E1619=1),J1619,""))</f>
        <v/>
      </c>
      <c r="K1620" s="32" t="str">
        <f t="shared" si="99"/>
        <v/>
      </c>
      <c r="L1620" s="32" t="str">
        <f t="shared" si="100"/>
        <v/>
      </c>
      <c r="M1620" s="32" t="str">
        <f t="shared" si="101"/>
        <v/>
      </c>
      <c r="N1620" s="4"/>
      <c r="AG1620" t="s">
        <v>77</v>
      </c>
      <c r="AM1620" s="1"/>
    </row>
    <row r="1621" spans="1:39" x14ac:dyDescent="0.35">
      <c r="A1621">
        <v>1617</v>
      </c>
      <c r="B1621">
        <v>1618</v>
      </c>
      <c r="F1621" s="64"/>
      <c r="G1621" s="64"/>
      <c r="H1621" s="64" t="s">
        <v>26</v>
      </c>
      <c r="I1621" s="64"/>
      <c r="J1621" s="32" t="str">
        <f>IF(AND(E1621=1,OR(E1620=0,E1620="")),MAX(#REF!)+1,IF(AND(E1621=1,E1620=1),J1620,""))</f>
        <v/>
      </c>
      <c r="K1621" s="32" t="str">
        <f t="shared" si="99"/>
        <v/>
      </c>
      <c r="L1621" s="32" t="str">
        <f t="shared" si="100"/>
        <v/>
      </c>
      <c r="M1621" s="32" t="str">
        <f t="shared" si="101"/>
        <v/>
      </c>
      <c r="N1621" s="4"/>
      <c r="AG1621" t="s">
        <v>77</v>
      </c>
      <c r="AM1621" s="1"/>
    </row>
    <row r="1622" spans="1:39" x14ac:dyDescent="0.35">
      <c r="A1622">
        <v>1618</v>
      </c>
      <c r="B1622">
        <v>1619</v>
      </c>
      <c r="F1622" s="64"/>
      <c r="G1622" s="64"/>
      <c r="H1622" s="64" t="s">
        <v>26</v>
      </c>
      <c r="I1622" s="64"/>
      <c r="J1622" s="32" t="str">
        <f>IF(AND(E1622=1,OR(E1621=0,E1621="")),MAX(#REF!)+1,IF(AND(E1622=1,E1621=1),J1621,""))</f>
        <v/>
      </c>
      <c r="K1622" s="32" t="str">
        <f t="shared" si="99"/>
        <v/>
      </c>
      <c r="L1622" s="32" t="str">
        <f t="shared" si="100"/>
        <v/>
      </c>
      <c r="M1622" s="32" t="str">
        <f t="shared" si="101"/>
        <v/>
      </c>
      <c r="N1622" s="4"/>
      <c r="AG1622" t="s">
        <v>77</v>
      </c>
      <c r="AM1622" s="1"/>
    </row>
    <row r="1623" spans="1:39" x14ac:dyDescent="0.35">
      <c r="A1623">
        <v>1619</v>
      </c>
      <c r="B1623">
        <v>1620</v>
      </c>
      <c r="F1623" s="64"/>
      <c r="G1623" s="64"/>
      <c r="H1623" s="64" t="s">
        <v>26</v>
      </c>
      <c r="I1623" s="64"/>
      <c r="J1623" s="32" t="str">
        <f>IF(AND(E1623=1,OR(E1622=0,E1622="")),MAX(#REF!)+1,IF(AND(E1623=1,E1622=1),J1622,""))</f>
        <v/>
      </c>
      <c r="K1623" s="32" t="str">
        <f t="shared" si="99"/>
        <v/>
      </c>
      <c r="L1623" s="32" t="str">
        <f t="shared" si="100"/>
        <v/>
      </c>
      <c r="M1623" s="32" t="str">
        <f t="shared" si="101"/>
        <v/>
      </c>
      <c r="N1623" s="4"/>
      <c r="AG1623" t="s">
        <v>77</v>
      </c>
      <c r="AM1623" s="1"/>
    </row>
    <row r="1624" spans="1:39" x14ac:dyDescent="0.35">
      <c r="A1624">
        <v>1620</v>
      </c>
      <c r="B1624">
        <v>1621</v>
      </c>
      <c r="F1624" s="64"/>
      <c r="G1624" s="64"/>
      <c r="H1624" s="64" t="s">
        <v>26</v>
      </c>
      <c r="I1624" s="64"/>
      <c r="J1624" s="32" t="str">
        <f>IF(AND(E1624=1,OR(E1623=0,E1623="")),MAX(#REF!)+1,IF(AND(E1624=1,E1623=1),J1623,""))</f>
        <v/>
      </c>
      <c r="K1624" s="32" t="str">
        <f t="shared" si="99"/>
        <v/>
      </c>
      <c r="L1624" s="32" t="str">
        <f t="shared" si="100"/>
        <v/>
      </c>
      <c r="M1624" s="32" t="str">
        <f t="shared" si="101"/>
        <v/>
      </c>
      <c r="N1624" s="4"/>
      <c r="AG1624" t="s">
        <v>77</v>
      </c>
      <c r="AM1624" s="1"/>
    </row>
    <row r="1625" spans="1:39" x14ac:dyDescent="0.35">
      <c r="A1625">
        <v>1621</v>
      </c>
      <c r="B1625">
        <v>1622</v>
      </c>
      <c r="F1625" s="64"/>
      <c r="G1625" s="64"/>
      <c r="H1625" s="64" t="s">
        <v>26</v>
      </c>
      <c r="I1625" s="64"/>
      <c r="J1625" s="32" t="str">
        <f>IF(AND(E1625=1,OR(E1624=0,E1624="")),MAX(#REF!)+1,IF(AND(E1625=1,E1624=1),J1624,""))</f>
        <v/>
      </c>
      <c r="K1625" s="32" t="str">
        <f t="shared" si="99"/>
        <v/>
      </c>
      <c r="L1625" s="32" t="str">
        <f t="shared" si="100"/>
        <v/>
      </c>
      <c r="M1625" s="32" t="str">
        <f t="shared" si="101"/>
        <v/>
      </c>
      <c r="N1625" s="4"/>
      <c r="AG1625" t="s">
        <v>77</v>
      </c>
      <c r="AM1625" s="1"/>
    </row>
    <row r="1626" spans="1:39" x14ac:dyDescent="0.35">
      <c r="A1626">
        <v>1622</v>
      </c>
      <c r="B1626">
        <v>1623</v>
      </c>
      <c r="F1626" s="64"/>
      <c r="G1626" s="64"/>
      <c r="H1626" s="64" t="s">
        <v>26</v>
      </c>
      <c r="I1626" s="64"/>
      <c r="J1626" s="32" t="str">
        <f>IF(AND(E1626=1,OR(E1625=0,E1625="")),MAX(#REF!)+1,IF(AND(E1626=1,E1625=1),J1625,""))</f>
        <v/>
      </c>
      <c r="K1626" s="32" t="str">
        <f t="shared" si="99"/>
        <v/>
      </c>
      <c r="L1626" s="32" t="str">
        <f t="shared" si="100"/>
        <v/>
      </c>
      <c r="M1626" s="32" t="str">
        <f t="shared" si="101"/>
        <v/>
      </c>
      <c r="N1626" s="4"/>
      <c r="AG1626" t="s">
        <v>77</v>
      </c>
      <c r="AM1626" s="1"/>
    </row>
    <row r="1627" spans="1:39" x14ac:dyDescent="0.35">
      <c r="A1627">
        <v>1623</v>
      </c>
      <c r="B1627">
        <v>1624</v>
      </c>
      <c r="F1627" s="64"/>
      <c r="G1627" s="64"/>
      <c r="H1627" s="64" t="s">
        <v>26</v>
      </c>
      <c r="I1627" s="64"/>
      <c r="J1627" s="32" t="str">
        <f>IF(AND(E1627=1,OR(E1626=0,E1626="")),MAX(#REF!)+1,IF(AND(E1627=1,E1626=1),J1626,""))</f>
        <v/>
      </c>
      <c r="K1627" s="32" t="str">
        <f t="shared" si="99"/>
        <v/>
      </c>
      <c r="L1627" s="32" t="str">
        <f t="shared" si="100"/>
        <v/>
      </c>
      <c r="M1627" s="32" t="str">
        <f t="shared" si="101"/>
        <v/>
      </c>
      <c r="N1627" s="4"/>
      <c r="AG1627" t="s">
        <v>77</v>
      </c>
      <c r="AM1627" s="1"/>
    </row>
    <row r="1628" spans="1:39" x14ac:dyDescent="0.35">
      <c r="A1628">
        <v>1624</v>
      </c>
      <c r="B1628">
        <v>1625</v>
      </c>
      <c r="F1628" s="64"/>
      <c r="G1628" s="64"/>
      <c r="H1628" s="64" t="s">
        <v>26</v>
      </c>
      <c r="I1628" s="64"/>
      <c r="J1628" s="32" t="str">
        <f>IF(AND(E1628=1,OR(E1627=0,E1627="")),MAX(#REF!)+1,IF(AND(E1628=1,E1627=1),J1627,""))</f>
        <v/>
      </c>
      <c r="K1628" s="32" t="str">
        <f t="shared" si="99"/>
        <v/>
      </c>
      <c r="L1628" s="32" t="str">
        <f t="shared" si="100"/>
        <v/>
      </c>
      <c r="M1628" s="32" t="str">
        <f t="shared" si="101"/>
        <v/>
      </c>
      <c r="N1628" s="4"/>
      <c r="AG1628" t="s">
        <v>77</v>
      </c>
      <c r="AM1628" s="1"/>
    </row>
    <row r="1629" spans="1:39" x14ac:dyDescent="0.35">
      <c r="A1629">
        <v>1625</v>
      </c>
      <c r="B1629">
        <v>1626</v>
      </c>
      <c r="F1629" s="64"/>
      <c r="G1629" s="64"/>
      <c r="H1629" s="64" t="s">
        <v>26</v>
      </c>
      <c r="I1629" s="64"/>
      <c r="J1629" s="32" t="str">
        <f>IF(AND(E1629=1,OR(E1628=0,E1628="")),MAX(#REF!)+1,IF(AND(E1629=1,E1628=1),J1628,""))</f>
        <v/>
      </c>
      <c r="K1629" s="32" t="str">
        <f t="shared" si="99"/>
        <v/>
      </c>
      <c r="L1629" s="32" t="str">
        <f t="shared" si="100"/>
        <v/>
      </c>
      <c r="M1629" s="32" t="str">
        <f t="shared" si="101"/>
        <v/>
      </c>
      <c r="N1629" s="4"/>
      <c r="AG1629" t="s">
        <v>77</v>
      </c>
      <c r="AM1629" s="1"/>
    </row>
    <row r="1630" spans="1:39" x14ac:dyDescent="0.35">
      <c r="A1630">
        <v>1626</v>
      </c>
      <c r="B1630">
        <v>1627</v>
      </c>
      <c r="F1630" s="64"/>
      <c r="G1630" s="64"/>
      <c r="H1630" s="64" t="s">
        <v>26</v>
      </c>
      <c r="I1630" s="64"/>
      <c r="J1630" s="32" t="str">
        <f>IF(AND(E1630=1,OR(E1629=0,E1629="")),MAX(#REF!)+1,IF(AND(E1630=1,E1629=1),J1629,""))</f>
        <v/>
      </c>
      <c r="K1630" s="32" t="str">
        <f t="shared" si="99"/>
        <v/>
      </c>
      <c r="L1630" s="32" t="str">
        <f t="shared" si="100"/>
        <v/>
      </c>
      <c r="M1630" s="32" t="str">
        <f t="shared" si="101"/>
        <v/>
      </c>
      <c r="N1630" s="4"/>
      <c r="AG1630" t="s">
        <v>77</v>
      </c>
      <c r="AM1630" s="1"/>
    </row>
    <row r="1631" spans="1:39" x14ac:dyDescent="0.35">
      <c r="A1631">
        <v>1627</v>
      </c>
      <c r="B1631">
        <v>1628</v>
      </c>
      <c r="F1631" s="64"/>
      <c r="G1631" s="64"/>
      <c r="H1631" s="64" t="s">
        <v>26</v>
      </c>
      <c r="I1631" s="64"/>
      <c r="J1631" s="32" t="str">
        <f>IF(AND(E1631=1,OR(E1630=0,E1630="")),MAX(#REF!)+1,IF(AND(E1631=1,E1630=1),J1630,""))</f>
        <v/>
      </c>
      <c r="K1631" s="32" t="str">
        <f t="shared" ref="K1631:K1694" si="102">IF(J1631="","",COUNTIF(J:J,J1631)*10)</f>
        <v/>
      </c>
      <c r="L1631" s="32" t="str">
        <f t="shared" si="100"/>
        <v/>
      </c>
      <c r="M1631" s="32" t="str">
        <f t="shared" si="101"/>
        <v/>
      </c>
      <c r="N1631" s="4"/>
      <c r="AG1631" t="s">
        <v>77</v>
      </c>
      <c r="AM1631" s="1"/>
    </row>
    <row r="1632" spans="1:39" x14ac:dyDescent="0.35">
      <c r="A1632">
        <v>1628</v>
      </c>
      <c r="B1632">
        <v>1629</v>
      </c>
      <c r="F1632" s="64"/>
      <c r="G1632" s="64"/>
      <c r="H1632" s="64" t="s">
        <v>26</v>
      </c>
      <c r="I1632" s="64"/>
      <c r="J1632" s="32" t="str">
        <f>IF(AND(E1632=1,OR(E1631=0,E1631="")),MAX(#REF!)+1,IF(AND(E1632=1,E1631=1),J1631,""))</f>
        <v/>
      </c>
      <c r="K1632" s="32" t="str">
        <f t="shared" si="102"/>
        <v/>
      </c>
      <c r="L1632" s="32" t="str">
        <f t="shared" si="100"/>
        <v/>
      </c>
      <c r="M1632" s="32" t="str">
        <f t="shared" si="101"/>
        <v/>
      </c>
      <c r="N1632" s="4"/>
      <c r="AG1632" t="s">
        <v>77</v>
      </c>
      <c r="AM1632" s="1"/>
    </row>
    <row r="1633" spans="1:39" x14ac:dyDescent="0.35">
      <c r="A1633">
        <v>1629</v>
      </c>
      <c r="B1633">
        <v>1630</v>
      </c>
      <c r="F1633" s="64"/>
      <c r="G1633" s="64"/>
      <c r="H1633" s="64" t="s">
        <v>26</v>
      </c>
      <c r="I1633" s="64"/>
      <c r="J1633" s="32" t="str">
        <f>IF(AND(E1633=1,OR(E1632=0,E1632="")),MAX(#REF!)+1,IF(AND(E1633=1,E1632=1),J1632,""))</f>
        <v/>
      </c>
      <c r="K1633" s="32" t="str">
        <f t="shared" si="102"/>
        <v/>
      </c>
      <c r="L1633" s="32" t="str">
        <f t="shared" si="100"/>
        <v/>
      </c>
      <c r="M1633" s="32" t="str">
        <f t="shared" si="101"/>
        <v/>
      </c>
      <c r="N1633" s="4"/>
      <c r="AG1633" t="s">
        <v>77</v>
      </c>
      <c r="AM1633" s="1"/>
    </row>
    <row r="1634" spans="1:39" x14ac:dyDescent="0.35">
      <c r="A1634">
        <v>1630</v>
      </c>
      <c r="B1634">
        <v>1631</v>
      </c>
      <c r="F1634" s="64"/>
      <c r="G1634" s="64"/>
      <c r="H1634" s="64" t="s">
        <v>26</v>
      </c>
      <c r="I1634" s="64"/>
      <c r="J1634" s="32" t="str">
        <f>IF(AND(E1634=1,OR(E1633=0,E1633="")),MAX(#REF!)+1,IF(AND(E1634=1,E1633=1),J1633,""))</f>
        <v/>
      </c>
      <c r="K1634" s="32" t="str">
        <f t="shared" si="102"/>
        <v/>
      </c>
      <c r="L1634" s="32" t="str">
        <f t="shared" si="100"/>
        <v/>
      </c>
      <c r="M1634" s="32" t="str">
        <f t="shared" si="101"/>
        <v/>
      </c>
      <c r="N1634" s="4"/>
      <c r="AG1634" t="s">
        <v>77</v>
      </c>
      <c r="AM1634" s="1"/>
    </row>
    <row r="1635" spans="1:39" x14ac:dyDescent="0.35">
      <c r="A1635">
        <v>1631</v>
      </c>
      <c r="B1635">
        <v>1632</v>
      </c>
      <c r="F1635" s="64"/>
      <c r="G1635" s="64"/>
      <c r="H1635" s="64" t="s">
        <v>26</v>
      </c>
      <c r="I1635" s="64"/>
      <c r="J1635" s="32" t="str">
        <f>IF(AND(E1635=1,OR(E1634=0,E1634="")),MAX(#REF!)+1,IF(AND(E1635=1,E1634=1),J1634,""))</f>
        <v/>
      </c>
      <c r="K1635" s="32" t="str">
        <f t="shared" si="102"/>
        <v/>
      </c>
      <c r="L1635" s="32" t="str">
        <f t="shared" si="100"/>
        <v/>
      </c>
      <c r="M1635" s="32" t="str">
        <f t="shared" si="101"/>
        <v/>
      </c>
      <c r="N1635" s="4"/>
      <c r="AG1635" t="s">
        <v>77</v>
      </c>
      <c r="AM1635" s="1"/>
    </row>
    <row r="1636" spans="1:39" x14ac:dyDescent="0.35">
      <c r="A1636">
        <v>1632</v>
      </c>
      <c r="B1636">
        <v>1633</v>
      </c>
      <c r="F1636" s="64"/>
      <c r="G1636" s="64"/>
      <c r="H1636" s="64" t="s">
        <v>26</v>
      </c>
      <c r="I1636" s="64"/>
      <c r="J1636" s="32" t="str">
        <f>IF(AND(E1636=1,OR(E1635=0,E1635="")),MAX(#REF!)+1,IF(AND(E1636=1,E1635=1),J1635,""))</f>
        <v/>
      </c>
      <c r="K1636" s="32" t="str">
        <f t="shared" si="102"/>
        <v/>
      </c>
      <c r="L1636" s="32" t="str">
        <f t="shared" si="100"/>
        <v/>
      </c>
      <c r="M1636" s="32" t="str">
        <f t="shared" si="101"/>
        <v/>
      </c>
      <c r="N1636" s="4"/>
      <c r="AG1636" t="s">
        <v>77</v>
      </c>
      <c r="AM1636" s="1"/>
    </row>
    <row r="1637" spans="1:39" x14ac:dyDescent="0.35">
      <c r="A1637">
        <v>1633</v>
      </c>
      <c r="B1637">
        <v>1634</v>
      </c>
      <c r="F1637" s="64"/>
      <c r="G1637" s="64"/>
      <c r="H1637" s="64" t="s">
        <v>26</v>
      </c>
      <c r="I1637" s="64"/>
      <c r="J1637" s="32" t="str">
        <f>IF(AND(E1637=1,OR(E1636=0,E1636="")),MAX(#REF!)+1,IF(AND(E1637=1,E1636=1),J1636,""))</f>
        <v/>
      </c>
      <c r="K1637" s="32" t="str">
        <f t="shared" si="102"/>
        <v/>
      </c>
      <c r="L1637" s="32" t="str">
        <f t="shared" si="100"/>
        <v/>
      </c>
      <c r="M1637" s="32" t="str">
        <f t="shared" si="101"/>
        <v/>
      </c>
      <c r="N1637" s="4"/>
      <c r="AG1637" t="s">
        <v>77</v>
      </c>
      <c r="AM1637" s="1"/>
    </row>
    <row r="1638" spans="1:39" x14ac:dyDescent="0.35">
      <c r="A1638">
        <v>1634</v>
      </c>
      <c r="B1638">
        <v>1635</v>
      </c>
      <c r="F1638" s="64"/>
      <c r="G1638" s="64"/>
      <c r="H1638" s="64" t="s">
        <v>26</v>
      </c>
      <c r="I1638" s="64"/>
      <c r="J1638" s="32" t="str">
        <f>IF(AND(E1638=1,OR(E1637=0,E1637="")),MAX(#REF!)+1,IF(AND(E1638=1,E1637=1),J1637,""))</f>
        <v/>
      </c>
      <c r="K1638" s="32" t="str">
        <f t="shared" si="102"/>
        <v/>
      </c>
      <c r="L1638" s="32" t="str">
        <f t="shared" si="100"/>
        <v/>
      </c>
      <c r="M1638" s="32" t="str">
        <f t="shared" si="101"/>
        <v/>
      </c>
      <c r="N1638" s="4"/>
      <c r="AG1638" t="s">
        <v>77</v>
      </c>
      <c r="AM1638" s="1"/>
    </row>
    <row r="1639" spans="1:39" x14ac:dyDescent="0.35">
      <c r="A1639">
        <v>1635</v>
      </c>
      <c r="B1639">
        <v>1636</v>
      </c>
      <c r="F1639" s="64"/>
      <c r="G1639" s="64"/>
      <c r="H1639" s="64" t="s">
        <v>26</v>
      </c>
      <c r="I1639" s="64"/>
      <c r="J1639" s="32" t="str">
        <f>IF(AND(E1639=1,OR(E1638=0,E1638="")),MAX(#REF!)+1,IF(AND(E1639=1,E1638=1),J1638,""))</f>
        <v/>
      </c>
      <c r="K1639" s="32" t="str">
        <f t="shared" si="102"/>
        <v/>
      </c>
      <c r="L1639" s="32" t="str">
        <f t="shared" si="100"/>
        <v/>
      </c>
      <c r="M1639" s="32" t="str">
        <f t="shared" si="101"/>
        <v/>
      </c>
      <c r="N1639" s="4"/>
      <c r="AG1639" t="s">
        <v>77</v>
      </c>
      <c r="AM1639" s="1"/>
    </row>
    <row r="1640" spans="1:39" x14ac:dyDescent="0.35">
      <c r="A1640">
        <v>1636</v>
      </c>
      <c r="B1640">
        <v>1637</v>
      </c>
      <c r="F1640" s="64"/>
      <c r="G1640" s="64"/>
      <c r="H1640" s="64" t="s">
        <v>26</v>
      </c>
      <c r="I1640" s="64"/>
      <c r="J1640" s="32" t="str">
        <f>IF(AND(E1640=1,OR(E1639=0,E1639="")),MAX(#REF!)+1,IF(AND(E1640=1,E1639=1),J1639,""))</f>
        <v/>
      </c>
      <c r="K1640" s="32" t="str">
        <f t="shared" si="102"/>
        <v/>
      </c>
      <c r="L1640" s="32" t="str">
        <f t="shared" si="100"/>
        <v/>
      </c>
      <c r="M1640" s="32" t="str">
        <f t="shared" si="101"/>
        <v/>
      </c>
      <c r="N1640" s="4"/>
      <c r="AG1640" t="s">
        <v>77</v>
      </c>
      <c r="AM1640" s="1"/>
    </row>
    <row r="1641" spans="1:39" x14ac:dyDescent="0.35">
      <c r="A1641">
        <v>1637</v>
      </c>
      <c r="B1641">
        <v>1638</v>
      </c>
      <c r="F1641" s="64"/>
      <c r="G1641" s="64"/>
      <c r="H1641" s="64" t="s">
        <v>26</v>
      </c>
      <c r="I1641" s="64"/>
      <c r="J1641" s="32" t="str">
        <f>IF(AND(E1641=1,OR(E1640=0,E1640="")),MAX(#REF!)+1,IF(AND(E1641=1,E1640=1),J1640,""))</f>
        <v/>
      </c>
      <c r="K1641" s="32" t="str">
        <f t="shared" si="102"/>
        <v/>
      </c>
      <c r="L1641" s="32" t="str">
        <f t="shared" si="100"/>
        <v/>
      </c>
      <c r="M1641" s="32" t="str">
        <f t="shared" si="101"/>
        <v/>
      </c>
      <c r="N1641" s="4"/>
      <c r="AG1641" t="s">
        <v>77</v>
      </c>
      <c r="AM1641" s="1"/>
    </row>
    <row r="1642" spans="1:39" x14ac:dyDescent="0.35">
      <c r="A1642">
        <v>1638</v>
      </c>
      <c r="B1642">
        <v>1639</v>
      </c>
      <c r="F1642" s="64"/>
      <c r="G1642" s="64"/>
      <c r="H1642" s="64" t="s">
        <v>26</v>
      </c>
      <c r="I1642" s="64"/>
      <c r="J1642" s="32" t="str">
        <f>IF(AND(E1642=1,OR(E1641=0,E1641="")),MAX(#REF!)+1,IF(AND(E1642=1,E1641=1),J1641,""))</f>
        <v/>
      </c>
      <c r="K1642" s="32" t="str">
        <f t="shared" si="102"/>
        <v/>
      </c>
      <c r="L1642" s="32" t="str">
        <f t="shared" si="100"/>
        <v/>
      </c>
      <c r="M1642" s="32" t="str">
        <f t="shared" si="101"/>
        <v/>
      </c>
      <c r="N1642" s="4"/>
      <c r="AG1642" t="s">
        <v>77</v>
      </c>
      <c r="AM1642" s="1"/>
    </row>
    <row r="1643" spans="1:39" x14ac:dyDescent="0.35">
      <c r="A1643">
        <v>1639</v>
      </c>
      <c r="B1643">
        <v>1640</v>
      </c>
      <c r="F1643" s="64"/>
      <c r="G1643" s="64"/>
      <c r="H1643" s="64" t="s">
        <v>26</v>
      </c>
      <c r="I1643" s="64"/>
      <c r="J1643" s="32" t="str">
        <f>IF(AND(E1643=1,OR(E1642=0,E1642="")),MAX(#REF!)+1,IF(AND(E1643=1,E1642=1),J1642,""))</f>
        <v/>
      </c>
      <c r="K1643" s="32" t="str">
        <f t="shared" si="102"/>
        <v/>
      </c>
      <c r="L1643" s="32" t="str">
        <f t="shared" si="100"/>
        <v/>
      </c>
      <c r="M1643" s="32" t="str">
        <f t="shared" si="101"/>
        <v/>
      </c>
      <c r="N1643" s="4"/>
      <c r="AG1643" t="s">
        <v>77</v>
      </c>
      <c r="AM1643" s="1"/>
    </row>
    <row r="1644" spans="1:39" x14ac:dyDescent="0.35">
      <c r="A1644">
        <v>1640</v>
      </c>
      <c r="B1644">
        <v>1641</v>
      </c>
      <c r="F1644" s="64"/>
      <c r="G1644" s="64"/>
      <c r="H1644" s="64" t="s">
        <v>26</v>
      </c>
      <c r="I1644" s="64"/>
      <c r="J1644" s="32" t="str">
        <f>IF(AND(E1644=1,OR(E1643=0,E1643="")),MAX(#REF!)+1,IF(AND(E1644=1,E1643=1),J1643,""))</f>
        <v/>
      </c>
      <c r="K1644" s="32" t="str">
        <f t="shared" si="102"/>
        <v/>
      </c>
      <c r="L1644" s="32" t="str">
        <f t="shared" si="100"/>
        <v/>
      </c>
      <c r="M1644" s="32" t="str">
        <f t="shared" si="101"/>
        <v/>
      </c>
      <c r="N1644" s="4"/>
      <c r="AG1644" t="s">
        <v>77</v>
      </c>
      <c r="AM1644" s="1"/>
    </row>
    <row r="1645" spans="1:39" x14ac:dyDescent="0.35">
      <c r="A1645">
        <v>1641</v>
      </c>
      <c r="B1645">
        <v>1642</v>
      </c>
      <c r="F1645" s="64"/>
      <c r="G1645" s="64"/>
      <c r="H1645" s="64" t="s">
        <v>26</v>
      </c>
      <c r="I1645" s="64"/>
      <c r="J1645" s="32" t="str">
        <f>IF(AND(E1645=1,OR(E1644=0,E1644="")),MAX(#REF!)+1,IF(AND(E1645=1,E1644=1),J1644,""))</f>
        <v/>
      </c>
      <c r="K1645" s="32" t="str">
        <f t="shared" si="102"/>
        <v/>
      </c>
      <c r="L1645" s="32" t="str">
        <f t="shared" si="100"/>
        <v/>
      </c>
      <c r="M1645" s="32" t="str">
        <f t="shared" si="101"/>
        <v/>
      </c>
      <c r="N1645" s="4"/>
      <c r="AG1645" t="s">
        <v>77</v>
      </c>
      <c r="AM1645" s="1"/>
    </row>
    <row r="1646" spans="1:39" x14ac:dyDescent="0.35">
      <c r="A1646">
        <v>1642</v>
      </c>
      <c r="B1646">
        <v>1643</v>
      </c>
      <c r="F1646" s="64"/>
      <c r="G1646" s="64"/>
      <c r="H1646" s="64" t="s">
        <v>26</v>
      </c>
      <c r="I1646" s="64"/>
      <c r="J1646" s="32" t="str">
        <f>IF(AND(E1646=1,OR(E1645=0,E1645="")),MAX(#REF!)+1,IF(AND(E1646=1,E1645=1),J1645,""))</f>
        <v/>
      </c>
      <c r="K1646" s="32" t="str">
        <f t="shared" si="102"/>
        <v/>
      </c>
      <c r="L1646" s="32" t="str">
        <f t="shared" si="100"/>
        <v/>
      </c>
      <c r="M1646" s="32" t="str">
        <f t="shared" si="101"/>
        <v/>
      </c>
      <c r="N1646" s="4"/>
      <c r="AG1646" t="s">
        <v>77</v>
      </c>
      <c r="AM1646" s="1"/>
    </row>
    <row r="1647" spans="1:39" x14ac:dyDescent="0.35">
      <c r="A1647">
        <v>1643</v>
      </c>
      <c r="B1647">
        <v>1644</v>
      </c>
      <c r="F1647" s="64"/>
      <c r="G1647" s="64"/>
      <c r="H1647" s="64" t="s">
        <v>26</v>
      </c>
      <c r="I1647" s="64"/>
      <c r="J1647" s="32" t="str">
        <f>IF(AND(E1647=1,OR(E1646=0,E1646="")),MAX(#REF!)+1,IF(AND(E1647=1,E1646=1),J1646,""))</f>
        <v/>
      </c>
      <c r="K1647" s="32" t="str">
        <f t="shared" si="102"/>
        <v/>
      </c>
      <c r="L1647" s="32" t="str">
        <f t="shared" si="100"/>
        <v/>
      </c>
      <c r="M1647" s="32" t="str">
        <f t="shared" si="101"/>
        <v/>
      </c>
      <c r="N1647" s="4"/>
      <c r="AG1647" t="s">
        <v>77</v>
      </c>
      <c r="AM1647" s="1"/>
    </row>
    <row r="1648" spans="1:39" x14ac:dyDescent="0.35">
      <c r="A1648">
        <v>1644</v>
      </c>
      <c r="B1648">
        <v>1645</v>
      </c>
      <c r="F1648" s="64"/>
      <c r="G1648" s="64"/>
      <c r="H1648" s="64" t="s">
        <v>26</v>
      </c>
      <c r="I1648" s="64"/>
      <c r="J1648" s="32" t="str">
        <f>IF(AND(E1648=1,OR(E1647=0,E1647="")),MAX(#REF!)+1,IF(AND(E1648=1,E1647=1),J1647,""))</f>
        <v/>
      </c>
      <c r="K1648" s="32" t="str">
        <f t="shared" si="102"/>
        <v/>
      </c>
      <c r="L1648" s="32" t="str">
        <f t="shared" si="100"/>
        <v/>
      </c>
      <c r="M1648" s="32" t="str">
        <f t="shared" si="101"/>
        <v/>
      </c>
      <c r="N1648" s="4"/>
      <c r="AG1648" t="s">
        <v>77</v>
      </c>
      <c r="AM1648" s="1"/>
    </row>
    <row r="1649" spans="1:39" x14ac:dyDescent="0.35">
      <c r="A1649">
        <v>1645</v>
      </c>
      <c r="B1649">
        <v>1646</v>
      </c>
      <c r="F1649" s="64"/>
      <c r="G1649" s="64"/>
      <c r="H1649" s="64" t="s">
        <v>26</v>
      </c>
      <c r="I1649" s="64"/>
      <c r="J1649" s="32" t="str">
        <f>IF(AND(E1649=1,OR(E1648=0,E1648="")),MAX(#REF!)+1,IF(AND(E1649=1,E1648=1),J1648,""))</f>
        <v/>
      </c>
      <c r="K1649" s="32" t="str">
        <f t="shared" si="102"/>
        <v/>
      </c>
      <c r="L1649" s="32" t="str">
        <f t="shared" si="100"/>
        <v/>
      </c>
      <c r="M1649" s="32" t="str">
        <f t="shared" si="101"/>
        <v/>
      </c>
      <c r="N1649" s="4"/>
      <c r="AG1649" t="s">
        <v>77</v>
      </c>
      <c r="AM1649" s="1"/>
    </row>
    <row r="1650" spans="1:39" x14ac:dyDescent="0.35">
      <c r="A1650">
        <v>1646</v>
      </c>
      <c r="B1650">
        <v>1647</v>
      </c>
      <c r="F1650" s="64"/>
      <c r="G1650" s="64"/>
      <c r="H1650" s="64" t="s">
        <v>26</v>
      </c>
      <c r="I1650" s="64"/>
      <c r="J1650" s="32" t="str">
        <f>IF(AND(E1650=1,OR(E1649=0,E1649="")),MAX(#REF!)+1,IF(AND(E1650=1,E1649=1),J1649,""))</f>
        <v/>
      </c>
      <c r="K1650" s="32" t="str">
        <f t="shared" si="102"/>
        <v/>
      </c>
      <c r="L1650" s="32" t="str">
        <f t="shared" si="100"/>
        <v/>
      </c>
      <c r="M1650" s="32" t="str">
        <f t="shared" si="101"/>
        <v/>
      </c>
      <c r="N1650" s="4"/>
      <c r="AG1650" t="s">
        <v>77</v>
      </c>
      <c r="AM1650" s="1"/>
    </row>
    <row r="1651" spans="1:39" x14ac:dyDescent="0.35">
      <c r="A1651">
        <v>1647</v>
      </c>
      <c r="B1651">
        <v>1648</v>
      </c>
      <c r="F1651" s="64"/>
      <c r="G1651" s="64"/>
      <c r="H1651" s="64" t="s">
        <v>26</v>
      </c>
      <c r="I1651" s="64"/>
      <c r="J1651" s="32" t="str">
        <f>IF(AND(E1651=1,OR(E1650=0,E1650="")),MAX(#REF!)+1,IF(AND(E1651=1,E1650=1),J1650,""))</f>
        <v/>
      </c>
      <c r="K1651" s="32" t="str">
        <f t="shared" si="102"/>
        <v/>
      </c>
      <c r="L1651" s="32" t="str">
        <f t="shared" si="100"/>
        <v/>
      </c>
      <c r="M1651" s="32" t="str">
        <f t="shared" si="101"/>
        <v/>
      </c>
      <c r="N1651" s="4"/>
      <c r="AG1651" t="s">
        <v>77</v>
      </c>
      <c r="AM1651" s="1"/>
    </row>
    <row r="1652" spans="1:39" x14ac:dyDescent="0.35">
      <c r="A1652">
        <v>1648</v>
      </c>
      <c r="B1652">
        <v>1649</v>
      </c>
      <c r="F1652" s="64"/>
      <c r="G1652" s="64"/>
      <c r="H1652" s="64" t="s">
        <v>26</v>
      </c>
      <c r="I1652" s="64"/>
      <c r="J1652" s="32" t="str">
        <f>IF(AND(E1652=1,OR(E1651=0,E1651="")),MAX(#REF!)+1,IF(AND(E1652=1,E1651=1),J1651,""))</f>
        <v/>
      </c>
      <c r="K1652" s="32" t="str">
        <f t="shared" si="102"/>
        <v/>
      </c>
      <c r="L1652" s="32" t="str">
        <f t="shared" si="100"/>
        <v/>
      </c>
      <c r="M1652" s="32" t="str">
        <f t="shared" si="101"/>
        <v/>
      </c>
      <c r="N1652" s="4"/>
      <c r="AG1652" t="s">
        <v>77</v>
      </c>
      <c r="AM1652" s="1"/>
    </row>
    <row r="1653" spans="1:39" x14ac:dyDescent="0.35">
      <c r="A1653">
        <v>1649</v>
      </c>
      <c r="B1653">
        <v>1650</v>
      </c>
      <c r="F1653" s="64"/>
      <c r="G1653" s="64"/>
      <c r="H1653" s="64" t="s">
        <v>26</v>
      </c>
      <c r="I1653" s="64"/>
      <c r="J1653" s="32" t="str">
        <f>IF(AND(E1653=1,OR(E1652=0,E1652="")),MAX(#REF!)+1,IF(AND(E1653=1,E1652=1),J1652,""))</f>
        <v/>
      </c>
      <c r="K1653" s="32" t="str">
        <f t="shared" si="102"/>
        <v/>
      </c>
      <c r="L1653" s="32" t="str">
        <f t="shared" si="100"/>
        <v/>
      </c>
      <c r="M1653" s="32" t="str">
        <f t="shared" si="101"/>
        <v/>
      </c>
      <c r="N1653" s="4"/>
      <c r="AG1653" t="s">
        <v>77</v>
      </c>
      <c r="AM1653" s="1"/>
    </row>
    <row r="1654" spans="1:39" x14ac:dyDescent="0.35">
      <c r="A1654">
        <v>1650</v>
      </c>
      <c r="B1654">
        <v>1651</v>
      </c>
      <c r="F1654" s="64"/>
      <c r="G1654" s="64"/>
      <c r="H1654" s="64" t="s">
        <v>26</v>
      </c>
      <c r="I1654" s="64"/>
      <c r="J1654" s="32" t="str">
        <f>IF(AND(E1654=1,OR(E1653=0,E1653="")),MAX(#REF!)+1,IF(AND(E1654=1,E1653=1),J1653,""))</f>
        <v/>
      </c>
      <c r="K1654" s="32" t="str">
        <f t="shared" si="102"/>
        <v/>
      </c>
      <c r="L1654" s="32" t="str">
        <f t="shared" si="100"/>
        <v/>
      </c>
      <c r="M1654" s="32" t="str">
        <f t="shared" si="101"/>
        <v/>
      </c>
      <c r="N1654" s="4"/>
      <c r="AG1654" t="s">
        <v>77</v>
      </c>
      <c r="AM1654" s="1"/>
    </row>
    <row r="1655" spans="1:39" x14ac:dyDescent="0.35">
      <c r="A1655">
        <v>1651</v>
      </c>
      <c r="B1655">
        <v>1652</v>
      </c>
      <c r="F1655" s="64"/>
      <c r="G1655" s="64"/>
      <c r="H1655" s="64" t="s">
        <v>26</v>
      </c>
      <c r="I1655" s="64"/>
      <c r="J1655" s="32" t="str">
        <f>IF(AND(E1655=1,OR(E1654=0,E1654="")),MAX(#REF!)+1,IF(AND(E1655=1,E1654=1),J1654,""))</f>
        <v/>
      </c>
      <c r="K1655" s="32" t="str">
        <f t="shared" si="102"/>
        <v/>
      </c>
      <c r="L1655" s="32" t="str">
        <f t="shared" si="100"/>
        <v/>
      </c>
      <c r="M1655" s="32" t="str">
        <f t="shared" si="101"/>
        <v/>
      </c>
      <c r="N1655" s="4"/>
      <c r="AG1655" t="s">
        <v>77</v>
      </c>
      <c r="AM1655" s="1"/>
    </row>
    <row r="1656" spans="1:39" x14ac:dyDescent="0.35">
      <c r="A1656">
        <v>1652</v>
      </c>
      <c r="B1656">
        <v>1653</v>
      </c>
      <c r="F1656" s="64"/>
      <c r="G1656" s="64"/>
      <c r="H1656" s="64" t="s">
        <v>26</v>
      </c>
      <c r="I1656" s="64"/>
      <c r="J1656" s="32" t="str">
        <f>IF(AND(E1656=1,OR(E1655=0,E1655="")),MAX(#REF!)+1,IF(AND(E1656=1,E1655=1),J1655,""))</f>
        <v/>
      </c>
      <c r="K1656" s="32" t="str">
        <f t="shared" si="102"/>
        <v/>
      </c>
      <c r="L1656" s="32" t="str">
        <f t="shared" si="100"/>
        <v/>
      </c>
      <c r="M1656" s="32" t="str">
        <f t="shared" si="101"/>
        <v/>
      </c>
      <c r="N1656" s="4"/>
      <c r="AG1656" t="s">
        <v>77</v>
      </c>
      <c r="AM1656" s="1"/>
    </row>
    <row r="1657" spans="1:39" x14ac:dyDescent="0.35">
      <c r="A1657">
        <v>1653</v>
      </c>
      <c r="B1657">
        <v>1654</v>
      </c>
      <c r="F1657" s="64"/>
      <c r="G1657" s="64"/>
      <c r="H1657" s="64" t="s">
        <v>26</v>
      </c>
      <c r="I1657" s="64"/>
      <c r="J1657" s="32" t="str">
        <f>IF(AND(E1657=1,OR(E1656=0,E1656="")),MAX(#REF!)+1,IF(AND(E1657=1,E1656=1),J1656,""))</f>
        <v/>
      </c>
      <c r="K1657" s="32" t="str">
        <f t="shared" si="102"/>
        <v/>
      </c>
      <c r="L1657" s="32" t="str">
        <f t="shared" si="100"/>
        <v/>
      </c>
      <c r="M1657" s="32" t="str">
        <f t="shared" si="101"/>
        <v/>
      </c>
      <c r="N1657" s="4"/>
      <c r="AG1657" t="s">
        <v>77</v>
      </c>
      <c r="AM1657" s="1"/>
    </row>
    <row r="1658" spans="1:39" x14ac:dyDescent="0.35">
      <c r="A1658">
        <v>1654</v>
      </c>
      <c r="B1658">
        <v>1655</v>
      </c>
      <c r="F1658" s="64"/>
      <c r="G1658" s="64"/>
      <c r="H1658" s="64" t="s">
        <v>26</v>
      </c>
      <c r="I1658" s="64"/>
      <c r="J1658" s="32" t="str">
        <f>IF(AND(E1658=1,OR(E1657=0,E1657="")),MAX(#REF!)+1,IF(AND(E1658=1,E1657=1),J1657,""))</f>
        <v/>
      </c>
      <c r="K1658" s="32" t="str">
        <f t="shared" si="102"/>
        <v/>
      </c>
      <c r="L1658" s="32" t="str">
        <f t="shared" si="100"/>
        <v/>
      </c>
      <c r="M1658" s="32" t="str">
        <f t="shared" si="101"/>
        <v/>
      </c>
      <c r="N1658" s="4"/>
      <c r="AG1658" t="s">
        <v>77</v>
      </c>
      <c r="AM1658" s="1"/>
    </row>
    <row r="1659" spans="1:39" x14ac:dyDescent="0.35">
      <c r="A1659">
        <v>1655</v>
      </c>
      <c r="B1659">
        <v>1656</v>
      </c>
      <c r="F1659" s="64"/>
      <c r="G1659" s="64"/>
      <c r="H1659" s="64" t="s">
        <v>26</v>
      </c>
      <c r="I1659" s="64"/>
      <c r="J1659" s="32" t="str">
        <f>IF(AND(E1659=1,OR(E1658=0,E1658="")),MAX(#REF!)+1,IF(AND(E1659=1,E1658=1),J1658,""))</f>
        <v/>
      </c>
      <c r="K1659" s="32" t="str">
        <f t="shared" si="102"/>
        <v/>
      </c>
      <c r="L1659" s="32" t="str">
        <f t="shared" si="100"/>
        <v/>
      </c>
      <c r="M1659" s="32" t="str">
        <f t="shared" si="101"/>
        <v/>
      </c>
      <c r="N1659" s="4"/>
      <c r="AG1659" t="s">
        <v>77</v>
      </c>
      <c r="AM1659" s="1"/>
    </row>
    <row r="1660" spans="1:39" x14ac:dyDescent="0.35">
      <c r="A1660">
        <v>1656</v>
      </c>
      <c r="B1660">
        <v>1657</v>
      </c>
      <c r="F1660" s="64"/>
      <c r="G1660" s="64"/>
      <c r="H1660" s="64" t="s">
        <v>26</v>
      </c>
      <c r="I1660" s="64"/>
      <c r="J1660" s="32" t="str">
        <f>IF(AND(E1660=1,OR(E1659=0,E1659="")),MAX(#REF!)+1,IF(AND(E1660=1,E1659=1),J1659,""))</f>
        <v/>
      </c>
      <c r="K1660" s="32" t="str">
        <f t="shared" si="102"/>
        <v/>
      </c>
      <c r="L1660" s="32" t="str">
        <f t="shared" si="100"/>
        <v/>
      </c>
      <c r="M1660" s="32" t="str">
        <f t="shared" si="101"/>
        <v/>
      </c>
      <c r="N1660" s="4"/>
      <c r="AG1660" t="s">
        <v>77</v>
      </c>
      <c r="AM1660" s="1"/>
    </row>
    <row r="1661" spans="1:39" x14ac:dyDescent="0.35">
      <c r="A1661">
        <v>1657</v>
      </c>
      <c r="B1661">
        <v>1658</v>
      </c>
      <c r="F1661" s="64"/>
      <c r="G1661" s="64"/>
      <c r="H1661" s="64" t="s">
        <v>26</v>
      </c>
      <c r="I1661" s="64"/>
      <c r="J1661" s="32" t="str">
        <f>IF(AND(E1661=1,OR(E1660=0,E1660="")),MAX(#REF!)+1,IF(AND(E1661=1,E1660=1),J1660,""))</f>
        <v/>
      </c>
      <c r="K1661" s="32" t="str">
        <f t="shared" si="102"/>
        <v/>
      </c>
      <c r="L1661" s="32" t="str">
        <f t="shared" si="100"/>
        <v/>
      </c>
      <c r="M1661" s="32" t="str">
        <f t="shared" si="101"/>
        <v/>
      </c>
      <c r="N1661" s="4"/>
      <c r="AG1661" t="s">
        <v>77</v>
      </c>
      <c r="AM1661" s="1"/>
    </row>
    <row r="1662" spans="1:39" x14ac:dyDescent="0.35">
      <c r="A1662">
        <v>1658</v>
      </c>
      <c r="B1662">
        <v>1659</v>
      </c>
      <c r="F1662" s="64"/>
      <c r="G1662" s="64"/>
      <c r="H1662" s="64" t="s">
        <v>26</v>
      </c>
      <c r="I1662" s="64"/>
      <c r="J1662" s="32" t="str">
        <f>IF(AND(E1662=1,OR(E1661=0,E1661="")),MAX(#REF!)+1,IF(AND(E1662=1,E1661=1),J1661,""))</f>
        <v/>
      </c>
      <c r="K1662" s="32" t="str">
        <f t="shared" si="102"/>
        <v/>
      </c>
      <c r="L1662" s="32" t="str">
        <f t="shared" si="100"/>
        <v/>
      </c>
      <c r="M1662" s="32" t="str">
        <f t="shared" si="101"/>
        <v/>
      </c>
      <c r="N1662" s="4"/>
      <c r="AG1662" t="s">
        <v>77</v>
      </c>
      <c r="AM1662" s="1"/>
    </row>
    <row r="1663" spans="1:39" x14ac:dyDescent="0.35">
      <c r="A1663">
        <v>1659</v>
      </c>
      <c r="B1663">
        <v>1660</v>
      </c>
      <c r="F1663" s="64"/>
      <c r="G1663" s="64"/>
      <c r="H1663" s="64" t="s">
        <v>26</v>
      </c>
      <c r="I1663" s="64"/>
      <c r="J1663" s="32" t="str">
        <f>IF(AND(E1663=1,OR(E1662=0,E1662="")),MAX(#REF!)+1,IF(AND(E1663=1,E1662=1),J1662,""))</f>
        <v/>
      </c>
      <c r="K1663" s="32" t="str">
        <f t="shared" si="102"/>
        <v/>
      </c>
      <c r="L1663" s="32" t="str">
        <f t="shared" si="100"/>
        <v/>
      </c>
      <c r="M1663" s="32" t="str">
        <f t="shared" si="101"/>
        <v/>
      </c>
      <c r="N1663" s="4"/>
      <c r="AG1663" t="s">
        <v>77</v>
      </c>
      <c r="AM1663" s="1"/>
    </row>
    <row r="1664" spans="1:39" x14ac:dyDescent="0.35">
      <c r="A1664">
        <v>1660</v>
      </c>
      <c r="B1664">
        <v>1661</v>
      </c>
      <c r="F1664" s="64"/>
      <c r="G1664" s="64"/>
      <c r="H1664" s="64" t="s">
        <v>26</v>
      </c>
      <c r="I1664" s="64"/>
      <c r="J1664" s="32" t="str">
        <f>IF(AND(E1664=1,OR(E1663=0,E1663="")),MAX(#REF!)+1,IF(AND(E1664=1,E1663=1),J1663,""))</f>
        <v/>
      </c>
      <c r="K1664" s="32" t="str">
        <f t="shared" si="102"/>
        <v/>
      </c>
      <c r="L1664" s="32" t="str">
        <f t="shared" si="100"/>
        <v/>
      </c>
      <c r="M1664" s="32" t="str">
        <f t="shared" si="101"/>
        <v/>
      </c>
      <c r="N1664" s="4"/>
      <c r="AG1664" t="s">
        <v>77</v>
      </c>
      <c r="AM1664" s="1"/>
    </row>
    <row r="1665" spans="1:39" x14ac:dyDescent="0.35">
      <c r="A1665">
        <v>1661</v>
      </c>
      <c r="B1665">
        <v>1662</v>
      </c>
      <c r="F1665" s="64"/>
      <c r="G1665" s="64"/>
      <c r="H1665" s="64" t="s">
        <v>26</v>
      </c>
      <c r="I1665" s="64"/>
      <c r="J1665" s="32" t="str">
        <f>IF(AND(E1665=1,OR(E1664=0,E1664="")),MAX(#REF!)+1,IF(AND(E1665=1,E1664=1),J1664,""))</f>
        <v/>
      </c>
      <c r="K1665" s="32" t="str">
        <f t="shared" si="102"/>
        <v/>
      </c>
      <c r="L1665" s="32" t="str">
        <f t="shared" si="100"/>
        <v/>
      </c>
      <c r="M1665" s="32" t="str">
        <f t="shared" si="101"/>
        <v/>
      </c>
      <c r="N1665" s="4"/>
      <c r="AG1665" t="s">
        <v>77</v>
      </c>
      <c r="AM1665" s="1"/>
    </row>
    <row r="1666" spans="1:39" x14ac:dyDescent="0.35">
      <c r="A1666">
        <v>1662</v>
      </c>
      <c r="B1666">
        <v>1663</v>
      </c>
      <c r="F1666" s="64"/>
      <c r="G1666" s="64"/>
      <c r="H1666" s="64" t="s">
        <v>26</v>
      </c>
      <c r="I1666" s="64"/>
      <c r="J1666" s="32" t="str">
        <f>IF(AND(E1666=1,OR(E1665=0,E1665="")),MAX(#REF!)+1,IF(AND(E1666=1,E1665=1),J1665,""))</f>
        <v/>
      </c>
      <c r="K1666" s="32" t="str">
        <f t="shared" si="102"/>
        <v/>
      </c>
      <c r="L1666" s="32" t="str">
        <f t="shared" si="100"/>
        <v/>
      </c>
      <c r="M1666" s="32" t="str">
        <f t="shared" si="101"/>
        <v/>
      </c>
      <c r="N1666" s="4"/>
      <c r="AG1666" t="s">
        <v>77</v>
      </c>
      <c r="AM1666" s="1"/>
    </row>
    <row r="1667" spans="1:39" x14ac:dyDescent="0.35">
      <c r="A1667">
        <v>1663</v>
      </c>
      <c r="B1667">
        <v>1664</v>
      </c>
      <c r="F1667" s="64"/>
      <c r="G1667" s="64"/>
      <c r="H1667" s="64" t="s">
        <v>26</v>
      </c>
      <c r="I1667" s="64"/>
      <c r="J1667" s="32" t="str">
        <f>IF(AND(E1667=1,OR(E1666=0,E1666="")),MAX(#REF!)+1,IF(AND(E1667=1,E1666=1),J1666,""))</f>
        <v/>
      </c>
      <c r="K1667" s="32" t="str">
        <f t="shared" si="102"/>
        <v/>
      </c>
      <c r="L1667" s="32" t="str">
        <f t="shared" si="100"/>
        <v/>
      </c>
      <c r="M1667" s="32" t="str">
        <f t="shared" si="101"/>
        <v/>
      </c>
      <c r="N1667" s="4"/>
      <c r="AG1667" t="s">
        <v>77</v>
      </c>
      <c r="AM1667" s="1"/>
    </row>
    <row r="1668" spans="1:39" x14ac:dyDescent="0.35">
      <c r="A1668">
        <v>1664</v>
      </c>
      <c r="B1668">
        <v>1665</v>
      </c>
      <c r="F1668" s="64"/>
      <c r="G1668" s="64"/>
      <c r="H1668" s="64" t="s">
        <v>26</v>
      </c>
      <c r="I1668" s="64"/>
      <c r="J1668" s="32" t="str">
        <f>IF(AND(E1668=1,OR(E1667=0,E1667="")),MAX(#REF!)+1,IF(AND(E1668=1,E1667=1),J1667,""))</f>
        <v/>
      </c>
      <c r="K1668" s="32" t="str">
        <f t="shared" si="102"/>
        <v/>
      </c>
      <c r="L1668" s="32" t="str">
        <f t="shared" ref="L1668:L1731" si="103">IF(K1668="","",IF(K1668&gt;=100,"HV",""))</f>
        <v/>
      </c>
      <c r="M1668" s="32" t="str">
        <f t="shared" ref="M1668:M1731" si="104">IF(K1668&lt;&gt;"",K1668^2,"")</f>
        <v/>
      </c>
      <c r="N1668" s="4"/>
      <c r="AG1668" t="s">
        <v>1399</v>
      </c>
      <c r="AM1668" s="1"/>
    </row>
    <row r="1669" spans="1:39" x14ac:dyDescent="0.35">
      <c r="A1669">
        <v>1665</v>
      </c>
      <c r="B1669">
        <v>1666</v>
      </c>
      <c r="F1669" s="64"/>
      <c r="G1669" s="64"/>
      <c r="H1669" s="64" t="s">
        <v>26</v>
      </c>
      <c r="I1669" s="64"/>
      <c r="J1669" s="32" t="str">
        <f>IF(AND(E1669=1,OR(E1668=0,E1668="")),MAX(#REF!)+1,IF(AND(E1669=1,E1668=1),J1668,""))</f>
        <v/>
      </c>
      <c r="K1669" s="32" t="str">
        <f t="shared" si="102"/>
        <v/>
      </c>
      <c r="L1669" s="32" t="str">
        <f t="shared" si="103"/>
        <v/>
      </c>
      <c r="M1669" s="32" t="str">
        <f t="shared" si="104"/>
        <v/>
      </c>
      <c r="N1669" s="4"/>
      <c r="AG1669" t="s">
        <v>77</v>
      </c>
      <c r="AM1669" s="1"/>
    </row>
    <row r="1670" spans="1:39" x14ac:dyDescent="0.35">
      <c r="A1670">
        <v>1666</v>
      </c>
      <c r="B1670">
        <v>1667</v>
      </c>
      <c r="F1670" s="64"/>
      <c r="G1670" s="64"/>
      <c r="H1670" s="64" t="s">
        <v>26</v>
      </c>
      <c r="I1670" s="64"/>
      <c r="J1670" s="32" t="str">
        <f>IF(AND(E1670=1,OR(E1669=0,E1669="")),MAX(#REF!)+1,IF(AND(E1670=1,E1669=1),J1669,""))</f>
        <v/>
      </c>
      <c r="K1670" s="32" t="str">
        <f t="shared" si="102"/>
        <v/>
      </c>
      <c r="L1670" s="32" t="str">
        <f t="shared" si="103"/>
        <v/>
      </c>
      <c r="M1670" s="32" t="str">
        <f t="shared" si="104"/>
        <v/>
      </c>
      <c r="N1670" s="4"/>
      <c r="AG1670" t="s">
        <v>77</v>
      </c>
      <c r="AM1670" s="1"/>
    </row>
    <row r="1671" spans="1:39" x14ac:dyDescent="0.35">
      <c r="A1671">
        <v>1667</v>
      </c>
      <c r="B1671">
        <v>1668</v>
      </c>
      <c r="F1671" s="64"/>
      <c r="G1671" s="64"/>
      <c r="H1671" s="64" t="s">
        <v>26</v>
      </c>
      <c r="I1671" s="64"/>
      <c r="J1671" s="32" t="str">
        <f>IF(AND(E1671=1,OR(E1670=0,E1670="")),MAX(#REF!)+1,IF(AND(E1671=1,E1670=1),J1670,""))</f>
        <v/>
      </c>
      <c r="K1671" s="32" t="str">
        <f t="shared" si="102"/>
        <v/>
      </c>
      <c r="L1671" s="32" t="str">
        <f t="shared" si="103"/>
        <v/>
      </c>
      <c r="M1671" s="32" t="str">
        <f t="shared" si="104"/>
        <v/>
      </c>
      <c r="N1671" s="4"/>
      <c r="AG1671" t="s">
        <v>1400</v>
      </c>
      <c r="AM1671" s="1"/>
    </row>
    <row r="1672" spans="1:39" x14ac:dyDescent="0.35">
      <c r="A1672">
        <v>1668</v>
      </c>
      <c r="B1672">
        <v>1669</v>
      </c>
      <c r="F1672" s="64"/>
      <c r="G1672" s="64"/>
      <c r="H1672" s="64" t="s">
        <v>26</v>
      </c>
      <c r="I1672" s="64"/>
      <c r="J1672" s="32" t="str">
        <f>IF(AND(E1672=1,OR(E1671=0,E1671="")),MAX(#REF!)+1,IF(AND(E1672=1,E1671=1),J1671,""))</f>
        <v/>
      </c>
      <c r="K1672" s="32" t="str">
        <f t="shared" si="102"/>
        <v/>
      </c>
      <c r="L1672" s="32" t="str">
        <f t="shared" si="103"/>
        <v/>
      </c>
      <c r="M1672" s="32" t="str">
        <f t="shared" si="104"/>
        <v/>
      </c>
      <c r="N1672" s="4"/>
      <c r="AG1672" t="s">
        <v>77</v>
      </c>
      <c r="AM1672" s="1"/>
    </row>
    <row r="1673" spans="1:39" x14ac:dyDescent="0.35">
      <c r="A1673">
        <v>1669</v>
      </c>
      <c r="B1673">
        <v>1670</v>
      </c>
      <c r="F1673" s="64"/>
      <c r="G1673" s="64"/>
      <c r="H1673" s="64" t="s">
        <v>26</v>
      </c>
      <c r="I1673" s="64"/>
      <c r="J1673" s="32" t="str">
        <f>IF(AND(E1673=1,OR(E1672=0,E1672="")),MAX(#REF!)+1,IF(AND(E1673=1,E1672=1),J1672,""))</f>
        <v/>
      </c>
      <c r="K1673" s="32" t="str">
        <f t="shared" si="102"/>
        <v/>
      </c>
      <c r="L1673" s="32" t="str">
        <f t="shared" si="103"/>
        <v/>
      </c>
      <c r="M1673" s="32" t="str">
        <f t="shared" si="104"/>
        <v/>
      </c>
      <c r="N1673" s="4"/>
      <c r="AG1673" t="s">
        <v>77</v>
      </c>
      <c r="AM1673" s="1"/>
    </row>
    <row r="1674" spans="1:39" x14ac:dyDescent="0.35">
      <c r="A1674">
        <v>1670</v>
      </c>
      <c r="B1674">
        <v>1671</v>
      </c>
      <c r="F1674" s="64"/>
      <c r="G1674" s="64"/>
      <c r="H1674" s="64" t="s">
        <v>26</v>
      </c>
      <c r="I1674" s="64"/>
      <c r="J1674" s="32" t="str">
        <f>IF(AND(E1674=1,OR(E1673=0,E1673="")),MAX(#REF!)+1,IF(AND(E1674=1,E1673=1),J1673,""))</f>
        <v/>
      </c>
      <c r="K1674" s="32" t="str">
        <f t="shared" si="102"/>
        <v/>
      </c>
      <c r="L1674" s="32" t="str">
        <f t="shared" si="103"/>
        <v/>
      </c>
      <c r="M1674" s="32" t="str">
        <f t="shared" si="104"/>
        <v/>
      </c>
      <c r="N1674" s="4"/>
      <c r="AG1674" t="s">
        <v>77</v>
      </c>
      <c r="AM1674" s="1"/>
    </row>
    <row r="1675" spans="1:39" x14ac:dyDescent="0.35">
      <c r="A1675">
        <v>1671</v>
      </c>
      <c r="B1675">
        <v>1672</v>
      </c>
      <c r="F1675" s="64"/>
      <c r="G1675" s="64"/>
      <c r="H1675" s="64" t="s">
        <v>26</v>
      </c>
      <c r="I1675" s="64"/>
      <c r="J1675" s="32" t="str">
        <f>IF(AND(E1675=1,OR(E1674=0,E1674="")),MAX(#REF!)+1,IF(AND(E1675=1,E1674=1),J1674,""))</f>
        <v/>
      </c>
      <c r="K1675" s="32" t="str">
        <f t="shared" si="102"/>
        <v/>
      </c>
      <c r="L1675" s="32" t="str">
        <f t="shared" si="103"/>
        <v/>
      </c>
      <c r="M1675" s="32" t="str">
        <f t="shared" si="104"/>
        <v/>
      </c>
      <c r="N1675" s="4"/>
      <c r="AG1675" t="s">
        <v>1401</v>
      </c>
      <c r="AM1675" s="1"/>
    </row>
    <row r="1676" spans="1:39" x14ac:dyDescent="0.35">
      <c r="A1676">
        <v>1672</v>
      </c>
      <c r="B1676">
        <v>1673</v>
      </c>
      <c r="F1676" s="64"/>
      <c r="G1676" s="64"/>
      <c r="H1676" s="64" t="s">
        <v>26</v>
      </c>
      <c r="I1676" s="64"/>
      <c r="J1676" s="32" t="str">
        <f>IF(AND(E1676=1,OR(E1675=0,E1675="")),MAX(#REF!)+1,IF(AND(E1676=1,E1675=1),J1675,""))</f>
        <v/>
      </c>
      <c r="K1676" s="32" t="str">
        <f t="shared" si="102"/>
        <v/>
      </c>
      <c r="L1676" s="32" t="str">
        <f t="shared" si="103"/>
        <v/>
      </c>
      <c r="M1676" s="32" t="str">
        <f t="shared" si="104"/>
        <v/>
      </c>
      <c r="N1676" s="4"/>
      <c r="AG1676" t="s">
        <v>77</v>
      </c>
      <c r="AM1676" s="1"/>
    </row>
    <row r="1677" spans="1:39" x14ac:dyDescent="0.35">
      <c r="A1677">
        <v>1673</v>
      </c>
      <c r="B1677">
        <v>1674</v>
      </c>
      <c r="F1677" s="64"/>
      <c r="G1677" s="64"/>
      <c r="H1677" s="64" t="s">
        <v>26</v>
      </c>
      <c r="I1677" s="64"/>
      <c r="J1677" s="32" t="str">
        <f>IF(AND(E1677=1,OR(E1676=0,E1676="")),MAX(#REF!)+1,IF(AND(E1677=1,E1676=1),J1676,""))</f>
        <v/>
      </c>
      <c r="K1677" s="32" t="str">
        <f t="shared" si="102"/>
        <v/>
      </c>
      <c r="L1677" s="32" t="str">
        <f t="shared" si="103"/>
        <v/>
      </c>
      <c r="M1677" s="32" t="str">
        <f t="shared" si="104"/>
        <v/>
      </c>
      <c r="N1677" s="4"/>
      <c r="AG1677" t="s">
        <v>1402</v>
      </c>
      <c r="AM1677" s="1"/>
    </row>
    <row r="1678" spans="1:39" x14ac:dyDescent="0.35">
      <c r="A1678">
        <v>1674</v>
      </c>
      <c r="B1678">
        <v>1675</v>
      </c>
      <c r="F1678" s="64"/>
      <c r="G1678" s="64"/>
      <c r="H1678" s="64" t="s">
        <v>26</v>
      </c>
      <c r="I1678" s="64"/>
      <c r="J1678" s="32" t="str">
        <f>IF(AND(E1678=1,OR(E1677=0,E1677="")),MAX(#REF!)+1,IF(AND(E1678=1,E1677=1),J1677,""))</f>
        <v/>
      </c>
      <c r="K1678" s="32" t="str">
        <f t="shared" si="102"/>
        <v/>
      </c>
      <c r="L1678" s="32" t="str">
        <f t="shared" si="103"/>
        <v/>
      </c>
      <c r="M1678" s="32" t="str">
        <f t="shared" si="104"/>
        <v/>
      </c>
      <c r="N1678" s="4"/>
      <c r="AG1678" t="s">
        <v>77</v>
      </c>
      <c r="AM1678" s="1"/>
    </row>
    <row r="1679" spans="1:39" x14ac:dyDescent="0.35">
      <c r="A1679">
        <v>1675</v>
      </c>
      <c r="B1679">
        <v>1676</v>
      </c>
      <c r="F1679" s="64"/>
      <c r="G1679" s="64"/>
      <c r="H1679" s="64" t="s">
        <v>26</v>
      </c>
      <c r="I1679" s="64"/>
      <c r="J1679" s="32" t="str">
        <f>IF(AND(E1679=1,OR(E1678=0,E1678="")),MAX(#REF!)+1,IF(AND(E1679=1,E1678=1),J1678,""))</f>
        <v/>
      </c>
      <c r="K1679" s="32" t="str">
        <f t="shared" si="102"/>
        <v/>
      </c>
      <c r="L1679" s="32" t="str">
        <f t="shared" si="103"/>
        <v/>
      </c>
      <c r="M1679" s="32" t="str">
        <f t="shared" si="104"/>
        <v/>
      </c>
      <c r="N1679" s="4"/>
      <c r="AG1679" t="s">
        <v>77</v>
      </c>
      <c r="AM1679" s="1"/>
    </row>
    <row r="1680" spans="1:39" x14ac:dyDescent="0.35">
      <c r="A1680">
        <v>1676</v>
      </c>
      <c r="B1680">
        <v>1677</v>
      </c>
      <c r="F1680" s="64"/>
      <c r="G1680" s="64"/>
      <c r="H1680" s="64" t="s">
        <v>26</v>
      </c>
      <c r="I1680" s="64"/>
      <c r="J1680" s="32" t="str">
        <f>IF(AND(E1680=1,OR(E1679=0,E1679="")),MAX(#REF!)+1,IF(AND(E1680=1,E1679=1),J1679,""))</f>
        <v/>
      </c>
      <c r="K1680" s="32" t="str">
        <f t="shared" si="102"/>
        <v/>
      </c>
      <c r="L1680" s="32" t="str">
        <f t="shared" si="103"/>
        <v/>
      </c>
      <c r="M1680" s="32" t="str">
        <f t="shared" si="104"/>
        <v/>
      </c>
      <c r="N1680" s="4"/>
      <c r="AG1680" t="s">
        <v>77</v>
      </c>
      <c r="AM1680" s="1"/>
    </row>
    <row r="1681" spans="1:39" x14ac:dyDescent="0.35">
      <c r="A1681">
        <v>1677</v>
      </c>
      <c r="B1681">
        <v>1678</v>
      </c>
      <c r="F1681" s="64"/>
      <c r="G1681" s="64"/>
      <c r="H1681" s="64" t="s">
        <v>26</v>
      </c>
      <c r="I1681" s="64"/>
      <c r="J1681" s="32" t="str">
        <f>IF(AND(E1681=1,OR(E1680=0,E1680="")),MAX(#REF!)+1,IF(AND(E1681=1,E1680=1),J1680,""))</f>
        <v/>
      </c>
      <c r="K1681" s="32" t="str">
        <f t="shared" si="102"/>
        <v/>
      </c>
      <c r="L1681" s="32" t="str">
        <f t="shared" si="103"/>
        <v/>
      </c>
      <c r="M1681" s="32" t="str">
        <f t="shared" si="104"/>
        <v/>
      </c>
      <c r="N1681" s="4"/>
      <c r="AG1681" t="s">
        <v>1403</v>
      </c>
      <c r="AM1681" s="1"/>
    </row>
    <row r="1682" spans="1:39" x14ac:dyDescent="0.35">
      <c r="A1682">
        <v>1678</v>
      </c>
      <c r="B1682">
        <v>1679</v>
      </c>
      <c r="F1682" s="64"/>
      <c r="G1682" s="64"/>
      <c r="H1682" s="64" t="s">
        <v>26</v>
      </c>
      <c r="I1682" s="64"/>
      <c r="J1682" s="32" t="str">
        <f>IF(AND(E1682=1,OR(E1681=0,E1681="")),MAX(#REF!)+1,IF(AND(E1682=1,E1681=1),J1681,""))</f>
        <v/>
      </c>
      <c r="K1682" s="32" t="str">
        <f t="shared" si="102"/>
        <v/>
      </c>
      <c r="L1682" s="32" t="str">
        <f t="shared" si="103"/>
        <v/>
      </c>
      <c r="M1682" s="32" t="str">
        <f t="shared" si="104"/>
        <v/>
      </c>
      <c r="N1682" s="4"/>
      <c r="AG1682" t="s">
        <v>1404</v>
      </c>
      <c r="AM1682" s="1"/>
    </row>
    <row r="1683" spans="1:39" x14ac:dyDescent="0.35">
      <c r="A1683">
        <v>1679</v>
      </c>
      <c r="B1683">
        <v>1680</v>
      </c>
      <c r="F1683" s="64"/>
      <c r="G1683" s="64"/>
      <c r="H1683" s="64" t="s">
        <v>26</v>
      </c>
      <c r="I1683" s="64"/>
      <c r="J1683" s="32" t="str">
        <f>IF(AND(E1683=1,OR(E1682=0,E1682="")),MAX(#REF!)+1,IF(AND(E1683=1,E1682=1),J1682,""))</f>
        <v/>
      </c>
      <c r="K1683" s="32" t="str">
        <f t="shared" si="102"/>
        <v/>
      </c>
      <c r="L1683" s="32" t="str">
        <f t="shared" si="103"/>
        <v/>
      </c>
      <c r="M1683" s="32" t="str">
        <f t="shared" si="104"/>
        <v/>
      </c>
      <c r="N1683" s="4"/>
      <c r="AG1683" t="s">
        <v>77</v>
      </c>
      <c r="AM1683" s="1"/>
    </row>
    <row r="1684" spans="1:39" x14ac:dyDescent="0.35">
      <c r="A1684">
        <v>1680</v>
      </c>
      <c r="B1684">
        <v>1681</v>
      </c>
      <c r="F1684" s="64"/>
      <c r="G1684" s="64"/>
      <c r="H1684" s="64" t="s">
        <v>26</v>
      </c>
      <c r="I1684" s="64"/>
      <c r="J1684" s="32" t="str">
        <f>IF(AND(E1684=1,OR(E1683=0,E1683="")),MAX(#REF!)+1,IF(AND(E1684=1,E1683=1),J1683,""))</f>
        <v/>
      </c>
      <c r="K1684" s="32" t="str">
        <f t="shared" si="102"/>
        <v/>
      </c>
      <c r="L1684" s="32" t="str">
        <f t="shared" si="103"/>
        <v/>
      </c>
      <c r="M1684" s="32" t="str">
        <f t="shared" si="104"/>
        <v/>
      </c>
      <c r="N1684" s="4"/>
      <c r="AG1684" t="s">
        <v>1405</v>
      </c>
      <c r="AM1684" s="1"/>
    </row>
    <row r="1685" spans="1:39" x14ac:dyDescent="0.35">
      <c r="A1685">
        <v>1681</v>
      </c>
      <c r="B1685">
        <v>1682</v>
      </c>
      <c r="F1685" s="64"/>
      <c r="G1685" s="64"/>
      <c r="H1685" s="64" t="s">
        <v>26</v>
      </c>
      <c r="I1685" s="64"/>
      <c r="J1685" s="32" t="str">
        <f>IF(AND(E1685=1,OR(E1684=0,E1684="")),MAX(#REF!)+1,IF(AND(E1685=1,E1684=1),J1684,""))</f>
        <v/>
      </c>
      <c r="K1685" s="32" t="str">
        <f t="shared" si="102"/>
        <v/>
      </c>
      <c r="L1685" s="32" t="str">
        <f t="shared" si="103"/>
        <v/>
      </c>
      <c r="M1685" s="32" t="str">
        <f t="shared" si="104"/>
        <v/>
      </c>
      <c r="N1685" s="4"/>
      <c r="AG1685" t="s">
        <v>1406</v>
      </c>
      <c r="AM1685" s="1"/>
    </row>
    <row r="1686" spans="1:39" x14ac:dyDescent="0.35">
      <c r="A1686">
        <v>1682</v>
      </c>
      <c r="B1686">
        <v>1683</v>
      </c>
      <c r="F1686" s="64"/>
      <c r="G1686" s="64"/>
      <c r="H1686" s="64" t="s">
        <v>26</v>
      </c>
      <c r="I1686" s="64"/>
      <c r="J1686" s="32" t="str">
        <f>IF(AND(E1686=1,OR(E1685=0,E1685="")),MAX(#REF!)+1,IF(AND(E1686=1,E1685=1),J1685,""))</f>
        <v/>
      </c>
      <c r="K1686" s="32" t="str">
        <f t="shared" si="102"/>
        <v/>
      </c>
      <c r="L1686" s="32" t="str">
        <f t="shared" si="103"/>
        <v/>
      </c>
      <c r="M1686" s="32" t="str">
        <f t="shared" si="104"/>
        <v/>
      </c>
      <c r="N1686" s="4"/>
      <c r="AG1686" t="s">
        <v>1407</v>
      </c>
      <c r="AM1686" s="1"/>
    </row>
    <row r="1687" spans="1:39" x14ac:dyDescent="0.35">
      <c r="A1687">
        <v>1683</v>
      </c>
      <c r="B1687">
        <v>1684</v>
      </c>
      <c r="F1687" s="64"/>
      <c r="G1687" s="64"/>
      <c r="H1687" s="64" t="s">
        <v>26</v>
      </c>
      <c r="I1687" s="64"/>
      <c r="J1687" s="32" t="str">
        <f>IF(AND(E1687=1,OR(E1686=0,E1686="")),MAX(#REF!)+1,IF(AND(E1687=1,E1686=1),J1686,""))</f>
        <v/>
      </c>
      <c r="K1687" s="32" t="str">
        <f t="shared" si="102"/>
        <v/>
      </c>
      <c r="L1687" s="32" t="str">
        <f t="shared" si="103"/>
        <v/>
      </c>
      <c r="M1687" s="32" t="str">
        <f t="shared" si="104"/>
        <v/>
      </c>
      <c r="N1687" s="4"/>
      <c r="AG1687" t="s">
        <v>1408</v>
      </c>
      <c r="AM1687" s="1"/>
    </row>
    <row r="1688" spans="1:39" x14ac:dyDescent="0.35">
      <c r="A1688">
        <v>1684</v>
      </c>
      <c r="B1688">
        <v>1685</v>
      </c>
      <c r="F1688" s="64"/>
      <c r="G1688" s="64"/>
      <c r="H1688" s="64" t="s">
        <v>26</v>
      </c>
      <c r="I1688" s="64"/>
      <c r="J1688" s="32" t="str">
        <f>IF(AND(E1688=1,OR(E1687=0,E1687="")),MAX(#REF!)+1,IF(AND(E1688=1,E1687=1),J1687,""))</f>
        <v/>
      </c>
      <c r="K1688" s="32" t="str">
        <f t="shared" si="102"/>
        <v/>
      </c>
      <c r="L1688" s="32" t="str">
        <f t="shared" si="103"/>
        <v/>
      </c>
      <c r="M1688" s="32" t="str">
        <f t="shared" si="104"/>
        <v/>
      </c>
      <c r="N1688" s="4"/>
      <c r="AG1688" t="s">
        <v>1409</v>
      </c>
      <c r="AM1688" s="1"/>
    </row>
    <row r="1689" spans="1:39" x14ac:dyDescent="0.35">
      <c r="A1689">
        <v>1685</v>
      </c>
      <c r="B1689">
        <v>1686</v>
      </c>
      <c r="F1689" s="64"/>
      <c r="G1689" s="64"/>
      <c r="H1689" s="64" t="s">
        <v>26</v>
      </c>
      <c r="I1689" s="64"/>
      <c r="J1689" s="32" t="str">
        <f>IF(AND(E1689=1,OR(E1688=0,E1688="")),MAX(#REF!)+1,IF(AND(E1689=1,E1688=1),J1688,""))</f>
        <v/>
      </c>
      <c r="K1689" s="32" t="str">
        <f t="shared" si="102"/>
        <v/>
      </c>
      <c r="L1689" s="32" t="str">
        <f t="shared" si="103"/>
        <v/>
      </c>
      <c r="M1689" s="32" t="str">
        <f t="shared" si="104"/>
        <v/>
      </c>
      <c r="N1689" s="4"/>
      <c r="AG1689" t="s">
        <v>1410</v>
      </c>
      <c r="AM1689" s="1"/>
    </row>
    <row r="1690" spans="1:39" x14ac:dyDescent="0.35">
      <c r="A1690">
        <v>1686</v>
      </c>
      <c r="B1690">
        <v>1687</v>
      </c>
      <c r="F1690" s="64"/>
      <c r="G1690" s="64"/>
      <c r="H1690" s="64" t="s">
        <v>26</v>
      </c>
      <c r="I1690" s="64"/>
      <c r="J1690" s="32" t="str">
        <f>IF(AND(E1690=1,OR(E1689=0,E1689="")),MAX(#REF!)+1,IF(AND(E1690=1,E1689=1),J1689,""))</f>
        <v/>
      </c>
      <c r="K1690" s="32" t="str">
        <f t="shared" si="102"/>
        <v/>
      </c>
      <c r="L1690" s="32" t="str">
        <f t="shared" si="103"/>
        <v/>
      </c>
      <c r="M1690" s="32" t="str">
        <f t="shared" si="104"/>
        <v/>
      </c>
      <c r="N1690" s="4"/>
      <c r="AG1690" t="s">
        <v>1411</v>
      </c>
      <c r="AM1690" s="1"/>
    </row>
    <row r="1691" spans="1:39" x14ac:dyDescent="0.35">
      <c r="A1691">
        <v>1687</v>
      </c>
      <c r="B1691">
        <v>1688</v>
      </c>
      <c r="F1691" s="64"/>
      <c r="G1691" s="64"/>
      <c r="H1691" s="64" t="s">
        <v>26</v>
      </c>
      <c r="I1691" s="64"/>
      <c r="J1691" s="32" t="str">
        <f>IF(AND(E1691=1,OR(E1690=0,E1690="")),MAX(#REF!)+1,IF(AND(E1691=1,E1690=1),J1690,""))</f>
        <v/>
      </c>
      <c r="K1691" s="32" t="str">
        <f t="shared" si="102"/>
        <v/>
      </c>
      <c r="L1691" s="32" t="str">
        <f t="shared" si="103"/>
        <v/>
      </c>
      <c r="M1691" s="32" t="str">
        <f t="shared" si="104"/>
        <v/>
      </c>
      <c r="N1691" s="4"/>
      <c r="AG1691" t="s">
        <v>1412</v>
      </c>
      <c r="AM1691" s="1"/>
    </row>
    <row r="1692" spans="1:39" x14ac:dyDescent="0.35">
      <c r="A1692">
        <v>1688</v>
      </c>
      <c r="B1692">
        <v>1689</v>
      </c>
      <c r="F1692" s="64"/>
      <c r="G1692" s="64"/>
      <c r="H1692" s="64" t="s">
        <v>26</v>
      </c>
      <c r="I1692" s="64"/>
      <c r="J1692" s="32" t="str">
        <f>IF(AND(E1692=1,OR(E1691=0,E1691="")),MAX(#REF!)+1,IF(AND(E1692=1,E1691=1),J1691,""))</f>
        <v/>
      </c>
      <c r="K1692" s="32" t="str">
        <f t="shared" si="102"/>
        <v/>
      </c>
      <c r="L1692" s="32" t="str">
        <f t="shared" si="103"/>
        <v/>
      </c>
      <c r="M1692" s="32" t="str">
        <f t="shared" si="104"/>
        <v/>
      </c>
      <c r="N1692" s="4"/>
      <c r="AG1692" t="s">
        <v>1413</v>
      </c>
      <c r="AM1692" s="1"/>
    </row>
    <row r="1693" spans="1:39" x14ac:dyDescent="0.35">
      <c r="A1693">
        <v>1689</v>
      </c>
      <c r="B1693">
        <v>1690</v>
      </c>
      <c r="F1693" s="64"/>
      <c r="G1693" s="64"/>
      <c r="H1693" s="64" t="s">
        <v>26</v>
      </c>
      <c r="I1693" s="64"/>
      <c r="J1693" s="32" t="str">
        <f>IF(AND(E1693=1,OR(E1692=0,E1692="")),MAX(#REF!)+1,IF(AND(E1693=1,E1692=1),J1692,""))</f>
        <v/>
      </c>
      <c r="K1693" s="32" t="str">
        <f t="shared" si="102"/>
        <v/>
      </c>
      <c r="L1693" s="32" t="str">
        <f t="shared" si="103"/>
        <v/>
      </c>
      <c r="M1693" s="32" t="str">
        <f t="shared" si="104"/>
        <v/>
      </c>
      <c r="N1693" s="4"/>
      <c r="AG1693" t="s">
        <v>1414</v>
      </c>
      <c r="AM1693" s="1"/>
    </row>
    <row r="1694" spans="1:39" x14ac:dyDescent="0.35">
      <c r="A1694">
        <v>1690</v>
      </c>
      <c r="B1694">
        <v>1691</v>
      </c>
      <c r="F1694" s="64"/>
      <c r="G1694" s="64"/>
      <c r="H1694" s="64" t="s">
        <v>26</v>
      </c>
      <c r="I1694" s="64"/>
      <c r="J1694" s="32" t="str">
        <f>IF(AND(E1694=1,OR(E1693=0,E1693="")),MAX(#REF!)+1,IF(AND(E1694=1,E1693=1),J1693,""))</f>
        <v/>
      </c>
      <c r="K1694" s="32" t="str">
        <f t="shared" si="102"/>
        <v/>
      </c>
      <c r="L1694" s="32" t="str">
        <f t="shared" si="103"/>
        <v/>
      </c>
      <c r="M1694" s="32" t="str">
        <f t="shared" si="104"/>
        <v/>
      </c>
      <c r="N1694" s="4"/>
      <c r="AG1694" t="s">
        <v>1415</v>
      </c>
      <c r="AM1694" s="1"/>
    </row>
    <row r="1695" spans="1:39" x14ac:dyDescent="0.35">
      <c r="A1695">
        <v>1691</v>
      </c>
      <c r="B1695">
        <v>1692</v>
      </c>
      <c r="F1695" s="64"/>
      <c r="G1695" s="64"/>
      <c r="H1695" s="64" t="s">
        <v>26</v>
      </c>
      <c r="I1695" s="64"/>
      <c r="J1695" s="32" t="str">
        <f>IF(AND(E1695=1,OR(E1694=0,E1694="")),MAX(#REF!)+1,IF(AND(E1695=1,E1694=1),J1694,""))</f>
        <v/>
      </c>
      <c r="K1695" s="32" t="str">
        <f t="shared" ref="K1695:K1758" si="105">IF(J1695="","",COUNTIF(J:J,J1695)*10)</f>
        <v/>
      </c>
      <c r="L1695" s="32" t="str">
        <f t="shared" si="103"/>
        <v/>
      </c>
      <c r="M1695" s="32" t="str">
        <f t="shared" si="104"/>
        <v/>
      </c>
      <c r="N1695" s="4"/>
      <c r="AG1695" t="s">
        <v>1416</v>
      </c>
      <c r="AM1695" s="1"/>
    </row>
    <row r="1696" spans="1:39" x14ac:dyDescent="0.35">
      <c r="A1696">
        <v>1692</v>
      </c>
      <c r="B1696">
        <v>1693</v>
      </c>
      <c r="F1696" s="64"/>
      <c r="G1696" s="64"/>
      <c r="H1696" s="64" t="s">
        <v>26</v>
      </c>
      <c r="I1696" s="64"/>
      <c r="J1696" s="32" t="str">
        <f>IF(AND(E1696=1,OR(E1695=0,E1695="")),MAX(#REF!)+1,IF(AND(E1696=1,E1695=1),J1695,""))</f>
        <v/>
      </c>
      <c r="K1696" s="32" t="str">
        <f t="shared" si="105"/>
        <v/>
      </c>
      <c r="L1696" s="32" t="str">
        <f t="shared" si="103"/>
        <v/>
      </c>
      <c r="M1696" s="32" t="str">
        <f t="shared" si="104"/>
        <v/>
      </c>
      <c r="N1696" s="4"/>
      <c r="AG1696" t="s">
        <v>1417</v>
      </c>
      <c r="AM1696" s="1"/>
    </row>
    <row r="1697" spans="1:39" x14ac:dyDescent="0.35">
      <c r="A1697">
        <v>1693</v>
      </c>
      <c r="B1697">
        <v>1694</v>
      </c>
      <c r="F1697" s="64"/>
      <c r="G1697" s="64"/>
      <c r="H1697" s="64" t="s">
        <v>26</v>
      </c>
      <c r="I1697" s="64"/>
      <c r="J1697" s="32" t="str">
        <f>IF(AND(E1697=1,OR(E1696=0,E1696="")),MAX(#REF!)+1,IF(AND(E1697=1,E1696=1),J1696,""))</f>
        <v/>
      </c>
      <c r="K1697" s="32" t="str">
        <f t="shared" si="105"/>
        <v/>
      </c>
      <c r="L1697" s="32" t="str">
        <f t="shared" si="103"/>
        <v/>
      </c>
      <c r="M1697" s="32" t="str">
        <f t="shared" si="104"/>
        <v/>
      </c>
      <c r="N1697" s="4"/>
      <c r="AG1697" t="s">
        <v>1418</v>
      </c>
      <c r="AM1697" s="1"/>
    </row>
    <row r="1698" spans="1:39" x14ac:dyDescent="0.35">
      <c r="A1698">
        <v>1694</v>
      </c>
      <c r="B1698">
        <v>1695</v>
      </c>
      <c r="F1698" s="64"/>
      <c r="G1698" s="64"/>
      <c r="H1698" s="64" t="s">
        <v>26</v>
      </c>
      <c r="I1698" s="64"/>
      <c r="J1698" s="32" t="str">
        <f>IF(AND(E1698=1,OR(E1697=0,E1697="")),MAX(#REF!)+1,IF(AND(E1698=1,E1697=1),J1697,""))</f>
        <v/>
      </c>
      <c r="K1698" s="32" t="str">
        <f t="shared" si="105"/>
        <v/>
      </c>
      <c r="L1698" s="32" t="str">
        <f t="shared" si="103"/>
        <v/>
      </c>
      <c r="M1698" s="32" t="str">
        <f t="shared" si="104"/>
        <v/>
      </c>
      <c r="N1698" s="4"/>
      <c r="AG1698" t="s">
        <v>1419</v>
      </c>
      <c r="AM1698" s="1"/>
    </row>
    <row r="1699" spans="1:39" x14ac:dyDescent="0.35">
      <c r="A1699">
        <v>1695</v>
      </c>
      <c r="B1699">
        <v>1696</v>
      </c>
      <c r="F1699" s="64"/>
      <c r="G1699" s="64"/>
      <c r="H1699" s="64" t="s">
        <v>26</v>
      </c>
      <c r="I1699" s="64"/>
      <c r="J1699" s="32" t="str">
        <f>IF(AND(E1699=1,OR(E1698=0,E1698="")),MAX(#REF!)+1,IF(AND(E1699=1,E1698=1),J1698,""))</f>
        <v/>
      </c>
      <c r="K1699" s="32" t="str">
        <f t="shared" si="105"/>
        <v/>
      </c>
      <c r="L1699" s="32" t="str">
        <f t="shared" si="103"/>
        <v/>
      </c>
      <c r="M1699" s="32" t="str">
        <f t="shared" si="104"/>
        <v/>
      </c>
      <c r="N1699" s="4"/>
      <c r="AG1699" t="s">
        <v>1420</v>
      </c>
      <c r="AM1699" s="1"/>
    </row>
    <row r="1700" spans="1:39" x14ac:dyDescent="0.35">
      <c r="A1700">
        <v>1696</v>
      </c>
      <c r="B1700">
        <v>1697</v>
      </c>
      <c r="F1700" s="64"/>
      <c r="G1700" s="64"/>
      <c r="H1700" s="64" t="s">
        <v>26</v>
      </c>
      <c r="I1700" s="64"/>
      <c r="J1700" s="32" t="str">
        <f>IF(AND(E1700=1,OR(E1699=0,E1699="")),MAX(#REF!)+1,IF(AND(E1700=1,E1699=1),J1699,""))</f>
        <v/>
      </c>
      <c r="K1700" s="32" t="str">
        <f t="shared" si="105"/>
        <v/>
      </c>
      <c r="L1700" s="32" t="str">
        <f t="shared" si="103"/>
        <v/>
      </c>
      <c r="M1700" s="32" t="str">
        <f t="shared" si="104"/>
        <v/>
      </c>
      <c r="N1700" s="4"/>
      <c r="AG1700" t="s">
        <v>1421</v>
      </c>
      <c r="AM1700" s="1"/>
    </row>
    <row r="1701" spans="1:39" x14ac:dyDescent="0.35">
      <c r="A1701">
        <v>1697</v>
      </c>
      <c r="B1701">
        <v>1698</v>
      </c>
      <c r="F1701" s="64"/>
      <c r="G1701" s="64"/>
      <c r="H1701" s="64" t="s">
        <v>26</v>
      </c>
      <c r="I1701" s="64"/>
      <c r="J1701" s="32" t="str">
        <f>IF(AND(E1701=1,OR(E1700=0,E1700="")),MAX(#REF!)+1,IF(AND(E1701=1,E1700=1),J1700,""))</f>
        <v/>
      </c>
      <c r="K1701" s="32" t="str">
        <f t="shared" si="105"/>
        <v/>
      </c>
      <c r="L1701" s="32" t="str">
        <f t="shared" si="103"/>
        <v/>
      </c>
      <c r="M1701" s="32" t="str">
        <f t="shared" si="104"/>
        <v/>
      </c>
      <c r="N1701" s="4"/>
      <c r="AG1701" t="s">
        <v>1422</v>
      </c>
      <c r="AM1701" s="1"/>
    </row>
    <row r="1702" spans="1:39" x14ac:dyDescent="0.35">
      <c r="A1702">
        <v>1698</v>
      </c>
      <c r="B1702">
        <v>1699</v>
      </c>
      <c r="F1702" s="64"/>
      <c r="G1702" s="64"/>
      <c r="H1702" s="64" t="s">
        <v>26</v>
      </c>
      <c r="I1702" s="64"/>
      <c r="J1702" s="32" t="str">
        <f>IF(AND(E1702=1,OR(E1701=0,E1701="")),MAX(#REF!)+1,IF(AND(E1702=1,E1701=1),J1701,""))</f>
        <v/>
      </c>
      <c r="K1702" s="32" t="str">
        <f t="shared" si="105"/>
        <v/>
      </c>
      <c r="L1702" s="32" t="str">
        <f t="shared" si="103"/>
        <v/>
      </c>
      <c r="M1702" s="32" t="str">
        <f t="shared" si="104"/>
        <v/>
      </c>
      <c r="N1702" s="4"/>
      <c r="AG1702" t="s">
        <v>1423</v>
      </c>
      <c r="AM1702" s="1"/>
    </row>
    <row r="1703" spans="1:39" x14ac:dyDescent="0.35">
      <c r="A1703">
        <v>1699</v>
      </c>
      <c r="B1703">
        <v>1700</v>
      </c>
      <c r="F1703" s="64"/>
      <c r="G1703" s="64"/>
      <c r="H1703" s="64" t="s">
        <v>26</v>
      </c>
      <c r="I1703" s="64"/>
      <c r="J1703" s="32" t="str">
        <f>IF(AND(E1703=1,OR(E1702=0,E1702="")),MAX(#REF!)+1,IF(AND(E1703=1,E1702=1),J1702,""))</f>
        <v/>
      </c>
      <c r="K1703" s="32" t="str">
        <f t="shared" si="105"/>
        <v/>
      </c>
      <c r="L1703" s="32" t="str">
        <f t="shared" si="103"/>
        <v/>
      </c>
      <c r="M1703" s="32" t="str">
        <f t="shared" si="104"/>
        <v/>
      </c>
      <c r="N1703" s="4"/>
      <c r="AG1703" t="s">
        <v>1424</v>
      </c>
      <c r="AM1703" s="1"/>
    </row>
    <row r="1704" spans="1:39" x14ac:dyDescent="0.35">
      <c r="A1704">
        <v>1700</v>
      </c>
      <c r="B1704">
        <v>1701</v>
      </c>
      <c r="F1704" s="64"/>
      <c r="G1704" s="64"/>
      <c r="H1704" s="64" t="s">
        <v>26</v>
      </c>
      <c r="I1704" s="64"/>
      <c r="J1704" s="32" t="str">
        <f>IF(AND(E1704=1,OR(E1703=0,E1703="")),MAX(#REF!)+1,IF(AND(E1704=1,E1703=1),J1703,""))</f>
        <v/>
      </c>
      <c r="K1704" s="32" t="str">
        <f t="shared" si="105"/>
        <v/>
      </c>
      <c r="L1704" s="32" t="str">
        <f t="shared" si="103"/>
        <v/>
      </c>
      <c r="M1704" s="32" t="str">
        <f t="shared" si="104"/>
        <v/>
      </c>
      <c r="N1704" s="4"/>
      <c r="AG1704" t="s">
        <v>1425</v>
      </c>
      <c r="AM1704" s="1"/>
    </row>
    <row r="1705" spans="1:39" x14ac:dyDescent="0.35">
      <c r="A1705">
        <v>1701</v>
      </c>
      <c r="B1705">
        <v>1702</v>
      </c>
      <c r="F1705" s="64"/>
      <c r="G1705" s="64"/>
      <c r="H1705" s="64" t="s">
        <v>26</v>
      </c>
      <c r="I1705" s="64"/>
      <c r="J1705" s="32" t="str">
        <f>IF(AND(E1705=1,OR(E1704=0,E1704="")),MAX(#REF!)+1,IF(AND(E1705=1,E1704=1),J1704,""))</f>
        <v/>
      </c>
      <c r="K1705" s="32" t="str">
        <f t="shared" si="105"/>
        <v/>
      </c>
      <c r="L1705" s="32" t="str">
        <f t="shared" si="103"/>
        <v/>
      </c>
      <c r="M1705" s="32" t="str">
        <f t="shared" si="104"/>
        <v/>
      </c>
      <c r="N1705" s="4"/>
      <c r="AG1705" t="s">
        <v>1426</v>
      </c>
      <c r="AM1705" s="1"/>
    </row>
    <row r="1706" spans="1:39" x14ac:dyDescent="0.35">
      <c r="A1706">
        <v>1702</v>
      </c>
      <c r="B1706">
        <v>1703</v>
      </c>
      <c r="F1706" s="64"/>
      <c r="G1706" s="64"/>
      <c r="H1706" s="64" t="s">
        <v>26</v>
      </c>
      <c r="I1706" s="64"/>
      <c r="J1706" s="32" t="str">
        <f>IF(AND(E1706=1,OR(E1705=0,E1705="")),MAX(#REF!)+1,IF(AND(E1706=1,E1705=1),J1705,""))</f>
        <v/>
      </c>
      <c r="K1706" s="32" t="str">
        <f t="shared" si="105"/>
        <v/>
      </c>
      <c r="L1706" s="32" t="str">
        <f t="shared" si="103"/>
        <v/>
      </c>
      <c r="M1706" s="32" t="str">
        <f t="shared" si="104"/>
        <v/>
      </c>
      <c r="N1706" s="4"/>
      <c r="AG1706" t="s">
        <v>1427</v>
      </c>
      <c r="AM1706" s="1"/>
    </row>
    <row r="1707" spans="1:39" x14ac:dyDescent="0.35">
      <c r="A1707">
        <v>1703</v>
      </c>
      <c r="B1707">
        <v>1704</v>
      </c>
      <c r="F1707" s="64"/>
      <c r="G1707" s="64"/>
      <c r="H1707" s="64" t="s">
        <v>26</v>
      </c>
      <c r="I1707" s="64"/>
      <c r="J1707" s="32" t="str">
        <f>IF(AND(E1707=1,OR(E1706=0,E1706="")),MAX(#REF!)+1,IF(AND(E1707=1,E1706=1),J1706,""))</f>
        <v/>
      </c>
      <c r="K1707" s="32" t="str">
        <f t="shared" si="105"/>
        <v/>
      </c>
      <c r="L1707" s="32" t="str">
        <f t="shared" si="103"/>
        <v/>
      </c>
      <c r="M1707" s="32" t="str">
        <f t="shared" si="104"/>
        <v/>
      </c>
      <c r="N1707" s="4"/>
      <c r="AG1707" t="s">
        <v>1428</v>
      </c>
      <c r="AM1707" s="1"/>
    </row>
    <row r="1708" spans="1:39" x14ac:dyDescent="0.35">
      <c r="A1708">
        <v>1704</v>
      </c>
      <c r="B1708">
        <v>1705</v>
      </c>
      <c r="F1708" s="64"/>
      <c r="G1708" s="64"/>
      <c r="H1708" s="64" t="s">
        <v>26</v>
      </c>
      <c r="I1708" s="64"/>
      <c r="J1708" s="32" t="str">
        <f>IF(AND(E1708=1,OR(E1707=0,E1707="")),MAX(#REF!)+1,IF(AND(E1708=1,E1707=1),J1707,""))</f>
        <v/>
      </c>
      <c r="K1708" s="32" t="str">
        <f t="shared" si="105"/>
        <v/>
      </c>
      <c r="L1708" s="32" t="str">
        <f t="shared" si="103"/>
        <v/>
      </c>
      <c r="M1708" s="32" t="str">
        <f t="shared" si="104"/>
        <v/>
      </c>
      <c r="N1708" s="4"/>
      <c r="AG1708" t="s">
        <v>1429</v>
      </c>
      <c r="AM1708" s="1"/>
    </row>
    <row r="1709" spans="1:39" x14ac:dyDescent="0.35">
      <c r="A1709">
        <v>1705</v>
      </c>
      <c r="B1709">
        <v>1706</v>
      </c>
      <c r="F1709" s="64"/>
      <c r="G1709" s="64"/>
      <c r="H1709" s="64" t="s">
        <v>26</v>
      </c>
      <c r="I1709" s="64"/>
      <c r="J1709" s="32" t="str">
        <f>IF(AND(E1709=1,OR(E1708=0,E1708="")),MAX(#REF!)+1,IF(AND(E1709=1,E1708=1),J1708,""))</f>
        <v/>
      </c>
      <c r="K1709" s="32" t="str">
        <f t="shared" si="105"/>
        <v/>
      </c>
      <c r="L1709" s="32" t="str">
        <f t="shared" si="103"/>
        <v/>
      </c>
      <c r="M1709" s="32" t="str">
        <f t="shared" si="104"/>
        <v/>
      </c>
      <c r="N1709" s="4"/>
      <c r="AG1709" t="s">
        <v>1430</v>
      </c>
      <c r="AM1709" s="1"/>
    </row>
    <row r="1710" spans="1:39" x14ac:dyDescent="0.35">
      <c r="A1710">
        <v>1706</v>
      </c>
      <c r="B1710">
        <v>1707</v>
      </c>
      <c r="F1710" s="64"/>
      <c r="G1710" s="64"/>
      <c r="H1710" s="64" t="s">
        <v>26</v>
      </c>
      <c r="I1710" s="64"/>
      <c r="J1710" s="32" t="str">
        <f>IF(AND(E1710=1,OR(E1709=0,E1709="")),MAX(#REF!)+1,IF(AND(E1710=1,E1709=1),J1709,""))</f>
        <v/>
      </c>
      <c r="K1710" s="32" t="str">
        <f t="shared" si="105"/>
        <v/>
      </c>
      <c r="L1710" s="32" t="str">
        <f t="shared" si="103"/>
        <v/>
      </c>
      <c r="M1710" s="32" t="str">
        <f t="shared" si="104"/>
        <v/>
      </c>
      <c r="N1710" s="4"/>
      <c r="AG1710" t="s">
        <v>1431</v>
      </c>
      <c r="AM1710" s="1"/>
    </row>
    <row r="1711" spans="1:39" x14ac:dyDescent="0.35">
      <c r="A1711">
        <v>1707</v>
      </c>
      <c r="B1711">
        <v>1708</v>
      </c>
      <c r="F1711" s="64"/>
      <c r="G1711" s="64"/>
      <c r="H1711" s="64" t="s">
        <v>26</v>
      </c>
      <c r="I1711" s="64"/>
      <c r="J1711" s="32" t="str">
        <f>IF(AND(E1711=1,OR(E1710=0,E1710="")),MAX(#REF!)+1,IF(AND(E1711=1,E1710=1),J1710,""))</f>
        <v/>
      </c>
      <c r="K1711" s="32" t="str">
        <f t="shared" si="105"/>
        <v/>
      </c>
      <c r="L1711" s="32" t="str">
        <f t="shared" si="103"/>
        <v/>
      </c>
      <c r="M1711" s="32" t="str">
        <f t="shared" si="104"/>
        <v/>
      </c>
      <c r="N1711" s="4"/>
      <c r="AG1711" t="s">
        <v>1432</v>
      </c>
      <c r="AM1711" s="1"/>
    </row>
    <row r="1712" spans="1:39" x14ac:dyDescent="0.35">
      <c r="A1712">
        <v>1708</v>
      </c>
      <c r="B1712">
        <v>1709</v>
      </c>
      <c r="F1712" s="64"/>
      <c r="G1712" s="64"/>
      <c r="H1712" s="64" t="s">
        <v>26</v>
      </c>
      <c r="I1712" s="64"/>
      <c r="J1712" s="32" t="str">
        <f>IF(AND(E1712=1,OR(E1711=0,E1711="")),MAX(#REF!)+1,IF(AND(E1712=1,E1711=1),J1711,""))</f>
        <v/>
      </c>
      <c r="K1712" s="32" t="str">
        <f t="shared" si="105"/>
        <v/>
      </c>
      <c r="L1712" s="32" t="str">
        <f t="shared" si="103"/>
        <v/>
      </c>
      <c r="M1712" s="32" t="str">
        <f t="shared" si="104"/>
        <v/>
      </c>
      <c r="N1712" s="4"/>
      <c r="AG1712" t="s">
        <v>1433</v>
      </c>
      <c r="AM1712" s="1"/>
    </row>
    <row r="1713" spans="1:39" x14ac:dyDescent="0.35">
      <c r="A1713">
        <v>1709</v>
      </c>
      <c r="B1713">
        <v>1710</v>
      </c>
      <c r="F1713" s="64"/>
      <c r="G1713" s="64"/>
      <c r="H1713" s="64" t="s">
        <v>26</v>
      </c>
      <c r="I1713" s="64"/>
      <c r="J1713" s="32" t="str">
        <f>IF(AND(E1713=1,OR(E1712=0,E1712="")),MAX(#REF!)+1,IF(AND(E1713=1,E1712=1),J1712,""))</f>
        <v/>
      </c>
      <c r="K1713" s="32" t="str">
        <f t="shared" si="105"/>
        <v/>
      </c>
      <c r="L1713" s="32" t="str">
        <f t="shared" si="103"/>
        <v/>
      </c>
      <c r="M1713" s="32" t="str">
        <f t="shared" si="104"/>
        <v/>
      </c>
      <c r="N1713" s="4"/>
      <c r="AG1713" t="s">
        <v>1434</v>
      </c>
      <c r="AM1713" s="1"/>
    </row>
    <row r="1714" spans="1:39" x14ac:dyDescent="0.35">
      <c r="A1714">
        <v>1710</v>
      </c>
      <c r="B1714">
        <v>1711</v>
      </c>
      <c r="F1714" s="64"/>
      <c r="G1714" s="64"/>
      <c r="H1714" s="64" t="s">
        <v>26</v>
      </c>
      <c r="I1714" s="64"/>
      <c r="J1714" s="32" t="str">
        <f>IF(AND(E1714=1,OR(E1713=0,E1713="")),MAX(#REF!)+1,IF(AND(E1714=1,E1713=1),J1713,""))</f>
        <v/>
      </c>
      <c r="K1714" s="32" t="str">
        <f t="shared" si="105"/>
        <v/>
      </c>
      <c r="L1714" s="32" t="str">
        <f t="shared" si="103"/>
        <v/>
      </c>
      <c r="M1714" s="32" t="str">
        <f t="shared" si="104"/>
        <v/>
      </c>
      <c r="N1714" s="4"/>
      <c r="AG1714" t="s">
        <v>1435</v>
      </c>
      <c r="AM1714" s="1"/>
    </row>
    <row r="1715" spans="1:39" x14ac:dyDescent="0.35">
      <c r="A1715">
        <v>1711</v>
      </c>
      <c r="B1715">
        <v>1712</v>
      </c>
      <c r="F1715" s="64"/>
      <c r="G1715" s="64"/>
      <c r="H1715" s="64" t="s">
        <v>26</v>
      </c>
      <c r="I1715" s="64"/>
      <c r="J1715" s="32" t="str">
        <f>IF(AND(E1715=1,OR(E1714=0,E1714="")),MAX(#REF!)+1,IF(AND(E1715=1,E1714=1),J1714,""))</f>
        <v/>
      </c>
      <c r="K1715" s="32" t="str">
        <f t="shared" si="105"/>
        <v/>
      </c>
      <c r="L1715" s="32" t="str">
        <f t="shared" si="103"/>
        <v/>
      </c>
      <c r="M1715" s="32" t="str">
        <f t="shared" si="104"/>
        <v/>
      </c>
      <c r="N1715" s="4"/>
      <c r="AG1715" t="s">
        <v>1436</v>
      </c>
      <c r="AM1715" s="1"/>
    </row>
    <row r="1716" spans="1:39" x14ac:dyDescent="0.35">
      <c r="A1716">
        <v>1712</v>
      </c>
      <c r="B1716">
        <v>1713</v>
      </c>
      <c r="F1716" s="64"/>
      <c r="G1716" s="64"/>
      <c r="H1716" s="64" t="s">
        <v>26</v>
      </c>
      <c r="I1716" s="64"/>
      <c r="J1716" s="32" t="str">
        <f>IF(AND(E1716=1,OR(E1715=0,E1715="")),MAX(#REF!)+1,IF(AND(E1716=1,E1715=1),J1715,""))</f>
        <v/>
      </c>
      <c r="K1716" s="32" t="str">
        <f t="shared" si="105"/>
        <v/>
      </c>
      <c r="L1716" s="32" t="str">
        <f t="shared" si="103"/>
        <v/>
      </c>
      <c r="M1716" s="32" t="str">
        <f t="shared" si="104"/>
        <v/>
      </c>
      <c r="N1716" s="4"/>
      <c r="AG1716" t="s">
        <v>1437</v>
      </c>
      <c r="AM1716" s="1"/>
    </row>
    <row r="1717" spans="1:39" x14ac:dyDescent="0.35">
      <c r="A1717">
        <v>1713</v>
      </c>
      <c r="B1717">
        <v>1714</v>
      </c>
      <c r="F1717" s="64"/>
      <c r="G1717" s="64"/>
      <c r="H1717" s="64" t="s">
        <v>26</v>
      </c>
      <c r="I1717" s="64"/>
      <c r="J1717" s="32" t="str">
        <f>IF(AND(E1717=1,OR(E1716=0,E1716="")),MAX(#REF!)+1,IF(AND(E1717=1,E1716=1),J1716,""))</f>
        <v/>
      </c>
      <c r="K1717" s="32" t="str">
        <f t="shared" si="105"/>
        <v/>
      </c>
      <c r="L1717" s="32" t="str">
        <f t="shared" si="103"/>
        <v/>
      </c>
      <c r="M1717" s="32" t="str">
        <f t="shared" si="104"/>
        <v/>
      </c>
      <c r="N1717" s="4"/>
      <c r="AG1717" t="s">
        <v>1438</v>
      </c>
      <c r="AM1717" s="1"/>
    </row>
    <row r="1718" spans="1:39" x14ac:dyDescent="0.35">
      <c r="A1718">
        <v>1714</v>
      </c>
      <c r="B1718">
        <v>1715</v>
      </c>
      <c r="F1718" s="64"/>
      <c r="G1718" s="64"/>
      <c r="H1718" s="64" t="s">
        <v>26</v>
      </c>
      <c r="I1718" s="64"/>
      <c r="J1718" s="32" t="str">
        <f>IF(AND(E1718=1,OR(E1717=0,E1717="")),MAX(#REF!)+1,IF(AND(E1718=1,E1717=1),J1717,""))</f>
        <v/>
      </c>
      <c r="K1718" s="32" t="str">
        <f t="shared" si="105"/>
        <v/>
      </c>
      <c r="L1718" s="32" t="str">
        <f t="shared" si="103"/>
        <v/>
      </c>
      <c r="M1718" s="32" t="str">
        <f t="shared" si="104"/>
        <v/>
      </c>
      <c r="N1718" s="4"/>
      <c r="AG1718" t="s">
        <v>1439</v>
      </c>
      <c r="AM1718" s="1"/>
    </row>
    <row r="1719" spans="1:39" x14ac:dyDescent="0.35">
      <c r="A1719">
        <v>1715</v>
      </c>
      <c r="B1719">
        <v>1716</v>
      </c>
      <c r="F1719" s="64"/>
      <c r="G1719" s="64"/>
      <c r="H1719" s="64" t="s">
        <v>26</v>
      </c>
      <c r="I1719" s="64"/>
      <c r="J1719" s="32" t="str">
        <f>IF(AND(E1719=1,OR(E1718=0,E1718="")),MAX(#REF!)+1,IF(AND(E1719=1,E1718=1),J1718,""))</f>
        <v/>
      </c>
      <c r="K1719" s="32" t="str">
        <f t="shared" si="105"/>
        <v/>
      </c>
      <c r="L1719" s="32" t="str">
        <f t="shared" si="103"/>
        <v/>
      </c>
      <c r="M1719" s="32" t="str">
        <f t="shared" si="104"/>
        <v/>
      </c>
      <c r="N1719" s="4"/>
      <c r="AG1719" t="s">
        <v>1440</v>
      </c>
      <c r="AM1719" s="1"/>
    </row>
    <row r="1720" spans="1:39" x14ac:dyDescent="0.35">
      <c r="A1720">
        <v>1716</v>
      </c>
      <c r="B1720">
        <v>1717</v>
      </c>
      <c r="F1720" s="64"/>
      <c r="G1720" s="64"/>
      <c r="H1720" s="64" t="s">
        <v>26</v>
      </c>
      <c r="I1720" s="64"/>
      <c r="J1720" s="32" t="str">
        <f>IF(AND(E1720=1,OR(E1719=0,E1719="")),MAX(#REF!)+1,IF(AND(E1720=1,E1719=1),J1719,""))</f>
        <v/>
      </c>
      <c r="K1720" s="32" t="str">
        <f t="shared" si="105"/>
        <v/>
      </c>
      <c r="L1720" s="32" t="str">
        <f t="shared" si="103"/>
        <v/>
      </c>
      <c r="M1720" s="32" t="str">
        <f t="shared" si="104"/>
        <v/>
      </c>
      <c r="N1720" s="4"/>
      <c r="AG1720" t="s">
        <v>1441</v>
      </c>
      <c r="AM1720" s="1"/>
    </row>
    <row r="1721" spans="1:39" x14ac:dyDescent="0.35">
      <c r="A1721">
        <v>1717</v>
      </c>
      <c r="B1721">
        <v>1718</v>
      </c>
      <c r="F1721" s="64"/>
      <c r="G1721" s="64"/>
      <c r="H1721" s="64" t="s">
        <v>26</v>
      </c>
      <c r="I1721" s="64"/>
      <c r="J1721" s="32" t="str">
        <f>IF(AND(E1721=1,OR(E1720=0,E1720="")),MAX(#REF!)+1,IF(AND(E1721=1,E1720=1),J1720,""))</f>
        <v/>
      </c>
      <c r="K1721" s="32" t="str">
        <f t="shared" si="105"/>
        <v/>
      </c>
      <c r="L1721" s="32" t="str">
        <f t="shared" si="103"/>
        <v/>
      </c>
      <c r="M1721" s="32" t="str">
        <f t="shared" si="104"/>
        <v/>
      </c>
      <c r="N1721" s="4"/>
      <c r="AG1721" t="s">
        <v>1442</v>
      </c>
      <c r="AM1721" s="1"/>
    </row>
    <row r="1722" spans="1:39" x14ac:dyDescent="0.35">
      <c r="A1722">
        <v>1718</v>
      </c>
      <c r="B1722">
        <v>1719</v>
      </c>
      <c r="F1722" s="64"/>
      <c r="G1722" s="64"/>
      <c r="H1722" s="64" t="s">
        <v>26</v>
      </c>
      <c r="I1722" s="64"/>
      <c r="J1722" s="32" t="str">
        <f>IF(AND(E1722=1,OR(E1721=0,E1721="")),MAX(#REF!)+1,IF(AND(E1722=1,E1721=1),J1721,""))</f>
        <v/>
      </c>
      <c r="K1722" s="32" t="str">
        <f t="shared" si="105"/>
        <v/>
      </c>
      <c r="L1722" s="32" t="str">
        <f t="shared" si="103"/>
        <v/>
      </c>
      <c r="M1722" s="32" t="str">
        <f t="shared" si="104"/>
        <v/>
      </c>
      <c r="N1722" s="4"/>
      <c r="AG1722" t="s">
        <v>1443</v>
      </c>
      <c r="AM1722" s="1"/>
    </row>
    <row r="1723" spans="1:39" x14ac:dyDescent="0.35">
      <c r="A1723">
        <v>1719</v>
      </c>
      <c r="B1723">
        <v>1720</v>
      </c>
      <c r="F1723" s="64"/>
      <c r="G1723" s="64"/>
      <c r="H1723" s="64" t="s">
        <v>26</v>
      </c>
      <c r="I1723" s="64"/>
      <c r="J1723" s="32" t="str">
        <f>IF(AND(E1723=1,OR(E1722=0,E1722="")),MAX(#REF!)+1,IF(AND(E1723=1,E1722=1),J1722,""))</f>
        <v/>
      </c>
      <c r="K1723" s="32" t="str">
        <f t="shared" si="105"/>
        <v/>
      </c>
      <c r="L1723" s="32" t="str">
        <f t="shared" si="103"/>
        <v/>
      </c>
      <c r="M1723" s="32" t="str">
        <f t="shared" si="104"/>
        <v/>
      </c>
      <c r="N1723" s="4"/>
      <c r="AG1723" t="s">
        <v>1444</v>
      </c>
      <c r="AM1723" s="1"/>
    </row>
    <row r="1724" spans="1:39" x14ac:dyDescent="0.35">
      <c r="A1724">
        <v>1720</v>
      </c>
      <c r="B1724">
        <v>1721</v>
      </c>
      <c r="F1724" s="64"/>
      <c r="G1724" s="64"/>
      <c r="H1724" s="64" t="s">
        <v>26</v>
      </c>
      <c r="I1724" s="64"/>
      <c r="J1724" s="32" t="str">
        <f>IF(AND(E1724=1,OR(E1723=0,E1723="")),MAX(#REF!)+1,IF(AND(E1724=1,E1723=1),J1723,""))</f>
        <v/>
      </c>
      <c r="K1724" s="32" t="str">
        <f t="shared" si="105"/>
        <v/>
      </c>
      <c r="L1724" s="32" t="str">
        <f t="shared" si="103"/>
        <v/>
      </c>
      <c r="M1724" s="32" t="str">
        <f t="shared" si="104"/>
        <v/>
      </c>
      <c r="N1724" s="4"/>
      <c r="AG1724" t="s">
        <v>1445</v>
      </c>
      <c r="AM1724" s="1"/>
    </row>
    <row r="1725" spans="1:39" x14ac:dyDescent="0.35">
      <c r="A1725">
        <v>1721</v>
      </c>
      <c r="B1725">
        <v>1722</v>
      </c>
      <c r="F1725" s="64"/>
      <c r="G1725" s="64"/>
      <c r="H1725" s="64" t="s">
        <v>26</v>
      </c>
      <c r="I1725" s="64"/>
      <c r="J1725" s="32" t="str">
        <f>IF(AND(E1725=1,OR(E1724=0,E1724="")),MAX(#REF!)+1,IF(AND(E1725=1,E1724=1),J1724,""))</f>
        <v/>
      </c>
      <c r="K1725" s="32" t="str">
        <f t="shared" si="105"/>
        <v/>
      </c>
      <c r="L1725" s="32" t="str">
        <f t="shared" si="103"/>
        <v/>
      </c>
      <c r="M1725" s="32" t="str">
        <f t="shared" si="104"/>
        <v/>
      </c>
      <c r="N1725" s="4"/>
      <c r="AG1725" t="s">
        <v>1446</v>
      </c>
      <c r="AM1725" s="1"/>
    </row>
    <row r="1726" spans="1:39" x14ac:dyDescent="0.35">
      <c r="A1726">
        <v>1722</v>
      </c>
      <c r="B1726">
        <v>1723</v>
      </c>
      <c r="F1726" s="64"/>
      <c r="G1726" s="64"/>
      <c r="H1726" s="64" t="s">
        <v>26</v>
      </c>
      <c r="I1726" s="64"/>
      <c r="J1726" s="32" t="str">
        <f>IF(AND(E1726=1,OR(E1725=0,E1725="")),MAX(#REF!)+1,IF(AND(E1726=1,E1725=1),J1725,""))</f>
        <v/>
      </c>
      <c r="K1726" s="32" t="str">
        <f t="shared" si="105"/>
        <v/>
      </c>
      <c r="L1726" s="32" t="str">
        <f t="shared" si="103"/>
        <v/>
      </c>
      <c r="M1726" s="32" t="str">
        <f t="shared" si="104"/>
        <v/>
      </c>
      <c r="N1726" s="4"/>
      <c r="AG1726" t="s">
        <v>1447</v>
      </c>
      <c r="AM1726" s="1"/>
    </row>
    <row r="1727" spans="1:39" x14ac:dyDescent="0.35">
      <c r="A1727">
        <v>1723</v>
      </c>
      <c r="B1727">
        <v>1724</v>
      </c>
      <c r="F1727" s="64"/>
      <c r="G1727" s="64"/>
      <c r="H1727" s="64" t="s">
        <v>26</v>
      </c>
      <c r="I1727" s="64"/>
      <c r="J1727" s="32" t="str">
        <f>IF(AND(E1727=1,OR(E1726=0,E1726="")),MAX(#REF!)+1,IF(AND(E1727=1,E1726=1),J1726,""))</f>
        <v/>
      </c>
      <c r="K1727" s="32" t="str">
        <f t="shared" si="105"/>
        <v/>
      </c>
      <c r="L1727" s="32" t="str">
        <f t="shared" si="103"/>
        <v/>
      </c>
      <c r="M1727" s="32" t="str">
        <f t="shared" si="104"/>
        <v/>
      </c>
      <c r="N1727" s="4"/>
      <c r="AG1727" t="s">
        <v>1448</v>
      </c>
      <c r="AM1727" s="1"/>
    </row>
    <row r="1728" spans="1:39" x14ac:dyDescent="0.35">
      <c r="A1728">
        <v>1724</v>
      </c>
      <c r="B1728">
        <v>1725</v>
      </c>
      <c r="F1728" s="64"/>
      <c r="G1728" s="64"/>
      <c r="H1728" s="64" t="s">
        <v>26</v>
      </c>
      <c r="I1728" s="64"/>
      <c r="J1728" s="32" t="str">
        <f>IF(AND(E1728=1,OR(E1727=0,E1727="")),MAX(#REF!)+1,IF(AND(E1728=1,E1727=1),J1727,""))</f>
        <v/>
      </c>
      <c r="K1728" s="32" t="str">
        <f t="shared" si="105"/>
        <v/>
      </c>
      <c r="L1728" s="32" t="str">
        <f t="shared" si="103"/>
        <v/>
      </c>
      <c r="M1728" s="32" t="str">
        <f t="shared" si="104"/>
        <v/>
      </c>
      <c r="N1728" s="4"/>
      <c r="AG1728" t="s">
        <v>1449</v>
      </c>
      <c r="AM1728" s="1"/>
    </row>
    <row r="1729" spans="1:39" x14ac:dyDescent="0.35">
      <c r="A1729">
        <v>1725</v>
      </c>
      <c r="B1729">
        <v>1726</v>
      </c>
      <c r="F1729" s="64"/>
      <c r="G1729" s="64"/>
      <c r="H1729" s="64" t="s">
        <v>26</v>
      </c>
      <c r="I1729" s="64"/>
      <c r="J1729" s="32" t="str">
        <f>IF(AND(E1729=1,OR(E1728=0,E1728="")),MAX(#REF!)+1,IF(AND(E1729=1,E1728=1),J1728,""))</f>
        <v/>
      </c>
      <c r="K1729" s="32" t="str">
        <f t="shared" si="105"/>
        <v/>
      </c>
      <c r="L1729" s="32" t="str">
        <f t="shared" si="103"/>
        <v/>
      </c>
      <c r="M1729" s="32" t="str">
        <f t="shared" si="104"/>
        <v/>
      </c>
      <c r="N1729" s="4"/>
      <c r="AG1729" t="s">
        <v>1450</v>
      </c>
      <c r="AM1729" s="1"/>
    </row>
    <row r="1730" spans="1:39" x14ac:dyDescent="0.35">
      <c r="A1730">
        <v>1726</v>
      </c>
      <c r="B1730">
        <v>1727</v>
      </c>
      <c r="F1730" s="64"/>
      <c r="G1730" s="64"/>
      <c r="H1730" s="64" t="s">
        <v>26</v>
      </c>
      <c r="I1730" s="64"/>
      <c r="J1730" s="32" t="str">
        <f>IF(AND(E1730=1,OR(E1729=0,E1729="")),MAX(#REF!)+1,IF(AND(E1730=1,E1729=1),J1729,""))</f>
        <v/>
      </c>
      <c r="K1730" s="32" t="str">
        <f t="shared" si="105"/>
        <v/>
      </c>
      <c r="L1730" s="32" t="str">
        <f t="shared" si="103"/>
        <v/>
      </c>
      <c r="M1730" s="32" t="str">
        <f t="shared" si="104"/>
        <v/>
      </c>
      <c r="N1730" s="4"/>
      <c r="AG1730" t="s">
        <v>1451</v>
      </c>
      <c r="AM1730" s="1"/>
    </row>
    <row r="1731" spans="1:39" x14ac:dyDescent="0.35">
      <c r="A1731">
        <v>1727</v>
      </c>
      <c r="B1731">
        <v>1728</v>
      </c>
      <c r="F1731" s="64"/>
      <c r="G1731" s="64"/>
      <c r="H1731" s="64" t="s">
        <v>26</v>
      </c>
      <c r="I1731" s="64"/>
      <c r="J1731" s="32" t="str">
        <f>IF(AND(E1731=1,OR(E1730=0,E1730="")),MAX(#REF!)+1,IF(AND(E1731=1,E1730=1),J1730,""))</f>
        <v/>
      </c>
      <c r="K1731" s="32" t="str">
        <f t="shared" si="105"/>
        <v/>
      </c>
      <c r="L1731" s="32" t="str">
        <f t="shared" si="103"/>
        <v/>
      </c>
      <c r="M1731" s="32" t="str">
        <f t="shared" si="104"/>
        <v/>
      </c>
      <c r="N1731" s="4"/>
      <c r="AG1731" t="s">
        <v>1452</v>
      </c>
      <c r="AM1731" s="1"/>
    </row>
    <row r="1732" spans="1:39" x14ac:dyDescent="0.35">
      <c r="A1732">
        <v>1728</v>
      </c>
      <c r="B1732">
        <v>1729</v>
      </c>
      <c r="F1732" s="64"/>
      <c r="G1732" s="64"/>
      <c r="H1732" s="64" t="s">
        <v>26</v>
      </c>
      <c r="I1732" s="64"/>
      <c r="J1732" s="32" t="str">
        <f>IF(AND(E1732=1,OR(E1731=0,E1731="")),MAX(#REF!)+1,IF(AND(E1732=1,E1731=1),J1731,""))</f>
        <v/>
      </c>
      <c r="K1732" s="32" t="str">
        <f t="shared" si="105"/>
        <v/>
      </c>
      <c r="L1732" s="32" t="str">
        <f t="shared" ref="L1732:L1795" si="106">IF(K1732="","",IF(K1732&gt;=100,"HV",""))</f>
        <v/>
      </c>
      <c r="M1732" s="32" t="str">
        <f t="shared" ref="M1732:M1795" si="107">IF(K1732&lt;&gt;"",K1732^2,"")</f>
        <v/>
      </c>
      <c r="N1732" s="4"/>
      <c r="AG1732" t="s">
        <v>1453</v>
      </c>
      <c r="AM1732" s="1"/>
    </row>
    <row r="1733" spans="1:39" x14ac:dyDescent="0.35">
      <c r="A1733">
        <v>1729</v>
      </c>
      <c r="B1733">
        <v>1730</v>
      </c>
      <c r="F1733" s="64"/>
      <c r="G1733" s="64"/>
      <c r="H1733" s="64" t="s">
        <v>26</v>
      </c>
      <c r="I1733" s="64"/>
      <c r="J1733" s="32" t="str">
        <f>IF(AND(E1733=1,OR(E1732=0,E1732="")),MAX(#REF!)+1,IF(AND(E1733=1,E1732=1),J1732,""))</f>
        <v/>
      </c>
      <c r="K1733" s="32" t="str">
        <f t="shared" si="105"/>
        <v/>
      </c>
      <c r="L1733" s="32" t="str">
        <f t="shared" si="106"/>
        <v/>
      </c>
      <c r="M1733" s="32" t="str">
        <f t="shared" si="107"/>
        <v/>
      </c>
      <c r="N1733" s="4"/>
      <c r="AG1733" t="s">
        <v>1454</v>
      </c>
      <c r="AM1733" s="1"/>
    </row>
    <row r="1734" spans="1:39" x14ac:dyDescent="0.35">
      <c r="A1734">
        <v>1730</v>
      </c>
      <c r="B1734">
        <v>1731</v>
      </c>
      <c r="F1734" s="64"/>
      <c r="G1734" s="64"/>
      <c r="H1734" s="64" t="s">
        <v>26</v>
      </c>
      <c r="I1734" s="64"/>
      <c r="J1734" s="32" t="str">
        <f>IF(AND(E1734=1,OR(E1733=0,E1733="")),MAX(#REF!)+1,IF(AND(E1734=1,E1733=1),J1733,""))</f>
        <v/>
      </c>
      <c r="K1734" s="32" t="str">
        <f t="shared" si="105"/>
        <v/>
      </c>
      <c r="L1734" s="32" t="str">
        <f t="shared" si="106"/>
        <v/>
      </c>
      <c r="M1734" s="32" t="str">
        <f t="shared" si="107"/>
        <v/>
      </c>
      <c r="N1734" s="4"/>
      <c r="AG1734" t="s">
        <v>1455</v>
      </c>
      <c r="AM1734" s="1" t="str">
        <f>HYPERLINK("E:\CAFNEC_GBRF\2023\JohnstoneRiver\Frames_for_Analysis\" &amp; F1735, F1735)</f>
        <v>1732_C0013_2656.jpg</v>
      </c>
    </row>
    <row r="1735" spans="1:39" x14ac:dyDescent="0.35">
      <c r="A1735">
        <v>1731</v>
      </c>
      <c r="B1735">
        <v>1732</v>
      </c>
      <c r="F1735" s="64" t="s">
        <v>4774</v>
      </c>
      <c r="G1735" s="64"/>
      <c r="H1735" s="64" t="s">
        <v>26</v>
      </c>
      <c r="I1735" s="64"/>
      <c r="J1735" s="32" t="str">
        <f>IF(AND(E1735=1,OR(E1734=0,E1734="")),MAX(#REF!)+1,IF(AND(E1735=1,E1734=1),J1734,""))</f>
        <v/>
      </c>
      <c r="K1735" s="32" t="str">
        <f t="shared" si="105"/>
        <v/>
      </c>
      <c r="L1735" s="32" t="str">
        <f t="shared" si="106"/>
        <v/>
      </c>
      <c r="M1735" s="32" t="str">
        <f t="shared" si="107"/>
        <v/>
      </c>
      <c r="N1735" s="4"/>
      <c r="AG1735" t="s">
        <v>1456</v>
      </c>
      <c r="AM1735" s="1" t="str">
        <f>HYPERLINK("E:\CAFNEC_GBRF\2023\JohnstoneRiver\Frames_for_Analysis\" &amp; F1736, F1736)</f>
        <v>1733_C0013_2655.jpg</v>
      </c>
    </row>
    <row r="1736" spans="1:39" x14ac:dyDescent="0.35">
      <c r="A1736">
        <v>1732</v>
      </c>
      <c r="B1736">
        <v>1733</v>
      </c>
      <c r="F1736" s="64" t="s">
        <v>4775</v>
      </c>
      <c r="G1736" s="64"/>
      <c r="H1736" s="64" t="s">
        <v>26</v>
      </c>
      <c r="I1736" s="64"/>
      <c r="J1736" s="32" t="str">
        <f>IF(AND(E1736=1,OR(E1735=0,E1735="")),MAX(#REF!)+1,IF(AND(E1736=1,E1735=1),J1735,""))</f>
        <v/>
      </c>
      <c r="K1736" s="32" t="str">
        <f t="shared" si="105"/>
        <v/>
      </c>
      <c r="L1736" s="32" t="str">
        <f t="shared" si="106"/>
        <v/>
      </c>
      <c r="M1736" s="32" t="str">
        <f t="shared" si="107"/>
        <v/>
      </c>
      <c r="N1736" s="4"/>
      <c r="AG1736" t="s">
        <v>1457</v>
      </c>
      <c r="AM1736" s="1"/>
    </row>
    <row r="1737" spans="1:39" x14ac:dyDescent="0.35">
      <c r="A1737">
        <v>1733</v>
      </c>
      <c r="B1737">
        <v>1734</v>
      </c>
      <c r="F1737" s="64"/>
      <c r="G1737" s="64"/>
      <c r="H1737" s="64" t="s">
        <v>26</v>
      </c>
      <c r="I1737" s="64"/>
      <c r="J1737" s="32" t="str">
        <f>IF(AND(E1737=1,OR(E1736=0,E1736="")),MAX(#REF!)+1,IF(AND(E1737=1,E1736=1),J1736,""))</f>
        <v/>
      </c>
      <c r="K1737" s="32" t="str">
        <f t="shared" si="105"/>
        <v/>
      </c>
      <c r="L1737" s="32" t="str">
        <f t="shared" si="106"/>
        <v/>
      </c>
      <c r="M1737" s="32" t="str">
        <f t="shared" si="107"/>
        <v/>
      </c>
      <c r="N1737" s="4"/>
      <c r="AG1737" t="s">
        <v>1458</v>
      </c>
      <c r="AM1737" s="1"/>
    </row>
    <row r="1738" spans="1:39" x14ac:dyDescent="0.35">
      <c r="A1738">
        <v>1734</v>
      </c>
      <c r="B1738">
        <v>1735</v>
      </c>
      <c r="F1738" s="64"/>
      <c r="G1738" s="64"/>
      <c r="H1738" s="64" t="s">
        <v>26</v>
      </c>
      <c r="I1738" s="64"/>
      <c r="J1738" s="32" t="str">
        <f>IF(AND(E1738=1,OR(E1737=0,E1737="")),MAX(#REF!)+1,IF(AND(E1738=1,E1737=1),J1737,""))</f>
        <v/>
      </c>
      <c r="K1738" s="32" t="str">
        <f t="shared" si="105"/>
        <v/>
      </c>
      <c r="L1738" s="32" t="str">
        <f t="shared" si="106"/>
        <v/>
      </c>
      <c r="M1738" s="32" t="str">
        <f t="shared" si="107"/>
        <v/>
      </c>
      <c r="N1738" s="4"/>
      <c r="AG1738" t="s">
        <v>1459</v>
      </c>
      <c r="AM1738" s="1"/>
    </row>
    <row r="1739" spans="1:39" x14ac:dyDescent="0.35">
      <c r="A1739">
        <v>1735</v>
      </c>
      <c r="B1739">
        <v>1736</v>
      </c>
      <c r="F1739" s="64"/>
      <c r="G1739" s="64"/>
      <c r="H1739" s="64" t="s">
        <v>26</v>
      </c>
      <c r="I1739" s="64"/>
      <c r="J1739" s="32" t="str">
        <f>IF(AND(E1739=1,OR(E1738=0,E1738="")),MAX(#REF!)+1,IF(AND(E1739=1,E1738=1),J1738,""))</f>
        <v/>
      </c>
      <c r="K1739" s="32" t="str">
        <f t="shared" si="105"/>
        <v/>
      </c>
      <c r="L1739" s="32" t="str">
        <f t="shared" si="106"/>
        <v/>
      </c>
      <c r="M1739" s="32" t="str">
        <f t="shared" si="107"/>
        <v/>
      </c>
      <c r="N1739" s="4"/>
      <c r="AG1739" t="s">
        <v>1460</v>
      </c>
      <c r="AM1739" s="1" t="str">
        <f t="shared" ref="AM1739:AM1802" si="108">HYPERLINK("E:\CAFNEC_GBRF\2023\JohnstoneRiver\Frames_for_Analysis\" &amp; F1740, F1740)</f>
        <v>1737_C0013_2654.jpg</v>
      </c>
    </row>
    <row r="1740" spans="1:39" x14ac:dyDescent="0.35">
      <c r="A1740">
        <v>1736</v>
      </c>
      <c r="B1740">
        <v>1737</v>
      </c>
      <c r="F1740" s="64" t="s">
        <v>4776</v>
      </c>
      <c r="G1740" s="64"/>
      <c r="H1740" s="64"/>
      <c r="I1740" s="64">
        <v>1</v>
      </c>
      <c r="J1740" s="32" t="str">
        <f>IF(AND(E1740=1,OR(E1739=0,E1739="")),MAX(#REF!)+1,IF(AND(E1740=1,E1739=1),J1739,""))</f>
        <v/>
      </c>
      <c r="K1740" s="32" t="str">
        <f t="shared" si="105"/>
        <v/>
      </c>
      <c r="L1740" s="32" t="str">
        <f t="shared" si="106"/>
        <v/>
      </c>
      <c r="M1740" s="32" t="str">
        <f t="shared" si="107"/>
        <v/>
      </c>
      <c r="N1740" s="4">
        <v>2</v>
      </c>
      <c r="O1740" s="58">
        <v>0</v>
      </c>
      <c r="P1740" s="58">
        <v>0</v>
      </c>
      <c r="Q1740" s="58">
        <v>0</v>
      </c>
      <c r="R1740" s="58">
        <v>0</v>
      </c>
      <c r="S1740" s="58">
        <v>0</v>
      </c>
      <c r="T1740" s="58">
        <v>0</v>
      </c>
      <c r="U1740" s="58">
        <v>0</v>
      </c>
      <c r="V1740" s="58">
        <v>0</v>
      </c>
      <c r="AG1740" t="s">
        <v>1461</v>
      </c>
      <c r="AM1740" s="1" t="str">
        <f t="shared" si="108"/>
        <v>1738_C0013_2653.jpg</v>
      </c>
    </row>
    <row r="1741" spans="1:39" x14ac:dyDescent="0.35">
      <c r="A1741">
        <v>1737</v>
      </c>
      <c r="B1741">
        <v>1738</v>
      </c>
      <c r="F1741" s="64" t="s">
        <v>4777</v>
      </c>
      <c r="G1741" s="64"/>
      <c r="H1741" s="64"/>
      <c r="I1741" s="64">
        <v>1</v>
      </c>
      <c r="J1741" s="32" t="str">
        <f>IF(AND(E1741=1,OR(E1740=0,E1740="")),MAX(#REF!)+1,IF(AND(E1741=1,E1740=1),J1740,""))</f>
        <v/>
      </c>
      <c r="K1741" s="32" t="str">
        <f t="shared" si="105"/>
        <v/>
      </c>
      <c r="L1741" s="32" t="str">
        <f t="shared" si="106"/>
        <v/>
      </c>
      <c r="M1741" s="32" t="str">
        <f t="shared" si="107"/>
        <v/>
      </c>
      <c r="N1741" s="4">
        <v>2</v>
      </c>
      <c r="O1741" s="58">
        <v>0</v>
      </c>
      <c r="P1741" s="58">
        <v>0</v>
      </c>
      <c r="Q1741" s="58">
        <v>0</v>
      </c>
      <c r="R1741" s="58">
        <v>0</v>
      </c>
      <c r="S1741" s="58">
        <v>0</v>
      </c>
      <c r="T1741" s="58">
        <v>0</v>
      </c>
      <c r="U1741" s="58">
        <v>0</v>
      </c>
      <c r="V1741" s="58">
        <v>0</v>
      </c>
      <c r="AG1741" t="s">
        <v>1462</v>
      </c>
      <c r="AM1741" s="1" t="str">
        <f t="shared" si="108"/>
        <v>1739_C0013_2651.jpg</v>
      </c>
    </row>
    <row r="1742" spans="1:39" x14ac:dyDescent="0.35">
      <c r="A1742">
        <v>1738</v>
      </c>
      <c r="B1742">
        <v>1739</v>
      </c>
      <c r="F1742" s="64" t="s">
        <v>4778</v>
      </c>
      <c r="G1742" s="64"/>
      <c r="H1742" s="64"/>
      <c r="I1742" s="64">
        <v>1</v>
      </c>
      <c r="J1742" s="32" t="str">
        <f>IF(AND(E1742=1,OR(E1741=0,E1741="")),MAX(#REF!)+1,IF(AND(E1742=1,E1741=1),J1741,""))</f>
        <v/>
      </c>
      <c r="K1742" s="32" t="str">
        <f t="shared" si="105"/>
        <v/>
      </c>
      <c r="L1742" s="32" t="str">
        <f t="shared" si="106"/>
        <v/>
      </c>
      <c r="M1742" s="32" t="str">
        <f t="shared" si="107"/>
        <v/>
      </c>
      <c r="N1742" s="4">
        <v>2</v>
      </c>
      <c r="O1742" s="58">
        <v>0</v>
      </c>
      <c r="P1742" s="58">
        <v>0</v>
      </c>
      <c r="Q1742" s="58">
        <v>0</v>
      </c>
      <c r="R1742" s="58">
        <v>0</v>
      </c>
      <c r="S1742" s="58">
        <v>0</v>
      </c>
      <c r="T1742" s="58">
        <v>0</v>
      </c>
      <c r="U1742" s="58">
        <v>0</v>
      </c>
      <c r="V1742" s="58">
        <v>0</v>
      </c>
      <c r="AG1742" t="s">
        <v>1463</v>
      </c>
      <c r="AM1742" s="1" t="str">
        <f t="shared" si="108"/>
        <v>1740_C0013_2643.jpg</v>
      </c>
    </row>
    <row r="1743" spans="1:39" x14ac:dyDescent="0.35">
      <c r="A1743">
        <v>1739</v>
      </c>
      <c r="B1743">
        <v>1740</v>
      </c>
      <c r="F1743" s="64" t="s">
        <v>4779</v>
      </c>
      <c r="G1743" s="64"/>
      <c r="H1743" s="64"/>
      <c r="I1743" s="64">
        <v>1</v>
      </c>
      <c r="J1743" s="32" t="str">
        <f>IF(AND(E1743=1,OR(E1742=0,E1742="")),MAX(#REF!)+1,IF(AND(E1743=1,E1742=1),J1742,""))</f>
        <v/>
      </c>
      <c r="K1743" s="32" t="str">
        <f t="shared" si="105"/>
        <v/>
      </c>
      <c r="L1743" s="32" t="str">
        <f t="shared" si="106"/>
        <v/>
      </c>
      <c r="M1743" s="32" t="str">
        <f t="shared" si="107"/>
        <v/>
      </c>
      <c r="N1743" s="4">
        <v>2</v>
      </c>
      <c r="O1743" s="58">
        <v>1</v>
      </c>
      <c r="P1743" s="58">
        <v>0</v>
      </c>
      <c r="Q1743" s="58">
        <v>0</v>
      </c>
      <c r="R1743" s="58">
        <v>0</v>
      </c>
      <c r="S1743" s="58">
        <v>0</v>
      </c>
      <c r="T1743" s="58">
        <v>0</v>
      </c>
      <c r="U1743" s="58">
        <v>0</v>
      </c>
      <c r="V1743" s="58">
        <v>0</v>
      </c>
      <c r="AG1743" t="s">
        <v>1464</v>
      </c>
      <c r="AM1743" s="1" t="str">
        <f t="shared" si="108"/>
        <v>1741_C0013_2640.jpg</v>
      </c>
    </row>
    <row r="1744" spans="1:39" x14ac:dyDescent="0.35">
      <c r="A1744">
        <v>1740</v>
      </c>
      <c r="B1744">
        <v>1741</v>
      </c>
      <c r="F1744" s="64" t="s">
        <v>4780</v>
      </c>
      <c r="G1744" s="64"/>
      <c r="H1744" s="64"/>
      <c r="I1744" s="64">
        <v>1</v>
      </c>
      <c r="J1744" s="32" t="str">
        <f>IF(AND(E1744=1,OR(E1743=0,E1743="")),MAX(#REF!)+1,IF(AND(E1744=1,E1743=1),J1743,""))</f>
        <v/>
      </c>
      <c r="K1744" s="32" t="str">
        <f t="shared" si="105"/>
        <v/>
      </c>
      <c r="L1744" s="32" t="str">
        <f t="shared" si="106"/>
        <v/>
      </c>
      <c r="M1744" s="32" t="str">
        <f t="shared" si="107"/>
        <v/>
      </c>
      <c r="N1744" s="4">
        <v>2</v>
      </c>
      <c r="O1744" s="58">
        <v>0</v>
      </c>
      <c r="P1744" s="58">
        <v>0</v>
      </c>
      <c r="Q1744" s="58">
        <v>0</v>
      </c>
      <c r="R1744" s="58">
        <v>0</v>
      </c>
      <c r="S1744" s="58">
        <v>0</v>
      </c>
      <c r="T1744" s="58">
        <v>0</v>
      </c>
      <c r="U1744" s="58">
        <v>0</v>
      </c>
      <c r="V1744" s="58">
        <v>0</v>
      </c>
      <c r="AG1744" t="s">
        <v>1465</v>
      </c>
      <c r="AM1744" s="1" t="str">
        <f t="shared" si="108"/>
        <v>1742_C0013_2636.jpg</v>
      </c>
    </row>
    <row r="1745" spans="1:39" x14ac:dyDescent="0.35">
      <c r="A1745">
        <v>1741</v>
      </c>
      <c r="B1745">
        <v>1742</v>
      </c>
      <c r="F1745" s="64" t="s">
        <v>4781</v>
      </c>
      <c r="G1745" s="64"/>
      <c r="H1745" s="64"/>
      <c r="I1745" s="64">
        <v>1</v>
      </c>
      <c r="J1745" s="32" t="str">
        <f>IF(AND(E1745=1,OR(E1744=0,E1744="")),MAX(#REF!)+1,IF(AND(E1745=1,E1744=1),J1744,""))</f>
        <v/>
      </c>
      <c r="K1745" s="32" t="str">
        <f t="shared" si="105"/>
        <v/>
      </c>
      <c r="L1745" s="32" t="str">
        <f t="shared" si="106"/>
        <v/>
      </c>
      <c r="M1745" s="32" t="str">
        <f t="shared" si="107"/>
        <v/>
      </c>
      <c r="N1745" s="4">
        <v>2</v>
      </c>
      <c r="O1745" s="58">
        <v>0</v>
      </c>
      <c r="P1745" s="58">
        <v>0</v>
      </c>
      <c r="Q1745" s="58">
        <v>0</v>
      </c>
      <c r="R1745" s="58">
        <v>0</v>
      </c>
      <c r="S1745" s="58">
        <v>0</v>
      </c>
      <c r="T1745" s="58">
        <v>0</v>
      </c>
      <c r="U1745" s="58">
        <v>0</v>
      </c>
      <c r="V1745" s="58">
        <v>0</v>
      </c>
      <c r="AG1745" t="s">
        <v>1466</v>
      </c>
      <c r="AM1745" s="1" t="str">
        <f t="shared" si="108"/>
        <v>1743_C0013_2629.jpg</v>
      </c>
    </row>
    <row r="1746" spans="1:39" x14ac:dyDescent="0.35">
      <c r="A1746">
        <v>1742</v>
      </c>
      <c r="B1746">
        <v>1743</v>
      </c>
      <c r="F1746" s="64" t="s">
        <v>4782</v>
      </c>
      <c r="G1746" s="64"/>
      <c r="H1746" s="64"/>
      <c r="I1746" s="64">
        <v>1</v>
      </c>
      <c r="J1746" s="32" t="str">
        <f>IF(AND(E1746=1,OR(E1745=0,E1745="")),MAX(#REF!)+1,IF(AND(E1746=1,E1745=1),J1745,""))</f>
        <v/>
      </c>
      <c r="K1746" s="32" t="str">
        <f t="shared" si="105"/>
        <v/>
      </c>
      <c r="L1746" s="32" t="str">
        <f t="shared" si="106"/>
        <v/>
      </c>
      <c r="M1746" s="32" t="str">
        <f t="shared" si="107"/>
        <v/>
      </c>
      <c r="N1746" s="4">
        <v>2</v>
      </c>
      <c r="O1746" s="58">
        <v>0</v>
      </c>
      <c r="P1746" s="58">
        <v>0</v>
      </c>
      <c r="Q1746" s="58">
        <v>0</v>
      </c>
      <c r="R1746" s="58">
        <v>0</v>
      </c>
      <c r="S1746" s="58">
        <v>0</v>
      </c>
      <c r="T1746" s="58">
        <v>0</v>
      </c>
      <c r="U1746" s="58">
        <v>0</v>
      </c>
      <c r="V1746" s="58">
        <v>0</v>
      </c>
      <c r="AG1746" t="s">
        <v>1467</v>
      </c>
      <c r="AM1746" s="1" t="str">
        <f t="shared" si="108"/>
        <v>1744_C0013_2626.jpg</v>
      </c>
    </row>
    <row r="1747" spans="1:39" x14ac:dyDescent="0.35">
      <c r="A1747">
        <v>1743</v>
      </c>
      <c r="B1747">
        <v>1744</v>
      </c>
      <c r="F1747" s="64" t="s">
        <v>4783</v>
      </c>
      <c r="G1747" s="64"/>
      <c r="H1747" s="64"/>
      <c r="I1747" s="64">
        <v>1</v>
      </c>
      <c r="J1747" s="32" t="str">
        <f>IF(AND(E1747=1,OR(E1746=0,E1746="")),MAX(#REF!)+1,IF(AND(E1747=1,E1746=1),J1746,""))</f>
        <v/>
      </c>
      <c r="K1747" s="32" t="str">
        <f t="shared" si="105"/>
        <v/>
      </c>
      <c r="L1747" s="32" t="str">
        <f t="shared" si="106"/>
        <v/>
      </c>
      <c r="M1747" s="32" t="str">
        <f t="shared" si="107"/>
        <v/>
      </c>
      <c r="N1747" s="4">
        <v>2</v>
      </c>
      <c r="O1747" s="58">
        <v>0</v>
      </c>
      <c r="P1747" s="58">
        <v>0</v>
      </c>
      <c r="Q1747" s="58">
        <v>0</v>
      </c>
      <c r="R1747" s="58">
        <v>0</v>
      </c>
      <c r="S1747" s="58">
        <v>0</v>
      </c>
      <c r="T1747" s="58">
        <v>0</v>
      </c>
      <c r="U1747" s="58">
        <v>0</v>
      </c>
      <c r="V1747" s="58">
        <v>0</v>
      </c>
      <c r="AG1747" t="s">
        <v>1468</v>
      </c>
      <c r="AM1747" s="1" t="str">
        <f t="shared" si="108"/>
        <v>1745_C0013_2621.jpg</v>
      </c>
    </row>
    <row r="1748" spans="1:39" x14ac:dyDescent="0.35">
      <c r="A1748">
        <v>1744</v>
      </c>
      <c r="B1748">
        <v>1745</v>
      </c>
      <c r="F1748" s="64" t="s">
        <v>4784</v>
      </c>
      <c r="G1748" s="64"/>
      <c r="H1748" s="64"/>
      <c r="I1748" s="64">
        <v>1</v>
      </c>
      <c r="J1748" s="32" t="str">
        <f>IF(AND(E1748=1,OR(E1747=0,E1747="")),MAX(#REF!)+1,IF(AND(E1748=1,E1747=1),J1747,""))</f>
        <v/>
      </c>
      <c r="K1748" s="32" t="str">
        <f t="shared" si="105"/>
        <v/>
      </c>
      <c r="L1748" s="32" t="str">
        <f t="shared" si="106"/>
        <v/>
      </c>
      <c r="M1748" s="32" t="str">
        <f t="shared" si="107"/>
        <v/>
      </c>
      <c r="N1748" s="4">
        <v>2</v>
      </c>
      <c r="O1748" s="58">
        <v>1</v>
      </c>
      <c r="P1748" s="58">
        <v>0</v>
      </c>
      <c r="Q1748" s="58">
        <v>0</v>
      </c>
      <c r="R1748" s="58">
        <v>0</v>
      </c>
      <c r="S1748" s="58">
        <v>0</v>
      </c>
      <c r="T1748" s="58">
        <v>0</v>
      </c>
      <c r="U1748" s="58">
        <v>0</v>
      </c>
      <c r="V1748" s="58">
        <v>0</v>
      </c>
      <c r="AG1748" t="s">
        <v>1469</v>
      </c>
      <c r="AM1748" s="1" t="str">
        <f t="shared" si="108"/>
        <v>1746_C0013_2617.jpg</v>
      </c>
    </row>
    <row r="1749" spans="1:39" x14ac:dyDescent="0.35">
      <c r="A1749">
        <v>1745</v>
      </c>
      <c r="B1749">
        <v>1746</v>
      </c>
      <c r="F1749" s="64" t="s">
        <v>4785</v>
      </c>
      <c r="G1749" s="64"/>
      <c r="H1749" s="64"/>
      <c r="I1749" s="64">
        <v>0</v>
      </c>
      <c r="J1749" s="32" t="str">
        <f>IF(AND(E1749=1,OR(E1748=0,E1748="")),MAX(#REF!)+1,IF(AND(E1749=1,E1748=1),J1748,""))</f>
        <v/>
      </c>
      <c r="K1749" s="32" t="str">
        <f t="shared" si="105"/>
        <v/>
      </c>
      <c r="L1749" s="32" t="str">
        <f t="shared" si="106"/>
        <v/>
      </c>
      <c r="M1749" s="32" t="str">
        <f t="shared" si="107"/>
        <v/>
      </c>
      <c r="N1749" s="4">
        <v>3</v>
      </c>
      <c r="O1749" s="58">
        <v>1</v>
      </c>
      <c r="P1749" s="58">
        <v>0</v>
      </c>
      <c r="Q1749" s="58">
        <v>0</v>
      </c>
      <c r="R1749" s="58">
        <v>0</v>
      </c>
      <c r="S1749" s="58">
        <v>0</v>
      </c>
      <c r="T1749" s="58">
        <v>0</v>
      </c>
      <c r="U1749" s="58">
        <v>0</v>
      </c>
      <c r="V1749" s="58">
        <v>0</v>
      </c>
      <c r="AG1749" t="s">
        <v>1470</v>
      </c>
      <c r="AM1749" s="1" t="str">
        <f t="shared" si="108"/>
        <v>1747_C0013_2614.jpg</v>
      </c>
    </row>
    <row r="1750" spans="1:39" x14ac:dyDescent="0.35">
      <c r="A1750">
        <v>1746</v>
      </c>
      <c r="B1750">
        <v>1747</v>
      </c>
      <c r="F1750" s="64" t="s">
        <v>4786</v>
      </c>
      <c r="G1750" s="64"/>
      <c r="H1750" s="64"/>
      <c r="I1750" s="64">
        <v>0</v>
      </c>
      <c r="J1750" s="32" t="str">
        <f>IF(AND(E1750=1,OR(E1749=0,E1749="")),MAX(#REF!)+1,IF(AND(E1750=1,E1749=1),J1749,""))</f>
        <v/>
      </c>
      <c r="K1750" s="32" t="str">
        <f t="shared" si="105"/>
        <v/>
      </c>
      <c r="L1750" s="32" t="str">
        <f t="shared" si="106"/>
        <v/>
      </c>
      <c r="M1750" s="32" t="str">
        <f t="shared" si="107"/>
        <v/>
      </c>
      <c r="N1750" s="4">
        <v>3</v>
      </c>
      <c r="O1750" s="58">
        <v>0</v>
      </c>
      <c r="P1750" s="58">
        <v>0</v>
      </c>
      <c r="Q1750" s="58">
        <v>0</v>
      </c>
      <c r="R1750" s="58">
        <v>0</v>
      </c>
      <c r="S1750" s="58">
        <v>0</v>
      </c>
      <c r="T1750" s="58">
        <v>0</v>
      </c>
      <c r="U1750" s="58">
        <v>0</v>
      </c>
      <c r="V1750" s="58">
        <v>0</v>
      </c>
      <c r="AG1750" t="s">
        <v>1471</v>
      </c>
      <c r="AM1750" s="1" t="str">
        <f t="shared" si="108"/>
        <v>1748_C0013_2609.jpg</v>
      </c>
    </row>
    <row r="1751" spans="1:39" x14ac:dyDescent="0.35">
      <c r="A1751">
        <v>1747</v>
      </c>
      <c r="B1751">
        <v>1748</v>
      </c>
      <c r="F1751" s="64" t="s">
        <v>4787</v>
      </c>
      <c r="G1751" s="64"/>
      <c r="H1751" s="64"/>
      <c r="I1751" s="64">
        <v>0</v>
      </c>
      <c r="J1751" s="32" t="str">
        <f>IF(AND(E1751=1,OR(E1750=0,E1750="")),MAX(#REF!)+1,IF(AND(E1751=1,E1750=1),J1750,""))</f>
        <v/>
      </c>
      <c r="K1751" s="32" t="str">
        <f t="shared" si="105"/>
        <v/>
      </c>
      <c r="L1751" s="32" t="str">
        <f t="shared" si="106"/>
        <v/>
      </c>
      <c r="M1751" s="32" t="str">
        <f t="shared" si="107"/>
        <v/>
      </c>
      <c r="N1751" s="4">
        <v>3</v>
      </c>
      <c r="O1751" s="58">
        <v>0</v>
      </c>
      <c r="P1751" s="58">
        <v>0</v>
      </c>
      <c r="Q1751" s="58">
        <v>0</v>
      </c>
      <c r="R1751" s="58">
        <v>0</v>
      </c>
      <c r="S1751" s="58">
        <v>0</v>
      </c>
      <c r="T1751" s="58">
        <v>0</v>
      </c>
      <c r="U1751" s="58">
        <v>0</v>
      </c>
      <c r="V1751" s="58">
        <v>0</v>
      </c>
      <c r="AG1751" t="s">
        <v>1472</v>
      </c>
      <c r="AM1751" s="1" t="str">
        <f t="shared" si="108"/>
        <v>1749_C0013_2607.jpg</v>
      </c>
    </row>
    <row r="1752" spans="1:39" x14ac:dyDescent="0.35">
      <c r="A1752">
        <v>1748</v>
      </c>
      <c r="B1752">
        <v>1749</v>
      </c>
      <c r="F1752" s="64" t="s">
        <v>4788</v>
      </c>
      <c r="G1752" s="64"/>
      <c r="H1752" s="64"/>
      <c r="I1752" s="64">
        <v>0</v>
      </c>
      <c r="J1752" s="32" t="str">
        <f>IF(AND(E1752=1,OR(E1751=0,E1751="")),MAX(#REF!)+1,IF(AND(E1752=1,E1751=1),J1751,""))</f>
        <v/>
      </c>
      <c r="K1752" s="32" t="str">
        <f t="shared" si="105"/>
        <v/>
      </c>
      <c r="L1752" s="32" t="str">
        <f t="shared" si="106"/>
        <v/>
      </c>
      <c r="M1752" s="32" t="str">
        <f t="shared" si="107"/>
        <v/>
      </c>
      <c r="N1752" s="4">
        <v>3</v>
      </c>
      <c r="O1752" s="58">
        <v>0</v>
      </c>
      <c r="P1752" s="58">
        <v>0</v>
      </c>
      <c r="Q1752" s="58">
        <v>0</v>
      </c>
      <c r="R1752" s="58">
        <v>0</v>
      </c>
      <c r="S1752" s="58">
        <v>0</v>
      </c>
      <c r="T1752" s="58">
        <v>0</v>
      </c>
      <c r="U1752" s="58">
        <v>0</v>
      </c>
      <c r="V1752" s="58">
        <v>0</v>
      </c>
      <c r="AG1752" t="s">
        <v>1473</v>
      </c>
      <c r="AM1752" s="1" t="str">
        <f t="shared" si="108"/>
        <v>1750_C0013_2602.jpg</v>
      </c>
    </row>
    <row r="1753" spans="1:39" x14ac:dyDescent="0.35">
      <c r="A1753">
        <v>1749</v>
      </c>
      <c r="B1753">
        <v>1750</v>
      </c>
      <c r="F1753" s="64" t="s">
        <v>4789</v>
      </c>
      <c r="G1753" s="64"/>
      <c r="H1753" s="64"/>
      <c r="I1753" s="64">
        <v>0</v>
      </c>
      <c r="J1753" s="32" t="str">
        <f>IF(AND(E1753=1,OR(E1752=0,E1752="")),MAX(#REF!)+1,IF(AND(E1753=1,E1752=1),J1752,""))</f>
        <v/>
      </c>
      <c r="K1753" s="32" t="str">
        <f t="shared" si="105"/>
        <v/>
      </c>
      <c r="L1753" s="32" t="str">
        <f t="shared" si="106"/>
        <v/>
      </c>
      <c r="M1753" s="32" t="str">
        <f t="shared" si="107"/>
        <v/>
      </c>
      <c r="N1753" s="4">
        <v>3</v>
      </c>
      <c r="O1753" s="58">
        <v>0</v>
      </c>
      <c r="P1753" s="58">
        <v>0</v>
      </c>
      <c r="Q1753" s="58">
        <v>0</v>
      </c>
      <c r="R1753" s="58">
        <v>0</v>
      </c>
      <c r="S1753" s="58">
        <v>0</v>
      </c>
      <c r="T1753" s="58">
        <v>0</v>
      </c>
      <c r="U1753" s="58">
        <v>0</v>
      </c>
      <c r="V1753" s="58">
        <v>0</v>
      </c>
      <c r="AG1753" t="s">
        <v>1474</v>
      </c>
      <c r="AM1753" s="1" t="str">
        <f t="shared" si="108"/>
        <v>1751_C0013_2598.jpg</v>
      </c>
    </row>
    <row r="1754" spans="1:39" x14ac:dyDescent="0.35">
      <c r="A1754">
        <v>1750</v>
      </c>
      <c r="B1754">
        <v>1751</v>
      </c>
      <c r="F1754" s="64" t="s">
        <v>4790</v>
      </c>
      <c r="G1754" s="64"/>
      <c r="H1754" s="64"/>
      <c r="I1754" s="64">
        <v>0</v>
      </c>
      <c r="J1754" s="32" t="str">
        <f>IF(AND(E1754=1,OR(E1753=0,E1753="")),MAX(#REF!)+1,IF(AND(E1754=1,E1753=1),J1753,""))</f>
        <v/>
      </c>
      <c r="K1754" s="32" t="str">
        <f t="shared" si="105"/>
        <v/>
      </c>
      <c r="L1754" s="32" t="str">
        <f t="shared" si="106"/>
        <v/>
      </c>
      <c r="M1754" s="32" t="str">
        <f t="shared" si="107"/>
        <v/>
      </c>
      <c r="N1754" s="4">
        <v>3</v>
      </c>
      <c r="O1754" s="58">
        <v>0</v>
      </c>
      <c r="P1754" s="58">
        <v>0</v>
      </c>
      <c r="Q1754" s="58">
        <v>0</v>
      </c>
      <c r="R1754" s="58">
        <v>0</v>
      </c>
      <c r="S1754" s="58">
        <v>0</v>
      </c>
      <c r="T1754" s="58">
        <v>0</v>
      </c>
      <c r="U1754" s="58">
        <v>0</v>
      </c>
      <c r="V1754" s="58">
        <v>0</v>
      </c>
      <c r="AG1754" t="s">
        <v>1475</v>
      </c>
      <c r="AM1754" s="1" t="str">
        <f t="shared" si="108"/>
        <v>1752_C0013_2593.jpg</v>
      </c>
    </row>
    <row r="1755" spans="1:39" x14ac:dyDescent="0.35">
      <c r="A1755">
        <v>1751</v>
      </c>
      <c r="B1755">
        <v>1752</v>
      </c>
      <c r="F1755" s="64" t="s">
        <v>4791</v>
      </c>
      <c r="G1755" s="64"/>
      <c r="H1755" s="64"/>
      <c r="I1755" s="64">
        <v>0</v>
      </c>
      <c r="J1755" s="32" t="str">
        <f>IF(AND(E1755=1,OR(E1754=0,E1754="")),MAX(#REF!)+1,IF(AND(E1755=1,E1754=1),J1754,""))</f>
        <v/>
      </c>
      <c r="K1755" s="32" t="str">
        <f t="shared" si="105"/>
        <v/>
      </c>
      <c r="L1755" s="32" t="str">
        <f t="shared" si="106"/>
        <v/>
      </c>
      <c r="M1755" s="32" t="str">
        <f t="shared" si="107"/>
        <v/>
      </c>
      <c r="N1755" s="4">
        <v>3</v>
      </c>
      <c r="O1755" s="58">
        <v>0</v>
      </c>
      <c r="P1755" s="58">
        <v>0</v>
      </c>
      <c r="Q1755" s="58">
        <v>0</v>
      </c>
      <c r="R1755" s="58">
        <v>0</v>
      </c>
      <c r="S1755" s="58">
        <v>0</v>
      </c>
      <c r="T1755" s="58">
        <v>0</v>
      </c>
      <c r="U1755" s="58">
        <v>0</v>
      </c>
      <c r="V1755" s="58">
        <v>0</v>
      </c>
      <c r="AG1755" t="s">
        <v>1476</v>
      </c>
      <c r="AM1755" s="1" t="str">
        <f t="shared" si="108"/>
        <v>1753_C0013_2590.jpg</v>
      </c>
    </row>
    <row r="1756" spans="1:39" x14ac:dyDescent="0.35">
      <c r="A1756">
        <v>1752</v>
      </c>
      <c r="B1756">
        <v>1753</v>
      </c>
      <c r="F1756" s="64" t="s">
        <v>4792</v>
      </c>
      <c r="G1756" s="64"/>
      <c r="H1756" s="64"/>
      <c r="I1756" s="64">
        <v>0</v>
      </c>
      <c r="J1756" s="32" t="str">
        <f>IF(AND(E1756=1,OR(E1755=0,E1755="")),MAX(#REF!)+1,IF(AND(E1756=1,E1755=1),J1755,""))</f>
        <v/>
      </c>
      <c r="K1756" s="32" t="str">
        <f t="shared" si="105"/>
        <v/>
      </c>
      <c r="L1756" s="32" t="str">
        <f t="shared" si="106"/>
        <v/>
      </c>
      <c r="M1756" s="32" t="str">
        <f t="shared" si="107"/>
        <v/>
      </c>
      <c r="N1756" s="4">
        <v>3</v>
      </c>
      <c r="O1756" s="58">
        <v>0</v>
      </c>
      <c r="P1756" s="58">
        <v>0</v>
      </c>
      <c r="Q1756" s="58">
        <v>0</v>
      </c>
      <c r="R1756" s="58">
        <v>0</v>
      </c>
      <c r="S1756" s="58">
        <v>0</v>
      </c>
      <c r="T1756" s="58">
        <v>0</v>
      </c>
      <c r="U1756" s="58">
        <v>0</v>
      </c>
      <c r="V1756" s="58">
        <v>0</v>
      </c>
      <c r="AG1756" t="s">
        <v>1477</v>
      </c>
      <c r="AM1756" s="1" t="str">
        <f t="shared" si="108"/>
        <v>1754_C0013_2587.jpg</v>
      </c>
    </row>
    <row r="1757" spans="1:39" x14ac:dyDescent="0.35">
      <c r="A1757">
        <v>1753</v>
      </c>
      <c r="B1757">
        <v>1754</v>
      </c>
      <c r="F1757" s="64" t="s">
        <v>4793</v>
      </c>
      <c r="G1757" s="64"/>
      <c r="H1757" s="64"/>
      <c r="I1757" s="64">
        <v>0</v>
      </c>
      <c r="J1757" s="32" t="str">
        <f>IF(AND(E1757=1,OR(E1756=0,E1756="")),MAX(#REF!)+1,IF(AND(E1757=1,E1756=1),J1756,""))</f>
        <v/>
      </c>
      <c r="K1757" s="32" t="str">
        <f t="shared" si="105"/>
        <v/>
      </c>
      <c r="L1757" s="32" t="str">
        <f t="shared" si="106"/>
        <v/>
      </c>
      <c r="M1757" s="32" t="str">
        <f t="shared" si="107"/>
        <v/>
      </c>
      <c r="N1757" s="4">
        <v>3</v>
      </c>
      <c r="O1757" s="58">
        <v>0</v>
      </c>
      <c r="P1757" s="58">
        <v>0</v>
      </c>
      <c r="Q1757" s="58">
        <v>0</v>
      </c>
      <c r="R1757" s="58">
        <v>0</v>
      </c>
      <c r="S1757" s="58">
        <v>1</v>
      </c>
      <c r="T1757" s="58">
        <v>0</v>
      </c>
      <c r="U1757" s="58">
        <v>0</v>
      </c>
      <c r="V1757" s="58">
        <v>0</v>
      </c>
      <c r="AG1757" t="s">
        <v>1478</v>
      </c>
      <c r="AM1757" s="1" t="str">
        <f t="shared" si="108"/>
        <v>1755_C0013_2584.jpg</v>
      </c>
    </row>
    <row r="1758" spans="1:39" x14ac:dyDescent="0.35">
      <c r="A1758">
        <v>1754</v>
      </c>
      <c r="B1758">
        <v>1755</v>
      </c>
      <c r="F1758" s="64" t="s">
        <v>4794</v>
      </c>
      <c r="G1758" s="64"/>
      <c r="H1758" s="64"/>
      <c r="I1758" s="64">
        <v>0</v>
      </c>
      <c r="J1758" s="32" t="str">
        <f>IF(AND(E1758=1,OR(E1757=0,E1757="")),MAX(#REF!)+1,IF(AND(E1758=1,E1757=1),J1757,""))</f>
        <v/>
      </c>
      <c r="K1758" s="32" t="str">
        <f t="shared" si="105"/>
        <v/>
      </c>
      <c r="L1758" s="32" t="str">
        <f t="shared" si="106"/>
        <v/>
      </c>
      <c r="M1758" s="32" t="str">
        <f t="shared" si="107"/>
        <v/>
      </c>
      <c r="N1758" s="4">
        <v>3</v>
      </c>
      <c r="O1758" s="58">
        <v>0</v>
      </c>
      <c r="P1758" s="58">
        <v>0</v>
      </c>
      <c r="Q1758" s="58">
        <v>0</v>
      </c>
      <c r="R1758" s="58">
        <v>0</v>
      </c>
      <c r="S1758" s="58">
        <v>0</v>
      </c>
      <c r="T1758" s="58">
        <v>0</v>
      </c>
      <c r="U1758" s="58">
        <v>0</v>
      </c>
      <c r="V1758" s="58">
        <v>0</v>
      </c>
      <c r="AG1758" t="s">
        <v>1479</v>
      </c>
      <c r="AM1758" s="1" t="str">
        <f t="shared" si="108"/>
        <v>1756_C0013_2578.jpg</v>
      </c>
    </row>
    <row r="1759" spans="1:39" x14ac:dyDescent="0.35">
      <c r="A1759">
        <v>1755</v>
      </c>
      <c r="B1759">
        <v>1756</v>
      </c>
      <c r="F1759" s="64" t="s">
        <v>4795</v>
      </c>
      <c r="G1759" s="64"/>
      <c r="H1759" s="64"/>
      <c r="I1759" s="64">
        <v>0</v>
      </c>
      <c r="J1759" s="32" t="str">
        <f>IF(AND(E1759=1,OR(E1758=0,E1758="")),MAX(#REF!)+1,IF(AND(E1759=1,E1758=1),J1758,""))</f>
        <v/>
      </c>
      <c r="K1759" s="32" t="str">
        <f t="shared" ref="K1759:K1822" si="109">IF(J1759="","",COUNTIF(J:J,J1759)*10)</f>
        <v/>
      </c>
      <c r="L1759" s="32" t="str">
        <f t="shared" si="106"/>
        <v/>
      </c>
      <c r="M1759" s="32" t="str">
        <f t="shared" si="107"/>
        <v/>
      </c>
      <c r="N1759" s="4">
        <v>3</v>
      </c>
      <c r="O1759" s="58">
        <v>0</v>
      </c>
      <c r="P1759" s="58">
        <v>0</v>
      </c>
      <c r="Q1759" s="58">
        <v>0</v>
      </c>
      <c r="R1759" s="58">
        <v>0</v>
      </c>
      <c r="S1759" s="58">
        <v>0</v>
      </c>
      <c r="T1759" s="58">
        <v>0</v>
      </c>
      <c r="U1759" s="58">
        <v>0</v>
      </c>
      <c r="V1759" s="58">
        <v>0</v>
      </c>
      <c r="AG1759" t="s">
        <v>1480</v>
      </c>
      <c r="AM1759" s="1" t="str">
        <f t="shared" si="108"/>
        <v>1757_C0013_2575.jpg</v>
      </c>
    </row>
    <row r="1760" spans="1:39" x14ac:dyDescent="0.35">
      <c r="A1760">
        <v>1756</v>
      </c>
      <c r="B1760">
        <v>1757</v>
      </c>
      <c r="F1760" s="64" t="s">
        <v>4796</v>
      </c>
      <c r="G1760" s="64"/>
      <c r="H1760" s="64"/>
      <c r="I1760" s="64">
        <v>0</v>
      </c>
      <c r="J1760" s="32" t="str">
        <f>IF(AND(E1760=1,OR(E1759=0,E1759="")),MAX(#REF!)+1,IF(AND(E1760=1,E1759=1),J1759,""))</f>
        <v/>
      </c>
      <c r="K1760" s="32" t="str">
        <f t="shared" si="109"/>
        <v/>
      </c>
      <c r="L1760" s="32" t="str">
        <f t="shared" si="106"/>
        <v/>
      </c>
      <c r="M1760" s="32" t="str">
        <f t="shared" si="107"/>
        <v/>
      </c>
      <c r="N1760" s="4">
        <v>3</v>
      </c>
      <c r="O1760" s="58">
        <v>0</v>
      </c>
      <c r="P1760" s="58">
        <v>0</v>
      </c>
      <c r="Q1760" s="58">
        <v>0</v>
      </c>
      <c r="R1760" s="58">
        <v>0</v>
      </c>
      <c r="S1760" s="58">
        <v>0</v>
      </c>
      <c r="T1760" s="58">
        <v>0</v>
      </c>
      <c r="U1760" s="58">
        <v>0</v>
      </c>
      <c r="V1760" s="58">
        <v>0</v>
      </c>
      <c r="AG1760" t="s">
        <v>1481</v>
      </c>
      <c r="AM1760" s="1" t="str">
        <f t="shared" si="108"/>
        <v>1758_C0013_2572.jpg</v>
      </c>
    </row>
    <row r="1761" spans="1:39" x14ac:dyDescent="0.35">
      <c r="A1761">
        <v>1757</v>
      </c>
      <c r="B1761">
        <v>1758</v>
      </c>
      <c r="F1761" s="64" t="s">
        <v>4797</v>
      </c>
      <c r="G1761" s="64"/>
      <c r="H1761" s="64"/>
      <c r="I1761" s="64">
        <v>0</v>
      </c>
      <c r="J1761" s="32" t="str">
        <f>IF(AND(E1761=1,OR(E1760=0,E1760="")),MAX(#REF!)+1,IF(AND(E1761=1,E1760=1),J1760,""))</f>
        <v/>
      </c>
      <c r="K1761" s="32" t="str">
        <f t="shared" si="109"/>
        <v/>
      </c>
      <c r="L1761" s="32" t="str">
        <f t="shared" si="106"/>
        <v/>
      </c>
      <c r="M1761" s="32" t="str">
        <f t="shared" si="107"/>
        <v/>
      </c>
      <c r="N1761" s="4">
        <v>3</v>
      </c>
      <c r="O1761" s="58">
        <v>0</v>
      </c>
      <c r="P1761" s="58">
        <v>0</v>
      </c>
      <c r="Q1761" s="58">
        <v>0</v>
      </c>
      <c r="R1761" s="58">
        <v>0</v>
      </c>
      <c r="S1761" s="58">
        <v>0</v>
      </c>
      <c r="T1761" s="58">
        <v>0</v>
      </c>
      <c r="U1761" s="58">
        <v>0</v>
      </c>
      <c r="V1761" s="58">
        <v>0</v>
      </c>
      <c r="AG1761" t="s">
        <v>1482</v>
      </c>
      <c r="AM1761" s="1" t="str">
        <f t="shared" si="108"/>
        <v>1759_C0013_2566.jpg</v>
      </c>
    </row>
    <row r="1762" spans="1:39" x14ac:dyDescent="0.35">
      <c r="A1762">
        <v>1758</v>
      </c>
      <c r="B1762">
        <v>1759</v>
      </c>
      <c r="F1762" s="64" t="s">
        <v>4798</v>
      </c>
      <c r="G1762" s="64"/>
      <c r="H1762" s="64"/>
      <c r="I1762" s="64">
        <v>0</v>
      </c>
      <c r="J1762" s="32" t="str">
        <f>IF(AND(E1762=1,OR(E1761=0,E1761="")),MAX(#REF!)+1,IF(AND(E1762=1,E1761=1),J1761,""))</f>
        <v/>
      </c>
      <c r="K1762" s="32" t="str">
        <f t="shared" si="109"/>
        <v/>
      </c>
      <c r="L1762" s="32" t="str">
        <f t="shared" si="106"/>
        <v/>
      </c>
      <c r="M1762" s="32" t="str">
        <f t="shared" si="107"/>
        <v/>
      </c>
      <c r="N1762" s="4">
        <v>3</v>
      </c>
      <c r="O1762" s="58">
        <v>0</v>
      </c>
      <c r="P1762" s="58">
        <v>0</v>
      </c>
      <c r="Q1762" s="58">
        <v>0</v>
      </c>
      <c r="R1762" s="58">
        <v>0</v>
      </c>
      <c r="S1762" s="58">
        <v>0</v>
      </c>
      <c r="T1762" s="58">
        <v>0</v>
      </c>
      <c r="U1762" s="58">
        <v>0</v>
      </c>
      <c r="V1762" s="58">
        <v>0</v>
      </c>
      <c r="AG1762" t="s">
        <v>1483</v>
      </c>
      <c r="AM1762" s="1" t="str">
        <f t="shared" si="108"/>
        <v>1760_C0013_2564.jpg</v>
      </c>
    </row>
    <row r="1763" spans="1:39" x14ac:dyDescent="0.35">
      <c r="A1763">
        <v>1759</v>
      </c>
      <c r="B1763">
        <v>1760</v>
      </c>
      <c r="F1763" s="64" t="s">
        <v>4799</v>
      </c>
      <c r="G1763" s="64"/>
      <c r="H1763" s="64"/>
      <c r="I1763" s="64">
        <v>0</v>
      </c>
      <c r="J1763" s="32" t="str">
        <f>IF(AND(E1763=1,OR(E1762=0,E1762="")),MAX(#REF!)+1,IF(AND(E1763=1,E1762=1),J1762,""))</f>
        <v/>
      </c>
      <c r="K1763" s="32" t="str">
        <f t="shared" si="109"/>
        <v/>
      </c>
      <c r="L1763" s="32" t="str">
        <f t="shared" si="106"/>
        <v/>
      </c>
      <c r="M1763" s="32" t="str">
        <f t="shared" si="107"/>
        <v/>
      </c>
      <c r="N1763" s="4">
        <v>3</v>
      </c>
      <c r="O1763" s="58">
        <v>0</v>
      </c>
      <c r="P1763" s="58">
        <v>0</v>
      </c>
      <c r="Q1763" s="58">
        <v>0</v>
      </c>
      <c r="R1763" s="58">
        <v>0</v>
      </c>
      <c r="S1763" s="58">
        <v>0</v>
      </c>
      <c r="T1763" s="58">
        <v>0</v>
      </c>
      <c r="U1763" s="58">
        <v>0</v>
      </c>
      <c r="V1763" s="58">
        <v>0</v>
      </c>
      <c r="AG1763" t="s">
        <v>1484</v>
      </c>
      <c r="AM1763" s="1" t="str">
        <f t="shared" si="108"/>
        <v>1761_C0013_2560.jpg</v>
      </c>
    </row>
    <row r="1764" spans="1:39" x14ac:dyDescent="0.35">
      <c r="A1764">
        <v>1760</v>
      </c>
      <c r="B1764">
        <v>1761</v>
      </c>
      <c r="F1764" s="64" t="s">
        <v>4800</v>
      </c>
      <c r="G1764" s="64"/>
      <c r="H1764" s="64"/>
      <c r="I1764" s="64">
        <v>0</v>
      </c>
      <c r="J1764" s="32" t="str">
        <f>IF(AND(E1764=1,OR(E1763=0,E1763="")),MAX(#REF!)+1,IF(AND(E1764=1,E1763=1),J1763,""))</f>
        <v/>
      </c>
      <c r="K1764" s="32" t="str">
        <f t="shared" si="109"/>
        <v/>
      </c>
      <c r="L1764" s="32" t="str">
        <f t="shared" si="106"/>
        <v/>
      </c>
      <c r="M1764" s="32" t="str">
        <f t="shared" si="107"/>
        <v/>
      </c>
      <c r="N1764" s="4">
        <v>3</v>
      </c>
      <c r="O1764" s="58">
        <v>0</v>
      </c>
      <c r="P1764" s="58">
        <v>0</v>
      </c>
      <c r="Q1764" s="58">
        <v>0</v>
      </c>
      <c r="R1764" s="58">
        <v>0</v>
      </c>
      <c r="S1764" s="58">
        <v>0</v>
      </c>
      <c r="T1764" s="58">
        <v>0</v>
      </c>
      <c r="U1764" s="58">
        <v>0</v>
      </c>
      <c r="V1764" s="58">
        <v>0</v>
      </c>
      <c r="AG1764" t="s">
        <v>1485</v>
      </c>
      <c r="AM1764" s="1" t="str">
        <f t="shared" si="108"/>
        <v>1762_C0013_2556.jpg</v>
      </c>
    </row>
    <row r="1765" spans="1:39" x14ac:dyDescent="0.35">
      <c r="A1765">
        <v>1761</v>
      </c>
      <c r="B1765">
        <v>1762</v>
      </c>
      <c r="F1765" s="64" t="s">
        <v>4801</v>
      </c>
      <c r="G1765" s="64"/>
      <c r="H1765" s="64"/>
      <c r="I1765" s="64">
        <v>0</v>
      </c>
      <c r="J1765" s="32" t="str">
        <f>IF(AND(E1765=1,OR(E1764=0,E1764="")),MAX(#REF!)+1,IF(AND(E1765=1,E1764=1),J1764,""))</f>
        <v/>
      </c>
      <c r="K1765" s="32" t="str">
        <f t="shared" si="109"/>
        <v/>
      </c>
      <c r="L1765" s="32" t="str">
        <f t="shared" si="106"/>
        <v/>
      </c>
      <c r="M1765" s="32" t="str">
        <f t="shared" si="107"/>
        <v/>
      </c>
      <c r="N1765" s="4">
        <v>3</v>
      </c>
      <c r="O1765" s="58">
        <v>0</v>
      </c>
      <c r="P1765" s="58">
        <v>0</v>
      </c>
      <c r="Q1765" s="58">
        <v>0</v>
      </c>
      <c r="R1765" s="58">
        <v>0</v>
      </c>
      <c r="S1765" s="58">
        <v>0</v>
      </c>
      <c r="T1765" s="58">
        <v>0</v>
      </c>
      <c r="U1765" s="58">
        <v>0</v>
      </c>
      <c r="V1765" s="58">
        <v>0</v>
      </c>
      <c r="AG1765" t="s">
        <v>1486</v>
      </c>
      <c r="AM1765" s="1" t="str">
        <f t="shared" si="108"/>
        <v>1763_C0013_2551.jpg</v>
      </c>
    </row>
    <row r="1766" spans="1:39" x14ac:dyDescent="0.35">
      <c r="A1766">
        <v>1762</v>
      </c>
      <c r="B1766">
        <v>1763</v>
      </c>
      <c r="F1766" s="64" t="s">
        <v>4802</v>
      </c>
      <c r="G1766" s="64"/>
      <c r="H1766" s="64"/>
      <c r="I1766" s="64">
        <v>0</v>
      </c>
      <c r="J1766" s="32" t="str">
        <f>IF(AND(E1766=1,OR(E1765=0,E1765="")),MAX(#REF!)+1,IF(AND(E1766=1,E1765=1),J1765,""))</f>
        <v/>
      </c>
      <c r="K1766" s="32" t="str">
        <f t="shared" si="109"/>
        <v/>
      </c>
      <c r="L1766" s="32" t="str">
        <f t="shared" si="106"/>
        <v/>
      </c>
      <c r="M1766" s="32" t="str">
        <f t="shared" si="107"/>
        <v/>
      </c>
      <c r="N1766" s="4">
        <v>3</v>
      </c>
      <c r="O1766" s="58">
        <v>0</v>
      </c>
      <c r="P1766" s="58">
        <v>0</v>
      </c>
      <c r="Q1766" s="58">
        <v>0</v>
      </c>
      <c r="R1766" s="58">
        <v>0</v>
      </c>
      <c r="S1766" s="58">
        <v>0</v>
      </c>
      <c r="T1766" s="58">
        <v>0</v>
      </c>
      <c r="U1766" s="58">
        <v>0</v>
      </c>
      <c r="V1766" s="58">
        <v>0</v>
      </c>
      <c r="AG1766" t="s">
        <v>1487</v>
      </c>
      <c r="AM1766" s="1" t="str">
        <f t="shared" si="108"/>
        <v>1764_C0013_2546.jpg</v>
      </c>
    </row>
    <row r="1767" spans="1:39" x14ac:dyDescent="0.35">
      <c r="A1767">
        <v>1763</v>
      </c>
      <c r="B1767">
        <v>1764</v>
      </c>
      <c r="F1767" s="64" t="s">
        <v>4803</v>
      </c>
      <c r="G1767" s="64"/>
      <c r="H1767" s="64"/>
      <c r="I1767" s="64">
        <v>0</v>
      </c>
      <c r="J1767" s="32" t="str">
        <f>IF(AND(E1767=1,OR(E1766=0,E1766="")),MAX(#REF!)+1,IF(AND(E1767=1,E1766=1),J1766,""))</f>
        <v/>
      </c>
      <c r="K1767" s="32" t="str">
        <f t="shared" si="109"/>
        <v/>
      </c>
      <c r="L1767" s="32" t="str">
        <f t="shared" si="106"/>
        <v/>
      </c>
      <c r="M1767" s="32" t="str">
        <f t="shared" si="107"/>
        <v/>
      </c>
      <c r="N1767" s="4">
        <v>3</v>
      </c>
      <c r="O1767" s="58">
        <v>0</v>
      </c>
      <c r="P1767" s="58">
        <v>0</v>
      </c>
      <c r="Q1767" s="58">
        <v>0</v>
      </c>
      <c r="R1767" s="58">
        <v>0</v>
      </c>
      <c r="S1767" s="58">
        <v>0</v>
      </c>
      <c r="T1767" s="58">
        <v>0</v>
      </c>
      <c r="U1767" s="58">
        <v>0</v>
      </c>
      <c r="V1767" s="58">
        <v>0</v>
      </c>
      <c r="AG1767" t="s">
        <v>1488</v>
      </c>
      <c r="AM1767" s="1" t="str">
        <f t="shared" si="108"/>
        <v>1765_C0013_2543.jpg</v>
      </c>
    </row>
    <row r="1768" spans="1:39" x14ac:dyDescent="0.35">
      <c r="A1768">
        <v>1764</v>
      </c>
      <c r="B1768">
        <v>1765</v>
      </c>
      <c r="F1768" s="64" t="s">
        <v>4804</v>
      </c>
      <c r="G1768" s="64"/>
      <c r="H1768" s="64"/>
      <c r="I1768" s="64">
        <v>0</v>
      </c>
      <c r="J1768" s="32" t="str">
        <f>IF(AND(E1768=1,OR(E1767=0,E1767="")),MAX(#REF!)+1,IF(AND(E1768=1,E1767=1),J1767,""))</f>
        <v/>
      </c>
      <c r="K1768" s="32" t="str">
        <f t="shared" si="109"/>
        <v/>
      </c>
      <c r="L1768" s="32" t="str">
        <f t="shared" si="106"/>
        <v/>
      </c>
      <c r="M1768" s="32" t="str">
        <f t="shared" si="107"/>
        <v/>
      </c>
      <c r="N1768" s="4">
        <v>3</v>
      </c>
      <c r="O1768" s="58">
        <v>0</v>
      </c>
      <c r="P1768" s="58">
        <v>0</v>
      </c>
      <c r="Q1768" s="58">
        <v>0</v>
      </c>
      <c r="R1768" s="58">
        <v>0</v>
      </c>
      <c r="S1768" s="58">
        <v>0</v>
      </c>
      <c r="T1768" s="58">
        <v>0</v>
      </c>
      <c r="U1768" s="58">
        <v>0</v>
      </c>
      <c r="V1768" s="58">
        <v>0</v>
      </c>
      <c r="AG1768" t="s">
        <v>1489</v>
      </c>
      <c r="AM1768" s="1" t="str">
        <f t="shared" si="108"/>
        <v>1766_C0013_2538.jpg</v>
      </c>
    </row>
    <row r="1769" spans="1:39" x14ac:dyDescent="0.35">
      <c r="A1769">
        <v>1765</v>
      </c>
      <c r="B1769">
        <v>1766</v>
      </c>
      <c r="F1769" s="64" t="s">
        <v>4805</v>
      </c>
      <c r="G1769" s="64"/>
      <c r="H1769" s="64"/>
      <c r="I1769" s="64">
        <v>0</v>
      </c>
      <c r="J1769" s="32" t="str">
        <f>IF(AND(E1769=1,OR(E1768=0,E1768="")),MAX(#REF!)+1,IF(AND(E1769=1,E1768=1),J1768,""))</f>
        <v/>
      </c>
      <c r="K1769" s="32" t="str">
        <f t="shared" si="109"/>
        <v/>
      </c>
      <c r="L1769" s="32" t="str">
        <f t="shared" si="106"/>
        <v/>
      </c>
      <c r="M1769" s="32" t="str">
        <f t="shared" si="107"/>
        <v/>
      </c>
      <c r="N1769" s="4">
        <v>3</v>
      </c>
      <c r="O1769" s="58">
        <v>0</v>
      </c>
      <c r="P1769" s="58">
        <v>0</v>
      </c>
      <c r="Q1769" s="58">
        <v>0</v>
      </c>
      <c r="R1769" s="58">
        <v>0</v>
      </c>
      <c r="S1769" s="58">
        <v>0</v>
      </c>
      <c r="T1769" s="58">
        <v>0</v>
      </c>
      <c r="U1769" s="58">
        <v>0</v>
      </c>
      <c r="V1769" s="58">
        <v>0</v>
      </c>
      <c r="AG1769" t="s">
        <v>1490</v>
      </c>
      <c r="AM1769" s="1" t="str">
        <f t="shared" si="108"/>
        <v>1767_C0013_2533.jpg</v>
      </c>
    </row>
    <row r="1770" spans="1:39" x14ac:dyDescent="0.35">
      <c r="A1770">
        <v>1766</v>
      </c>
      <c r="B1770">
        <v>1767</v>
      </c>
      <c r="F1770" s="64" t="s">
        <v>4806</v>
      </c>
      <c r="G1770" s="64"/>
      <c r="H1770" s="64"/>
      <c r="I1770" s="64">
        <v>0</v>
      </c>
      <c r="J1770" s="32" t="str">
        <f>IF(AND(E1770=1,OR(E1769=0,E1769="")),MAX(#REF!)+1,IF(AND(E1770=1,E1769=1),J1769,""))</f>
        <v/>
      </c>
      <c r="K1770" s="32" t="str">
        <f t="shared" si="109"/>
        <v/>
      </c>
      <c r="L1770" s="32" t="str">
        <f t="shared" si="106"/>
        <v/>
      </c>
      <c r="M1770" s="32" t="str">
        <f t="shared" si="107"/>
        <v/>
      </c>
      <c r="N1770" s="4">
        <v>3</v>
      </c>
      <c r="O1770" s="58">
        <v>0</v>
      </c>
      <c r="P1770" s="58">
        <v>0</v>
      </c>
      <c r="Q1770" s="58">
        <v>0</v>
      </c>
      <c r="R1770" s="58">
        <v>0</v>
      </c>
      <c r="S1770" s="58">
        <v>0</v>
      </c>
      <c r="T1770" s="58">
        <v>0</v>
      </c>
      <c r="U1770" s="58">
        <v>0</v>
      </c>
      <c r="V1770" s="58">
        <v>0</v>
      </c>
      <c r="AG1770" t="s">
        <v>1491</v>
      </c>
      <c r="AM1770" s="1" t="str">
        <f t="shared" si="108"/>
        <v>1768_C0013_2529.jpg</v>
      </c>
    </row>
    <row r="1771" spans="1:39" x14ac:dyDescent="0.35">
      <c r="A1771">
        <v>1767</v>
      </c>
      <c r="B1771">
        <v>1768</v>
      </c>
      <c r="F1771" s="64" t="s">
        <v>4807</v>
      </c>
      <c r="G1771" s="64"/>
      <c r="H1771" s="64"/>
      <c r="I1771" s="64">
        <v>0</v>
      </c>
      <c r="J1771" s="32" t="str">
        <f>IF(AND(E1771=1,OR(E1770=0,E1770="")),MAX(#REF!)+1,IF(AND(E1771=1,E1770=1),J1770,""))</f>
        <v/>
      </c>
      <c r="K1771" s="32" t="str">
        <f t="shared" si="109"/>
        <v/>
      </c>
      <c r="L1771" s="32" t="str">
        <f t="shared" si="106"/>
        <v/>
      </c>
      <c r="M1771" s="32" t="str">
        <f t="shared" si="107"/>
        <v/>
      </c>
      <c r="N1771" s="4">
        <v>3</v>
      </c>
      <c r="O1771" s="58">
        <v>0</v>
      </c>
      <c r="P1771" s="58">
        <v>0</v>
      </c>
      <c r="Q1771" s="58">
        <v>0</v>
      </c>
      <c r="R1771" s="58">
        <v>0</v>
      </c>
      <c r="S1771" s="58">
        <v>0</v>
      </c>
      <c r="T1771" s="58">
        <v>0</v>
      </c>
      <c r="U1771" s="58">
        <v>0</v>
      </c>
      <c r="V1771" s="58">
        <v>0</v>
      </c>
      <c r="AG1771" t="s">
        <v>1492</v>
      </c>
      <c r="AM1771" s="1" t="str">
        <f t="shared" si="108"/>
        <v>1769_C0013_2525.jpg</v>
      </c>
    </row>
    <row r="1772" spans="1:39" x14ac:dyDescent="0.35">
      <c r="A1772">
        <v>1768</v>
      </c>
      <c r="B1772">
        <v>1769</v>
      </c>
      <c r="F1772" s="64" t="s">
        <v>4808</v>
      </c>
      <c r="G1772" s="64"/>
      <c r="H1772" s="64"/>
      <c r="I1772" s="64">
        <v>0</v>
      </c>
      <c r="J1772" s="32" t="str">
        <f>IF(AND(E1772=1,OR(E1771=0,E1771="")),MAX(#REF!)+1,IF(AND(E1772=1,E1771=1),J1771,""))</f>
        <v/>
      </c>
      <c r="K1772" s="32" t="str">
        <f t="shared" si="109"/>
        <v/>
      </c>
      <c r="L1772" s="32" t="str">
        <f t="shared" si="106"/>
        <v/>
      </c>
      <c r="M1772" s="32" t="str">
        <f t="shared" si="107"/>
        <v/>
      </c>
      <c r="N1772" s="4">
        <v>3</v>
      </c>
      <c r="O1772" s="58">
        <v>0</v>
      </c>
      <c r="P1772" s="58">
        <v>0</v>
      </c>
      <c r="Q1772" s="58">
        <v>0</v>
      </c>
      <c r="R1772" s="58">
        <v>0</v>
      </c>
      <c r="S1772" s="58">
        <v>0</v>
      </c>
      <c r="T1772" s="58">
        <v>0</v>
      </c>
      <c r="U1772" s="58">
        <v>0</v>
      </c>
      <c r="V1772" s="58">
        <v>0</v>
      </c>
      <c r="AG1772" t="s">
        <v>1493</v>
      </c>
      <c r="AM1772" s="1" t="str">
        <f t="shared" si="108"/>
        <v>1770_C0013_2522.jpg</v>
      </c>
    </row>
    <row r="1773" spans="1:39" x14ac:dyDescent="0.35">
      <c r="A1773">
        <v>1769</v>
      </c>
      <c r="B1773">
        <v>1770</v>
      </c>
      <c r="F1773" s="64" t="s">
        <v>4809</v>
      </c>
      <c r="G1773" s="64"/>
      <c r="H1773" s="64"/>
      <c r="I1773" s="64">
        <v>0</v>
      </c>
      <c r="J1773" s="32" t="str">
        <f>IF(AND(E1773=1,OR(E1772=0,E1772="")),MAX(#REF!)+1,IF(AND(E1773=1,E1772=1),J1772,""))</f>
        <v/>
      </c>
      <c r="K1773" s="32" t="str">
        <f t="shared" si="109"/>
        <v/>
      </c>
      <c r="L1773" s="32" t="str">
        <f t="shared" si="106"/>
        <v/>
      </c>
      <c r="M1773" s="32" t="str">
        <f t="shared" si="107"/>
        <v/>
      </c>
      <c r="N1773" s="4">
        <v>3</v>
      </c>
      <c r="O1773" s="58">
        <v>0</v>
      </c>
      <c r="P1773" s="58">
        <v>0</v>
      </c>
      <c r="Q1773" s="58">
        <v>0</v>
      </c>
      <c r="R1773" s="58">
        <v>0</v>
      </c>
      <c r="S1773" s="58">
        <v>0</v>
      </c>
      <c r="T1773" s="58">
        <v>0</v>
      </c>
      <c r="U1773" s="58">
        <v>0</v>
      </c>
      <c r="V1773" s="58">
        <v>0</v>
      </c>
      <c r="AG1773" t="s">
        <v>1494</v>
      </c>
      <c r="AM1773" s="1" t="str">
        <f t="shared" si="108"/>
        <v>1771_C0013_2518.jpg</v>
      </c>
    </row>
    <row r="1774" spans="1:39" x14ac:dyDescent="0.35">
      <c r="A1774">
        <v>1770</v>
      </c>
      <c r="B1774">
        <v>1771</v>
      </c>
      <c r="F1774" s="64" t="s">
        <v>4810</v>
      </c>
      <c r="G1774" s="64"/>
      <c r="H1774" s="64"/>
      <c r="I1774" s="64">
        <v>0</v>
      </c>
      <c r="J1774" s="32" t="str">
        <f>IF(AND(E1774=1,OR(E1773=0,E1773="")),MAX(#REF!)+1,IF(AND(E1774=1,E1773=1),J1773,""))</f>
        <v/>
      </c>
      <c r="K1774" s="32" t="str">
        <f t="shared" si="109"/>
        <v/>
      </c>
      <c r="L1774" s="32" t="str">
        <f t="shared" si="106"/>
        <v/>
      </c>
      <c r="M1774" s="32" t="str">
        <f t="shared" si="107"/>
        <v/>
      </c>
      <c r="N1774" s="4">
        <v>1</v>
      </c>
      <c r="O1774" s="58">
        <v>0</v>
      </c>
      <c r="P1774" s="58">
        <v>0</v>
      </c>
      <c r="Q1774" s="58">
        <v>0</v>
      </c>
      <c r="R1774" s="58">
        <v>0</v>
      </c>
      <c r="S1774" s="58">
        <v>0</v>
      </c>
      <c r="T1774" s="58">
        <v>0</v>
      </c>
      <c r="U1774" s="58">
        <v>0</v>
      </c>
      <c r="V1774" s="58">
        <v>0</v>
      </c>
      <c r="AG1774" t="s">
        <v>1495</v>
      </c>
      <c r="AM1774" s="1" t="str">
        <f t="shared" si="108"/>
        <v>1772_C0013_2516.jpg</v>
      </c>
    </row>
    <row r="1775" spans="1:39" x14ac:dyDescent="0.35">
      <c r="A1775">
        <v>1771</v>
      </c>
      <c r="B1775">
        <v>1772</v>
      </c>
      <c r="F1775" s="64" t="s">
        <v>4811</v>
      </c>
      <c r="G1775" s="64"/>
      <c r="H1775" s="64"/>
      <c r="I1775" s="64">
        <v>0</v>
      </c>
      <c r="J1775" s="32" t="str">
        <f>IF(AND(E1775=1,OR(E1774=0,E1774="")),MAX(#REF!)+1,IF(AND(E1775=1,E1774=1),J1774,""))</f>
        <v/>
      </c>
      <c r="K1775" s="32" t="str">
        <f t="shared" si="109"/>
        <v/>
      </c>
      <c r="L1775" s="32" t="str">
        <f t="shared" si="106"/>
        <v/>
      </c>
      <c r="M1775" s="32" t="str">
        <f t="shared" si="107"/>
        <v/>
      </c>
      <c r="N1775" s="4">
        <v>1</v>
      </c>
      <c r="O1775" s="58">
        <v>0</v>
      </c>
      <c r="P1775" s="58">
        <v>0</v>
      </c>
      <c r="Q1775" s="58">
        <v>0</v>
      </c>
      <c r="R1775" s="58">
        <v>1</v>
      </c>
      <c r="S1775" s="58">
        <v>0</v>
      </c>
      <c r="T1775" s="58">
        <v>0</v>
      </c>
      <c r="U1775" s="58">
        <v>0</v>
      </c>
      <c r="V1775" s="58">
        <v>0</v>
      </c>
      <c r="AG1775" t="s">
        <v>1496</v>
      </c>
      <c r="AM1775" s="1" t="str">
        <f t="shared" si="108"/>
        <v>1773_C0013_2512.jpg</v>
      </c>
    </row>
    <row r="1776" spans="1:39" x14ac:dyDescent="0.35">
      <c r="A1776">
        <v>1772</v>
      </c>
      <c r="B1776">
        <v>1773</v>
      </c>
      <c r="F1776" s="64" t="s">
        <v>4812</v>
      </c>
      <c r="G1776" s="64"/>
      <c r="H1776" s="64"/>
      <c r="I1776" s="64">
        <v>1</v>
      </c>
      <c r="J1776" s="32" t="str">
        <f>IF(AND(E1776=1,OR(E1775=0,E1775="")),MAX(#REF!)+1,IF(AND(E1776=1,E1775=1),J1775,""))</f>
        <v/>
      </c>
      <c r="K1776" s="32" t="str">
        <f t="shared" si="109"/>
        <v/>
      </c>
      <c r="L1776" s="32" t="str">
        <f t="shared" si="106"/>
        <v/>
      </c>
      <c r="M1776" s="32" t="str">
        <f t="shared" si="107"/>
        <v/>
      </c>
      <c r="N1776" s="4">
        <v>1</v>
      </c>
      <c r="O1776" s="58">
        <v>0</v>
      </c>
      <c r="P1776" s="58">
        <v>0</v>
      </c>
      <c r="Q1776" s="58">
        <v>0</v>
      </c>
      <c r="R1776" s="58">
        <v>0</v>
      </c>
      <c r="S1776" s="58">
        <v>0</v>
      </c>
      <c r="T1776" s="58">
        <v>0</v>
      </c>
      <c r="U1776" s="58">
        <v>0</v>
      </c>
      <c r="V1776" s="58">
        <v>0</v>
      </c>
      <c r="AG1776" t="s">
        <v>1497</v>
      </c>
      <c r="AM1776" s="1" t="str">
        <f t="shared" si="108"/>
        <v>1774_C0013_2509.jpg</v>
      </c>
    </row>
    <row r="1777" spans="1:39" x14ac:dyDescent="0.35">
      <c r="A1777">
        <v>1773</v>
      </c>
      <c r="B1777">
        <v>1774</v>
      </c>
      <c r="F1777" s="64" t="s">
        <v>4813</v>
      </c>
      <c r="G1777" s="64"/>
      <c r="H1777" s="64"/>
      <c r="I1777" s="64">
        <v>0</v>
      </c>
      <c r="J1777" s="32" t="str">
        <f>IF(AND(E1777=1,OR(E1776=0,E1776="")),MAX(#REF!)+1,IF(AND(E1777=1,E1776=1),J1776,""))</f>
        <v/>
      </c>
      <c r="K1777" s="32" t="str">
        <f t="shared" si="109"/>
        <v/>
      </c>
      <c r="L1777" s="32" t="str">
        <f t="shared" si="106"/>
        <v/>
      </c>
      <c r="M1777" s="32" t="str">
        <f t="shared" si="107"/>
        <v/>
      </c>
      <c r="N1777" s="4">
        <v>1</v>
      </c>
      <c r="O1777" s="58">
        <v>0</v>
      </c>
      <c r="P1777" s="58">
        <v>0</v>
      </c>
      <c r="Q1777" s="58">
        <v>0</v>
      </c>
      <c r="R1777" s="58">
        <v>0</v>
      </c>
      <c r="S1777" s="58">
        <v>0</v>
      </c>
      <c r="T1777" s="58">
        <v>0</v>
      </c>
      <c r="U1777" s="58">
        <v>0</v>
      </c>
      <c r="V1777" s="58">
        <v>0</v>
      </c>
      <c r="AG1777" t="s">
        <v>1498</v>
      </c>
      <c r="AM1777" s="1" t="str">
        <f t="shared" si="108"/>
        <v>1775_C0013_2505.jpg</v>
      </c>
    </row>
    <row r="1778" spans="1:39" x14ac:dyDescent="0.35">
      <c r="A1778">
        <v>1774</v>
      </c>
      <c r="B1778">
        <v>1775</v>
      </c>
      <c r="F1778" s="64" t="s">
        <v>4814</v>
      </c>
      <c r="G1778" s="64"/>
      <c r="H1778" s="64"/>
      <c r="I1778" s="64">
        <v>0</v>
      </c>
      <c r="J1778" s="32" t="str">
        <f>IF(AND(E1778=1,OR(E1777=0,E1777="")),MAX(#REF!)+1,IF(AND(E1778=1,E1777=1),J1777,""))</f>
        <v/>
      </c>
      <c r="K1778" s="32" t="str">
        <f t="shared" si="109"/>
        <v/>
      </c>
      <c r="L1778" s="32" t="str">
        <f t="shared" si="106"/>
        <v/>
      </c>
      <c r="M1778" s="32" t="str">
        <f t="shared" si="107"/>
        <v/>
      </c>
      <c r="N1778" s="4">
        <v>1</v>
      </c>
      <c r="O1778" s="58">
        <v>0</v>
      </c>
      <c r="P1778" s="58">
        <v>0</v>
      </c>
      <c r="Q1778" s="58">
        <v>0</v>
      </c>
      <c r="R1778" s="58">
        <v>0</v>
      </c>
      <c r="S1778" s="58">
        <v>0</v>
      </c>
      <c r="T1778" s="58">
        <v>0</v>
      </c>
      <c r="U1778" s="58">
        <v>0</v>
      </c>
      <c r="V1778" s="58">
        <v>0</v>
      </c>
      <c r="AG1778" t="s">
        <v>1499</v>
      </c>
      <c r="AM1778" s="1" t="str">
        <f t="shared" si="108"/>
        <v>1776_C0013_2502.jpg</v>
      </c>
    </row>
    <row r="1779" spans="1:39" x14ac:dyDescent="0.35">
      <c r="A1779">
        <v>1775</v>
      </c>
      <c r="B1779">
        <v>1776</v>
      </c>
      <c r="F1779" s="64" t="s">
        <v>4815</v>
      </c>
      <c r="G1779" s="64"/>
      <c r="H1779" s="64"/>
      <c r="I1779" s="64">
        <v>0</v>
      </c>
      <c r="J1779" s="32" t="str">
        <f>IF(AND(E1779=1,OR(E1778=0,E1778="")),MAX(#REF!)+1,IF(AND(E1779=1,E1778=1),J1778,""))</f>
        <v/>
      </c>
      <c r="K1779" s="32" t="str">
        <f t="shared" si="109"/>
        <v/>
      </c>
      <c r="L1779" s="32" t="str">
        <f t="shared" si="106"/>
        <v/>
      </c>
      <c r="M1779" s="32" t="str">
        <f t="shared" si="107"/>
        <v/>
      </c>
      <c r="N1779" s="4">
        <v>1</v>
      </c>
      <c r="O1779" s="58">
        <v>0</v>
      </c>
      <c r="P1779" s="58">
        <v>0</v>
      </c>
      <c r="Q1779" s="58">
        <v>0</v>
      </c>
      <c r="R1779" s="58">
        <v>0</v>
      </c>
      <c r="S1779" s="58">
        <v>0</v>
      </c>
      <c r="T1779" s="58">
        <v>0</v>
      </c>
      <c r="U1779" s="58">
        <v>0</v>
      </c>
      <c r="V1779" s="58">
        <v>0</v>
      </c>
      <c r="AG1779" t="s">
        <v>1500</v>
      </c>
      <c r="AM1779" s="1" t="str">
        <f t="shared" si="108"/>
        <v>1777_C0013_2498.jpg</v>
      </c>
    </row>
    <row r="1780" spans="1:39" x14ac:dyDescent="0.35">
      <c r="A1780">
        <v>1776</v>
      </c>
      <c r="B1780">
        <v>1777</v>
      </c>
      <c r="F1780" s="64" t="s">
        <v>4816</v>
      </c>
      <c r="G1780" s="64"/>
      <c r="H1780" s="64"/>
      <c r="I1780" s="64">
        <v>1</v>
      </c>
      <c r="J1780" s="32" t="str">
        <f>IF(AND(E1780=1,OR(E1779=0,E1779="")),MAX(#REF!)+1,IF(AND(E1780=1,E1779=1),J1779,""))</f>
        <v/>
      </c>
      <c r="K1780" s="32" t="str">
        <f t="shared" si="109"/>
        <v/>
      </c>
      <c r="L1780" s="32" t="str">
        <f t="shared" si="106"/>
        <v/>
      </c>
      <c r="M1780" s="32" t="str">
        <f t="shared" si="107"/>
        <v/>
      </c>
      <c r="N1780" s="4">
        <v>1</v>
      </c>
      <c r="O1780" s="58">
        <v>0</v>
      </c>
      <c r="P1780" s="58">
        <v>0</v>
      </c>
      <c r="Q1780" s="58">
        <v>0</v>
      </c>
      <c r="R1780" s="58">
        <v>0</v>
      </c>
      <c r="S1780" s="58">
        <v>0</v>
      </c>
      <c r="T1780" s="58">
        <v>0</v>
      </c>
      <c r="U1780" s="58">
        <v>0</v>
      </c>
      <c r="V1780" s="58">
        <v>0</v>
      </c>
      <c r="AG1780" t="s">
        <v>1501</v>
      </c>
      <c r="AM1780" s="1" t="str">
        <f t="shared" si="108"/>
        <v>1778_C0013_2494.jpg</v>
      </c>
    </row>
    <row r="1781" spans="1:39" x14ac:dyDescent="0.35">
      <c r="A1781">
        <v>1777</v>
      </c>
      <c r="B1781">
        <v>1778</v>
      </c>
      <c r="F1781" s="64" t="s">
        <v>4817</v>
      </c>
      <c r="G1781" s="64"/>
      <c r="H1781" s="64"/>
      <c r="I1781" s="64">
        <v>1</v>
      </c>
      <c r="J1781" s="32" t="str">
        <f>IF(AND(E1781=1,OR(E1780=0,E1780="")),MAX(#REF!)+1,IF(AND(E1781=1,E1780=1),J1780,""))</f>
        <v/>
      </c>
      <c r="K1781" s="32" t="str">
        <f t="shared" si="109"/>
        <v/>
      </c>
      <c r="L1781" s="32" t="str">
        <f t="shared" si="106"/>
        <v/>
      </c>
      <c r="M1781" s="32" t="str">
        <f t="shared" si="107"/>
        <v/>
      </c>
      <c r="N1781" s="4">
        <v>1</v>
      </c>
      <c r="O1781" s="58">
        <v>0</v>
      </c>
      <c r="P1781" s="58">
        <v>0</v>
      </c>
      <c r="Q1781" s="58">
        <v>0</v>
      </c>
      <c r="R1781" s="58">
        <v>0</v>
      </c>
      <c r="S1781" s="58">
        <v>0</v>
      </c>
      <c r="T1781" s="58">
        <v>0</v>
      </c>
      <c r="U1781" s="58">
        <v>0</v>
      </c>
      <c r="V1781" s="58">
        <v>0</v>
      </c>
      <c r="AG1781" t="s">
        <v>1502</v>
      </c>
      <c r="AM1781" s="1" t="str">
        <f t="shared" si="108"/>
        <v>1779_C0013_2491.jpg</v>
      </c>
    </row>
    <row r="1782" spans="1:39" x14ac:dyDescent="0.35">
      <c r="A1782">
        <v>1778</v>
      </c>
      <c r="B1782">
        <v>1779</v>
      </c>
      <c r="F1782" s="64" t="s">
        <v>4818</v>
      </c>
      <c r="G1782" s="64"/>
      <c r="H1782" s="64"/>
      <c r="I1782" s="64">
        <v>1</v>
      </c>
      <c r="J1782" s="32" t="str">
        <f>IF(AND(E1782=1,OR(E1781=0,E1781="")),MAX(#REF!)+1,IF(AND(E1782=1,E1781=1),J1781,""))</f>
        <v/>
      </c>
      <c r="K1782" s="32" t="str">
        <f t="shared" si="109"/>
        <v/>
      </c>
      <c r="L1782" s="32" t="str">
        <f t="shared" si="106"/>
        <v/>
      </c>
      <c r="M1782" s="32" t="str">
        <f t="shared" si="107"/>
        <v/>
      </c>
      <c r="N1782" s="4">
        <v>1</v>
      </c>
      <c r="O1782" s="58">
        <v>0</v>
      </c>
      <c r="P1782" s="58">
        <v>0</v>
      </c>
      <c r="Q1782" s="58">
        <v>0</v>
      </c>
      <c r="R1782" s="58">
        <v>0</v>
      </c>
      <c r="S1782" s="58">
        <v>0</v>
      </c>
      <c r="T1782" s="58">
        <v>0</v>
      </c>
      <c r="U1782" s="58">
        <v>0</v>
      </c>
      <c r="V1782" s="58">
        <v>0</v>
      </c>
      <c r="AG1782" t="s">
        <v>1503</v>
      </c>
      <c r="AM1782" s="1" t="str">
        <f t="shared" si="108"/>
        <v>1780_C0013_2487.jpg</v>
      </c>
    </row>
    <row r="1783" spans="1:39" x14ac:dyDescent="0.35">
      <c r="A1783">
        <v>1779</v>
      </c>
      <c r="B1783">
        <v>1780</v>
      </c>
      <c r="F1783" s="64" t="s">
        <v>4819</v>
      </c>
      <c r="G1783" s="64"/>
      <c r="H1783" s="64"/>
      <c r="I1783" s="64">
        <v>1</v>
      </c>
      <c r="J1783" s="32" t="str">
        <f>IF(AND(E1783=1,OR(E1782=0,E1782="")),MAX(#REF!)+1,IF(AND(E1783=1,E1782=1),J1782,""))</f>
        <v/>
      </c>
      <c r="K1783" s="32" t="str">
        <f t="shared" si="109"/>
        <v/>
      </c>
      <c r="L1783" s="32" t="str">
        <f t="shared" si="106"/>
        <v/>
      </c>
      <c r="M1783" s="32" t="str">
        <f t="shared" si="107"/>
        <v/>
      </c>
      <c r="N1783" s="4">
        <v>1</v>
      </c>
      <c r="O1783" s="58">
        <v>0</v>
      </c>
      <c r="P1783" s="58">
        <v>0</v>
      </c>
      <c r="Q1783" s="58">
        <v>0</v>
      </c>
      <c r="R1783" s="58">
        <v>0</v>
      </c>
      <c r="S1783" s="58">
        <v>0</v>
      </c>
      <c r="T1783" s="58">
        <v>0</v>
      </c>
      <c r="U1783" s="58">
        <v>0</v>
      </c>
      <c r="V1783" s="58">
        <v>0</v>
      </c>
      <c r="AG1783" t="s">
        <v>1504</v>
      </c>
      <c r="AM1783" s="1" t="str">
        <f t="shared" si="108"/>
        <v>1781_C0013_2483.jpg</v>
      </c>
    </row>
    <row r="1784" spans="1:39" x14ac:dyDescent="0.35">
      <c r="A1784">
        <v>1780</v>
      </c>
      <c r="B1784">
        <v>1781</v>
      </c>
      <c r="F1784" s="64" t="s">
        <v>4820</v>
      </c>
      <c r="G1784" s="64"/>
      <c r="H1784" s="64"/>
      <c r="I1784" s="64">
        <v>1</v>
      </c>
      <c r="J1784" s="32" t="str">
        <f>IF(AND(E1784=1,OR(E1783=0,E1783="")),MAX(#REF!)+1,IF(AND(E1784=1,E1783=1),J1783,""))</f>
        <v/>
      </c>
      <c r="K1784" s="32" t="str">
        <f t="shared" si="109"/>
        <v/>
      </c>
      <c r="L1784" s="32" t="str">
        <f t="shared" si="106"/>
        <v/>
      </c>
      <c r="M1784" s="32" t="str">
        <f t="shared" si="107"/>
        <v/>
      </c>
      <c r="N1784" s="4">
        <v>1</v>
      </c>
      <c r="O1784" s="58">
        <v>0</v>
      </c>
      <c r="P1784" s="58">
        <v>0</v>
      </c>
      <c r="Q1784" s="58">
        <v>0</v>
      </c>
      <c r="R1784" s="58">
        <v>0</v>
      </c>
      <c r="S1784" s="58">
        <v>0</v>
      </c>
      <c r="T1784" s="58">
        <v>0</v>
      </c>
      <c r="U1784" s="58">
        <v>0</v>
      </c>
      <c r="V1784" s="58">
        <v>0</v>
      </c>
      <c r="AG1784" t="s">
        <v>1505</v>
      </c>
      <c r="AM1784" s="1" t="str">
        <f t="shared" si="108"/>
        <v>1782_C0013_2479.jpg</v>
      </c>
    </row>
    <row r="1785" spans="1:39" x14ac:dyDescent="0.35">
      <c r="A1785">
        <v>1781</v>
      </c>
      <c r="B1785">
        <v>1782</v>
      </c>
      <c r="F1785" s="64" t="s">
        <v>4821</v>
      </c>
      <c r="G1785" s="64"/>
      <c r="H1785" s="64"/>
      <c r="I1785" s="64">
        <v>1</v>
      </c>
      <c r="J1785" s="32" t="str">
        <f>IF(AND(E1785=1,OR(E1784=0,E1784="")),MAX(#REF!)+1,IF(AND(E1785=1,E1784=1),J1784,""))</f>
        <v/>
      </c>
      <c r="K1785" s="32" t="str">
        <f t="shared" si="109"/>
        <v/>
      </c>
      <c r="L1785" s="32" t="str">
        <f t="shared" si="106"/>
        <v/>
      </c>
      <c r="M1785" s="32" t="str">
        <f t="shared" si="107"/>
        <v/>
      </c>
      <c r="N1785" s="4">
        <v>1</v>
      </c>
      <c r="O1785" s="58">
        <v>0</v>
      </c>
      <c r="P1785" s="58">
        <v>0</v>
      </c>
      <c r="Q1785" s="58">
        <v>0</v>
      </c>
      <c r="R1785" s="58">
        <v>0</v>
      </c>
      <c r="S1785" s="58">
        <v>0</v>
      </c>
      <c r="T1785" s="58">
        <v>0</v>
      </c>
      <c r="U1785" s="58">
        <v>0</v>
      </c>
      <c r="V1785" s="58">
        <v>0</v>
      </c>
      <c r="AG1785" t="s">
        <v>1506</v>
      </c>
      <c r="AM1785" s="1" t="str">
        <f t="shared" si="108"/>
        <v>1783_C0013_2476.jpg</v>
      </c>
    </row>
    <row r="1786" spans="1:39" x14ac:dyDescent="0.35">
      <c r="A1786">
        <v>1782</v>
      </c>
      <c r="B1786">
        <v>1783</v>
      </c>
      <c r="F1786" s="64" t="s">
        <v>4822</v>
      </c>
      <c r="G1786" s="64"/>
      <c r="H1786" s="64"/>
      <c r="I1786" s="64">
        <v>1</v>
      </c>
      <c r="J1786" s="32" t="str">
        <f>IF(AND(E1786=1,OR(E1785=0,E1785="")),MAX(#REF!)+1,IF(AND(E1786=1,E1785=1),J1785,""))</f>
        <v/>
      </c>
      <c r="K1786" s="32" t="str">
        <f t="shared" si="109"/>
        <v/>
      </c>
      <c r="L1786" s="32" t="str">
        <f t="shared" si="106"/>
        <v/>
      </c>
      <c r="M1786" s="32" t="str">
        <f t="shared" si="107"/>
        <v/>
      </c>
      <c r="N1786" s="4">
        <v>1</v>
      </c>
      <c r="O1786" s="58">
        <v>0</v>
      </c>
      <c r="P1786" s="58">
        <v>0</v>
      </c>
      <c r="Q1786" s="58">
        <v>0</v>
      </c>
      <c r="R1786" s="58">
        <v>0</v>
      </c>
      <c r="S1786" s="58">
        <v>0</v>
      </c>
      <c r="T1786" s="58">
        <v>0</v>
      </c>
      <c r="U1786" s="58">
        <v>0</v>
      </c>
      <c r="V1786" s="58">
        <v>0</v>
      </c>
      <c r="AG1786" t="s">
        <v>1507</v>
      </c>
      <c r="AM1786" s="1" t="str">
        <f t="shared" si="108"/>
        <v>1784_C0013_2473.jpg</v>
      </c>
    </row>
    <row r="1787" spans="1:39" x14ac:dyDescent="0.35">
      <c r="A1787">
        <v>1783</v>
      </c>
      <c r="B1787">
        <v>1784</v>
      </c>
      <c r="F1787" s="64" t="s">
        <v>4823</v>
      </c>
      <c r="G1787" s="64"/>
      <c r="H1787" s="64"/>
      <c r="I1787" s="64">
        <v>1</v>
      </c>
      <c r="J1787" s="32" t="str">
        <f>IF(AND(E1787=1,OR(E1786=0,E1786="")),MAX(#REF!)+1,IF(AND(E1787=1,E1786=1),J1786,""))</f>
        <v/>
      </c>
      <c r="K1787" s="32" t="str">
        <f t="shared" si="109"/>
        <v/>
      </c>
      <c r="L1787" s="32" t="str">
        <f t="shared" si="106"/>
        <v/>
      </c>
      <c r="M1787" s="32" t="str">
        <f t="shared" si="107"/>
        <v/>
      </c>
      <c r="N1787" s="4">
        <v>1</v>
      </c>
      <c r="O1787" s="58">
        <v>0</v>
      </c>
      <c r="P1787" s="58">
        <v>0</v>
      </c>
      <c r="Q1787" s="58">
        <v>0</v>
      </c>
      <c r="R1787" s="58">
        <v>0</v>
      </c>
      <c r="S1787" s="58">
        <v>0</v>
      </c>
      <c r="T1787" s="58">
        <v>0</v>
      </c>
      <c r="U1787" s="58">
        <v>0</v>
      </c>
      <c r="V1787" s="58">
        <v>0</v>
      </c>
      <c r="AG1787" t="s">
        <v>1508</v>
      </c>
      <c r="AM1787" s="1" t="str">
        <f t="shared" si="108"/>
        <v>1785_C0013_2470.jpg</v>
      </c>
    </row>
    <row r="1788" spans="1:39" x14ac:dyDescent="0.35">
      <c r="A1788">
        <v>1784</v>
      </c>
      <c r="B1788">
        <v>1785</v>
      </c>
      <c r="F1788" s="64" t="s">
        <v>4824</v>
      </c>
      <c r="G1788" s="64"/>
      <c r="H1788" s="64"/>
      <c r="I1788" s="64">
        <v>1</v>
      </c>
      <c r="J1788" s="32" t="str">
        <f>IF(AND(E1788=1,OR(E1787=0,E1787="")),MAX(#REF!)+1,IF(AND(E1788=1,E1787=1),J1787,""))</f>
        <v/>
      </c>
      <c r="K1788" s="32" t="str">
        <f t="shared" si="109"/>
        <v/>
      </c>
      <c r="L1788" s="32" t="str">
        <f t="shared" si="106"/>
        <v/>
      </c>
      <c r="M1788" s="32" t="str">
        <f t="shared" si="107"/>
        <v/>
      </c>
      <c r="N1788" s="4">
        <v>1</v>
      </c>
      <c r="O1788" s="58">
        <v>0</v>
      </c>
      <c r="P1788" s="58">
        <v>0</v>
      </c>
      <c r="Q1788" s="58">
        <v>0</v>
      </c>
      <c r="R1788" s="58">
        <v>0</v>
      </c>
      <c r="S1788" s="58">
        <v>0</v>
      </c>
      <c r="T1788" s="58">
        <v>0</v>
      </c>
      <c r="U1788" s="58">
        <v>0</v>
      </c>
      <c r="V1788" s="58">
        <v>0</v>
      </c>
      <c r="AG1788" t="s">
        <v>1509</v>
      </c>
      <c r="AM1788" s="1" t="str">
        <f t="shared" si="108"/>
        <v>1786_C0013_2467.jpg</v>
      </c>
    </row>
    <row r="1789" spans="1:39" x14ac:dyDescent="0.35">
      <c r="A1789">
        <v>1785</v>
      </c>
      <c r="B1789">
        <v>1786</v>
      </c>
      <c r="F1789" s="64" t="s">
        <v>4825</v>
      </c>
      <c r="G1789" s="64"/>
      <c r="H1789" s="64"/>
      <c r="I1789" s="64">
        <v>1</v>
      </c>
      <c r="J1789" s="32" t="str">
        <f>IF(AND(E1789=1,OR(E1788=0,E1788="")),MAX(#REF!)+1,IF(AND(E1789=1,E1788=1),J1788,""))</f>
        <v/>
      </c>
      <c r="K1789" s="32" t="str">
        <f t="shared" si="109"/>
        <v/>
      </c>
      <c r="L1789" s="32" t="str">
        <f t="shared" si="106"/>
        <v/>
      </c>
      <c r="M1789" s="32" t="str">
        <f t="shared" si="107"/>
        <v/>
      </c>
      <c r="N1789" s="4">
        <v>1</v>
      </c>
      <c r="O1789" s="58">
        <v>0</v>
      </c>
      <c r="P1789" s="58">
        <v>0</v>
      </c>
      <c r="Q1789" s="58">
        <v>0</v>
      </c>
      <c r="R1789" s="58">
        <v>0</v>
      </c>
      <c r="S1789" s="58">
        <v>0</v>
      </c>
      <c r="T1789" s="58">
        <v>0</v>
      </c>
      <c r="U1789" s="58">
        <v>0</v>
      </c>
      <c r="V1789" s="58">
        <v>0</v>
      </c>
      <c r="AG1789" t="s">
        <v>1510</v>
      </c>
      <c r="AM1789" s="1" t="str">
        <f t="shared" si="108"/>
        <v>1787_C0013_2463.jpg</v>
      </c>
    </row>
    <row r="1790" spans="1:39" x14ac:dyDescent="0.35">
      <c r="A1790">
        <v>1786</v>
      </c>
      <c r="B1790">
        <v>1787</v>
      </c>
      <c r="F1790" s="64" t="s">
        <v>4826</v>
      </c>
      <c r="G1790" s="64"/>
      <c r="H1790" s="64"/>
      <c r="I1790" s="64">
        <v>1</v>
      </c>
      <c r="J1790" s="32" t="str">
        <f>IF(AND(E1790=1,OR(E1789=0,E1789="")),MAX(#REF!)+1,IF(AND(E1790=1,E1789=1),J1789,""))</f>
        <v/>
      </c>
      <c r="K1790" s="32" t="str">
        <f t="shared" si="109"/>
        <v/>
      </c>
      <c r="L1790" s="32" t="str">
        <f t="shared" si="106"/>
        <v/>
      </c>
      <c r="M1790" s="32" t="str">
        <f t="shared" si="107"/>
        <v/>
      </c>
      <c r="N1790" s="4">
        <v>1</v>
      </c>
      <c r="O1790" s="58">
        <v>0</v>
      </c>
      <c r="P1790" s="58">
        <v>0</v>
      </c>
      <c r="Q1790" s="58">
        <v>0</v>
      </c>
      <c r="R1790" s="58">
        <v>0</v>
      </c>
      <c r="S1790" s="58">
        <v>0</v>
      </c>
      <c r="T1790" s="58">
        <v>0</v>
      </c>
      <c r="U1790" s="58">
        <v>0</v>
      </c>
      <c r="V1790" s="58">
        <v>0</v>
      </c>
      <c r="AG1790" t="s">
        <v>1511</v>
      </c>
      <c r="AM1790" s="1" t="str">
        <f t="shared" si="108"/>
        <v>1788_C0013_2460.jpg</v>
      </c>
    </row>
    <row r="1791" spans="1:39" x14ac:dyDescent="0.35">
      <c r="A1791">
        <v>1787</v>
      </c>
      <c r="B1791">
        <v>1788</v>
      </c>
      <c r="F1791" s="64" t="s">
        <v>4827</v>
      </c>
      <c r="G1791" s="64"/>
      <c r="H1791" s="64"/>
      <c r="I1791" s="64">
        <v>1</v>
      </c>
      <c r="J1791" s="32" t="str">
        <f>IF(AND(E1791=1,OR(E1790=0,E1790="")),MAX(#REF!)+1,IF(AND(E1791=1,E1790=1),J1790,""))</f>
        <v/>
      </c>
      <c r="K1791" s="32" t="str">
        <f t="shared" si="109"/>
        <v/>
      </c>
      <c r="L1791" s="32" t="str">
        <f t="shared" si="106"/>
        <v/>
      </c>
      <c r="M1791" s="32" t="str">
        <f t="shared" si="107"/>
        <v/>
      </c>
      <c r="N1791" s="4">
        <v>1</v>
      </c>
      <c r="O1791" s="58">
        <v>0</v>
      </c>
      <c r="P1791" s="58">
        <v>0</v>
      </c>
      <c r="Q1791" s="58">
        <v>0</v>
      </c>
      <c r="R1791" s="58">
        <v>0</v>
      </c>
      <c r="S1791" s="58">
        <v>0</v>
      </c>
      <c r="T1791" s="58">
        <v>0</v>
      </c>
      <c r="U1791" s="58">
        <v>0</v>
      </c>
      <c r="V1791" s="58">
        <v>0</v>
      </c>
      <c r="AG1791" t="s">
        <v>1512</v>
      </c>
      <c r="AM1791" s="1" t="str">
        <f t="shared" si="108"/>
        <v>1789_C0013_2457.jpg</v>
      </c>
    </row>
    <row r="1792" spans="1:39" x14ac:dyDescent="0.35">
      <c r="A1792">
        <v>1788</v>
      </c>
      <c r="B1792">
        <v>1789</v>
      </c>
      <c r="F1792" s="64" t="s">
        <v>4828</v>
      </c>
      <c r="G1792" s="64"/>
      <c r="H1792" s="64"/>
      <c r="I1792" s="64">
        <v>1</v>
      </c>
      <c r="J1792" s="32" t="str">
        <f>IF(AND(E1792=1,OR(E1791=0,E1791="")),MAX(#REF!)+1,IF(AND(E1792=1,E1791=1),J1791,""))</f>
        <v/>
      </c>
      <c r="K1792" s="32" t="str">
        <f t="shared" si="109"/>
        <v/>
      </c>
      <c r="L1792" s="32" t="str">
        <f t="shared" si="106"/>
        <v/>
      </c>
      <c r="M1792" s="32" t="str">
        <f t="shared" si="107"/>
        <v/>
      </c>
      <c r="N1792" s="4">
        <v>1</v>
      </c>
      <c r="O1792" s="58">
        <v>0</v>
      </c>
      <c r="P1792" s="58">
        <v>0</v>
      </c>
      <c r="Q1792" s="58">
        <v>0</v>
      </c>
      <c r="R1792" s="58">
        <v>0</v>
      </c>
      <c r="S1792" s="58">
        <v>0</v>
      </c>
      <c r="T1792" s="58">
        <v>0</v>
      </c>
      <c r="U1792" s="58">
        <v>0</v>
      </c>
      <c r="V1792" s="58">
        <v>0</v>
      </c>
      <c r="AG1792" t="s">
        <v>1513</v>
      </c>
      <c r="AM1792" s="1" t="str">
        <f t="shared" si="108"/>
        <v>1790_C0013_2453.jpg</v>
      </c>
    </row>
    <row r="1793" spans="1:39" x14ac:dyDescent="0.35">
      <c r="A1793">
        <v>1789</v>
      </c>
      <c r="B1793">
        <v>1790</v>
      </c>
      <c r="F1793" s="64" t="s">
        <v>4829</v>
      </c>
      <c r="G1793" s="64"/>
      <c r="H1793" s="64"/>
      <c r="I1793" s="64">
        <v>1</v>
      </c>
      <c r="J1793" s="32" t="str">
        <f>IF(AND(E1793=1,OR(E1792=0,E1792="")),MAX(#REF!)+1,IF(AND(E1793=1,E1792=1),J1792,""))</f>
        <v/>
      </c>
      <c r="K1793" s="32" t="str">
        <f t="shared" si="109"/>
        <v/>
      </c>
      <c r="L1793" s="32" t="str">
        <f t="shared" si="106"/>
        <v/>
      </c>
      <c r="M1793" s="32" t="str">
        <f t="shared" si="107"/>
        <v/>
      </c>
      <c r="N1793" s="4">
        <v>1</v>
      </c>
      <c r="O1793" s="58">
        <v>0</v>
      </c>
      <c r="P1793" s="58">
        <v>0</v>
      </c>
      <c r="Q1793" s="58">
        <v>0</v>
      </c>
      <c r="R1793" s="58">
        <v>0</v>
      </c>
      <c r="S1793" s="58">
        <v>0</v>
      </c>
      <c r="T1793" s="58">
        <v>0</v>
      </c>
      <c r="U1793" s="58">
        <v>0</v>
      </c>
      <c r="V1793" s="58">
        <v>0</v>
      </c>
      <c r="AG1793" t="s">
        <v>1514</v>
      </c>
      <c r="AM1793" s="1" t="str">
        <f t="shared" si="108"/>
        <v>1791_C0013_2450.jpg</v>
      </c>
    </row>
    <row r="1794" spans="1:39" x14ac:dyDescent="0.35">
      <c r="A1794">
        <v>1790</v>
      </c>
      <c r="B1794">
        <v>1791</v>
      </c>
      <c r="F1794" s="64" t="s">
        <v>4830</v>
      </c>
      <c r="G1794" s="64"/>
      <c r="H1794" s="64"/>
      <c r="I1794" s="64">
        <v>1</v>
      </c>
      <c r="J1794" s="32" t="str">
        <f>IF(AND(E1794=1,OR(E1793=0,E1793="")),MAX(#REF!)+1,IF(AND(E1794=1,E1793=1),J1793,""))</f>
        <v/>
      </c>
      <c r="K1794" s="32" t="str">
        <f t="shared" si="109"/>
        <v/>
      </c>
      <c r="L1794" s="32" t="str">
        <f t="shared" si="106"/>
        <v/>
      </c>
      <c r="M1794" s="32" t="str">
        <f t="shared" si="107"/>
        <v/>
      </c>
      <c r="N1794" s="4">
        <v>1</v>
      </c>
      <c r="O1794" s="58">
        <v>0</v>
      </c>
      <c r="P1794" s="58">
        <v>0</v>
      </c>
      <c r="Q1794" s="58">
        <v>0</v>
      </c>
      <c r="R1794" s="58">
        <v>0</v>
      </c>
      <c r="S1794" s="58">
        <v>0</v>
      </c>
      <c r="T1794" s="58">
        <v>0</v>
      </c>
      <c r="U1794" s="58">
        <v>0</v>
      </c>
      <c r="V1794" s="58">
        <v>0</v>
      </c>
      <c r="AG1794" t="s">
        <v>1515</v>
      </c>
      <c r="AM1794" s="1" t="str">
        <f t="shared" si="108"/>
        <v>1792_C0013_2446.jpg</v>
      </c>
    </row>
    <row r="1795" spans="1:39" x14ac:dyDescent="0.35">
      <c r="A1795">
        <v>1791</v>
      </c>
      <c r="B1795">
        <v>1792</v>
      </c>
      <c r="F1795" s="64" t="s">
        <v>4831</v>
      </c>
      <c r="G1795" s="64"/>
      <c r="H1795" s="64"/>
      <c r="I1795" s="64">
        <v>1</v>
      </c>
      <c r="J1795" s="32" t="str">
        <f>IF(AND(E1795=1,OR(E1794=0,E1794="")),MAX(#REF!)+1,IF(AND(E1795=1,E1794=1),J1794,""))</f>
        <v/>
      </c>
      <c r="K1795" s="32" t="str">
        <f t="shared" si="109"/>
        <v/>
      </c>
      <c r="L1795" s="32" t="str">
        <f t="shared" si="106"/>
        <v/>
      </c>
      <c r="M1795" s="32" t="str">
        <f t="shared" si="107"/>
        <v/>
      </c>
      <c r="N1795" s="4">
        <v>1</v>
      </c>
      <c r="O1795" s="58">
        <v>0</v>
      </c>
      <c r="P1795" s="58">
        <v>0</v>
      </c>
      <c r="Q1795" s="58">
        <v>0</v>
      </c>
      <c r="R1795" s="58">
        <v>0</v>
      </c>
      <c r="S1795" s="58">
        <v>0</v>
      </c>
      <c r="T1795" s="58">
        <v>0</v>
      </c>
      <c r="U1795" s="58">
        <v>0</v>
      </c>
      <c r="V1795" s="58">
        <v>0</v>
      </c>
      <c r="AG1795" t="s">
        <v>1516</v>
      </c>
      <c r="AM1795" s="1" t="str">
        <f t="shared" si="108"/>
        <v>1793_C0013_2444.jpg</v>
      </c>
    </row>
    <row r="1796" spans="1:39" x14ac:dyDescent="0.35">
      <c r="A1796">
        <v>1792</v>
      </c>
      <c r="B1796">
        <v>1793</v>
      </c>
      <c r="F1796" s="64" t="s">
        <v>4832</v>
      </c>
      <c r="G1796" s="64"/>
      <c r="H1796" s="64"/>
      <c r="I1796" s="64">
        <v>1</v>
      </c>
      <c r="J1796" s="32" t="str">
        <f>IF(AND(E1796=1,OR(E1795=0,E1795="")),MAX(#REF!)+1,IF(AND(E1796=1,E1795=1),J1795,""))</f>
        <v/>
      </c>
      <c r="K1796" s="32" t="str">
        <f t="shared" si="109"/>
        <v/>
      </c>
      <c r="L1796" s="32" t="str">
        <f t="shared" ref="L1796:L1859" si="110">IF(K1796="","",IF(K1796&gt;=100,"HV",""))</f>
        <v/>
      </c>
      <c r="M1796" s="32" t="str">
        <f t="shared" ref="M1796:M1859" si="111">IF(K1796&lt;&gt;"",K1796^2,"")</f>
        <v/>
      </c>
      <c r="N1796" s="4">
        <v>1</v>
      </c>
      <c r="O1796" s="58">
        <v>0</v>
      </c>
      <c r="P1796" s="58">
        <v>0</v>
      </c>
      <c r="Q1796" s="58">
        <v>0</v>
      </c>
      <c r="R1796" s="58">
        <v>0</v>
      </c>
      <c r="S1796" s="58">
        <v>0</v>
      </c>
      <c r="T1796" s="58">
        <v>0</v>
      </c>
      <c r="U1796" s="58">
        <v>0</v>
      </c>
      <c r="V1796" s="58">
        <v>0</v>
      </c>
      <c r="AG1796" t="s">
        <v>1517</v>
      </c>
      <c r="AM1796" s="1" t="str">
        <f t="shared" si="108"/>
        <v>1794_C0013_2440.jpg</v>
      </c>
    </row>
    <row r="1797" spans="1:39" x14ac:dyDescent="0.35">
      <c r="A1797">
        <v>1793</v>
      </c>
      <c r="B1797">
        <v>1794</v>
      </c>
      <c r="F1797" s="64" t="s">
        <v>4833</v>
      </c>
      <c r="G1797" s="64"/>
      <c r="H1797" s="64"/>
      <c r="I1797" s="64">
        <v>0</v>
      </c>
      <c r="J1797" s="32" t="str">
        <f>IF(AND(E1797=1,OR(E1796=0,E1796="")),MAX(#REF!)+1,IF(AND(E1797=1,E1796=1),J1796,""))</f>
        <v/>
      </c>
      <c r="K1797" s="32" t="str">
        <f t="shared" si="109"/>
        <v/>
      </c>
      <c r="L1797" s="32" t="str">
        <f t="shared" si="110"/>
        <v/>
      </c>
      <c r="M1797" s="32" t="str">
        <f t="shared" si="111"/>
        <v/>
      </c>
      <c r="N1797" s="4">
        <v>1</v>
      </c>
      <c r="O1797" s="58">
        <v>0</v>
      </c>
      <c r="P1797" s="58">
        <v>0</v>
      </c>
      <c r="Q1797" s="58">
        <v>0</v>
      </c>
      <c r="R1797" s="58">
        <v>0</v>
      </c>
      <c r="S1797" s="58">
        <v>0</v>
      </c>
      <c r="T1797" s="58">
        <v>0</v>
      </c>
      <c r="U1797" s="58">
        <v>0</v>
      </c>
      <c r="V1797" s="58">
        <v>0</v>
      </c>
      <c r="AG1797" t="s">
        <v>1518</v>
      </c>
      <c r="AM1797" s="1" t="str">
        <f t="shared" si="108"/>
        <v>1795_C0013_2438.jpg</v>
      </c>
    </row>
    <row r="1798" spans="1:39" x14ac:dyDescent="0.35">
      <c r="A1798">
        <v>1794</v>
      </c>
      <c r="B1798">
        <v>1795</v>
      </c>
      <c r="F1798" s="64" t="s">
        <v>4834</v>
      </c>
      <c r="G1798" s="64"/>
      <c r="H1798" s="64"/>
      <c r="I1798" s="64">
        <v>0</v>
      </c>
      <c r="J1798" s="32" t="str">
        <f>IF(AND(E1798=1,OR(E1797=0,E1797="")),MAX(#REF!)+1,IF(AND(E1798=1,E1797=1),J1797,""))</f>
        <v/>
      </c>
      <c r="K1798" s="32" t="str">
        <f t="shared" si="109"/>
        <v/>
      </c>
      <c r="L1798" s="32" t="str">
        <f t="shared" si="110"/>
        <v/>
      </c>
      <c r="M1798" s="32" t="str">
        <f t="shared" si="111"/>
        <v/>
      </c>
      <c r="N1798" s="4">
        <v>1</v>
      </c>
      <c r="O1798" s="58">
        <v>0</v>
      </c>
      <c r="P1798" s="58">
        <v>0</v>
      </c>
      <c r="Q1798" s="58">
        <v>0</v>
      </c>
      <c r="R1798" s="58">
        <v>0</v>
      </c>
      <c r="S1798" s="58">
        <v>0</v>
      </c>
      <c r="T1798" s="58">
        <v>0</v>
      </c>
      <c r="U1798" s="58">
        <v>0</v>
      </c>
      <c r="V1798" s="58">
        <v>0</v>
      </c>
      <c r="AG1798" t="s">
        <v>1519</v>
      </c>
      <c r="AM1798" s="1" t="str">
        <f t="shared" si="108"/>
        <v>1796_C0013_2435.jpg</v>
      </c>
    </row>
    <row r="1799" spans="1:39" x14ac:dyDescent="0.35">
      <c r="A1799">
        <v>1795</v>
      </c>
      <c r="B1799">
        <v>1796</v>
      </c>
      <c r="F1799" s="64" t="s">
        <v>4835</v>
      </c>
      <c r="G1799" s="64"/>
      <c r="H1799" s="64"/>
      <c r="I1799" s="64">
        <v>0</v>
      </c>
      <c r="J1799" s="32" t="str">
        <f>IF(AND(E1799=1,OR(E1798=0,E1798="")),MAX(#REF!)+1,IF(AND(E1799=1,E1798=1),J1798,""))</f>
        <v/>
      </c>
      <c r="K1799" s="32" t="str">
        <f t="shared" si="109"/>
        <v/>
      </c>
      <c r="L1799" s="32" t="str">
        <f t="shared" si="110"/>
        <v/>
      </c>
      <c r="M1799" s="32" t="str">
        <f t="shared" si="111"/>
        <v/>
      </c>
      <c r="N1799" s="4">
        <v>1</v>
      </c>
      <c r="O1799" s="58">
        <v>0</v>
      </c>
      <c r="P1799" s="58">
        <v>0</v>
      </c>
      <c r="Q1799" s="58">
        <v>0</v>
      </c>
      <c r="R1799" s="58">
        <v>0</v>
      </c>
      <c r="S1799" s="58">
        <v>0</v>
      </c>
      <c r="T1799" s="58">
        <v>0</v>
      </c>
      <c r="U1799" s="58">
        <v>0</v>
      </c>
      <c r="V1799" s="58">
        <v>0</v>
      </c>
      <c r="AG1799" t="s">
        <v>1520</v>
      </c>
      <c r="AM1799" s="1" t="str">
        <f t="shared" si="108"/>
        <v>1797_C0013_2432.jpg</v>
      </c>
    </row>
    <row r="1800" spans="1:39" x14ac:dyDescent="0.35">
      <c r="A1800">
        <v>1796</v>
      </c>
      <c r="B1800">
        <v>1797</v>
      </c>
      <c r="F1800" s="64" t="s">
        <v>4836</v>
      </c>
      <c r="G1800" s="64"/>
      <c r="H1800" s="64"/>
      <c r="I1800" s="64">
        <v>0</v>
      </c>
      <c r="J1800" s="32" t="str">
        <f>IF(AND(E1800=1,OR(E1799=0,E1799="")),MAX(#REF!)+1,IF(AND(E1800=1,E1799=1),J1799,""))</f>
        <v/>
      </c>
      <c r="K1800" s="32" t="str">
        <f t="shared" si="109"/>
        <v/>
      </c>
      <c r="L1800" s="32" t="str">
        <f t="shared" si="110"/>
        <v/>
      </c>
      <c r="M1800" s="32" t="str">
        <f t="shared" si="111"/>
        <v/>
      </c>
      <c r="N1800" s="4">
        <v>1</v>
      </c>
      <c r="O1800" s="58">
        <v>0</v>
      </c>
      <c r="P1800" s="58">
        <v>0</v>
      </c>
      <c r="Q1800" s="58">
        <v>0</v>
      </c>
      <c r="R1800" s="58">
        <v>0</v>
      </c>
      <c r="S1800" s="58">
        <v>0</v>
      </c>
      <c r="T1800" s="58">
        <v>0</v>
      </c>
      <c r="U1800" s="58">
        <v>0</v>
      </c>
      <c r="V1800" s="58">
        <v>0</v>
      </c>
      <c r="AG1800" t="s">
        <v>1521</v>
      </c>
      <c r="AM1800" s="1" t="str">
        <f t="shared" si="108"/>
        <v>1798_C0013_2429.jpg</v>
      </c>
    </row>
    <row r="1801" spans="1:39" x14ac:dyDescent="0.35">
      <c r="A1801">
        <v>1797</v>
      </c>
      <c r="B1801">
        <v>1798</v>
      </c>
      <c r="F1801" s="64" t="s">
        <v>4837</v>
      </c>
      <c r="G1801" s="64"/>
      <c r="H1801" s="64"/>
      <c r="I1801" s="64">
        <v>1</v>
      </c>
      <c r="J1801" s="32" t="str">
        <f>IF(AND(E1801=1,OR(E1800=0,E1800="")),MAX(#REF!)+1,IF(AND(E1801=1,E1800=1),J1800,""))</f>
        <v/>
      </c>
      <c r="K1801" s="32" t="str">
        <f t="shared" si="109"/>
        <v/>
      </c>
      <c r="L1801" s="32" t="str">
        <f t="shared" si="110"/>
        <v/>
      </c>
      <c r="M1801" s="32" t="str">
        <f t="shared" si="111"/>
        <v/>
      </c>
      <c r="N1801" s="4">
        <v>1</v>
      </c>
      <c r="O1801" s="58">
        <v>0</v>
      </c>
      <c r="P1801" s="58">
        <v>0</v>
      </c>
      <c r="Q1801" s="58">
        <v>0</v>
      </c>
      <c r="R1801" s="58">
        <v>1</v>
      </c>
      <c r="S1801" s="58">
        <v>0</v>
      </c>
      <c r="T1801" s="58">
        <v>0</v>
      </c>
      <c r="U1801" s="58">
        <v>0</v>
      </c>
      <c r="V1801" s="58">
        <v>0</v>
      </c>
      <c r="AG1801" t="s">
        <v>1522</v>
      </c>
      <c r="AM1801" s="1" t="str">
        <f t="shared" si="108"/>
        <v>1799_C0013_2426.jpg</v>
      </c>
    </row>
    <row r="1802" spans="1:39" x14ac:dyDescent="0.35">
      <c r="A1802">
        <v>1798</v>
      </c>
      <c r="B1802">
        <v>1799</v>
      </c>
      <c r="F1802" s="64" t="s">
        <v>4838</v>
      </c>
      <c r="G1802" s="64"/>
      <c r="H1802" s="64"/>
      <c r="I1802" s="64">
        <v>1</v>
      </c>
      <c r="J1802" s="32" t="str">
        <f>IF(AND(E1802=1,OR(E1801=0,E1801="")),MAX(#REF!)+1,IF(AND(E1802=1,E1801=1),J1801,""))</f>
        <v/>
      </c>
      <c r="K1802" s="32" t="str">
        <f t="shared" si="109"/>
        <v/>
      </c>
      <c r="L1802" s="32" t="str">
        <f t="shared" si="110"/>
        <v/>
      </c>
      <c r="M1802" s="32" t="str">
        <f t="shared" si="111"/>
        <v/>
      </c>
      <c r="N1802" s="4">
        <v>1</v>
      </c>
      <c r="O1802" s="58">
        <v>0</v>
      </c>
      <c r="P1802" s="58">
        <v>0</v>
      </c>
      <c r="Q1802" s="58">
        <v>0</v>
      </c>
      <c r="R1802" s="58">
        <v>0</v>
      </c>
      <c r="S1802" s="58">
        <v>0</v>
      </c>
      <c r="T1802" s="58">
        <v>0</v>
      </c>
      <c r="U1802" s="58">
        <v>0</v>
      </c>
      <c r="V1802" s="58">
        <v>0</v>
      </c>
      <c r="AG1802" t="s">
        <v>1523</v>
      </c>
      <c r="AM1802" s="1" t="str">
        <f t="shared" si="108"/>
        <v>1800_C0013_2423.jpg</v>
      </c>
    </row>
    <row r="1803" spans="1:39" x14ac:dyDescent="0.35">
      <c r="A1803">
        <v>1799</v>
      </c>
      <c r="B1803">
        <v>1800</v>
      </c>
      <c r="F1803" s="64" t="s">
        <v>4839</v>
      </c>
      <c r="G1803" s="64"/>
      <c r="H1803" s="64"/>
      <c r="I1803" s="64">
        <v>0</v>
      </c>
      <c r="J1803" s="32" t="str">
        <f>IF(AND(E1803=1,OR(E1802=0,E1802="")),MAX(#REF!)+1,IF(AND(E1803=1,E1802=1),J1802,""))</f>
        <v/>
      </c>
      <c r="K1803" s="32" t="str">
        <f t="shared" si="109"/>
        <v/>
      </c>
      <c r="L1803" s="32" t="str">
        <f t="shared" si="110"/>
        <v/>
      </c>
      <c r="M1803" s="32" t="str">
        <f t="shared" si="111"/>
        <v/>
      </c>
      <c r="N1803" s="4">
        <v>1</v>
      </c>
      <c r="O1803" s="58">
        <v>0</v>
      </c>
      <c r="P1803" s="58">
        <v>0</v>
      </c>
      <c r="Q1803" s="58">
        <v>0</v>
      </c>
      <c r="R1803" s="58">
        <v>0</v>
      </c>
      <c r="S1803" s="58">
        <v>0</v>
      </c>
      <c r="T1803" s="58">
        <v>0</v>
      </c>
      <c r="U1803" s="58">
        <v>0</v>
      </c>
      <c r="V1803" s="58">
        <v>0</v>
      </c>
      <c r="AG1803" t="s">
        <v>1524</v>
      </c>
      <c r="AM1803" s="1" t="str">
        <f t="shared" ref="AM1803:AM1866" si="112">HYPERLINK("E:\CAFNEC_GBRF\2023\JohnstoneRiver\Frames_for_Analysis\" &amp; F1804, F1804)</f>
        <v>1801_C0013_2419.jpg</v>
      </c>
    </row>
    <row r="1804" spans="1:39" x14ac:dyDescent="0.35">
      <c r="A1804">
        <v>1800</v>
      </c>
      <c r="B1804">
        <v>1801</v>
      </c>
      <c r="F1804" s="64" t="s">
        <v>4840</v>
      </c>
      <c r="G1804" s="64"/>
      <c r="H1804" s="64"/>
      <c r="I1804" s="64">
        <v>0</v>
      </c>
      <c r="J1804" s="32" t="str">
        <f>IF(AND(E1804=1,OR(E1803=0,E1803="")),MAX(#REF!)+1,IF(AND(E1804=1,E1803=1),J1803,""))</f>
        <v/>
      </c>
      <c r="K1804" s="32" t="str">
        <f t="shared" si="109"/>
        <v/>
      </c>
      <c r="L1804" s="32" t="str">
        <f t="shared" si="110"/>
        <v/>
      </c>
      <c r="M1804" s="32" t="str">
        <f t="shared" si="111"/>
        <v/>
      </c>
      <c r="N1804" s="4">
        <v>1</v>
      </c>
      <c r="O1804" s="58">
        <v>1</v>
      </c>
      <c r="P1804" s="58">
        <v>0</v>
      </c>
      <c r="Q1804" s="58">
        <v>0</v>
      </c>
      <c r="R1804" s="58">
        <v>0</v>
      </c>
      <c r="S1804" s="58">
        <v>0</v>
      </c>
      <c r="T1804" s="58">
        <v>0</v>
      </c>
      <c r="U1804" s="58">
        <v>0</v>
      </c>
      <c r="V1804" s="58">
        <v>0</v>
      </c>
      <c r="AG1804" t="s">
        <v>1525</v>
      </c>
      <c r="AM1804" s="1" t="str">
        <f t="shared" si="112"/>
        <v>1802_C0013_2417.jpg</v>
      </c>
    </row>
    <row r="1805" spans="1:39" x14ac:dyDescent="0.35">
      <c r="A1805">
        <v>1801</v>
      </c>
      <c r="B1805">
        <v>1802</v>
      </c>
      <c r="F1805" s="64" t="s">
        <v>4841</v>
      </c>
      <c r="G1805" s="64"/>
      <c r="H1805" s="64"/>
      <c r="I1805" s="64">
        <v>0</v>
      </c>
      <c r="J1805" s="32" t="str">
        <f>IF(AND(E1805=1,OR(E1804=0,E1804="")),MAX(#REF!)+1,IF(AND(E1805=1,E1804=1),J1804,""))</f>
        <v/>
      </c>
      <c r="K1805" s="32" t="str">
        <f t="shared" si="109"/>
        <v/>
      </c>
      <c r="L1805" s="32" t="str">
        <f t="shared" si="110"/>
        <v/>
      </c>
      <c r="M1805" s="32" t="str">
        <f t="shared" si="111"/>
        <v/>
      </c>
      <c r="N1805" s="4">
        <v>1</v>
      </c>
      <c r="O1805" s="58">
        <v>0</v>
      </c>
      <c r="P1805" s="58">
        <v>0</v>
      </c>
      <c r="Q1805" s="58">
        <v>0</v>
      </c>
      <c r="R1805" s="58">
        <v>0</v>
      </c>
      <c r="S1805" s="58">
        <v>0</v>
      </c>
      <c r="T1805" s="58">
        <v>0</v>
      </c>
      <c r="U1805" s="58">
        <v>0</v>
      </c>
      <c r="V1805" s="58">
        <v>0</v>
      </c>
      <c r="AG1805" t="s">
        <v>1526</v>
      </c>
      <c r="AM1805" s="1" t="str">
        <f t="shared" si="112"/>
        <v>1803_C0013_2413.jpg</v>
      </c>
    </row>
    <row r="1806" spans="1:39" x14ac:dyDescent="0.35">
      <c r="A1806">
        <v>1802</v>
      </c>
      <c r="B1806">
        <v>1803</v>
      </c>
      <c r="F1806" s="64" t="s">
        <v>4842</v>
      </c>
      <c r="G1806" s="64"/>
      <c r="H1806" s="64"/>
      <c r="I1806" s="64">
        <v>1</v>
      </c>
      <c r="J1806" s="32" t="str">
        <f>IF(AND(E1806=1,OR(E1805=0,E1805="")),MAX(#REF!)+1,IF(AND(E1806=1,E1805=1),J1805,""))</f>
        <v/>
      </c>
      <c r="K1806" s="32" t="str">
        <f t="shared" si="109"/>
        <v/>
      </c>
      <c r="L1806" s="32" t="str">
        <f t="shared" si="110"/>
        <v/>
      </c>
      <c r="M1806" s="32" t="str">
        <f t="shared" si="111"/>
        <v/>
      </c>
      <c r="N1806" s="4">
        <v>1</v>
      </c>
      <c r="O1806" s="58">
        <v>0</v>
      </c>
      <c r="P1806" s="58">
        <v>0</v>
      </c>
      <c r="Q1806" s="58">
        <v>0</v>
      </c>
      <c r="R1806" s="58">
        <v>0</v>
      </c>
      <c r="S1806" s="58">
        <v>0</v>
      </c>
      <c r="T1806" s="58">
        <v>0</v>
      </c>
      <c r="U1806" s="58">
        <v>0</v>
      </c>
      <c r="V1806" s="58">
        <v>0</v>
      </c>
      <c r="AG1806" t="s">
        <v>1527</v>
      </c>
      <c r="AM1806" s="1" t="str">
        <f t="shared" si="112"/>
        <v>1804_C0013_2410.jpg</v>
      </c>
    </row>
    <row r="1807" spans="1:39" x14ac:dyDescent="0.35">
      <c r="A1807">
        <v>1803</v>
      </c>
      <c r="B1807">
        <v>1804</v>
      </c>
      <c r="F1807" s="64" t="s">
        <v>4843</v>
      </c>
      <c r="G1807" s="64"/>
      <c r="H1807" s="64"/>
      <c r="I1807" s="64">
        <v>1</v>
      </c>
      <c r="J1807" s="32" t="str">
        <f>IF(AND(E1807=1,OR(E1806=0,E1806="")),MAX(#REF!)+1,IF(AND(E1807=1,E1806=1),J1806,""))</f>
        <v/>
      </c>
      <c r="K1807" s="32" t="str">
        <f t="shared" si="109"/>
        <v/>
      </c>
      <c r="L1807" s="32" t="str">
        <f t="shared" si="110"/>
        <v/>
      </c>
      <c r="M1807" s="32" t="str">
        <f t="shared" si="111"/>
        <v/>
      </c>
      <c r="N1807" s="4">
        <v>1</v>
      </c>
      <c r="O1807" s="58">
        <v>0</v>
      </c>
      <c r="P1807" s="58">
        <v>0</v>
      </c>
      <c r="Q1807" s="58">
        <v>0</v>
      </c>
      <c r="R1807" s="58">
        <v>0</v>
      </c>
      <c r="S1807" s="58">
        <v>0</v>
      </c>
      <c r="T1807" s="58">
        <v>0</v>
      </c>
      <c r="U1807" s="58">
        <v>0</v>
      </c>
      <c r="V1807" s="58">
        <v>0</v>
      </c>
      <c r="AG1807" t="s">
        <v>1528</v>
      </c>
      <c r="AM1807" s="1" t="str">
        <f t="shared" si="112"/>
        <v>1805_C0013_2407.jpg</v>
      </c>
    </row>
    <row r="1808" spans="1:39" x14ac:dyDescent="0.35">
      <c r="A1808">
        <v>1804</v>
      </c>
      <c r="B1808">
        <v>1805</v>
      </c>
      <c r="F1808" s="64" t="s">
        <v>4844</v>
      </c>
      <c r="G1808" s="64"/>
      <c r="H1808" s="64"/>
      <c r="I1808" s="64">
        <v>1</v>
      </c>
      <c r="J1808" s="32" t="str">
        <f>IF(AND(E1808=1,OR(E1807=0,E1807="")),MAX(#REF!)+1,IF(AND(E1808=1,E1807=1),J1807,""))</f>
        <v/>
      </c>
      <c r="K1808" s="32" t="str">
        <f t="shared" si="109"/>
        <v/>
      </c>
      <c r="L1808" s="32" t="str">
        <f t="shared" si="110"/>
        <v/>
      </c>
      <c r="M1808" s="32" t="str">
        <f t="shared" si="111"/>
        <v/>
      </c>
      <c r="N1808" s="4">
        <v>1</v>
      </c>
      <c r="O1808" s="58">
        <v>0</v>
      </c>
      <c r="P1808" s="58">
        <v>0</v>
      </c>
      <c r="Q1808" s="58">
        <v>0</v>
      </c>
      <c r="R1808" s="58">
        <v>0</v>
      </c>
      <c r="S1808" s="58">
        <v>0</v>
      </c>
      <c r="T1808" s="58">
        <v>0</v>
      </c>
      <c r="U1808" s="58">
        <v>0</v>
      </c>
      <c r="V1808" s="58">
        <v>0</v>
      </c>
      <c r="AG1808" t="s">
        <v>1529</v>
      </c>
      <c r="AM1808" s="1" t="str">
        <f t="shared" si="112"/>
        <v>1806_C0013_2403.jpg</v>
      </c>
    </row>
    <row r="1809" spans="1:39" x14ac:dyDescent="0.35">
      <c r="A1809">
        <v>1805</v>
      </c>
      <c r="B1809">
        <v>1806</v>
      </c>
      <c r="F1809" s="64" t="s">
        <v>4845</v>
      </c>
      <c r="G1809" s="64"/>
      <c r="H1809" s="64"/>
      <c r="I1809" s="64">
        <v>1</v>
      </c>
      <c r="J1809" s="32" t="str">
        <f>IF(AND(E1809=1,OR(E1808=0,E1808="")),MAX(#REF!)+1,IF(AND(E1809=1,E1808=1),J1808,""))</f>
        <v/>
      </c>
      <c r="K1809" s="32" t="str">
        <f t="shared" si="109"/>
        <v/>
      </c>
      <c r="L1809" s="32" t="str">
        <f t="shared" si="110"/>
        <v/>
      </c>
      <c r="M1809" s="32" t="str">
        <f t="shared" si="111"/>
        <v/>
      </c>
      <c r="N1809" s="4">
        <v>1</v>
      </c>
      <c r="O1809" s="58">
        <v>0</v>
      </c>
      <c r="P1809" s="58">
        <v>0</v>
      </c>
      <c r="Q1809" s="58">
        <v>0</v>
      </c>
      <c r="R1809" s="58">
        <v>0</v>
      </c>
      <c r="S1809" s="58">
        <v>0</v>
      </c>
      <c r="T1809" s="58">
        <v>0</v>
      </c>
      <c r="U1809" s="58">
        <v>0</v>
      </c>
      <c r="V1809" s="58">
        <v>0</v>
      </c>
      <c r="AG1809" t="s">
        <v>1530</v>
      </c>
      <c r="AM1809" s="1" t="str">
        <f t="shared" si="112"/>
        <v>1807_C0013_2400.jpg</v>
      </c>
    </row>
    <row r="1810" spans="1:39" x14ac:dyDescent="0.35">
      <c r="A1810">
        <v>1806</v>
      </c>
      <c r="B1810">
        <v>1807</v>
      </c>
      <c r="F1810" s="64" t="s">
        <v>4846</v>
      </c>
      <c r="G1810" s="64"/>
      <c r="H1810" s="64"/>
      <c r="I1810" s="64">
        <v>0</v>
      </c>
      <c r="J1810" s="32" t="str">
        <f>IF(AND(E1810=1,OR(E1809=0,E1809="")),MAX(#REF!)+1,IF(AND(E1810=1,E1809=1),J1809,""))</f>
        <v/>
      </c>
      <c r="K1810" s="32" t="str">
        <f t="shared" si="109"/>
        <v/>
      </c>
      <c r="L1810" s="32" t="str">
        <f t="shared" si="110"/>
        <v/>
      </c>
      <c r="M1810" s="32" t="str">
        <f t="shared" si="111"/>
        <v/>
      </c>
      <c r="N1810" s="4">
        <v>1</v>
      </c>
      <c r="O1810" s="58">
        <v>0</v>
      </c>
      <c r="P1810" s="58">
        <v>0</v>
      </c>
      <c r="Q1810" s="58">
        <v>0</v>
      </c>
      <c r="R1810" s="58">
        <v>0</v>
      </c>
      <c r="S1810" s="58">
        <v>0</v>
      </c>
      <c r="T1810" s="58">
        <v>0</v>
      </c>
      <c r="U1810" s="58">
        <v>0</v>
      </c>
      <c r="V1810" s="58">
        <v>0</v>
      </c>
      <c r="AG1810" t="s">
        <v>1531</v>
      </c>
      <c r="AM1810" s="1" t="str">
        <f t="shared" si="112"/>
        <v>1808_C0013_2397.jpg</v>
      </c>
    </row>
    <row r="1811" spans="1:39" x14ac:dyDescent="0.35">
      <c r="A1811">
        <v>1807</v>
      </c>
      <c r="B1811">
        <v>1808</v>
      </c>
      <c r="F1811" s="64" t="s">
        <v>4847</v>
      </c>
      <c r="G1811" s="64"/>
      <c r="H1811" s="64"/>
      <c r="I1811" s="64">
        <v>0</v>
      </c>
      <c r="J1811" s="32" t="str">
        <f>IF(AND(E1811=1,OR(E1810=0,E1810="")),MAX(#REF!)+1,IF(AND(E1811=1,E1810=1),J1810,""))</f>
        <v/>
      </c>
      <c r="K1811" s="32" t="str">
        <f t="shared" si="109"/>
        <v/>
      </c>
      <c r="L1811" s="32" t="str">
        <f t="shared" si="110"/>
        <v/>
      </c>
      <c r="M1811" s="32" t="str">
        <f t="shared" si="111"/>
        <v/>
      </c>
      <c r="N1811" s="4">
        <v>1</v>
      </c>
      <c r="O1811" s="58">
        <v>0</v>
      </c>
      <c r="P1811" s="58">
        <v>0</v>
      </c>
      <c r="Q1811" s="58">
        <v>0</v>
      </c>
      <c r="R1811" s="58">
        <v>0</v>
      </c>
      <c r="S1811" s="58">
        <v>0</v>
      </c>
      <c r="T1811" s="58">
        <v>0</v>
      </c>
      <c r="U1811" s="58">
        <v>0</v>
      </c>
      <c r="V1811" s="58">
        <v>0</v>
      </c>
      <c r="AG1811" t="s">
        <v>1532</v>
      </c>
      <c r="AM1811" s="1" t="str">
        <f t="shared" si="112"/>
        <v>1809_C0013_2393.jpg</v>
      </c>
    </row>
    <row r="1812" spans="1:39" x14ac:dyDescent="0.35">
      <c r="A1812">
        <v>1808</v>
      </c>
      <c r="B1812">
        <v>1809</v>
      </c>
      <c r="F1812" s="64" t="s">
        <v>4848</v>
      </c>
      <c r="G1812" s="64"/>
      <c r="H1812" s="64"/>
      <c r="I1812" s="64">
        <v>1</v>
      </c>
      <c r="J1812" s="32" t="str">
        <f>IF(AND(E1812=1,OR(E1811=0,E1811="")),MAX(#REF!)+1,IF(AND(E1812=1,E1811=1),J1811,""))</f>
        <v/>
      </c>
      <c r="K1812" s="32" t="str">
        <f t="shared" si="109"/>
        <v/>
      </c>
      <c r="L1812" s="32" t="str">
        <f t="shared" si="110"/>
        <v/>
      </c>
      <c r="M1812" s="32" t="str">
        <f t="shared" si="111"/>
        <v/>
      </c>
      <c r="N1812" s="4">
        <v>1</v>
      </c>
      <c r="O1812" s="58">
        <v>0</v>
      </c>
      <c r="P1812" s="58">
        <v>0</v>
      </c>
      <c r="Q1812" s="58">
        <v>0</v>
      </c>
      <c r="R1812" s="58">
        <v>0</v>
      </c>
      <c r="S1812" s="58">
        <v>0</v>
      </c>
      <c r="T1812" s="58">
        <v>0</v>
      </c>
      <c r="U1812" s="58">
        <v>0</v>
      </c>
      <c r="V1812" s="58">
        <v>0</v>
      </c>
      <c r="AG1812" t="s">
        <v>1533</v>
      </c>
      <c r="AM1812" s="1" t="str">
        <f t="shared" si="112"/>
        <v>1810_C0013_2389.jpg</v>
      </c>
    </row>
    <row r="1813" spans="1:39" x14ac:dyDescent="0.35">
      <c r="A1813">
        <v>1809</v>
      </c>
      <c r="B1813">
        <v>1810</v>
      </c>
      <c r="F1813" s="64" t="s">
        <v>4849</v>
      </c>
      <c r="G1813" s="64"/>
      <c r="H1813" s="64"/>
      <c r="I1813" s="64">
        <v>1</v>
      </c>
      <c r="J1813" s="32" t="str">
        <f>IF(AND(E1813=1,OR(E1812=0,E1812="")),MAX(#REF!)+1,IF(AND(E1813=1,E1812=1),J1812,""))</f>
        <v/>
      </c>
      <c r="K1813" s="32" t="str">
        <f t="shared" si="109"/>
        <v/>
      </c>
      <c r="L1813" s="32" t="str">
        <f t="shared" si="110"/>
        <v/>
      </c>
      <c r="M1813" s="32" t="str">
        <f t="shared" si="111"/>
        <v/>
      </c>
      <c r="N1813" s="4">
        <v>1</v>
      </c>
      <c r="O1813" s="58">
        <v>0</v>
      </c>
      <c r="P1813" s="58">
        <v>0</v>
      </c>
      <c r="Q1813" s="58">
        <v>0</v>
      </c>
      <c r="R1813" s="58">
        <v>0</v>
      </c>
      <c r="S1813" s="58">
        <v>0</v>
      </c>
      <c r="T1813" s="58">
        <v>0</v>
      </c>
      <c r="U1813" s="58">
        <v>0</v>
      </c>
      <c r="V1813" s="58">
        <v>0</v>
      </c>
      <c r="AG1813" t="s">
        <v>1534</v>
      </c>
      <c r="AM1813" s="1" t="str">
        <f t="shared" si="112"/>
        <v>1811_C0013_2387.jpg</v>
      </c>
    </row>
    <row r="1814" spans="1:39" x14ac:dyDescent="0.35">
      <c r="A1814">
        <v>1810</v>
      </c>
      <c r="B1814">
        <v>1811</v>
      </c>
      <c r="F1814" s="64" t="s">
        <v>4850</v>
      </c>
      <c r="G1814" s="64"/>
      <c r="H1814" s="64"/>
      <c r="I1814" s="64">
        <v>1</v>
      </c>
      <c r="J1814" s="32" t="str">
        <f>IF(AND(E1814=1,OR(E1813=0,E1813="")),MAX(#REF!)+1,IF(AND(E1814=1,E1813=1),J1813,""))</f>
        <v/>
      </c>
      <c r="K1814" s="32" t="str">
        <f t="shared" si="109"/>
        <v/>
      </c>
      <c r="L1814" s="32" t="str">
        <f t="shared" si="110"/>
        <v/>
      </c>
      <c r="M1814" s="32" t="str">
        <f t="shared" si="111"/>
        <v/>
      </c>
      <c r="N1814" s="4">
        <v>1</v>
      </c>
      <c r="O1814" s="58">
        <v>0</v>
      </c>
      <c r="P1814" s="58">
        <v>0</v>
      </c>
      <c r="Q1814" s="58">
        <v>0</v>
      </c>
      <c r="R1814" s="58">
        <v>0</v>
      </c>
      <c r="S1814" s="58">
        <v>0</v>
      </c>
      <c r="T1814" s="58">
        <v>0</v>
      </c>
      <c r="U1814" s="58">
        <v>0</v>
      </c>
      <c r="V1814" s="58">
        <v>0</v>
      </c>
      <c r="AG1814" t="s">
        <v>1535</v>
      </c>
      <c r="AM1814" s="1" t="str">
        <f t="shared" si="112"/>
        <v>1812_C0013_2383.jpg</v>
      </c>
    </row>
    <row r="1815" spans="1:39" x14ac:dyDescent="0.35">
      <c r="A1815">
        <v>1811</v>
      </c>
      <c r="B1815">
        <v>1812</v>
      </c>
      <c r="F1815" s="64" t="s">
        <v>4851</v>
      </c>
      <c r="G1815" s="64"/>
      <c r="H1815" s="64"/>
      <c r="I1815" s="64">
        <v>1</v>
      </c>
      <c r="J1815" s="32" t="str">
        <f>IF(AND(E1815=1,OR(E1814=0,E1814="")),MAX(#REF!)+1,IF(AND(E1815=1,E1814=1),J1814,""))</f>
        <v/>
      </c>
      <c r="K1815" s="32" t="str">
        <f t="shared" si="109"/>
        <v/>
      </c>
      <c r="L1815" s="32" t="str">
        <f t="shared" si="110"/>
        <v/>
      </c>
      <c r="M1815" s="32" t="str">
        <f t="shared" si="111"/>
        <v/>
      </c>
      <c r="N1815" s="4">
        <v>1</v>
      </c>
      <c r="O1815" s="58">
        <v>0</v>
      </c>
      <c r="P1815" s="58">
        <v>0</v>
      </c>
      <c r="Q1815" s="58">
        <v>0</v>
      </c>
      <c r="R1815" s="58">
        <v>0</v>
      </c>
      <c r="S1815" s="58">
        <v>0</v>
      </c>
      <c r="T1815" s="58">
        <v>0</v>
      </c>
      <c r="U1815" s="58">
        <v>0</v>
      </c>
      <c r="V1815" s="58">
        <v>0</v>
      </c>
      <c r="AG1815" t="s">
        <v>1536</v>
      </c>
      <c r="AM1815" s="1" t="str">
        <f t="shared" si="112"/>
        <v>1813_C0013_2380.jpg</v>
      </c>
    </row>
    <row r="1816" spans="1:39" x14ac:dyDescent="0.35">
      <c r="A1816">
        <v>1812</v>
      </c>
      <c r="B1816">
        <v>1813</v>
      </c>
      <c r="F1816" s="64" t="s">
        <v>4852</v>
      </c>
      <c r="G1816" s="64"/>
      <c r="H1816" s="64"/>
      <c r="I1816" s="64">
        <v>1</v>
      </c>
      <c r="J1816" s="32" t="str">
        <f>IF(AND(E1816=1,OR(E1815=0,E1815="")),MAX(#REF!)+1,IF(AND(E1816=1,E1815=1),J1815,""))</f>
        <v/>
      </c>
      <c r="K1816" s="32" t="str">
        <f t="shared" si="109"/>
        <v/>
      </c>
      <c r="L1816" s="32" t="str">
        <f t="shared" si="110"/>
        <v/>
      </c>
      <c r="M1816" s="32" t="str">
        <f t="shared" si="111"/>
        <v/>
      </c>
      <c r="N1816" s="4">
        <v>1</v>
      </c>
      <c r="O1816" s="58">
        <v>0</v>
      </c>
      <c r="P1816" s="58">
        <v>0</v>
      </c>
      <c r="Q1816" s="58">
        <v>0</v>
      </c>
      <c r="R1816" s="58">
        <v>0</v>
      </c>
      <c r="S1816" s="58">
        <v>0</v>
      </c>
      <c r="T1816" s="58">
        <v>0</v>
      </c>
      <c r="U1816" s="58">
        <v>0</v>
      </c>
      <c r="V1816" s="58">
        <v>0</v>
      </c>
      <c r="AG1816" t="s">
        <v>1537</v>
      </c>
      <c r="AM1816" s="1" t="str">
        <f t="shared" si="112"/>
        <v>1814_C0013_2378.jpg</v>
      </c>
    </row>
    <row r="1817" spans="1:39" x14ac:dyDescent="0.35">
      <c r="A1817">
        <v>1813</v>
      </c>
      <c r="B1817">
        <v>1814</v>
      </c>
      <c r="F1817" s="64" t="s">
        <v>4853</v>
      </c>
      <c r="G1817" s="64"/>
      <c r="H1817" s="64"/>
      <c r="I1817" s="64">
        <v>1</v>
      </c>
      <c r="J1817" s="32" t="str">
        <f>IF(AND(E1817=1,OR(E1816=0,E1816="")),MAX(#REF!)+1,IF(AND(E1817=1,E1816=1),J1816,""))</f>
        <v/>
      </c>
      <c r="K1817" s="32" t="str">
        <f t="shared" si="109"/>
        <v/>
      </c>
      <c r="L1817" s="32" t="str">
        <f t="shared" si="110"/>
        <v/>
      </c>
      <c r="M1817" s="32" t="str">
        <f t="shared" si="111"/>
        <v/>
      </c>
      <c r="N1817" s="4">
        <v>1</v>
      </c>
      <c r="O1817" s="58">
        <v>0</v>
      </c>
      <c r="P1817" s="58">
        <v>0</v>
      </c>
      <c r="Q1817" s="58">
        <v>0</v>
      </c>
      <c r="R1817" s="58">
        <v>0</v>
      </c>
      <c r="S1817" s="58">
        <v>0</v>
      </c>
      <c r="T1817" s="58">
        <v>0</v>
      </c>
      <c r="U1817" s="58">
        <v>0</v>
      </c>
      <c r="V1817" s="58">
        <v>0</v>
      </c>
      <c r="AG1817" t="s">
        <v>1538</v>
      </c>
      <c r="AM1817" s="1" t="str">
        <f t="shared" si="112"/>
        <v>1815_C0013_2375.jpg</v>
      </c>
    </row>
    <row r="1818" spans="1:39" x14ac:dyDescent="0.35">
      <c r="A1818">
        <v>1814</v>
      </c>
      <c r="B1818">
        <v>1815</v>
      </c>
      <c r="F1818" s="64" t="s">
        <v>4854</v>
      </c>
      <c r="G1818" s="64"/>
      <c r="H1818" s="64"/>
      <c r="I1818" s="64">
        <v>0</v>
      </c>
      <c r="J1818" s="32" t="str">
        <f>IF(AND(E1818=1,OR(E1817=0,E1817="")),MAX(#REF!)+1,IF(AND(E1818=1,E1817=1),J1817,""))</f>
        <v/>
      </c>
      <c r="K1818" s="32" t="str">
        <f t="shared" si="109"/>
        <v/>
      </c>
      <c r="L1818" s="32" t="str">
        <f t="shared" si="110"/>
        <v/>
      </c>
      <c r="M1818" s="32" t="str">
        <f t="shared" si="111"/>
        <v/>
      </c>
      <c r="N1818" s="4">
        <v>1</v>
      </c>
      <c r="O1818" s="58">
        <v>0</v>
      </c>
      <c r="P1818" s="58">
        <v>0</v>
      </c>
      <c r="Q1818" s="58">
        <v>0</v>
      </c>
      <c r="R1818" s="58">
        <v>0</v>
      </c>
      <c r="S1818" s="58">
        <v>0</v>
      </c>
      <c r="T1818" s="58">
        <v>0</v>
      </c>
      <c r="U1818" s="58">
        <v>0</v>
      </c>
      <c r="V1818" s="58">
        <v>0</v>
      </c>
      <c r="AG1818" t="s">
        <v>1539</v>
      </c>
      <c r="AM1818" s="1" t="str">
        <f t="shared" si="112"/>
        <v>1816_C0013_2372.jpg</v>
      </c>
    </row>
    <row r="1819" spans="1:39" x14ac:dyDescent="0.35">
      <c r="A1819">
        <v>1815</v>
      </c>
      <c r="B1819">
        <v>1816</v>
      </c>
      <c r="F1819" s="64" t="s">
        <v>4855</v>
      </c>
      <c r="G1819" s="64"/>
      <c r="H1819" s="64"/>
      <c r="I1819" s="64">
        <v>1</v>
      </c>
      <c r="J1819" s="32" t="str">
        <f>IF(AND(E1819=1,OR(E1818=0,E1818="")),MAX(#REF!)+1,IF(AND(E1819=1,E1818=1),J1818,""))</f>
        <v/>
      </c>
      <c r="K1819" s="32" t="str">
        <f t="shared" si="109"/>
        <v/>
      </c>
      <c r="L1819" s="32" t="str">
        <f t="shared" si="110"/>
        <v/>
      </c>
      <c r="M1819" s="32" t="str">
        <f t="shared" si="111"/>
        <v/>
      </c>
      <c r="N1819" s="4">
        <v>1</v>
      </c>
      <c r="O1819" s="58">
        <v>0</v>
      </c>
      <c r="P1819" s="58">
        <v>0</v>
      </c>
      <c r="Q1819" s="58">
        <v>0</v>
      </c>
      <c r="R1819" s="58">
        <v>0</v>
      </c>
      <c r="S1819" s="58">
        <v>0</v>
      </c>
      <c r="T1819" s="58">
        <v>0</v>
      </c>
      <c r="U1819" s="58">
        <v>0</v>
      </c>
      <c r="V1819" s="58">
        <v>0</v>
      </c>
      <c r="AG1819" t="s">
        <v>1540</v>
      </c>
      <c r="AM1819" s="1" t="str">
        <f t="shared" si="112"/>
        <v>1817_C0013_2370.jpg</v>
      </c>
    </row>
    <row r="1820" spans="1:39" x14ac:dyDescent="0.35">
      <c r="A1820">
        <v>1816</v>
      </c>
      <c r="B1820">
        <v>1817</v>
      </c>
      <c r="F1820" s="64" t="s">
        <v>4856</v>
      </c>
      <c r="G1820" s="64"/>
      <c r="H1820" s="64"/>
      <c r="I1820" s="64">
        <v>1</v>
      </c>
      <c r="J1820" s="32" t="str">
        <f>IF(AND(E1820=1,OR(E1819=0,E1819="")),MAX(#REF!)+1,IF(AND(E1820=1,E1819=1),J1819,""))</f>
        <v/>
      </c>
      <c r="K1820" s="32" t="str">
        <f t="shared" si="109"/>
        <v/>
      </c>
      <c r="L1820" s="32" t="str">
        <f t="shared" si="110"/>
        <v/>
      </c>
      <c r="M1820" s="32" t="str">
        <f t="shared" si="111"/>
        <v/>
      </c>
      <c r="N1820" s="4">
        <v>1</v>
      </c>
      <c r="O1820" s="58">
        <v>0</v>
      </c>
      <c r="P1820" s="58">
        <v>0</v>
      </c>
      <c r="Q1820" s="58">
        <v>0</v>
      </c>
      <c r="R1820" s="58">
        <v>0</v>
      </c>
      <c r="S1820" s="58">
        <v>0</v>
      </c>
      <c r="T1820" s="58">
        <v>0</v>
      </c>
      <c r="U1820" s="58">
        <v>0</v>
      </c>
      <c r="V1820" s="58">
        <v>0</v>
      </c>
      <c r="AG1820" t="s">
        <v>1541</v>
      </c>
      <c r="AM1820" s="1" t="str">
        <f t="shared" si="112"/>
        <v>1818_C0013_2368.jpg</v>
      </c>
    </row>
    <row r="1821" spans="1:39" x14ac:dyDescent="0.35">
      <c r="A1821">
        <v>1817</v>
      </c>
      <c r="B1821">
        <v>1818</v>
      </c>
      <c r="F1821" s="64" t="s">
        <v>4857</v>
      </c>
      <c r="G1821" s="64"/>
      <c r="H1821" s="64"/>
      <c r="I1821" s="64">
        <v>1</v>
      </c>
      <c r="J1821" s="32" t="str">
        <f>IF(AND(E1821=1,OR(E1820=0,E1820="")),MAX(#REF!)+1,IF(AND(E1821=1,E1820=1),J1820,""))</f>
        <v/>
      </c>
      <c r="K1821" s="32" t="str">
        <f t="shared" si="109"/>
        <v/>
      </c>
      <c r="L1821" s="32" t="str">
        <f t="shared" si="110"/>
        <v/>
      </c>
      <c r="M1821" s="32" t="str">
        <f t="shared" si="111"/>
        <v/>
      </c>
      <c r="N1821" s="4">
        <v>1</v>
      </c>
      <c r="O1821" s="58">
        <v>0</v>
      </c>
      <c r="P1821" s="58">
        <v>0</v>
      </c>
      <c r="Q1821" s="58">
        <v>0</v>
      </c>
      <c r="R1821" s="58">
        <v>0</v>
      </c>
      <c r="S1821" s="58">
        <v>0</v>
      </c>
      <c r="T1821" s="58">
        <v>0</v>
      </c>
      <c r="U1821" s="58">
        <v>0</v>
      </c>
      <c r="V1821" s="58">
        <v>0</v>
      </c>
      <c r="AG1821" t="s">
        <v>1542</v>
      </c>
      <c r="AM1821" s="1" t="str">
        <f t="shared" si="112"/>
        <v>1819_C0013_2366.jpg</v>
      </c>
    </row>
    <row r="1822" spans="1:39" x14ac:dyDescent="0.35">
      <c r="A1822">
        <v>1818</v>
      </c>
      <c r="B1822">
        <v>1819</v>
      </c>
      <c r="F1822" s="64" t="s">
        <v>4858</v>
      </c>
      <c r="G1822" s="64"/>
      <c r="H1822" s="64"/>
      <c r="I1822" s="64">
        <v>1</v>
      </c>
      <c r="J1822" s="32" t="str">
        <f>IF(AND(E1822=1,OR(E1821=0,E1821="")),MAX(#REF!)+1,IF(AND(E1822=1,E1821=1),J1821,""))</f>
        <v/>
      </c>
      <c r="K1822" s="32" t="str">
        <f t="shared" si="109"/>
        <v/>
      </c>
      <c r="L1822" s="32" t="str">
        <f t="shared" si="110"/>
        <v/>
      </c>
      <c r="M1822" s="32" t="str">
        <f t="shared" si="111"/>
        <v/>
      </c>
      <c r="N1822" s="4">
        <v>1</v>
      </c>
      <c r="O1822" s="58">
        <v>0</v>
      </c>
      <c r="P1822" s="58">
        <v>0</v>
      </c>
      <c r="Q1822" s="58">
        <v>0</v>
      </c>
      <c r="R1822" s="58">
        <v>0</v>
      </c>
      <c r="S1822" s="58">
        <v>0</v>
      </c>
      <c r="T1822" s="58">
        <v>0</v>
      </c>
      <c r="U1822" s="58">
        <v>0</v>
      </c>
      <c r="V1822" s="58">
        <v>0</v>
      </c>
      <c r="AG1822" t="s">
        <v>1543</v>
      </c>
      <c r="AM1822" s="1" t="str">
        <f t="shared" si="112"/>
        <v>1820_C0013_2364.jpg</v>
      </c>
    </row>
    <row r="1823" spans="1:39" x14ac:dyDescent="0.35">
      <c r="A1823">
        <v>1819</v>
      </c>
      <c r="B1823">
        <v>1820</v>
      </c>
      <c r="F1823" s="64" t="s">
        <v>4859</v>
      </c>
      <c r="G1823" s="64"/>
      <c r="H1823" s="64"/>
      <c r="I1823" s="64">
        <v>1</v>
      </c>
      <c r="J1823" s="32" t="str">
        <f>IF(AND(E1823=1,OR(E1822=0,E1822="")),MAX(#REF!)+1,IF(AND(E1823=1,E1822=1),J1822,""))</f>
        <v/>
      </c>
      <c r="K1823" s="32" t="str">
        <f t="shared" ref="K1823:K1886" si="113">IF(J1823="","",COUNTIF(J:J,J1823)*10)</f>
        <v/>
      </c>
      <c r="L1823" s="32" t="str">
        <f t="shared" si="110"/>
        <v/>
      </c>
      <c r="M1823" s="32" t="str">
        <f t="shared" si="111"/>
        <v/>
      </c>
      <c r="N1823" s="4">
        <v>1</v>
      </c>
      <c r="O1823" s="58">
        <v>0</v>
      </c>
      <c r="P1823" s="58">
        <v>0</v>
      </c>
      <c r="Q1823" s="58">
        <v>0</v>
      </c>
      <c r="R1823" s="58">
        <v>0</v>
      </c>
      <c r="S1823" s="58">
        <v>0</v>
      </c>
      <c r="T1823" s="58">
        <v>0</v>
      </c>
      <c r="U1823" s="58">
        <v>0</v>
      </c>
      <c r="V1823" s="58">
        <v>0</v>
      </c>
      <c r="AG1823" t="s">
        <v>1544</v>
      </c>
      <c r="AM1823" s="1" t="str">
        <f t="shared" si="112"/>
        <v>1821_C0013_2362.jpg</v>
      </c>
    </row>
    <row r="1824" spans="1:39" x14ac:dyDescent="0.35">
      <c r="A1824">
        <v>1820</v>
      </c>
      <c r="B1824">
        <v>1821</v>
      </c>
      <c r="F1824" s="64" t="s">
        <v>4860</v>
      </c>
      <c r="G1824" s="64"/>
      <c r="H1824" s="64"/>
      <c r="I1824" s="64">
        <v>1</v>
      </c>
      <c r="J1824" s="32" t="str">
        <f>IF(AND(E1824=1,OR(E1823=0,E1823="")),MAX(#REF!)+1,IF(AND(E1824=1,E1823=1),J1823,""))</f>
        <v/>
      </c>
      <c r="K1824" s="32" t="str">
        <f t="shared" si="113"/>
        <v/>
      </c>
      <c r="L1824" s="32" t="str">
        <f t="shared" si="110"/>
        <v/>
      </c>
      <c r="M1824" s="32" t="str">
        <f t="shared" si="111"/>
        <v/>
      </c>
      <c r="N1824" s="4">
        <v>1</v>
      </c>
      <c r="O1824" s="58">
        <v>0</v>
      </c>
      <c r="P1824" s="58">
        <v>0</v>
      </c>
      <c r="Q1824" s="58">
        <v>0</v>
      </c>
      <c r="R1824" s="58">
        <v>0</v>
      </c>
      <c r="S1824" s="58">
        <v>0</v>
      </c>
      <c r="T1824" s="58">
        <v>0</v>
      </c>
      <c r="U1824" s="58">
        <v>0</v>
      </c>
      <c r="V1824" s="58">
        <v>0</v>
      </c>
      <c r="AG1824" t="s">
        <v>1545</v>
      </c>
      <c r="AM1824" s="1" t="str">
        <f t="shared" si="112"/>
        <v>1822_C0013_2359.jpg</v>
      </c>
    </row>
    <row r="1825" spans="1:39" x14ac:dyDescent="0.35">
      <c r="A1825">
        <v>1821</v>
      </c>
      <c r="B1825">
        <v>1822</v>
      </c>
      <c r="F1825" s="64" t="s">
        <v>4861</v>
      </c>
      <c r="G1825" s="64"/>
      <c r="H1825" s="64"/>
      <c r="I1825" s="64">
        <v>1</v>
      </c>
      <c r="J1825" s="32" t="str">
        <f>IF(AND(E1825=1,OR(E1824=0,E1824="")),MAX(#REF!)+1,IF(AND(E1825=1,E1824=1),J1824,""))</f>
        <v/>
      </c>
      <c r="K1825" s="32" t="str">
        <f t="shared" si="113"/>
        <v/>
      </c>
      <c r="L1825" s="32" t="str">
        <f t="shared" si="110"/>
        <v/>
      </c>
      <c r="M1825" s="32" t="str">
        <f t="shared" si="111"/>
        <v/>
      </c>
      <c r="N1825" s="4">
        <v>1</v>
      </c>
      <c r="O1825" s="58">
        <v>0</v>
      </c>
      <c r="P1825" s="58">
        <v>0</v>
      </c>
      <c r="Q1825" s="58">
        <v>0</v>
      </c>
      <c r="R1825" s="58">
        <v>0</v>
      </c>
      <c r="S1825" s="58">
        <v>0</v>
      </c>
      <c r="T1825" s="58">
        <v>0</v>
      </c>
      <c r="U1825" s="58">
        <v>0</v>
      </c>
      <c r="V1825" s="58">
        <v>0</v>
      </c>
      <c r="AG1825" t="s">
        <v>1546</v>
      </c>
      <c r="AM1825" s="1" t="str">
        <f t="shared" si="112"/>
        <v>1823_C0013_2356.jpg</v>
      </c>
    </row>
    <row r="1826" spans="1:39" x14ac:dyDescent="0.35">
      <c r="A1826">
        <v>1822</v>
      </c>
      <c r="B1826">
        <v>1823</v>
      </c>
      <c r="F1826" s="64" t="s">
        <v>4862</v>
      </c>
      <c r="G1826" s="64"/>
      <c r="H1826" s="64"/>
      <c r="I1826" s="64">
        <v>1</v>
      </c>
      <c r="J1826" s="32" t="str">
        <f>IF(AND(E1826=1,OR(E1825=0,E1825="")),MAX(#REF!)+1,IF(AND(E1826=1,E1825=1),J1825,""))</f>
        <v/>
      </c>
      <c r="K1826" s="32" t="str">
        <f t="shared" si="113"/>
        <v/>
      </c>
      <c r="L1826" s="32" t="str">
        <f t="shared" si="110"/>
        <v/>
      </c>
      <c r="M1826" s="32" t="str">
        <f t="shared" si="111"/>
        <v/>
      </c>
      <c r="N1826" s="4">
        <v>1</v>
      </c>
      <c r="O1826" s="58">
        <v>0</v>
      </c>
      <c r="P1826" s="58">
        <v>0</v>
      </c>
      <c r="Q1826" s="58">
        <v>0</v>
      </c>
      <c r="R1826" s="58">
        <v>0</v>
      </c>
      <c r="S1826" s="58">
        <v>0</v>
      </c>
      <c r="T1826" s="58">
        <v>0</v>
      </c>
      <c r="U1826" s="58">
        <v>0</v>
      </c>
      <c r="V1826" s="58">
        <v>0</v>
      </c>
      <c r="AG1826" t="s">
        <v>1547</v>
      </c>
      <c r="AM1826" s="1" t="str">
        <f t="shared" si="112"/>
        <v>1824_C0013_2353.jpg</v>
      </c>
    </row>
    <row r="1827" spans="1:39" x14ac:dyDescent="0.35">
      <c r="A1827">
        <v>1823</v>
      </c>
      <c r="B1827">
        <v>1824</v>
      </c>
      <c r="F1827" s="64" t="s">
        <v>4863</v>
      </c>
      <c r="G1827" s="64"/>
      <c r="H1827" s="64"/>
      <c r="I1827" s="64">
        <v>0</v>
      </c>
      <c r="J1827" s="32" t="str">
        <f>IF(AND(E1827=1,OR(E1826=0,E1826="")),MAX(#REF!)+1,IF(AND(E1827=1,E1826=1),J1826,""))</f>
        <v/>
      </c>
      <c r="K1827" s="32" t="str">
        <f t="shared" si="113"/>
        <v/>
      </c>
      <c r="L1827" s="32" t="str">
        <f t="shared" si="110"/>
        <v/>
      </c>
      <c r="M1827" s="32" t="str">
        <f t="shared" si="111"/>
        <v/>
      </c>
      <c r="N1827" s="4">
        <v>1</v>
      </c>
      <c r="O1827" s="58">
        <v>0</v>
      </c>
      <c r="P1827" s="58">
        <v>0</v>
      </c>
      <c r="Q1827" s="58">
        <v>0</v>
      </c>
      <c r="R1827" s="58">
        <v>0</v>
      </c>
      <c r="S1827" s="58">
        <v>0</v>
      </c>
      <c r="T1827" s="58">
        <v>0</v>
      </c>
      <c r="U1827" s="58">
        <v>0</v>
      </c>
      <c r="V1827" s="58">
        <v>0</v>
      </c>
      <c r="AG1827" t="s">
        <v>1548</v>
      </c>
      <c r="AM1827" s="1" t="str">
        <f t="shared" si="112"/>
        <v>1825_C0013_2349.jpg</v>
      </c>
    </row>
    <row r="1828" spans="1:39" x14ac:dyDescent="0.35">
      <c r="A1828">
        <v>1824</v>
      </c>
      <c r="B1828">
        <v>1825</v>
      </c>
      <c r="F1828" s="64" t="s">
        <v>4864</v>
      </c>
      <c r="G1828" s="64"/>
      <c r="H1828" s="64"/>
      <c r="I1828" s="64">
        <v>0</v>
      </c>
      <c r="J1828" s="32" t="str">
        <f>IF(AND(E1828=1,OR(E1827=0,E1827="")),MAX(#REF!)+1,IF(AND(E1828=1,E1827=1),J1827,""))</f>
        <v/>
      </c>
      <c r="K1828" s="32" t="str">
        <f t="shared" si="113"/>
        <v/>
      </c>
      <c r="L1828" s="32" t="str">
        <f t="shared" si="110"/>
        <v/>
      </c>
      <c r="M1828" s="32" t="str">
        <f t="shared" si="111"/>
        <v/>
      </c>
      <c r="N1828" s="4">
        <v>1</v>
      </c>
      <c r="O1828" s="58">
        <v>0</v>
      </c>
      <c r="P1828" s="58">
        <v>0</v>
      </c>
      <c r="Q1828" s="58">
        <v>0</v>
      </c>
      <c r="R1828" s="58">
        <v>0</v>
      </c>
      <c r="S1828" s="58">
        <v>0</v>
      </c>
      <c r="T1828" s="58">
        <v>0</v>
      </c>
      <c r="U1828" s="58">
        <v>0</v>
      </c>
      <c r="V1828" s="58">
        <v>0</v>
      </c>
      <c r="AG1828" t="s">
        <v>1549</v>
      </c>
      <c r="AM1828" s="1" t="str">
        <f t="shared" si="112"/>
        <v>1826_C0013_2345.jpg</v>
      </c>
    </row>
    <row r="1829" spans="1:39" x14ac:dyDescent="0.35">
      <c r="A1829">
        <v>1825</v>
      </c>
      <c r="B1829">
        <v>1826</v>
      </c>
      <c r="F1829" s="64" t="s">
        <v>4865</v>
      </c>
      <c r="G1829" s="64"/>
      <c r="H1829" s="64"/>
      <c r="I1829" s="64">
        <v>0</v>
      </c>
      <c r="J1829" s="32">
        <v>113</v>
      </c>
      <c r="K1829" s="32">
        <f t="shared" si="113"/>
        <v>10</v>
      </c>
      <c r="L1829" s="32" t="str">
        <f t="shared" si="110"/>
        <v/>
      </c>
      <c r="M1829" s="32">
        <f t="shared" si="111"/>
        <v>100</v>
      </c>
      <c r="N1829" s="4">
        <v>1</v>
      </c>
      <c r="O1829" s="58">
        <v>0</v>
      </c>
      <c r="P1829" s="58">
        <v>0</v>
      </c>
      <c r="Q1829" s="58">
        <v>0</v>
      </c>
      <c r="R1829" s="58">
        <v>0</v>
      </c>
      <c r="S1829" s="58">
        <v>0</v>
      </c>
      <c r="T1829" s="58">
        <v>0</v>
      </c>
      <c r="U1829" s="58">
        <v>0</v>
      </c>
      <c r="V1829" s="58">
        <v>0</v>
      </c>
      <c r="AG1829" t="s">
        <v>1550</v>
      </c>
      <c r="AM1829" s="1" t="str">
        <f t="shared" si="112"/>
        <v>1827_C0013_2341.jpg</v>
      </c>
    </row>
    <row r="1830" spans="1:39" x14ac:dyDescent="0.35">
      <c r="A1830">
        <v>1826</v>
      </c>
      <c r="B1830">
        <v>1827</v>
      </c>
      <c r="F1830" s="64" t="s">
        <v>4866</v>
      </c>
      <c r="G1830" s="64"/>
      <c r="H1830" s="64"/>
      <c r="I1830" s="64">
        <v>0</v>
      </c>
      <c r="J1830" s="32" t="str">
        <f>IF(AND(E1830=1,OR(E1829=0,E1829="")),MAX(#REF!)+1,IF(AND(E1830=1,E1829=1),J1829,""))</f>
        <v/>
      </c>
      <c r="K1830" s="32" t="str">
        <f t="shared" si="113"/>
        <v/>
      </c>
      <c r="L1830" s="32" t="str">
        <f t="shared" si="110"/>
        <v/>
      </c>
      <c r="M1830" s="32" t="str">
        <f t="shared" si="111"/>
        <v/>
      </c>
      <c r="N1830" s="4">
        <v>1</v>
      </c>
      <c r="O1830" s="58">
        <v>0</v>
      </c>
      <c r="P1830" s="58">
        <v>0</v>
      </c>
      <c r="Q1830" s="58">
        <v>0</v>
      </c>
      <c r="R1830" s="58">
        <v>0</v>
      </c>
      <c r="S1830" s="58">
        <v>0</v>
      </c>
      <c r="T1830" s="58">
        <v>0</v>
      </c>
      <c r="U1830" s="58">
        <v>0</v>
      </c>
      <c r="V1830" s="58">
        <v>0</v>
      </c>
      <c r="AG1830" t="s">
        <v>1551</v>
      </c>
      <c r="AM1830" s="1" t="str">
        <f t="shared" si="112"/>
        <v>1828_C0013_2339.jpg</v>
      </c>
    </row>
    <row r="1831" spans="1:39" x14ac:dyDescent="0.35">
      <c r="A1831">
        <v>1827</v>
      </c>
      <c r="B1831">
        <v>1828</v>
      </c>
      <c r="F1831" s="64" t="s">
        <v>4867</v>
      </c>
      <c r="G1831" s="64"/>
      <c r="H1831" s="64"/>
      <c r="I1831" s="64">
        <v>0</v>
      </c>
      <c r="J1831" s="32" t="str">
        <f>IF(AND(E1831=1,OR(E1830=0,E1830="")),MAX(#REF!)+1,IF(AND(E1831=1,E1830=1),J1830,""))</f>
        <v/>
      </c>
      <c r="K1831" s="32" t="str">
        <f t="shared" si="113"/>
        <v/>
      </c>
      <c r="L1831" s="32" t="str">
        <f t="shared" si="110"/>
        <v/>
      </c>
      <c r="M1831" s="32" t="str">
        <f t="shared" si="111"/>
        <v/>
      </c>
      <c r="N1831" s="4">
        <v>2</v>
      </c>
      <c r="O1831" s="58">
        <v>0</v>
      </c>
      <c r="P1831" s="58">
        <v>1</v>
      </c>
      <c r="Q1831" s="58">
        <v>0</v>
      </c>
      <c r="R1831" s="58">
        <v>0</v>
      </c>
      <c r="S1831" s="58">
        <v>0</v>
      </c>
      <c r="T1831" s="58">
        <v>0</v>
      </c>
      <c r="U1831" s="58">
        <v>0</v>
      </c>
      <c r="V1831" s="58">
        <v>0</v>
      </c>
      <c r="AG1831" t="s">
        <v>1552</v>
      </c>
      <c r="AM1831" s="1" t="str">
        <f t="shared" si="112"/>
        <v>1829_C0013_2337.jpg</v>
      </c>
    </row>
    <row r="1832" spans="1:39" x14ac:dyDescent="0.35">
      <c r="A1832">
        <v>1828</v>
      </c>
      <c r="B1832">
        <v>1829</v>
      </c>
      <c r="F1832" s="64" t="s">
        <v>4868</v>
      </c>
      <c r="G1832" s="64"/>
      <c r="H1832" s="64"/>
      <c r="I1832" s="64">
        <v>0</v>
      </c>
      <c r="J1832" s="32" t="str">
        <f>IF(AND(E1832=1,OR(E1831=0,E1831="")),MAX(#REF!)+1,IF(AND(E1832=1,E1831=1),J1831,""))</f>
        <v/>
      </c>
      <c r="K1832" s="32" t="str">
        <f t="shared" si="113"/>
        <v/>
      </c>
      <c r="L1832" s="32" t="str">
        <f t="shared" si="110"/>
        <v/>
      </c>
      <c r="M1832" s="32" t="str">
        <f t="shared" si="111"/>
        <v/>
      </c>
      <c r="N1832" s="4">
        <v>3</v>
      </c>
      <c r="O1832" s="58">
        <v>0</v>
      </c>
      <c r="P1832" s="58">
        <v>1</v>
      </c>
      <c r="Q1832" s="58">
        <v>0</v>
      </c>
      <c r="R1832" s="58">
        <v>0</v>
      </c>
      <c r="S1832" s="58">
        <v>0</v>
      </c>
      <c r="T1832" s="58">
        <v>0</v>
      </c>
      <c r="U1832" s="58">
        <v>0</v>
      </c>
      <c r="V1832" s="58">
        <v>0</v>
      </c>
      <c r="AG1832" t="s">
        <v>1553</v>
      </c>
      <c r="AM1832" s="1" t="str">
        <f t="shared" si="112"/>
        <v>1830_C0013_2335.jpg</v>
      </c>
    </row>
    <row r="1833" spans="1:39" x14ac:dyDescent="0.35">
      <c r="A1833">
        <v>1829</v>
      </c>
      <c r="B1833">
        <v>1830</v>
      </c>
      <c r="F1833" s="64" t="s">
        <v>4869</v>
      </c>
      <c r="G1833" s="64"/>
      <c r="H1833" s="64"/>
      <c r="I1833" s="64">
        <v>0</v>
      </c>
      <c r="J1833" s="32" t="str">
        <f>IF(AND(E1833=1,OR(E1832=0,E1832="")),MAX(#REF!)+1,IF(AND(E1833=1,E1832=1),J1832,""))</f>
        <v/>
      </c>
      <c r="K1833" s="32" t="str">
        <f t="shared" si="113"/>
        <v/>
      </c>
      <c r="L1833" s="32" t="str">
        <f t="shared" si="110"/>
        <v/>
      </c>
      <c r="M1833" s="32" t="str">
        <f t="shared" si="111"/>
        <v/>
      </c>
      <c r="N1833" s="4">
        <v>2</v>
      </c>
      <c r="O1833" s="58">
        <v>0</v>
      </c>
      <c r="P1833" s="58">
        <v>1</v>
      </c>
      <c r="Q1833" s="58">
        <v>0</v>
      </c>
      <c r="R1833" s="58">
        <v>0</v>
      </c>
      <c r="S1833" s="58">
        <v>0</v>
      </c>
      <c r="T1833" s="58">
        <v>0</v>
      </c>
      <c r="U1833" s="58">
        <v>0</v>
      </c>
      <c r="V1833" s="58">
        <v>0</v>
      </c>
      <c r="AG1833" t="s">
        <v>1554</v>
      </c>
      <c r="AM1833" s="1" t="str">
        <f t="shared" si="112"/>
        <v>1831_C0013_2332.jpg</v>
      </c>
    </row>
    <row r="1834" spans="1:39" x14ac:dyDescent="0.35">
      <c r="A1834">
        <v>1830</v>
      </c>
      <c r="B1834">
        <v>1831</v>
      </c>
      <c r="F1834" s="64" t="s">
        <v>4870</v>
      </c>
      <c r="G1834" s="64"/>
      <c r="H1834" s="64"/>
      <c r="I1834" s="64">
        <v>1</v>
      </c>
      <c r="J1834" s="32" t="str">
        <f>IF(AND(E1834=1,OR(E1833=0,E1833="")),MAX(#REF!)+1,IF(AND(E1834=1,E1833=1),J1833,""))</f>
        <v/>
      </c>
      <c r="K1834" s="32" t="str">
        <f t="shared" si="113"/>
        <v/>
      </c>
      <c r="L1834" s="32" t="str">
        <f t="shared" si="110"/>
        <v/>
      </c>
      <c r="M1834" s="32" t="str">
        <f t="shared" si="111"/>
        <v/>
      </c>
      <c r="N1834" s="4">
        <v>2</v>
      </c>
      <c r="O1834" s="58">
        <v>1</v>
      </c>
      <c r="P1834" s="58">
        <v>1</v>
      </c>
      <c r="Q1834" s="58">
        <v>0</v>
      </c>
      <c r="R1834" s="58">
        <v>0</v>
      </c>
      <c r="S1834" s="58">
        <v>0</v>
      </c>
      <c r="T1834" s="58">
        <v>0</v>
      </c>
      <c r="U1834" s="58">
        <v>0</v>
      </c>
      <c r="V1834" s="58">
        <v>0</v>
      </c>
      <c r="AG1834" t="s">
        <v>1555</v>
      </c>
      <c r="AM1834" s="1" t="str">
        <f t="shared" si="112"/>
        <v>1832_C0013_2330.jpg</v>
      </c>
    </row>
    <row r="1835" spans="1:39" x14ac:dyDescent="0.35">
      <c r="A1835">
        <v>1831</v>
      </c>
      <c r="B1835">
        <v>1832</v>
      </c>
      <c r="F1835" s="64" t="s">
        <v>4871</v>
      </c>
      <c r="G1835" s="64"/>
      <c r="H1835" s="64"/>
      <c r="I1835" s="64">
        <v>1</v>
      </c>
      <c r="J1835" s="32" t="str">
        <f>IF(AND(E1835=1,OR(E1834=0,E1834="")),MAX(#REF!)+1,IF(AND(E1835=1,E1834=1),J1834,""))</f>
        <v/>
      </c>
      <c r="K1835" s="32" t="str">
        <f t="shared" si="113"/>
        <v/>
      </c>
      <c r="L1835" s="32" t="str">
        <f t="shared" si="110"/>
        <v/>
      </c>
      <c r="M1835" s="32" t="str">
        <f t="shared" si="111"/>
        <v/>
      </c>
      <c r="N1835" s="4">
        <v>3</v>
      </c>
      <c r="O1835" s="58">
        <v>1</v>
      </c>
      <c r="P1835" s="58">
        <v>1</v>
      </c>
      <c r="Q1835" s="58">
        <v>0</v>
      </c>
      <c r="R1835" s="58">
        <v>0</v>
      </c>
      <c r="S1835" s="58">
        <v>0</v>
      </c>
      <c r="T1835" s="58">
        <v>0</v>
      </c>
      <c r="U1835" s="58">
        <v>0</v>
      </c>
      <c r="V1835" s="58">
        <v>0</v>
      </c>
      <c r="AG1835" t="s">
        <v>1556</v>
      </c>
      <c r="AM1835" s="1" t="str">
        <f t="shared" si="112"/>
        <v>1833_C0013_2328.jpg</v>
      </c>
    </row>
    <row r="1836" spans="1:39" x14ac:dyDescent="0.35">
      <c r="A1836">
        <v>1832</v>
      </c>
      <c r="B1836">
        <v>1833</v>
      </c>
      <c r="F1836" s="64" t="s">
        <v>4872</v>
      </c>
      <c r="G1836" s="64"/>
      <c r="H1836" s="64"/>
      <c r="I1836" s="64">
        <v>1</v>
      </c>
      <c r="J1836" s="32" t="str">
        <f>IF(AND(E1836=1,OR(E1835=0,E1835="")),MAX(#REF!)+1,IF(AND(E1836=1,E1835=1),J1835,""))</f>
        <v/>
      </c>
      <c r="K1836" s="32" t="str">
        <f t="shared" si="113"/>
        <v/>
      </c>
      <c r="L1836" s="32" t="str">
        <f t="shared" si="110"/>
        <v/>
      </c>
      <c r="M1836" s="32" t="str">
        <f t="shared" si="111"/>
        <v/>
      </c>
      <c r="N1836" s="4">
        <v>3</v>
      </c>
      <c r="O1836" s="58">
        <v>0</v>
      </c>
      <c r="P1836" s="58">
        <v>1</v>
      </c>
      <c r="Q1836" s="58">
        <v>0</v>
      </c>
      <c r="R1836" s="58">
        <v>0</v>
      </c>
      <c r="S1836" s="58">
        <v>0</v>
      </c>
      <c r="T1836" s="58">
        <v>0</v>
      </c>
      <c r="U1836" s="58">
        <v>0</v>
      </c>
      <c r="V1836" s="58">
        <v>0</v>
      </c>
      <c r="AG1836" t="s">
        <v>1557</v>
      </c>
      <c r="AM1836" s="1" t="str">
        <f t="shared" si="112"/>
        <v>1834_C0013_2325.jpg</v>
      </c>
    </row>
    <row r="1837" spans="1:39" x14ac:dyDescent="0.35">
      <c r="A1837">
        <v>1833</v>
      </c>
      <c r="B1837">
        <v>1834</v>
      </c>
      <c r="F1837" s="64" t="s">
        <v>4873</v>
      </c>
      <c r="G1837" s="64"/>
      <c r="H1837" s="64"/>
      <c r="I1837" s="64">
        <v>1</v>
      </c>
      <c r="J1837" s="32" t="str">
        <f>IF(AND(E1837=1,OR(E1836=0,E1836="")),MAX(#REF!)+1,IF(AND(E1837=1,E1836=1),J1836,""))</f>
        <v/>
      </c>
      <c r="K1837" s="32" t="str">
        <f t="shared" si="113"/>
        <v/>
      </c>
      <c r="L1837" s="32" t="str">
        <f t="shared" si="110"/>
        <v/>
      </c>
      <c r="M1837" s="32" t="str">
        <f t="shared" si="111"/>
        <v/>
      </c>
      <c r="N1837" s="4">
        <v>3</v>
      </c>
      <c r="O1837" s="58">
        <v>0</v>
      </c>
      <c r="P1837" s="58">
        <v>1</v>
      </c>
      <c r="Q1837" s="58">
        <v>0</v>
      </c>
      <c r="R1837" s="58">
        <v>0</v>
      </c>
      <c r="S1837" s="58">
        <v>0</v>
      </c>
      <c r="T1837" s="58">
        <v>0</v>
      </c>
      <c r="U1837" s="58">
        <v>0</v>
      </c>
      <c r="V1837" s="58">
        <v>0</v>
      </c>
      <c r="AG1837" t="s">
        <v>1558</v>
      </c>
      <c r="AM1837" s="1" t="str">
        <f t="shared" si="112"/>
        <v>1835_C0013_2322.jpg</v>
      </c>
    </row>
    <row r="1838" spans="1:39" x14ac:dyDescent="0.35">
      <c r="A1838">
        <v>1834</v>
      </c>
      <c r="B1838">
        <v>1835</v>
      </c>
      <c r="F1838" s="64" t="s">
        <v>4874</v>
      </c>
      <c r="G1838" s="64"/>
      <c r="H1838" s="64"/>
      <c r="I1838" s="64">
        <v>0</v>
      </c>
      <c r="J1838" s="32" t="str">
        <f>IF(AND(E1838=1,OR(E1837=0,E1837="")),MAX(#REF!)+1,IF(AND(E1838=1,E1837=1),J1837,""))</f>
        <v/>
      </c>
      <c r="K1838" s="32" t="str">
        <f t="shared" si="113"/>
        <v/>
      </c>
      <c r="L1838" s="32" t="str">
        <f t="shared" si="110"/>
        <v/>
      </c>
      <c r="M1838" s="32" t="str">
        <f t="shared" si="111"/>
        <v/>
      </c>
      <c r="N1838" s="4">
        <v>2</v>
      </c>
      <c r="O1838" s="58">
        <v>0</v>
      </c>
      <c r="P1838" s="58">
        <v>1</v>
      </c>
      <c r="Q1838" s="58">
        <v>0</v>
      </c>
      <c r="R1838" s="58">
        <v>0</v>
      </c>
      <c r="S1838" s="58">
        <v>0</v>
      </c>
      <c r="T1838" s="58">
        <v>0</v>
      </c>
      <c r="U1838" s="58">
        <v>0</v>
      </c>
      <c r="V1838" s="58">
        <v>0</v>
      </c>
      <c r="AG1838" t="s">
        <v>1559</v>
      </c>
      <c r="AM1838" s="1" t="str">
        <f t="shared" si="112"/>
        <v>1836_C0013_2319.jpg</v>
      </c>
    </row>
    <row r="1839" spans="1:39" x14ac:dyDescent="0.35">
      <c r="A1839">
        <v>1835</v>
      </c>
      <c r="B1839">
        <v>1836</v>
      </c>
      <c r="F1839" s="64" t="s">
        <v>4875</v>
      </c>
      <c r="G1839" s="64"/>
      <c r="H1839" s="64"/>
      <c r="I1839" s="64">
        <v>0</v>
      </c>
      <c r="J1839" s="32" t="str">
        <f>IF(AND(E1839=1,OR(E1838=0,E1838="")),MAX(#REF!)+1,IF(AND(E1839=1,E1838=1),J1838,""))</f>
        <v/>
      </c>
      <c r="K1839" s="32" t="str">
        <f t="shared" si="113"/>
        <v/>
      </c>
      <c r="L1839" s="32" t="str">
        <f t="shared" si="110"/>
        <v/>
      </c>
      <c r="M1839" s="32" t="str">
        <f t="shared" si="111"/>
        <v/>
      </c>
      <c r="N1839" s="4">
        <v>2</v>
      </c>
      <c r="O1839" s="58">
        <v>0</v>
      </c>
      <c r="P1839" s="58">
        <v>1</v>
      </c>
      <c r="Q1839" s="58">
        <v>0</v>
      </c>
      <c r="R1839" s="58">
        <v>0</v>
      </c>
      <c r="S1839" s="58">
        <v>0</v>
      </c>
      <c r="T1839" s="58">
        <v>0</v>
      </c>
      <c r="U1839" s="58">
        <v>0</v>
      </c>
      <c r="V1839" s="58">
        <v>0</v>
      </c>
      <c r="AG1839" t="s">
        <v>1560</v>
      </c>
      <c r="AM1839" s="1" t="str">
        <f t="shared" si="112"/>
        <v>1837_C0013_2316.jpg</v>
      </c>
    </row>
    <row r="1840" spans="1:39" x14ac:dyDescent="0.35">
      <c r="A1840">
        <v>1836</v>
      </c>
      <c r="B1840">
        <v>1837</v>
      </c>
      <c r="F1840" s="64" t="s">
        <v>4876</v>
      </c>
      <c r="G1840" s="64"/>
      <c r="H1840" s="64"/>
      <c r="I1840" s="64">
        <v>0</v>
      </c>
      <c r="J1840" s="32" t="str">
        <f>IF(AND(E1840=1,OR(E1839=0,E1839="")),MAX(#REF!)+1,IF(AND(E1840=1,E1839=1),J1839,""))</f>
        <v/>
      </c>
      <c r="K1840" s="32" t="str">
        <f t="shared" si="113"/>
        <v/>
      </c>
      <c r="L1840" s="32" t="str">
        <f t="shared" si="110"/>
        <v/>
      </c>
      <c r="M1840" s="32" t="str">
        <f t="shared" si="111"/>
        <v/>
      </c>
      <c r="N1840" s="4">
        <v>2</v>
      </c>
      <c r="O1840" s="58">
        <v>0</v>
      </c>
      <c r="P1840" s="58">
        <v>1</v>
      </c>
      <c r="Q1840" s="58">
        <v>0</v>
      </c>
      <c r="R1840" s="58">
        <v>0</v>
      </c>
      <c r="S1840" s="58">
        <v>0</v>
      </c>
      <c r="T1840" s="58">
        <v>0</v>
      </c>
      <c r="U1840" s="58">
        <v>0</v>
      </c>
      <c r="V1840" s="58">
        <v>0</v>
      </c>
      <c r="AG1840" t="s">
        <v>1561</v>
      </c>
      <c r="AM1840" s="1" t="str">
        <f t="shared" si="112"/>
        <v>1838_C0013_2314.jpg</v>
      </c>
    </row>
    <row r="1841" spans="1:39" x14ac:dyDescent="0.35">
      <c r="A1841">
        <v>1837</v>
      </c>
      <c r="B1841">
        <v>1838</v>
      </c>
      <c r="F1841" s="64" t="s">
        <v>4877</v>
      </c>
      <c r="G1841" s="64"/>
      <c r="H1841" s="64"/>
      <c r="I1841" s="64">
        <v>1</v>
      </c>
      <c r="J1841" s="32" t="str">
        <f>IF(AND(E1841=1,OR(E1840=0,E1840="")),MAX(#REF!)+1,IF(AND(E1841=1,E1840=1),J1840,""))</f>
        <v/>
      </c>
      <c r="K1841" s="32" t="str">
        <f t="shared" si="113"/>
        <v/>
      </c>
      <c r="L1841" s="32" t="str">
        <f t="shared" si="110"/>
        <v/>
      </c>
      <c r="M1841" s="32" t="str">
        <f t="shared" si="111"/>
        <v/>
      </c>
      <c r="N1841" s="4">
        <v>2</v>
      </c>
      <c r="O1841" s="58">
        <v>0</v>
      </c>
      <c r="P1841" s="58">
        <v>1</v>
      </c>
      <c r="Q1841" s="58">
        <v>0</v>
      </c>
      <c r="R1841" s="58">
        <v>0</v>
      </c>
      <c r="S1841" s="58">
        <v>1</v>
      </c>
      <c r="T1841" s="58">
        <v>0</v>
      </c>
      <c r="U1841" s="58">
        <v>0</v>
      </c>
      <c r="V1841" s="58">
        <v>0</v>
      </c>
      <c r="AG1841" t="s">
        <v>1562</v>
      </c>
      <c r="AM1841" s="1" t="str">
        <f t="shared" si="112"/>
        <v>1839_C0013_2310.jpg</v>
      </c>
    </row>
    <row r="1842" spans="1:39" x14ac:dyDescent="0.35">
      <c r="A1842">
        <v>1838</v>
      </c>
      <c r="B1842">
        <v>1839</v>
      </c>
      <c r="F1842" s="64" t="s">
        <v>4878</v>
      </c>
      <c r="G1842" s="64"/>
      <c r="H1842" s="64"/>
      <c r="I1842" s="64">
        <v>1</v>
      </c>
      <c r="J1842" s="32" t="str">
        <f>IF(AND(E1842=1,OR(E1841=0,E1841="")),MAX(#REF!)+1,IF(AND(E1842=1,E1841=1),J1841,""))</f>
        <v/>
      </c>
      <c r="K1842" s="32" t="str">
        <f t="shared" si="113"/>
        <v/>
      </c>
      <c r="L1842" s="32" t="str">
        <f t="shared" si="110"/>
        <v/>
      </c>
      <c r="M1842" s="32" t="str">
        <f t="shared" si="111"/>
        <v/>
      </c>
      <c r="N1842" s="4">
        <v>2</v>
      </c>
      <c r="O1842" s="58">
        <v>0</v>
      </c>
      <c r="P1842" s="58">
        <v>1</v>
      </c>
      <c r="Q1842" s="58">
        <v>0</v>
      </c>
      <c r="R1842" s="58">
        <v>0</v>
      </c>
      <c r="S1842" s="58">
        <v>0</v>
      </c>
      <c r="T1842" s="58">
        <v>0</v>
      </c>
      <c r="U1842" s="58">
        <v>0</v>
      </c>
      <c r="V1842" s="58">
        <v>0</v>
      </c>
      <c r="AG1842" t="s">
        <v>1563</v>
      </c>
      <c r="AM1842" s="1" t="str">
        <f t="shared" si="112"/>
        <v>1840_C0013_2307.jpg</v>
      </c>
    </row>
    <row r="1843" spans="1:39" x14ac:dyDescent="0.35">
      <c r="A1843">
        <v>1839</v>
      </c>
      <c r="B1843">
        <v>1840</v>
      </c>
      <c r="F1843" s="64" t="s">
        <v>4879</v>
      </c>
      <c r="G1843" s="64"/>
      <c r="H1843" s="64"/>
      <c r="I1843" s="64">
        <v>1</v>
      </c>
      <c r="J1843" s="32" t="str">
        <f>IF(AND(E1843=1,OR(E1842=0,E1842="")),MAX(#REF!)+1,IF(AND(E1843=1,E1842=1),J1842,""))</f>
        <v/>
      </c>
      <c r="K1843" s="32" t="str">
        <f t="shared" si="113"/>
        <v/>
      </c>
      <c r="L1843" s="32" t="str">
        <f t="shared" si="110"/>
        <v/>
      </c>
      <c r="M1843" s="32" t="str">
        <f t="shared" si="111"/>
        <v/>
      </c>
      <c r="N1843" s="4">
        <v>2</v>
      </c>
      <c r="O1843" s="58">
        <v>0</v>
      </c>
      <c r="P1843" s="58">
        <v>1</v>
      </c>
      <c r="Q1843" s="58">
        <v>0</v>
      </c>
      <c r="R1843" s="58">
        <v>0</v>
      </c>
      <c r="S1843" s="58">
        <v>0</v>
      </c>
      <c r="T1843" s="58">
        <v>0</v>
      </c>
      <c r="U1843" s="58">
        <v>0</v>
      </c>
      <c r="V1843" s="58">
        <v>0</v>
      </c>
      <c r="AG1843" t="s">
        <v>1564</v>
      </c>
      <c r="AM1843" s="1" t="str">
        <f t="shared" si="112"/>
        <v>1841_C0013_2303.jpg</v>
      </c>
    </row>
    <row r="1844" spans="1:39" x14ac:dyDescent="0.35">
      <c r="A1844">
        <v>1840</v>
      </c>
      <c r="B1844">
        <v>1841</v>
      </c>
      <c r="F1844" s="64" t="s">
        <v>4880</v>
      </c>
      <c r="G1844" s="64"/>
      <c r="H1844" s="64"/>
      <c r="I1844" s="64">
        <v>1</v>
      </c>
      <c r="J1844" s="32" t="str">
        <f>IF(AND(E1844=1,OR(E1843=0,E1843="")),MAX(#REF!)+1,IF(AND(E1844=1,E1843=1),J1843,""))</f>
        <v/>
      </c>
      <c r="K1844" s="32" t="str">
        <f t="shared" si="113"/>
        <v/>
      </c>
      <c r="L1844" s="32" t="str">
        <f t="shared" si="110"/>
        <v/>
      </c>
      <c r="M1844" s="32" t="str">
        <f t="shared" si="111"/>
        <v/>
      </c>
      <c r="N1844" s="4">
        <v>2</v>
      </c>
      <c r="O1844" s="58">
        <v>0</v>
      </c>
      <c r="P1844" s="58">
        <v>1</v>
      </c>
      <c r="Q1844" s="58">
        <v>0</v>
      </c>
      <c r="R1844" s="58">
        <v>1</v>
      </c>
      <c r="S1844" s="58">
        <v>0</v>
      </c>
      <c r="T1844" s="58">
        <v>0</v>
      </c>
      <c r="U1844" s="58">
        <v>0</v>
      </c>
      <c r="V1844" s="58">
        <v>0</v>
      </c>
      <c r="AG1844" t="s">
        <v>1565</v>
      </c>
      <c r="AM1844" s="1" t="str">
        <f t="shared" si="112"/>
        <v>1842_C0013_2301.jpg</v>
      </c>
    </row>
    <row r="1845" spans="1:39" x14ac:dyDescent="0.35">
      <c r="A1845">
        <v>1841</v>
      </c>
      <c r="B1845">
        <v>1842</v>
      </c>
      <c r="F1845" s="64" t="s">
        <v>4881</v>
      </c>
      <c r="G1845" s="64"/>
      <c r="H1845" s="64"/>
      <c r="I1845" s="64">
        <v>1</v>
      </c>
      <c r="J1845" s="32" t="str">
        <f>IF(AND(E1845=1,OR(E1844=0,E1844="")),MAX(#REF!)+1,IF(AND(E1845=1,E1844=1),J1844,""))</f>
        <v/>
      </c>
      <c r="K1845" s="32" t="str">
        <f t="shared" si="113"/>
        <v/>
      </c>
      <c r="L1845" s="32" t="str">
        <f t="shared" si="110"/>
        <v/>
      </c>
      <c r="M1845" s="32" t="str">
        <f t="shared" si="111"/>
        <v/>
      </c>
      <c r="N1845" s="4">
        <v>2</v>
      </c>
      <c r="O1845" s="58">
        <v>0</v>
      </c>
      <c r="P1845" s="58">
        <v>1</v>
      </c>
      <c r="Q1845" s="58">
        <v>0</v>
      </c>
      <c r="R1845" s="58">
        <v>0</v>
      </c>
      <c r="S1845" s="58">
        <v>1</v>
      </c>
      <c r="T1845" s="58">
        <v>0</v>
      </c>
      <c r="U1845" s="58">
        <v>0</v>
      </c>
      <c r="V1845" s="58">
        <v>0</v>
      </c>
      <c r="AG1845" t="s">
        <v>1566</v>
      </c>
      <c r="AM1845" s="1" t="str">
        <f t="shared" si="112"/>
        <v>1843_C0013_2298.jpg</v>
      </c>
    </row>
    <row r="1846" spans="1:39" x14ac:dyDescent="0.35">
      <c r="A1846">
        <v>1842</v>
      </c>
      <c r="B1846">
        <v>1843</v>
      </c>
      <c r="F1846" s="64" t="s">
        <v>4882</v>
      </c>
      <c r="G1846" s="64"/>
      <c r="H1846" s="64"/>
      <c r="I1846" s="64">
        <v>1</v>
      </c>
      <c r="J1846" s="32" t="str">
        <f>IF(AND(E1846=1,OR(E1845=0,E1845="")),MAX(#REF!)+1,IF(AND(E1846=1,E1845=1),J1845,""))</f>
        <v/>
      </c>
      <c r="K1846" s="32" t="str">
        <f t="shared" si="113"/>
        <v/>
      </c>
      <c r="L1846" s="32" t="str">
        <f t="shared" si="110"/>
        <v/>
      </c>
      <c r="M1846" s="32" t="str">
        <f t="shared" si="111"/>
        <v/>
      </c>
      <c r="N1846" s="4">
        <v>2</v>
      </c>
      <c r="O1846" s="58">
        <v>0</v>
      </c>
      <c r="P1846" s="58">
        <v>1</v>
      </c>
      <c r="Q1846" s="58">
        <v>0</v>
      </c>
      <c r="R1846" s="58">
        <v>0</v>
      </c>
      <c r="S1846" s="58">
        <v>0</v>
      </c>
      <c r="T1846" s="58">
        <v>0</v>
      </c>
      <c r="U1846" s="58">
        <v>0</v>
      </c>
      <c r="V1846" s="58">
        <v>0</v>
      </c>
      <c r="AG1846" t="s">
        <v>1567</v>
      </c>
      <c r="AM1846" s="1" t="str">
        <f t="shared" si="112"/>
        <v>1844_C0013_2295.jpg</v>
      </c>
    </row>
    <row r="1847" spans="1:39" x14ac:dyDescent="0.35">
      <c r="A1847">
        <v>1843</v>
      </c>
      <c r="B1847">
        <v>1844</v>
      </c>
      <c r="F1847" s="64" t="s">
        <v>4883</v>
      </c>
      <c r="G1847" s="64"/>
      <c r="H1847" s="64"/>
      <c r="I1847" s="64">
        <v>1</v>
      </c>
      <c r="J1847" s="32" t="str">
        <f>IF(AND(E1847=1,OR(E1846=0,E1846="")),MAX(#REF!)+1,IF(AND(E1847=1,E1846=1),J1846,""))</f>
        <v/>
      </c>
      <c r="K1847" s="32" t="str">
        <f t="shared" si="113"/>
        <v/>
      </c>
      <c r="L1847" s="32" t="str">
        <f t="shared" si="110"/>
        <v/>
      </c>
      <c r="M1847" s="32" t="str">
        <f t="shared" si="111"/>
        <v/>
      </c>
      <c r="N1847" s="4">
        <v>2</v>
      </c>
      <c r="O1847" s="58">
        <v>0</v>
      </c>
      <c r="P1847" s="58">
        <v>1</v>
      </c>
      <c r="Q1847" s="58">
        <v>0</v>
      </c>
      <c r="R1847" s="58">
        <v>0</v>
      </c>
      <c r="S1847" s="58">
        <v>0</v>
      </c>
      <c r="T1847" s="58">
        <v>0</v>
      </c>
      <c r="U1847" s="58">
        <v>0</v>
      </c>
      <c r="V1847" s="58">
        <v>0</v>
      </c>
      <c r="AG1847" t="s">
        <v>1568</v>
      </c>
      <c r="AM1847" s="1" t="str">
        <f t="shared" si="112"/>
        <v>1845_C0013_2292.jpg</v>
      </c>
    </row>
    <row r="1848" spans="1:39" x14ac:dyDescent="0.35">
      <c r="A1848">
        <v>1844</v>
      </c>
      <c r="B1848">
        <v>1845</v>
      </c>
      <c r="F1848" s="64" t="s">
        <v>4884</v>
      </c>
      <c r="G1848" s="64"/>
      <c r="H1848" s="64"/>
      <c r="I1848" s="64">
        <v>1</v>
      </c>
      <c r="J1848" s="32" t="str">
        <f>IF(AND(E1848=1,OR(E1847=0,E1847="")),MAX(#REF!)+1,IF(AND(E1848=1,E1847=1),J1847,""))</f>
        <v/>
      </c>
      <c r="K1848" s="32" t="str">
        <f t="shared" si="113"/>
        <v/>
      </c>
      <c r="L1848" s="32" t="str">
        <f t="shared" si="110"/>
        <v/>
      </c>
      <c r="M1848" s="32" t="str">
        <f t="shared" si="111"/>
        <v/>
      </c>
      <c r="N1848" s="4">
        <v>2</v>
      </c>
      <c r="O1848" s="58">
        <v>0</v>
      </c>
      <c r="P1848" s="58">
        <v>1</v>
      </c>
      <c r="Q1848" s="58">
        <v>0</v>
      </c>
      <c r="R1848" s="58">
        <v>0</v>
      </c>
      <c r="S1848" s="58">
        <v>0</v>
      </c>
      <c r="T1848" s="58">
        <v>0</v>
      </c>
      <c r="U1848" s="58">
        <v>0</v>
      </c>
      <c r="V1848" s="58">
        <v>0</v>
      </c>
      <c r="AG1848" t="s">
        <v>1569</v>
      </c>
      <c r="AM1848" s="1" t="str">
        <f t="shared" si="112"/>
        <v>1846_C0013_2288.jpg</v>
      </c>
    </row>
    <row r="1849" spans="1:39" x14ac:dyDescent="0.35">
      <c r="A1849">
        <v>1845</v>
      </c>
      <c r="B1849">
        <v>1846</v>
      </c>
      <c r="F1849" s="64" t="s">
        <v>4885</v>
      </c>
      <c r="G1849" s="64"/>
      <c r="H1849" s="64"/>
      <c r="I1849" s="64">
        <v>1</v>
      </c>
      <c r="J1849" s="32" t="str">
        <f>IF(AND(E1849=1,OR(E1848=0,E1848="")),MAX(#REF!)+1,IF(AND(E1849=1,E1848=1),J1848,""))</f>
        <v/>
      </c>
      <c r="K1849" s="32" t="str">
        <f t="shared" si="113"/>
        <v/>
      </c>
      <c r="L1849" s="32" t="str">
        <f t="shared" si="110"/>
        <v/>
      </c>
      <c r="M1849" s="32" t="str">
        <f t="shared" si="111"/>
        <v/>
      </c>
      <c r="N1849" s="4">
        <v>2</v>
      </c>
      <c r="O1849" s="58">
        <v>0</v>
      </c>
      <c r="P1849" s="58">
        <v>1</v>
      </c>
      <c r="Q1849" s="58">
        <v>0</v>
      </c>
      <c r="R1849" s="58">
        <v>0</v>
      </c>
      <c r="S1849" s="58">
        <v>0</v>
      </c>
      <c r="T1849" s="58">
        <v>0</v>
      </c>
      <c r="U1849" s="58">
        <v>0</v>
      </c>
      <c r="V1849" s="58">
        <v>0</v>
      </c>
      <c r="AG1849" t="s">
        <v>1570</v>
      </c>
      <c r="AM1849" s="1" t="str">
        <f t="shared" si="112"/>
        <v>1847_C0013_2285.jpg</v>
      </c>
    </row>
    <row r="1850" spans="1:39" x14ac:dyDescent="0.35">
      <c r="A1850">
        <v>1846</v>
      </c>
      <c r="B1850">
        <v>1847</v>
      </c>
      <c r="F1850" s="64" t="s">
        <v>4886</v>
      </c>
      <c r="G1850" s="64"/>
      <c r="H1850" s="64"/>
      <c r="I1850" s="64">
        <v>1</v>
      </c>
      <c r="J1850" s="32" t="str">
        <f>IF(AND(E1850=1,OR(E1849=0,E1849="")),MAX(#REF!)+1,IF(AND(E1850=1,E1849=1),J1849,""))</f>
        <v/>
      </c>
      <c r="K1850" s="32" t="str">
        <f t="shared" si="113"/>
        <v/>
      </c>
      <c r="L1850" s="32" t="str">
        <f t="shared" si="110"/>
        <v/>
      </c>
      <c r="M1850" s="32" t="str">
        <f t="shared" si="111"/>
        <v/>
      </c>
      <c r="N1850" s="4">
        <v>2</v>
      </c>
      <c r="O1850" s="58">
        <v>0</v>
      </c>
      <c r="P1850" s="58">
        <v>1</v>
      </c>
      <c r="Q1850" s="58">
        <v>0</v>
      </c>
      <c r="R1850" s="58">
        <v>0</v>
      </c>
      <c r="S1850" s="58">
        <v>0</v>
      </c>
      <c r="T1850" s="58">
        <v>0</v>
      </c>
      <c r="U1850" s="58">
        <v>0</v>
      </c>
      <c r="V1850" s="58">
        <v>0</v>
      </c>
      <c r="AG1850" t="s">
        <v>1571</v>
      </c>
      <c r="AM1850" s="1" t="str">
        <f t="shared" si="112"/>
        <v>1848_C0013_2280.jpg</v>
      </c>
    </row>
    <row r="1851" spans="1:39" x14ac:dyDescent="0.35">
      <c r="A1851">
        <v>1847</v>
      </c>
      <c r="B1851">
        <v>1848</v>
      </c>
      <c r="F1851" s="64" t="s">
        <v>4887</v>
      </c>
      <c r="G1851" s="64"/>
      <c r="H1851" s="64"/>
      <c r="I1851" s="64">
        <v>1</v>
      </c>
      <c r="J1851" s="32" t="str">
        <f>IF(AND(E1851=1,OR(E1850=0,E1850="")),MAX(#REF!)+1,IF(AND(E1851=1,E1850=1),J1850,""))</f>
        <v/>
      </c>
      <c r="K1851" s="32" t="str">
        <f t="shared" si="113"/>
        <v/>
      </c>
      <c r="L1851" s="32" t="str">
        <f t="shared" si="110"/>
        <v/>
      </c>
      <c r="M1851" s="32" t="str">
        <f t="shared" si="111"/>
        <v/>
      </c>
      <c r="N1851" s="4">
        <v>2</v>
      </c>
      <c r="O1851" s="58">
        <v>0</v>
      </c>
      <c r="P1851" s="58">
        <v>1</v>
      </c>
      <c r="Q1851" s="58">
        <v>0</v>
      </c>
      <c r="R1851" s="58">
        <v>0</v>
      </c>
      <c r="S1851" s="58">
        <v>0</v>
      </c>
      <c r="T1851" s="58">
        <v>0</v>
      </c>
      <c r="U1851" s="58">
        <v>0</v>
      </c>
      <c r="V1851" s="58">
        <v>0</v>
      </c>
      <c r="AG1851" t="s">
        <v>1572</v>
      </c>
      <c r="AM1851" s="1" t="str">
        <f t="shared" si="112"/>
        <v>1849_C0013_2276.jpg</v>
      </c>
    </row>
    <row r="1852" spans="1:39" x14ac:dyDescent="0.35">
      <c r="A1852">
        <v>1848</v>
      </c>
      <c r="B1852">
        <v>1849</v>
      </c>
      <c r="F1852" s="64" t="s">
        <v>4888</v>
      </c>
      <c r="G1852" s="64"/>
      <c r="H1852" s="64"/>
      <c r="I1852" s="64">
        <v>0</v>
      </c>
      <c r="J1852" s="32" t="str">
        <f>IF(AND(E1852=1,OR(E1851=0,E1851="")),MAX(#REF!)+1,IF(AND(E1852=1,E1851=1),J1851,""))</f>
        <v/>
      </c>
      <c r="K1852" s="32" t="str">
        <f t="shared" si="113"/>
        <v/>
      </c>
      <c r="L1852" s="32" t="str">
        <f t="shared" si="110"/>
        <v/>
      </c>
      <c r="M1852" s="32" t="str">
        <f t="shared" si="111"/>
        <v/>
      </c>
      <c r="N1852" s="4">
        <v>2</v>
      </c>
      <c r="O1852" s="58">
        <v>0</v>
      </c>
      <c r="P1852" s="58">
        <v>1</v>
      </c>
      <c r="Q1852" s="58">
        <v>0</v>
      </c>
      <c r="R1852" s="58">
        <v>0</v>
      </c>
      <c r="S1852" s="58">
        <v>0</v>
      </c>
      <c r="T1852" s="58">
        <v>0</v>
      </c>
      <c r="U1852" s="58">
        <v>0</v>
      </c>
      <c r="V1852" s="58">
        <v>0</v>
      </c>
      <c r="AG1852" t="s">
        <v>1573</v>
      </c>
      <c r="AM1852" s="1" t="str">
        <f t="shared" si="112"/>
        <v>1850_C0013_2273.jpg</v>
      </c>
    </row>
    <row r="1853" spans="1:39" x14ac:dyDescent="0.35">
      <c r="A1853">
        <v>1849</v>
      </c>
      <c r="B1853">
        <v>1850</v>
      </c>
      <c r="F1853" s="64" t="s">
        <v>4889</v>
      </c>
      <c r="G1853" s="64"/>
      <c r="H1853" s="64"/>
      <c r="I1853" s="64">
        <v>0</v>
      </c>
      <c r="J1853" s="32" t="str">
        <f>IF(AND(E1853=1,OR(E1852=0,E1852="")),MAX(#REF!)+1,IF(AND(E1853=1,E1852=1),J1852,""))</f>
        <v/>
      </c>
      <c r="K1853" s="32" t="str">
        <f t="shared" si="113"/>
        <v/>
      </c>
      <c r="L1853" s="32" t="str">
        <f t="shared" si="110"/>
        <v/>
      </c>
      <c r="M1853" s="32" t="str">
        <f t="shared" si="111"/>
        <v/>
      </c>
      <c r="N1853" s="4">
        <v>2</v>
      </c>
      <c r="O1853" s="58">
        <v>0</v>
      </c>
      <c r="P1853" s="58">
        <v>1</v>
      </c>
      <c r="Q1853" s="58">
        <v>0</v>
      </c>
      <c r="R1853" s="58">
        <v>0</v>
      </c>
      <c r="S1853" s="58">
        <v>0</v>
      </c>
      <c r="T1853" s="58">
        <v>0</v>
      </c>
      <c r="U1853" s="58">
        <v>0</v>
      </c>
      <c r="V1853" s="58">
        <v>0</v>
      </c>
      <c r="AG1853" t="s">
        <v>1574</v>
      </c>
      <c r="AM1853" s="1" t="str">
        <f t="shared" si="112"/>
        <v>1851_C0013_2271.jpg</v>
      </c>
    </row>
    <row r="1854" spans="1:39" x14ac:dyDescent="0.35">
      <c r="A1854">
        <v>1850</v>
      </c>
      <c r="B1854">
        <v>1851</v>
      </c>
      <c r="F1854" s="64" t="s">
        <v>4890</v>
      </c>
      <c r="G1854" s="64"/>
      <c r="H1854" s="64"/>
      <c r="I1854" s="64">
        <v>0</v>
      </c>
      <c r="J1854" s="32" t="str">
        <f>IF(AND(E1854=1,OR(E1853=0,E1853="")),MAX(#REF!)+1,IF(AND(E1854=1,E1853=1),J1853,""))</f>
        <v/>
      </c>
      <c r="K1854" s="32" t="str">
        <f t="shared" si="113"/>
        <v/>
      </c>
      <c r="L1854" s="32" t="str">
        <f t="shared" si="110"/>
        <v/>
      </c>
      <c r="M1854" s="32" t="str">
        <f t="shared" si="111"/>
        <v/>
      </c>
      <c r="N1854" s="4">
        <v>2</v>
      </c>
      <c r="O1854" s="58">
        <v>0</v>
      </c>
      <c r="P1854" s="58">
        <v>1</v>
      </c>
      <c r="Q1854" s="58">
        <v>2</v>
      </c>
      <c r="R1854" s="58">
        <v>0</v>
      </c>
      <c r="S1854" s="58">
        <v>0</v>
      </c>
      <c r="T1854" s="58">
        <v>0</v>
      </c>
      <c r="U1854" s="58">
        <v>0</v>
      </c>
      <c r="V1854" s="58">
        <v>0</v>
      </c>
      <c r="AG1854" t="s">
        <v>1575</v>
      </c>
      <c r="AM1854" s="1" t="str">
        <f t="shared" si="112"/>
        <v>1852_C0013_2268.jpg</v>
      </c>
    </row>
    <row r="1855" spans="1:39" x14ac:dyDescent="0.35">
      <c r="A1855">
        <v>1851</v>
      </c>
      <c r="B1855">
        <v>1852</v>
      </c>
      <c r="F1855" s="64" t="s">
        <v>4891</v>
      </c>
      <c r="G1855" s="64"/>
      <c r="H1855" s="64"/>
      <c r="I1855" s="64">
        <v>0</v>
      </c>
      <c r="J1855" s="32" t="str">
        <f>IF(AND(E1855=1,OR(E1854=0,E1854="")),MAX(#REF!)+1,IF(AND(E1855=1,E1854=1),J1854,""))</f>
        <v/>
      </c>
      <c r="K1855" s="32" t="str">
        <f t="shared" si="113"/>
        <v/>
      </c>
      <c r="L1855" s="32" t="str">
        <f t="shared" si="110"/>
        <v/>
      </c>
      <c r="M1855" s="32" t="str">
        <f t="shared" si="111"/>
        <v/>
      </c>
      <c r="N1855" s="4">
        <v>2</v>
      </c>
      <c r="O1855" s="58">
        <v>0</v>
      </c>
      <c r="P1855" s="58">
        <v>1</v>
      </c>
      <c r="Q1855" s="58">
        <v>0</v>
      </c>
      <c r="R1855" s="58">
        <v>0</v>
      </c>
      <c r="S1855" s="58">
        <v>0</v>
      </c>
      <c r="T1855" s="58">
        <v>0</v>
      </c>
      <c r="U1855" s="58">
        <v>0</v>
      </c>
      <c r="V1855" s="58">
        <v>0</v>
      </c>
      <c r="AG1855" t="s">
        <v>1576</v>
      </c>
      <c r="AM1855" s="1" t="str">
        <f t="shared" si="112"/>
        <v>1853_C0013_2266.jpg</v>
      </c>
    </row>
    <row r="1856" spans="1:39" x14ac:dyDescent="0.35">
      <c r="A1856">
        <v>1852</v>
      </c>
      <c r="B1856">
        <v>1853</v>
      </c>
      <c r="F1856" s="64" t="s">
        <v>4892</v>
      </c>
      <c r="G1856" s="64"/>
      <c r="H1856" s="64"/>
      <c r="I1856" s="64">
        <v>0</v>
      </c>
      <c r="J1856" s="32" t="str">
        <f>IF(AND(E1856=1,OR(E1855=0,E1855="")),MAX(#REF!)+1,IF(AND(E1856=1,E1855=1),J1855,""))</f>
        <v/>
      </c>
      <c r="K1856" s="32" t="str">
        <f t="shared" si="113"/>
        <v/>
      </c>
      <c r="L1856" s="32" t="str">
        <f t="shared" si="110"/>
        <v/>
      </c>
      <c r="M1856" s="32" t="str">
        <f t="shared" si="111"/>
        <v/>
      </c>
      <c r="N1856" s="4">
        <v>2</v>
      </c>
      <c r="O1856" s="58">
        <v>0</v>
      </c>
      <c r="P1856" s="58">
        <v>1</v>
      </c>
      <c r="Q1856" s="58">
        <v>0</v>
      </c>
      <c r="R1856" s="58">
        <v>0</v>
      </c>
      <c r="S1856" s="58">
        <v>0</v>
      </c>
      <c r="T1856" s="58">
        <v>0</v>
      </c>
      <c r="U1856" s="58">
        <v>0</v>
      </c>
      <c r="V1856" s="58">
        <v>0</v>
      </c>
      <c r="AG1856" t="s">
        <v>1577</v>
      </c>
      <c r="AM1856" s="1" t="str">
        <f t="shared" si="112"/>
        <v>1854_C0013_2263.jpg</v>
      </c>
    </row>
    <row r="1857" spans="1:39" x14ac:dyDescent="0.35">
      <c r="A1857">
        <v>1853</v>
      </c>
      <c r="B1857">
        <v>1854</v>
      </c>
      <c r="F1857" s="64" t="s">
        <v>4893</v>
      </c>
      <c r="G1857" s="64"/>
      <c r="H1857" s="64"/>
      <c r="I1857" s="64">
        <v>0</v>
      </c>
      <c r="J1857" s="32" t="str">
        <f>IF(AND(E1857=1,OR(E1856=0,E1856="")),MAX(#REF!)+1,IF(AND(E1857=1,E1856=1),J1856,""))</f>
        <v/>
      </c>
      <c r="K1857" s="32" t="str">
        <f t="shared" si="113"/>
        <v/>
      </c>
      <c r="L1857" s="32" t="str">
        <f t="shared" si="110"/>
        <v/>
      </c>
      <c r="M1857" s="32" t="str">
        <f t="shared" si="111"/>
        <v/>
      </c>
      <c r="N1857" s="4">
        <v>2</v>
      </c>
      <c r="O1857" s="58">
        <v>0</v>
      </c>
      <c r="P1857" s="58">
        <v>1</v>
      </c>
      <c r="Q1857" s="58">
        <v>0</v>
      </c>
      <c r="R1857" s="58">
        <v>0</v>
      </c>
      <c r="S1857" s="58">
        <v>0</v>
      </c>
      <c r="T1857" s="58">
        <v>0</v>
      </c>
      <c r="U1857" s="58">
        <v>0</v>
      </c>
      <c r="V1857" s="58">
        <v>0</v>
      </c>
      <c r="AG1857" t="s">
        <v>1578</v>
      </c>
      <c r="AM1857" s="1" t="str">
        <f t="shared" si="112"/>
        <v>1855_C0013_2261.jpg</v>
      </c>
    </row>
    <row r="1858" spans="1:39" x14ac:dyDescent="0.35">
      <c r="A1858">
        <v>1854</v>
      </c>
      <c r="B1858">
        <v>1855</v>
      </c>
      <c r="F1858" s="64" t="s">
        <v>4894</v>
      </c>
      <c r="G1858" s="64"/>
      <c r="H1858" s="64"/>
      <c r="I1858" s="64">
        <v>0</v>
      </c>
      <c r="J1858" s="32" t="str">
        <f>IF(AND(E1858=1,OR(E1857=0,E1857="")),MAX(#REF!)+1,IF(AND(E1858=1,E1857=1),J1857,""))</f>
        <v/>
      </c>
      <c r="K1858" s="32" t="str">
        <f t="shared" si="113"/>
        <v/>
      </c>
      <c r="L1858" s="32" t="str">
        <f t="shared" si="110"/>
        <v/>
      </c>
      <c r="M1858" s="32" t="str">
        <f t="shared" si="111"/>
        <v/>
      </c>
      <c r="N1858" s="4">
        <v>2</v>
      </c>
      <c r="O1858" s="58">
        <v>0</v>
      </c>
      <c r="P1858" s="58">
        <v>1</v>
      </c>
      <c r="Q1858" s="58">
        <v>0</v>
      </c>
      <c r="R1858" s="58">
        <v>0</v>
      </c>
      <c r="S1858" s="58">
        <v>0</v>
      </c>
      <c r="T1858" s="58">
        <v>0</v>
      </c>
      <c r="U1858" s="58">
        <v>0</v>
      </c>
      <c r="V1858" s="58">
        <v>0</v>
      </c>
      <c r="AG1858" t="s">
        <v>1579</v>
      </c>
      <c r="AM1858" s="1" t="str">
        <f t="shared" si="112"/>
        <v>1856_C0013_2258.jpg</v>
      </c>
    </row>
    <row r="1859" spans="1:39" x14ac:dyDescent="0.35">
      <c r="A1859">
        <v>1855</v>
      </c>
      <c r="B1859">
        <v>1856</v>
      </c>
      <c r="F1859" s="64" t="s">
        <v>4895</v>
      </c>
      <c r="G1859" s="64"/>
      <c r="H1859" s="64"/>
      <c r="I1859" s="64">
        <v>1</v>
      </c>
      <c r="J1859" s="32" t="str">
        <f>IF(AND(E1859=1,OR(E1858=0,E1858="")),MAX(#REF!)+1,IF(AND(E1859=1,E1858=1),J1858,""))</f>
        <v/>
      </c>
      <c r="K1859" s="32" t="str">
        <f t="shared" si="113"/>
        <v/>
      </c>
      <c r="L1859" s="32" t="str">
        <f t="shared" si="110"/>
        <v/>
      </c>
      <c r="M1859" s="32" t="str">
        <f t="shared" si="111"/>
        <v/>
      </c>
      <c r="N1859" s="4">
        <v>1</v>
      </c>
      <c r="O1859" s="58">
        <v>0</v>
      </c>
      <c r="P1859" s="58">
        <v>0</v>
      </c>
      <c r="Q1859" s="58">
        <v>0</v>
      </c>
      <c r="R1859" s="58">
        <v>0</v>
      </c>
      <c r="S1859" s="58">
        <v>0</v>
      </c>
      <c r="T1859" s="58">
        <v>0</v>
      </c>
      <c r="U1859" s="58">
        <v>1</v>
      </c>
      <c r="V1859" s="58">
        <v>0</v>
      </c>
      <c r="AG1859" t="s">
        <v>1580</v>
      </c>
      <c r="AM1859" s="1" t="str">
        <f t="shared" si="112"/>
        <v>1857_C0013_2254.jpg</v>
      </c>
    </row>
    <row r="1860" spans="1:39" x14ac:dyDescent="0.35">
      <c r="A1860">
        <v>1856</v>
      </c>
      <c r="B1860">
        <v>1857</v>
      </c>
      <c r="F1860" s="64" t="s">
        <v>4896</v>
      </c>
      <c r="G1860" s="64"/>
      <c r="H1860" s="64"/>
      <c r="I1860" s="64">
        <v>1</v>
      </c>
      <c r="J1860" s="32" t="str">
        <f>IF(AND(E1860=1,OR(E1859=0,E1859="")),MAX(#REF!)+1,IF(AND(E1860=1,E1859=1),J1859,""))</f>
        <v/>
      </c>
      <c r="K1860" s="32" t="str">
        <f t="shared" si="113"/>
        <v/>
      </c>
      <c r="L1860" s="32" t="str">
        <f t="shared" ref="L1860:L1923" si="114">IF(K1860="","",IF(K1860&gt;=100,"HV",""))</f>
        <v/>
      </c>
      <c r="M1860" s="32" t="str">
        <f t="shared" ref="M1860:M1923" si="115">IF(K1860&lt;&gt;"",K1860^2,"")</f>
        <v/>
      </c>
      <c r="N1860" s="4">
        <v>1</v>
      </c>
      <c r="O1860" s="58">
        <v>0</v>
      </c>
      <c r="P1860" s="58">
        <v>0</v>
      </c>
      <c r="Q1860" s="58">
        <v>0</v>
      </c>
      <c r="R1860" s="58">
        <v>0</v>
      </c>
      <c r="S1860" s="58">
        <v>0</v>
      </c>
      <c r="T1860" s="58">
        <v>0</v>
      </c>
      <c r="U1860" s="58">
        <v>0</v>
      </c>
      <c r="V1860" s="58">
        <v>0</v>
      </c>
      <c r="AG1860" t="s">
        <v>1581</v>
      </c>
      <c r="AM1860" s="1" t="str">
        <f t="shared" si="112"/>
        <v>1858_C0013_2252.jpg</v>
      </c>
    </row>
    <row r="1861" spans="1:39" x14ac:dyDescent="0.35">
      <c r="A1861">
        <v>1857</v>
      </c>
      <c r="B1861">
        <v>1858</v>
      </c>
      <c r="F1861" s="64" t="s">
        <v>4897</v>
      </c>
      <c r="G1861" s="64"/>
      <c r="H1861" s="64"/>
      <c r="I1861" s="64">
        <v>1</v>
      </c>
      <c r="J1861" s="32" t="str">
        <f>IF(AND(E1861=1,OR(E1860=0,E1860="")),MAX(#REF!)+1,IF(AND(E1861=1,E1860=1),J1860,""))</f>
        <v/>
      </c>
      <c r="K1861" s="32" t="str">
        <f t="shared" si="113"/>
        <v/>
      </c>
      <c r="L1861" s="32" t="str">
        <f t="shared" si="114"/>
        <v/>
      </c>
      <c r="M1861" s="32" t="str">
        <f t="shared" si="115"/>
        <v/>
      </c>
      <c r="N1861" s="4">
        <v>1</v>
      </c>
      <c r="O1861" s="58">
        <v>0</v>
      </c>
      <c r="P1861" s="58">
        <v>0</v>
      </c>
      <c r="Q1861" s="58">
        <v>0</v>
      </c>
      <c r="R1861" s="58">
        <v>0</v>
      </c>
      <c r="S1861" s="58">
        <v>0</v>
      </c>
      <c r="T1861" s="58">
        <v>0</v>
      </c>
      <c r="U1861" s="58">
        <v>0</v>
      </c>
      <c r="V1861" s="58">
        <v>0</v>
      </c>
      <c r="AG1861" t="s">
        <v>1582</v>
      </c>
      <c r="AM1861" s="1" t="str">
        <f t="shared" si="112"/>
        <v>1859_C0013_2249.jpg</v>
      </c>
    </row>
    <row r="1862" spans="1:39" x14ac:dyDescent="0.35">
      <c r="A1862">
        <v>1858</v>
      </c>
      <c r="B1862">
        <v>1859</v>
      </c>
      <c r="F1862" s="64" t="s">
        <v>4898</v>
      </c>
      <c r="G1862" s="64"/>
      <c r="H1862" s="64"/>
      <c r="I1862" s="64">
        <v>1</v>
      </c>
      <c r="J1862" s="32" t="str">
        <f>IF(AND(E1862=1,OR(E1861=0,E1861="")),MAX(#REF!)+1,IF(AND(E1862=1,E1861=1),J1861,""))</f>
        <v/>
      </c>
      <c r="K1862" s="32" t="str">
        <f t="shared" si="113"/>
        <v/>
      </c>
      <c r="L1862" s="32" t="str">
        <f t="shared" si="114"/>
        <v/>
      </c>
      <c r="M1862" s="32" t="str">
        <f t="shared" si="115"/>
        <v/>
      </c>
      <c r="N1862" s="4">
        <v>1</v>
      </c>
      <c r="O1862" s="58">
        <v>0</v>
      </c>
      <c r="P1862" s="58">
        <v>0</v>
      </c>
      <c r="Q1862" s="58">
        <v>2</v>
      </c>
      <c r="R1862" s="58">
        <v>0</v>
      </c>
      <c r="S1862" s="58">
        <v>0</v>
      </c>
      <c r="T1862" s="58">
        <v>0</v>
      </c>
      <c r="U1862" s="58">
        <v>0</v>
      </c>
      <c r="V1862" s="58">
        <v>0</v>
      </c>
      <c r="AG1862" t="s">
        <v>1583</v>
      </c>
      <c r="AM1862" s="1" t="str">
        <f t="shared" si="112"/>
        <v>1860_C0013_2246.jpg</v>
      </c>
    </row>
    <row r="1863" spans="1:39" x14ac:dyDescent="0.35">
      <c r="A1863">
        <v>1859</v>
      </c>
      <c r="B1863">
        <v>1860</v>
      </c>
      <c r="F1863" s="64" t="s">
        <v>4899</v>
      </c>
      <c r="G1863" s="64"/>
      <c r="H1863" s="64"/>
      <c r="I1863" s="64">
        <v>1</v>
      </c>
      <c r="J1863" s="32" t="str">
        <f>IF(AND(E1863=1,OR(E1862=0,E1862="")),MAX(#REF!)+1,IF(AND(E1863=1,E1862=1),J1862,""))</f>
        <v/>
      </c>
      <c r="K1863" s="32" t="str">
        <f t="shared" si="113"/>
        <v/>
      </c>
      <c r="L1863" s="32" t="str">
        <f t="shared" si="114"/>
        <v/>
      </c>
      <c r="M1863" s="32" t="str">
        <f t="shared" si="115"/>
        <v/>
      </c>
      <c r="N1863" s="4">
        <v>1</v>
      </c>
      <c r="O1863" s="58">
        <v>0</v>
      </c>
      <c r="P1863" s="58">
        <v>0</v>
      </c>
      <c r="Q1863" s="58">
        <v>0</v>
      </c>
      <c r="R1863" s="58">
        <v>0</v>
      </c>
      <c r="S1863" s="58">
        <v>0</v>
      </c>
      <c r="T1863" s="58">
        <v>0</v>
      </c>
      <c r="U1863" s="58">
        <v>0</v>
      </c>
      <c r="V1863" s="58">
        <v>0</v>
      </c>
      <c r="AG1863" t="s">
        <v>1584</v>
      </c>
      <c r="AM1863" s="1" t="str">
        <f t="shared" si="112"/>
        <v>1861_C0013_2244.jpg</v>
      </c>
    </row>
    <row r="1864" spans="1:39" x14ac:dyDescent="0.35">
      <c r="A1864">
        <v>1860</v>
      </c>
      <c r="B1864">
        <v>1861</v>
      </c>
      <c r="F1864" s="64" t="s">
        <v>4900</v>
      </c>
      <c r="G1864" s="64"/>
      <c r="H1864" s="64"/>
      <c r="I1864" s="64">
        <v>1</v>
      </c>
      <c r="J1864" s="32" t="str">
        <f>IF(AND(E1864=1,OR(E1863=0,E1863="")),MAX(#REF!)+1,IF(AND(E1864=1,E1863=1),J1863,""))</f>
        <v/>
      </c>
      <c r="K1864" s="32" t="str">
        <f t="shared" si="113"/>
        <v/>
      </c>
      <c r="L1864" s="32" t="str">
        <f t="shared" si="114"/>
        <v/>
      </c>
      <c r="M1864" s="32" t="str">
        <f t="shared" si="115"/>
        <v/>
      </c>
      <c r="N1864" s="4">
        <v>2</v>
      </c>
      <c r="O1864" s="58">
        <v>0</v>
      </c>
      <c r="P1864" s="58">
        <v>1</v>
      </c>
      <c r="Q1864" s="58">
        <v>0</v>
      </c>
      <c r="R1864" s="58">
        <v>0</v>
      </c>
      <c r="S1864" s="58">
        <v>0</v>
      </c>
      <c r="T1864" s="58">
        <v>0</v>
      </c>
      <c r="U1864" s="58">
        <v>0</v>
      </c>
      <c r="V1864" s="58">
        <v>0</v>
      </c>
      <c r="AG1864" t="s">
        <v>1585</v>
      </c>
      <c r="AM1864" s="1" t="str">
        <f t="shared" si="112"/>
        <v>1862_C0013_2241.jpg</v>
      </c>
    </row>
    <row r="1865" spans="1:39" x14ac:dyDescent="0.35">
      <c r="A1865">
        <v>1861</v>
      </c>
      <c r="B1865">
        <v>1862</v>
      </c>
      <c r="F1865" s="64" t="s">
        <v>4901</v>
      </c>
      <c r="G1865" s="64"/>
      <c r="H1865" s="64"/>
      <c r="I1865" s="64">
        <v>1</v>
      </c>
      <c r="J1865" s="32" t="str">
        <f>IF(AND(E1865=1,OR(E1864=0,E1864="")),MAX(#REF!)+1,IF(AND(E1865=1,E1864=1),J1864,""))</f>
        <v/>
      </c>
      <c r="K1865" s="32" t="str">
        <f t="shared" si="113"/>
        <v/>
      </c>
      <c r="L1865" s="32" t="str">
        <f t="shared" si="114"/>
        <v/>
      </c>
      <c r="M1865" s="32" t="str">
        <f t="shared" si="115"/>
        <v/>
      </c>
      <c r="N1865" s="4">
        <v>1</v>
      </c>
      <c r="O1865" s="58">
        <v>0</v>
      </c>
      <c r="P1865" s="58">
        <v>0</v>
      </c>
      <c r="Q1865" s="58">
        <v>2</v>
      </c>
      <c r="R1865" s="58">
        <v>0</v>
      </c>
      <c r="S1865" s="58">
        <v>0</v>
      </c>
      <c r="T1865" s="58">
        <v>0</v>
      </c>
      <c r="U1865" s="58">
        <v>0</v>
      </c>
      <c r="V1865" s="58" t="s">
        <v>6905</v>
      </c>
      <c r="AG1865" t="s">
        <v>1586</v>
      </c>
      <c r="AM1865" s="1" t="str">
        <f t="shared" si="112"/>
        <v>1863_C0013_2238.jpg</v>
      </c>
    </row>
    <row r="1866" spans="1:39" x14ac:dyDescent="0.35">
      <c r="A1866">
        <v>1862</v>
      </c>
      <c r="B1866">
        <v>1863</v>
      </c>
      <c r="F1866" s="64" t="s">
        <v>4902</v>
      </c>
      <c r="G1866" s="64"/>
      <c r="H1866" s="64"/>
      <c r="I1866" s="64">
        <v>1</v>
      </c>
      <c r="J1866" s="32" t="str">
        <f>IF(AND(E1866=1,OR(E1865=0,E1865="")),MAX(#REF!)+1,IF(AND(E1866=1,E1865=1),J1865,""))</f>
        <v/>
      </c>
      <c r="K1866" s="32" t="str">
        <f t="shared" si="113"/>
        <v/>
      </c>
      <c r="L1866" s="32" t="str">
        <f t="shared" si="114"/>
        <v/>
      </c>
      <c r="M1866" s="32" t="str">
        <f t="shared" si="115"/>
        <v/>
      </c>
      <c r="N1866" s="4">
        <v>1</v>
      </c>
      <c r="O1866" s="58">
        <v>0</v>
      </c>
      <c r="P1866" s="58">
        <v>0</v>
      </c>
      <c r="Q1866" s="58">
        <v>2</v>
      </c>
      <c r="R1866" s="58">
        <v>0</v>
      </c>
      <c r="S1866" s="58">
        <v>0</v>
      </c>
      <c r="T1866" s="58">
        <v>0</v>
      </c>
      <c r="U1866" s="58">
        <v>0</v>
      </c>
      <c r="V1866" s="58" t="s">
        <v>6905</v>
      </c>
      <c r="AG1866" t="s">
        <v>1587</v>
      </c>
      <c r="AM1866" s="1" t="str">
        <f t="shared" si="112"/>
        <v>1864_C0013_2234.jpg</v>
      </c>
    </row>
    <row r="1867" spans="1:39" x14ac:dyDescent="0.35">
      <c r="A1867">
        <v>1863</v>
      </c>
      <c r="B1867">
        <v>1864</v>
      </c>
      <c r="F1867" s="64" t="s">
        <v>4903</v>
      </c>
      <c r="G1867" s="64"/>
      <c r="H1867" s="64"/>
      <c r="I1867" s="64">
        <v>1</v>
      </c>
      <c r="J1867" s="32" t="str">
        <f>IF(AND(E1867=1,OR(E1866=0,E1866="")),MAX(#REF!)+1,IF(AND(E1867=1,E1866=1),J1866,""))</f>
        <v/>
      </c>
      <c r="K1867" s="32" t="str">
        <f t="shared" si="113"/>
        <v/>
      </c>
      <c r="L1867" s="32" t="str">
        <f t="shared" si="114"/>
        <v/>
      </c>
      <c r="M1867" s="32" t="str">
        <f t="shared" si="115"/>
        <v/>
      </c>
      <c r="N1867" s="4">
        <v>1</v>
      </c>
      <c r="O1867" s="58">
        <v>0</v>
      </c>
      <c r="P1867" s="58">
        <v>0</v>
      </c>
      <c r="Q1867" s="58">
        <v>2</v>
      </c>
      <c r="R1867" s="58">
        <v>0</v>
      </c>
      <c r="S1867" s="58">
        <v>0</v>
      </c>
      <c r="T1867" s="58">
        <v>0</v>
      </c>
      <c r="U1867" s="58">
        <v>0</v>
      </c>
      <c r="V1867" s="58" t="s">
        <v>6905</v>
      </c>
      <c r="AG1867" t="s">
        <v>1588</v>
      </c>
      <c r="AM1867" s="1" t="str">
        <f t="shared" ref="AM1867:AM1930" si="116">HYPERLINK("E:\CAFNEC_GBRF\2023\JohnstoneRiver\Frames_for_Analysis\" &amp; F1868, F1868)</f>
        <v>1865_C0013_2231.jpg</v>
      </c>
    </row>
    <row r="1868" spans="1:39" x14ac:dyDescent="0.35">
      <c r="A1868">
        <v>1864</v>
      </c>
      <c r="B1868">
        <v>1865</v>
      </c>
      <c r="F1868" s="64" t="s">
        <v>4904</v>
      </c>
      <c r="G1868" s="64"/>
      <c r="H1868" s="64"/>
      <c r="I1868" s="64">
        <v>1</v>
      </c>
      <c r="J1868" s="32" t="str">
        <f>IF(AND(E1868=1,OR(E1867=0,E1867="")),MAX(#REF!)+1,IF(AND(E1868=1,E1867=1),J1867,""))</f>
        <v/>
      </c>
      <c r="K1868" s="32" t="str">
        <f t="shared" si="113"/>
        <v/>
      </c>
      <c r="L1868" s="32" t="str">
        <f t="shared" si="114"/>
        <v/>
      </c>
      <c r="M1868" s="32" t="str">
        <f t="shared" si="115"/>
        <v/>
      </c>
      <c r="N1868" s="4">
        <v>1</v>
      </c>
      <c r="O1868" s="58">
        <v>0</v>
      </c>
      <c r="P1868" s="58">
        <v>0</v>
      </c>
      <c r="Q1868" s="58">
        <v>0</v>
      </c>
      <c r="R1868" s="58">
        <v>0</v>
      </c>
      <c r="S1868" s="58">
        <v>0</v>
      </c>
      <c r="T1868" s="58">
        <v>0</v>
      </c>
      <c r="U1868" s="58">
        <v>0</v>
      </c>
      <c r="V1868" s="58">
        <v>0</v>
      </c>
      <c r="AG1868" t="s">
        <v>1589</v>
      </c>
      <c r="AM1868" s="1" t="str">
        <f t="shared" si="116"/>
        <v>1866_C0013_2228.jpg</v>
      </c>
    </row>
    <row r="1869" spans="1:39" x14ac:dyDescent="0.35">
      <c r="A1869">
        <v>1865</v>
      </c>
      <c r="B1869">
        <v>1866</v>
      </c>
      <c r="F1869" s="64" t="s">
        <v>4905</v>
      </c>
      <c r="G1869" s="64"/>
      <c r="H1869" s="64"/>
      <c r="I1869" s="64">
        <v>1</v>
      </c>
      <c r="J1869" s="32" t="str">
        <f>IF(AND(E1869=1,OR(E1868=0,E1868="")),MAX(#REF!)+1,IF(AND(E1869=1,E1868=1),J1868,""))</f>
        <v/>
      </c>
      <c r="K1869" s="32" t="str">
        <f t="shared" si="113"/>
        <v/>
      </c>
      <c r="L1869" s="32" t="str">
        <f t="shared" si="114"/>
        <v/>
      </c>
      <c r="M1869" s="32" t="str">
        <f t="shared" si="115"/>
        <v/>
      </c>
      <c r="N1869" s="4">
        <v>1</v>
      </c>
      <c r="O1869" s="58">
        <v>0</v>
      </c>
      <c r="P1869" s="58">
        <v>0</v>
      </c>
      <c r="Q1869" s="58">
        <v>0</v>
      </c>
      <c r="R1869" s="58">
        <v>1</v>
      </c>
      <c r="S1869" s="58">
        <v>0</v>
      </c>
      <c r="T1869" s="58">
        <v>0</v>
      </c>
      <c r="U1869" s="58">
        <v>0</v>
      </c>
      <c r="V1869" s="58">
        <v>0</v>
      </c>
      <c r="AG1869" t="s">
        <v>1590</v>
      </c>
      <c r="AM1869" s="1" t="str">
        <f t="shared" si="116"/>
        <v>1867_C0013_2225.jpg</v>
      </c>
    </row>
    <row r="1870" spans="1:39" x14ac:dyDescent="0.35">
      <c r="A1870">
        <v>1866</v>
      </c>
      <c r="B1870">
        <v>1867</v>
      </c>
      <c r="F1870" s="64" t="s">
        <v>4906</v>
      </c>
      <c r="G1870" s="64"/>
      <c r="H1870" s="64"/>
      <c r="I1870" s="64">
        <v>1</v>
      </c>
      <c r="J1870" s="32">
        <v>115</v>
      </c>
      <c r="K1870" s="32">
        <f t="shared" si="113"/>
        <v>10</v>
      </c>
      <c r="L1870" s="32" t="str">
        <f t="shared" si="114"/>
        <v/>
      </c>
      <c r="M1870" s="32">
        <f t="shared" si="115"/>
        <v>100</v>
      </c>
      <c r="N1870" s="4">
        <v>1</v>
      </c>
      <c r="O1870" s="58">
        <v>0</v>
      </c>
      <c r="P1870" s="58">
        <v>0</v>
      </c>
      <c r="Q1870" s="58">
        <v>0</v>
      </c>
      <c r="R1870" s="58">
        <v>0</v>
      </c>
      <c r="S1870" s="58">
        <v>0</v>
      </c>
      <c r="T1870" s="58">
        <v>0</v>
      </c>
      <c r="U1870" s="58">
        <v>0</v>
      </c>
      <c r="V1870" s="58">
        <v>0</v>
      </c>
      <c r="AG1870" t="s">
        <v>1591</v>
      </c>
      <c r="AM1870" s="1" t="str">
        <f t="shared" si="116"/>
        <v>1868_C0013_2222.jpg</v>
      </c>
    </row>
    <row r="1871" spans="1:39" x14ac:dyDescent="0.35">
      <c r="A1871">
        <v>1867</v>
      </c>
      <c r="B1871">
        <v>1868</v>
      </c>
      <c r="F1871" s="64" t="s">
        <v>4907</v>
      </c>
      <c r="G1871" s="64"/>
      <c r="H1871" s="64"/>
      <c r="I1871" s="64">
        <v>0</v>
      </c>
      <c r="J1871" s="32">
        <v>116</v>
      </c>
      <c r="K1871" s="32">
        <f t="shared" si="113"/>
        <v>10</v>
      </c>
      <c r="L1871" s="32" t="str">
        <f t="shared" si="114"/>
        <v/>
      </c>
      <c r="M1871" s="32">
        <f t="shared" si="115"/>
        <v>100</v>
      </c>
      <c r="N1871" s="4">
        <v>1</v>
      </c>
      <c r="O1871" s="58">
        <v>0</v>
      </c>
      <c r="P1871" s="58">
        <v>0</v>
      </c>
      <c r="Q1871" s="58">
        <v>0</v>
      </c>
      <c r="R1871" s="58">
        <v>0</v>
      </c>
      <c r="S1871" s="58">
        <v>0</v>
      </c>
      <c r="T1871" s="58">
        <v>0</v>
      </c>
      <c r="U1871" s="58">
        <v>0</v>
      </c>
      <c r="V1871" s="58">
        <v>0</v>
      </c>
      <c r="AG1871" t="s">
        <v>1592</v>
      </c>
      <c r="AM1871" s="1" t="str">
        <f t="shared" si="116"/>
        <v>1869_C0013_2218.jpg</v>
      </c>
    </row>
    <row r="1872" spans="1:39" x14ac:dyDescent="0.35">
      <c r="A1872">
        <v>1868</v>
      </c>
      <c r="B1872">
        <v>1869</v>
      </c>
      <c r="F1872" s="64" t="s">
        <v>4908</v>
      </c>
      <c r="G1872" s="64"/>
      <c r="H1872" s="64"/>
      <c r="I1872" s="64">
        <v>0</v>
      </c>
      <c r="J1872" s="32" t="str">
        <f>IF(AND(E1872=1,OR(E1871=0,E1871="")),MAX(#REF!)+1,IF(AND(E1872=1,E1871=1),J1871,""))</f>
        <v/>
      </c>
      <c r="K1872" s="32" t="str">
        <f t="shared" si="113"/>
        <v/>
      </c>
      <c r="L1872" s="32" t="str">
        <f t="shared" si="114"/>
        <v/>
      </c>
      <c r="M1872" s="32" t="str">
        <f t="shared" si="115"/>
        <v/>
      </c>
      <c r="N1872" s="4">
        <v>1</v>
      </c>
      <c r="O1872" s="58">
        <v>0</v>
      </c>
      <c r="P1872" s="58">
        <v>0</v>
      </c>
      <c r="Q1872" s="58">
        <v>0</v>
      </c>
      <c r="R1872" s="58">
        <v>0</v>
      </c>
      <c r="S1872" s="58">
        <v>0</v>
      </c>
      <c r="T1872" s="58">
        <v>0</v>
      </c>
      <c r="U1872" s="58">
        <v>0</v>
      </c>
      <c r="V1872" s="58">
        <v>0</v>
      </c>
      <c r="AG1872" t="s">
        <v>1593</v>
      </c>
      <c r="AM1872" s="1" t="str">
        <f t="shared" si="116"/>
        <v>1870_C0013_2216.jpg</v>
      </c>
    </row>
    <row r="1873" spans="1:39" x14ac:dyDescent="0.35">
      <c r="A1873">
        <v>1869</v>
      </c>
      <c r="B1873">
        <v>1870</v>
      </c>
      <c r="F1873" s="64" t="s">
        <v>4909</v>
      </c>
      <c r="G1873" s="64"/>
      <c r="H1873" s="64"/>
      <c r="I1873" s="64">
        <v>1</v>
      </c>
      <c r="J1873" s="32" t="str">
        <f>IF(AND(E1873=1,OR(E1872=0,E1872="")),MAX(#REF!)+1,IF(AND(E1873=1,E1872=1),J1872,""))</f>
        <v/>
      </c>
      <c r="K1873" s="32" t="str">
        <f t="shared" si="113"/>
        <v/>
      </c>
      <c r="L1873" s="32" t="str">
        <f t="shared" si="114"/>
        <v/>
      </c>
      <c r="M1873" s="32" t="str">
        <f t="shared" si="115"/>
        <v/>
      </c>
      <c r="N1873" s="4">
        <v>1</v>
      </c>
      <c r="O1873" s="58">
        <v>0</v>
      </c>
      <c r="P1873" s="58">
        <v>0</v>
      </c>
      <c r="Q1873" s="58">
        <v>0</v>
      </c>
      <c r="R1873" s="58">
        <v>0</v>
      </c>
      <c r="S1873" s="58">
        <v>0</v>
      </c>
      <c r="T1873" s="58">
        <v>0</v>
      </c>
      <c r="U1873" s="58">
        <v>0</v>
      </c>
      <c r="V1873" s="58">
        <v>0</v>
      </c>
      <c r="AG1873" t="s">
        <v>1594</v>
      </c>
      <c r="AM1873" s="1" t="str">
        <f t="shared" si="116"/>
        <v>1871_C0013_2213.jpg</v>
      </c>
    </row>
    <row r="1874" spans="1:39" x14ac:dyDescent="0.35">
      <c r="A1874">
        <v>1870</v>
      </c>
      <c r="B1874">
        <v>1871</v>
      </c>
      <c r="F1874" s="64" t="s">
        <v>4910</v>
      </c>
      <c r="G1874" s="64"/>
      <c r="H1874" s="64"/>
      <c r="I1874" s="64">
        <v>1</v>
      </c>
      <c r="J1874" s="32" t="str">
        <f>IF(AND(E1874=1,OR(E1873=0,E1873="")),MAX(#REF!)+1,IF(AND(E1874=1,E1873=1),J1873,""))</f>
        <v/>
      </c>
      <c r="K1874" s="32" t="str">
        <f t="shared" si="113"/>
        <v/>
      </c>
      <c r="L1874" s="32" t="str">
        <f t="shared" si="114"/>
        <v/>
      </c>
      <c r="M1874" s="32" t="str">
        <f t="shared" si="115"/>
        <v/>
      </c>
      <c r="N1874" s="4">
        <v>1</v>
      </c>
      <c r="O1874" s="58">
        <v>0</v>
      </c>
      <c r="P1874" s="58">
        <v>0</v>
      </c>
      <c r="Q1874" s="58">
        <v>3</v>
      </c>
      <c r="R1874" s="58">
        <v>0</v>
      </c>
      <c r="S1874" s="58">
        <v>0</v>
      </c>
      <c r="T1874" s="58">
        <v>0</v>
      </c>
      <c r="U1874" s="58">
        <v>0</v>
      </c>
      <c r="V1874" s="58" t="s">
        <v>6905</v>
      </c>
      <c r="AG1874" t="s">
        <v>1595</v>
      </c>
      <c r="AM1874" s="1" t="str">
        <f t="shared" si="116"/>
        <v>1872_C0013_2210.jpg</v>
      </c>
    </row>
    <row r="1875" spans="1:39" x14ac:dyDescent="0.35">
      <c r="A1875">
        <v>1871</v>
      </c>
      <c r="B1875">
        <v>1872</v>
      </c>
      <c r="F1875" s="64" t="s">
        <v>4911</v>
      </c>
      <c r="G1875" s="64"/>
      <c r="H1875" s="64"/>
      <c r="I1875" s="64">
        <v>1</v>
      </c>
      <c r="J1875" s="32" t="str">
        <f>IF(AND(E1875=1,OR(E1874=0,E1874="")),MAX(#REF!)+1,IF(AND(E1875=1,E1874=1),J1874,""))</f>
        <v/>
      </c>
      <c r="K1875" s="32" t="str">
        <f t="shared" si="113"/>
        <v/>
      </c>
      <c r="L1875" s="32" t="str">
        <f t="shared" si="114"/>
        <v/>
      </c>
      <c r="M1875" s="32" t="str">
        <f t="shared" si="115"/>
        <v/>
      </c>
      <c r="N1875" s="4">
        <v>1</v>
      </c>
      <c r="O1875" s="58">
        <v>0</v>
      </c>
      <c r="P1875" s="58">
        <v>0</v>
      </c>
      <c r="Q1875" s="58">
        <v>0</v>
      </c>
      <c r="R1875" s="58">
        <v>0</v>
      </c>
      <c r="S1875" s="58">
        <v>0</v>
      </c>
      <c r="T1875" s="58">
        <v>0</v>
      </c>
      <c r="U1875" s="58">
        <v>0</v>
      </c>
      <c r="V1875" s="58" t="s">
        <v>6905</v>
      </c>
      <c r="AG1875" t="s">
        <v>1596</v>
      </c>
      <c r="AM1875" s="1" t="str">
        <f t="shared" si="116"/>
        <v>1873_C0013_2206.jpg</v>
      </c>
    </row>
    <row r="1876" spans="1:39" x14ac:dyDescent="0.35">
      <c r="A1876">
        <v>1872</v>
      </c>
      <c r="B1876">
        <v>1873</v>
      </c>
      <c r="F1876" s="64" t="s">
        <v>4912</v>
      </c>
      <c r="G1876" s="64"/>
      <c r="H1876" s="64"/>
      <c r="I1876" s="64">
        <v>0</v>
      </c>
      <c r="J1876" s="32" t="str">
        <f>IF(AND(E1876=1,OR(E1875=0,E1875="")),MAX(#REF!)+1,IF(AND(E1876=1,E1875=1),J1875,""))</f>
        <v/>
      </c>
      <c r="K1876" s="32" t="str">
        <f t="shared" si="113"/>
        <v/>
      </c>
      <c r="L1876" s="32" t="str">
        <f t="shared" si="114"/>
        <v/>
      </c>
      <c r="M1876" s="32" t="str">
        <f t="shared" si="115"/>
        <v/>
      </c>
      <c r="N1876" s="4">
        <v>1</v>
      </c>
      <c r="O1876" s="58">
        <v>0</v>
      </c>
      <c r="P1876" s="58">
        <v>0</v>
      </c>
      <c r="Q1876" s="58">
        <v>0</v>
      </c>
      <c r="R1876" s="58">
        <v>0</v>
      </c>
      <c r="S1876" s="58">
        <v>0</v>
      </c>
      <c r="T1876" s="58">
        <v>0</v>
      </c>
      <c r="U1876" s="58">
        <v>0</v>
      </c>
      <c r="V1876" s="58" t="s">
        <v>6905</v>
      </c>
      <c r="AG1876" t="s">
        <v>1597</v>
      </c>
      <c r="AM1876" s="1" t="str">
        <f t="shared" si="116"/>
        <v>1874_C0013_2204.jpg</v>
      </c>
    </row>
    <row r="1877" spans="1:39" x14ac:dyDescent="0.35">
      <c r="A1877">
        <v>1873</v>
      </c>
      <c r="B1877">
        <v>1874</v>
      </c>
      <c r="F1877" s="64" t="s">
        <v>4913</v>
      </c>
      <c r="G1877" s="64"/>
      <c r="H1877" s="64"/>
      <c r="I1877" s="64">
        <v>1</v>
      </c>
      <c r="J1877" s="32">
        <v>117</v>
      </c>
      <c r="K1877" s="32">
        <f t="shared" si="113"/>
        <v>10</v>
      </c>
      <c r="L1877" s="32" t="str">
        <f t="shared" si="114"/>
        <v/>
      </c>
      <c r="M1877" s="32">
        <f t="shared" si="115"/>
        <v>100</v>
      </c>
      <c r="N1877" s="4">
        <v>1</v>
      </c>
      <c r="O1877" s="58">
        <v>0</v>
      </c>
      <c r="P1877" s="58">
        <v>0</v>
      </c>
      <c r="Q1877" s="58">
        <v>0</v>
      </c>
      <c r="R1877" s="58">
        <v>0</v>
      </c>
      <c r="S1877" s="58">
        <v>0</v>
      </c>
      <c r="T1877" s="58">
        <v>0</v>
      </c>
      <c r="U1877" s="58">
        <v>0</v>
      </c>
      <c r="V1877" s="58">
        <v>0</v>
      </c>
      <c r="AG1877" t="s">
        <v>1598</v>
      </c>
      <c r="AM1877" s="1" t="str">
        <f t="shared" si="116"/>
        <v>1875_C0013_2200.jpg</v>
      </c>
    </row>
    <row r="1878" spans="1:39" x14ac:dyDescent="0.35">
      <c r="A1878">
        <v>1874</v>
      </c>
      <c r="B1878">
        <v>1875</v>
      </c>
      <c r="F1878" s="64" t="s">
        <v>4914</v>
      </c>
      <c r="G1878" s="64"/>
      <c r="H1878" s="64"/>
      <c r="I1878" s="64">
        <v>1</v>
      </c>
      <c r="J1878" s="32">
        <v>118</v>
      </c>
      <c r="K1878" s="32">
        <f t="shared" si="113"/>
        <v>10</v>
      </c>
      <c r="L1878" s="32" t="str">
        <f t="shared" si="114"/>
        <v/>
      </c>
      <c r="M1878" s="32">
        <f t="shared" si="115"/>
        <v>100</v>
      </c>
      <c r="N1878" s="4">
        <v>1</v>
      </c>
      <c r="O1878" s="58">
        <v>0</v>
      </c>
      <c r="P1878" s="58">
        <v>0</v>
      </c>
      <c r="Q1878" s="58">
        <v>0</v>
      </c>
      <c r="R1878" s="58">
        <v>0</v>
      </c>
      <c r="S1878" s="58">
        <v>0</v>
      </c>
      <c r="T1878" s="58">
        <v>0</v>
      </c>
      <c r="U1878" s="58">
        <v>0</v>
      </c>
      <c r="V1878" s="58">
        <v>0</v>
      </c>
      <c r="AG1878" t="s">
        <v>1599</v>
      </c>
      <c r="AM1878" s="1" t="str">
        <f t="shared" si="116"/>
        <v>1876_C0013_2196.jpg</v>
      </c>
    </row>
    <row r="1879" spans="1:39" x14ac:dyDescent="0.35">
      <c r="A1879">
        <v>1875</v>
      </c>
      <c r="B1879">
        <v>1876</v>
      </c>
      <c r="F1879" s="64" t="s">
        <v>4915</v>
      </c>
      <c r="G1879" s="64"/>
      <c r="H1879" s="64"/>
      <c r="I1879" s="64">
        <v>1</v>
      </c>
      <c r="J1879" s="32" t="str">
        <f>IF(AND(E1879=1,OR(E1878=0,E1878="")),MAX(#REF!)+1,IF(AND(E1879=1,E1878=1),J1878,""))</f>
        <v/>
      </c>
      <c r="K1879" s="32" t="str">
        <f t="shared" si="113"/>
        <v/>
      </c>
      <c r="L1879" s="32" t="str">
        <f t="shared" si="114"/>
        <v/>
      </c>
      <c r="M1879" s="32" t="str">
        <f t="shared" si="115"/>
        <v/>
      </c>
      <c r="N1879" s="4">
        <v>1</v>
      </c>
      <c r="O1879" s="58">
        <v>0</v>
      </c>
      <c r="P1879" s="58">
        <v>0</v>
      </c>
      <c r="Q1879" s="58">
        <v>0</v>
      </c>
      <c r="R1879" s="58">
        <v>0</v>
      </c>
      <c r="S1879" s="58">
        <v>0</v>
      </c>
      <c r="T1879" s="58">
        <v>0</v>
      </c>
      <c r="U1879" s="58">
        <v>0</v>
      </c>
      <c r="V1879" s="58">
        <v>0</v>
      </c>
      <c r="AG1879" t="s">
        <v>1600</v>
      </c>
      <c r="AM1879" s="1" t="str">
        <f t="shared" si="116"/>
        <v>1877_C0013_2194.jpg</v>
      </c>
    </row>
    <row r="1880" spans="1:39" x14ac:dyDescent="0.35">
      <c r="A1880">
        <v>1876</v>
      </c>
      <c r="B1880">
        <v>1877</v>
      </c>
      <c r="F1880" s="64" t="s">
        <v>4916</v>
      </c>
      <c r="G1880" s="64"/>
      <c r="H1880" s="64"/>
      <c r="I1880" s="64">
        <v>0</v>
      </c>
      <c r="J1880" s="32" t="str">
        <f>IF(AND(E1880=1,OR(E1879=0,E1879="")),MAX(#REF!)+1,IF(AND(E1880=1,E1879=1),J1879,""))</f>
        <v/>
      </c>
      <c r="K1880" s="32" t="str">
        <f t="shared" si="113"/>
        <v/>
      </c>
      <c r="L1880" s="32" t="str">
        <f t="shared" si="114"/>
        <v/>
      </c>
      <c r="M1880" s="32" t="str">
        <f t="shared" si="115"/>
        <v/>
      </c>
      <c r="N1880" s="4">
        <v>1</v>
      </c>
      <c r="O1880" s="58">
        <v>0</v>
      </c>
      <c r="P1880" s="58">
        <v>0</v>
      </c>
      <c r="Q1880" s="58">
        <v>0</v>
      </c>
      <c r="R1880" s="58">
        <v>0</v>
      </c>
      <c r="S1880" s="58">
        <v>0</v>
      </c>
      <c r="T1880" s="58">
        <v>0</v>
      </c>
      <c r="U1880" s="58">
        <v>0</v>
      </c>
      <c r="V1880" s="58">
        <v>0</v>
      </c>
      <c r="AG1880" t="s">
        <v>1601</v>
      </c>
      <c r="AM1880" s="1" t="str">
        <f t="shared" si="116"/>
        <v>1878_C0013_2191.jpg</v>
      </c>
    </row>
    <row r="1881" spans="1:39" x14ac:dyDescent="0.35">
      <c r="A1881">
        <v>1877</v>
      </c>
      <c r="B1881">
        <v>1878</v>
      </c>
      <c r="F1881" s="64" t="s">
        <v>4917</v>
      </c>
      <c r="G1881" s="64"/>
      <c r="H1881" s="64"/>
      <c r="I1881" s="64">
        <v>0</v>
      </c>
      <c r="J1881" s="32" t="str">
        <f>IF(AND(E1881=1,OR(E1880=0,E1880="")),MAX(#REF!)+1,IF(AND(E1881=1,E1880=1),J1880,""))</f>
        <v/>
      </c>
      <c r="K1881" s="32" t="str">
        <f t="shared" si="113"/>
        <v/>
      </c>
      <c r="L1881" s="32" t="str">
        <f t="shared" si="114"/>
        <v/>
      </c>
      <c r="M1881" s="32" t="str">
        <f t="shared" si="115"/>
        <v/>
      </c>
      <c r="N1881" s="4">
        <v>1</v>
      </c>
      <c r="O1881" s="58">
        <v>0</v>
      </c>
      <c r="P1881" s="58">
        <v>0</v>
      </c>
      <c r="Q1881" s="58">
        <v>2</v>
      </c>
      <c r="R1881" s="58">
        <v>0</v>
      </c>
      <c r="S1881" s="58">
        <v>0</v>
      </c>
      <c r="T1881" s="58">
        <v>0</v>
      </c>
      <c r="U1881" s="58">
        <v>0</v>
      </c>
      <c r="V1881" s="58" t="s">
        <v>6905</v>
      </c>
      <c r="AG1881" t="s">
        <v>1602</v>
      </c>
      <c r="AM1881" s="1" t="str">
        <f t="shared" si="116"/>
        <v>1879_C0013_2187.jpg</v>
      </c>
    </row>
    <row r="1882" spans="1:39" x14ac:dyDescent="0.35">
      <c r="A1882">
        <v>1878</v>
      </c>
      <c r="B1882">
        <v>1879</v>
      </c>
      <c r="F1882" s="64" t="s">
        <v>4918</v>
      </c>
      <c r="G1882" s="64"/>
      <c r="H1882" s="64"/>
      <c r="I1882" s="64">
        <v>1</v>
      </c>
      <c r="J1882" s="32" t="str">
        <f>IF(AND(E1882=1,OR(E1881=0,E1881="")),MAX(#REF!)+1,IF(AND(E1882=1,E1881=1),J1881,""))</f>
        <v/>
      </c>
      <c r="K1882" s="32" t="str">
        <f t="shared" si="113"/>
        <v/>
      </c>
      <c r="L1882" s="32" t="str">
        <f t="shared" si="114"/>
        <v/>
      </c>
      <c r="M1882" s="32" t="str">
        <f t="shared" si="115"/>
        <v/>
      </c>
      <c r="N1882" s="4">
        <v>1</v>
      </c>
      <c r="O1882" s="58">
        <v>0</v>
      </c>
      <c r="P1882" s="58">
        <v>0</v>
      </c>
      <c r="Q1882" s="58">
        <v>0</v>
      </c>
      <c r="R1882" s="58">
        <v>0</v>
      </c>
      <c r="S1882" s="58">
        <v>0</v>
      </c>
      <c r="T1882" s="58">
        <v>0</v>
      </c>
      <c r="U1882" s="58">
        <v>0</v>
      </c>
      <c r="V1882" s="58">
        <v>0</v>
      </c>
      <c r="AG1882" t="s">
        <v>1603</v>
      </c>
      <c r="AM1882" s="1" t="str">
        <f t="shared" si="116"/>
        <v>1880_C0013_2184.jpg</v>
      </c>
    </row>
    <row r="1883" spans="1:39" x14ac:dyDescent="0.35">
      <c r="A1883">
        <v>1879</v>
      </c>
      <c r="B1883">
        <v>1880</v>
      </c>
      <c r="F1883" s="64" t="s">
        <v>4919</v>
      </c>
      <c r="G1883" s="64"/>
      <c r="H1883" s="64"/>
      <c r="I1883" s="64">
        <v>0</v>
      </c>
      <c r="J1883" s="32" t="str">
        <f>IF(AND(E1883=1,OR(E1882=0,E1882="")),MAX(#REF!)+1,IF(AND(E1883=1,E1882=1),J1882,""))</f>
        <v/>
      </c>
      <c r="K1883" s="32" t="str">
        <f t="shared" si="113"/>
        <v/>
      </c>
      <c r="L1883" s="32" t="str">
        <f t="shared" si="114"/>
        <v/>
      </c>
      <c r="M1883" s="32" t="str">
        <f t="shared" si="115"/>
        <v/>
      </c>
      <c r="N1883" s="4">
        <v>1</v>
      </c>
      <c r="O1883" s="58">
        <v>0</v>
      </c>
      <c r="P1883" s="58">
        <v>0</v>
      </c>
      <c r="Q1883" s="58">
        <v>0</v>
      </c>
      <c r="R1883" s="58">
        <v>0</v>
      </c>
      <c r="S1883" s="58">
        <v>0</v>
      </c>
      <c r="T1883" s="58">
        <v>0</v>
      </c>
      <c r="U1883" s="58">
        <v>0</v>
      </c>
      <c r="V1883" s="58">
        <v>0</v>
      </c>
      <c r="AG1883" t="s">
        <v>77</v>
      </c>
      <c r="AM1883" s="1" t="str">
        <f t="shared" si="116"/>
        <v>1881_C0013_2182.jpg</v>
      </c>
    </row>
    <row r="1884" spans="1:39" x14ac:dyDescent="0.35">
      <c r="A1884">
        <v>1880</v>
      </c>
      <c r="B1884">
        <v>1881</v>
      </c>
      <c r="F1884" s="64" t="s">
        <v>4920</v>
      </c>
      <c r="G1884" s="64"/>
      <c r="H1884" s="64"/>
      <c r="I1884" s="64">
        <v>1</v>
      </c>
      <c r="J1884" s="32" t="str">
        <f>IF(AND(E1884=1,OR(E1883=0,E1883="")),MAX(#REF!)+1,IF(AND(E1884=1,E1883=1),J1883,""))</f>
        <v/>
      </c>
      <c r="K1884" s="32" t="str">
        <f t="shared" si="113"/>
        <v/>
      </c>
      <c r="L1884" s="32" t="str">
        <f t="shared" si="114"/>
        <v/>
      </c>
      <c r="M1884" s="32" t="str">
        <f t="shared" si="115"/>
        <v/>
      </c>
      <c r="N1884" s="4">
        <v>1</v>
      </c>
      <c r="O1884" s="58">
        <v>0</v>
      </c>
      <c r="P1884" s="58">
        <v>0</v>
      </c>
      <c r="Q1884" s="58">
        <v>2</v>
      </c>
      <c r="R1884" s="58">
        <v>1</v>
      </c>
      <c r="S1884" s="58">
        <v>0</v>
      </c>
      <c r="T1884" s="58">
        <v>0</v>
      </c>
      <c r="U1884" s="58">
        <v>0</v>
      </c>
      <c r="V1884" s="58" t="s">
        <v>6905</v>
      </c>
      <c r="AG1884" t="s">
        <v>1604</v>
      </c>
      <c r="AM1884" s="1" t="str">
        <f t="shared" si="116"/>
        <v>1882_C0013_2179.jpg</v>
      </c>
    </row>
    <row r="1885" spans="1:39" x14ac:dyDescent="0.35">
      <c r="A1885">
        <v>1881</v>
      </c>
      <c r="B1885">
        <v>1882</v>
      </c>
      <c r="F1885" s="64" t="s">
        <v>4921</v>
      </c>
      <c r="G1885" s="64"/>
      <c r="H1885" s="64"/>
      <c r="I1885" s="64">
        <v>1</v>
      </c>
      <c r="J1885" s="32" t="str">
        <f>IF(AND(E1885=1,OR(E1884=0,E1884="")),MAX(#REF!)+1,IF(AND(E1885=1,E1884=1),J1884,""))</f>
        <v/>
      </c>
      <c r="K1885" s="32" t="str">
        <f t="shared" si="113"/>
        <v/>
      </c>
      <c r="L1885" s="32" t="str">
        <f t="shared" si="114"/>
        <v/>
      </c>
      <c r="M1885" s="32" t="str">
        <f t="shared" si="115"/>
        <v/>
      </c>
      <c r="N1885" s="4">
        <v>1</v>
      </c>
      <c r="O1885" s="58">
        <v>0</v>
      </c>
      <c r="P1885" s="58">
        <v>0</v>
      </c>
      <c r="Q1885" s="58">
        <v>0</v>
      </c>
      <c r="R1885" s="58">
        <v>0</v>
      </c>
      <c r="S1885" s="58">
        <v>0</v>
      </c>
      <c r="T1885" s="58">
        <v>0</v>
      </c>
      <c r="U1885" s="58">
        <v>0</v>
      </c>
      <c r="V1885" s="58">
        <v>0</v>
      </c>
      <c r="AG1885" t="s">
        <v>1605</v>
      </c>
      <c r="AM1885" s="1" t="str">
        <f t="shared" si="116"/>
        <v>1883_C0013_2176.jpg</v>
      </c>
    </row>
    <row r="1886" spans="1:39" x14ac:dyDescent="0.35">
      <c r="A1886">
        <v>1882</v>
      </c>
      <c r="B1886">
        <v>1883</v>
      </c>
      <c r="F1886" s="64" t="s">
        <v>4922</v>
      </c>
      <c r="G1886" s="64"/>
      <c r="H1886" s="64"/>
      <c r="I1886" s="64">
        <v>1</v>
      </c>
      <c r="J1886" s="32" t="str">
        <f>IF(AND(E1886=1,OR(E1885=0,E1885="")),MAX(#REF!)+1,IF(AND(E1886=1,E1885=1),J1885,""))</f>
        <v/>
      </c>
      <c r="K1886" s="32" t="str">
        <f t="shared" si="113"/>
        <v/>
      </c>
      <c r="L1886" s="32" t="str">
        <f t="shared" si="114"/>
        <v/>
      </c>
      <c r="M1886" s="32" t="str">
        <f t="shared" si="115"/>
        <v/>
      </c>
      <c r="N1886" s="4">
        <v>1</v>
      </c>
      <c r="O1886" s="58">
        <v>0</v>
      </c>
      <c r="P1886" s="58">
        <v>0</v>
      </c>
      <c r="Q1886" s="58">
        <v>0</v>
      </c>
      <c r="R1886" s="58">
        <v>0</v>
      </c>
      <c r="S1886" s="58">
        <v>0</v>
      </c>
      <c r="T1886" s="58">
        <v>0</v>
      </c>
      <c r="U1886" s="58">
        <v>0</v>
      </c>
      <c r="V1886" s="58">
        <v>0</v>
      </c>
      <c r="AG1886" t="s">
        <v>1606</v>
      </c>
      <c r="AM1886" s="1" t="str">
        <f t="shared" si="116"/>
        <v>1884_C0013_2173.jpg</v>
      </c>
    </row>
    <row r="1887" spans="1:39" x14ac:dyDescent="0.35">
      <c r="A1887">
        <v>1883</v>
      </c>
      <c r="B1887">
        <v>1884</v>
      </c>
      <c r="F1887" s="64" t="s">
        <v>4923</v>
      </c>
      <c r="G1887" s="64"/>
      <c r="H1887" s="64"/>
      <c r="I1887" s="64">
        <v>1</v>
      </c>
      <c r="J1887" s="32" t="str">
        <f>IF(AND(E1887=1,OR(E1886=0,E1886="")),MAX(#REF!)+1,IF(AND(E1887=1,E1886=1),J1886,""))</f>
        <v/>
      </c>
      <c r="K1887" s="32" t="str">
        <f t="shared" ref="K1887:K1950" si="117">IF(J1887="","",COUNTIF(J:J,J1887)*10)</f>
        <v/>
      </c>
      <c r="L1887" s="32" t="str">
        <f t="shared" si="114"/>
        <v/>
      </c>
      <c r="M1887" s="32" t="str">
        <f t="shared" si="115"/>
        <v/>
      </c>
      <c r="N1887" s="4">
        <v>1</v>
      </c>
      <c r="O1887" s="58">
        <v>0</v>
      </c>
      <c r="P1887" s="58">
        <v>0</v>
      </c>
      <c r="Q1887" s="58">
        <v>0</v>
      </c>
      <c r="R1887" s="58">
        <v>0</v>
      </c>
      <c r="S1887" s="58">
        <v>0</v>
      </c>
      <c r="T1887" s="58">
        <v>0</v>
      </c>
      <c r="U1887" s="58">
        <v>0</v>
      </c>
      <c r="V1887" s="58">
        <v>0</v>
      </c>
      <c r="AG1887" t="s">
        <v>1607</v>
      </c>
      <c r="AM1887" s="1" t="str">
        <f t="shared" si="116"/>
        <v>1885_C0013_2170.jpg</v>
      </c>
    </row>
    <row r="1888" spans="1:39" x14ac:dyDescent="0.35">
      <c r="A1888">
        <v>1884</v>
      </c>
      <c r="B1888">
        <v>1885</v>
      </c>
      <c r="F1888" s="64" t="s">
        <v>4924</v>
      </c>
      <c r="G1888" s="64"/>
      <c r="H1888" s="64"/>
      <c r="I1888" s="64">
        <v>1</v>
      </c>
      <c r="J1888" s="32" t="str">
        <f>IF(AND(E1888=1,OR(E1887=0,E1887="")),MAX(#REF!)+1,IF(AND(E1888=1,E1887=1),J1887,""))</f>
        <v/>
      </c>
      <c r="K1888" s="32" t="str">
        <f t="shared" si="117"/>
        <v/>
      </c>
      <c r="L1888" s="32" t="str">
        <f t="shared" si="114"/>
        <v/>
      </c>
      <c r="M1888" s="32" t="str">
        <f t="shared" si="115"/>
        <v/>
      </c>
      <c r="N1888" s="4">
        <v>1</v>
      </c>
      <c r="O1888" s="58">
        <v>0</v>
      </c>
      <c r="P1888" s="58">
        <v>0</v>
      </c>
      <c r="Q1888" s="58">
        <v>0</v>
      </c>
      <c r="R1888" s="58">
        <v>0</v>
      </c>
      <c r="S1888" s="58">
        <v>0</v>
      </c>
      <c r="T1888" s="58">
        <v>0</v>
      </c>
      <c r="U1888" s="58">
        <v>0</v>
      </c>
      <c r="V1888" s="58">
        <v>0</v>
      </c>
      <c r="AG1888" t="s">
        <v>1608</v>
      </c>
      <c r="AM1888" s="1" t="str">
        <f t="shared" si="116"/>
        <v>1886_C0013_2168.jpg</v>
      </c>
    </row>
    <row r="1889" spans="1:39" x14ac:dyDescent="0.35">
      <c r="A1889">
        <v>1885</v>
      </c>
      <c r="B1889">
        <v>1886</v>
      </c>
      <c r="F1889" s="64" t="s">
        <v>4925</v>
      </c>
      <c r="G1889" s="64"/>
      <c r="H1889" s="64"/>
      <c r="I1889" s="64">
        <v>1</v>
      </c>
      <c r="J1889" s="32" t="str">
        <f>IF(AND(E1889=1,OR(E1888=0,E1888="")),MAX(#REF!)+1,IF(AND(E1889=1,E1888=1),J1888,""))</f>
        <v/>
      </c>
      <c r="K1889" s="32" t="str">
        <f t="shared" si="117"/>
        <v/>
      </c>
      <c r="L1889" s="32" t="str">
        <f t="shared" si="114"/>
        <v/>
      </c>
      <c r="M1889" s="32" t="str">
        <f t="shared" si="115"/>
        <v/>
      </c>
      <c r="N1889" s="4">
        <v>1</v>
      </c>
      <c r="O1889" s="58">
        <v>0</v>
      </c>
      <c r="P1889" s="58">
        <v>0</v>
      </c>
      <c r="Q1889" s="58">
        <v>0</v>
      </c>
      <c r="R1889" s="58">
        <v>0</v>
      </c>
      <c r="S1889" s="58">
        <v>0</v>
      </c>
      <c r="T1889" s="58">
        <v>0</v>
      </c>
      <c r="U1889" s="58">
        <v>0</v>
      </c>
      <c r="V1889" s="58">
        <v>0</v>
      </c>
      <c r="AG1889" t="s">
        <v>1609</v>
      </c>
      <c r="AM1889" s="1" t="str">
        <f t="shared" si="116"/>
        <v>1887_C0013_2165.jpg</v>
      </c>
    </row>
    <row r="1890" spans="1:39" x14ac:dyDescent="0.35">
      <c r="A1890">
        <v>1886</v>
      </c>
      <c r="B1890">
        <v>1887</v>
      </c>
      <c r="F1890" s="64" t="s">
        <v>4926</v>
      </c>
      <c r="G1890" s="64"/>
      <c r="H1890" s="64"/>
      <c r="I1890" s="64">
        <v>0</v>
      </c>
      <c r="J1890" s="32" t="str">
        <f>IF(AND(E1890=1,OR(E1889=0,E1889="")),MAX(#REF!)+1,IF(AND(E1890=1,E1889=1),J1889,""))</f>
        <v/>
      </c>
      <c r="K1890" s="32" t="str">
        <f t="shared" si="117"/>
        <v/>
      </c>
      <c r="L1890" s="32" t="str">
        <f t="shared" si="114"/>
        <v/>
      </c>
      <c r="M1890" s="32" t="str">
        <f t="shared" si="115"/>
        <v/>
      </c>
      <c r="N1890" s="4">
        <v>1</v>
      </c>
      <c r="O1890" s="58">
        <v>0</v>
      </c>
      <c r="P1890" s="58">
        <v>0</v>
      </c>
      <c r="Q1890" s="58">
        <v>0</v>
      </c>
      <c r="R1890" s="58">
        <v>0</v>
      </c>
      <c r="S1890" s="58">
        <v>0</v>
      </c>
      <c r="T1890" s="58">
        <v>0</v>
      </c>
      <c r="U1890" s="58">
        <v>0</v>
      </c>
      <c r="V1890" s="58">
        <v>0</v>
      </c>
      <c r="AG1890" t="s">
        <v>1610</v>
      </c>
      <c r="AM1890" s="1" t="str">
        <f t="shared" si="116"/>
        <v>1888_C0013_2161.jpg</v>
      </c>
    </row>
    <row r="1891" spans="1:39" x14ac:dyDescent="0.35">
      <c r="A1891">
        <v>1887</v>
      </c>
      <c r="B1891">
        <v>1888</v>
      </c>
      <c r="F1891" s="64" t="s">
        <v>4927</v>
      </c>
      <c r="G1891" s="64"/>
      <c r="H1891" s="64"/>
      <c r="I1891" s="64">
        <v>0</v>
      </c>
      <c r="J1891" s="32" t="str">
        <f>IF(AND(E1891=1,OR(E1890=0,E1890="")),MAX(#REF!)+1,IF(AND(E1891=1,E1890=1),J1890,""))</f>
        <v/>
      </c>
      <c r="K1891" s="32" t="str">
        <f t="shared" si="117"/>
        <v/>
      </c>
      <c r="L1891" s="32" t="str">
        <f t="shared" si="114"/>
        <v/>
      </c>
      <c r="M1891" s="32" t="str">
        <f t="shared" si="115"/>
        <v/>
      </c>
      <c r="N1891" s="4">
        <v>1</v>
      </c>
      <c r="O1891" s="58">
        <v>0</v>
      </c>
      <c r="P1891" s="58">
        <v>0</v>
      </c>
      <c r="Q1891" s="58">
        <v>0</v>
      </c>
      <c r="R1891" s="58">
        <v>0</v>
      </c>
      <c r="S1891" s="58">
        <v>0</v>
      </c>
      <c r="T1891" s="58">
        <v>0</v>
      </c>
      <c r="U1891" s="58">
        <v>0</v>
      </c>
      <c r="V1891" s="58">
        <v>0</v>
      </c>
      <c r="AG1891" t="s">
        <v>1611</v>
      </c>
      <c r="AM1891" s="1" t="str">
        <f t="shared" si="116"/>
        <v>1889_C0013_2158.jpg</v>
      </c>
    </row>
    <row r="1892" spans="1:39" x14ac:dyDescent="0.35">
      <c r="A1892">
        <v>1888</v>
      </c>
      <c r="B1892">
        <v>1889</v>
      </c>
      <c r="F1892" s="64" t="s">
        <v>4928</v>
      </c>
      <c r="G1892" s="64"/>
      <c r="H1892" s="64"/>
      <c r="I1892" s="64">
        <v>1</v>
      </c>
      <c r="J1892" s="32" t="str">
        <f>IF(AND(E1892=1,OR(E1891=0,E1891="")),MAX(#REF!)+1,IF(AND(E1892=1,E1891=1),J1891,""))</f>
        <v/>
      </c>
      <c r="K1892" s="32" t="str">
        <f t="shared" si="117"/>
        <v/>
      </c>
      <c r="L1892" s="32" t="str">
        <f t="shared" si="114"/>
        <v/>
      </c>
      <c r="M1892" s="32" t="str">
        <f t="shared" si="115"/>
        <v/>
      </c>
      <c r="N1892" s="4">
        <v>1</v>
      </c>
      <c r="O1892" s="58">
        <v>0</v>
      </c>
      <c r="P1892" s="58">
        <v>0</v>
      </c>
      <c r="Q1892" s="58">
        <v>0</v>
      </c>
      <c r="R1892" s="58">
        <v>0</v>
      </c>
      <c r="S1892" s="58">
        <v>0</v>
      </c>
      <c r="T1892" s="58">
        <v>0</v>
      </c>
      <c r="U1892" s="58">
        <v>0</v>
      </c>
      <c r="V1892" s="58">
        <v>0</v>
      </c>
      <c r="AG1892" t="s">
        <v>1612</v>
      </c>
      <c r="AM1892" s="1" t="str">
        <f t="shared" si="116"/>
        <v>1890_C0013_2154.jpg</v>
      </c>
    </row>
    <row r="1893" spans="1:39" x14ac:dyDescent="0.35">
      <c r="A1893">
        <v>1889</v>
      </c>
      <c r="B1893">
        <v>1890</v>
      </c>
      <c r="F1893" s="64" t="s">
        <v>4929</v>
      </c>
      <c r="G1893" s="64"/>
      <c r="H1893" s="64"/>
      <c r="I1893" s="64">
        <v>1</v>
      </c>
      <c r="J1893" s="32" t="str">
        <f>IF(AND(E1893=1,OR(E1892=0,E1892="")),MAX(#REF!)+1,IF(AND(E1893=1,E1892=1),J1892,""))</f>
        <v/>
      </c>
      <c r="K1893" s="32" t="str">
        <f t="shared" si="117"/>
        <v/>
      </c>
      <c r="L1893" s="32" t="str">
        <f t="shared" si="114"/>
        <v/>
      </c>
      <c r="M1893" s="32" t="str">
        <f t="shared" si="115"/>
        <v/>
      </c>
      <c r="N1893" s="4">
        <v>1</v>
      </c>
      <c r="O1893" s="58">
        <v>0</v>
      </c>
      <c r="P1893" s="58">
        <v>0</v>
      </c>
      <c r="Q1893" s="58">
        <v>0</v>
      </c>
      <c r="R1893" s="58">
        <v>0</v>
      </c>
      <c r="S1893" s="58">
        <v>0</v>
      </c>
      <c r="T1893" s="58">
        <v>0</v>
      </c>
      <c r="U1893" s="58">
        <v>0</v>
      </c>
      <c r="V1893" s="58">
        <v>0</v>
      </c>
      <c r="AG1893" t="s">
        <v>1613</v>
      </c>
      <c r="AM1893" s="1" t="str">
        <f t="shared" si="116"/>
        <v>1891_C0013_2151.jpg</v>
      </c>
    </row>
    <row r="1894" spans="1:39" x14ac:dyDescent="0.35">
      <c r="A1894">
        <v>1890</v>
      </c>
      <c r="B1894">
        <v>1891</v>
      </c>
      <c r="F1894" s="64" t="s">
        <v>4930</v>
      </c>
      <c r="G1894" s="64"/>
      <c r="H1894" s="64"/>
      <c r="I1894" s="64">
        <v>1</v>
      </c>
      <c r="J1894" s="32" t="str">
        <f>IF(AND(E1894=1,OR(E1893=0,E1893="")),MAX(#REF!)+1,IF(AND(E1894=1,E1893=1),J1893,""))</f>
        <v/>
      </c>
      <c r="K1894" s="32" t="str">
        <f t="shared" si="117"/>
        <v/>
      </c>
      <c r="L1894" s="32" t="str">
        <f t="shared" si="114"/>
        <v/>
      </c>
      <c r="M1894" s="32" t="str">
        <f t="shared" si="115"/>
        <v/>
      </c>
      <c r="N1894" s="4">
        <v>1</v>
      </c>
      <c r="O1894" s="58">
        <v>0</v>
      </c>
      <c r="P1894" s="58">
        <v>0</v>
      </c>
      <c r="Q1894" s="58">
        <v>0</v>
      </c>
      <c r="R1894" s="58">
        <v>0</v>
      </c>
      <c r="S1894" s="58">
        <v>0</v>
      </c>
      <c r="T1894" s="58">
        <v>0</v>
      </c>
      <c r="U1894" s="58">
        <v>0</v>
      </c>
      <c r="V1894" s="58">
        <v>0</v>
      </c>
      <c r="AG1894" t="s">
        <v>1614</v>
      </c>
      <c r="AM1894" s="1" t="str">
        <f t="shared" si="116"/>
        <v>1892_C0013_2148.jpg</v>
      </c>
    </row>
    <row r="1895" spans="1:39" x14ac:dyDescent="0.35">
      <c r="A1895">
        <v>1891</v>
      </c>
      <c r="B1895">
        <v>1892</v>
      </c>
      <c r="F1895" s="64" t="s">
        <v>4931</v>
      </c>
      <c r="G1895" s="64"/>
      <c r="H1895" s="64"/>
      <c r="I1895" s="64">
        <v>1</v>
      </c>
      <c r="J1895" s="32" t="str">
        <f>IF(AND(E1895=1,OR(E1894=0,E1894="")),MAX(#REF!)+1,IF(AND(E1895=1,E1894=1),J1894,""))</f>
        <v/>
      </c>
      <c r="K1895" s="32" t="str">
        <f t="shared" si="117"/>
        <v/>
      </c>
      <c r="L1895" s="32" t="str">
        <f t="shared" si="114"/>
        <v/>
      </c>
      <c r="M1895" s="32" t="str">
        <f t="shared" si="115"/>
        <v/>
      </c>
      <c r="N1895" s="4">
        <v>1</v>
      </c>
      <c r="O1895" s="58">
        <v>0</v>
      </c>
      <c r="P1895" s="58">
        <v>0</v>
      </c>
      <c r="Q1895" s="58">
        <v>0</v>
      </c>
      <c r="R1895" s="58">
        <v>0</v>
      </c>
      <c r="S1895" s="58">
        <v>0</v>
      </c>
      <c r="T1895" s="58">
        <v>0</v>
      </c>
      <c r="U1895" s="58">
        <v>0</v>
      </c>
      <c r="V1895" s="58">
        <v>0</v>
      </c>
      <c r="AG1895" t="s">
        <v>1615</v>
      </c>
      <c r="AM1895" s="1" t="str">
        <f t="shared" si="116"/>
        <v>1893_C0013_2145.jpg</v>
      </c>
    </row>
    <row r="1896" spans="1:39" x14ac:dyDescent="0.35">
      <c r="A1896">
        <v>1892</v>
      </c>
      <c r="B1896">
        <v>1893</v>
      </c>
      <c r="F1896" s="64" t="s">
        <v>4932</v>
      </c>
      <c r="G1896" s="64"/>
      <c r="H1896" s="64"/>
      <c r="I1896" s="64">
        <v>1</v>
      </c>
      <c r="J1896" s="32" t="str">
        <f>IF(AND(E1896=1,OR(E1895=0,E1895="")),MAX(#REF!)+1,IF(AND(E1896=1,E1895=1),J1895,""))</f>
        <v/>
      </c>
      <c r="K1896" s="32" t="str">
        <f t="shared" si="117"/>
        <v/>
      </c>
      <c r="L1896" s="32" t="str">
        <f t="shared" si="114"/>
        <v/>
      </c>
      <c r="M1896" s="32" t="str">
        <f t="shared" si="115"/>
        <v/>
      </c>
      <c r="N1896" s="4">
        <v>1</v>
      </c>
      <c r="O1896" s="58">
        <v>0</v>
      </c>
      <c r="P1896" s="58">
        <v>0</v>
      </c>
      <c r="Q1896" s="58">
        <v>0</v>
      </c>
      <c r="R1896" s="58">
        <v>0</v>
      </c>
      <c r="S1896" s="58">
        <v>0</v>
      </c>
      <c r="T1896" s="58">
        <v>0</v>
      </c>
      <c r="U1896" s="58">
        <v>0</v>
      </c>
      <c r="V1896" s="58">
        <v>0</v>
      </c>
      <c r="AG1896" t="s">
        <v>1616</v>
      </c>
      <c r="AM1896" s="1" t="str">
        <f t="shared" si="116"/>
        <v>1894_C0013_2143.jpg</v>
      </c>
    </row>
    <row r="1897" spans="1:39" x14ac:dyDescent="0.35">
      <c r="A1897">
        <v>1893</v>
      </c>
      <c r="B1897">
        <v>1894</v>
      </c>
      <c r="F1897" s="64" t="s">
        <v>4933</v>
      </c>
      <c r="G1897" s="64"/>
      <c r="H1897" s="64"/>
      <c r="I1897" s="64">
        <v>1</v>
      </c>
      <c r="J1897" s="32" t="str">
        <f>IF(AND(E1897=1,OR(E1896=0,E1896="")),MAX(#REF!)+1,IF(AND(E1897=1,E1896=1),J1896,""))</f>
        <v/>
      </c>
      <c r="K1897" s="32" t="str">
        <f t="shared" si="117"/>
        <v/>
      </c>
      <c r="L1897" s="32" t="str">
        <f t="shared" si="114"/>
        <v/>
      </c>
      <c r="M1897" s="32" t="str">
        <f t="shared" si="115"/>
        <v/>
      </c>
      <c r="N1897" s="4">
        <v>1</v>
      </c>
      <c r="O1897" s="58">
        <v>0</v>
      </c>
      <c r="P1897" s="58">
        <v>0</v>
      </c>
      <c r="Q1897" s="58">
        <v>0</v>
      </c>
      <c r="R1897" s="58">
        <v>0</v>
      </c>
      <c r="S1897" s="58">
        <v>0</v>
      </c>
      <c r="T1897" s="58">
        <v>0</v>
      </c>
      <c r="U1897" s="58">
        <v>0</v>
      </c>
      <c r="V1897" s="58">
        <v>0</v>
      </c>
      <c r="AG1897" t="s">
        <v>1617</v>
      </c>
      <c r="AM1897" s="1" t="str">
        <f t="shared" si="116"/>
        <v>1895_C0013_2140.jpg</v>
      </c>
    </row>
    <row r="1898" spans="1:39" x14ac:dyDescent="0.35">
      <c r="A1898">
        <v>1894</v>
      </c>
      <c r="B1898">
        <v>1895</v>
      </c>
      <c r="F1898" s="64" t="s">
        <v>4934</v>
      </c>
      <c r="G1898" s="64"/>
      <c r="H1898" s="64"/>
      <c r="I1898" s="64">
        <v>1</v>
      </c>
      <c r="J1898" s="32" t="str">
        <f>IF(AND(E1898=1,OR(E1897=0,E1897="")),MAX(#REF!)+1,IF(AND(E1898=1,E1897=1),J1897,""))</f>
        <v/>
      </c>
      <c r="K1898" s="32" t="str">
        <f t="shared" si="117"/>
        <v/>
      </c>
      <c r="L1898" s="32" t="str">
        <f t="shared" si="114"/>
        <v/>
      </c>
      <c r="M1898" s="32" t="str">
        <f t="shared" si="115"/>
        <v/>
      </c>
      <c r="N1898" s="4">
        <v>1</v>
      </c>
      <c r="O1898" s="58">
        <v>0</v>
      </c>
      <c r="P1898" s="58">
        <v>0</v>
      </c>
      <c r="Q1898" s="58">
        <v>0</v>
      </c>
      <c r="R1898" s="58">
        <v>0</v>
      </c>
      <c r="S1898" s="58">
        <v>0</v>
      </c>
      <c r="T1898" s="58">
        <v>0</v>
      </c>
      <c r="U1898" s="58">
        <v>0</v>
      </c>
      <c r="V1898" s="58">
        <v>0</v>
      </c>
      <c r="AG1898" t="s">
        <v>1618</v>
      </c>
      <c r="AM1898" s="1" t="str">
        <f t="shared" si="116"/>
        <v>1896_C0013_2137.jpg</v>
      </c>
    </row>
    <row r="1899" spans="1:39" x14ac:dyDescent="0.35">
      <c r="A1899">
        <v>1895</v>
      </c>
      <c r="B1899">
        <v>1896</v>
      </c>
      <c r="F1899" s="64" t="s">
        <v>4935</v>
      </c>
      <c r="G1899" s="64"/>
      <c r="H1899" s="64"/>
      <c r="I1899" s="64">
        <v>1</v>
      </c>
      <c r="J1899" s="32" t="str">
        <f>IF(AND(E1899=1,OR(E1898=0,E1898="")),MAX(#REF!)+1,IF(AND(E1899=1,E1898=1),J1898,""))</f>
        <v/>
      </c>
      <c r="K1899" s="32" t="str">
        <f t="shared" si="117"/>
        <v/>
      </c>
      <c r="L1899" s="32" t="str">
        <f t="shared" si="114"/>
        <v/>
      </c>
      <c r="M1899" s="32" t="str">
        <f t="shared" si="115"/>
        <v/>
      </c>
      <c r="N1899" s="4">
        <v>1</v>
      </c>
      <c r="O1899" s="58">
        <v>0</v>
      </c>
      <c r="P1899" s="58">
        <v>0</v>
      </c>
      <c r="Q1899" s="58">
        <v>0</v>
      </c>
      <c r="R1899" s="58">
        <v>0</v>
      </c>
      <c r="S1899" s="58">
        <v>0</v>
      </c>
      <c r="T1899" s="58">
        <v>0</v>
      </c>
      <c r="U1899" s="58">
        <v>0</v>
      </c>
      <c r="V1899" s="58">
        <v>0</v>
      </c>
      <c r="AG1899" t="s">
        <v>1619</v>
      </c>
      <c r="AM1899" s="1" t="str">
        <f t="shared" si="116"/>
        <v>1897_C0013_2134.jpg</v>
      </c>
    </row>
    <row r="1900" spans="1:39" x14ac:dyDescent="0.35">
      <c r="A1900">
        <v>1896</v>
      </c>
      <c r="B1900">
        <v>1897</v>
      </c>
      <c r="F1900" s="64" t="s">
        <v>4936</v>
      </c>
      <c r="G1900" s="64"/>
      <c r="H1900" s="64"/>
      <c r="I1900" s="64">
        <v>1</v>
      </c>
      <c r="J1900" s="32" t="str">
        <f>IF(AND(E1900=1,OR(E1899=0,E1899="")),MAX(#REF!)+1,IF(AND(E1900=1,E1899=1),J1899,""))</f>
        <v/>
      </c>
      <c r="K1900" s="32" t="str">
        <f t="shared" si="117"/>
        <v/>
      </c>
      <c r="L1900" s="32" t="str">
        <f t="shared" si="114"/>
        <v/>
      </c>
      <c r="M1900" s="32" t="str">
        <f t="shared" si="115"/>
        <v/>
      </c>
      <c r="N1900" s="4">
        <v>1</v>
      </c>
      <c r="O1900" s="58">
        <v>0</v>
      </c>
      <c r="P1900" s="58">
        <v>0</v>
      </c>
      <c r="Q1900" s="58">
        <v>0</v>
      </c>
      <c r="R1900" s="58">
        <v>0</v>
      </c>
      <c r="S1900" s="58">
        <v>0</v>
      </c>
      <c r="T1900" s="58">
        <v>0</v>
      </c>
      <c r="U1900" s="58">
        <v>0</v>
      </c>
      <c r="V1900" s="58">
        <v>0</v>
      </c>
      <c r="AG1900" t="s">
        <v>1620</v>
      </c>
      <c r="AM1900" s="1" t="str">
        <f t="shared" si="116"/>
        <v>1898_C0013_2132.jpg</v>
      </c>
    </row>
    <row r="1901" spans="1:39" x14ac:dyDescent="0.35">
      <c r="A1901">
        <v>1897</v>
      </c>
      <c r="B1901">
        <v>1898</v>
      </c>
      <c r="F1901" s="64" t="s">
        <v>4937</v>
      </c>
      <c r="G1901" s="64"/>
      <c r="H1901" s="64"/>
      <c r="I1901" s="64">
        <v>1</v>
      </c>
      <c r="J1901" s="32" t="str">
        <f>IF(AND(E1901=1,OR(E1900=0,E1900="")),MAX(#REF!)+1,IF(AND(E1901=1,E1900=1),J1900,""))</f>
        <v/>
      </c>
      <c r="K1901" s="32" t="str">
        <f t="shared" si="117"/>
        <v/>
      </c>
      <c r="L1901" s="32" t="str">
        <f t="shared" si="114"/>
        <v/>
      </c>
      <c r="M1901" s="32" t="str">
        <f t="shared" si="115"/>
        <v/>
      </c>
      <c r="N1901" s="4">
        <v>1</v>
      </c>
      <c r="O1901" s="58">
        <v>0</v>
      </c>
      <c r="P1901" s="58">
        <v>0</v>
      </c>
      <c r="Q1901" s="58">
        <v>0</v>
      </c>
      <c r="R1901" s="58">
        <v>0</v>
      </c>
      <c r="S1901" s="58">
        <v>0</v>
      </c>
      <c r="T1901" s="58">
        <v>0</v>
      </c>
      <c r="U1901" s="58">
        <v>0</v>
      </c>
      <c r="V1901" s="58">
        <v>0</v>
      </c>
      <c r="AG1901" t="s">
        <v>1621</v>
      </c>
      <c r="AM1901" s="1" t="str">
        <f t="shared" si="116"/>
        <v>1899_C0013_2128.jpg</v>
      </c>
    </row>
    <row r="1902" spans="1:39" x14ac:dyDescent="0.35">
      <c r="A1902">
        <v>1898</v>
      </c>
      <c r="B1902">
        <v>1899</v>
      </c>
      <c r="F1902" s="64" t="s">
        <v>4938</v>
      </c>
      <c r="G1902" s="64"/>
      <c r="H1902" s="64"/>
      <c r="I1902" s="64">
        <v>1</v>
      </c>
      <c r="J1902" s="32" t="str">
        <f>IF(AND(E1902=1,OR(E1901=0,E1901="")),MAX(#REF!)+1,IF(AND(E1902=1,E1901=1),J1901,""))</f>
        <v/>
      </c>
      <c r="K1902" s="32" t="str">
        <f t="shared" si="117"/>
        <v/>
      </c>
      <c r="L1902" s="32" t="str">
        <f t="shared" si="114"/>
        <v/>
      </c>
      <c r="M1902" s="32" t="str">
        <f t="shared" si="115"/>
        <v/>
      </c>
      <c r="N1902" s="4">
        <v>1</v>
      </c>
      <c r="O1902" s="58">
        <v>0</v>
      </c>
      <c r="P1902" s="58">
        <v>0</v>
      </c>
      <c r="Q1902" s="58">
        <v>0</v>
      </c>
      <c r="R1902" s="58">
        <v>0</v>
      </c>
      <c r="S1902" s="58">
        <v>0</v>
      </c>
      <c r="T1902" s="58">
        <v>0</v>
      </c>
      <c r="U1902" s="58">
        <v>0</v>
      </c>
      <c r="V1902" s="58">
        <v>0</v>
      </c>
      <c r="AG1902" t="s">
        <v>1622</v>
      </c>
      <c r="AM1902" s="1" t="str">
        <f t="shared" si="116"/>
        <v>1900_C0013_2125.jpg</v>
      </c>
    </row>
    <row r="1903" spans="1:39" x14ac:dyDescent="0.35">
      <c r="A1903">
        <v>1899</v>
      </c>
      <c r="B1903">
        <v>1900</v>
      </c>
      <c r="F1903" s="64" t="s">
        <v>4939</v>
      </c>
      <c r="G1903" s="64"/>
      <c r="H1903" s="64"/>
      <c r="I1903" s="64">
        <v>1</v>
      </c>
      <c r="J1903" s="32" t="str">
        <f>IF(AND(E1903=1,OR(E1902=0,E1902="")),MAX(#REF!)+1,IF(AND(E1903=1,E1902=1),J1902,""))</f>
        <v/>
      </c>
      <c r="K1903" s="32" t="str">
        <f t="shared" si="117"/>
        <v/>
      </c>
      <c r="L1903" s="32" t="str">
        <f t="shared" si="114"/>
        <v/>
      </c>
      <c r="M1903" s="32" t="str">
        <f t="shared" si="115"/>
        <v/>
      </c>
      <c r="N1903" s="4">
        <v>1</v>
      </c>
      <c r="O1903" s="58">
        <v>0</v>
      </c>
      <c r="P1903" s="58">
        <v>0</v>
      </c>
      <c r="Q1903" s="58">
        <v>0</v>
      </c>
      <c r="R1903" s="58">
        <v>0</v>
      </c>
      <c r="S1903" s="58">
        <v>0</v>
      </c>
      <c r="T1903" s="58">
        <v>0</v>
      </c>
      <c r="U1903" s="58">
        <v>0</v>
      </c>
      <c r="V1903" s="58">
        <v>0</v>
      </c>
      <c r="AG1903" t="s">
        <v>1623</v>
      </c>
      <c r="AM1903" s="1" t="str">
        <f t="shared" si="116"/>
        <v>1901_C0013_2123.jpg</v>
      </c>
    </row>
    <row r="1904" spans="1:39" x14ac:dyDescent="0.35">
      <c r="A1904">
        <v>1900</v>
      </c>
      <c r="B1904">
        <v>1901</v>
      </c>
      <c r="F1904" s="64" t="s">
        <v>4940</v>
      </c>
      <c r="G1904" s="64"/>
      <c r="H1904" s="64"/>
      <c r="I1904" s="64">
        <v>1</v>
      </c>
      <c r="J1904" s="32" t="str">
        <f>IF(AND(E1904=1,OR(E1903=0,E1903="")),MAX(#REF!)+1,IF(AND(E1904=1,E1903=1),J1903,""))</f>
        <v/>
      </c>
      <c r="K1904" s="32" t="str">
        <f t="shared" si="117"/>
        <v/>
      </c>
      <c r="L1904" s="32" t="str">
        <f t="shared" si="114"/>
        <v/>
      </c>
      <c r="M1904" s="32" t="str">
        <f t="shared" si="115"/>
        <v/>
      </c>
      <c r="N1904" s="4">
        <v>1</v>
      </c>
      <c r="O1904" s="58">
        <v>0</v>
      </c>
      <c r="P1904" s="58">
        <v>0</v>
      </c>
      <c r="Q1904" s="58">
        <v>0</v>
      </c>
      <c r="R1904" s="58">
        <v>0</v>
      </c>
      <c r="S1904" s="58">
        <v>0</v>
      </c>
      <c r="T1904" s="58">
        <v>0</v>
      </c>
      <c r="U1904" s="58">
        <v>0</v>
      </c>
      <c r="V1904" s="58">
        <v>0</v>
      </c>
      <c r="AG1904" t="s">
        <v>1624</v>
      </c>
      <c r="AM1904" s="1" t="str">
        <f t="shared" si="116"/>
        <v>1902_C0013_2119.jpg</v>
      </c>
    </row>
    <row r="1905" spans="1:39" x14ac:dyDescent="0.35">
      <c r="A1905">
        <v>1901</v>
      </c>
      <c r="B1905">
        <v>1902</v>
      </c>
      <c r="F1905" s="64" t="s">
        <v>4941</v>
      </c>
      <c r="G1905" s="64"/>
      <c r="H1905" s="64"/>
      <c r="I1905" s="64">
        <v>1</v>
      </c>
      <c r="J1905" s="32" t="str">
        <f>IF(AND(E1905=1,OR(E1904=0,E1904="")),MAX(#REF!)+1,IF(AND(E1905=1,E1904=1),J1904,""))</f>
        <v/>
      </c>
      <c r="K1905" s="32" t="str">
        <f t="shared" si="117"/>
        <v/>
      </c>
      <c r="L1905" s="32" t="str">
        <f t="shared" si="114"/>
        <v/>
      </c>
      <c r="M1905" s="32" t="str">
        <f t="shared" si="115"/>
        <v/>
      </c>
      <c r="N1905" s="4">
        <v>1</v>
      </c>
      <c r="O1905" s="58">
        <v>0</v>
      </c>
      <c r="P1905" s="58">
        <v>0</v>
      </c>
      <c r="Q1905" s="58">
        <v>0</v>
      </c>
      <c r="R1905" s="58">
        <v>0</v>
      </c>
      <c r="S1905" s="58">
        <v>0</v>
      </c>
      <c r="T1905" s="58">
        <v>0</v>
      </c>
      <c r="U1905" s="58">
        <v>0</v>
      </c>
      <c r="V1905" s="58">
        <v>0</v>
      </c>
      <c r="AG1905" t="s">
        <v>77</v>
      </c>
      <c r="AM1905" s="1" t="str">
        <f t="shared" si="116"/>
        <v>1903_C0013_2115.jpg</v>
      </c>
    </row>
    <row r="1906" spans="1:39" x14ac:dyDescent="0.35">
      <c r="A1906">
        <v>1902</v>
      </c>
      <c r="B1906">
        <v>1903</v>
      </c>
      <c r="F1906" s="64" t="s">
        <v>4942</v>
      </c>
      <c r="G1906" s="64"/>
      <c r="H1906" s="64"/>
      <c r="I1906" s="64">
        <v>1</v>
      </c>
      <c r="J1906" s="32" t="str">
        <f>IF(AND(E1906=1,OR(E1905=0,E1905="")),MAX(#REF!)+1,IF(AND(E1906=1,E1905=1),J1905,""))</f>
        <v/>
      </c>
      <c r="K1906" s="32" t="str">
        <f t="shared" si="117"/>
        <v/>
      </c>
      <c r="L1906" s="32" t="str">
        <f t="shared" si="114"/>
        <v/>
      </c>
      <c r="M1906" s="32" t="str">
        <f t="shared" si="115"/>
        <v/>
      </c>
      <c r="N1906" s="4">
        <v>1</v>
      </c>
      <c r="O1906" s="58">
        <v>0</v>
      </c>
      <c r="P1906" s="58">
        <v>0</v>
      </c>
      <c r="Q1906" s="58">
        <v>0</v>
      </c>
      <c r="R1906" s="58">
        <v>0</v>
      </c>
      <c r="S1906" s="58">
        <v>0</v>
      </c>
      <c r="T1906" s="58">
        <v>0</v>
      </c>
      <c r="U1906" s="58">
        <v>0</v>
      </c>
      <c r="V1906" s="58">
        <v>0</v>
      </c>
      <c r="AG1906" t="s">
        <v>1625</v>
      </c>
      <c r="AM1906" s="1" t="str">
        <f t="shared" si="116"/>
        <v>1904_C0013_2112.jpg</v>
      </c>
    </row>
    <row r="1907" spans="1:39" x14ac:dyDescent="0.35">
      <c r="A1907">
        <v>1903</v>
      </c>
      <c r="B1907">
        <v>1904</v>
      </c>
      <c r="F1907" s="64" t="s">
        <v>4943</v>
      </c>
      <c r="G1907" s="64"/>
      <c r="H1907" s="64"/>
      <c r="I1907" s="64">
        <v>0</v>
      </c>
      <c r="J1907" s="32" t="str">
        <f>IF(AND(E1907=1,OR(E1906=0,E1906="")),MAX(#REF!)+1,IF(AND(E1907=1,E1906=1),J1906,""))</f>
        <v/>
      </c>
      <c r="K1907" s="32" t="str">
        <f t="shared" si="117"/>
        <v/>
      </c>
      <c r="L1907" s="32" t="str">
        <f t="shared" si="114"/>
        <v/>
      </c>
      <c r="M1907" s="32" t="str">
        <f t="shared" si="115"/>
        <v/>
      </c>
      <c r="N1907" s="4">
        <v>1</v>
      </c>
      <c r="O1907" s="58">
        <v>0</v>
      </c>
      <c r="P1907" s="58">
        <v>0</v>
      </c>
      <c r="Q1907" s="58">
        <v>0</v>
      </c>
      <c r="R1907" s="58">
        <v>0</v>
      </c>
      <c r="S1907" s="58">
        <v>0</v>
      </c>
      <c r="T1907" s="58">
        <v>0</v>
      </c>
      <c r="U1907" s="58">
        <v>0</v>
      </c>
      <c r="V1907" s="58">
        <v>0</v>
      </c>
      <c r="AG1907" t="s">
        <v>1626</v>
      </c>
      <c r="AM1907" s="1" t="str">
        <f t="shared" si="116"/>
        <v>1905_C0013_2110.jpg</v>
      </c>
    </row>
    <row r="1908" spans="1:39" x14ac:dyDescent="0.35">
      <c r="A1908">
        <v>1904</v>
      </c>
      <c r="B1908">
        <v>1905</v>
      </c>
      <c r="F1908" s="64" t="s">
        <v>4944</v>
      </c>
      <c r="G1908" s="64"/>
      <c r="H1908" s="64"/>
      <c r="I1908" s="64">
        <v>1</v>
      </c>
      <c r="J1908" s="32" t="str">
        <f>IF(AND(E1908=1,OR(E1907=0,E1907="")),MAX(#REF!)+1,IF(AND(E1908=1,E1907=1),J1907,""))</f>
        <v/>
      </c>
      <c r="K1908" s="32" t="str">
        <f t="shared" si="117"/>
        <v/>
      </c>
      <c r="L1908" s="32" t="str">
        <f t="shared" si="114"/>
        <v/>
      </c>
      <c r="M1908" s="32" t="str">
        <f t="shared" si="115"/>
        <v/>
      </c>
      <c r="N1908" s="4">
        <v>1</v>
      </c>
      <c r="O1908" s="58">
        <v>0</v>
      </c>
      <c r="P1908" s="58">
        <v>0</v>
      </c>
      <c r="Q1908" s="58">
        <v>0</v>
      </c>
      <c r="R1908" s="58">
        <v>0</v>
      </c>
      <c r="S1908" s="58">
        <v>0</v>
      </c>
      <c r="T1908" s="58">
        <v>0</v>
      </c>
      <c r="U1908" s="58">
        <v>0</v>
      </c>
      <c r="V1908" s="58">
        <v>0</v>
      </c>
      <c r="AG1908" t="s">
        <v>77</v>
      </c>
      <c r="AM1908" s="1" t="str">
        <f t="shared" si="116"/>
        <v>1906_C0013_2105.jpg</v>
      </c>
    </row>
    <row r="1909" spans="1:39" x14ac:dyDescent="0.35">
      <c r="A1909">
        <v>1905</v>
      </c>
      <c r="B1909">
        <v>1906</v>
      </c>
      <c r="F1909" s="64" t="s">
        <v>4945</v>
      </c>
      <c r="G1909" s="64"/>
      <c r="H1909" s="64"/>
      <c r="I1909" s="64">
        <v>1</v>
      </c>
      <c r="J1909" s="32">
        <v>124</v>
      </c>
      <c r="K1909" s="32">
        <f t="shared" si="117"/>
        <v>10</v>
      </c>
      <c r="L1909" s="32" t="str">
        <f t="shared" si="114"/>
        <v/>
      </c>
      <c r="M1909" s="32">
        <f t="shared" si="115"/>
        <v>100</v>
      </c>
      <c r="N1909" s="4">
        <v>1</v>
      </c>
      <c r="O1909" s="58">
        <v>0</v>
      </c>
      <c r="P1909" s="58">
        <v>0</v>
      </c>
      <c r="Q1909" s="58">
        <v>0</v>
      </c>
      <c r="R1909" s="58">
        <v>0</v>
      </c>
      <c r="S1909" s="58">
        <v>0</v>
      </c>
      <c r="T1909" s="58">
        <v>0</v>
      </c>
      <c r="U1909" s="58">
        <v>0</v>
      </c>
      <c r="V1909" s="58">
        <v>0</v>
      </c>
      <c r="AG1909" t="s">
        <v>1627</v>
      </c>
      <c r="AM1909" s="1" t="str">
        <f t="shared" si="116"/>
        <v>1907_C0013_2102.jpg</v>
      </c>
    </row>
    <row r="1910" spans="1:39" x14ac:dyDescent="0.35">
      <c r="A1910">
        <v>1906</v>
      </c>
      <c r="B1910">
        <v>1907</v>
      </c>
      <c r="F1910" s="64" t="s">
        <v>4946</v>
      </c>
      <c r="G1910" s="64"/>
      <c r="H1910" s="64"/>
      <c r="I1910" s="64">
        <v>1</v>
      </c>
      <c r="J1910" s="32">
        <v>125</v>
      </c>
      <c r="K1910" s="32">
        <f t="shared" si="117"/>
        <v>10</v>
      </c>
      <c r="L1910" s="32" t="str">
        <f t="shared" si="114"/>
        <v/>
      </c>
      <c r="M1910" s="32">
        <f t="shared" si="115"/>
        <v>100</v>
      </c>
      <c r="N1910" s="4">
        <v>1</v>
      </c>
      <c r="O1910" s="58">
        <v>0</v>
      </c>
      <c r="P1910" s="58">
        <v>0</v>
      </c>
      <c r="Q1910" s="58">
        <v>0</v>
      </c>
      <c r="R1910" s="58">
        <v>0</v>
      </c>
      <c r="S1910" s="58">
        <v>0</v>
      </c>
      <c r="T1910" s="58">
        <v>0</v>
      </c>
      <c r="U1910" s="58">
        <v>0</v>
      </c>
      <c r="V1910" s="58">
        <v>0</v>
      </c>
      <c r="AG1910" t="s">
        <v>1628</v>
      </c>
      <c r="AM1910" s="1" t="str">
        <f t="shared" si="116"/>
        <v>1908_C0013_2098.jpg</v>
      </c>
    </row>
    <row r="1911" spans="1:39" x14ac:dyDescent="0.35">
      <c r="A1911">
        <v>1907</v>
      </c>
      <c r="B1911">
        <v>1908</v>
      </c>
      <c r="F1911" s="64" t="s">
        <v>4947</v>
      </c>
      <c r="G1911" s="64"/>
      <c r="H1911" s="64"/>
      <c r="I1911" s="64">
        <v>0</v>
      </c>
      <c r="J1911" s="32" t="str">
        <f>IF(AND(E1911=1,OR(E1910=0,E1910="")),MAX(#REF!)+1,IF(AND(E1911=1,E1910=1),J1910,""))</f>
        <v/>
      </c>
      <c r="K1911" s="32" t="str">
        <f t="shared" si="117"/>
        <v/>
      </c>
      <c r="L1911" s="32" t="str">
        <f t="shared" si="114"/>
        <v/>
      </c>
      <c r="M1911" s="32" t="str">
        <f t="shared" si="115"/>
        <v/>
      </c>
      <c r="N1911" s="4">
        <v>1</v>
      </c>
      <c r="O1911" s="58">
        <v>0</v>
      </c>
      <c r="P1911" s="58">
        <v>0</v>
      </c>
      <c r="Q1911" s="58">
        <v>0</v>
      </c>
      <c r="R1911" s="58">
        <v>0</v>
      </c>
      <c r="S1911" s="58">
        <v>0</v>
      </c>
      <c r="T1911" s="58">
        <v>0</v>
      </c>
      <c r="U1911" s="58">
        <v>0</v>
      </c>
      <c r="V1911" s="58">
        <v>0</v>
      </c>
      <c r="AG1911" t="s">
        <v>1629</v>
      </c>
      <c r="AM1911" s="1" t="str">
        <f t="shared" si="116"/>
        <v>1909_C0013_2095.jpg</v>
      </c>
    </row>
    <row r="1912" spans="1:39" x14ac:dyDescent="0.35">
      <c r="A1912">
        <v>1908</v>
      </c>
      <c r="B1912">
        <v>1909</v>
      </c>
      <c r="F1912" s="64" t="s">
        <v>4948</v>
      </c>
      <c r="G1912" s="64"/>
      <c r="H1912" s="64"/>
      <c r="I1912" s="64">
        <v>0</v>
      </c>
      <c r="J1912" s="32" t="str">
        <f>IF(AND(E1912=1,OR(E1911=0,E1911="")),MAX(#REF!)+1,IF(AND(E1912=1,E1911=1),J1911,""))</f>
        <v/>
      </c>
      <c r="K1912" s="32" t="str">
        <f t="shared" si="117"/>
        <v/>
      </c>
      <c r="L1912" s="32" t="str">
        <f t="shared" si="114"/>
        <v/>
      </c>
      <c r="M1912" s="32" t="str">
        <f t="shared" si="115"/>
        <v/>
      </c>
      <c r="N1912" s="4">
        <v>1</v>
      </c>
      <c r="O1912" s="58">
        <v>0</v>
      </c>
      <c r="P1912" s="58">
        <v>0</v>
      </c>
      <c r="Q1912" s="58">
        <v>0</v>
      </c>
      <c r="R1912" s="58">
        <v>0</v>
      </c>
      <c r="S1912" s="58">
        <v>0</v>
      </c>
      <c r="T1912" s="58">
        <v>0</v>
      </c>
      <c r="U1912" s="58">
        <v>0</v>
      </c>
      <c r="V1912" s="58">
        <v>0</v>
      </c>
      <c r="AG1912" t="s">
        <v>1630</v>
      </c>
      <c r="AM1912" s="1" t="str">
        <f t="shared" si="116"/>
        <v>1910_C0013_2093.jpg</v>
      </c>
    </row>
    <row r="1913" spans="1:39" x14ac:dyDescent="0.35">
      <c r="A1913">
        <v>1909</v>
      </c>
      <c r="B1913">
        <v>1910</v>
      </c>
      <c r="F1913" s="64" t="s">
        <v>4949</v>
      </c>
      <c r="G1913" s="64"/>
      <c r="H1913" s="64"/>
      <c r="I1913" s="64">
        <v>1</v>
      </c>
      <c r="J1913" s="32" t="str">
        <f>IF(AND(E1913=1,OR(E1912=0,E1912="")),MAX(#REF!)+1,IF(AND(E1913=1,E1912=1),J1912,""))</f>
        <v/>
      </c>
      <c r="K1913" s="32" t="str">
        <f t="shared" si="117"/>
        <v/>
      </c>
      <c r="L1913" s="32" t="str">
        <f t="shared" si="114"/>
        <v/>
      </c>
      <c r="M1913" s="32" t="str">
        <f t="shared" si="115"/>
        <v/>
      </c>
      <c r="N1913" s="4">
        <v>1</v>
      </c>
      <c r="O1913" s="58">
        <v>0</v>
      </c>
      <c r="P1913" s="58">
        <v>0</v>
      </c>
      <c r="Q1913" s="58">
        <v>0</v>
      </c>
      <c r="R1913" s="58">
        <v>0</v>
      </c>
      <c r="S1913" s="58">
        <v>0</v>
      </c>
      <c r="T1913" s="58">
        <v>0</v>
      </c>
      <c r="U1913" s="58">
        <v>0</v>
      </c>
      <c r="V1913" s="58">
        <v>0</v>
      </c>
      <c r="AG1913" t="s">
        <v>1631</v>
      </c>
      <c r="AM1913" s="1" t="str">
        <f t="shared" si="116"/>
        <v>1911_C0013_2089.jpg</v>
      </c>
    </row>
    <row r="1914" spans="1:39" x14ac:dyDescent="0.35">
      <c r="A1914">
        <v>1910</v>
      </c>
      <c r="B1914">
        <v>1911</v>
      </c>
      <c r="F1914" s="64" t="s">
        <v>4950</v>
      </c>
      <c r="G1914" s="64"/>
      <c r="H1914" s="64"/>
      <c r="I1914" s="64">
        <v>0</v>
      </c>
      <c r="J1914" s="32">
        <v>127</v>
      </c>
      <c r="K1914" s="32">
        <f t="shared" si="117"/>
        <v>10</v>
      </c>
      <c r="L1914" s="32" t="str">
        <f t="shared" si="114"/>
        <v/>
      </c>
      <c r="M1914" s="32">
        <f t="shared" si="115"/>
        <v>100</v>
      </c>
      <c r="N1914" s="4">
        <v>1</v>
      </c>
      <c r="O1914" s="58">
        <v>0</v>
      </c>
      <c r="P1914" s="58">
        <v>0</v>
      </c>
      <c r="Q1914" s="58">
        <v>0</v>
      </c>
      <c r="R1914" s="58">
        <v>0</v>
      </c>
      <c r="S1914" s="58">
        <v>0</v>
      </c>
      <c r="T1914" s="58">
        <v>0</v>
      </c>
      <c r="U1914" s="58">
        <v>0</v>
      </c>
      <c r="V1914" s="58">
        <v>0</v>
      </c>
      <c r="AG1914" t="s">
        <v>1632</v>
      </c>
      <c r="AM1914" s="1" t="str">
        <f t="shared" si="116"/>
        <v>1912_C0013_2086.jpg</v>
      </c>
    </row>
    <row r="1915" spans="1:39" x14ac:dyDescent="0.35">
      <c r="A1915">
        <v>1911</v>
      </c>
      <c r="B1915">
        <v>1912</v>
      </c>
      <c r="F1915" s="64" t="s">
        <v>4951</v>
      </c>
      <c r="G1915" s="64"/>
      <c r="H1915" s="64"/>
      <c r="I1915" s="64">
        <v>0</v>
      </c>
      <c r="J1915" s="32" t="str">
        <f>IF(AND(E1915=1,OR(E1914=0,E1914="")),MAX(#REF!)+1,IF(AND(E1915=1,E1914=1),J1914,""))</f>
        <v/>
      </c>
      <c r="K1915" s="32" t="str">
        <f t="shared" si="117"/>
        <v/>
      </c>
      <c r="L1915" s="32" t="str">
        <f t="shared" si="114"/>
        <v/>
      </c>
      <c r="M1915" s="32" t="str">
        <f t="shared" si="115"/>
        <v/>
      </c>
      <c r="N1915" s="4">
        <v>1</v>
      </c>
      <c r="O1915" s="58">
        <v>0</v>
      </c>
      <c r="P1915" s="58">
        <v>0</v>
      </c>
      <c r="Q1915" s="58">
        <v>0</v>
      </c>
      <c r="R1915" s="58">
        <v>0</v>
      </c>
      <c r="S1915" s="58">
        <v>0</v>
      </c>
      <c r="T1915" s="58">
        <v>0</v>
      </c>
      <c r="U1915" s="58">
        <v>0</v>
      </c>
      <c r="V1915" s="58">
        <v>0</v>
      </c>
      <c r="AG1915" t="s">
        <v>1633</v>
      </c>
      <c r="AM1915" s="1" t="str">
        <f t="shared" si="116"/>
        <v>1913_C0013_2083.jpg</v>
      </c>
    </row>
    <row r="1916" spans="1:39" x14ac:dyDescent="0.35">
      <c r="A1916">
        <v>1912</v>
      </c>
      <c r="B1916">
        <v>1913</v>
      </c>
      <c r="F1916" s="64" t="s">
        <v>4952</v>
      </c>
      <c r="G1916" s="64"/>
      <c r="H1916" s="64"/>
      <c r="I1916" s="64">
        <v>0</v>
      </c>
      <c r="J1916" s="32" t="str">
        <f>IF(AND(E1916=1,OR(E1915=0,E1915="")),MAX(#REF!)+1,IF(AND(E1916=1,E1915=1),J1915,""))</f>
        <v/>
      </c>
      <c r="K1916" s="32" t="str">
        <f t="shared" si="117"/>
        <v/>
      </c>
      <c r="L1916" s="32" t="str">
        <f t="shared" si="114"/>
        <v/>
      </c>
      <c r="M1916" s="32" t="str">
        <f t="shared" si="115"/>
        <v/>
      </c>
      <c r="N1916" s="4">
        <v>1</v>
      </c>
      <c r="O1916" s="58">
        <v>0</v>
      </c>
      <c r="P1916" s="58">
        <v>0</v>
      </c>
      <c r="Q1916" s="58">
        <v>0</v>
      </c>
      <c r="R1916" s="58">
        <v>0</v>
      </c>
      <c r="S1916" s="58">
        <v>0</v>
      </c>
      <c r="T1916" s="58">
        <v>0</v>
      </c>
      <c r="U1916" s="58">
        <v>0</v>
      </c>
      <c r="V1916" s="58">
        <v>0</v>
      </c>
      <c r="AG1916" t="s">
        <v>1634</v>
      </c>
      <c r="AM1916" s="1" t="str">
        <f t="shared" si="116"/>
        <v>1914_C0013_2079.jpg</v>
      </c>
    </row>
    <row r="1917" spans="1:39" x14ac:dyDescent="0.35">
      <c r="A1917">
        <v>1913</v>
      </c>
      <c r="B1917">
        <v>1914</v>
      </c>
      <c r="F1917" s="64" t="s">
        <v>4953</v>
      </c>
      <c r="G1917" s="64"/>
      <c r="H1917" s="64"/>
      <c r="I1917" s="64">
        <v>0</v>
      </c>
      <c r="J1917" s="32" t="str">
        <f>IF(AND(E1917=1,OR(E1916=0,E1916="")),MAX(#REF!)+1,IF(AND(E1917=1,E1916=1),J1916,""))</f>
        <v/>
      </c>
      <c r="K1917" s="32" t="str">
        <f t="shared" si="117"/>
        <v/>
      </c>
      <c r="L1917" s="32" t="str">
        <f t="shared" si="114"/>
        <v/>
      </c>
      <c r="M1917" s="32" t="str">
        <f t="shared" si="115"/>
        <v/>
      </c>
      <c r="N1917" s="4">
        <v>1</v>
      </c>
      <c r="O1917" s="58">
        <v>0</v>
      </c>
      <c r="P1917" s="58">
        <v>0</v>
      </c>
      <c r="Q1917" s="58">
        <v>0</v>
      </c>
      <c r="R1917" s="58">
        <v>0</v>
      </c>
      <c r="S1917" s="58">
        <v>0</v>
      </c>
      <c r="T1917" s="58">
        <v>0</v>
      </c>
      <c r="U1917" s="58">
        <v>0</v>
      </c>
      <c r="V1917" s="58">
        <v>0</v>
      </c>
      <c r="AG1917" t="s">
        <v>1635</v>
      </c>
      <c r="AM1917" s="1" t="str">
        <f t="shared" si="116"/>
        <v>1915_C0013_2076.jpg</v>
      </c>
    </row>
    <row r="1918" spans="1:39" x14ac:dyDescent="0.35">
      <c r="A1918">
        <v>1914</v>
      </c>
      <c r="B1918">
        <v>1915</v>
      </c>
      <c r="F1918" s="64" t="s">
        <v>4954</v>
      </c>
      <c r="G1918" s="64"/>
      <c r="H1918" s="64"/>
      <c r="I1918" s="64">
        <v>1</v>
      </c>
      <c r="J1918" s="32" t="str">
        <f>IF(AND(E1918=1,OR(E1917=0,E1917="")),MAX(#REF!)+1,IF(AND(E1918=1,E1917=1),J1917,""))</f>
        <v/>
      </c>
      <c r="K1918" s="32" t="str">
        <f t="shared" si="117"/>
        <v/>
      </c>
      <c r="L1918" s="32" t="str">
        <f t="shared" si="114"/>
        <v/>
      </c>
      <c r="M1918" s="32" t="str">
        <f t="shared" si="115"/>
        <v/>
      </c>
      <c r="N1918" s="4">
        <v>1</v>
      </c>
      <c r="O1918" s="58">
        <v>0</v>
      </c>
      <c r="P1918" s="58">
        <v>0</v>
      </c>
      <c r="Q1918" s="58">
        <v>0</v>
      </c>
      <c r="R1918" s="58">
        <v>0</v>
      </c>
      <c r="S1918" s="58">
        <v>0</v>
      </c>
      <c r="T1918" s="58">
        <v>0</v>
      </c>
      <c r="U1918" s="58">
        <v>0</v>
      </c>
      <c r="V1918" s="58">
        <v>0</v>
      </c>
      <c r="AG1918" t="s">
        <v>1636</v>
      </c>
      <c r="AM1918" s="1" t="str">
        <f t="shared" si="116"/>
        <v>1916_C0013_2074.jpg</v>
      </c>
    </row>
    <row r="1919" spans="1:39" x14ac:dyDescent="0.35">
      <c r="A1919">
        <v>1915</v>
      </c>
      <c r="B1919">
        <v>1916</v>
      </c>
      <c r="F1919" s="64" t="s">
        <v>4955</v>
      </c>
      <c r="G1919" s="64"/>
      <c r="H1919" s="64"/>
      <c r="I1919" s="64">
        <v>1</v>
      </c>
      <c r="J1919" s="32" t="str">
        <f>IF(AND(E1919=1,OR(E1918=0,E1918="")),MAX(#REF!)+1,IF(AND(E1919=1,E1918=1),J1918,""))</f>
        <v/>
      </c>
      <c r="K1919" s="32" t="str">
        <f t="shared" si="117"/>
        <v/>
      </c>
      <c r="L1919" s="32" t="str">
        <f t="shared" si="114"/>
        <v/>
      </c>
      <c r="M1919" s="32" t="str">
        <f t="shared" si="115"/>
        <v/>
      </c>
      <c r="N1919" s="4">
        <v>1</v>
      </c>
      <c r="O1919" s="58">
        <v>0</v>
      </c>
      <c r="P1919" s="58">
        <v>0</v>
      </c>
      <c r="Q1919" s="58">
        <v>0</v>
      </c>
      <c r="R1919" s="58">
        <v>0</v>
      </c>
      <c r="S1919" s="58">
        <v>0</v>
      </c>
      <c r="T1919" s="58">
        <v>0</v>
      </c>
      <c r="U1919" s="58">
        <v>0</v>
      </c>
      <c r="V1919" s="58">
        <v>0</v>
      </c>
      <c r="AG1919" t="s">
        <v>1637</v>
      </c>
      <c r="AM1919" s="1" t="str">
        <f t="shared" si="116"/>
        <v>1917_C0013_2070.jpg</v>
      </c>
    </row>
    <row r="1920" spans="1:39" x14ac:dyDescent="0.35">
      <c r="A1920">
        <v>1916</v>
      </c>
      <c r="B1920">
        <v>1917</v>
      </c>
      <c r="F1920" s="64" t="s">
        <v>4956</v>
      </c>
      <c r="G1920" s="64"/>
      <c r="H1920" s="64"/>
      <c r="I1920" s="64">
        <v>1</v>
      </c>
      <c r="J1920" s="32" t="str">
        <f>IF(AND(E1920=1,OR(E1919=0,E1919="")),MAX(#REF!)+1,IF(AND(E1920=1,E1919=1),J1919,""))</f>
        <v/>
      </c>
      <c r="K1920" s="32" t="str">
        <f t="shared" si="117"/>
        <v/>
      </c>
      <c r="L1920" s="32" t="str">
        <f t="shared" si="114"/>
        <v/>
      </c>
      <c r="M1920" s="32" t="str">
        <f t="shared" si="115"/>
        <v/>
      </c>
      <c r="N1920" s="4">
        <v>1</v>
      </c>
      <c r="O1920" s="58">
        <v>0</v>
      </c>
      <c r="P1920" s="58">
        <v>0</v>
      </c>
      <c r="Q1920" s="58">
        <v>0</v>
      </c>
      <c r="R1920" s="58">
        <v>0</v>
      </c>
      <c r="S1920" s="58">
        <v>0</v>
      </c>
      <c r="T1920" s="58">
        <v>0</v>
      </c>
      <c r="U1920" s="58">
        <v>0</v>
      </c>
      <c r="V1920" s="58">
        <v>0</v>
      </c>
      <c r="AG1920" t="s">
        <v>1638</v>
      </c>
      <c r="AM1920" s="1" t="str">
        <f t="shared" si="116"/>
        <v>1918_C0013_2068.jpg</v>
      </c>
    </row>
    <row r="1921" spans="1:39" x14ac:dyDescent="0.35">
      <c r="A1921">
        <v>1917</v>
      </c>
      <c r="B1921">
        <v>1918</v>
      </c>
      <c r="F1921" s="64" t="s">
        <v>4957</v>
      </c>
      <c r="G1921" s="64"/>
      <c r="H1921" s="64"/>
      <c r="I1921" s="64">
        <v>1</v>
      </c>
      <c r="J1921" s="32" t="str">
        <f>IF(AND(E1921=1,OR(E1920=0,E1920="")),MAX(#REF!)+1,IF(AND(E1921=1,E1920=1),J1920,""))</f>
        <v/>
      </c>
      <c r="K1921" s="32" t="str">
        <f t="shared" si="117"/>
        <v/>
      </c>
      <c r="L1921" s="32" t="str">
        <f t="shared" si="114"/>
        <v/>
      </c>
      <c r="M1921" s="32" t="str">
        <f t="shared" si="115"/>
        <v/>
      </c>
      <c r="N1921" s="4">
        <v>1</v>
      </c>
      <c r="O1921" s="58">
        <v>0</v>
      </c>
      <c r="P1921" s="58">
        <v>0</v>
      </c>
      <c r="Q1921" s="58">
        <v>0</v>
      </c>
      <c r="R1921" s="58">
        <v>0</v>
      </c>
      <c r="S1921" s="58">
        <v>0</v>
      </c>
      <c r="T1921" s="58">
        <v>0</v>
      </c>
      <c r="U1921" s="58">
        <v>0</v>
      </c>
      <c r="V1921" s="58">
        <v>0</v>
      </c>
      <c r="AG1921" t="s">
        <v>1639</v>
      </c>
      <c r="AM1921" s="1" t="str">
        <f t="shared" si="116"/>
        <v>1919_C0013_2064.jpg</v>
      </c>
    </row>
    <row r="1922" spans="1:39" x14ac:dyDescent="0.35">
      <c r="A1922">
        <v>1918</v>
      </c>
      <c r="B1922">
        <v>1919</v>
      </c>
      <c r="F1922" s="64" t="s">
        <v>4958</v>
      </c>
      <c r="G1922" s="64"/>
      <c r="H1922" s="64"/>
      <c r="I1922" s="64">
        <v>1</v>
      </c>
      <c r="J1922" s="32" t="str">
        <f>IF(AND(E1922=1,OR(E1921=0,E1921="")),MAX(#REF!)+1,IF(AND(E1922=1,E1921=1),J1921,""))</f>
        <v/>
      </c>
      <c r="K1922" s="32" t="str">
        <f t="shared" si="117"/>
        <v/>
      </c>
      <c r="L1922" s="32" t="str">
        <f t="shared" si="114"/>
        <v/>
      </c>
      <c r="M1922" s="32" t="str">
        <f t="shared" si="115"/>
        <v/>
      </c>
      <c r="N1922" s="4">
        <v>1</v>
      </c>
      <c r="O1922" s="58">
        <v>0</v>
      </c>
      <c r="P1922" s="58">
        <v>0</v>
      </c>
      <c r="Q1922" s="58">
        <v>0</v>
      </c>
      <c r="R1922" s="58">
        <v>0</v>
      </c>
      <c r="S1922" s="58">
        <v>0</v>
      </c>
      <c r="T1922" s="58">
        <v>0</v>
      </c>
      <c r="U1922" s="58">
        <v>0</v>
      </c>
      <c r="V1922" s="58">
        <v>0</v>
      </c>
      <c r="AG1922" t="s">
        <v>1640</v>
      </c>
      <c r="AM1922" s="1" t="str">
        <f t="shared" si="116"/>
        <v>1920_C0013_2062.jpg</v>
      </c>
    </row>
    <row r="1923" spans="1:39" x14ac:dyDescent="0.35">
      <c r="A1923">
        <v>1919</v>
      </c>
      <c r="B1923">
        <v>1920</v>
      </c>
      <c r="F1923" s="64" t="s">
        <v>4959</v>
      </c>
      <c r="G1923" s="64"/>
      <c r="H1923" s="64"/>
      <c r="I1923" s="64">
        <v>1</v>
      </c>
      <c r="J1923" s="32" t="str">
        <f>IF(AND(E1923=1,OR(E1922=0,E1922="")),MAX(#REF!)+1,IF(AND(E1923=1,E1922=1),J1922,""))</f>
        <v/>
      </c>
      <c r="K1923" s="32" t="str">
        <f t="shared" si="117"/>
        <v/>
      </c>
      <c r="L1923" s="32" t="str">
        <f t="shared" si="114"/>
        <v/>
      </c>
      <c r="M1923" s="32" t="str">
        <f t="shared" si="115"/>
        <v/>
      </c>
      <c r="N1923" s="4">
        <v>1</v>
      </c>
      <c r="O1923" s="58">
        <v>0</v>
      </c>
      <c r="P1923" s="58">
        <v>0</v>
      </c>
      <c r="Q1923" s="58">
        <v>0</v>
      </c>
      <c r="R1923" s="58">
        <v>0</v>
      </c>
      <c r="S1923" s="58">
        <v>0</v>
      </c>
      <c r="T1923" s="58">
        <v>0</v>
      </c>
      <c r="U1923" s="58">
        <v>0</v>
      </c>
      <c r="V1923" s="58">
        <v>0</v>
      </c>
      <c r="AG1923" t="s">
        <v>1641</v>
      </c>
      <c r="AM1923" s="1" t="str">
        <f t="shared" si="116"/>
        <v>1921_C0013_2058.jpg</v>
      </c>
    </row>
    <row r="1924" spans="1:39" x14ac:dyDescent="0.35">
      <c r="A1924">
        <v>1920</v>
      </c>
      <c r="B1924">
        <v>1921</v>
      </c>
      <c r="F1924" s="64" t="s">
        <v>4960</v>
      </c>
      <c r="G1924" s="64"/>
      <c r="H1924" s="64"/>
      <c r="I1924" s="64">
        <v>1</v>
      </c>
      <c r="J1924" s="32" t="str">
        <f>IF(AND(E1924=1,OR(E1923=0,E1923="")),MAX(#REF!)+1,IF(AND(E1924=1,E1923=1),J1923,""))</f>
        <v/>
      </c>
      <c r="K1924" s="32" t="str">
        <f t="shared" si="117"/>
        <v/>
      </c>
      <c r="L1924" s="32" t="str">
        <f t="shared" ref="L1924:L1987" si="118">IF(K1924="","",IF(K1924&gt;=100,"HV",""))</f>
        <v/>
      </c>
      <c r="M1924" s="32" t="str">
        <f t="shared" ref="M1924:M1987" si="119">IF(K1924&lt;&gt;"",K1924^2,"")</f>
        <v/>
      </c>
      <c r="N1924" s="4">
        <v>1</v>
      </c>
      <c r="O1924" s="58">
        <v>0</v>
      </c>
      <c r="P1924" s="58">
        <v>0</v>
      </c>
      <c r="Q1924" s="58">
        <v>0</v>
      </c>
      <c r="R1924" s="58">
        <v>0</v>
      </c>
      <c r="S1924" s="58">
        <v>0</v>
      </c>
      <c r="T1924" s="58">
        <v>0</v>
      </c>
      <c r="U1924" s="58">
        <v>0</v>
      </c>
      <c r="V1924" s="58">
        <v>0</v>
      </c>
      <c r="AG1924" t="s">
        <v>1642</v>
      </c>
      <c r="AM1924" s="1" t="str">
        <f t="shared" si="116"/>
        <v>1922_C0013_2055.jpg</v>
      </c>
    </row>
    <row r="1925" spans="1:39" x14ac:dyDescent="0.35">
      <c r="A1925">
        <v>1921</v>
      </c>
      <c r="B1925">
        <v>1922</v>
      </c>
      <c r="F1925" s="64" t="s">
        <v>4961</v>
      </c>
      <c r="G1925" s="64"/>
      <c r="H1925" s="64"/>
      <c r="I1925" s="64">
        <v>1</v>
      </c>
      <c r="J1925" s="32" t="str">
        <f>IF(AND(E1925=1,OR(E1924=0,E1924="")),MAX(#REF!)+1,IF(AND(E1925=1,E1924=1),J1924,""))</f>
        <v/>
      </c>
      <c r="K1925" s="32" t="str">
        <f t="shared" si="117"/>
        <v/>
      </c>
      <c r="L1925" s="32" t="str">
        <f t="shared" si="118"/>
        <v/>
      </c>
      <c r="M1925" s="32" t="str">
        <f t="shared" si="119"/>
        <v/>
      </c>
      <c r="N1925" s="4">
        <v>1</v>
      </c>
      <c r="O1925" s="58">
        <v>0</v>
      </c>
      <c r="P1925" s="58">
        <v>0</v>
      </c>
      <c r="Q1925" s="58">
        <v>0</v>
      </c>
      <c r="R1925" s="58">
        <v>0</v>
      </c>
      <c r="S1925" s="58">
        <v>0</v>
      </c>
      <c r="T1925" s="58">
        <v>0</v>
      </c>
      <c r="U1925" s="58">
        <v>0</v>
      </c>
      <c r="V1925" s="58">
        <v>0</v>
      </c>
      <c r="AG1925" t="s">
        <v>1643</v>
      </c>
      <c r="AM1925" s="1" t="str">
        <f t="shared" si="116"/>
        <v>1923_C0013_2052.jpg</v>
      </c>
    </row>
    <row r="1926" spans="1:39" x14ac:dyDescent="0.35">
      <c r="A1926">
        <v>1922</v>
      </c>
      <c r="B1926">
        <v>1923</v>
      </c>
      <c r="F1926" s="64" t="s">
        <v>4962</v>
      </c>
      <c r="G1926" s="64"/>
      <c r="H1926" s="64"/>
      <c r="I1926" s="64">
        <v>1</v>
      </c>
      <c r="J1926" s="32" t="str">
        <f>IF(AND(E1926=1,OR(E1925=0,E1925="")),MAX(#REF!)+1,IF(AND(E1926=1,E1925=1),J1925,""))</f>
        <v/>
      </c>
      <c r="K1926" s="32" t="str">
        <f t="shared" si="117"/>
        <v/>
      </c>
      <c r="L1926" s="32" t="str">
        <f t="shared" si="118"/>
        <v/>
      </c>
      <c r="M1926" s="32" t="str">
        <f t="shared" si="119"/>
        <v/>
      </c>
      <c r="N1926" s="4">
        <v>1</v>
      </c>
      <c r="O1926" s="58">
        <v>0</v>
      </c>
      <c r="P1926" s="58">
        <v>0</v>
      </c>
      <c r="Q1926" s="58">
        <v>0</v>
      </c>
      <c r="R1926" s="58">
        <v>0</v>
      </c>
      <c r="S1926" s="58">
        <v>0</v>
      </c>
      <c r="T1926" s="58">
        <v>0</v>
      </c>
      <c r="U1926" s="58">
        <v>0</v>
      </c>
      <c r="V1926" s="58">
        <v>0</v>
      </c>
      <c r="AG1926" t="s">
        <v>1644</v>
      </c>
      <c r="AM1926" s="1" t="str">
        <f t="shared" si="116"/>
        <v>1924_C0013_2049.jpg</v>
      </c>
    </row>
    <row r="1927" spans="1:39" x14ac:dyDescent="0.35">
      <c r="A1927">
        <v>1923</v>
      </c>
      <c r="B1927">
        <v>1924</v>
      </c>
      <c r="F1927" s="64" t="s">
        <v>4963</v>
      </c>
      <c r="G1927" s="64"/>
      <c r="H1927" s="64"/>
      <c r="I1927" s="64">
        <v>1</v>
      </c>
      <c r="J1927" s="32" t="str">
        <f>IF(AND(E1927=1,OR(E1926=0,E1926="")),MAX(#REF!)+1,IF(AND(E1927=1,E1926=1),J1926,""))</f>
        <v/>
      </c>
      <c r="K1927" s="32" t="str">
        <f t="shared" si="117"/>
        <v/>
      </c>
      <c r="L1927" s="32" t="str">
        <f t="shared" si="118"/>
        <v/>
      </c>
      <c r="M1927" s="32" t="str">
        <f t="shared" si="119"/>
        <v/>
      </c>
      <c r="N1927" s="4">
        <v>1</v>
      </c>
      <c r="O1927" s="58">
        <v>0</v>
      </c>
      <c r="P1927" s="58">
        <v>0</v>
      </c>
      <c r="Q1927" s="58">
        <v>0</v>
      </c>
      <c r="R1927" s="58">
        <v>0</v>
      </c>
      <c r="S1927" s="58">
        <v>0</v>
      </c>
      <c r="T1927" s="58">
        <v>0</v>
      </c>
      <c r="U1927" s="58">
        <v>0</v>
      </c>
      <c r="V1927" s="58">
        <v>0</v>
      </c>
      <c r="AG1927" t="s">
        <v>1645</v>
      </c>
      <c r="AM1927" s="1" t="str">
        <f t="shared" si="116"/>
        <v>1925_C0013_2046.jpg</v>
      </c>
    </row>
    <row r="1928" spans="1:39" x14ac:dyDescent="0.35">
      <c r="A1928">
        <v>1924</v>
      </c>
      <c r="B1928">
        <v>1925</v>
      </c>
      <c r="F1928" s="64" t="s">
        <v>4964</v>
      </c>
      <c r="G1928" s="64"/>
      <c r="H1928" s="64"/>
      <c r="I1928" s="64">
        <v>1</v>
      </c>
      <c r="J1928" s="32" t="str">
        <f>IF(AND(E1928=1,OR(E1927=0,E1927="")),MAX(#REF!)+1,IF(AND(E1928=1,E1927=1),J1927,""))</f>
        <v/>
      </c>
      <c r="K1928" s="32" t="str">
        <f t="shared" si="117"/>
        <v/>
      </c>
      <c r="L1928" s="32" t="str">
        <f t="shared" si="118"/>
        <v/>
      </c>
      <c r="M1928" s="32" t="str">
        <f t="shared" si="119"/>
        <v/>
      </c>
      <c r="N1928" s="4">
        <v>1</v>
      </c>
      <c r="O1928" s="58">
        <v>0</v>
      </c>
      <c r="P1928" s="58">
        <v>0</v>
      </c>
      <c r="Q1928" s="58">
        <v>0</v>
      </c>
      <c r="R1928" s="58">
        <v>0</v>
      </c>
      <c r="S1928" s="58">
        <v>0</v>
      </c>
      <c r="T1928" s="58">
        <v>0</v>
      </c>
      <c r="U1928" s="58">
        <v>0</v>
      </c>
      <c r="V1928" s="58">
        <v>0</v>
      </c>
      <c r="AG1928" t="s">
        <v>1646</v>
      </c>
      <c r="AM1928" s="1" t="str">
        <f t="shared" si="116"/>
        <v>1926_C0013_2042.jpg</v>
      </c>
    </row>
    <row r="1929" spans="1:39" x14ac:dyDescent="0.35">
      <c r="A1929">
        <v>1925</v>
      </c>
      <c r="B1929">
        <v>1926</v>
      </c>
      <c r="F1929" s="64" t="s">
        <v>4965</v>
      </c>
      <c r="G1929" s="64"/>
      <c r="H1929" s="64"/>
      <c r="I1929" s="64">
        <v>1</v>
      </c>
      <c r="J1929" s="32" t="str">
        <f>IF(AND(E1929=1,OR(E1928=0,E1928="")),MAX(#REF!)+1,IF(AND(E1929=1,E1928=1),J1928,""))</f>
        <v/>
      </c>
      <c r="K1929" s="32" t="str">
        <f t="shared" si="117"/>
        <v/>
      </c>
      <c r="L1929" s="32" t="str">
        <f t="shared" si="118"/>
        <v/>
      </c>
      <c r="M1929" s="32" t="str">
        <f t="shared" si="119"/>
        <v/>
      </c>
      <c r="N1929" s="4">
        <v>1</v>
      </c>
      <c r="O1929" s="58">
        <v>0</v>
      </c>
      <c r="P1929" s="58">
        <v>0</v>
      </c>
      <c r="Q1929" s="58">
        <v>0</v>
      </c>
      <c r="R1929" s="58">
        <v>0</v>
      </c>
      <c r="S1929" s="58">
        <v>0</v>
      </c>
      <c r="T1929" s="58">
        <v>0</v>
      </c>
      <c r="U1929" s="58">
        <v>0</v>
      </c>
      <c r="V1929" s="58">
        <v>0</v>
      </c>
      <c r="AG1929" t="s">
        <v>1647</v>
      </c>
      <c r="AM1929" s="1" t="str">
        <f t="shared" si="116"/>
        <v>1927_C0013_2039.jpg</v>
      </c>
    </row>
    <row r="1930" spans="1:39" x14ac:dyDescent="0.35">
      <c r="A1930">
        <v>1926</v>
      </c>
      <c r="B1930">
        <v>1927</v>
      </c>
      <c r="F1930" s="64" t="s">
        <v>4966</v>
      </c>
      <c r="G1930" s="64"/>
      <c r="H1930" s="64"/>
      <c r="I1930" s="64">
        <v>1</v>
      </c>
      <c r="J1930" s="32" t="str">
        <f>IF(AND(E1930=1,OR(E1929=0,E1929="")),MAX(#REF!)+1,IF(AND(E1930=1,E1929=1),J1929,""))</f>
        <v/>
      </c>
      <c r="K1930" s="32" t="str">
        <f t="shared" si="117"/>
        <v/>
      </c>
      <c r="L1930" s="32" t="str">
        <f t="shared" si="118"/>
        <v/>
      </c>
      <c r="M1930" s="32" t="str">
        <f t="shared" si="119"/>
        <v/>
      </c>
      <c r="N1930" s="4">
        <v>1</v>
      </c>
      <c r="O1930" s="58">
        <v>0</v>
      </c>
      <c r="P1930" s="58">
        <v>0</v>
      </c>
      <c r="Q1930" s="58">
        <v>0</v>
      </c>
      <c r="R1930" s="58">
        <v>0</v>
      </c>
      <c r="S1930" s="58">
        <v>0</v>
      </c>
      <c r="T1930" s="58">
        <v>0</v>
      </c>
      <c r="U1930" s="58">
        <v>0</v>
      </c>
      <c r="V1930" s="58">
        <v>0</v>
      </c>
      <c r="AG1930" t="s">
        <v>1648</v>
      </c>
      <c r="AM1930" s="1" t="str">
        <f t="shared" si="116"/>
        <v>1928_C0013_2036.jpg</v>
      </c>
    </row>
    <row r="1931" spans="1:39" x14ac:dyDescent="0.35">
      <c r="A1931">
        <v>1927</v>
      </c>
      <c r="B1931">
        <v>1928</v>
      </c>
      <c r="F1931" s="64" t="s">
        <v>4967</v>
      </c>
      <c r="G1931" s="64"/>
      <c r="H1931" s="64"/>
      <c r="I1931" s="64">
        <v>1</v>
      </c>
      <c r="J1931" s="32" t="str">
        <f>IF(AND(E1931=1,OR(E1930=0,E1930="")),MAX(#REF!)+1,IF(AND(E1931=1,E1930=1),J1930,""))</f>
        <v/>
      </c>
      <c r="K1931" s="32" t="str">
        <f t="shared" si="117"/>
        <v/>
      </c>
      <c r="L1931" s="32" t="str">
        <f t="shared" si="118"/>
        <v/>
      </c>
      <c r="M1931" s="32" t="str">
        <f t="shared" si="119"/>
        <v/>
      </c>
      <c r="N1931" s="4">
        <v>1</v>
      </c>
      <c r="O1931" s="58">
        <v>0</v>
      </c>
      <c r="P1931" s="58">
        <v>0</v>
      </c>
      <c r="Q1931" s="58">
        <v>0</v>
      </c>
      <c r="R1931" s="58">
        <v>0</v>
      </c>
      <c r="S1931" s="58">
        <v>0</v>
      </c>
      <c r="T1931" s="58">
        <v>0</v>
      </c>
      <c r="U1931" s="58">
        <v>0</v>
      </c>
      <c r="V1931" s="58">
        <v>0</v>
      </c>
      <c r="AG1931" t="s">
        <v>1649</v>
      </c>
      <c r="AM1931" s="1" t="str">
        <f t="shared" ref="AM1931:AM1994" si="120">HYPERLINK("E:\CAFNEC_GBRF\2023\JohnstoneRiver\Frames_for_Analysis\" &amp; F1932, F1932)</f>
        <v>1929_C0013_2033.jpg</v>
      </c>
    </row>
    <row r="1932" spans="1:39" x14ac:dyDescent="0.35">
      <c r="A1932">
        <v>1928</v>
      </c>
      <c r="B1932">
        <v>1929</v>
      </c>
      <c r="F1932" s="64" t="s">
        <v>4968</v>
      </c>
      <c r="G1932" s="64"/>
      <c r="H1932" s="64"/>
      <c r="I1932" s="64">
        <v>1</v>
      </c>
      <c r="J1932" s="32" t="str">
        <f>IF(AND(E1932=1,OR(E1931=0,E1931="")),MAX(#REF!)+1,IF(AND(E1932=1,E1931=1),J1931,""))</f>
        <v/>
      </c>
      <c r="K1932" s="32" t="str">
        <f t="shared" si="117"/>
        <v/>
      </c>
      <c r="L1932" s="32" t="str">
        <f t="shared" si="118"/>
        <v/>
      </c>
      <c r="M1932" s="32" t="str">
        <f t="shared" si="119"/>
        <v/>
      </c>
      <c r="N1932" s="4">
        <v>1</v>
      </c>
      <c r="O1932" s="58">
        <v>0</v>
      </c>
      <c r="P1932" s="58">
        <v>0</v>
      </c>
      <c r="Q1932" s="58">
        <v>0</v>
      </c>
      <c r="R1932" s="58">
        <v>0</v>
      </c>
      <c r="S1932" s="58">
        <v>0</v>
      </c>
      <c r="T1932" s="58">
        <v>0</v>
      </c>
      <c r="U1932" s="58">
        <v>0</v>
      </c>
      <c r="V1932" s="58">
        <v>0</v>
      </c>
      <c r="AG1932" t="s">
        <v>1650</v>
      </c>
      <c r="AM1932" s="1" t="str">
        <f t="shared" si="120"/>
        <v>1930_C0013_2030.jpg</v>
      </c>
    </row>
    <row r="1933" spans="1:39" x14ac:dyDescent="0.35">
      <c r="A1933">
        <v>1929</v>
      </c>
      <c r="B1933">
        <v>1930</v>
      </c>
      <c r="F1933" s="64" t="s">
        <v>4969</v>
      </c>
      <c r="G1933" s="64"/>
      <c r="H1933" s="64"/>
      <c r="I1933" s="64">
        <v>1</v>
      </c>
      <c r="J1933" s="32" t="str">
        <f>IF(AND(E1933=1,OR(E1932=0,E1932="")),MAX(#REF!)+1,IF(AND(E1933=1,E1932=1),J1932,""))</f>
        <v/>
      </c>
      <c r="K1933" s="32" t="str">
        <f t="shared" si="117"/>
        <v/>
      </c>
      <c r="L1933" s="32" t="str">
        <f t="shared" si="118"/>
        <v/>
      </c>
      <c r="M1933" s="32" t="str">
        <f t="shared" si="119"/>
        <v/>
      </c>
      <c r="N1933" s="4">
        <v>1</v>
      </c>
      <c r="O1933" s="58">
        <v>0</v>
      </c>
      <c r="P1933" s="58">
        <v>0</v>
      </c>
      <c r="Q1933" s="58">
        <v>0</v>
      </c>
      <c r="R1933" s="58">
        <v>0</v>
      </c>
      <c r="S1933" s="58">
        <v>0</v>
      </c>
      <c r="T1933" s="58">
        <v>0</v>
      </c>
      <c r="U1933" s="58">
        <v>0</v>
      </c>
      <c r="V1933" s="58">
        <v>0</v>
      </c>
      <c r="AG1933" t="s">
        <v>1651</v>
      </c>
      <c r="AM1933" s="1" t="str">
        <f t="shared" si="120"/>
        <v>1931_C0013_2027.jpg</v>
      </c>
    </row>
    <row r="1934" spans="1:39" x14ac:dyDescent="0.35">
      <c r="A1934">
        <v>1930</v>
      </c>
      <c r="B1934">
        <v>1931</v>
      </c>
      <c r="F1934" s="64" t="s">
        <v>4970</v>
      </c>
      <c r="G1934" s="64"/>
      <c r="H1934" s="64"/>
      <c r="I1934" s="64">
        <v>1</v>
      </c>
      <c r="J1934" s="32" t="str">
        <f>IF(AND(E1934=1,OR(E1933=0,E1933="")),MAX(#REF!)+1,IF(AND(E1934=1,E1933=1),J1933,""))</f>
        <v/>
      </c>
      <c r="K1934" s="32" t="str">
        <f t="shared" si="117"/>
        <v/>
      </c>
      <c r="L1934" s="32" t="str">
        <f t="shared" si="118"/>
        <v/>
      </c>
      <c r="M1934" s="32" t="str">
        <f t="shared" si="119"/>
        <v/>
      </c>
      <c r="N1934" s="4">
        <v>1</v>
      </c>
      <c r="O1934" s="58">
        <v>0</v>
      </c>
      <c r="P1934" s="58">
        <v>0</v>
      </c>
      <c r="Q1934" s="58">
        <v>0</v>
      </c>
      <c r="R1934" s="58">
        <v>0</v>
      </c>
      <c r="S1934" s="58">
        <v>0</v>
      </c>
      <c r="T1934" s="58">
        <v>0</v>
      </c>
      <c r="U1934" s="58">
        <v>0</v>
      </c>
      <c r="V1934" s="58">
        <v>0</v>
      </c>
      <c r="AG1934" t="s">
        <v>1652</v>
      </c>
      <c r="AM1934" s="1" t="str">
        <f t="shared" si="120"/>
        <v>1932_C0013_2024.jpg</v>
      </c>
    </row>
    <row r="1935" spans="1:39" x14ac:dyDescent="0.35">
      <c r="A1935">
        <v>1931</v>
      </c>
      <c r="B1935">
        <v>1932</v>
      </c>
      <c r="F1935" s="64" t="s">
        <v>4971</v>
      </c>
      <c r="G1935" s="64"/>
      <c r="H1935" s="64"/>
      <c r="I1935" s="64">
        <v>1</v>
      </c>
      <c r="J1935" s="32" t="str">
        <f>IF(AND(E1935=1,OR(E1934=0,E1934="")),MAX(#REF!)+1,IF(AND(E1935=1,E1934=1),J1934,""))</f>
        <v/>
      </c>
      <c r="K1935" s="32" t="str">
        <f t="shared" si="117"/>
        <v/>
      </c>
      <c r="L1935" s="32" t="str">
        <f t="shared" si="118"/>
        <v/>
      </c>
      <c r="M1935" s="32" t="str">
        <f t="shared" si="119"/>
        <v/>
      </c>
      <c r="N1935" s="4">
        <v>1</v>
      </c>
      <c r="O1935" s="58">
        <v>0</v>
      </c>
      <c r="P1935" s="58">
        <v>0</v>
      </c>
      <c r="Q1935" s="58">
        <v>0</v>
      </c>
      <c r="R1935" s="58">
        <v>0</v>
      </c>
      <c r="S1935" s="58">
        <v>0</v>
      </c>
      <c r="T1935" s="58">
        <v>0</v>
      </c>
      <c r="U1935" s="58">
        <v>0</v>
      </c>
      <c r="V1935" s="58">
        <v>0</v>
      </c>
      <c r="AG1935" t="s">
        <v>1653</v>
      </c>
      <c r="AM1935" s="1" t="str">
        <f t="shared" si="120"/>
        <v>1933_C0013_2021.jpg</v>
      </c>
    </row>
    <row r="1936" spans="1:39" x14ac:dyDescent="0.35">
      <c r="A1936">
        <v>1932</v>
      </c>
      <c r="B1936">
        <v>1933</v>
      </c>
      <c r="F1936" s="64" t="s">
        <v>4972</v>
      </c>
      <c r="G1936" s="64"/>
      <c r="H1936" s="64"/>
      <c r="I1936" s="64">
        <v>1</v>
      </c>
      <c r="J1936" s="32" t="str">
        <f>IF(AND(E1936=1,OR(E1935=0,E1935="")),MAX(#REF!)+1,IF(AND(E1936=1,E1935=1),J1935,""))</f>
        <v/>
      </c>
      <c r="K1936" s="32" t="str">
        <f t="shared" si="117"/>
        <v/>
      </c>
      <c r="L1936" s="32" t="str">
        <f t="shared" si="118"/>
        <v/>
      </c>
      <c r="M1936" s="32" t="str">
        <f t="shared" si="119"/>
        <v/>
      </c>
      <c r="N1936" s="4">
        <v>1</v>
      </c>
      <c r="O1936" s="58">
        <v>0</v>
      </c>
      <c r="P1936" s="58">
        <v>0</v>
      </c>
      <c r="Q1936" s="58">
        <v>0</v>
      </c>
      <c r="R1936" s="58">
        <v>0</v>
      </c>
      <c r="S1936" s="58">
        <v>0</v>
      </c>
      <c r="T1936" s="58">
        <v>0</v>
      </c>
      <c r="U1936" s="58">
        <v>0</v>
      </c>
      <c r="V1936" s="58">
        <v>0</v>
      </c>
      <c r="AG1936" t="s">
        <v>1654</v>
      </c>
      <c r="AM1936" s="1" t="str">
        <f t="shared" si="120"/>
        <v>1934_C0013_2018.jpg</v>
      </c>
    </row>
    <row r="1937" spans="1:39" x14ac:dyDescent="0.35">
      <c r="A1937">
        <v>1933</v>
      </c>
      <c r="B1937">
        <v>1934</v>
      </c>
      <c r="F1937" s="64" t="s">
        <v>4973</v>
      </c>
      <c r="G1937" s="64"/>
      <c r="H1937" s="64"/>
      <c r="I1937" s="64">
        <v>1</v>
      </c>
      <c r="J1937" s="32" t="str">
        <f>IF(AND(E1937=1,OR(E1936=0,E1936="")),MAX(#REF!)+1,IF(AND(E1937=1,E1936=1),J1936,""))</f>
        <v/>
      </c>
      <c r="K1937" s="32" t="str">
        <f t="shared" si="117"/>
        <v/>
      </c>
      <c r="L1937" s="32" t="str">
        <f t="shared" si="118"/>
        <v/>
      </c>
      <c r="M1937" s="32" t="str">
        <f t="shared" si="119"/>
        <v/>
      </c>
      <c r="N1937" s="4">
        <v>1</v>
      </c>
      <c r="O1937" s="58">
        <v>0</v>
      </c>
      <c r="P1937" s="58">
        <v>0</v>
      </c>
      <c r="Q1937" s="58">
        <v>0</v>
      </c>
      <c r="R1937" s="58">
        <v>0</v>
      </c>
      <c r="S1937" s="58">
        <v>0</v>
      </c>
      <c r="T1937" s="58">
        <v>0</v>
      </c>
      <c r="U1937" s="58">
        <v>0</v>
      </c>
      <c r="V1937" s="58">
        <v>0</v>
      </c>
      <c r="AG1937" t="s">
        <v>1655</v>
      </c>
      <c r="AM1937" s="1" t="str">
        <f t="shared" si="120"/>
        <v>1935_C0013_2015.jpg</v>
      </c>
    </row>
    <row r="1938" spans="1:39" x14ac:dyDescent="0.35">
      <c r="A1938">
        <v>1934</v>
      </c>
      <c r="B1938">
        <v>1935</v>
      </c>
      <c r="F1938" s="64" t="s">
        <v>4974</v>
      </c>
      <c r="G1938" s="64"/>
      <c r="H1938" s="64"/>
      <c r="I1938" s="64">
        <v>0</v>
      </c>
      <c r="J1938" s="32" t="str">
        <f>IF(AND(E1938=1,OR(E1937=0,E1937="")),MAX(#REF!)+1,IF(AND(E1938=1,E1937=1),J1937,""))</f>
        <v/>
      </c>
      <c r="K1938" s="32" t="str">
        <f t="shared" si="117"/>
        <v/>
      </c>
      <c r="L1938" s="32" t="str">
        <f t="shared" si="118"/>
        <v/>
      </c>
      <c r="M1938" s="32" t="str">
        <f t="shared" si="119"/>
        <v/>
      </c>
      <c r="N1938" s="4">
        <v>1</v>
      </c>
      <c r="O1938" s="58">
        <v>0</v>
      </c>
      <c r="P1938" s="58">
        <v>0</v>
      </c>
      <c r="Q1938" s="58">
        <v>0</v>
      </c>
      <c r="R1938" s="58">
        <v>0</v>
      </c>
      <c r="S1938" s="58">
        <v>0</v>
      </c>
      <c r="T1938" s="58">
        <v>0</v>
      </c>
      <c r="U1938" s="58">
        <v>0</v>
      </c>
      <c r="V1938" s="58">
        <v>0</v>
      </c>
      <c r="AG1938" t="s">
        <v>1656</v>
      </c>
      <c r="AM1938" s="1" t="str">
        <f t="shared" si="120"/>
        <v>1936_C0013_2012.jpg</v>
      </c>
    </row>
    <row r="1939" spans="1:39" x14ac:dyDescent="0.35">
      <c r="A1939">
        <v>1935</v>
      </c>
      <c r="B1939">
        <v>1936</v>
      </c>
      <c r="F1939" s="64" t="s">
        <v>4975</v>
      </c>
      <c r="G1939" s="64"/>
      <c r="H1939" s="64"/>
      <c r="I1939" s="64">
        <v>0</v>
      </c>
      <c r="J1939" s="32" t="str">
        <f>IF(AND(E1939=1,OR(E1938=0,E1938="")),MAX(#REF!)+1,IF(AND(E1939=1,E1938=1),J1938,""))</f>
        <v/>
      </c>
      <c r="K1939" s="32" t="str">
        <f t="shared" si="117"/>
        <v/>
      </c>
      <c r="L1939" s="32" t="str">
        <f t="shared" si="118"/>
        <v/>
      </c>
      <c r="M1939" s="32" t="str">
        <f t="shared" si="119"/>
        <v/>
      </c>
      <c r="N1939" s="4">
        <v>1</v>
      </c>
      <c r="O1939" s="58">
        <v>0</v>
      </c>
      <c r="P1939" s="58">
        <v>0</v>
      </c>
      <c r="Q1939" s="58">
        <v>0</v>
      </c>
      <c r="R1939" s="58">
        <v>0</v>
      </c>
      <c r="S1939" s="58">
        <v>0</v>
      </c>
      <c r="T1939" s="58">
        <v>0</v>
      </c>
      <c r="U1939" s="58">
        <v>0</v>
      </c>
      <c r="V1939" s="58">
        <v>0</v>
      </c>
      <c r="AG1939" t="s">
        <v>1657</v>
      </c>
      <c r="AM1939" s="1" t="str">
        <f t="shared" si="120"/>
        <v>1937_C0013_2010.jpg</v>
      </c>
    </row>
    <row r="1940" spans="1:39" x14ac:dyDescent="0.35">
      <c r="A1940">
        <v>1936</v>
      </c>
      <c r="B1940">
        <v>1937</v>
      </c>
      <c r="F1940" s="64" t="s">
        <v>4976</v>
      </c>
      <c r="G1940" s="64"/>
      <c r="H1940" s="64"/>
      <c r="I1940" s="64">
        <v>1</v>
      </c>
      <c r="J1940" s="32" t="str">
        <f>IF(AND(E1940=1,OR(E1939=0,E1939="")),MAX(#REF!)+1,IF(AND(E1940=1,E1939=1),J1939,""))</f>
        <v/>
      </c>
      <c r="K1940" s="32" t="str">
        <f t="shared" si="117"/>
        <v/>
      </c>
      <c r="L1940" s="32" t="str">
        <f t="shared" si="118"/>
        <v/>
      </c>
      <c r="M1940" s="32" t="str">
        <f t="shared" si="119"/>
        <v/>
      </c>
      <c r="N1940" s="4">
        <v>1</v>
      </c>
      <c r="O1940" s="58">
        <v>0</v>
      </c>
      <c r="P1940" s="58">
        <v>0</v>
      </c>
      <c r="Q1940" s="58">
        <v>0</v>
      </c>
      <c r="R1940" s="58">
        <v>0</v>
      </c>
      <c r="S1940" s="58">
        <v>0</v>
      </c>
      <c r="T1940" s="58">
        <v>0</v>
      </c>
      <c r="U1940" s="58">
        <v>0</v>
      </c>
      <c r="V1940" s="58">
        <v>0</v>
      </c>
      <c r="AG1940" t="s">
        <v>1658</v>
      </c>
      <c r="AM1940" s="1" t="str">
        <f t="shared" si="120"/>
        <v>1938_C0013_2006.jpg</v>
      </c>
    </row>
    <row r="1941" spans="1:39" x14ac:dyDescent="0.35">
      <c r="A1941">
        <v>1937</v>
      </c>
      <c r="B1941">
        <v>1938</v>
      </c>
      <c r="F1941" s="64" t="s">
        <v>4977</v>
      </c>
      <c r="G1941" s="64"/>
      <c r="H1941" s="64"/>
      <c r="I1941" s="64">
        <v>1</v>
      </c>
      <c r="J1941" s="32" t="str">
        <f>IF(AND(E1941=1,OR(E1940=0,E1940="")),MAX(#REF!)+1,IF(AND(E1941=1,E1940=1),J1940,""))</f>
        <v/>
      </c>
      <c r="K1941" s="32" t="str">
        <f t="shared" si="117"/>
        <v/>
      </c>
      <c r="L1941" s="32" t="str">
        <f t="shared" si="118"/>
        <v/>
      </c>
      <c r="M1941" s="32" t="str">
        <f t="shared" si="119"/>
        <v/>
      </c>
      <c r="N1941" s="4">
        <v>1</v>
      </c>
      <c r="O1941" s="58">
        <v>0</v>
      </c>
      <c r="P1941" s="58">
        <v>0</v>
      </c>
      <c r="Q1941" s="58">
        <v>0</v>
      </c>
      <c r="R1941" s="58">
        <v>0</v>
      </c>
      <c r="S1941" s="58">
        <v>0</v>
      </c>
      <c r="T1941" s="58">
        <v>0</v>
      </c>
      <c r="U1941" s="58">
        <v>0</v>
      </c>
      <c r="V1941" s="58">
        <v>0</v>
      </c>
      <c r="AG1941" t="s">
        <v>1659</v>
      </c>
      <c r="AM1941" s="1" t="str">
        <f t="shared" si="120"/>
        <v>1939_C0013_2003.jpg</v>
      </c>
    </row>
    <row r="1942" spans="1:39" x14ac:dyDescent="0.35">
      <c r="A1942">
        <v>1938</v>
      </c>
      <c r="B1942">
        <v>1939</v>
      </c>
      <c r="F1942" s="64" t="s">
        <v>4978</v>
      </c>
      <c r="G1942" s="64"/>
      <c r="H1942" s="64"/>
      <c r="I1942" s="64">
        <v>1</v>
      </c>
      <c r="J1942" s="32" t="str">
        <f>IF(AND(E1942=1,OR(E1941=0,E1941="")),MAX(#REF!)+1,IF(AND(E1942=1,E1941=1),J1941,""))</f>
        <v/>
      </c>
      <c r="K1942" s="32" t="str">
        <f t="shared" si="117"/>
        <v/>
      </c>
      <c r="L1942" s="32" t="str">
        <f t="shared" si="118"/>
        <v/>
      </c>
      <c r="M1942" s="32" t="str">
        <f t="shared" si="119"/>
        <v/>
      </c>
      <c r="N1942" s="4">
        <v>1</v>
      </c>
      <c r="O1942" s="58">
        <v>0</v>
      </c>
      <c r="P1942" s="58">
        <v>0</v>
      </c>
      <c r="Q1942" s="58">
        <v>0</v>
      </c>
      <c r="R1942" s="58">
        <v>0</v>
      </c>
      <c r="S1942" s="58">
        <v>0</v>
      </c>
      <c r="T1942" s="58">
        <v>0</v>
      </c>
      <c r="U1942" s="58">
        <v>0</v>
      </c>
      <c r="V1942" s="58">
        <v>0</v>
      </c>
      <c r="AG1942" t="s">
        <v>1660</v>
      </c>
      <c r="AM1942" s="1" t="str">
        <f t="shared" si="120"/>
        <v>1940_C0013_2000.jpg</v>
      </c>
    </row>
    <row r="1943" spans="1:39" x14ac:dyDescent="0.35">
      <c r="A1943">
        <v>1939</v>
      </c>
      <c r="B1943">
        <v>1940</v>
      </c>
      <c r="F1943" s="64" t="s">
        <v>4979</v>
      </c>
      <c r="G1943" s="64"/>
      <c r="H1943" s="64"/>
      <c r="I1943" s="64">
        <v>1</v>
      </c>
      <c r="J1943" s="32" t="str">
        <f>IF(AND(E1943=1,OR(E1942=0,E1942="")),MAX(#REF!)+1,IF(AND(E1943=1,E1942=1),J1942,""))</f>
        <v/>
      </c>
      <c r="K1943" s="32" t="str">
        <f t="shared" si="117"/>
        <v/>
      </c>
      <c r="L1943" s="32" t="str">
        <f t="shared" si="118"/>
        <v/>
      </c>
      <c r="M1943" s="32" t="str">
        <f t="shared" si="119"/>
        <v/>
      </c>
      <c r="N1943" s="4">
        <v>1</v>
      </c>
      <c r="O1943" s="58">
        <v>0</v>
      </c>
      <c r="P1943" s="58">
        <v>0</v>
      </c>
      <c r="Q1943" s="58">
        <v>0</v>
      </c>
      <c r="R1943" s="58">
        <v>0</v>
      </c>
      <c r="S1943" s="58">
        <v>0</v>
      </c>
      <c r="T1943" s="58">
        <v>0</v>
      </c>
      <c r="U1943" s="58">
        <v>0</v>
      </c>
      <c r="V1943" s="58">
        <v>0</v>
      </c>
      <c r="AG1943" t="s">
        <v>1661</v>
      </c>
      <c r="AM1943" s="1" t="str">
        <f t="shared" si="120"/>
        <v>1941_C0013_1996.jpg</v>
      </c>
    </row>
    <row r="1944" spans="1:39" x14ac:dyDescent="0.35">
      <c r="A1944">
        <v>1940</v>
      </c>
      <c r="B1944">
        <v>1941</v>
      </c>
      <c r="F1944" s="64" t="s">
        <v>4980</v>
      </c>
      <c r="G1944" s="64"/>
      <c r="H1944" s="64"/>
      <c r="I1944" s="64">
        <v>0</v>
      </c>
      <c r="J1944" s="32" t="str">
        <f>IF(AND(E1944=1,OR(E1943=0,E1943="")),MAX(#REF!)+1,IF(AND(E1944=1,E1943=1),J1943,""))</f>
        <v/>
      </c>
      <c r="K1944" s="32" t="str">
        <f t="shared" si="117"/>
        <v/>
      </c>
      <c r="L1944" s="32" t="str">
        <f t="shared" si="118"/>
        <v/>
      </c>
      <c r="M1944" s="32" t="str">
        <f t="shared" si="119"/>
        <v/>
      </c>
      <c r="N1944" s="4">
        <v>1</v>
      </c>
      <c r="O1944" s="58">
        <v>0</v>
      </c>
      <c r="P1944" s="58">
        <v>0</v>
      </c>
      <c r="Q1944" s="58">
        <v>0</v>
      </c>
      <c r="R1944" s="58">
        <v>0</v>
      </c>
      <c r="S1944" s="58">
        <v>0</v>
      </c>
      <c r="T1944" s="58">
        <v>0</v>
      </c>
      <c r="U1944" s="58">
        <v>0</v>
      </c>
      <c r="V1944" s="58">
        <v>0</v>
      </c>
      <c r="AG1944" t="s">
        <v>1662</v>
      </c>
      <c r="AM1944" s="1" t="str">
        <f t="shared" si="120"/>
        <v>1942_C0013_1993.jpg</v>
      </c>
    </row>
    <row r="1945" spans="1:39" x14ac:dyDescent="0.35">
      <c r="A1945">
        <v>1941</v>
      </c>
      <c r="B1945">
        <v>1942</v>
      </c>
      <c r="F1945" s="64" t="s">
        <v>4981</v>
      </c>
      <c r="G1945" s="64"/>
      <c r="H1945" s="64"/>
      <c r="I1945" s="64">
        <v>1</v>
      </c>
      <c r="J1945" s="32" t="str">
        <f>IF(AND(E1945=1,OR(E1944=0,E1944="")),MAX(#REF!)+1,IF(AND(E1945=1,E1944=1),J1944,""))</f>
        <v/>
      </c>
      <c r="K1945" s="32" t="str">
        <f t="shared" si="117"/>
        <v/>
      </c>
      <c r="L1945" s="32" t="str">
        <f t="shared" si="118"/>
        <v/>
      </c>
      <c r="M1945" s="32" t="str">
        <f t="shared" si="119"/>
        <v/>
      </c>
      <c r="N1945" s="4">
        <v>1</v>
      </c>
      <c r="O1945" s="58">
        <v>0</v>
      </c>
      <c r="P1945" s="58">
        <v>0</v>
      </c>
      <c r="Q1945" s="58">
        <v>0</v>
      </c>
      <c r="R1945" s="58">
        <v>0</v>
      </c>
      <c r="S1945" s="58">
        <v>0</v>
      </c>
      <c r="T1945" s="58">
        <v>0</v>
      </c>
      <c r="U1945" s="58">
        <v>0</v>
      </c>
      <c r="V1945" s="58">
        <v>0</v>
      </c>
      <c r="AG1945" t="s">
        <v>1663</v>
      </c>
      <c r="AM1945" s="1" t="str">
        <f t="shared" si="120"/>
        <v>1943_C0013_1991.jpg</v>
      </c>
    </row>
    <row r="1946" spans="1:39" x14ac:dyDescent="0.35">
      <c r="A1946">
        <v>1942</v>
      </c>
      <c r="B1946">
        <v>1943</v>
      </c>
      <c r="F1946" s="64" t="s">
        <v>4982</v>
      </c>
      <c r="G1946" s="64"/>
      <c r="H1946" s="64"/>
      <c r="I1946" s="64">
        <v>0</v>
      </c>
      <c r="J1946" s="32" t="str">
        <f>IF(AND(E1946=1,OR(E1945=0,E1945="")),MAX(#REF!)+1,IF(AND(E1946=1,E1945=1),J1945,""))</f>
        <v/>
      </c>
      <c r="K1946" s="32" t="str">
        <f t="shared" si="117"/>
        <v/>
      </c>
      <c r="L1946" s="32" t="str">
        <f t="shared" si="118"/>
        <v/>
      </c>
      <c r="M1946" s="32" t="str">
        <f t="shared" si="119"/>
        <v/>
      </c>
      <c r="N1946" s="4">
        <v>1</v>
      </c>
      <c r="O1946" s="58">
        <v>0</v>
      </c>
      <c r="P1946" s="58">
        <v>0</v>
      </c>
      <c r="Q1946" s="58">
        <v>0</v>
      </c>
      <c r="R1946" s="58">
        <v>0</v>
      </c>
      <c r="S1946" s="58">
        <v>0</v>
      </c>
      <c r="T1946" s="58">
        <v>0</v>
      </c>
      <c r="U1946" s="58">
        <v>0</v>
      </c>
      <c r="V1946" s="58">
        <v>0</v>
      </c>
      <c r="AG1946" t="s">
        <v>1664</v>
      </c>
      <c r="AM1946" s="1" t="str">
        <f t="shared" si="120"/>
        <v>1944_C0013_1987.jpg</v>
      </c>
    </row>
    <row r="1947" spans="1:39" x14ac:dyDescent="0.35">
      <c r="A1947">
        <v>1943</v>
      </c>
      <c r="B1947">
        <v>1944</v>
      </c>
      <c r="F1947" s="64" t="s">
        <v>4983</v>
      </c>
      <c r="G1947" s="64"/>
      <c r="H1947" s="64"/>
      <c r="I1947" s="64">
        <v>0</v>
      </c>
      <c r="J1947" s="32" t="str">
        <f>IF(AND(E1947=1,OR(E1946=0,E1946="")),MAX(#REF!)+1,IF(AND(E1947=1,E1946=1),J1946,""))</f>
        <v/>
      </c>
      <c r="K1947" s="32" t="str">
        <f t="shared" si="117"/>
        <v/>
      </c>
      <c r="L1947" s="32" t="str">
        <f t="shared" si="118"/>
        <v/>
      </c>
      <c r="M1947" s="32" t="str">
        <f t="shared" si="119"/>
        <v/>
      </c>
      <c r="N1947" s="4">
        <v>1</v>
      </c>
      <c r="O1947" s="58">
        <v>0</v>
      </c>
      <c r="P1947" s="58">
        <v>0</v>
      </c>
      <c r="Q1947" s="58">
        <v>0</v>
      </c>
      <c r="R1947" s="58">
        <v>0</v>
      </c>
      <c r="S1947" s="58">
        <v>0</v>
      </c>
      <c r="T1947" s="58">
        <v>0</v>
      </c>
      <c r="U1947" s="58">
        <v>0</v>
      </c>
      <c r="V1947" s="58">
        <v>0</v>
      </c>
      <c r="AG1947" t="s">
        <v>1665</v>
      </c>
      <c r="AM1947" s="1" t="str">
        <f t="shared" si="120"/>
        <v>1945_C0013_1984.jpg</v>
      </c>
    </row>
    <row r="1948" spans="1:39" x14ac:dyDescent="0.35">
      <c r="A1948">
        <v>1944</v>
      </c>
      <c r="B1948">
        <v>1945</v>
      </c>
      <c r="F1948" s="64" t="s">
        <v>4984</v>
      </c>
      <c r="G1948" s="64"/>
      <c r="H1948" s="64"/>
      <c r="I1948" s="64">
        <v>0</v>
      </c>
      <c r="J1948" s="32" t="str">
        <f>IF(AND(E1948=1,OR(E1947=0,E1947="")),MAX(#REF!)+1,IF(AND(E1948=1,E1947=1),J1947,""))</f>
        <v/>
      </c>
      <c r="K1948" s="32" t="str">
        <f t="shared" si="117"/>
        <v/>
      </c>
      <c r="L1948" s="32" t="str">
        <f t="shared" si="118"/>
        <v/>
      </c>
      <c r="M1948" s="32" t="str">
        <f t="shared" si="119"/>
        <v/>
      </c>
      <c r="N1948" s="4">
        <v>1</v>
      </c>
      <c r="O1948" s="58">
        <v>0</v>
      </c>
      <c r="P1948" s="58">
        <v>0</v>
      </c>
      <c r="Q1948" s="58">
        <v>0</v>
      </c>
      <c r="R1948" s="58">
        <v>0</v>
      </c>
      <c r="S1948" s="58">
        <v>0</v>
      </c>
      <c r="T1948" s="58">
        <v>0</v>
      </c>
      <c r="U1948" s="58">
        <v>0</v>
      </c>
      <c r="V1948" s="58">
        <v>0</v>
      </c>
      <c r="AG1948" t="s">
        <v>1666</v>
      </c>
      <c r="AM1948" s="1" t="str">
        <f t="shared" si="120"/>
        <v>1946_C0013_1981.jpg</v>
      </c>
    </row>
    <row r="1949" spans="1:39" x14ac:dyDescent="0.35">
      <c r="A1949">
        <v>1945</v>
      </c>
      <c r="B1949">
        <v>1946</v>
      </c>
      <c r="F1949" s="64" t="s">
        <v>4985</v>
      </c>
      <c r="G1949" s="64"/>
      <c r="H1949" s="64"/>
      <c r="I1949" s="64">
        <v>0</v>
      </c>
      <c r="J1949" s="32" t="str">
        <f>IF(AND(E1949=1,OR(E1948=0,E1948="")),MAX(#REF!)+1,IF(AND(E1949=1,E1948=1),J1948,""))</f>
        <v/>
      </c>
      <c r="K1949" s="32" t="str">
        <f t="shared" si="117"/>
        <v/>
      </c>
      <c r="L1949" s="32" t="str">
        <f t="shared" si="118"/>
        <v/>
      </c>
      <c r="M1949" s="32" t="str">
        <f t="shared" si="119"/>
        <v/>
      </c>
      <c r="N1949" s="4">
        <v>1</v>
      </c>
      <c r="O1949" s="58">
        <v>0</v>
      </c>
      <c r="P1949" s="58">
        <v>0</v>
      </c>
      <c r="Q1949" s="58">
        <v>0</v>
      </c>
      <c r="R1949" s="58">
        <v>0</v>
      </c>
      <c r="S1949" s="58">
        <v>0</v>
      </c>
      <c r="T1949" s="58">
        <v>0</v>
      </c>
      <c r="U1949" s="58">
        <v>1</v>
      </c>
      <c r="V1949" s="58">
        <v>0</v>
      </c>
      <c r="AG1949" t="s">
        <v>1667</v>
      </c>
      <c r="AM1949" s="1" t="str">
        <f t="shared" si="120"/>
        <v>1947_C0013_1979.jpg</v>
      </c>
    </row>
    <row r="1950" spans="1:39" x14ac:dyDescent="0.35">
      <c r="A1950">
        <v>1946</v>
      </c>
      <c r="B1950">
        <v>1947</v>
      </c>
      <c r="F1950" s="64" t="s">
        <v>4986</v>
      </c>
      <c r="G1950" s="64"/>
      <c r="H1950" s="64"/>
      <c r="I1950" s="64">
        <v>1</v>
      </c>
      <c r="J1950" s="32" t="str">
        <f>IF(AND(E1950=1,OR(E1949=0,E1949="")),MAX(#REF!)+1,IF(AND(E1950=1,E1949=1),J1949,""))</f>
        <v/>
      </c>
      <c r="K1950" s="32" t="str">
        <f t="shared" si="117"/>
        <v/>
      </c>
      <c r="L1950" s="32" t="str">
        <f t="shared" si="118"/>
        <v/>
      </c>
      <c r="M1950" s="32" t="str">
        <f t="shared" si="119"/>
        <v/>
      </c>
      <c r="N1950" s="4">
        <v>1</v>
      </c>
      <c r="O1950" s="58">
        <v>0</v>
      </c>
      <c r="P1950" s="58">
        <v>0</v>
      </c>
      <c r="Q1950" s="58">
        <v>0</v>
      </c>
      <c r="R1950" s="58">
        <v>0</v>
      </c>
      <c r="S1950" s="58">
        <v>0</v>
      </c>
      <c r="T1950" s="58">
        <v>0</v>
      </c>
      <c r="U1950" s="58">
        <v>1</v>
      </c>
      <c r="V1950" s="58">
        <v>0</v>
      </c>
      <c r="AG1950" t="s">
        <v>1668</v>
      </c>
      <c r="AM1950" s="1" t="str">
        <f t="shared" si="120"/>
        <v>1948_C0013_1975.jpg</v>
      </c>
    </row>
    <row r="1951" spans="1:39" x14ac:dyDescent="0.35">
      <c r="A1951">
        <v>1947</v>
      </c>
      <c r="B1951">
        <v>1948</v>
      </c>
      <c r="F1951" s="64" t="s">
        <v>4987</v>
      </c>
      <c r="G1951" s="64"/>
      <c r="H1951" s="64"/>
      <c r="I1951" s="64">
        <v>1</v>
      </c>
      <c r="J1951" s="32" t="str">
        <f>IF(AND(E1951=1,OR(E1950=0,E1950="")),MAX(#REF!)+1,IF(AND(E1951=1,E1950=1),J1950,""))</f>
        <v/>
      </c>
      <c r="K1951" s="32" t="str">
        <f t="shared" ref="K1951:K2014" si="121">IF(J1951="","",COUNTIF(J:J,J1951)*10)</f>
        <v/>
      </c>
      <c r="L1951" s="32" t="str">
        <f t="shared" si="118"/>
        <v/>
      </c>
      <c r="M1951" s="32" t="str">
        <f t="shared" si="119"/>
        <v/>
      </c>
      <c r="N1951" s="4">
        <v>1</v>
      </c>
      <c r="O1951" s="58">
        <v>0</v>
      </c>
      <c r="P1951" s="58">
        <v>0</v>
      </c>
      <c r="Q1951" s="58">
        <v>0</v>
      </c>
      <c r="R1951" s="58">
        <v>0</v>
      </c>
      <c r="S1951" s="58">
        <v>0</v>
      </c>
      <c r="T1951" s="58">
        <v>0</v>
      </c>
      <c r="U1951" s="58">
        <v>0</v>
      </c>
      <c r="V1951" s="58">
        <v>0</v>
      </c>
      <c r="AG1951" t="s">
        <v>1669</v>
      </c>
      <c r="AM1951" s="1" t="str">
        <f t="shared" si="120"/>
        <v>1949_C0013_1972.jpg</v>
      </c>
    </row>
    <row r="1952" spans="1:39" x14ac:dyDescent="0.35">
      <c r="A1952">
        <v>1948</v>
      </c>
      <c r="B1952">
        <v>1949</v>
      </c>
      <c r="F1952" s="64" t="s">
        <v>4988</v>
      </c>
      <c r="G1952" s="64"/>
      <c r="H1952" s="64"/>
      <c r="I1952" s="64">
        <v>1</v>
      </c>
      <c r="J1952" s="32" t="str">
        <f>IF(AND(E1952=1,OR(E1951=0,E1951="")),MAX(#REF!)+1,IF(AND(E1952=1,E1951=1),J1951,""))</f>
        <v/>
      </c>
      <c r="K1952" s="32" t="str">
        <f t="shared" si="121"/>
        <v/>
      </c>
      <c r="L1952" s="32" t="str">
        <f t="shared" si="118"/>
        <v/>
      </c>
      <c r="M1952" s="32" t="str">
        <f t="shared" si="119"/>
        <v/>
      </c>
      <c r="N1952" s="4">
        <v>1</v>
      </c>
      <c r="O1952" s="58">
        <v>0</v>
      </c>
      <c r="P1952" s="58">
        <v>0</v>
      </c>
      <c r="Q1952" s="58">
        <v>0</v>
      </c>
      <c r="R1952" s="58">
        <v>0</v>
      </c>
      <c r="S1952" s="58">
        <v>0</v>
      </c>
      <c r="T1952" s="58">
        <v>0</v>
      </c>
      <c r="U1952" s="58">
        <v>0</v>
      </c>
      <c r="V1952" s="58">
        <v>0</v>
      </c>
      <c r="AG1952" t="s">
        <v>1670</v>
      </c>
      <c r="AM1952" s="1" t="str">
        <f t="shared" si="120"/>
        <v>1950_C0013_1969.jpg</v>
      </c>
    </row>
    <row r="1953" spans="1:39" x14ac:dyDescent="0.35">
      <c r="A1953">
        <v>1949</v>
      </c>
      <c r="B1953">
        <v>1950</v>
      </c>
      <c r="F1953" s="64" t="s">
        <v>4989</v>
      </c>
      <c r="G1953" s="64"/>
      <c r="H1953" s="64"/>
      <c r="I1953" s="64">
        <v>1</v>
      </c>
      <c r="J1953" s="32" t="str">
        <f>IF(AND(E1953=1,OR(E1952=0,E1952="")),MAX(#REF!)+1,IF(AND(E1953=1,E1952=1),J1952,""))</f>
        <v/>
      </c>
      <c r="K1953" s="32" t="str">
        <f t="shared" si="121"/>
        <v/>
      </c>
      <c r="L1953" s="32" t="str">
        <f t="shared" si="118"/>
        <v/>
      </c>
      <c r="M1953" s="32" t="str">
        <f t="shared" si="119"/>
        <v/>
      </c>
      <c r="N1953" s="4">
        <v>1</v>
      </c>
      <c r="O1953" s="58">
        <v>0</v>
      </c>
      <c r="P1953" s="58">
        <v>0</v>
      </c>
      <c r="Q1953" s="58">
        <v>0</v>
      </c>
      <c r="R1953" s="58">
        <v>0</v>
      </c>
      <c r="S1953" s="58">
        <v>0</v>
      </c>
      <c r="T1953" s="58">
        <v>0</v>
      </c>
      <c r="U1953" s="58">
        <v>0</v>
      </c>
      <c r="V1953" s="58">
        <v>0</v>
      </c>
      <c r="AG1953" t="s">
        <v>1671</v>
      </c>
      <c r="AM1953" s="1" t="str">
        <f t="shared" si="120"/>
        <v>1951_C0013_1966.jpg</v>
      </c>
    </row>
    <row r="1954" spans="1:39" x14ac:dyDescent="0.35">
      <c r="A1954">
        <v>1950</v>
      </c>
      <c r="B1954">
        <v>1951</v>
      </c>
      <c r="F1954" s="64" t="s">
        <v>4990</v>
      </c>
      <c r="G1954" s="64"/>
      <c r="H1954" s="64"/>
      <c r="I1954" s="64">
        <v>1</v>
      </c>
      <c r="J1954" s="32" t="str">
        <f>IF(AND(E1954=1,OR(E1953=0,E1953="")),MAX(#REF!)+1,IF(AND(E1954=1,E1953=1),J1953,""))</f>
        <v/>
      </c>
      <c r="K1954" s="32" t="str">
        <f t="shared" si="121"/>
        <v/>
      </c>
      <c r="L1954" s="32" t="str">
        <f t="shared" si="118"/>
        <v/>
      </c>
      <c r="M1954" s="32" t="str">
        <f t="shared" si="119"/>
        <v/>
      </c>
      <c r="N1954" s="4">
        <v>1</v>
      </c>
      <c r="O1954" s="58">
        <v>0</v>
      </c>
      <c r="P1954" s="58">
        <v>0</v>
      </c>
      <c r="Q1954" s="58">
        <v>0</v>
      </c>
      <c r="R1954" s="58">
        <v>0</v>
      </c>
      <c r="S1954" s="58">
        <v>0</v>
      </c>
      <c r="T1954" s="58">
        <v>0</v>
      </c>
      <c r="U1954" s="58">
        <v>0</v>
      </c>
      <c r="V1954" s="58">
        <v>0</v>
      </c>
      <c r="AG1954" t="s">
        <v>1672</v>
      </c>
      <c r="AM1954" s="1" t="str">
        <f t="shared" si="120"/>
        <v>1952_C0013_1962.jpg</v>
      </c>
    </row>
    <row r="1955" spans="1:39" x14ac:dyDescent="0.35">
      <c r="A1955">
        <v>1951</v>
      </c>
      <c r="B1955">
        <v>1952</v>
      </c>
      <c r="F1955" s="64" t="s">
        <v>4991</v>
      </c>
      <c r="G1955" s="64"/>
      <c r="H1955" s="64"/>
      <c r="I1955" s="64">
        <v>1</v>
      </c>
      <c r="J1955" s="32" t="str">
        <f>IF(AND(E1955=1,OR(E1954=0,E1954="")),MAX(#REF!)+1,IF(AND(E1955=1,E1954=1),J1954,""))</f>
        <v/>
      </c>
      <c r="K1955" s="32" t="str">
        <f t="shared" si="121"/>
        <v/>
      </c>
      <c r="L1955" s="32" t="str">
        <f t="shared" si="118"/>
        <v/>
      </c>
      <c r="M1955" s="32" t="str">
        <f t="shared" si="119"/>
        <v/>
      </c>
      <c r="N1955" s="4">
        <v>1</v>
      </c>
      <c r="O1955" s="58">
        <v>0</v>
      </c>
      <c r="P1955" s="58">
        <v>0</v>
      </c>
      <c r="Q1955" s="58">
        <v>0</v>
      </c>
      <c r="R1955" s="58">
        <v>0</v>
      </c>
      <c r="S1955" s="58">
        <v>0</v>
      </c>
      <c r="T1955" s="58">
        <v>0</v>
      </c>
      <c r="U1955" s="58">
        <v>0</v>
      </c>
      <c r="V1955" s="58">
        <v>0</v>
      </c>
      <c r="AG1955" t="s">
        <v>1673</v>
      </c>
      <c r="AM1955" s="1" t="str">
        <f t="shared" si="120"/>
        <v>1953_C0013_1960.jpg</v>
      </c>
    </row>
    <row r="1956" spans="1:39" x14ac:dyDescent="0.35">
      <c r="A1956">
        <v>1952</v>
      </c>
      <c r="B1956">
        <v>1953</v>
      </c>
      <c r="F1956" s="64" t="s">
        <v>4992</v>
      </c>
      <c r="G1956" s="64"/>
      <c r="H1956" s="64"/>
      <c r="I1956" s="64">
        <v>0</v>
      </c>
      <c r="J1956" s="32" t="str">
        <f>IF(AND(E1956=1,OR(E1955=0,E1955="")),MAX(#REF!)+1,IF(AND(E1956=1,E1955=1),J1955,""))</f>
        <v/>
      </c>
      <c r="K1956" s="32" t="str">
        <f t="shared" si="121"/>
        <v/>
      </c>
      <c r="L1956" s="32" t="str">
        <f t="shared" si="118"/>
        <v/>
      </c>
      <c r="M1956" s="32" t="str">
        <f t="shared" si="119"/>
        <v/>
      </c>
      <c r="N1956" s="4">
        <v>1</v>
      </c>
      <c r="O1956" s="58">
        <v>0</v>
      </c>
      <c r="P1956" s="58">
        <v>0</v>
      </c>
      <c r="Q1956" s="58">
        <v>0</v>
      </c>
      <c r="R1956" s="58">
        <v>0</v>
      </c>
      <c r="S1956" s="58">
        <v>0</v>
      </c>
      <c r="T1956" s="58">
        <v>0</v>
      </c>
      <c r="U1956" s="58">
        <v>0</v>
      </c>
      <c r="V1956" s="58">
        <v>0</v>
      </c>
      <c r="AG1956" t="s">
        <v>1674</v>
      </c>
      <c r="AM1956" s="1" t="str">
        <f t="shared" si="120"/>
        <v>1954_C0013_1957.jpg</v>
      </c>
    </row>
    <row r="1957" spans="1:39" x14ac:dyDescent="0.35">
      <c r="A1957">
        <v>1953</v>
      </c>
      <c r="B1957">
        <v>1954</v>
      </c>
      <c r="F1957" s="64" t="s">
        <v>4993</v>
      </c>
      <c r="G1957" s="64"/>
      <c r="H1957" s="64"/>
      <c r="I1957" s="64">
        <v>0</v>
      </c>
      <c r="J1957" s="32" t="str">
        <f>IF(AND(E1957=1,OR(E1956=0,E1956="")),MAX(#REF!)+1,IF(AND(E1957=1,E1956=1),J1956,""))</f>
        <v/>
      </c>
      <c r="K1957" s="32" t="str">
        <f t="shared" si="121"/>
        <v/>
      </c>
      <c r="L1957" s="32" t="str">
        <f t="shared" si="118"/>
        <v/>
      </c>
      <c r="M1957" s="32" t="str">
        <f t="shared" si="119"/>
        <v/>
      </c>
      <c r="N1957" s="4">
        <v>1</v>
      </c>
      <c r="O1957" s="58">
        <v>0</v>
      </c>
      <c r="P1957" s="58">
        <v>0</v>
      </c>
      <c r="Q1957" s="58">
        <v>0</v>
      </c>
      <c r="R1957" s="58">
        <v>0</v>
      </c>
      <c r="S1957" s="58">
        <v>0</v>
      </c>
      <c r="T1957" s="58">
        <v>0</v>
      </c>
      <c r="U1957" s="58">
        <v>1</v>
      </c>
      <c r="V1957" s="58">
        <v>0</v>
      </c>
      <c r="AG1957" t="s">
        <v>1675</v>
      </c>
      <c r="AM1957" s="1" t="str">
        <f t="shared" si="120"/>
        <v>1955_C0013_1954.jpg</v>
      </c>
    </row>
    <row r="1958" spans="1:39" x14ac:dyDescent="0.35">
      <c r="A1958">
        <v>1954</v>
      </c>
      <c r="B1958">
        <v>1955</v>
      </c>
      <c r="F1958" s="64" t="s">
        <v>4994</v>
      </c>
      <c r="G1958" s="64"/>
      <c r="H1958" s="64"/>
      <c r="I1958" s="64">
        <v>0</v>
      </c>
      <c r="J1958" s="32" t="str">
        <f>IF(AND(E1958=1,OR(E1957=0,E1957="")),MAX(#REF!)+1,IF(AND(E1958=1,E1957=1),J1957,""))</f>
        <v/>
      </c>
      <c r="K1958" s="32" t="str">
        <f t="shared" si="121"/>
        <v/>
      </c>
      <c r="L1958" s="32" t="str">
        <f t="shared" si="118"/>
        <v/>
      </c>
      <c r="M1958" s="32" t="str">
        <f t="shared" si="119"/>
        <v/>
      </c>
      <c r="N1958" s="4">
        <v>1</v>
      </c>
      <c r="O1958" s="58">
        <v>0</v>
      </c>
      <c r="P1958" s="58">
        <v>0</v>
      </c>
      <c r="Q1958" s="58">
        <v>0</v>
      </c>
      <c r="R1958" s="58">
        <v>0</v>
      </c>
      <c r="S1958" s="58">
        <v>0</v>
      </c>
      <c r="T1958" s="58">
        <v>0</v>
      </c>
      <c r="U1958" s="58">
        <v>1</v>
      </c>
      <c r="V1958" s="58">
        <v>0</v>
      </c>
      <c r="AG1958" t="s">
        <v>1676</v>
      </c>
      <c r="AM1958" s="1" t="str">
        <f t="shared" si="120"/>
        <v>1956_C0013_1950.jpg</v>
      </c>
    </row>
    <row r="1959" spans="1:39" x14ac:dyDescent="0.35">
      <c r="A1959">
        <v>1955</v>
      </c>
      <c r="B1959">
        <v>1956</v>
      </c>
      <c r="F1959" s="64" t="s">
        <v>4995</v>
      </c>
      <c r="G1959" s="64"/>
      <c r="H1959" s="64"/>
      <c r="I1959" s="64">
        <v>1</v>
      </c>
      <c r="J1959" s="32" t="str">
        <f>IF(AND(E1959=1,OR(E1958=0,E1958="")),MAX(#REF!)+1,IF(AND(E1959=1,E1958=1),J1958,""))</f>
        <v/>
      </c>
      <c r="K1959" s="32" t="str">
        <f t="shared" si="121"/>
        <v/>
      </c>
      <c r="L1959" s="32" t="str">
        <f t="shared" si="118"/>
        <v/>
      </c>
      <c r="M1959" s="32" t="str">
        <f t="shared" si="119"/>
        <v/>
      </c>
      <c r="N1959" s="4">
        <v>1</v>
      </c>
      <c r="O1959" s="58">
        <v>0</v>
      </c>
      <c r="P1959" s="58">
        <v>0</v>
      </c>
      <c r="Q1959" s="58">
        <v>0</v>
      </c>
      <c r="R1959" s="58">
        <v>0</v>
      </c>
      <c r="S1959" s="58">
        <v>0</v>
      </c>
      <c r="T1959" s="58">
        <v>0</v>
      </c>
      <c r="U1959" s="58">
        <v>0</v>
      </c>
      <c r="V1959" s="58">
        <v>0</v>
      </c>
      <c r="AG1959" t="s">
        <v>1677</v>
      </c>
      <c r="AM1959" s="1" t="str">
        <f t="shared" si="120"/>
        <v>1957_C0013_1947.jpg</v>
      </c>
    </row>
    <row r="1960" spans="1:39" x14ac:dyDescent="0.35">
      <c r="A1960">
        <v>1956</v>
      </c>
      <c r="B1960">
        <v>1957</v>
      </c>
      <c r="F1960" s="64" t="s">
        <v>4996</v>
      </c>
      <c r="G1960" s="64"/>
      <c r="H1960" s="64"/>
      <c r="I1960" s="64">
        <v>1</v>
      </c>
      <c r="J1960" s="32" t="str">
        <f>IF(AND(E1960=1,OR(E1959=0,E1959="")),MAX(#REF!)+1,IF(AND(E1960=1,E1959=1),J1959,""))</f>
        <v/>
      </c>
      <c r="K1960" s="32" t="str">
        <f t="shared" si="121"/>
        <v/>
      </c>
      <c r="L1960" s="32" t="str">
        <f t="shared" si="118"/>
        <v/>
      </c>
      <c r="M1960" s="32" t="str">
        <f t="shared" si="119"/>
        <v/>
      </c>
      <c r="N1960" s="4">
        <v>1</v>
      </c>
      <c r="O1960" s="58">
        <v>0</v>
      </c>
      <c r="P1960" s="58">
        <v>0</v>
      </c>
      <c r="Q1960" s="58">
        <v>0</v>
      </c>
      <c r="R1960" s="58">
        <v>0</v>
      </c>
      <c r="S1960" s="58">
        <v>0</v>
      </c>
      <c r="T1960" s="58">
        <v>0</v>
      </c>
      <c r="U1960" s="58">
        <v>0</v>
      </c>
      <c r="V1960" s="58">
        <v>0</v>
      </c>
      <c r="AG1960" t="s">
        <v>1678</v>
      </c>
      <c r="AM1960" s="1" t="str">
        <f t="shared" si="120"/>
        <v>1958_C0013_1944.jpg</v>
      </c>
    </row>
    <row r="1961" spans="1:39" x14ac:dyDescent="0.35">
      <c r="A1961">
        <v>1957</v>
      </c>
      <c r="B1961">
        <v>1958</v>
      </c>
      <c r="F1961" s="64" t="s">
        <v>4997</v>
      </c>
      <c r="G1961" s="64"/>
      <c r="H1961" s="64"/>
      <c r="I1961" s="64">
        <v>1</v>
      </c>
      <c r="J1961" s="32" t="str">
        <f>IF(AND(E1961=1,OR(E1960=0,E1960="")),MAX(#REF!)+1,IF(AND(E1961=1,E1960=1),J1960,""))</f>
        <v/>
      </c>
      <c r="K1961" s="32" t="str">
        <f t="shared" si="121"/>
        <v/>
      </c>
      <c r="L1961" s="32" t="str">
        <f t="shared" si="118"/>
        <v/>
      </c>
      <c r="M1961" s="32" t="str">
        <f t="shared" si="119"/>
        <v/>
      </c>
      <c r="N1961" s="4">
        <v>1</v>
      </c>
      <c r="O1961" s="58">
        <v>0</v>
      </c>
      <c r="P1961" s="58">
        <v>0</v>
      </c>
      <c r="Q1961" s="58">
        <v>0</v>
      </c>
      <c r="R1961" s="58">
        <v>0</v>
      </c>
      <c r="S1961" s="58">
        <v>0</v>
      </c>
      <c r="T1961" s="58">
        <v>0</v>
      </c>
      <c r="U1961" s="58">
        <v>0</v>
      </c>
      <c r="V1961" s="58">
        <v>0</v>
      </c>
      <c r="AG1961" t="s">
        <v>1679</v>
      </c>
      <c r="AM1961" s="1" t="str">
        <f t="shared" si="120"/>
        <v>1959_C0013_1941.jpg</v>
      </c>
    </row>
    <row r="1962" spans="1:39" x14ac:dyDescent="0.35">
      <c r="A1962">
        <v>1958</v>
      </c>
      <c r="B1962">
        <v>1959</v>
      </c>
      <c r="F1962" s="64" t="s">
        <v>4998</v>
      </c>
      <c r="G1962" s="64"/>
      <c r="H1962" s="64"/>
      <c r="I1962" s="64">
        <v>1</v>
      </c>
      <c r="J1962" s="32" t="str">
        <f>IF(AND(E1962=1,OR(E1961=0,E1961="")),MAX(#REF!)+1,IF(AND(E1962=1,E1961=1),J1961,""))</f>
        <v/>
      </c>
      <c r="K1962" s="32" t="str">
        <f t="shared" si="121"/>
        <v/>
      </c>
      <c r="L1962" s="32" t="str">
        <f t="shared" si="118"/>
        <v/>
      </c>
      <c r="M1962" s="32" t="str">
        <f t="shared" si="119"/>
        <v/>
      </c>
      <c r="N1962" s="4">
        <v>1</v>
      </c>
      <c r="O1962" s="58">
        <v>0</v>
      </c>
      <c r="P1962" s="58">
        <v>0</v>
      </c>
      <c r="Q1962" s="58">
        <v>0</v>
      </c>
      <c r="R1962" s="58">
        <v>0</v>
      </c>
      <c r="S1962" s="58">
        <v>0</v>
      </c>
      <c r="T1962" s="58">
        <v>0</v>
      </c>
      <c r="U1962" s="58">
        <v>0</v>
      </c>
      <c r="V1962" s="58">
        <v>0</v>
      </c>
      <c r="AG1962" t="s">
        <v>1680</v>
      </c>
      <c r="AM1962" s="1" t="str">
        <f t="shared" si="120"/>
        <v>1960_C0013_1939.jpg</v>
      </c>
    </row>
    <row r="1963" spans="1:39" x14ac:dyDescent="0.35">
      <c r="A1963">
        <v>1959</v>
      </c>
      <c r="B1963">
        <v>1960</v>
      </c>
      <c r="F1963" s="64" t="s">
        <v>4999</v>
      </c>
      <c r="G1963" s="64"/>
      <c r="H1963" s="64"/>
      <c r="I1963" s="64">
        <v>0</v>
      </c>
      <c r="J1963" s="32" t="str">
        <f>IF(AND(E1963=1,OR(E1962=0,E1962="")),MAX(#REF!)+1,IF(AND(E1963=1,E1962=1),J1962,""))</f>
        <v/>
      </c>
      <c r="K1963" s="32" t="str">
        <f t="shared" si="121"/>
        <v/>
      </c>
      <c r="L1963" s="32" t="str">
        <f t="shared" si="118"/>
        <v/>
      </c>
      <c r="M1963" s="32" t="str">
        <f t="shared" si="119"/>
        <v/>
      </c>
      <c r="N1963" s="4">
        <v>1</v>
      </c>
      <c r="O1963" s="58">
        <v>0</v>
      </c>
      <c r="P1963" s="58">
        <v>0</v>
      </c>
      <c r="Q1963" s="58">
        <v>0</v>
      </c>
      <c r="R1963" s="58">
        <v>0</v>
      </c>
      <c r="S1963" s="58">
        <v>0</v>
      </c>
      <c r="T1963" s="58">
        <v>0</v>
      </c>
      <c r="U1963" s="58">
        <v>0</v>
      </c>
      <c r="V1963" s="58">
        <v>0</v>
      </c>
      <c r="AG1963" t="s">
        <v>1681</v>
      </c>
      <c r="AM1963" s="1" t="str">
        <f t="shared" si="120"/>
        <v>1961_C0013_1936.jpg</v>
      </c>
    </row>
    <row r="1964" spans="1:39" x14ac:dyDescent="0.35">
      <c r="A1964">
        <v>1960</v>
      </c>
      <c r="B1964">
        <v>1961</v>
      </c>
      <c r="F1964" s="64" t="s">
        <v>5000</v>
      </c>
      <c r="G1964" s="64"/>
      <c r="H1964" s="64"/>
      <c r="I1964" s="64">
        <v>1</v>
      </c>
      <c r="J1964" s="32" t="str">
        <f>IF(AND(E1964=1,OR(E1963=0,E1963="")),MAX(#REF!)+1,IF(AND(E1964=1,E1963=1),J1963,""))</f>
        <v/>
      </c>
      <c r="K1964" s="32" t="str">
        <f t="shared" si="121"/>
        <v/>
      </c>
      <c r="L1964" s="32" t="str">
        <f t="shared" si="118"/>
        <v/>
      </c>
      <c r="M1964" s="32" t="str">
        <f t="shared" si="119"/>
        <v/>
      </c>
      <c r="N1964" s="4">
        <v>1</v>
      </c>
      <c r="O1964" s="58">
        <v>0</v>
      </c>
      <c r="P1964" s="58">
        <v>0</v>
      </c>
      <c r="Q1964" s="58">
        <v>0</v>
      </c>
      <c r="R1964" s="58">
        <v>0</v>
      </c>
      <c r="S1964" s="58">
        <v>0</v>
      </c>
      <c r="T1964" s="58">
        <v>0</v>
      </c>
      <c r="U1964" s="58">
        <v>0</v>
      </c>
      <c r="V1964" s="58">
        <v>0</v>
      </c>
      <c r="AG1964" t="s">
        <v>1682</v>
      </c>
      <c r="AM1964" s="1" t="str">
        <f t="shared" si="120"/>
        <v>1962_C0013_1933.jpg</v>
      </c>
    </row>
    <row r="1965" spans="1:39" x14ac:dyDescent="0.35">
      <c r="A1965">
        <v>1961</v>
      </c>
      <c r="B1965">
        <v>1962</v>
      </c>
      <c r="F1965" s="64" t="s">
        <v>5001</v>
      </c>
      <c r="G1965" s="64"/>
      <c r="H1965" s="64"/>
      <c r="I1965" s="64">
        <v>0</v>
      </c>
      <c r="J1965" s="32" t="str">
        <f>IF(AND(E1965=1,OR(E1964=0,E1964="")),MAX(#REF!)+1,IF(AND(E1965=1,E1964=1),J1964,""))</f>
        <v/>
      </c>
      <c r="K1965" s="32" t="str">
        <f t="shared" si="121"/>
        <v/>
      </c>
      <c r="L1965" s="32" t="str">
        <f t="shared" si="118"/>
        <v/>
      </c>
      <c r="M1965" s="32" t="str">
        <f t="shared" si="119"/>
        <v/>
      </c>
      <c r="N1965" s="4">
        <v>1</v>
      </c>
      <c r="O1965" s="58">
        <v>0</v>
      </c>
      <c r="P1965" s="58">
        <v>0</v>
      </c>
      <c r="Q1965" s="58">
        <v>0</v>
      </c>
      <c r="R1965" s="58">
        <v>0</v>
      </c>
      <c r="S1965" s="58">
        <v>0</v>
      </c>
      <c r="T1965" s="58">
        <v>0</v>
      </c>
      <c r="U1965" s="58">
        <v>0</v>
      </c>
      <c r="V1965" s="58">
        <v>0</v>
      </c>
      <c r="AG1965" t="s">
        <v>1683</v>
      </c>
      <c r="AM1965" s="1" t="str">
        <f t="shared" si="120"/>
        <v>1963_C0013_1929.jpg</v>
      </c>
    </row>
    <row r="1966" spans="1:39" x14ac:dyDescent="0.35">
      <c r="A1966">
        <v>1962</v>
      </c>
      <c r="B1966">
        <v>1963</v>
      </c>
      <c r="F1966" s="64" t="s">
        <v>5002</v>
      </c>
      <c r="G1966" s="64"/>
      <c r="H1966" s="64"/>
      <c r="I1966" s="64">
        <v>0</v>
      </c>
      <c r="J1966" s="32" t="str">
        <f>IF(AND(E1966=1,OR(E1965=0,E1965="")),MAX(#REF!)+1,IF(AND(E1966=1,E1965=1),J1965,""))</f>
        <v/>
      </c>
      <c r="K1966" s="32" t="str">
        <f t="shared" si="121"/>
        <v/>
      </c>
      <c r="L1966" s="32" t="str">
        <f t="shared" si="118"/>
        <v/>
      </c>
      <c r="M1966" s="32" t="str">
        <f t="shared" si="119"/>
        <v/>
      </c>
      <c r="N1966" s="4">
        <v>1</v>
      </c>
      <c r="O1966" s="58">
        <v>0</v>
      </c>
      <c r="P1966" s="58">
        <v>0</v>
      </c>
      <c r="Q1966" s="58">
        <v>0</v>
      </c>
      <c r="R1966" s="58">
        <v>0</v>
      </c>
      <c r="S1966" s="58">
        <v>0</v>
      </c>
      <c r="T1966" s="58">
        <v>0</v>
      </c>
      <c r="U1966" s="58">
        <v>0</v>
      </c>
      <c r="V1966" s="58">
        <v>0</v>
      </c>
      <c r="AG1966" t="s">
        <v>1684</v>
      </c>
      <c r="AM1966" s="1" t="str">
        <f t="shared" si="120"/>
        <v>1964_C0013_1925.jpg</v>
      </c>
    </row>
    <row r="1967" spans="1:39" x14ac:dyDescent="0.35">
      <c r="A1967">
        <v>1963</v>
      </c>
      <c r="B1967">
        <v>1964</v>
      </c>
      <c r="F1967" s="64" t="s">
        <v>5003</v>
      </c>
      <c r="G1967" s="64"/>
      <c r="H1967" s="64"/>
      <c r="I1967" s="64">
        <v>0</v>
      </c>
      <c r="J1967" s="32" t="str">
        <f>IF(AND(E1967=1,OR(E1966=0,E1966="")),MAX(#REF!)+1,IF(AND(E1967=1,E1966=1),J1966,""))</f>
        <v/>
      </c>
      <c r="K1967" s="32" t="str">
        <f t="shared" si="121"/>
        <v/>
      </c>
      <c r="L1967" s="32" t="str">
        <f t="shared" si="118"/>
        <v/>
      </c>
      <c r="M1967" s="32" t="str">
        <f t="shared" si="119"/>
        <v/>
      </c>
      <c r="N1967" s="4">
        <v>1</v>
      </c>
      <c r="O1967" s="58">
        <v>0</v>
      </c>
      <c r="P1967" s="58">
        <v>0</v>
      </c>
      <c r="Q1967" s="58">
        <v>0</v>
      </c>
      <c r="R1967" s="58">
        <v>0</v>
      </c>
      <c r="S1967" s="58">
        <v>0</v>
      </c>
      <c r="T1967" s="58">
        <v>0</v>
      </c>
      <c r="U1967" s="58">
        <v>0</v>
      </c>
      <c r="V1967" s="58">
        <v>0</v>
      </c>
      <c r="AG1967" t="s">
        <v>1685</v>
      </c>
      <c r="AM1967" s="1" t="str">
        <f t="shared" si="120"/>
        <v>1965_C0013_1922.jpg</v>
      </c>
    </row>
    <row r="1968" spans="1:39" x14ac:dyDescent="0.35">
      <c r="A1968">
        <v>1964</v>
      </c>
      <c r="B1968">
        <v>1965</v>
      </c>
      <c r="F1968" s="64" t="s">
        <v>5004</v>
      </c>
      <c r="G1968" s="64"/>
      <c r="H1968" s="64"/>
      <c r="I1968" s="64">
        <v>0</v>
      </c>
      <c r="J1968" s="32" t="str">
        <f>IF(AND(E1968=1,OR(E1967=0,E1967="")),MAX(#REF!)+1,IF(AND(E1968=1,E1967=1),J1967,""))</f>
        <v/>
      </c>
      <c r="K1968" s="32" t="str">
        <f t="shared" si="121"/>
        <v/>
      </c>
      <c r="L1968" s="32" t="str">
        <f t="shared" si="118"/>
        <v/>
      </c>
      <c r="M1968" s="32" t="str">
        <f t="shared" si="119"/>
        <v/>
      </c>
      <c r="N1968" s="4">
        <v>1</v>
      </c>
      <c r="O1968" s="58">
        <v>0</v>
      </c>
      <c r="P1968" s="58">
        <v>0</v>
      </c>
      <c r="Q1968" s="58">
        <v>0</v>
      </c>
      <c r="R1968" s="58">
        <v>0</v>
      </c>
      <c r="S1968" s="58">
        <v>0</v>
      </c>
      <c r="T1968" s="58">
        <v>0</v>
      </c>
      <c r="U1968" s="58">
        <v>0</v>
      </c>
      <c r="V1968" s="58">
        <v>0</v>
      </c>
      <c r="AG1968" t="s">
        <v>1686</v>
      </c>
      <c r="AM1968" s="1" t="str">
        <f t="shared" si="120"/>
        <v>1966_C0013_1919.jpg</v>
      </c>
    </row>
    <row r="1969" spans="1:39" x14ac:dyDescent="0.35">
      <c r="A1969">
        <v>1965</v>
      </c>
      <c r="B1969">
        <v>1966</v>
      </c>
      <c r="F1969" s="64" t="s">
        <v>5005</v>
      </c>
      <c r="G1969" s="64"/>
      <c r="H1969" s="64"/>
      <c r="I1969" s="64">
        <v>1</v>
      </c>
      <c r="J1969" s="32" t="str">
        <f>IF(AND(E1969=1,OR(E1968=0,E1968="")),MAX(#REF!)+1,IF(AND(E1969=1,E1968=1),J1968,""))</f>
        <v/>
      </c>
      <c r="K1969" s="32" t="str">
        <f t="shared" si="121"/>
        <v/>
      </c>
      <c r="L1969" s="32" t="str">
        <f t="shared" si="118"/>
        <v/>
      </c>
      <c r="M1969" s="32" t="str">
        <f t="shared" si="119"/>
        <v/>
      </c>
      <c r="N1969" s="4">
        <v>1</v>
      </c>
      <c r="O1969" s="58">
        <v>0</v>
      </c>
      <c r="P1969" s="58">
        <v>0</v>
      </c>
      <c r="Q1969" s="58">
        <v>0</v>
      </c>
      <c r="R1969" s="58">
        <v>0</v>
      </c>
      <c r="S1969" s="58">
        <v>0</v>
      </c>
      <c r="T1969" s="58">
        <v>0</v>
      </c>
      <c r="U1969" s="58">
        <v>0</v>
      </c>
      <c r="V1969" s="58">
        <v>0</v>
      </c>
      <c r="AG1969" t="s">
        <v>1687</v>
      </c>
      <c r="AM1969" s="1" t="str">
        <f t="shared" si="120"/>
        <v>1967_C0013_1917.jpg</v>
      </c>
    </row>
    <row r="1970" spans="1:39" x14ac:dyDescent="0.35">
      <c r="A1970">
        <v>1966</v>
      </c>
      <c r="B1970">
        <v>1967</v>
      </c>
      <c r="F1970" s="64" t="s">
        <v>5006</v>
      </c>
      <c r="G1970" s="64"/>
      <c r="H1970" s="64"/>
      <c r="I1970" s="64">
        <v>1</v>
      </c>
      <c r="J1970" s="32" t="str">
        <f>IF(AND(E1970=1,OR(E1969=0,E1969="")),MAX(#REF!)+1,IF(AND(E1970=1,E1969=1),J1969,""))</f>
        <v/>
      </c>
      <c r="K1970" s="32" t="str">
        <f t="shared" si="121"/>
        <v/>
      </c>
      <c r="L1970" s="32" t="str">
        <f t="shared" si="118"/>
        <v/>
      </c>
      <c r="M1970" s="32" t="str">
        <f t="shared" si="119"/>
        <v/>
      </c>
      <c r="N1970" s="4">
        <v>1</v>
      </c>
      <c r="O1970" s="58">
        <v>0</v>
      </c>
      <c r="P1970" s="58">
        <v>0</v>
      </c>
      <c r="Q1970" s="58">
        <v>0</v>
      </c>
      <c r="R1970" s="58">
        <v>0</v>
      </c>
      <c r="S1970" s="58">
        <v>0</v>
      </c>
      <c r="T1970" s="58">
        <v>0</v>
      </c>
      <c r="U1970" s="58">
        <v>0</v>
      </c>
      <c r="V1970" s="58">
        <v>0</v>
      </c>
      <c r="AG1970" t="s">
        <v>1688</v>
      </c>
      <c r="AM1970" s="1" t="str">
        <f t="shared" si="120"/>
        <v>1968_C0013_1914.jpg</v>
      </c>
    </row>
    <row r="1971" spans="1:39" x14ac:dyDescent="0.35">
      <c r="A1971">
        <v>1967</v>
      </c>
      <c r="B1971">
        <v>1968</v>
      </c>
      <c r="F1971" s="64" t="s">
        <v>5007</v>
      </c>
      <c r="G1971" s="64"/>
      <c r="H1971" s="64"/>
      <c r="I1971" s="64">
        <v>1</v>
      </c>
      <c r="J1971" s="32" t="str">
        <f>IF(AND(E1971=1,OR(E1970=0,E1970="")),MAX(#REF!)+1,IF(AND(E1971=1,E1970=1),J1970,""))</f>
        <v/>
      </c>
      <c r="K1971" s="32" t="str">
        <f t="shared" si="121"/>
        <v/>
      </c>
      <c r="L1971" s="32" t="str">
        <f t="shared" si="118"/>
        <v/>
      </c>
      <c r="M1971" s="32" t="str">
        <f t="shared" si="119"/>
        <v/>
      </c>
      <c r="N1971" s="4">
        <v>1</v>
      </c>
      <c r="O1971" s="58">
        <v>0</v>
      </c>
      <c r="P1971" s="58">
        <v>0</v>
      </c>
      <c r="Q1971" s="58">
        <v>0</v>
      </c>
      <c r="R1971" s="58">
        <v>0</v>
      </c>
      <c r="S1971" s="58">
        <v>0</v>
      </c>
      <c r="T1971" s="58">
        <v>0</v>
      </c>
      <c r="U1971" s="58">
        <v>0</v>
      </c>
      <c r="V1971" s="58">
        <v>0</v>
      </c>
      <c r="AG1971" t="s">
        <v>1689</v>
      </c>
      <c r="AM1971" s="1" t="str">
        <f t="shared" si="120"/>
        <v>1969_C0013_1908.jpg</v>
      </c>
    </row>
    <row r="1972" spans="1:39" x14ac:dyDescent="0.35">
      <c r="A1972">
        <v>1968</v>
      </c>
      <c r="B1972">
        <v>1969</v>
      </c>
      <c r="F1972" s="64" t="s">
        <v>5008</v>
      </c>
      <c r="G1972" s="64"/>
      <c r="H1972" s="64"/>
      <c r="I1972" s="64">
        <v>1</v>
      </c>
      <c r="J1972" s="32" t="str">
        <f>IF(AND(E1972=1,OR(E1971=0,E1971="")),MAX(#REF!)+1,IF(AND(E1972=1,E1971=1),J1971,""))</f>
        <v/>
      </c>
      <c r="K1972" s="32" t="str">
        <f t="shared" si="121"/>
        <v/>
      </c>
      <c r="L1972" s="32" t="str">
        <f t="shared" si="118"/>
        <v/>
      </c>
      <c r="M1972" s="32" t="str">
        <f t="shared" si="119"/>
        <v/>
      </c>
      <c r="N1972" s="4">
        <v>1</v>
      </c>
      <c r="O1972" s="58">
        <v>0</v>
      </c>
      <c r="P1972" s="58">
        <v>0</v>
      </c>
      <c r="Q1972" s="58">
        <v>0</v>
      </c>
      <c r="R1972" s="58">
        <v>0</v>
      </c>
      <c r="S1972" s="58">
        <v>0</v>
      </c>
      <c r="T1972" s="58">
        <v>0</v>
      </c>
      <c r="U1972" s="58">
        <v>0</v>
      </c>
      <c r="V1972" s="58">
        <v>0</v>
      </c>
      <c r="AG1972" t="s">
        <v>1690</v>
      </c>
      <c r="AM1972" s="1" t="str">
        <f t="shared" si="120"/>
        <v>1970_C0013_1902.jpg</v>
      </c>
    </row>
    <row r="1973" spans="1:39" x14ac:dyDescent="0.35">
      <c r="A1973">
        <v>1969</v>
      </c>
      <c r="B1973">
        <v>1970</v>
      </c>
      <c r="F1973" s="64" t="s">
        <v>5009</v>
      </c>
      <c r="G1973" s="64"/>
      <c r="H1973" s="64"/>
      <c r="I1973" s="64">
        <v>1</v>
      </c>
      <c r="J1973" s="32" t="str">
        <f>IF(AND(E1973=1,OR(E1972=0,E1972="")),MAX(#REF!)+1,IF(AND(E1973=1,E1972=1),J1972,""))</f>
        <v/>
      </c>
      <c r="K1973" s="32" t="str">
        <f t="shared" si="121"/>
        <v/>
      </c>
      <c r="L1973" s="32" t="str">
        <f t="shared" si="118"/>
        <v/>
      </c>
      <c r="M1973" s="32" t="str">
        <f t="shared" si="119"/>
        <v/>
      </c>
      <c r="N1973" s="4">
        <v>1</v>
      </c>
      <c r="O1973" s="58">
        <v>0</v>
      </c>
      <c r="P1973" s="58">
        <v>0</v>
      </c>
      <c r="Q1973" s="58">
        <v>0</v>
      </c>
      <c r="R1973" s="58">
        <v>0</v>
      </c>
      <c r="S1973" s="58">
        <v>0</v>
      </c>
      <c r="T1973" s="58">
        <v>0</v>
      </c>
      <c r="U1973" s="58">
        <v>0</v>
      </c>
      <c r="V1973" s="58">
        <v>0</v>
      </c>
      <c r="AG1973" t="s">
        <v>1691</v>
      </c>
      <c r="AM1973" s="1" t="str">
        <f t="shared" si="120"/>
        <v>1971_C0013_1898.jpg</v>
      </c>
    </row>
    <row r="1974" spans="1:39" x14ac:dyDescent="0.35">
      <c r="A1974">
        <v>1970</v>
      </c>
      <c r="B1974">
        <v>1971</v>
      </c>
      <c r="F1974" s="64" t="s">
        <v>5010</v>
      </c>
      <c r="G1974" s="64"/>
      <c r="H1974" s="64"/>
      <c r="I1974" s="64">
        <v>1</v>
      </c>
      <c r="J1974" s="32" t="str">
        <f>IF(AND(E1974=1,OR(E1973=0,E1973="")),MAX(#REF!)+1,IF(AND(E1974=1,E1973=1),J1973,""))</f>
        <v/>
      </c>
      <c r="K1974" s="32" t="str">
        <f t="shared" si="121"/>
        <v/>
      </c>
      <c r="L1974" s="32" t="str">
        <f t="shared" si="118"/>
        <v/>
      </c>
      <c r="M1974" s="32" t="str">
        <f t="shared" si="119"/>
        <v/>
      </c>
      <c r="N1974" s="4">
        <v>1</v>
      </c>
      <c r="O1974" s="58">
        <v>0</v>
      </c>
      <c r="P1974" s="58">
        <v>0</v>
      </c>
      <c r="Q1974" s="58">
        <v>0</v>
      </c>
      <c r="R1974" s="58">
        <v>0</v>
      </c>
      <c r="S1974" s="58">
        <v>0</v>
      </c>
      <c r="T1974" s="58">
        <v>0</v>
      </c>
      <c r="U1974" s="58">
        <v>0</v>
      </c>
      <c r="V1974" s="58">
        <v>0</v>
      </c>
      <c r="AG1974" t="s">
        <v>1692</v>
      </c>
      <c r="AM1974" s="1" t="str">
        <f t="shared" si="120"/>
        <v>1972_C0013_1894.jpg</v>
      </c>
    </row>
    <row r="1975" spans="1:39" x14ac:dyDescent="0.35">
      <c r="A1975">
        <v>1971</v>
      </c>
      <c r="B1975">
        <v>1972</v>
      </c>
      <c r="F1975" s="64" t="s">
        <v>5011</v>
      </c>
      <c r="G1975" s="64"/>
      <c r="H1975" s="64"/>
      <c r="I1975" s="64">
        <v>1</v>
      </c>
      <c r="J1975" s="32" t="str">
        <f>IF(AND(E1975=1,OR(E1974=0,E1974="")),MAX(#REF!)+1,IF(AND(E1975=1,E1974=1),J1974,""))</f>
        <v/>
      </c>
      <c r="K1975" s="32" t="str">
        <f t="shared" si="121"/>
        <v/>
      </c>
      <c r="L1975" s="32" t="str">
        <f t="shared" si="118"/>
        <v/>
      </c>
      <c r="M1975" s="32" t="str">
        <f t="shared" si="119"/>
        <v/>
      </c>
      <c r="N1975" s="4">
        <v>1</v>
      </c>
      <c r="O1975" s="58">
        <v>0</v>
      </c>
      <c r="P1975" s="58">
        <v>0</v>
      </c>
      <c r="Q1975" s="58">
        <v>0</v>
      </c>
      <c r="R1975" s="58">
        <v>0</v>
      </c>
      <c r="S1975" s="58">
        <v>0</v>
      </c>
      <c r="T1975" s="58">
        <v>0</v>
      </c>
      <c r="U1975" s="58">
        <v>0</v>
      </c>
      <c r="V1975" s="58">
        <v>0</v>
      </c>
      <c r="AG1975" t="s">
        <v>1693</v>
      </c>
      <c r="AM1975" s="1" t="str">
        <f t="shared" si="120"/>
        <v>1973_C0013_1888.jpg</v>
      </c>
    </row>
    <row r="1976" spans="1:39" x14ac:dyDescent="0.35">
      <c r="A1976">
        <v>1972</v>
      </c>
      <c r="B1976">
        <v>1973</v>
      </c>
      <c r="F1976" s="64" t="s">
        <v>5012</v>
      </c>
      <c r="G1976" s="64"/>
      <c r="H1976" s="64"/>
      <c r="I1976" s="64">
        <v>1</v>
      </c>
      <c r="J1976" s="32" t="str">
        <f>IF(AND(E1976=1,OR(E1975=0,E1975="")),MAX(#REF!)+1,IF(AND(E1976=1,E1975=1),J1975,""))</f>
        <v/>
      </c>
      <c r="K1976" s="32" t="str">
        <f t="shared" si="121"/>
        <v/>
      </c>
      <c r="L1976" s="32" t="str">
        <f t="shared" si="118"/>
        <v/>
      </c>
      <c r="M1976" s="32" t="str">
        <f t="shared" si="119"/>
        <v/>
      </c>
      <c r="N1976" s="4">
        <v>1</v>
      </c>
      <c r="O1976" s="58">
        <v>0</v>
      </c>
      <c r="P1976" s="58">
        <v>0</v>
      </c>
      <c r="Q1976" s="58">
        <v>0</v>
      </c>
      <c r="R1976" s="58">
        <v>0</v>
      </c>
      <c r="S1976" s="58">
        <v>0</v>
      </c>
      <c r="T1976" s="58">
        <v>0</v>
      </c>
      <c r="U1976" s="58">
        <v>0</v>
      </c>
      <c r="V1976" s="58">
        <v>0</v>
      </c>
      <c r="AG1976" t="s">
        <v>1694</v>
      </c>
      <c r="AM1976" s="1" t="str">
        <f t="shared" si="120"/>
        <v>1974_C0013_1884.jpg</v>
      </c>
    </row>
    <row r="1977" spans="1:39" x14ac:dyDescent="0.35">
      <c r="A1977">
        <v>1973</v>
      </c>
      <c r="B1977">
        <v>1974</v>
      </c>
      <c r="F1977" s="64" t="s">
        <v>5013</v>
      </c>
      <c r="G1977" s="64"/>
      <c r="H1977" s="64"/>
      <c r="I1977" s="64">
        <v>1</v>
      </c>
      <c r="J1977" s="32" t="str">
        <f>IF(AND(E1977=1,OR(E1976=0,E1976="")),MAX(#REF!)+1,IF(AND(E1977=1,E1976=1),J1976,""))</f>
        <v/>
      </c>
      <c r="K1977" s="32" t="str">
        <f t="shared" si="121"/>
        <v/>
      </c>
      <c r="L1977" s="32" t="str">
        <f t="shared" si="118"/>
        <v/>
      </c>
      <c r="M1977" s="32" t="str">
        <f t="shared" si="119"/>
        <v/>
      </c>
      <c r="N1977" s="4">
        <v>1</v>
      </c>
      <c r="O1977" s="58">
        <v>0</v>
      </c>
      <c r="P1977" s="58">
        <v>0</v>
      </c>
      <c r="Q1977" s="58">
        <v>0</v>
      </c>
      <c r="R1977" s="58">
        <v>0</v>
      </c>
      <c r="S1977" s="58">
        <v>0</v>
      </c>
      <c r="T1977" s="58">
        <v>0</v>
      </c>
      <c r="U1977" s="58">
        <v>0</v>
      </c>
      <c r="V1977" s="58">
        <v>0</v>
      </c>
      <c r="AG1977" t="s">
        <v>1695</v>
      </c>
      <c r="AM1977" s="1" t="str">
        <f t="shared" si="120"/>
        <v>1975_C0013_1881.jpg</v>
      </c>
    </row>
    <row r="1978" spans="1:39" x14ac:dyDescent="0.35">
      <c r="A1978">
        <v>1974</v>
      </c>
      <c r="B1978">
        <v>1975</v>
      </c>
      <c r="F1978" s="64" t="s">
        <v>5014</v>
      </c>
      <c r="G1978" s="64"/>
      <c r="H1978" s="64"/>
      <c r="I1978" s="64">
        <v>1</v>
      </c>
      <c r="J1978" s="32" t="str">
        <f>IF(AND(E1978=1,OR(E1977=0,E1977="")),MAX(#REF!)+1,IF(AND(E1978=1,E1977=1),J1977,""))</f>
        <v/>
      </c>
      <c r="K1978" s="32" t="str">
        <f t="shared" si="121"/>
        <v/>
      </c>
      <c r="L1978" s="32" t="str">
        <f t="shared" si="118"/>
        <v/>
      </c>
      <c r="M1978" s="32" t="str">
        <f t="shared" si="119"/>
        <v/>
      </c>
      <c r="N1978" s="4">
        <v>1</v>
      </c>
      <c r="O1978" s="58">
        <v>0</v>
      </c>
      <c r="P1978" s="58">
        <v>0</v>
      </c>
      <c r="Q1978" s="58">
        <v>0</v>
      </c>
      <c r="R1978" s="58">
        <v>0</v>
      </c>
      <c r="S1978" s="58">
        <v>0</v>
      </c>
      <c r="T1978" s="58">
        <v>0</v>
      </c>
      <c r="U1978" s="58">
        <v>0</v>
      </c>
      <c r="V1978" s="58">
        <v>0</v>
      </c>
      <c r="AG1978" t="s">
        <v>1696</v>
      </c>
      <c r="AM1978" s="1" t="str">
        <f t="shared" si="120"/>
        <v>1976_C0013_1877.jpg</v>
      </c>
    </row>
    <row r="1979" spans="1:39" x14ac:dyDescent="0.35">
      <c r="A1979">
        <v>1975</v>
      </c>
      <c r="B1979">
        <v>1976</v>
      </c>
      <c r="F1979" s="64" t="s">
        <v>5015</v>
      </c>
      <c r="G1979" s="64"/>
      <c r="H1979" s="64"/>
      <c r="I1979" s="64">
        <v>1</v>
      </c>
      <c r="J1979" s="32" t="str">
        <f>IF(AND(E1979=1,OR(E1978=0,E1978="")),MAX(#REF!)+1,IF(AND(E1979=1,E1978=1),J1978,""))</f>
        <v/>
      </c>
      <c r="K1979" s="32" t="str">
        <f t="shared" si="121"/>
        <v/>
      </c>
      <c r="L1979" s="32" t="str">
        <f t="shared" si="118"/>
        <v/>
      </c>
      <c r="M1979" s="32" t="str">
        <f t="shared" si="119"/>
        <v/>
      </c>
      <c r="N1979" s="4">
        <v>1</v>
      </c>
      <c r="O1979" s="58">
        <v>0</v>
      </c>
      <c r="P1979" s="58">
        <v>0</v>
      </c>
      <c r="Q1979" s="58">
        <v>0</v>
      </c>
      <c r="R1979" s="58">
        <v>0</v>
      </c>
      <c r="S1979" s="58">
        <v>0</v>
      </c>
      <c r="T1979" s="58">
        <v>0</v>
      </c>
      <c r="U1979" s="58">
        <v>0</v>
      </c>
      <c r="V1979" s="58">
        <v>0</v>
      </c>
      <c r="AG1979" t="s">
        <v>1697</v>
      </c>
      <c r="AM1979" s="1" t="str">
        <f t="shared" si="120"/>
        <v>1977_C0013_1873.jpg</v>
      </c>
    </row>
    <row r="1980" spans="1:39" x14ac:dyDescent="0.35">
      <c r="A1980">
        <v>1976</v>
      </c>
      <c r="B1980">
        <v>1977</v>
      </c>
      <c r="F1980" s="64" t="s">
        <v>5016</v>
      </c>
      <c r="G1980" s="64"/>
      <c r="H1980" s="64"/>
      <c r="I1980" s="64">
        <v>1</v>
      </c>
      <c r="J1980" s="32">
        <v>132</v>
      </c>
      <c r="K1980" s="32">
        <f t="shared" si="121"/>
        <v>10</v>
      </c>
      <c r="L1980" s="32" t="str">
        <f t="shared" si="118"/>
        <v/>
      </c>
      <c r="M1980" s="32">
        <f t="shared" si="119"/>
        <v>100</v>
      </c>
      <c r="N1980" s="4">
        <v>1</v>
      </c>
      <c r="O1980" s="58">
        <v>0</v>
      </c>
      <c r="P1980" s="58">
        <v>0</v>
      </c>
      <c r="Q1980" s="58">
        <v>0</v>
      </c>
      <c r="R1980" s="58">
        <v>0</v>
      </c>
      <c r="S1980" s="58">
        <v>0</v>
      </c>
      <c r="T1980" s="58">
        <v>0</v>
      </c>
      <c r="U1980" s="58">
        <v>0</v>
      </c>
      <c r="V1980" s="58">
        <v>0</v>
      </c>
      <c r="AG1980" t="s">
        <v>1698</v>
      </c>
      <c r="AM1980" s="1" t="str">
        <f t="shared" si="120"/>
        <v>1978_C0013_1870.jpg</v>
      </c>
    </row>
    <row r="1981" spans="1:39" x14ac:dyDescent="0.35">
      <c r="A1981">
        <v>1977</v>
      </c>
      <c r="B1981">
        <v>1978</v>
      </c>
      <c r="F1981" s="64" t="s">
        <v>5017</v>
      </c>
      <c r="G1981" s="64"/>
      <c r="H1981" s="64"/>
      <c r="I1981" s="64">
        <v>1</v>
      </c>
      <c r="J1981" s="32" t="str">
        <f>IF(AND(E1981=1,OR(E1980=0,E1980="")),MAX(#REF!)+1,IF(AND(E1981=1,E1980=1),J1980,""))</f>
        <v/>
      </c>
      <c r="K1981" s="32" t="str">
        <f t="shared" si="121"/>
        <v/>
      </c>
      <c r="L1981" s="32" t="str">
        <f t="shared" si="118"/>
        <v/>
      </c>
      <c r="M1981" s="32" t="str">
        <f t="shared" si="119"/>
        <v/>
      </c>
      <c r="N1981" s="4">
        <v>1</v>
      </c>
      <c r="O1981" s="58">
        <v>0</v>
      </c>
      <c r="P1981" s="58">
        <v>0</v>
      </c>
      <c r="Q1981" s="58">
        <v>0</v>
      </c>
      <c r="R1981" s="58">
        <v>0</v>
      </c>
      <c r="S1981" s="58">
        <v>0</v>
      </c>
      <c r="T1981" s="58">
        <v>0</v>
      </c>
      <c r="U1981" s="58">
        <v>0</v>
      </c>
      <c r="V1981" s="58">
        <v>0</v>
      </c>
      <c r="AG1981" t="s">
        <v>1699</v>
      </c>
      <c r="AM1981" s="1" t="str">
        <f t="shared" si="120"/>
        <v>1979_C0013_1867.jpg</v>
      </c>
    </row>
    <row r="1982" spans="1:39" x14ac:dyDescent="0.35">
      <c r="A1982">
        <v>1978</v>
      </c>
      <c r="B1982">
        <v>1979</v>
      </c>
      <c r="F1982" s="64" t="s">
        <v>5018</v>
      </c>
      <c r="G1982" s="64"/>
      <c r="H1982" s="64"/>
      <c r="I1982" s="64">
        <v>1</v>
      </c>
      <c r="J1982" s="32" t="str">
        <f>IF(AND(E1982=1,OR(E1981=0,E1981="")),MAX(#REF!)+1,IF(AND(E1982=1,E1981=1),J1981,""))</f>
        <v/>
      </c>
      <c r="K1982" s="32" t="str">
        <f t="shared" si="121"/>
        <v/>
      </c>
      <c r="L1982" s="32" t="str">
        <f t="shared" si="118"/>
        <v/>
      </c>
      <c r="M1982" s="32" t="str">
        <f t="shared" si="119"/>
        <v/>
      </c>
      <c r="N1982" s="4">
        <v>1</v>
      </c>
      <c r="O1982" s="58">
        <v>0</v>
      </c>
      <c r="P1982" s="58">
        <v>0</v>
      </c>
      <c r="Q1982" s="58">
        <v>0</v>
      </c>
      <c r="R1982" s="58">
        <v>0</v>
      </c>
      <c r="S1982" s="58">
        <v>0</v>
      </c>
      <c r="T1982" s="58">
        <v>0</v>
      </c>
      <c r="U1982" s="58">
        <v>0</v>
      </c>
      <c r="V1982" s="58">
        <v>0</v>
      </c>
      <c r="AG1982" t="s">
        <v>1700</v>
      </c>
      <c r="AM1982" s="1" t="str">
        <f t="shared" si="120"/>
        <v>1980_C0013_1864.jpg</v>
      </c>
    </row>
    <row r="1983" spans="1:39" x14ac:dyDescent="0.35">
      <c r="A1983">
        <v>1979</v>
      </c>
      <c r="B1983">
        <v>1980</v>
      </c>
      <c r="F1983" s="64" t="s">
        <v>5019</v>
      </c>
      <c r="G1983" s="64"/>
      <c r="H1983" s="64"/>
      <c r="I1983" s="64">
        <v>1</v>
      </c>
      <c r="J1983" s="32" t="str">
        <f>IF(AND(E1983=1,OR(E1982=0,E1982="")),MAX(#REF!)+1,IF(AND(E1983=1,E1982=1),J1982,""))</f>
        <v/>
      </c>
      <c r="K1983" s="32" t="str">
        <f t="shared" si="121"/>
        <v/>
      </c>
      <c r="L1983" s="32" t="str">
        <f t="shared" si="118"/>
        <v/>
      </c>
      <c r="M1983" s="32" t="str">
        <f t="shared" si="119"/>
        <v/>
      </c>
      <c r="N1983" s="4">
        <v>1</v>
      </c>
      <c r="O1983" s="58">
        <v>0</v>
      </c>
      <c r="P1983" s="58">
        <v>0</v>
      </c>
      <c r="Q1983" s="58">
        <v>0</v>
      </c>
      <c r="R1983" s="58">
        <v>0</v>
      </c>
      <c r="S1983" s="58">
        <v>0</v>
      </c>
      <c r="T1983" s="58">
        <v>0</v>
      </c>
      <c r="U1983" s="58">
        <v>0</v>
      </c>
      <c r="V1983" s="58">
        <v>0</v>
      </c>
      <c r="AG1983" t="s">
        <v>1701</v>
      </c>
      <c r="AM1983" s="1" t="str">
        <f t="shared" si="120"/>
        <v>1981_C0013_1861.jpg</v>
      </c>
    </row>
    <row r="1984" spans="1:39" x14ac:dyDescent="0.35">
      <c r="A1984">
        <v>1980</v>
      </c>
      <c r="B1984">
        <v>1981</v>
      </c>
      <c r="F1984" s="64" t="s">
        <v>5020</v>
      </c>
      <c r="G1984" s="64"/>
      <c r="H1984" s="64"/>
      <c r="I1984" s="64">
        <v>1</v>
      </c>
      <c r="J1984" s="32" t="str">
        <f>IF(AND(E1984=1,OR(E1983=0,E1983="")),MAX(#REF!)+1,IF(AND(E1984=1,E1983=1),J1983,""))</f>
        <v/>
      </c>
      <c r="K1984" s="32" t="str">
        <f t="shared" si="121"/>
        <v/>
      </c>
      <c r="L1984" s="32" t="str">
        <f t="shared" si="118"/>
        <v/>
      </c>
      <c r="M1984" s="32" t="str">
        <f t="shared" si="119"/>
        <v/>
      </c>
      <c r="N1984" s="4">
        <v>1</v>
      </c>
      <c r="O1984" s="58">
        <v>0</v>
      </c>
      <c r="P1984" s="58">
        <v>0</v>
      </c>
      <c r="Q1984" s="58">
        <v>0</v>
      </c>
      <c r="R1984" s="58">
        <v>0</v>
      </c>
      <c r="S1984" s="58">
        <v>0</v>
      </c>
      <c r="T1984" s="58">
        <v>0</v>
      </c>
      <c r="U1984" s="58">
        <v>0</v>
      </c>
      <c r="V1984" s="58">
        <v>0</v>
      </c>
      <c r="AG1984" t="s">
        <v>1702</v>
      </c>
      <c r="AM1984" s="1" t="str">
        <f t="shared" si="120"/>
        <v>1982_C0013_1858.jpg</v>
      </c>
    </row>
    <row r="1985" spans="1:39" x14ac:dyDescent="0.35">
      <c r="A1985">
        <v>1981</v>
      </c>
      <c r="B1985">
        <v>1982</v>
      </c>
      <c r="F1985" s="64" t="s">
        <v>5021</v>
      </c>
      <c r="G1985" s="64"/>
      <c r="H1985" s="64"/>
      <c r="I1985" s="64">
        <v>1</v>
      </c>
      <c r="J1985" s="32" t="str">
        <f>IF(AND(E1985=1,OR(E1984=0,E1984="")),MAX(#REF!)+1,IF(AND(E1985=1,E1984=1),J1984,""))</f>
        <v/>
      </c>
      <c r="K1985" s="32" t="str">
        <f t="shared" si="121"/>
        <v/>
      </c>
      <c r="L1985" s="32" t="str">
        <f t="shared" si="118"/>
        <v/>
      </c>
      <c r="M1985" s="32" t="str">
        <f t="shared" si="119"/>
        <v/>
      </c>
      <c r="N1985" s="4">
        <v>1</v>
      </c>
      <c r="O1985" s="58">
        <v>0</v>
      </c>
      <c r="P1985" s="58">
        <v>0</v>
      </c>
      <c r="Q1985" s="58">
        <v>0</v>
      </c>
      <c r="R1985" s="58">
        <v>0</v>
      </c>
      <c r="S1985" s="58">
        <v>0</v>
      </c>
      <c r="T1985" s="58">
        <v>0</v>
      </c>
      <c r="U1985" s="58">
        <v>0</v>
      </c>
      <c r="V1985" s="58">
        <v>0</v>
      </c>
      <c r="AG1985" t="s">
        <v>1703</v>
      </c>
      <c r="AM1985" s="1" t="str">
        <f t="shared" si="120"/>
        <v>1983_C0013_1856.jpg</v>
      </c>
    </row>
    <row r="1986" spans="1:39" x14ac:dyDescent="0.35">
      <c r="A1986">
        <v>1982</v>
      </c>
      <c r="B1986">
        <v>1983</v>
      </c>
      <c r="F1986" s="64" t="s">
        <v>5022</v>
      </c>
      <c r="G1986" s="64"/>
      <c r="H1986" s="64"/>
      <c r="I1986" s="64">
        <v>1</v>
      </c>
      <c r="J1986" s="32" t="str">
        <f>IF(AND(E1986=1,OR(E1985=0,E1985="")),MAX(#REF!)+1,IF(AND(E1986=1,E1985=1),J1985,""))</f>
        <v/>
      </c>
      <c r="K1986" s="32" t="str">
        <f t="shared" si="121"/>
        <v/>
      </c>
      <c r="L1986" s="32" t="str">
        <f t="shared" si="118"/>
        <v/>
      </c>
      <c r="M1986" s="32" t="str">
        <f t="shared" si="119"/>
        <v/>
      </c>
      <c r="N1986" s="4">
        <v>1</v>
      </c>
      <c r="O1986" s="58">
        <v>0</v>
      </c>
      <c r="P1986" s="58">
        <v>0</v>
      </c>
      <c r="Q1986" s="58">
        <v>0</v>
      </c>
      <c r="R1986" s="58">
        <v>0</v>
      </c>
      <c r="S1986" s="58">
        <v>0</v>
      </c>
      <c r="T1986" s="58">
        <v>0</v>
      </c>
      <c r="U1986" s="58">
        <v>0</v>
      </c>
      <c r="V1986" s="58">
        <v>0</v>
      </c>
      <c r="AG1986" t="s">
        <v>1704</v>
      </c>
      <c r="AM1986" s="1" t="str">
        <f t="shared" si="120"/>
        <v>1984_C0013_1852.jpg</v>
      </c>
    </row>
    <row r="1987" spans="1:39" x14ac:dyDescent="0.35">
      <c r="A1987">
        <v>1983</v>
      </c>
      <c r="B1987">
        <v>1984</v>
      </c>
      <c r="F1987" s="64" t="s">
        <v>5023</v>
      </c>
      <c r="G1987" s="64"/>
      <c r="H1987" s="64"/>
      <c r="I1987" s="64">
        <v>1</v>
      </c>
      <c r="J1987" s="32" t="str">
        <f>IF(AND(E1987=1,OR(E1986=0,E1986="")),MAX(#REF!)+1,IF(AND(E1987=1,E1986=1),J1986,""))</f>
        <v/>
      </c>
      <c r="K1987" s="32" t="str">
        <f t="shared" si="121"/>
        <v/>
      </c>
      <c r="L1987" s="32" t="str">
        <f t="shared" si="118"/>
        <v/>
      </c>
      <c r="M1987" s="32" t="str">
        <f t="shared" si="119"/>
        <v/>
      </c>
      <c r="N1987" s="4">
        <v>1</v>
      </c>
      <c r="O1987" s="58">
        <v>0</v>
      </c>
      <c r="P1987" s="58">
        <v>0</v>
      </c>
      <c r="Q1987" s="58">
        <v>0</v>
      </c>
      <c r="R1987" s="58">
        <v>0</v>
      </c>
      <c r="S1987" s="58">
        <v>0</v>
      </c>
      <c r="T1987" s="58">
        <v>0</v>
      </c>
      <c r="U1987" s="58">
        <v>0</v>
      </c>
      <c r="V1987" s="58">
        <v>0</v>
      </c>
      <c r="AG1987" t="s">
        <v>1705</v>
      </c>
      <c r="AM1987" s="1" t="str">
        <f t="shared" si="120"/>
        <v>1985_C0013_1849.jpg</v>
      </c>
    </row>
    <row r="1988" spans="1:39" x14ac:dyDescent="0.35">
      <c r="A1988">
        <v>1984</v>
      </c>
      <c r="B1988">
        <v>1985</v>
      </c>
      <c r="F1988" s="64" t="s">
        <v>5024</v>
      </c>
      <c r="G1988" s="64"/>
      <c r="H1988" s="64"/>
      <c r="I1988" s="64">
        <v>1</v>
      </c>
      <c r="J1988" s="32" t="str">
        <f>IF(AND(E1988=1,OR(E1987=0,E1987="")),MAX(#REF!)+1,IF(AND(E1988=1,E1987=1),J1987,""))</f>
        <v/>
      </c>
      <c r="K1988" s="32" t="str">
        <f t="shared" si="121"/>
        <v/>
      </c>
      <c r="L1988" s="32" t="str">
        <f t="shared" ref="L1988:L2051" si="122">IF(K1988="","",IF(K1988&gt;=100,"HV",""))</f>
        <v/>
      </c>
      <c r="M1988" s="32" t="str">
        <f t="shared" ref="M1988:M2051" si="123">IF(K1988&lt;&gt;"",K1988^2,"")</f>
        <v/>
      </c>
      <c r="N1988" s="4">
        <v>1</v>
      </c>
      <c r="O1988" s="58">
        <v>0</v>
      </c>
      <c r="P1988" s="58">
        <v>0</v>
      </c>
      <c r="Q1988" s="58">
        <v>0</v>
      </c>
      <c r="R1988" s="58">
        <v>0</v>
      </c>
      <c r="S1988" s="58">
        <v>0</v>
      </c>
      <c r="T1988" s="58">
        <v>0</v>
      </c>
      <c r="U1988" s="58">
        <v>0</v>
      </c>
      <c r="V1988" s="58">
        <v>0</v>
      </c>
      <c r="AG1988" t="s">
        <v>1706</v>
      </c>
      <c r="AM1988" s="1" t="str">
        <f t="shared" si="120"/>
        <v>1986_C0013_1845.jpg</v>
      </c>
    </row>
    <row r="1989" spans="1:39" x14ac:dyDescent="0.35">
      <c r="A1989">
        <v>1985</v>
      </c>
      <c r="B1989">
        <v>1986</v>
      </c>
      <c r="F1989" s="64" t="s">
        <v>5025</v>
      </c>
      <c r="G1989" s="64"/>
      <c r="H1989" s="64"/>
      <c r="I1989" s="64">
        <v>1</v>
      </c>
      <c r="J1989" s="32" t="str">
        <f>IF(AND(E1989=1,OR(E1988=0,E1988="")),MAX(#REF!)+1,IF(AND(E1989=1,E1988=1),J1988,""))</f>
        <v/>
      </c>
      <c r="K1989" s="32" t="str">
        <f t="shared" si="121"/>
        <v/>
      </c>
      <c r="L1989" s="32" t="str">
        <f t="shared" si="122"/>
        <v/>
      </c>
      <c r="M1989" s="32" t="str">
        <f t="shared" si="123"/>
        <v/>
      </c>
      <c r="N1989" s="4">
        <v>1</v>
      </c>
      <c r="O1989" s="58">
        <v>0</v>
      </c>
      <c r="P1989" s="58">
        <v>0</v>
      </c>
      <c r="Q1989" s="58">
        <v>0</v>
      </c>
      <c r="R1989" s="58">
        <v>0</v>
      </c>
      <c r="S1989" s="58">
        <v>0</v>
      </c>
      <c r="T1989" s="58">
        <v>0</v>
      </c>
      <c r="U1989" s="58">
        <v>0</v>
      </c>
      <c r="V1989" s="58">
        <v>0</v>
      </c>
      <c r="AG1989" t="s">
        <v>1707</v>
      </c>
      <c r="AM1989" s="1" t="str">
        <f t="shared" si="120"/>
        <v>1987_C0013_1841.jpg</v>
      </c>
    </row>
    <row r="1990" spans="1:39" x14ac:dyDescent="0.35">
      <c r="A1990">
        <v>1986</v>
      </c>
      <c r="B1990">
        <v>1987</v>
      </c>
      <c r="F1990" s="64" t="s">
        <v>5026</v>
      </c>
      <c r="G1990" s="64"/>
      <c r="H1990" s="64"/>
      <c r="I1990" s="64">
        <v>1</v>
      </c>
      <c r="J1990" s="32" t="str">
        <f>IF(AND(E1990=1,OR(E1989=0,E1989="")),MAX(#REF!)+1,IF(AND(E1990=1,E1989=1),J1989,""))</f>
        <v/>
      </c>
      <c r="K1990" s="32" t="str">
        <f t="shared" si="121"/>
        <v/>
      </c>
      <c r="L1990" s="32" t="str">
        <f t="shared" si="122"/>
        <v/>
      </c>
      <c r="M1990" s="32" t="str">
        <f t="shared" si="123"/>
        <v/>
      </c>
      <c r="N1990" s="4">
        <v>1</v>
      </c>
      <c r="O1990" s="58">
        <v>0</v>
      </c>
      <c r="P1990" s="58">
        <v>0</v>
      </c>
      <c r="Q1990" s="58">
        <v>0</v>
      </c>
      <c r="R1990" s="58">
        <v>0</v>
      </c>
      <c r="S1990" s="58">
        <v>0</v>
      </c>
      <c r="T1990" s="58">
        <v>0</v>
      </c>
      <c r="U1990" s="58">
        <v>0</v>
      </c>
      <c r="V1990" s="58">
        <v>0</v>
      </c>
      <c r="AG1990" t="s">
        <v>1708</v>
      </c>
      <c r="AM1990" s="1" t="str">
        <f t="shared" si="120"/>
        <v>1988_C0013_1838.jpg</v>
      </c>
    </row>
    <row r="1991" spans="1:39" x14ac:dyDescent="0.35">
      <c r="A1991">
        <v>1987</v>
      </c>
      <c r="B1991">
        <v>1988</v>
      </c>
      <c r="F1991" s="64" t="s">
        <v>5027</v>
      </c>
      <c r="G1991" s="64"/>
      <c r="H1991" s="64"/>
      <c r="I1991" s="64">
        <v>1</v>
      </c>
      <c r="J1991" s="32" t="str">
        <f>IF(AND(E1991=1,OR(E1990=0,E1990="")),MAX(#REF!)+1,IF(AND(E1991=1,E1990=1),J1990,""))</f>
        <v/>
      </c>
      <c r="K1991" s="32" t="str">
        <f t="shared" si="121"/>
        <v/>
      </c>
      <c r="L1991" s="32" t="str">
        <f t="shared" si="122"/>
        <v/>
      </c>
      <c r="M1991" s="32" t="str">
        <f t="shared" si="123"/>
        <v/>
      </c>
      <c r="N1991" s="4">
        <v>1</v>
      </c>
      <c r="O1991" s="58">
        <v>0</v>
      </c>
      <c r="P1991" s="58">
        <v>0</v>
      </c>
      <c r="Q1991" s="58">
        <v>0</v>
      </c>
      <c r="R1991" s="58">
        <v>0</v>
      </c>
      <c r="S1991" s="58">
        <v>0</v>
      </c>
      <c r="T1991" s="58">
        <v>0</v>
      </c>
      <c r="U1991" s="58">
        <v>0</v>
      </c>
      <c r="V1991" s="58">
        <v>0</v>
      </c>
      <c r="AG1991" t="s">
        <v>1709</v>
      </c>
      <c r="AM1991" s="1" t="str">
        <f t="shared" si="120"/>
        <v>1989_C0013_1834.jpg</v>
      </c>
    </row>
    <row r="1992" spans="1:39" x14ac:dyDescent="0.35">
      <c r="A1992">
        <v>1988</v>
      </c>
      <c r="B1992">
        <v>1989</v>
      </c>
      <c r="F1992" s="64" t="s">
        <v>5028</v>
      </c>
      <c r="G1992" s="64"/>
      <c r="H1992" s="64"/>
      <c r="I1992" s="64">
        <v>1</v>
      </c>
      <c r="J1992" s="32" t="str">
        <f>IF(AND(E1992=1,OR(E1991=0,E1991="")),MAX(#REF!)+1,IF(AND(E1992=1,E1991=1),J1991,""))</f>
        <v/>
      </c>
      <c r="K1992" s="32" t="str">
        <f t="shared" si="121"/>
        <v/>
      </c>
      <c r="L1992" s="32" t="str">
        <f t="shared" si="122"/>
        <v/>
      </c>
      <c r="M1992" s="32" t="str">
        <f t="shared" si="123"/>
        <v/>
      </c>
      <c r="N1992" s="4">
        <v>1</v>
      </c>
      <c r="O1992" s="58">
        <v>0</v>
      </c>
      <c r="P1992" s="58">
        <v>0</v>
      </c>
      <c r="Q1992" s="58">
        <v>0</v>
      </c>
      <c r="R1992" s="58">
        <v>0</v>
      </c>
      <c r="S1992" s="58">
        <v>0</v>
      </c>
      <c r="T1992" s="58">
        <v>0</v>
      </c>
      <c r="U1992" s="58">
        <v>0</v>
      </c>
      <c r="V1992" s="58">
        <v>0</v>
      </c>
      <c r="AG1992" t="s">
        <v>1710</v>
      </c>
      <c r="AM1992" s="1" t="str">
        <f t="shared" si="120"/>
        <v>1990_C0013_1832.jpg</v>
      </c>
    </row>
    <row r="1993" spans="1:39" x14ac:dyDescent="0.35">
      <c r="A1993">
        <v>1989</v>
      </c>
      <c r="B1993">
        <v>1990</v>
      </c>
      <c r="F1993" s="64" t="s">
        <v>5029</v>
      </c>
      <c r="G1993" s="64"/>
      <c r="H1993" s="64"/>
      <c r="I1993" s="64">
        <v>1</v>
      </c>
      <c r="J1993" s="32" t="str">
        <f>IF(AND(E1993=1,OR(E1992=0,E1992="")),MAX(#REF!)+1,IF(AND(E1993=1,E1992=1),J1992,""))</f>
        <v/>
      </c>
      <c r="K1993" s="32" t="str">
        <f t="shared" si="121"/>
        <v/>
      </c>
      <c r="L1993" s="32" t="str">
        <f t="shared" si="122"/>
        <v/>
      </c>
      <c r="M1993" s="32" t="str">
        <f t="shared" si="123"/>
        <v/>
      </c>
      <c r="N1993" s="4">
        <v>1</v>
      </c>
      <c r="O1993" s="58">
        <v>0</v>
      </c>
      <c r="P1993" s="58">
        <v>0</v>
      </c>
      <c r="Q1993" s="58">
        <v>0</v>
      </c>
      <c r="R1993" s="58">
        <v>0</v>
      </c>
      <c r="S1993" s="58">
        <v>0</v>
      </c>
      <c r="T1993" s="58">
        <v>0</v>
      </c>
      <c r="U1993" s="58">
        <v>0</v>
      </c>
      <c r="V1993" s="58">
        <v>0</v>
      </c>
      <c r="AG1993" t="s">
        <v>1711</v>
      </c>
      <c r="AM1993" s="1" t="str">
        <f t="shared" si="120"/>
        <v>1991_C0013_1828.jpg</v>
      </c>
    </row>
    <row r="1994" spans="1:39" x14ac:dyDescent="0.35">
      <c r="A1994">
        <v>1990</v>
      </c>
      <c r="B1994">
        <v>1991</v>
      </c>
      <c r="F1994" s="64" t="s">
        <v>5030</v>
      </c>
      <c r="G1994" s="64"/>
      <c r="H1994" s="64"/>
      <c r="I1994" s="64">
        <v>1</v>
      </c>
      <c r="J1994" s="32" t="str">
        <f>IF(AND(E1994=1,OR(E1993=0,E1993="")),MAX(#REF!)+1,IF(AND(E1994=1,E1993=1),J1993,""))</f>
        <v/>
      </c>
      <c r="K1994" s="32" t="str">
        <f t="shared" si="121"/>
        <v/>
      </c>
      <c r="L1994" s="32" t="str">
        <f t="shared" si="122"/>
        <v/>
      </c>
      <c r="M1994" s="32" t="str">
        <f t="shared" si="123"/>
        <v/>
      </c>
      <c r="N1994" s="4">
        <v>1</v>
      </c>
      <c r="O1994" s="58">
        <v>0</v>
      </c>
      <c r="P1994" s="58">
        <v>0</v>
      </c>
      <c r="Q1994" s="58">
        <v>0</v>
      </c>
      <c r="R1994" s="58">
        <v>0</v>
      </c>
      <c r="S1994" s="58">
        <v>0</v>
      </c>
      <c r="T1994" s="58">
        <v>0</v>
      </c>
      <c r="U1994" s="58">
        <v>0</v>
      </c>
      <c r="V1994" s="58">
        <v>0</v>
      </c>
      <c r="AG1994" t="s">
        <v>1712</v>
      </c>
      <c r="AM1994" s="1" t="str">
        <f t="shared" si="120"/>
        <v>1992_C0013_1824.jpg</v>
      </c>
    </row>
    <row r="1995" spans="1:39" x14ac:dyDescent="0.35">
      <c r="A1995">
        <v>1991</v>
      </c>
      <c r="B1995">
        <v>1992</v>
      </c>
      <c r="F1995" s="64" t="s">
        <v>5031</v>
      </c>
      <c r="G1995" s="64"/>
      <c r="H1995" s="64"/>
      <c r="I1995" s="64">
        <v>1</v>
      </c>
      <c r="J1995" s="32" t="str">
        <f>IF(AND(E1995=1,OR(E1994=0,E1994="")),MAX(#REF!)+1,IF(AND(E1995=1,E1994=1),J1994,""))</f>
        <v/>
      </c>
      <c r="K1995" s="32" t="str">
        <f t="shared" si="121"/>
        <v/>
      </c>
      <c r="L1995" s="32" t="str">
        <f t="shared" si="122"/>
        <v/>
      </c>
      <c r="M1995" s="32" t="str">
        <f t="shared" si="123"/>
        <v/>
      </c>
      <c r="N1995" s="4">
        <v>1</v>
      </c>
      <c r="O1995" s="58">
        <v>0</v>
      </c>
      <c r="P1995" s="58">
        <v>0</v>
      </c>
      <c r="Q1995" s="58">
        <v>0</v>
      </c>
      <c r="R1995" s="58">
        <v>0</v>
      </c>
      <c r="S1995" s="58">
        <v>0</v>
      </c>
      <c r="T1995" s="58">
        <v>0</v>
      </c>
      <c r="U1995" s="58">
        <v>0</v>
      </c>
      <c r="V1995" s="58">
        <v>0</v>
      </c>
      <c r="AG1995" t="s">
        <v>1713</v>
      </c>
      <c r="AM1995" s="1" t="str">
        <f t="shared" ref="AM1995:AM2058" si="124">HYPERLINK("E:\CAFNEC_GBRF\2023\JohnstoneRiver\Frames_for_Analysis\" &amp; F1996, F1996)</f>
        <v>1993_C0013_1822.jpg</v>
      </c>
    </row>
    <row r="1996" spans="1:39" x14ac:dyDescent="0.35">
      <c r="A1996">
        <v>1992</v>
      </c>
      <c r="B1996">
        <v>1993</v>
      </c>
      <c r="F1996" s="64" t="s">
        <v>5032</v>
      </c>
      <c r="G1996" s="64"/>
      <c r="H1996" s="64"/>
      <c r="I1996" s="64">
        <v>1</v>
      </c>
      <c r="J1996" s="32" t="str">
        <f>IF(AND(E1996=1,OR(E1995=0,E1995="")),MAX(#REF!)+1,IF(AND(E1996=1,E1995=1),J1995,""))</f>
        <v/>
      </c>
      <c r="K1996" s="32" t="str">
        <f t="shared" si="121"/>
        <v/>
      </c>
      <c r="L1996" s="32" t="str">
        <f t="shared" si="122"/>
        <v/>
      </c>
      <c r="M1996" s="32" t="str">
        <f t="shared" si="123"/>
        <v/>
      </c>
      <c r="N1996" s="4">
        <v>1</v>
      </c>
      <c r="O1996" s="58">
        <v>0</v>
      </c>
      <c r="P1996" s="58">
        <v>0</v>
      </c>
      <c r="Q1996" s="58">
        <v>0</v>
      </c>
      <c r="R1996" s="58">
        <v>0</v>
      </c>
      <c r="S1996" s="58">
        <v>0</v>
      </c>
      <c r="T1996" s="58">
        <v>0</v>
      </c>
      <c r="U1996" s="58">
        <v>0</v>
      </c>
      <c r="V1996" s="58">
        <v>0</v>
      </c>
      <c r="AG1996" t="s">
        <v>1714</v>
      </c>
      <c r="AM1996" s="1" t="str">
        <f t="shared" si="124"/>
        <v>1994_C0013_1818.jpg</v>
      </c>
    </row>
    <row r="1997" spans="1:39" x14ac:dyDescent="0.35">
      <c r="A1997">
        <v>1993</v>
      </c>
      <c r="B1997">
        <v>1994</v>
      </c>
      <c r="F1997" s="64" t="s">
        <v>5033</v>
      </c>
      <c r="G1997" s="64"/>
      <c r="H1997" s="64"/>
      <c r="I1997" s="64">
        <v>1</v>
      </c>
      <c r="J1997" s="32" t="str">
        <f>IF(AND(E1997=1,OR(E1996=0,E1996="")),MAX(#REF!)+1,IF(AND(E1997=1,E1996=1),J1996,""))</f>
        <v/>
      </c>
      <c r="K1997" s="32" t="str">
        <f t="shared" si="121"/>
        <v/>
      </c>
      <c r="L1997" s="32" t="str">
        <f t="shared" si="122"/>
        <v/>
      </c>
      <c r="M1997" s="32" t="str">
        <f t="shared" si="123"/>
        <v/>
      </c>
      <c r="N1997" s="4">
        <v>1</v>
      </c>
      <c r="O1997" s="58">
        <v>0</v>
      </c>
      <c r="P1997" s="58">
        <v>0</v>
      </c>
      <c r="Q1997" s="58">
        <v>1</v>
      </c>
      <c r="R1997" s="58">
        <v>0</v>
      </c>
      <c r="S1997" s="58">
        <v>0</v>
      </c>
      <c r="T1997" s="58">
        <v>0</v>
      </c>
      <c r="U1997" s="58">
        <v>0</v>
      </c>
      <c r="V1997" s="58">
        <v>0</v>
      </c>
      <c r="AG1997" t="s">
        <v>1715</v>
      </c>
      <c r="AM1997" s="1" t="str">
        <f t="shared" si="124"/>
        <v>1995_C0013_1815.jpg</v>
      </c>
    </row>
    <row r="1998" spans="1:39" x14ac:dyDescent="0.35">
      <c r="A1998">
        <v>1994</v>
      </c>
      <c r="B1998">
        <v>1995</v>
      </c>
      <c r="F1998" s="64" t="s">
        <v>5034</v>
      </c>
      <c r="G1998" s="64"/>
      <c r="H1998" s="64"/>
      <c r="I1998" s="64">
        <v>1</v>
      </c>
      <c r="J1998" s="32" t="str">
        <f>IF(AND(E1998=1,OR(E1997=0,E1997="")),MAX(#REF!)+1,IF(AND(E1998=1,E1997=1),J1997,""))</f>
        <v/>
      </c>
      <c r="K1998" s="32" t="str">
        <f t="shared" si="121"/>
        <v/>
      </c>
      <c r="L1998" s="32" t="str">
        <f t="shared" si="122"/>
        <v/>
      </c>
      <c r="M1998" s="32" t="str">
        <f t="shared" si="123"/>
        <v/>
      </c>
      <c r="N1998" s="4">
        <v>1</v>
      </c>
      <c r="O1998" s="58">
        <v>0</v>
      </c>
      <c r="P1998" s="58">
        <v>0</v>
      </c>
      <c r="Q1998" s="58">
        <v>0</v>
      </c>
      <c r="R1998" s="58">
        <v>0</v>
      </c>
      <c r="S1998" s="58">
        <v>0</v>
      </c>
      <c r="T1998" s="58">
        <v>0</v>
      </c>
      <c r="U1998" s="58">
        <v>0</v>
      </c>
      <c r="V1998" s="58">
        <v>0</v>
      </c>
      <c r="AG1998" t="s">
        <v>1716</v>
      </c>
      <c r="AM1998" s="1" t="str">
        <f t="shared" si="124"/>
        <v>1996_C0013_1812.jpg</v>
      </c>
    </row>
    <row r="1999" spans="1:39" x14ac:dyDescent="0.35">
      <c r="A1999">
        <v>1995</v>
      </c>
      <c r="B1999">
        <v>1996</v>
      </c>
      <c r="F1999" s="64" t="s">
        <v>5035</v>
      </c>
      <c r="G1999" s="64"/>
      <c r="H1999" s="64"/>
      <c r="I1999" s="64">
        <v>1</v>
      </c>
      <c r="J1999" s="32" t="str">
        <f>IF(AND(E1999=1,OR(E1998=0,E1998="")),MAX(#REF!)+1,IF(AND(E1999=1,E1998=1),J1998,""))</f>
        <v/>
      </c>
      <c r="K1999" s="32" t="str">
        <f t="shared" si="121"/>
        <v/>
      </c>
      <c r="L1999" s="32" t="str">
        <f t="shared" si="122"/>
        <v/>
      </c>
      <c r="M1999" s="32" t="str">
        <f t="shared" si="123"/>
        <v/>
      </c>
      <c r="N1999" s="4">
        <v>1</v>
      </c>
      <c r="O1999" s="58">
        <v>0</v>
      </c>
      <c r="P1999" s="58">
        <v>0</v>
      </c>
      <c r="Q1999" s="58">
        <v>0</v>
      </c>
      <c r="R1999" s="58">
        <v>0</v>
      </c>
      <c r="S1999" s="58">
        <v>0</v>
      </c>
      <c r="T1999" s="58">
        <v>0</v>
      </c>
      <c r="U1999" s="58">
        <v>0</v>
      </c>
      <c r="V1999" s="58">
        <v>0</v>
      </c>
      <c r="AG1999" t="s">
        <v>1717</v>
      </c>
      <c r="AM1999" s="1" t="str">
        <f t="shared" si="124"/>
        <v>1997_C0013_1809.jpg</v>
      </c>
    </row>
    <row r="2000" spans="1:39" x14ac:dyDescent="0.35">
      <c r="A2000">
        <v>1996</v>
      </c>
      <c r="B2000">
        <v>1997</v>
      </c>
      <c r="F2000" s="64" t="s">
        <v>5036</v>
      </c>
      <c r="G2000" s="64"/>
      <c r="H2000" s="64"/>
      <c r="I2000" s="64">
        <v>1</v>
      </c>
      <c r="J2000" s="32" t="str">
        <f>IF(AND(E2000=1,OR(E1999=0,E1999="")),MAX(#REF!)+1,IF(AND(E2000=1,E1999=1),J1999,""))</f>
        <v/>
      </c>
      <c r="K2000" s="32" t="str">
        <f t="shared" si="121"/>
        <v/>
      </c>
      <c r="L2000" s="32" t="str">
        <f t="shared" si="122"/>
        <v/>
      </c>
      <c r="M2000" s="32" t="str">
        <f t="shared" si="123"/>
        <v/>
      </c>
      <c r="N2000" s="4">
        <v>1</v>
      </c>
      <c r="O2000" s="58">
        <v>0</v>
      </c>
      <c r="P2000" s="58">
        <v>0</v>
      </c>
      <c r="Q2000" s="58">
        <v>0</v>
      </c>
      <c r="R2000" s="58">
        <v>0</v>
      </c>
      <c r="S2000" s="58">
        <v>0</v>
      </c>
      <c r="T2000" s="58">
        <v>0</v>
      </c>
      <c r="U2000" s="58">
        <v>0</v>
      </c>
      <c r="V2000" s="58">
        <v>0</v>
      </c>
      <c r="AG2000" t="s">
        <v>1718</v>
      </c>
      <c r="AM2000" s="1" t="str">
        <f t="shared" si="124"/>
        <v>1998_C0013_1805.jpg</v>
      </c>
    </row>
    <row r="2001" spans="1:39" x14ac:dyDescent="0.35">
      <c r="A2001">
        <v>1997</v>
      </c>
      <c r="B2001">
        <v>1998</v>
      </c>
      <c r="F2001" s="64" t="s">
        <v>5037</v>
      </c>
      <c r="G2001" s="64"/>
      <c r="H2001" s="64"/>
      <c r="I2001" s="64">
        <v>1</v>
      </c>
      <c r="J2001" s="32">
        <v>135</v>
      </c>
      <c r="K2001" s="32">
        <f t="shared" si="121"/>
        <v>10</v>
      </c>
      <c r="L2001" s="32" t="str">
        <f t="shared" si="122"/>
        <v/>
      </c>
      <c r="M2001" s="32">
        <f t="shared" si="123"/>
        <v>100</v>
      </c>
      <c r="N2001" s="4">
        <v>1</v>
      </c>
      <c r="O2001" s="58">
        <v>0</v>
      </c>
      <c r="P2001" s="58">
        <v>0</v>
      </c>
      <c r="Q2001" s="58">
        <v>0</v>
      </c>
      <c r="R2001" s="58">
        <v>0</v>
      </c>
      <c r="S2001" s="58">
        <v>0</v>
      </c>
      <c r="T2001" s="58">
        <v>0</v>
      </c>
      <c r="U2001" s="58">
        <v>0</v>
      </c>
      <c r="V2001" s="58">
        <v>0</v>
      </c>
      <c r="AG2001" t="s">
        <v>1719</v>
      </c>
      <c r="AM2001" s="1" t="str">
        <f t="shared" si="124"/>
        <v>1999_C0013_1802.jpg</v>
      </c>
    </row>
    <row r="2002" spans="1:39" x14ac:dyDescent="0.35">
      <c r="A2002">
        <v>1998</v>
      </c>
      <c r="B2002">
        <v>1999</v>
      </c>
      <c r="F2002" s="64" t="s">
        <v>5038</v>
      </c>
      <c r="G2002" s="64"/>
      <c r="H2002" s="64"/>
      <c r="I2002" s="64">
        <v>1</v>
      </c>
      <c r="J2002" s="32" t="str">
        <f>IF(AND(E2002=1,OR(E2001=0,E2001="")),MAX(#REF!)+1,IF(AND(E2002=1,E2001=1),J2001,""))</f>
        <v/>
      </c>
      <c r="K2002" s="32" t="str">
        <f t="shared" si="121"/>
        <v/>
      </c>
      <c r="L2002" s="32" t="str">
        <f t="shared" si="122"/>
        <v/>
      </c>
      <c r="M2002" s="32" t="str">
        <f t="shared" si="123"/>
        <v/>
      </c>
      <c r="N2002" s="4">
        <v>1</v>
      </c>
      <c r="O2002" s="58">
        <v>0</v>
      </c>
      <c r="P2002" s="58">
        <v>0</v>
      </c>
      <c r="Q2002" s="58">
        <v>0</v>
      </c>
      <c r="R2002" s="58">
        <v>0</v>
      </c>
      <c r="S2002" s="58">
        <v>0</v>
      </c>
      <c r="T2002" s="58">
        <v>0</v>
      </c>
      <c r="U2002" s="58">
        <v>0</v>
      </c>
      <c r="V2002" s="58">
        <v>0</v>
      </c>
      <c r="AG2002" t="s">
        <v>1720</v>
      </c>
      <c r="AM2002" s="1" t="str">
        <f t="shared" si="124"/>
        <v>2000_C0013_1798.jpg</v>
      </c>
    </row>
    <row r="2003" spans="1:39" x14ac:dyDescent="0.35">
      <c r="A2003">
        <v>1999</v>
      </c>
      <c r="B2003">
        <v>2000</v>
      </c>
      <c r="F2003" s="64" t="s">
        <v>5039</v>
      </c>
      <c r="G2003" s="64"/>
      <c r="H2003" s="64"/>
      <c r="I2003" s="64">
        <v>1</v>
      </c>
      <c r="J2003" s="32" t="str">
        <f>IF(AND(E2003=1,OR(E2002=0,E2002="")),MAX(#REF!)+1,IF(AND(E2003=1,E2002=1),J2002,""))</f>
        <v/>
      </c>
      <c r="K2003" s="32" t="str">
        <f t="shared" si="121"/>
        <v/>
      </c>
      <c r="L2003" s="32" t="str">
        <f t="shared" si="122"/>
        <v/>
      </c>
      <c r="M2003" s="32" t="str">
        <f t="shared" si="123"/>
        <v/>
      </c>
      <c r="N2003" s="4">
        <v>1</v>
      </c>
      <c r="O2003" s="58">
        <v>0</v>
      </c>
      <c r="P2003" s="58">
        <v>0</v>
      </c>
      <c r="Q2003" s="58">
        <v>0</v>
      </c>
      <c r="R2003" s="58">
        <v>0</v>
      </c>
      <c r="S2003" s="58">
        <v>0</v>
      </c>
      <c r="T2003" s="58">
        <v>0</v>
      </c>
      <c r="U2003" s="58">
        <v>0</v>
      </c>
      <c r="V2003" s="58">
        <v>0</v>
      </c>
      <c r="AG2003" t="s">
        <v>1721</v>
      </c>
      <c r="AM2003" s="1" t="str">
        <f t="shared" si="124"/>
        <v>2001_C0013_1796.jpg</v>
      </c>
    </row>
    <row r="2004" spans="1:39" x14ac:dyDescent="0.35">
      <c r="A2004">
        <v>2000</v>
      </c>
      <c r="B2004">
        <v>2001</v>
      </c>
      <c r="F2004" s="64" t="s">
        <v>5040</v>
      </c>
      <c r="G2004" s="64"/>
      <c r="H2004" s="64"/>
      <c r="I2004" s="64">
        <v>1</v>
      </c>
      <c r="J2004" s="32" t="str">
        <f>IF(AND(E2004=1,OR(E2003=0,E2003="")),MAX(#REF!)+1,IF(AND(E2004=1,E2003=1),J2003,""))</f>
        <v/>
      </c>
      <c r="K2004" s="32" t="str">
        <f t="shared" si="121"/>
        <v/>
      </c>
      <c r="L2004" s="32" t="str">
        <f t="shared" si="122"/>
        <v/>
      </c>
      <c r="M2004" s="32" t="str">
        <f t="shared" si="123"/>
        <v/>
      </c>
      <c r="N2004" s="4">
        <v>1</v>
      </c>
      <c r="O2004" s="58">
        <v>0</v>
      </c>
      <c r="P2004" s="58">
        <v>0</v>
      </c>
      <c r="Q2004" s="58">
        <v>0</v>
      </c>
      <c r="R2004" s="58">
        <v>0</v>
      </c>
      <c r="S2004" s="58">
        <v>0</v>
      </c>
      <c r="T2004" s="58">
        <v>0</v>
      </c>
      <c r="U2004" s="58">
        <v>0</v>
      </c>
      <c r="V2004" s="58">
        <v>0</v>
      </c>
      <c r="AG2004" t="s">
        <v>1722</v>
      </c>
      <c r="AM2004" s="1" t="str">
        <f t="shared" si="124"/>
        <v>2002_C0013_1793.jpg</v>
      </c>
    </row>
    <row r="2005" spans="1:39" x14ac:dyDescent="0.35">
      <c r="A2005">
        <v>2001</v>
      </c>
      <c r="B2005">
        <v>2002</v>
      </c>
      <c r="F2005" s="64" t="s">
        <v>5041</v>
      </c>
      <c r="G2005" s="64"/>
      <c r="H2005" s="64"/>
      <c r="I2005" s="64">
        <v>1</v>
      </c>
      <c r="J2005" s="32" t="str">
        <f>IF(AND(E2005=1,OR(E2004=0,E2004="")),MAX(#REF!)+1,IF(AND(E2005=1,E2004=1),J2004,""))</f>
        <v/>
      </c>
      <c r="K2005" s="32" t="str">
        <f t="shared" si="121"/>
        <v/>
      </c>
      <c r="L2005" s="32" t="str">
        <f t="shared" si="122"/>
        <v/>
      </c>
      <c r="M2005" s="32" t="str">
        <f t="shared" si="123"/>
        <v/>
      </c>
      <c r="N2005" s="4">
        <v>1</v>
      </c>
      <c r="O2005" s="58">
        <v>0</v>
      </c>
      <c r="P2005" s="58">
        <v>0</v>
      </c>
      <c r="Q2005" s="58">
        <v>0</v>
      </c>
      <c r="R2005" s="58">
        <v>0</v>
      </c>
      <c r="S2005" s="58">
        <v>0</v>
      </c>
      <c r="T2005" s="58">
        <v>0</v>
      </c>
      <c r="U2005" s="58">
        <v>0</v>
      </c>
      <c r="V2005" s="58">
        <v>0</v>
      </c>
      <c r="AG2005" t="s">
        <v>1723</v>
      </c>
      <c r="AM2005" s="1" t="str">
        <f t="shared" si="124"/>
        <v>2003_C0013_1789.jpg</v>
      </c>
    </row>
    <row r="2006" spans="1:39" x14ac:dyDescent="0.35">
      <c r="A2006">
        <v>2002</v>
      </c>
      <c r="B2006">
        <v>2003</v>
      </c>
      <c r="F2006" s="64" t="s">
        <v>5042</v>
      </c>
      <c r="G2006" s="64"/>
      <c r="H2006" s="64"/>
      <c r="I2006" s="64">
        <v>0</v>
      </c>
      <c r="J2006" s="32" t="str">
        <f>IF(AND(E2006=1,OR(E2005=0,E2005="")),MAX(#REF!)+1,IF(AND(E2006=1,E2005=1),J2005,""))</f>
        <v/>
      </c>
      <c r="K2006" s="32" t="str">
        <f t="shared" si="121"/>
        <v/>
      </c>
      <c r="L2006" s="32" t="str">
        <f t="shared" si="122"/>
        <v/>
      </c>
      <c r="M2006" s="32" t="str">
        <f t="shared" si="123"/>
        <v/>
      </c>
      <c r="N2006" s="4">
        <v>1</v>
      </c>
      <c r="O2006" s="58">
        <v>0</v>
      </c>
      <c r="P2006" s="58">
        <v>0</v>
      </c>
      <c r="Q2006" s="58">
        <v>0</v>
      </c>
      <c r="R2006" s="58">
        <v>0</v>
      </c>
      <c r="S2006" s="58">
        <v>0</v>
      </c>
      <c r="T2006" s="58">
        <v>0</v>
      </c>
      <c r="U2006" s="58">
        <v>0</v>
      </c>
      <c r="V2006" s="58">
        <v>0</v>
      </c>
      <c r="AG2006" t="s">
        <v>1724</v>
      </c>
      <c r="AM2006" s="1" t="str">
        <f t="shared" si="124"/>
        <v>2004_C0013_1787.jpg</v>
      </c>
    </row>
    <row r="2007" spans="1:39" x14ac:dyDescent="0.35">
      <c r="A2007">
        <v>2003</v>
      </c>
      <c r="B2007">
        <v>2004</v>
      </c>
      <c r="F2007" s="64" t="s">
        <v>5043</v>
      </c>
      <c r="G2007" s="64"/>
      <c r="H2007" s="64"/>
      <c r="I2007" s="64">
        <v>1</v>
      </c>
      <c r="J2007" s="32" t="str">
        <f>IF(AND(E2007=1,OR(E2006=0,E2006="")),MAX(#REF!)+1,IF(AND(E2007=1,E2006=1),J2006,""))</f>
        <v/>
      </c>
      <c r="K2007" s="32" t="str">
        <f t="shared" si="121"/>
        <v/>
      </c>
      <c r="L2007" s="32" t="str">
        <f t="shared" si="122"/>
        <v/>
      </c>
      <c r="M2007" s="32" t="str">
        <f t="shared" si="123"/>
        <v/>
      </c>
      <c r="N2007" s="4">
        <v>1</v>
      </c>
      <c r="O2007" s="58">
        <v>0</v>
      </c>
      <c r="P2007" s="58">
        <v>0</v>
      </c>
      <c r="Q2007" s="58">
        <v>0</v>
      </c>
      <c r="R2007" s="58">
        <v>0</v>
      </c>
      <c r="S2007" s="58">
        <v>0</v>
      </c>
      <c r="T2007" s="58">
        <v>0</v>
      </c>
      <c r="U2007" s="58">
        <v>0</v>
      </c>
      <c r="V2007" s="58">
        <v>0</v>
      </c>
      <c r="AG2007" t="s">
        <v>1725</v>
      </c>
      <c r="AM2007" s="1" t="str">
        <f t="shared" si="124"/>
        <v>2005_C0013_1784.jpg</v>
      </c>
    </row>
    <row r="2008" spans="1:39" x14ac:dyDescent="0.35">
      <c r="A2008">
        <v>2004</v>
      </c>
      <c r="B2008">
        <v>2005</v>
      </c>
      <c r="F2008" s="64" t="s">
        <v>5044</v>
      </c>
      <c r="G2008" s="64"/>
      <c r="H2008" s="64"/>
      <c r="I2008" s="64">
        <v>0</v>
      </c>
      <c r="J2008" s="32" t="str">
        <f>IF(AND(E2008=1,OR(E2007=0,E2007="")),MAX(#REF!)+1,IF(AND(E2008=1,E2007=1),J2007,""))</f>
        <v/>
      </c>
      <c r="K2008" s="32" t="str">
        <f t="shared" si="121"/>
        <v/>
      </c>
      <c r="L2008" s="32" t="str">
        <f t="shared" si="122"/>
        <v/>
      </c>
      <c r="M2008" s="32" t="str">
        <f t="shared" si="123"/>
        <v/>
      </c>
      <c r="N2008" s="4">
        <v>1</v>
      </c>
      <c r="O2008" s="58">
        <v>0</v>
      </c>
      <c r="P2008" s="58">
        <v>0</v>
      </c>
      <c r="Q2008" s="58">
        <v>0</v>
      </c>
      <c r="R2008" s="58">
        <v>0</v>
      </c>
      <c r="S2008" s="58">
        <v>0</v>
      </c>
      <c r="T2008" s="58">
        <v>0</v>
      </c>
      <c r="U2008" s="58">
        <v>0</v>
      </c>
      <c r="V2008" s="58">
        <v>0</v>
      </c>
      <c r="AG2008" t="s">
        <v>1726</v>
      </c>
      <c r="AM2008" s="1" t="str">
        <f t="shared" si="124"/>
        <v>2006_C0013_1782.jpg</v>
      </c>
    </row>
    <row r="2009" spans="1:39" x14ac:dyDescent="0.35">
      <c r="A2009">
        <v>2005</v>
      </c>
      <c r="B2009">
        <v>2006</v>
      </c>
      <c r="F2009" s="64" t="s">
        <v>5045</v>
      </c>
      <c r="G2009" s="64"/>
      <c r="H2009" s="64"/>
      <c r="I2009" s="64">
        <v>1</v>
      </c>
      <c r="J2009" s="32" t="str">
        <f>IF(AND(E2009=1,OR(E2008=0,E2008="")),MAX(#REF!)+1,IF(AND(E2009=1,E2008=1),J2008,""))</f>
        <v/>
      </c>
      <c r="K2009" s="32" t="str">
        <f t="shared" si="121"/>
        <v/>
      </c>
      <c r="L2009" s="32" t="str">
        <f t="shared" si="122"/>
        <v/>
      </c>
      <c r="M2009" s="32" t="str">
        <f t="shared" si="123"/>
        <v/>
      </c>
      <c r="N2009" s="4">
        <v>1</v>
      </c>
      <c r="O2009" s="58">
        <v>0</v>
      </c>
      <c r="P2009" s="58">
        <v>0</v>
      </c>
      <c r="Q2009" s="58">
        <v>0</v>
      </c>
      <c r="R2009" s="58">
        <v>0</v>
      </c>
      <c r="S2009" s="58">
        <v>0</v>
      </c>
      <c r="T2009" s="58">
        <v>0</v>
      </c>
      <c r="U2009" s="58">
        <v>0</v>
      </c>
      <c r="V2009" s="58">
        <v>0</v>
      </c>
      <c r="AG2009" t="s">
        <v>1727</v>
      </c>
      <c r="AM2009" s="1" t="str">
        <f t="shared" si="124"/>
        <v>2007_C0013_1778.jpg</v>
      </c>
    </row>
    <row r="2010" spans="1:39" x14ac:dyDescent="0.35">
      <c r="A2010">
        <v>2006</v>
      </c>
      <c r="B2010">
        <v>2007</v>
      </c>
      <c r="F2010" s="64" t="s">
        <v>5046</v>
      </c>
      <c r="G2010" s="64"/>
      <c r="H2010" s="64"/>
      <c r="I2010" s="64">
        <v>1</v>
      </c>
      <c r="J2010" s="32" t="str">
        <f>IF(AND(E2010=1,OR(E2009=0,E2009="")),MAX(#REF!)+1,IF(AND(E2010=1,E2009=1),J2009,""))</f>
        <v/>
      </c>
      <c r="K2010" s="32" t="str">
        <f t="shared" si="121"/>
        <v/>
      </c>
      <c r="L2010" s="32" t="str">
        <f t="shared" si="122"/>
        <v/>
      </c>
      <c r="M2010" s="32" t="str">
        <f t="shared" si="123"/>
        <v/>
      </c>
      <c r="N2010" s="4">
        <v>1</v>
      </c>
      <c r="O2010" s="58">
        <v>0</v>
      </c>
      <c r="P2010" s="58">
        <v>0</v>
      </c>
      <c r="Q2010" s="58">
        <v>0</v>
      </c>
      <c r="R2010" s="58">
        <v>0</v>
      </c>
      <c r="S2010" s="58">
        <v>0</v>
      </c>
      <c r="T2010" s="58">
        <v>0</v>
      </c>
      <c r="U2010" s="58">
        <v>0</v>
      </c>
      <c r="V2010" s="58">
        <v>0</v>
      </c>
      <c r="AG2010" t="s">
        <v>1728</v>
      </c>
      <c r="AM2010" s="1" t="str">
        <f t="shared" si="124"/>
        <v>2008_C0013_1774.jpg</v>
      </c>
    </row>
    <row r="2011" spans="1:39" x14ac:dyDescent="0.35">
      <c r="A2011">
        <v>2007</v>
      </c>
      <c r="B2011">
        <v>2008</v>
      </c>
      <c r="F2011" s="64" t="s">
        <v>5047</v>
      </c>
      <c r="G2011" s="64"/>
      <c r="H2011" s="64"/>
      <c r="I2011" s="64">
        <v>1</v>
      </c>
      <c r="J2011" s="32" t="str">
        <f>IF(AND(E2011=1,OR(E2010=0,E2010="")),MAX(#REF!)+1,IF(AND(E2011=1,E2010=1),J2010,""))</f>
        <v/>
      </c>
      <c r="K2011" s="32" t="str">
        <f t="shared" si="121"/>
        <v/>
      </c>
      <c r="L2011" s="32" t="str">
        <f t="shared" si="122"/>
        <v/>
      </c>
      <c r="M2011" s="32" t="str">
        <f t="shared" si="123"/>
        <v/>
      </c>
      <c r="N2011" s="4">
        <v>1</v>
      </c>
      <c r="O2011" s="58">
        <v>0</v>
      </c>
      <c r="P2011" s="58">
        <v>0</v>
      </c>
      <c r="Q2011" s="58">
        <v>0</v>
      </c>
      <c r="R2011" s="58">
        <v>0</v>
      </c>
      <c r="S2011" s="58">
        <v>0</v>
      </c>
      <c r="T2011" s="58">
        <v>0</v>
      </c>
      <c r="U2011" s="58">
        <v>0</v>
      </c>
      <c r="V2011" s="58">
        <v>0</v>
      </c>
      <c r="AG2011" t="s">
        <v>1729</v>
      </c>
      <c r="AM2011" s="1" t="str">
        <f t="shared" si="124"/>
        <v>2009_C0013_1772.jpg</v>
      </c>
    </row>
    <row r="2012" spans="1:39" x14ac:dyDescent="0.35">
      <c r="A2012">
        <v>2008</v>
      </c>
      <c r="B2012">
        <v>2009</v>
      </c>
      <c r="F2012" s="64" t="s">
        <v>5048</v>
      </c>
      <c r="G2012" s="64"/>
      <c r="H2012" s="64"/>
      <c r="I2012" s="64">
        <v>1</v>
      </c>
      <c r="J2012" s="32" t="str">
        <f>IF(AND(E2012=1,OR(E2011=0,E2011="")),MAX(#REF!)+1,IF(AND(E2012=1,E2011=1),J2011,""))</f>
        <v/>
      </c>
      <c r="K2012" s="32" t="str">
        <f t="shared" si="121"/>
        <v/>
      </c>
      <c r="L2012" s="32" t="str">
        <f t="shared" si="122"/>
        <v/>
      </c>
      <c r="M2012" s="32" t="str">
        <f t="shared" si="123"/>
        <v/>
      </c>
      <c r="N2012" s="4">
        <v>1</v>
      </c>
      <c r="O2012" s="58">
        <v>0</v>
      </c>
      <c r="P2012" s="58">
        <v>0</v>
      </c>
      <c r="Q2012" s="58">
        <v>0</v>
      </c>
      <c r="R2012" s="58">
        <v>0</v>
      </c>
      <c r="S2012" s="58">
        <v>0</v>
      </c>
      <c r="T2012" s="58">
        <v>0</v>
      </c>
      <c r="U2012" s="58">
        <v>0</v>
      </c>
      <c r="V2012" s="58">
        <v>0</v>
      </c>
      <c r="AG2012" t="s">
        <v>1730</v>
      </c>
      <c r="AM2012" s="1" t="str">
        <f t="shared" si="124"/>
        <v>2010_C0013_1768.jpg</v>
      </c>
    </row>
    <row r="2013" spans="1:39" x14ac:dyDescent="0.35">
      <c r="A2013">
        <v>2009</v>
      </c>
      <c r="B2013">
        <v>2010</v>
      </c>
      <c r="F2013" s="64" t="s">
        <v>5049</v>
      </c>
      <c r="G2013" s="64"/>
      <c r="H2013" s="64"/>
      <c r="I2013" s="64">
        <v>0</v>
      </c>
      <c r="J2013" s="32" t="str">
        <f>IF(AND(E2013=1,OR(E2012=0,E2012="")),MAX(#REF!)+1,IF(AND(E2013=1,E2012=1),J2012,""))</f>
        <v/>
      </c>
      <c r="K2013" s="32" t="str">
        <f t="shared" si="121"/>
        <v/>
      </c>
      <c r="L2013" s="32" t="str">
        <f t="shared" si="122"/>
        <v/>
      </c>
      <c r="M2013" s="32" t="str">
        <f t="shared" si="123"/>
        <v/>
      </c>
      <c r="N2013" s="4">
        <v>1</v>
      </c>
      <c r="O2013" s="58">
        <v>0</v>
      </c>
      <c r="P2013" s="58">
        <v>0</v>
      </c>
      <c r="Q2013" s="58">
        <v>0</v>
      </c>
      <c r="R2013" s="58">
        <v>0</v>
      </c>
      <c r="S2013" s="58">
        <v>0</v>
      </c>
      <c r="T2013" s="58">
        <v>0</v>
      </c>
      <c r="U2013" s="58">
        <v>0</v>
      </c>
      <c r="V2013" s="58">
        <v>0</v>
      </c>
      <c r="AG2013" t="s">
        <v>1731</v>
      </c>
      <c r="AM2013" s="1" t="str">
        <f t="shared" si="124"/>
        <v>2011_C0013_1766.jpg</v>
      </c>
    </row>
    <row r="2014" spans="1:39" x14ac:dyDescent="0.35">
      <c r="A2014">
        <v>2010</v>
      </c>
      <c r="B2014">
        <v>2011</v>
      </c>
      <c r="F2014" s="64" t="s">
        <v>5050</v>
      </c>
      <c r="G2014" s="64"/>
      <c r="H2014" s="64"/>
      <c r="I2014" s="64">
        <v>0</v>
      </c>
      <c r="J2014" s="32" t="str">
        <f>IF(AND(E2014=1,OR(E2013=0,E2013="")),MAX(#REF!)+1,IF(AND(E2014=1,E2013=1),J2013,""))</f>
        <v/>
      </c>
      <c r="K2014" s="32" t="str">
        <f t="shared" si="121"/>
        <v/>
      </c>
      <c r="L2014" s="32" t="str">
        <f t="shared" si="122"/>
        <v/>
      </c>
      <c r="M2014" s="32" t="str">
        <f t="shared" si="123"/>
        <v/>
      </c>
      <c r="N2014" s="4">
        <v>1</v>
      </c>
      <c r="O2014" s="58">
        <v>0</v>
      </c>
      <c r="P2014" s="58">
        <v>0</v>
      </c>
      <c r="Q2014" s="58">
        <v>0</v>
      </c>
      <c r="R2014" s="58">
        <v>0</v>
      </c>
      <c r="S2014" s="58">
        <v>0</v>
      </c>
      <c r="T2014" s="58">
        <v>0</v>
      </c>
      <c r="U2014" s="58">
        <v>0</v>
      </c>
      <c r="V2014" s="58">
        <v>0</v>
      </c>
      <c r="AG2014" t="s">
        <v>1732</v>
      </c>
      <c r="AM2014" s="1" t="str">
        <f t="shared" si="124"/>
        <v>2012_C0013_1763.jpg</v>
      </c>
    </row>
    <row r="2015" spans="1:39" x14ac:dyDescent="0.35">
      <c r="A2015">
        <v>2011</v>
      </c>
      <c r="B2015">
        <v>2012</v>
      </c>
      <c r="F2015" s="64" t="s">
        <v>5051</v>
      </c>
      <c r="G2015" s="64"/>
      <c r="H2015" s="64"/>
      <c r="I2015" s="64">
        <v>1</v>
      </c>
      <c r="J2015" s="32" t="str">
        <f>IF(AND(E2015=1,OR(E2014=0,E2014="")),MAX(#REF!)+1,IF(AND(E2015=1,E2014=1),J2014,""))</f>
        <v/>
      </c>
      <c r="K2015" s="32" t="str">
        <f t="shared" ref="K2015:K2078" si="125">IF(J2015="","",COUNTIF(J:J,J2015)*10)</f>
        <v/>
      </c>
      <c r="L2015" s="32" t="str">
        <f t="shared" si="122"/>
        <v/>
      </c>
      <c r="M2015" s="32" t="str">
        <f t="shared" si="123"/>
        <v/>
      </c>
      <c r="N2015" s="4">
        <v>1</v>
      </c>
      <c r="O2015" s="58">
        <v>0</v>
      </c>
      <c r="P2015" s="58">
        <v>0</v>
      </c>
      <c r="Q2015" s="58">
        <v>0</v>
      </c>
      <c r="R2015" s="58">
        <v>0</v>
      </c>
      <c r="S2015" s="58">
        <v>0</v>
      </c>
      <c r="T2015" s="58">
        <v>0</v>
      </c>
      <c r="U2015" s="58">
        <v>0</v>
      </c>
      <c r="V2015" s="58">
        <v>0</v>
      </c>
      <c r="AG2015" t="s">
        <v>1733</v>
      </c>
      <c r="AM2015" s="1" t="str">
        <f t="shared" si="124"/>
        <v>2013_C0013_1759.jpg</v>
      </c>
    </row>
    <row r="2016" spans="1:39" x14ac:dyDescent="0.35">
      <c r="A2016">
        <v>2012</v>
      </c>
      <c r="B2016">
        <v>2013</v>
      </c>
      <c r="F2016" s="64" t="s">
        <v>5052</v>
      </c>
      <c r="G2016" s="64"/>
      <c r="H2016" s="64"/>
      <c r="I2016" s="64">
        <v>0</v>
      </c>
      <c r="J2016" s="32" t="str">
        <f>IF(AND(E2016=1,OR(E2015=0,E2015="")),MAX(#REF!)+1,IF(AND(E2016=1,E2015=1),J2015,""))</f>
        <v/>
      </c>
      <c r="K2016" s="32" t="str">
        <f t="shared" si="125"/>
        <v/>
      </c>
      <c r="L2016" s="32" t="str">
        <f t="shared" si="122"/>
        <v/>
      </c>
      <c r="M2016" s="32" t="str">
        <f t="shared" si="123"/>
        <v/>
      </c>
      <c r="N2016" s="4">
        <v>1</v>
      </c>
      <c r="O2016" s="58">
        <v>0</v>
      </c>
      <c r="P2016" s="58">
        <v>0</v>
      </c>
      <c r="Q2016" s="58">
        <v>0</v>
      </c>
      <c r="R2016" s="58">
        <v>0</v>
      </c>
      <c r="S2016" s="58">
        <v>0</v>
      </c>
      <c r="T2016" s="58">
        <v>0</v>
      </c>
      <c r="U2016" s="58">
        <v>0</v>
      </c>
      <c r="V2016" s="58">
        <v>0</v>
      </c>
      <c r="AG2016" t="s">
        <v>1734</v>
      </c>
      <c r="AM2016" s="1" t="str">
        <f t="shared" si="124"/>
        <v>2014_C0013_1756.jpg</v>
      </c>
    </row>
    <row r="2017" spans="1:39" x14ac:dyDescent="0.35">
      <c r="A2017">
        <v>2013</v>
      </c>
      <c r="B2017">
        <v>2014</v>
      </c>
      <c r="F2017" s="64" t="s">
        <v>5053</v>
      </c>
      <c r="G2017" s="64"/>
      <c r="H2017" s="64"/>
      <c r="I2017" s="64">
        <v>1</v>
      </c>
      <c r="J2017" s="32" t="str">
        <f>IF(AND(E2017=1,OR(E2016=0,E2016="")),MAX(#REF!)+1,IF(AND(E2017=1,E2016=1),J2016,""))</f>
        <v/>
      </c>
      <c r="K2017" s="32" t="str">
        <f t="shared" si="125"/>
        <v/>
      </c>
      <c r="L2017" s="32" t="str">
        <f t="shared" si="122"/>
        <v/>
      </c>
      <c r="M2017" s="32" t="str">
        <f t="shared" si="123"/>
        <v/>
      </c>
      <c r="N2017" s="4">
        <v>1</v>
      </c>
      <c r="O2017" s="58">
        <v>0</v>
      </c>
      <c r="P2017" s="58">
        <v>0</v>
      </c>
      <c r="Q2017" s="58">
        <v>0</v>
      </c>
      <c r="R2017" s="58">
        <v>0</v>
      </c>
      <c r="S2017" s="58">
        <v>0</v>
      </c>
      <c r="T2017" s="58">
        <v>0</v>
      </c>
      <c r="U2017" s="58">
        <v>0</v>
      </c>
      <c r="V2017" s="58">
        <v>0</v>
      </c>
      <c r="AG2017" t="s">
        <v>1735</v>
      </c>
      <c r="AM2017" s="1" t="str">
        <f t="shared" si="124"/>
        <v>2015_C0013_1753.jpg</v>
      </c>
    </row>
    <row r="2018" spans="1:39" x14ac:dyDescent="0.35">
      <c r="A2018">
        <v>2014</v>
      </c>
      <c r="B2018">
        <v>2015</v>
      </c>
      <c r="F2018" s="64" t="s">
        <v>5054</v>
      </c>
      <c r="G2018" s="64"/>
      <c r="H2018" s="64"/>
      <c r="I2018" s="64">
        <v>1</v>
      </c>
      <c r="J2018" s="32" t="str">
        <f>IF(AND(E2018=1,OR(E2017=0,E2017="")),MAX(#REF!)+1,IF(AND(E2018=1,E2017=1),J2017,""))</f>
        <v/>
      </c>
      <c r="K2018" s="32" t="str">
        <f t="shared" si="125"/>
        <v/>
      </c>
      <c r="L2018" s="32" t="str">
        <f t="shared" si="122"/>
        <v/>
      </c>
      <c r="M2018" s="32" t="str">
        <f t="shared" si="123"/>
        <v/>
      </c>
      <c r="N2018" s="4">
        <v>1</v>
      </c>
      <c r="O2018" s="58">
        <v>0</v>
      </c>
      <c r="P2018" s="58">
        <v>0</v>
      </c>
      <c r="Q2018" s="58">
        <v>0</v>
      </c>
      <c r="R2018" s="58">
        <v>0</v>
      </c>
      <c r="S2018" s="58">
        <v>0</v>
      </c>
      <c r="T2018" s="58">
        <v>0</v>
      </c>
      <c r="U2018" s="58">
        <v>0</v>
      </c>
      <c r="V2018" s="58">
        <v>0</v>
      </c>
      <c r="AG2018" t="s">
        <v>1736</v>
      </c>
      <c r="AM2018" s="1" t="str">
        <f t="shared" si="124"/>
        <v>2016_C0013_1750.jpg</v>
      </c>
    </row>
    <row r="2019" spans="1:39" x14ac:dyDescent="0.35">
      <c r="A2019">
        <v>2015</v>
      </c>
      <c r="B2019">
        <v>2016</v>
      </c>
      <c r="F2019" s="64" t="s">
        <v>5055</v>
      </c>
      <c r="G2019" s="64"/>
      <c r="H2019" s="64"/>
      <c r="I2019" s="64">
        <v>1</v>
      </c>
      <c r="J2019" s="32" t="str">
        <f>IF(AND(E2019=1,OR(E2018=0,E2018="")),MAX(#REF!)+1,IF(AND(E2019=1,E2018=1),J2018,""))</f>
        <v/>
      </c>
      <c r="K2019" s="32" t="str">
        <f t="shared" si="125"/>
        <v/>
      </c>
      <c r="L2019" s="32" t="str">
        <f t="shared" si="122"/>
        <v/>
      </c>
      <c r="M2019" s="32" t="str">
        <f t="shared" si="123"/>
        <v/>
      </c>
      <c r="N2019" s="4">
        <v>1</v>
      </c>
      <c r="O2019" s="58">
        <v>0</v>
      </c>
      <c r="P2019" s="58">
        <v>0</v>
      </c>
      <c r="Q2019" s="58">
        <v>0</v>
      </c>
      <c r="R2019" s="58">
        <v>0</v>
      </c>
      <c r="S2019" s="58">
        <v>0</v>
      </c>
      <c r="T2019" s="58">
        <v>0</v>
      </c>
      <c r="U2019" s="58">
        <v>0</v>
      </c>
      <c r="V2019" s="58">
        <v>0</v>
      </c>
      <c r="AG2019" t="s">
        <v>1737</v>
      </c>
      <c r="AM2019" s="1" t="str">
        <f t="shared" si="124"/>
        <v>2017_C0013_1747.jpg</v>
      </c>
    </row>
    <row r="2020" spans="1:39" x14ac:dyDescent="0.35">
      <c r="A2020">
        <v>2016</v>
      </c>
      <c r="B2020">
        <v>2017</v>
      </c>
      <c r="F2020" s="64" t="s">
        <v>5056</v>
      </c>
      <c r="G2020" s="64"/>
      <c r="H2020" s="64"/>
      <c r="I2020" s="64">
        <v>1</v>
      </c>
      <c r="J2020" s="32" t="str">
        <f>IF(AND(E2020=1,OR(E2019=0,E2019="")),MAX(#REF!)+1,IF(AND(E2020=1,E2019=1),J2019,""))</f>
        <v/>
      </c>
      <c r="K2020" s="32" t="str">
        <f t="shared" si="125"/>
        <v/>
      </c>
      <c r="L2020" s="32" t="str">
        <f t="shared" si="122"/>
        <v/>
      </c>
      <c r="M2020" s="32" t="str">
        <f t="shared" si="123"/>
        <v/>
      </c>
      <c r="N2020" s="4">
        <v>1</v>
      </c>
      <c r="O2020" s="58">
        <v>0</v>
      </c>
      <c r="P2020" s="58">
        <v>0</v>
      </c>
      <c r="Q2020" s="58">
        <v>0</v>
      </c>
      <c r="R2020" s="58">
        <v>0</v>
      </c>
      <c r="S2020" s="58">
        <v>0</v>
      </c>
      <c r="T2020" s="58">
        <v>0</v>
      </c>
      <c r="U2020" s="58">
        <v>0</v>
      </c>
      <c r="V2020" s="58">
        <v>0</v>
      </c>
      <c r="AG2020" t="s">
        <v>1738</v>
      </c>
      <c r="AM2020" s="1" t="str">
        <f t="shared" si="124"/>
        <v>2018_C0013_1744.jpg</v>
      </c>
    </row>
    <row r="2021" spans="1:39" x14ac:dyDescent="0.35">
      <c r="A2021">
        <v>2017</v>
      </c>
      <c r="B2021">
        <v>2018</v>
      </c>
      <c r="F2021" s="64" t="s">
        <v>5057</v>
      </c>
      <c r="G2021" s="64"/>
      <c r="H2021" s="64"/>
      <c r="I2021" s="64">
        <v>1</v>
      </c>
      <c r="J2021" s="32" t="str">
        <f>IF(AND(E2021=1,OR(E2020=0,E2020="")),MAX(#REF!)+1,IF(AND(E2021=1,E2020=1),J2020,""))</f>
        <v/>
      </c>
      <c r="K2021" s="32" t="str">
        <f t="shared" si="125"/>
        <v/>
      </c>
      <c r="L2021" s="32" t="str">
        <f t="shared" si="122"/>
        <v/>
      </c>
      <c r="M2021" s="32" t="str">
        <f t="shared" si="123"/>
        <v/>
      </c>
      <c r="N2021" s="4">
        <v>1</v>
      </c>
      <c r="O2021" s="58">
        <v>0</v>
      </c>
      <c r="P2021" s="58">
        <v>0</v>
      </c>
      <c r="Q2021" s="58">
        <v>0</v>
      </c>
      <c r="R2021" s="58">
        <v>0</v>
      </c>
      <c r="S2021" s="58">
        <v>0</v>
      </c>
      <c r="T2021" s="58">
        <v>0</v>
      </c>
      <c r="U2021" s="58">
        <v>0</v>
      </c>
      <c r="V2021" s="58">
        <v>0</v>
      </c>
      <c r="AG2021" t="s">
        <v>1739</v>
      </c>
      <c r="AM2021" s="1" t="str">
        <f t="shared" si="124"/>
        <v>2019_C0013_1742.jpg</v>
      </c>
    </row>
    <row r="2022" spans="1:39" x14ac:dyDescent="0.35">
      <c r="A2022">
        <v>2018</v>
      </c>
      <c r="B2022">
        <v>2019</v>
      </c>
      <c r="F2022" s="64" t="s">
        <v>5058</v>
      </c>
      <c r="G2022" s="64"/>
      <c r="H2022" s="64"/>
      <c r="I2022" s="64">
        <v>1</v>
      </c>
      <c r="J2022" s="32" t="str">
        <f>IF(AND(E2022=1,OR(E2021=0,E2021="")),MAX(#REF!)+1,IF(AND(E2022=1,E2021=1),J2021,""))</f>
        <v/>
      </c>
      <c r="K2022" s="32" t="str">
        <f t="shared" si="125"/>
        <v/>
      </c>
      <c r="L2022" s="32" t="str">
        <f t="shared" si="122"/>
        <v/>
      </c>
      <c r="M2022" s="32" t="str">
        <f t="shared" si="123"/>
        <v/>
      </c>
      <c r="N2022" s="4">
        <v>1</v>
      </c>
      <c r="O2022" s="58">
        <v>0</v>
      </c>
      <c r="P2022" s="58">
        <v>0</v>
      </c>
      <c r="Q2022" s="58">
        <v>0</v>
      </c>
      <c r="R2022" s="58">
        <v>0</v>
      </c>
      <c r="S2022" s="58">
        <v>0</v>
      </c>
      <c r="T2022" s="58">
        <v>0</v>
      </c>
      <c r="U2022" s="58">
        <v>0</v>
      </c>
      <c r="V2022" s="58">
        <v>0</v>
      </c>
      <c r="AG2022" t="s">
        <v>1740</v>
      </c>
      <c r="AM2022" s="1" t="str">
        <f t="shared" si="124"/>
        <v>2020_C0013_1739.jpg</v>
      </c>
    </row>
    <row r="2023" spans="1:39" x14ac:dyDescent="0.35">
      <c r="A2023">
        <v>2019</v>
      </c>
      <c r="B2023">
        <v>2020</v>
      </c>
      <c r="F2023" s="64" t="s">
        <v>5059</v>
      </c>
      <c r="G2023" s="64"/>
      <c r="H2023" s="64"/>
      <c r="I2023" s="64">
        <v>1</v>
      </c>
      <c r="J2023" s="32" t="str">
        <f>IF(AND(E2023=1,OR(E2022=0,E2022="")),MAX(#REF!)+1,IF(AND(E2023=1,E2022=1),J2022,""))</f>
        <v/>
      </c>
      <c r="K2023" s="32" t="str">
        <f t="shared" si="125"/>
        <v/>
      </c>
      <c r="L2023" s="32" t="str">
        <f t="shared" si="122"/>
        <v/>
      </c>
      <c r="M2023" s="32" t="str">
        <f t="shared" si="123"/>
        <v/>
      </c>
      <c r="N2023" s="4">
        <v>1</v>
      </c>
      <c r="O2023" s="58">
        <v>0</v>
      </c>
      <c r="P2023" s="58">
        <v>0</v>
      </c>
      <c r="Q2023" s="58">
        <v>0</v>
      </c>
      <c r="R2023" s="58">
        <v>0</v>
      </c>
      <c r="S2023" s="58">
        <v>0</v>
      </c>
      <c r="T2023" s="58">
        <v>0</v>
      </c>
      <c r="U2023" s="58">
        <v>0</v>
      </c>
      <c r="V2023" s="58">
        <v>0</v>
      </c>
      <c r="AG2023" t="s">
        <v>1741</v>
      </c>
      <c r="AM2023" s="1" t="str">
        <f t="shared" si="124"/>
        <v>2021_C0013_1735.jpg</v>
      </c>
    </row>
    <row r="2024" spans="1:39" x14ac:dyDescent="0.35">
      <c r="A2024">
        <v>2020</v>
      </c>
      <c r="B2024">
        <v>2021</v>
      </c>
      <c r="F2024" s="64" t="s">
        <v>5060</v>
      </c>
      <c r="G2024" s="64"/>
      <c r="H2024" s="64"/>
      <c r="I2024" s="64">
        <v>1</v>
      </c>
      <c r="J2024" s="32">
        <v>139</v>
      </c>
      <c r="K2024" s="32">
        <f t="shared" si="125"/>
        <v>10</v>
      </c>
      <c r="L2024" s="32" t="str">
        <f t="shared" si="122"/>
        <v/>
      </c>
      <c r="M2024" s="32">
        <f t="shared" si="123"/>
        <v>100</v>
      </c>
      <c r="N2024" s="4">
        <v>1</v>
      </c>
      <c r="O2024" s="58">
        <v>0</v>
      </c>
      <c r="P2024" s="58">
        <v>0</v>
      </c>
      <c r="Q2024" s="58">
        <v>0</v>
      </c>
      <c r="R2024" s="58">
        <v>0</v>
      </c>
      <c r="S2024" s="58">
        <v>0</v>
      </c>
      <c r="T2024" s="58">
        <v>0</v>
      </c>
      <c r="U2024" s="58">
        <v>0</v>
      </c>
      <c r="V2024" s="58">
        <v>0</v>
      </c>
      <c r="AG2024" t="s">
        <v>1742</v>
      </c>
      <c r="AM2024" s="1" t="str">
        <f t="shared" si="124"/>
        <v>2022_C0013_1733.jpg</v>
      </c>
    </row>
    <row r="2025" spans="1:39" x14ac:dyDescent="0.35">
      <c r="A2025">
        <v>2021</v>
      </c>
      <c r="B2025">
        <v>2022</v>
      </c>
      <c r="F2025" s="64" t="s">
        <v>5061</v>
      </c>
      <c r="G2025" s="64"/>
      <c r="H2025" s="64"/>
      <c r="I2025" s="64">
        <v>1</v>
      </c>
      <c r="J2025" s="32">
        <v>140</v>
      </c>
      <c r="K2025" s="32">
        <f t="shared" si="125"/>
        <v>10</v>
      </c>
      <c r="L2025" s="32" t="str">
        <f t="shared" si="122"/>
        <v/>
      </c>
      <c r="M2025" s="32">
        <f t="shared" si="123"/>
        <v>100</v>
      </c>
      <c r="N2025" s="4">
        <v>1</v>
      </c>
      <c r="O2025" s="58">
        <v>0</v>
      </c>
      <c r="P2025" s="58">
        <v>0</v>
      </c>
      <c r="Q2025" s="58">
        <v>0</v>
      </c>
      <c r="R2025" s="58">
        <v>0</v>
      </c>
      <c r="S2025" s="58">
        <v>0</v>
      </c>
      <c r="T2025" s="58">
        <v>0</v>
      </c>
      <c r="U2025" s="58">
        <v>0</v>
      </c>
      <c r="V2025" s="58">
        <v>0</v>
      </c>
      <c r="AG2025" t="s">
        <v>1743</v>
      </c>
      <c r="AM2025" s="1" t="str">
        <f t="shared" si="124"/>
        <v>2023_C0013_1730.jpg</v>
      </c>
    </row>
    <row r="2026" spans="1:39" x14ac:dyDescent="0.35">
      <c r="A2026">
        <v>2022</v>
      </c>
      <c r="B2026">
        <v>2023</v>
      </c>
      <c r="F2026" s="64" t="s">
        <v>5062</v>
      </c>
      <c r="G2026" s="64"/>
      <c r="H2026" s="64"/>
      <c r="I2026" s="64">
        <v>1</v>
      </c>
      <c r="J2026" s="32" t="str">
        <f>IF(AND(E2026=1,OR(E2025=0,E2025="")),MAX(#REF!)+1,IF(AND(E2026=1,E2025=1),J2025,""))</f>
        <v/>
      </c>
      <c r="K2026" s="32" t="str">
        <f t="shared" si="125"/>
        <v/>
      </c>
      <c r="L2026" s="32" t="str">
        <f t="shared" si="122"/>
        <v/>
      </c>
      <c r="M2026" s="32" t="str">
        <f t="shared" si="123"/>
        <v/>
      </c>
      <c r="N2026" s="4">
        <v>1</v>
      </c>
      <c r="O2026" s="58">
        <v>0</v>
      </c>
      <c r="P2026" s="58">
        <v>0</v>
      </c>
      <c r="Q2026" s="58">
        <v>0</v>
      </c>
      <c r="R2026" s="58">
        <v>0</v>
      </c>
      <c r="S2026" s="58">
        <v>0</v>
      </c>
      <c r="T2026" s="58">
        <v>0</v>
      </c>
      <c r="U2026" s="58">
        <v>0</v>
      </c>
      <c r="V2026" s="58">
        <v>0</v>
      </c>
      <c r="AG2026" t="s">
        <v>1744</v>
      </c>
      <c r="AM2026" s="1" t="str">
        <f t="shared" si="124"/>
        <v>2024_C0013_1727.jpg</v>
      </c>
    </row>
    <row r="2027" spans="1:39" x14ac:dyDescent="0.35">
      <c r="A2027">
        <v>2023</v>
      </c>
      <c r="B2027">
        <v>2024</v>
      </c>
      <c r="F2027" s="64" t="s">
        <v>5063</v>
      </c>
      <c r="G2027" s="64"/>
      <c r="H2027" s="64"/>
      <c r="I2027" s="64">
        <v>1</v>
      </c>
      <c r="J2027" s="32" t="str">
        <f>IF(AND(E2027=1,OR(E2026=0,E2026="")),MAX(#REF!)+1,IF(AND(E2027=1,E2026=1),J2026,""))</f>
        <v/>
      </c>
      <c r="K2027" s="32" t="str">
        <f t="shared" si="125"/>
        <v/>
      </c>
      <c r="L2027" s="32" t="str">
        <f t="shared" si="122"/>
        <v/>
      </c>
      <c r="M2027" s="32" t="str">
        <f t="shared" si="123"/>
        <v/>
      </c>
      <c r="N2027" s="4">
        <v>1</v>
      </c>
      <c r="O2027" s="58">
        <v>0</v>
      </c>
      <c r="P2027" s="58">
        <v>0</v>
      </c>
      <c r="Q2027" s="58">
        <v>0</v>
      </c>
      <c r="R2027" s="58">
        <v>0</v>
      </c>
      <c r="S2027" s="58">
        <v>0</v>
      </c>
      <c r="T2027" s="58">
        <v>0</v>
      </c>
      <c r="U2027" s="58">
        <v>0</v>
      </c>
      <c r="V2027" s="58">
        <v>0</v>
      </c>
      <c r="AG2027" t="s">
        <v>1745</v>
      </c>
      <c r="AM2027" s="1" t="str">
        <f t="shared" si="124"/>
        <v>2025_C0013_1724.jpg</v>
      </c>
    </row>
    <row r="2028" spans="1:39" x14ac:dyDescent="0.35">
      <c r="A2028">
        <v>2024</v>
      </c>
      <c r="B2028">
        <v>2025</v>
      </c>
      <c r="F2028" s="64" t="s">
        <v>5064</v>
      </c>
      <c r="G2028" s="64"/>
      <c r="H2028" s="64"/>
      <c r="I2028" s="64">
        <v>1</v>
      </c>
      <c r="J2028" s="32" t="str">
        <f>IF(AND(E2028=1,OR(E2027=0,E2027="")),MAX(#REF!)+1,IF(AND(E2028=1,E2027=1),J2027,""))</f>
        <v/>
      </c>
      <c r="K2028" s="32" t="str">
        <f t="shared" si="125"/>
        <v/>
      </c>
      <c r="L2028" s="32" t="str">
        <f t="shared" si="122"/>
        <v/>
      </c>
      <c r="M2028" s="32" t="str">
        <f t="shared" si="123"/>
        <v/>
      </c>
      <c r="N2028" s="4">
        <v>1</v>
      </c>
      <c r="O2028" s="58">
        <v>0</v>
      </c>
      <c r="P2028" s="58">
        <v>0</v>
      </c>
      <c r="Q2028" s="58">
        <v>0</v>
      </c>
      <c r="R2028" s="58">
        <v>0</v>
      </c>
      <c r="S2028" s="58">
        <v>0</v>
      </c>
      <c r="T2028" s="58">
        <v>0</v>
      </c>
      <c r="U2028" s="58">
        <v>0</v>
      </c>
      <c r="V2028" s="58">
        <v>0</v>
      </c>
      <c r="AG2028" t="s">
        <v>1746</v>
      </c>
      <c r="AM2028" s="1" t="str">
        <f t="shared" si="124"/>
        <v>2026_C0013_1721.jpg</v>
      </c>
    </row>
    <row r="2029" spans="1:39" x14ac:dyDescent="0.35">
      <c r="A2029">
        <v>2025</v>
      </c>
      <c r="B2029">
        <v>2026</v>
      </c>
      <c r="F2029" s="64" t="s">
        <v>5065</v>
      </c>
      <c r="G2029" s="64"/>
      <c r="H2029" s="64"/>
      <c r="I2029" s="64">
        <v>1</v>
      </c>
      <c r="J2029" s="32" t="str">
        <f>IF(AND(E2029=1,OR(E2028=0,E2028="")),MAX(#REF!)+1,IF(AND(E2029=1,E2028=1),J2028,""))</f>
        <v/>
      </c>
      <c r="K2029" s="32" t="str">
        <f t="shared" si="125"/>
        <v/>
      </c>
      <c r="L2029" s="32" t="str">
        <f t="shared" si="122"/>
        <v/>
      </c>
      <c r="M2029" s="32" t="str">
        <f t="shared" si="123"/>
        <v/>
      </c>
      <c r="N2029" s="4">
        <v>1</v>
      </c>
      <c r="O2029" s="58">
        <v>0</v>
      </c>
      <c r="P2029" s="58">
        <v>0</v>
      </c>
      <c r="Q2029" s="58">
        <v>0</v>
      </c>
      <c r="R2029" s="58">
        <v>0</v>
      </c>
      <c r="S2029" s="58">
        <v>0</v>
      </c>
      <c r="T2029" s="58">
        <v>0</v>
      </c>
      <c r="U2029" s="58">
        <v>0</v>
      </c>
      <c r="V2029" s="58">
        <v>0</v>
      </c>
      <c r="AG2029" t="s">
        <v>1747</v>
      </c>
      <c r="AM2029" s="1" t="str">
        <f t="shared" si="124"/>
        <v>2027_C0013_1718.jpg</v>
      </c>
    </row>
    <row r="2030" spans="1:39" x14ac:dyDescent="0.35">
      <c r="A2030">
        <v>2026</v>
      </c>
      <c r="B2030">
        <v>2027</v>
      </c>
      <c r="F2030" s="64" t="s">
        <v>5066</v>
      </c>
      <c r="G2030" s="64"/>
      <c r="H2030" s="64"/>
      <c r="I2030" s="64">
        <v>1</v>
      </c>
      <c r="J2030" s="32">
        <v>143</v>
      </c>
      <c r="K2030" s="32">
        <f t="shared" si="125"/>
        <v>10</v>
      </c>
      <c r="L2030" s="32" t="str">
        <f t="shared" si="122"/>
        <v/>
      </c>
      <c r="M2030" s="32">
        <f t="shared" si="123"/>
        <v>100</v>
      </c>
      <c r="N2030" s="4">
        <v>1</v>
      </c>
      <c r="O2030" s="58">
        <v>0</v>
      </c>
      <c r="P2030" s="58">
        <v>0</v>
      </c>
      <c r="Q2030" s="58">
        <v>0</v>
      </c>
      <c r="R2030" s="58">
        <v>0</v>
      </c>
      <c r="S2030" s="58">
        <v>0</v>
      </c>
      <c r="T2030" s="58">
        <v>0</v>
      </c>
      <c r="U2030" s="58">
        <v>0</v>
      </c>
      <c r="V2030" s="58">
        <v>0</v>
      </c>
      <c r="AG2030" t="s">
        <v>1748</v>
      </c>
      <c r="AM2030" s="1" t="str">
        <f t="shared" si="124"/>
        <v>2028_C0013_1715.jpg</v>
      </c>
    </row>
    <row r="2031" spans="1:39" x14ac:dyDescent="0.35">
      <c r="A2031">
        <v>2027</v>
      </c>
      <c r="B2031">
        <v>2028</v>
      </c>
      <c r="F2031" s="64" t="s">
        <v>5067</v>
      </c>
      <c r="G2031" s="64"/>
      <c r="H2031" s="64"/>
      <c r="I2031" s="64">
        <v>1</v>
      </c>
      <c r="J2031" s="32" t="str">
        <f>IF(AND(E2031=1,OR(E2030=0,E2030="")),MAX(#REF!)+1,IF(AND(E2031=1,E2030=1),J2030,""))</f>
        <v/>
      </c>
      <c r="K2031" s="32" t="str">
        <f t="shared" si="125"/>
        <v/>
      </c>
      <c r="L2031" s="32" t="str">
        <f t="shared" si="122"/>
        <v/>
      </c>
      <c r="M2031" s="32" t="str">
        <f t="shared" si="123"/>
        <v/>
      </c>
      <c r="N2031" s="4">
        <v>1</v>
      </c>
      <c r="O2031" s="58">
        <v>0</v>
      </c>
      <c r="P2031" s="58">
        <v>0</v>
      </c>
      <c r="Q2031" s="58">
        <v>0</v>
      </c>
      <c r="R2031" s="58">
        <v>0</v>
      </c>
      <c r="S2031" s="58">
        <v>0</v>
      </c>
      <c r="T2031" s="58">
        <v>0</v>
      </c>
      <c r="U2031" s="58">
        <v>0</v>
      </c>
      <c r="V2031" s="58">
        <v>0</v>
      </c>
      <c r="AG2031" t="s">
        <v>1749</v>
      </c>
      <c r="AM2031" s="1" t="str">
        <f t="shared" si="124"/>
        <v>2029_C0013_1712.jpg</v>
      </c>
    </row>
    <row r="2032" spans="1:39" x14ac:dyDescent="0.35">
      <c r="A2032">
        <v>2028</v>
      </c>
      <c r="B2032">
        <v>2029</v>
      </c>
      <c r="F2032" s="64" t="s">
        <v>5068</v>
      </c>
      <c r="G2032" s="64"/>
      <c r="H2032" s="64"/>
      <c r="I2032" s="64">
        <v>1</v>
      </c>
      <c r="J2032" s="32" t="str">
        <f>IF(AND(E2032=1,OR(E2031=0,E2031="")),MAX(#REF!)+1,IF(AND(E2032=1,E2031=1),J2031,""))</f>
        <v/>
      </c>
      <c r="K2032" s="32" t="str">
        <f t="shared" si="125"/>
        <v/>
      </c>
      <c r="L2032" s="32" t="str">
        <f t="shared" si="122"/>
        <v/>
      </c>
      <c r="M2032" s="32" t="str">
        <f t="shared" si="123"/>
        <v/>
      </c>
      <c r="N2032" s="4">
        <v>1</v>
      </c>
      <c r="O2032" s="58">
        <v>0</v>
      </c>
      <c r="P2032" s="58">
        <v>0</v>
      </c>
      <c r="Q2032" s="58">
        <v>0</v>
      </c>
      <c r="R2032" s="58">
        <v>0</v>
      </c>
      <c r="S2032" s="58">
        <v>0</v>
      </c>
      <c r="T2032" s="58">
        <v>0</v>
      </c>
      <c r="U2032" s="58">
        <v>0</v>
      </c>
      <c r="V2032" s="58">
        <v>0</v>
      </c>
      <c r="AG2032" t="s">
        <v>1750</v>
      </c>
      <c r="AM2032" s="1" t="str">
        <f t="shared" si="124"/>
        <v>2030_C0013_1706.jpg</v>
      </c>
    </row>
    <row r="2033" spans="1:39" x14ac:dyDescent="0.35">
      <c r="A2033">
        <v>2029</v>
      </c>
      <c r="B2033">
        <v>2030</v>
      </c>
      <c r="F2033" s="64" t="s">
        <v>5069</v>
      </c>
      <c r="G2033" s="64"/>
      <c r="H2033" s="64"/>
      <c r="I2033" s="64">
        <v>1</v>
      </c>
      <c r="J2033" s="32" t="str">
        <f>IF(AND(E2033=1,OR(E2032=0,E2032="")),MAX(#REF!)+1,IF(AND(E2033=1,E2032=1),J2032,""))</f>
        <v/>
      </c>
      <c r="K2033" s="32" t="str">
        <f t="shared" si="125"/>
        <v/>
      </c>
      <c r="L2033" s="32" t="str">
        <f t="shared" si="122"/>
        <v/>
      </c>
      <c r="M2033" s="32" t="str">
        <f t="shared" si="123"/>
        <v/>
      </c>
      <c r="N2033" s="4">
        <v>1</v>
      </c>
      <c r="O2033" s="58">
        <v>0</v>
      </c>
      <c r="P2033" s="58">
        <v>0</v>
      </c>
      <c r="Q2033" s="58">
        <v>0</v>
      </c>
      <c r="R2033" s="58">
        <v>0</v>
      </c>
      <c r="S2033" s="58">
        <v>0</v>
      </c>
      <c r="T2033" s="58">
        <v>0</v>
      </c>
      <c r="U2033" s="58">
        <v>0</v>
      </c>
      <c r="V2033" s="58">
        <v>0</v>
      </c>
      <c r="AG2033" t="s">
        <v>1751</v>
      </c>
      <c r="AM2033" s="1" t="str">
        <f t="shared" si="124"/>
        <v>2031_C0013_1700.jpg</v>
      </c>
    </row>
    <row r="2034" spans="1:39" x14ac:dyDescent="0.35">
      <c r="A2034">
        <v>2030</v>
      </c>
      <c r="B2034">
        <v>2031</v>
      </c>
      <c r="F2034" s="64" t="s">
        <v>5070</v>
      </c>
      <c r="G2034" s="64"/>
      <c r="H2034" s="64"/>
      <c r="I2034" s="64">
        <v>1</v>
      </c>
      <c r="J2034" s="32" t="str">
        <f>IF(AND(E2034=1,OR(E2033=0,E2033="")),MAX(#REF!)+1,IF(AND(E2034=1,E2033=1),J2033,""))</f>
        <v/>
      </c>
      <c r="K2034" s="32" t="str">
        <f t="shared" si="125"/>
        <v/>
      </c>
      <c r="L2034" s="32" t="str">
        <f t="shared" si="122"/>
        <v/>
      </c>
      <c r="M2034" s="32" t="str">
        <f t="shared" si="123"/>
        <v/>
      </c>
      <c r="N2034" s="4">
        <v>1</v>
      </c>
      <c r="O2034" s="58">
        <v>0</v>
      </c>
      <c r="P2034" s="58">
        <v>0</v>
      </c>
      <c r="Q2034" s="58">
        <v>0</v>
      </c>
      <c r="R2034" s="58">
        <v>0</v>
      </c>
      <c r="S2034" s="58">
        <v>0</v>
      </c>
      <c r="T2034" s="58">
        <v>0</v>
      </c>
      <c r="U2034" s="58">
        <v>0</v>
      </c>
      <c r="V2034" s="58">
        <v>0</v>
      </c>
      <c r="AG2034" t="s">
        <v>1752</v>
      </c>
      <c r="AM2034" s="1" t="str">
        <f t="shared" si="124"/>
        <v>2032_C0013_1696.jpg</v>
      </c>
    </row>
    <row r="2035" spans="1:39" x14ac:dyDescent="0.35">
      <c r="A2035">
        <v>2031</v>
      </c>
      <c r="B2035">
        <v>2032</v>
      </c>
      <c r="F2035" s="64" t="s">
        <v>5071</v>
      </c>
      <c r="G2035" s="64"/>
      <c r="H2035" s="64"/>
      <c r="I2035" s="64">
        <v>0</v>
      </c>
      <c r="J2035" s="32" t="str">
        <f>IF(AND(E2035=1,OR(E2034=0,E2034="")),MAX(#REF!)+1,IF(AND(E2035=1,E2034=1),J2034,""))</f>
        <v/>
      </c>
      <c r="K2035" s="32" t="str">
        <f t="shared" si="125"/>
        <v/>
      </c>
      <c r="L2035" s="32" t="str">
        <f t="shared" si="122"/>
        <v/>
      </c>
      <c r="M2035" s="32" t="str">
        <f t="shared" si="123"/>
        <v/>
      </c>
      <c r="N2035" s="4">
        <v>1</v>
      </c>
      <c r="O2035" s="58">
        <v>0</v>
      </c>
      <c r="P2035" s="58">
        <v>0</v>
      </c>
      <c r="Q2035" s="58">
        <v>0</v>
      </c>
      <c r="R2035" s="58">
        <v>0</v>
      </c>
      <c r="S2035" s="58">
        <v>0</v>
      </c>
      <c r="T2035" s="58">
        <v>0</v>
      </c>
      <c r="U2035" s="58">
        <v>1</v>
      </c>
      <c r="V2035" s="58">
        <v>0</v>
      </c>
      <c r="AG2035" t="s">
        <v>1753</v>
      </c>
      <c r="AM2035" s="1" t="str">
        <f t="shared" si="124"/>
        <v>2033_C0013_1694.jpg</v>
      </c>
    </row>
    <row r="2036" spans="1:39" x14ac:dyDescent="0.35">
      <c r="A2036">
        <v>2032</v>
      </c>
      <c r="B2036">
        <v>2033</v>
      </c>
      <c r="F2036" s="64" t="s">
        <v>5072</v>
      </c>
      <c r="G2036" s="64"/>
      <c r="H2036" s="64"/>
      <c r="I2036" s="64">
        <v>0</v>
      </c>
      <c r="J2036" s="32" t="str">
        <f>IF(AND(E2036=1,OR(E2035=0,E2035="")),MAX(#REF!)+1,IF(AND(E2036=1,E2035=1),J2035,""))</f>
        <v/>
      </c>
      <c r="K2036" s="32" t="str">
        <f t="shared" si="125"/>
        <v/>
      </c>
      <c r="L2036" s="32" t="str">
        <f t="shared" si="122"/>
        <v/>
      </c>
      <c r="M2036" s="32" t="str">
        <f t="shared" si="123"/>
        <v/>
      </c>
      <c r="N2036" s="4">
        <v>1</v>
      </c>
      <c r="O2036" s="58">
        <v>0</v>
      </c>
      <c r="P2036" s="58">
        <v>0</v>
      </c>
      <c r="Q2036" s="58">
        <v>0</v>
      </c>
      <c r="R2036" s="58">
        <v>0</v>
      </c>
      <c r="S2036" s="58">
        <v>0</v>
      </c>
      <c r="T2036" s="58">
        <v>0</v>
      </c>
      <c r="U2036" s="58">
        <v>1</v>
      </c>
      <c r="V2036" s="58">
        <v>0</v>
      </c>
      <c r="AG2036" t="s">
        <v>1754</v>
      </c>
      <c r="AM2036" s="1" t="str">
        <f t="shared" si="124"/>
        <v>2034_C0013_1692.jpg</v>
      </c>
    </row>
    <row r="2037" spans="1:39" x14ac:dyDescent="0.35">
      <c r="A2037">
        <v>2033</v>
      </c>
      <c r="B2037">
        <v>2034</v>
      </c>
      <c r="F2037" s="64" t="s">
        <v>5073</v>
      </c>
      <c r="G2037" s="64"/>
      <c r="H2037" s="64"/>
      <c r="I2037" s="64">
        <v>1</v>
      </c>
      <c r="J2037" s="32">
        <v>145</v>
      </c>
      <c r="K2037" s="32">
        <f t="shared" si="125"/>
        <v>10</v>
      </c>
      <c r="L2037" s="32" t="str">
        <f t="shared" si="122"/>
        <v/>
      </c>
      <c r="M2037" s="32">
        <f t="shared" si="123"/>
        <v>100</v>
      </c>
      <c r="N2037" s="4">
        <v>1</v>
      </c>
      <c r="O2037" s="58">
        <v>0</v>
      </c>
      <c r="P2037" s="58">
        <v>0</v>
      </c>
      <c r="Q2037" s="58">
        <v>0</v>
      </c>
      <c r="R2037" s="58">
        <v>0</v>
      </c>
      <c r="S2037" s="58">
        <v>0</v>
      </c>
      <c r="T2037" s="58">
        <v>0</v>
      </c>
      <c r="U2037" s="58">
        <v>0</v>
      </c>
      <c r="V2037" s="58">
        <v>0</v>
      </c>
      <c r="AG2037" t="s">
        <v>1755</v>
      </c>
      <c r="AM2037" s="1" t="str">
        <f t="shared" si="124"/>
        <v>2035_C0013_1689.jpg</v>
      </c>
    </row>
    <row r="2038" spans="1:39" x14ac:dyDescent="0.35">
      <c r="A2038">
        <v>2034</v>
      </c>
      <c r="B2038">
        <v>2035</v>
      </c>
      <c r="F2038" s="64" t="s">
        <v>5074</v>
      </c>
      <c r="G2038" s="64"/>
      <c r="H2038" s="64"/>
      <c r="I2038" s="64">
        <v>1</v>
      </c>
      <c r="J2038" s="32" t="str">
        <f>IF(AND(E2038=1,OR(E2037=0,E2037="")),MAX(#REF!)+1,IF(AND(E2038=1,E2037=1),J2037,""))</f>
        <v/>
      </c>
      <c r="K2038" s="32" t="str">
        <f t="shared" si="125"/>
        <v/>
      </c>
      <c r="L2038" s="32" t="str">
        <f t="shared" si="122"/>
        <v/>
      </c>
      <c r="M2038" s="32" t="str">
        <f t="shared" si="123"/>
        <v/>
      </c>
      <c r="N2038" s="4">
        <v>1</v>
      </c>
      <c r="O2038" s="58">
        <v>0</v>
      </c>
      <c r="P2038" s="58">
        <v>0</v>
      </c>
      <c r="Q2038" s="58">
        <v>0</v>
      </c>
      <c r="R2038" s="58">
        <v>0</v>
      </c>
      <c r="S2038" s="58">
        <v>0</v>
      </c>
      <c r="T2038" s="58">
        <v>0</v>
      </c>
      <c r="U2038" s="58">
        <v>0</v>
      </c>
      <c r="V2038" s="58">
        <v>0</v>
      </c>
      <c r="AG2038" t="s">
        <v>1756</v>
      </c>
      <c r="AM2038" s="1" t="str">
        <f t="shared" si="124"/>
        <v>2036_C0013_1687.jpg</v>
      </c>
    </row>
    <row r="2039" spans="1:39" x14ac:dyDescent="0.35">
      <c r="A2039">
        <v>2035</v>
      </c>
      <c r="B2039">
        <v>2036</v>
      </c>
      <c r="F2039" s="64" t="s">
        <v>5075</v>
      </c>
      <c r="G2039" s="64"/>
      <c r="H2039" s="64"/>
      <c r="I2039" s="64">
        <v>1</v>
      </c>
      <c r="J2039" s="32" t="str">
        <f>IF(AND(E2039=1,OR(E2038=0,E2038="")),MAX(#REF!)+1,IF(AND(E2039=1,E2038=1),J2038,""))</f>
        <v/>
      </c>
      <c r="K2039" s="32" t="str">
        <f t="shared" si="125"/>
        <v/>
      </c>
      <c r="L2039" s="32" t="str">
        <f t="shared" si="122"/>
        <v/>
      </c>
      <c r="M2039" s="32" t="str">
        <f t="shared" si="123"/>
        <v/>
      </c>
      <c r="N2039" s="4">
        <v>1</v>
      </c>
      <c r="O2039" s="58">
        <v>0</v>
      </c>
      <c r="P2039" s="58">
        <v>0</v>
      </c>
      <c r="Q2039" s="58">
        <v>0</v>
      </c>
      <c r="R2039" s="58">
        <v>0</v>
      </c>
      <c r="S2039" s="58">
        <v>0</v>
      </c>
      <c r="T2039" s="58">
        <v>0</v>
      </c>
      <c r="U2039" s="58">
        <v>0</v>
      </c>
      <c r="V2039" s="58">
        <v>0</v>
      </c>
      <c r="AG2039" t="s">
        <v>1757</v>
      </c>
      <c r="AM2039" s="1" t="str">
        <f t="shared" si="124"/>
        <v>2037_C0013_1683.jpg</v>
      </c>
    </row>
    <row r="2040" spans="1:39" x14ac:dyDescent="0.35">
      <c r="A2040">
        <v>2036</v>
      </c>
      <c r="B2040">
        <v>2037</v>
      </c>
      <c r="F2040" s="64" t="s">
        <v>5076</v>
      </c>
      <c r="G2040" s="64"/>
      <c r="H2040" s="64"/>
      <c r="I2040" s="64">
        <v>1</v>
      </c>
      <c r="J2040" s="32" t="str">
        <f>IF(AND(E2040=1,OR(E2039=0,E2039="")),MAX(#REF!)+1,IF(AND(E2040=1,E2039=1),J2039,""))</f>
        <v/>
      </c>
      <c r="K2040" s="32" t="str">
        <f t="shared" si="125"/>
        <v/>
      </c>
      <c r="L2040" s="32" t="str">
        <f t="shared" si="122"/>
        <v/>
      </c>
      <c r="M2040" s="32" t="str">
        <f t="shared" si="123"/>
        <v/>
      </c>
      <c r="N2040" s="4">
        <v>1</v>
      </c>
      <c r="O2040" s="58">
        <v>0</v>
      </c>
      <c r="P2040" s="58">
        <v>0</v>
      </c>
      <c r="Q2040" s="58">
        <v>0</v>
      </c>
      <c r="R2040" s="58">
        <v>0</v>
      </c>
      <c r="S2040" s="58">
        <v>0</v>
      </c>
      <c r="T2040" s="58">
        <v>0</v>
      </c>
      <c r="U2040" s="58">
        <v>0</v>
      </c>
      <c r="V2040" s="58">
        <v>0</v>
      </c>
      <c r="AG2040" t="s">
        <v>1758</v>
      </c>
      <c r="AM2040" s="1" t="str">
        <f t="shared" si="124"/>
        <v>2038_C0013_1680.jpg</v>
      </c>
    </row>
    <row r="2041" spans="1:39" x14ac:dyDescent="0.35">
      <c r="A2041">
        <v>2037</v>
      </c>
      <c r="B2041">
        <v>2038</v>
      </c>
      <c r="F2041" s="64" t="s">
        <v>5077</v>
      </c>
      <c r="G2041" s="64"/>
      <c r="H2041" s="64"/>
      <c r="I2041" s="64">
        <v>1</v>
      </c>
      <c r="J2041" s="32" t="str">
        <f>IF(AND(E2041=1,OR(E2040=0,E2040="")),MAX(#REF!)+1,IF(AND(E2041=1,E2040=1),J2040,""))</f>
        <v/>
      </c>
      <c r="K2041" s="32" t="str">
        <f t="shared" si="125"/>
        <v/>
      </c>
      <c r="L2041" s="32" t="str">
        <f t="shared" si="122"/>
        <v/>
      </c>
      <c r="M2041" s="32" t="str">
        <f t="shared" si="123"/>
        <v/>
      </c>
      <c r="N2041" s="4">
        <v>1</v>
      </c>
      <c r="O2041" s="58">
        <v>0</v>
      </c>
      <c r="P2041" s="58">
        <v>0</v>
      </c>
      <c r="Q2041" s="58">
        <v>0</v>
      </c>
      <c r="R2041" s="58">
        <v>0</v>
      </c>
      <c r="S2041" s="58">
        <v>0</v>
      </c>
      <c r="T2041" s="58">
        <v>0</v>
      </c>
      <c r="U2041" s="58">
        <v>0</v>
      </c>
      <c r="V2041" s="58">
        <v>0</v>
      </c>
      <c r="AG2041" t="s">
        <v>1759</v>
      </c>
      <c r="AM2041" s="1" t="str">
        <f t="shared" si="124"/>
        <v>2039_C0013_1676.jpg</v>
      </c>
    </row>
    <row r="2042" spans="1:39" x14ac:dyDescent="0.35">
      <c r="A2042">
        <v>2038</v>
      </c>
      <c r="B2042">
        <v>2039</v>
      </c>
      <c r="F2042" s="64" t="s">
        <v>5078</v>
      </c>
      <c r="G2042" s="64"/>
      <c r="H2042" s="64"/>
      <c r="I2042" s="64">
        <v>1</v>
      </c>
      <c r="J2042" s="32" t="str">
        <f>IF(AND(E2042=1,OR(E2041=0,E2041="")),MAX(#REF!)+1,IF(AND(E2042=1,E2041=1),J2041,""))</f>
        <v/>
      </c>
      <c r="K2042" s="32" t="str">
        <f t="shared" si="125"/>
        <v/>
      </c>
      <c r="L2042" s="32" t="str">
        <f t="shared" si="122"/>
        <v/>
      </c>
      <c r="M2042" s="32" t="str">
        <f t="shared" si="123"/>
        <v/>
      </c>
      <c r="N2042" s="4">
        <v>1</v>
      </c>
      <c r="O2042" s="58">
        <v>0</v>
      </c>
      <c r="P2042" s="58">
        <v>0</v>
      </c>
      <c r="Q2042" s="58">
        <v>0</v>
      </c>
      <c r="R2042" s="58">
        <v>0</v>
      </c>
      <c r="S2042" s="58">
        <v>0</v>
      </c>
      <c r="T2042" s="58">
        <v>0</v>
      </c>
      <c r="U2042" s="58">
        <v>0</v>
      </c>
      <c r="V2042" s="58">
        <v>0</v>
      </c>
      <c r="AG2042" t="s">
        <v>1760</v>
      </c>
      <c r="AM2042" s="1" t="str">
        <f t="shared" si="124"/>
        <v>2040_C0013_1673.jpg</v>
      </c>
    </row>
    <row r="2043" spans="1:39" x14ac:dyDescent="0.35">
      <c r="A2043">
        <v>2039</v>
      </c>
      <c r="B2043">
        <v>2040</v>
      </c>
      <c r="F2043" s="64" t="s">
        <v>5079</v>
      </c>
      <c r="G2043" s="64"/>
      <c r="H2043" s="64"/>
      <c r="I2043" s="64">
        <v>1</v>
      </c>
      <c r="J2043" s="32" t="str">
        <f>IF(AND(E2043=1,OR(E2042=0,E2042="")),MAX(#REF!)+1,IF(AND(E2043=1,E2042=1),J2042,""))</f>
        <v/>
      </c>
      <c r="K2043" s="32" t="str">
        <f t="shared" si="125"/>
        <v/>
      </c>
      <c r="L2043" s="32" t="str">
        <f t="shared" si="122"/>
        <v/>
      </c>
      <c r="M2043" s="32" t="str">
        <f t="shared" si="123"/>
        <v/>
      </c>
      <c r="N2043" s="4">
        <v>1</v>
      </c>
      <c r="O2043" s="58">
        <v>0</v>
      </c>
      <c r="P2043" s="58">
        <v>0</v>
      </c>
      <c r="Q2043" s="58">
        <v>0</v>
      </c>
      <c r="R2043" s="58">
        <v>0</v>
      </c>
      <c r="S2043" s="58">
        <v>0</v>
      </c>
      <c r="T2043" s="58">
        <v>0</v>
      </c>
      <c r="U2043" s="58">
        <v>0</v>
      </c>
      <c r="V2043" s="58">
        <v>0</v>
      </c>
      <c r="AG2043" t="s">
        <v>1761</v>
      </c>
      <c r="AM2043" s="1" t="str">
        <f t="shared" si="124"/>
        <v>2041_C0013_1669.jpg</v>
      </c>
    </row>
    <row r="2044" spans="1:39" x14ac:dyDescent="0.35">
      <c r="A2044">
        <v>2040</v>
      </c>
      <c r="B2044">
        <v>2041</v>
      </c>
      <c r="F2044" s="64" t="s">
        <v>5080</v>
      </c>
      <c r="G2044" s="64"/>
      <c r="H2044" s="64"/>
      <c r="I2044" s="64">
        <v>1</v>
      </c>
      <c r="J2044" s="32">
        <v>147</v>
      </c>
      <c r="K2044" s="32">
        <f t="shared" si="125"/>
        <v>10</v>
      </c>
      <c r="L2044" s="32" t="str">
        <f t="shared" si="122"/>
        <v/>
      </c>
      <c r="M2044" s="32">
        <f t="shared" si="123"/>
        <v>100</v>
      </c>
      <c r="N2044" s="4">
        <v>1</v>
      </c>
      <c r="O2044" s="58">
        <v>0</v>
      </c>
      <c r="P2044" s="58">
        <v>0</v>
      </c>
      <c r="Q2044" s="58">
        <v>0</v>
      </c>
      <c r="R2044" s="58">
        <v>0</v>
      </c>
      <c r="S2044" s="58">
        <v>0</v>
      </c>
      <c r="T2044" s="58">
        <v>0</v>
      </c>
      <c r="U2044" s="58">
        <v>0</v>
      </c>
      <c r="V2044" s="58">
        <v>0</v>
      </c>
      <c r="AG2044" t="s">
        <v>1762</v>
      </c>
      <c r="AM2044" s="1" t="str">
        <f t="shared" si="124"/>
        <v>2042_C0013_1665.jpg</v>
      </c>
    </row>
    <row r="2045" spans="1:39" x14ac:dyDescent="0.35">
      <c r="A2045">
        <v>2041</v>
      </c>
      <c r="B2045">
        <v>2042</v>
      </c>
      <c r="F2045" s="64" t="s">
        <v>5081</v>
      </c>
      <c r="G2045" s="64"/>
      <c r="H2045" s="64"/>
      <c r="I2045" s="64">
        <v>1</v>
      </c>
      <c r="J2045" s="32">
        <v>148</v>
      </c>
      <c r="K2045" s="32">
        <f t="shared" si="125"/>
        <v>10</v>
      </c>
      <c r="L2045" s="32" t="str">
        <f t="shared" si="122"/>
        <v/>
      </c>
      <c r="M2045" s="32">
        <f t="shared" si="123"/>
        <v>100</v>
      </c>
      <c r="N2045" s="4">
        <v>1</v>
      </c>
      <c r="O2045" s="58">
        <v>0</v>
      </c>
      <c r="P2045" s="58">
        <v>0</v>
      </c>
      <c r="Q2045" s="58">
        <v>0</v>
      </c>
      <c r="R2045" s="58">
        <v>0</v>
      </c>
      <c r="S2045" s="58">
        <v>0</v>
      </c>
      <c r="T2045" s="58">
        <v>0</v>
      </c>
      <c r="U2045" s="58">
        <v>0</v>
      </c>
      <c r="V2045" s="58">
        <v>0</v>
      </c>
      <c r="AG2045" t="s">
        <v>1763</v>
      </c>
      <c r="AM2045" s="1" t="str">
        <f t="shared" si="124"/>
        <v>2043_C0013_1662.jpg</v>
      </c>
    </row>
    <row r="2046" spans="1:39" x14ac:dyDescent="0.35">
      <c r="A2046">
        <v>2042</v>
      </c>
      <c r="B2046">
        <v>2043</v>
      </c>
      <c r="F2046" s="64" t="s">
        <v>5082</v>
      </c>
      <c r="G2046" s="64"/>
      <c r="H2046" s="64"/>
      <c r="I2046" s="64">
        <v>1</v>
      </c>
      <c r="J2046" s="32" t="str">
        <f>IF(AND(E2046=1,OR(E2045=0,E2045="")),MAX(#REF!)+1,IF(AND(E2046=1,E2045=1),J2045,""))</f>
        <v/>
      </c>
      <c r="K2046" s="32" t="str">
        <f t="shared" si="125"/>
        <v/>
      </c>
      <c r="L2046" s="32" t="str">
        <f t="shared" si="122"/>
        <v/>
      </c>
      <c r="M2046" s="32" t="str">
        <f t="shared" si="123"/>
        <v/>
      </c>
      <c r="N2046" s="4">
        <v>1</v>
      </c>
      <c r="O2046" s="58">
        <v>0</v>
      </c>
      <c r="P2046" s="58">
        <v>0</v>
      </c>
      <c r="Q2046" s="58">
        <v>0</v>
      </c>
      <c r="R2046" s="58">
        <v>0</v>
      </c>
      <c r="S2046" s="58">
        <v>0</v>
      </c>
      <c r="T2046" s="58">
        <v>0</v>
      </c>
      <c r="U2046" s="58">
        <v>0</v>
      </c>
      <c r="V2046" s="58">
        <v>0</v>
      </c>
      <c r="AG2046" t="s">
        <v>1764</v>
      </c>
      <c r="AM2046" s="1" t="str">
        <f t="shared" si="124"/>
        <v>2044_C0013_1657.jpg</v>
      </c>
    </row>
    <row r="2047" spans="1:39" x14ac:dyDescent="0.35">
      <c r="A2047">
        <v>2043</v>
      </c>
      <c r="B2047">
        <v>2044</v>
      </c>
      <c r="F2047" s="64" t="s">
        <v>5083</v>
      </c>
      <c r="G2047" s="64"/>
      <c r="H2047" s="64"/>
      <c r="I2047" s="64">
        <v>1</v>
      </c>
      <c r="J2047" s="32" t="str">
        <f>IF(AND(E2047=1,OR(E2046=0,E2046="")),MAX(#REF!)+1,IF(AND(E2047=1,E2046=1),J2046,""))</f>
        <v/>
      </c>
      <c r="K2047" s="32" t="str">
        <f t="shared" si="125"/>
        <v/>
      </c>
      <c r="L2047" s="32" t="str">
        <f t="shared" si="122"/>
        <v/>
      </c>
      <c r="M2047" s="32" t="str">
        <f t="shared" si="123"/>
        <v/>
      </c>
      <c r="N2047" s="4">
        <v>1</v>
      </c>
      <c r="O2047" s="58">
        <v>0</v>
      </c>
      <c r="P2047" s="58">
        <v>0</v>
      </c>
      <c r="Q2047" s="58">
        <v>0</v>
      </c>
      <c r="R2047" s="58">
        <v>0</v>
      </c>
      <c r="S2047" s="58">
        <v>0</v>
      </c>
      <c r="T2047" s="58">
        <v>0</v>
      </c>
      <c r="U2047" s="58">
        <v>0</v>
      </c>
      <c r="V2047" s="58">
        <v>0</v>
      </c>
      <c r="AG2047" t="s">
        <v>1765</v>
      </c>
      <c r="AM2047" s="1" t="str">
        <f t="shared" si="124"/>
        <v>2045_C0013_1653.jpg</v>
      </c>
    </row>
    <row r="2048" spans="1:39" x14ac:dyDescent="0.35">
      <c r="A2048">
        <v>2044</v>
      </c>
      <c r="B2048">
        <v>2045</v>
      </c>
      <c r="F2048" s="64" t="s">
        <v>5084</v>
      </c>
      <c r="G2048" s="64"/>
      <c r="H2048" s="64"/>
      <c r="I2048" s="64">
        <v>1</v>
      </c>
      <c r="J2048" s="32" t="str">
        <f>IF(AND(E2048=1,OR(E2047=0,E2047="")),MAX(#REF!)+1,IF(AND(E2048=1,E2047=1),J2047,""))</f>
        <v/>
      </c>
      <c r="K2048" s="32" t="str">
        <f t="shared" si="125"/>
        <v/>
      </c>
      <c r="L2048" s="32" t="str">
        <f t="shared" si="122"/>
        <v/>
      </c>
      <c r="M2048" s="32" t="str">
        <f t="shared" si="123"/>
        <v/>
      </c>
      <c r="N2048" s="4">
        <v>1</v>
      </c>
      <c r="O2048" s="58">
        <v>0</v>
      </c>
      <c r="P2048" s="58">
        <v>0</v>
      </c>
      <c r="Q2048" s="58">
        <v>0</v>
      </c>
      <c r="R2048" s="58">
        <v>0</v>
      </c>
      <c r="S2048" s="58">
        <v>0</v>
      </c>
      <c r="T2048" s="58">
        <v>0</v>
      </c>
      <c r="U2048" s="58">
        <v>0</v>
      </c>
      <c r="V2048" s="58">
        <v>0</v>
      </c>
      <c r="AG2048" t="s">
        <v>1766</v>
      </c>
      <c r="AM2048" s="1" t="str">
        <f t="shared" si="124"/>
        <v>2046_C0013_1650.jpg</v>
      </c>
    </row>
    <row r="2049" spans="1:39" x14ac:dyDescent="0.35">
      <c r="A2049">
        <v>2045</v>
      </c>
      <c r="B2049">
        <v>2046</v>
      </c>
      <c r="F2049" s="64" t="s">
        <v>5085</v>
      </c>
      <c r="G2049" s="64"/>
      <c r="H2049" s="64"/>
      <c r="I2049" s="64">
        <v>1</v>
      </c>
      <c r="J2049" s="32" t="str">
        <f>IF(AND(E2049=1,OR(E2048=0,E2048="")),MAX(#REF!)+1,IF(AND(E2049=1,E2048=1),J2048,""))</f>
        <v/>
      </c>
      <c r="K2049" s="32" t="str">
        <f t="shared" si="125"/>
        <v/>
      </c>
      <c r="L2049" s="32" t="str">
        <f t="shared" si="122"/>
        <v/>
      </c>
      <c r="M2049" s="32" t="str">
        <f t="shared" si="123"/>
        <v/>
      </c>
      <c r="N2049" s="4">
        <v>1</v>
      </c>
      <c r="O2049" s="58">
        <v>0</v>
      </c>
      <c r="P2049" s="58">
        <v>0</v>
      </c>
      <c r="Q2049" s="58">
        <v>0</v>
      </c>
      <c r="R2049" s="58">
        <v>0</v>
      </c>
      <c r="S2049" s="58">
        <v>0</v>
      </c>
      <c r="T2049" s="58">
        <v>0</v>
      </c>
      <c r="U2049" s="58">
        <v>0</v>
      </c>
      <c r="V2049" s="58">
        <v>0</v>
      </c>
      <c r="AG2049" t="s">
        <v>1767</v>
      </c>
      <c r="AM2049" s="1" t="str">
        <f t="shared" si="124"/>
        <v>2047_C0013_1647.jpg</v>
      </c>
    </row>
    <row r="2050" spans="1:39" x14ac:dyDescent="0.35">
      <c r="A2050">
        <v>2046</v>
      </c>
      <c r="B2050">
        <v>2047</v>
      </c>
      <c r="F2050" s="64" t="s">
        <v>5086</v>
      </c>
      <c r="G2050" s="64"/>
      <c r="H2050" s="64"/>
      <c r="I2050" s="64">
        <v>1</v>
      </c>
      <c r="J2050" s="32" t="str">
        <f>IF(AND(E2050=1,OR(E2049=0,E2049="")),MAX(#REF!)+1,IF(AND(E2050=1,E2049=1),J2049,""))</f>
        <v/>
      </c>
      <c r="K2050" s="32" t="str">
        <f t="shared" si="125"/>
        <v/>
      </c>
      <c r="L2050" s="32" t="str">
        <f t="shared" si="122"/>
        <v/>
      </c>
      <c r="M2050" s="32" t="str">
        <f t="shared" si="123"/>
        <v/>
      </c>
      <c r="N2050" s="4">
        <v>1</v>
      </c>
      <c r="O2050" s="58">
        <v>0</v>
      </c>
      <c r="P2050" s="58">
        <v>0</v>
      </c>
      <c r="Q2050" s="58">
        <v>0</v>
      </c>
      <c r="R2050" s="58">
        <v>0</v>
      </c>
      <c r="S2050" s="58">
        <v>0</v>
      </c>
      <c r="T2050" s="58">
        <v>0</v>
      </c>
      <c r="U2050" s="58">
        <v>0</v>
      </c>
      <c r="V2050" s="58">
        <v>0</v>
      </c>
      <c r="AG2050" t="s">
        <v>1768</v>
      </c>
      <c r="AM2050" s="1" t="str">
        <f t="shared" si="124"/>
        <v>2048_C0013_1644.jpg</v>
      </c>
    </row>
    <row r="2051" spans="1:39" x14ac:dyDescent="0.35">
      <c r="A2051">
        <v>2047</v>
      </c>
      <c r="B2051">
        <v>2048</v>
      </c>
      <c r="F2051" s="64" t="s">
        <v>5087</v>
      </c>
      <c r="G2051" s="64"/>
      <c r="H2051" s="64"/>
      <c r="I2051" s="64">
        <v>1</v>
      </c>
      <c r="J2051" s="32" t="str">
        <f>IF(AND(E2051=1,OR(E2050=0,E2050="")),MAX(#REF!)+1,IF(AND(E2051=1,E2050=1),J2050,""))</f>
        <v/>
      </c>
      <c r="K2051" s="32" t="str">
        <f t="shared" si="125"/>
        <v/>
      </c>
      <c r="L2051" s="32" t="str">
        <f t="shared" si="122"/>
        <v/>
      </c>
      <c r="M2051" s="32" t="str">
        <f t="shared" si="123"/>
        <v/>
      </c>
      <c r="N2051" s="4">
        <v>1</v>
      </c>
      <c r="O2051" s="58">
        <v>0</v>
      </c>
      <c r="P2051" s="58">
        <v>0</v>
      </c>
      <c r="Q2051" s="58">
        <v>0</v>
      </c>
      <c r="R2051" s="58">
        <v>0</v>
      </c>
      <c r="S2051" s="58">
        <v>0</v>
      </c>
      <c r="T2051" s="58">
        <v>0</v>
      </c>
      <c r="U2051" s="58">
        <v>0</v>
      </c>
      <c r="V2051" s="58">
        <v>0</v>
      </c>
      <c r="AG2051" t="s">
        <v>1769</v>
      </c>
      <c r="AM2051" s="1" t="str">
        <f t="shared" si="124"/>
        <v>2049_C0013_1641.jpg</v>
      </c>
    </row>
    <row r="2052" spans="1:39" x14ac:dyDescent="0.35">
      <c r="A2052">
        <v>2048</v>
      </c>
      <c r="B2052">
        <v>2049</v>
      </c>
      <c r="F2052" s="64" t="s">
        <v>5088</v>
      </c>
      <c r="G2052" s="64"/>
      <c r="H2052" s="64"/>
      <c r="I2052" s="64">
        <v>1</v>
      </c>
      <c r="J2052" s="32" t="str">
        <f>IF(AND(E2052=1,OR(E2051=0,E2051="")),MAX(#REF!)+1,IF(AND(E2052=1,E2051=1),J2051,""))</f>
        <v/>
      </c>
      <c r="K2052" s="32" t="str">
        <f t="shared" si="125"/>
        <v/>
      </c>
      <c r="L2052" s="32" t="str">
        <f t="shared" ref="L2052:L2115" si="126">IF(K2052="","",IF(K2052&gt;=100,"HV",""))</f>
        <v/>
      </c>
      <c r="M2052" s="32" t="str">
        <f t="shared" ref="M2052:M2115" si="127">IF(K2052&lt;&gt;"",K2052^2,"")</f>
        <v/>
      </c>
      <c r="N2052" s="4">
        <v>1</v>
      </c>
      <c r="O2052" s="58">
        <v>0</v>
      </c>
      <c r="P2052" s="58">
        <v>0</v>
      </c>
      <c r="Q2052" s="58">
        <v>0</v>
      </c>
      <c r="R2052" s="58">
        <v>0</v>
      </c>
      <c r="S2052" s="58">
        <v>0</v>
      </c>
      <c r="T2052" s="58">
        <v>0</v>
      </c>
      <c r="U2052" s="58">
        <v>0</v>
      </c>
      <c r="V2052" s="58">
        <v>0</v>
      </c>
      <c r="AG2052" t="s">
        <v>1770</v>
      </c>
      <c r="AM2052" s="1" t="str">
        <f t="shared" si="124"/>
        <v>2050_C0013_1636.jpg</v>
      </c>
    </row>
    <row r="2053" spans="1:39" x14ac:dyDescent="0.35">
      <c r="A2053">
        <v>2049</v>
      </c>
      <c r="B2053">
        <v>2050</v>
      </c>
      <c r="F2053" s="64" t="s">
        <v>5089</v>
      </c>
      <c r="G2053" s="64"/>
      <c r="H2053" s="64"/>
      <c r="I2053" s="64">
        <v>1</v>
      </c>
      <c r="J2053" s="32">
        <v>151</v>
      </c>
      <c r="K2053" s="32">
        <f t="shared" si="125"/>
        <v>10</v>
      </c>
      <c r="L2053" s="32" t="str">
        <f t="shared" si="126"/>
        <v/>
      </c>
      <c r="M2053" s="32">
        <f t="shared" si="127"/>
        <v>100</v>
      </c>
      <c r="N2053" s="4">
        <v>1</v>
      </c>
      <c r="O2053" s="58">
        <v>0</v>
      </c>
      <c r="P2053" s="58">
        <v>0</v>
      </c>
      <c r="Q2053" s="58">
        <v>0</v>
      </c>
      <c r="R2053" s="58">
        <v>0</v>
      </c>
      <c r="S2053" s="58">
        <v>0</v>
      </c>
      <c r="T2053" s="58">
        <v>0</v>
      </c>
      <c r="U2053" s="58">
        <v>0</v>
      </c>
      <c r="V2053" s="58">
        <v>0</v>
      </c>
      <c r="AG2053" t="s">
        <v>1771</v>
      </c>
      <c r="AM2053" s="1" t="str">
        <f t="shared" si="124"/>
        <v>2051_C0013_1634.jpg</v>
      </c>
    </row>
    <row r="2054" spans="1:39" x14ac:dyDescent="0.35">
      <c r="A2054">
        <v>2050</v>
      </c>
      <c r="B2054">
        <v>2051</v>
      </c>
      <c r="F2054" s="64" t="s">
        <v>5090</v>
      </c>
      <c r="G2054" s="64"/>
      <c r="H2054" s="64"/>
      <c r="I2054" s="64">
        <v>1</v>
      </c>
      <c r="J2054" s="32" t="str">
        <f>IF(AND(E2054=1,OR(E2053=0,E2053="")),MAX(#REF!)+1,IF(AND(E2054=1,E2053=1),J2053,""))</f>
        <v/>
      </c>
      <c r="K2054" s="32" t="str">
        <f t="shared" si="125"/>
        <v/>
      </c>
      <c r="L2054" s="32" t="str">
        <f t="shared" si="126"/>
        <v/>
      </c>
      <c r="M2054" s="32" t="str">
        <f t="shared" si="127"/>
        <v/>
      </c>
      <c r="N2054" s="4">
        <v>1</v>
      </c>
      <c r="O2054" s="58">
        <v>0</v>
      </c>
      <c r="P2054" s="58">
        <v>0</v>
      </c>
      <c r="Q2054" s="58">
        <v>0</v>
      </c>
      <c r="R2054" s="58">
        <v>0</v>
      </c>
      <c r="S2054" s="58">
        <v>0</v>
      </c>
      <c r="T2054" s="58">
        <v>0</v>
      </c>
      <c r="U2054" s="58">
        <v>0</v>
      </c>
      <c r="V2054" s="58">
        <v>0</v>
      </c>
      <c r="AG2054" t="s">
        <v>1772</v>
      </c>
      <c r="AM2054" s="1" t="str">
        <f t="shared" si="124"/>
        <v>2052_C0013_1631.jpg</v>
      </c>
    </row>
    <row r="2055" spans="1:39" x14ac:dyDescent="0.35">
      <c r="A2055">
        <v>2051</v>
      </c>
      <c r="B2055">
        <v>2052</v>
      </c>
      <c r="F2055" s="64" t="s">
        <v>5091</v>
      </c>
      <c r="G2055" s="64"/>
      <c r="H2055" s="64"/>
      <c r="I2055" s="64">
        <v>1</v>
      </c>
      <c r="J2055" s="32" t="str">
        <f>IF(AND(E2055=1,OR(E2054=0,E2054="")),MAX(#REF!)+1,IF(AND(E2055=1,E2054=1),J2054,""))</f>
        <v/>
      </c>
      <c r="K2055" s="32" t="str">
        <f t="shared" si="125"/>
        <v/>
      </c>
      <c r="L2055" s="32" t="str">
        <f t="shared" si="126"/>
        <v/>
      </c>
      <c r="M2055" s="32" t="str">
        <f t="shared" si="127"/>
        <v/>
      </c>
      <c r="N2055" s="4">
        <v>1</v>
      </c>
      <c r="O2055" s="58">
        <v>0</v>
      </c>
      <c r="P2055" s="58">
        <v>0</v>
      </c>
      <c r="Q2055" s="58">
        <v>0</v>
      </c>
      <c r="R2055" s="58">
        <v>0</v>
      </c>
      <c r="S2055" s="58">
        <v>0</v>
      </c>
      <c r="T2055" s="58">
        <v>0</v>
      </c>
      <c r="U2055" s="58">
        <v>0</v>
      </c>
      <c r="V2055" s="58">
        <v>0</v>
      </c>
      <c r="AG2055" t="s">
        <v>1773</v>
      </c>
      <c r="AM2055" s="1" t="str">
        <f t="shared" si="124"/>
        <v>2053_C0013_1628.jpg</v>
      </c>
    </row>
    <row r="2056" spans="1:39" x14ac:dyDescent="0.35">
      <c r="A2056">
        <v>2052</v>
      </c>
      <c r="B2056">
        <v>2053</v>
      </c>
      <c r="F2056" s="64" t="s">
        <v>5092</v>
      </c>
      <c r="G2056" s="64"/>
      <c r="H2056" s="64"/>
      <c r="I2056" s="64">
        <v>1</v>
      </c>
      <c r="J2056" s="32" t="str">
        <f>IF(AND(E2056=1,OR(E2055=0,E2055="")),MAX(#REF!)+1,IF(AND(E2056=1,E2055=1),J2055,""))</f>
        <v/>
      </c>
      <c r="K2056" s="32" t="str">
        <f t="shared" si="125"/>
        <v/>
      </c>
      <c r="L2056" s="32" t="str">
        <f t="shared" si="126"/>
        <v/>
      </c>
      <c r="M2056" s="32" t="str">
        <f t="shared" si="127"/>
        <v/>
      </c>
      <c r="N2056" s="4">
        <v>1</v>
      </c>
      <c r="O2056" s="58">
        <v>0</v>
      </c>
      <c r="P2056" s="58">
        <v>0</v>
      </c>
      <c r="Q2056" s="58">
        <v>0</v>
      </c>
      <c r="R2056" s="58">
        <v>0</v>
      </c>
      <c r="S2056" s="58">
        <v>0</v>
      </c>
      <c r="T2056" s="58">
        <v>0</v>
      </c>
      <c r="U2056" s="58">
        <v>0</v>
      </c>
      <c r="V2056" s="58">
        <v>0</v>
      </c>
      <c r="AG2056" t="s">
        <v>1774</v>
      </c>
      <c r="AM2056" s="1" t="str">
        <f t="shared" si="124"/>
        <v>2054_C0013_1625.jpg</v>
      </c>
    </row>
    <row r="2057" spans="1:39" x14ac:dyDescent="0.35">
      <c r="A2057">
        <v>2053</v>
      </c>
      <c r="B2057">
        <v>2054</v>
      </c>
      <c r="F2057" s="64" t="s">
        <v>5093</v>
      </c>
      <c r="G2057" s="64"/>
      <c r="H2057" s="64"/>
      <c r="I2057" s="64">
        <v>1</v>
      </c>
      <c r="J2057" s="32" t="str">
        <f>IF(AND(E2057=1,OR(E2056=0,E2056="")),MAX(#REF!)+1,IF(AND(E2057=1,E2056=1),J2056,""))</f>
        <v/>
      </c>
      <c r="K2057" s="32" t="str">
        <f t="shared" si="125"/>
        <v/>
      </c>
      <c r="L2057" s="32" t="str">
        <f t="shared" si="126"/>
        <v/>
      </c>
      <c r="M2057" s="32" t="str">
        <f t="shared" si="127"/>
        <v/>
      </c>
      <c r="N2057" s="4">
        <v>1</v>
      </c>
      <c r="O2057" s="58">
        <v>0</v>
      </c>
      <c r="P2057" s="58">
        <v>0</v>
      </c>
      <c r="Q2057" s="58">
        <v>0</v>
      </c>
      <c r="R2057" s="58">
        <v>0</v>
      </c>
      <c r="S2057" s="58">
        <v>0</v>
      </c>
      <c r="T2057" s="58">
        <v>0</v>
      </c>
      <c r="U2057" s="58">
        <v>0</v>
      </c>
      <c r="V2057" s="58">
        <v>0</v>
      </c>
      <c r="AG2057" t="s">
        <v>1775</v>
      </c>
      <c r="AM2057" s="1" t="str">
        <f t="shared" si="124"/>
        <v>2055_C0013_1621.jpg</v>
      </c>
    </row>
    <row r="2058" spans="1:39" x14ac:dyDescent="0.35">
      <c r="A2058">
        <v>2054</v>
      </c>
      <c r="B2058">
        <v>2055</v>
      </c>
      <c r="F2058" s="64" t="s">
        <v>5094</v>
      </c>
      <c r="G2058" s="64"/>
      <c r="H2058" s="64"/>
      <c r="I2058" s="64">
        <v>1</v>
      </c>
      <c r="J2058" s="32" t="str">
        <f>IF(AND(E2058=1,OR(E2057=0,E2057="")),MAX(#REF!)+1,IF(AND(E2058=1,E2057=1),J2057,""))</f>
        <v/>
      </c>
      <c r="K2058" s="32" t="str">
        <f t="shared" si="125"/>
        <v/>
      </c>
      <c r="L2058" s="32" t="str">
        <f t="shared" si="126"/>
        <v/>
      </c>
      <c r="M2058" s="32" t="str">
        <f t="shared" si="127"/>
        <v/>
      </c>
      <c r="N2058" s="4">
        <v>1</v>
      </c>
      <c r="O2058" s="58">
        <v>0</v>
      </c>
      <c r="P2058" s="58">
        <v>0</v>
      </c>
      <c r="Q2058" s="58">
        <v>0</v>
      </c>
      <c r="R2058" s="58">
        <v>0</v>
      </c>
      <c r="S2058" s="58">
        <v>0</v>
      </c>
      <c r="T2058" s="58">
        <v>0</v>
      </c>
      <c r="U2058" s="58">
        <v>0</v>
      </c>
      <c r="V2058" s="58">
        <v>0</v>
      </c>
      <c r="AG2058" t="s">
        <v>1776</v>
      </c>
      <c r="AM2058" s="1" t="str">
        <f t="shared" si="124"/>
        <v>2056_C0013_1618.jpg</v>
      </c>
    </row>
    <row r="2059" spans="1:39" x14ac:dyDescent="0.35">
      <c r="A2059">
        <v>2055</v>
      </c>
      <c r="B2059">
        <v>2056</v>
      </c>
      <c r="F2059" s="64" t="s">
        <v>5095</v>
      </c>
      <c r="G2059" s="64"/>
      <c r="H2059" s="64"/>
      <c r="I2059" s="64">
        <v>1</v>
      </c>
      <c r="J2059" s="32" t="str">
        <f>IF(AND(E2059=1,OR(E2058=0,E2058="")),MAX(#REF!)+1,IF(AND(E2059=1,E2058=1),J2058,""))</f>
        <v/>
      </c>
      <c r="K2059" s="32" t="str">
        <f t="shared" si="125"/>
        <v/>
      </c>
      <c r="L2059" s="32" t="str">
        <f t="shared" si="126"/>
        <v/>
      </c>
      <c r="M2059" s="32" t="str">
        <f t="shared" si="127"/>
        <v/>
      </c>
      <c r="N2059" s="4">
        <v>1</v>
      </c>
      <c r="O2059" s="58">
        <v>0</v>
      </c>
      <c r="P2059" s="58">
        <v>0</v>
      </c>
      <c r="Q2059" s="58">
        <v>0</v>
      </c>
      <c r="R2059" s="58">
        <v>0</v>
      </c>
      <c r="S2059" s="58">
        <v>0</v>
      </c>
      <c r="T2059" s="58">
        <v>0</v>
      </c>
      <c r="U2059" s="58">
        <v>0</v>
      </c>
      <c r="V2059" s="58">
        <v>0</v>
      </c>
      <c r="AG2059" t="s">
        <v>1777</v>
      </c>
      <c r="AM2059" s="1" t="str">
        <f t="shared" ref="AM2059:AM2122" si="128">HYPERLINK("E:\CAFNEC_GBRF\2023\JohnstoneRiver\Frames_for_Analysis\" &amp; F2060, F2060)</f>
        <v>2057_C0013_1614.jpg</v>
      </c>
    </row>
    <row r="2060" spans="1:39" x14ac:dyDescent="0.35">
      <c r="A2060">
        <v>2056</v>
      </c>
      <c r="B2060">
        <v>2057</v>
      </c>
      <c r="F2060" s="64" t="s">
        <v>5096</v>
      </c>
      <c r="G2060" s="64"/>
      <c r="H2060" s="64"/>
      <c r="I2060" s="64">
        <v>1</v>
      </c>
      <c r="J2060" s="32" t="str">
        <f>IF(AND(E2060=1,OR(E2059=0,E2059="")),MAX(#REF!)+1,IF(AND(E2060=1,E2059=1),J2059,""))</f>
        <v/>
      </c>
      <c r="K2060" s="32" t="str">
        <f t="shared" si="125"/>
        <v/>
      </c>
      <c r="L2060" s="32" t="str">
        <f t="shared" si="126"/>
        <v/>
      </c>
      <c r="M2060" s="32" t="str">
        <f t="shared" si="127"/>
        <v/>
      </c>
      <c r="N2060" s="4">
        <v>1</v>
      </c>
      <c r="O2060" s="58">
        <v>0</v>
      </c>
      <c r="P2060" s="58">
        <v>0</v>
      </c>
      <c r="Q2060" s="58">
        <v>0</v>
      </c>
      <c r="R2060" s="58">
        <v>0</v>
      </c>
      <c r="S2060" s="58">
        <v>0</v>
      </c>
      <c r="T2060" s="58">
        <v>0</v>
      </c>
      <c r="U2060" s="58">
        <v>0</v>
      </c>
      <c r="V2060" s="58">
        <v>0</v>
      </c>
      <c r="AG2060" t="s">
        <v>1778</v>
      </c>
      <c r="AM2060" s="1" t="str">
        <f t="shared" si="128"/>
        <v>2058_C0013_1612.jpg</v>
      </c>
    </row>
    <row r="2061" spans="1:39" x14ac:dyDescent="0.35">
      <c r="A2061">
        <v>2057</v>
      </c>
      <c r="B2061">
        <v>2058</v>
      </c>
      <c r="F2061" s="64" t="s">
        <v>5097</v>
      </c>
      <c r="G2061" s="64"/>
      <c r="H2061" s="64"/>
      <c r="I2061" s="64">
        <v>1</v>
      </c>
      <c r="J2061" s="32" t="str">
        <f>IF(AND(E2061=1,OR(E2060=0,E2060="")),MAX(#REF!)+1,IF(AND(E2061=1,E2060=1),J2060,""))</f>
        <v/>
      </c>
      <c r="K2061" s="32" t="str">
        <f t="shared" si="125"/>
        <v/>
      </c>
      <c r="L2061" s="32" t="str">
        <f t="shared" si="126"/>
        <v/>
      </c>
      <c r="M2061" s="32" t="str">
        <f t="shared" si="127"/>
        <v/>
      </c>
      <c r="N2061" s="4">
        <v>1</v>
      </c>
      <c r="O2061" s="58">
        <v>0</v>
      </c>
      <c r="P2061" s="58">
        <v>0</v>
      </c>
      <c r="Q2061" s="58">
        <v>0</v>
      </c>
      <c r="R2061" s="58">
        <v>0</v>
      </c>
      <c r="S2061" s="58">
        <v>0</v>
      </c>
      <c r="T2061" s="58">
        <v>0</v>
      </c>
      <c r="U2061" s="58">
        <v>0</v>
      </c>
      <c r="V2061" s="58">
        <v>0</v>
      </c>
      <c r="AG2061" t="s">
        <v>1779</v>
      </c>
      <c r="AM2061" s="1" t="str">
        <f t="shared" si="128"/>
        <v>2059_C0013_1608.jpg</v>
      </c>
    </row>
    <row r="2062" spans="1:39" x14ac:dyDescent="0.35">
      <c r="A2062">
        <v>2058</v>
      </c>
      <c r="B2062">
        <v>2059</v>
      </c>
      <c r="F2062" s="64" t="s">
        <v>5098</v>
      </c>
      <c r="G2062" s="64"/>
      <c r="H2062" s="64"/>
      <c r="I2062" s="64">
        <v>1</v>
      </c>
      <c r="J2062" s="32" t="str">
        <f>IF(AND(E2062=1,OR(E2061=0,E2061="")),MAX(#REF!)+1,IF(AND(E2062=1,E2061=1),J2061,""))</f>
        <v/>
      </c>
      <c r="K2062" s="32" t="str">
        <f t="shared" si="125"/>
        <v/>
      </c>
      <c r="L2062" s="32" t="str">
        <f t="shared" si="126"/>
        <v/>
      </c>
      <c r="M2062" s="32" t="str">
        <f t="shared" si="127"/>
        <v/>
      </c>
      <c r="N2062" s="4">
        <v>1</v>
      </c>
      <c r="O2062" s="58">
        <v>0</v>
      </c>
      <c r="P2062" s="58">
        <v>0</v>
      </c>
      <c r="Q2062" s="58">
        <v>0</v>
      </c>
      <c r="R2062" s="58">
        <v>0</v>
      </c>
      <c r="S2062" s="58">
        <v>0</v>
      </c>
      <c r="T2062" s="58">
        <v>0</v>
      </c>
      <c r="U2062" s="58">
        <v>0</v>
      </c>
      <c r="V2062" s="58">
        <v>0</v>
      </c>
      <c r="AG2062" t="s">
        <v>1780</v>
      </c>
      <c r="AM2062" s="1" t="str">
        <f t="shared" si="128"/>
        <v>2060_C0013_1604.jpg</v>
      </c>
    </row>
    <row r="2063" spans="1:39" x14ac:dyDescent="0.35">
      <c r="A2063">
        <v>2059</v>
      </c>
      <c r="B2063">
        <v>2060</v>
      </c>
      <c r="F2063" s="64" t="s">
        <v>5099</v>
      </c>
      <c r="G2063" s="64"/>
      <c r="H2063" s="64"/>
      <c r="I2063" s="64">
        <v>1</v>
      </c>
      <c r="J2063" s="32" t="str">
        <f>IF(AND(E2063=1,OR(E2062=0,E2062="")),MAX(#REF!)+1,IF(AND(E2063=1,E2062=1),J2062,""))</f>
        <v/>
      </c>
      <c r="K2063" s="32" t="str">
        <f t="shared" si="125"/>
        <v/>
      </c>
      <c r="L2063" s="32" t="str">
        <f t="shared" si="126"/>
        <v/>
      </c>
      <c r="M2063" s="32" t="str">
        <f t="shared" si="127"/>
        <v/>
      </c>
      <c r="N2063" s="4">
        <v>1</v>
      </c>
      <c r="O2063" s="58">
        <v>0</v>
      </c>
      <c r="P2063" s="58">
        <v>0</v>
      </c>
      <c r="Q2063" s="58">
        <v>0</v>
      </c>
      <c r="R2063" s="58">
        <v>0</v>
      </c>
      <c r="S2063" s="58">
        <v>0</v>
      </c>
      <c r="T2063" s="58">
        <v>0</v>
      </c>
      <c r="U2063" s="58">
        <v>0</v>
      </c>
      <c r="V2063" s="58">
        <v>0</v>
      </c>
      <c r="AG2063" t="s">
        <v>1781</v>
      </c>
      <c r="AM2063" s="1" t="str">
        <f t="shared" si="128"/>
        <v>2061_C0013_1600.jpg</v>
      </c>
    </row>
    <row r="2064" spans="1:39" x14ac:dyDescent="0.35">
      <c r="A2064">
        <v>2060</v>
      </c>
      <c r="B2064">
        <v>2061</v>
      </c>
      <c r="F2064" s="64" t="s">
        <v>5100</v>
      </c>
      <c r="G2064" s="64"/>
      <c r="H2064" s="64"/>
      <c r="I2064" s="64">
        <v>1</v>
      </c>
      <c r="J2064" s="32" t="str">
        <f>IF(AND(E2064=1,OR(E2063=0,E2063="")),MAX(#REF!)+1,IF(AND(E2064=1,E2063=1),J2063,""))</f>
        <v/>
      </c>
      <c r="K2064" s="32" t="str">
        <f t="shared" si="125"/>
        <v/>
      </c>
      <c r="L2064" s="32" t="str">
        <f t="shared" si="126"/>
        <v/>
      </c>
      <c r="M2064" s="32" t="str">
        <f t="shared" si="127"/>
        <v/>
      </c>
      <c r="N2064" s="4">
        <v>1</v>
      </c>
      <c r="O2064" s="58">
        <v>0</v>
      </c>
      <c r="P2064" s="58">
        <v>0</v>
      </c>
      <c r="Q2064" s="58">
        <v>0</v>
      </c>
      <c r="R2064" s="58">
        <v>0</v>
      </c>
      <c r="S2064" s="58">
        <v>0</v>
      </c>
      <c r="T2064" s="58">
        <v>0</v>
      </c>
      <c r="U2064" s="58">
        <v>0</v>
      </c>
      <c r="V2064" s="58">
        <v>0</v>
      </c>
      <c r="AG2064" t="s">
        <v>1782</v>
      </c>
      <c r="AM2064" s="1" t="str">
        <f t="shared" si="128"/>
        <v>2062_C0013_1598.jpg</v>
      </c>
    </row>
    <row r="2065" spans="1:39" x14ac:dyDescent="0.35">
      <c r="A2065">
        <v>2061</v>
      </c>
      <c r="B2065">
        <v>2062</v>
      </c>
      <c r="F2065" s="64" t="s">
        <v>5101</v>
      </c>
      <c r="G2065" s="64"/>
      <c r="H2065" s="64"/>
      <c r="I2065" s="64">
        <v>1</v>
      </c>
      <c r="J2065" s="32" t="str">
        <f>IF(AND(E2065=1,OR(E2064=0,E2064="")),MAX(#REF!)+1,IF(AND(E2065=1,E2064=1),J2064,""))</f>
        <v/>
      </c>
      <c r="K2065" s="32" t="str">
        <f t="shared" si="125"/>
        <v/>
      </c>
      <c r="L2065" s="32" t="str">
        <f t="shared" si="126"/>
        <v/>
      </c>
      <c r="M2065" s="32" t="str">
        <f t="shared" si="127"/>
        <v/>
      </c>
      <c r="N2065" s="4">
        <v>1</v>
      </c>
      <c r="O2065" s="58">
        <v>0</v>
      </c>
      <c r="P2065" s="58">
        <v>0</v>
      </c>
      <c r="Q2065" s="58">
        <v>0</v>
      </c>
      <c r="R2065" s="58">
        <v>0</v>
      </c>
      <c r="S2065" s="58">
        <v>0</v>
      </c>
      <c r="T2065" s="58">
        <v>0</v>
      </c>
      <c r="U2065" s="58">
        <v>0</v>
      </c>
      <c r="V2065" s="58">
        <v>0</v>
      </c>
      <c r="AG2065" t="s">
        <v>1783</v>
      </c>
      <c r="AM2065" s="1" t="str">
        <f t="shared" si="128"/>
        <v>2063_C0013_1595.jpg</v>
      </c>
    </row>
    <row r="2066" spans="1:39" x14ac:dyDescent="0.35">
      <c r="A2066">
        <v>2062</v>
      </c>
      <c r="B2066">
        <v>2063</v>
      </c>
      <c r="F2066" s="64" t="s">
        <v>5102</v>
      </c>
      <c r="G2066" s="64"/>
      <c r="H2066" s="64"/>
      <c r="I2066" s="64">
        <v>1</v>
      </c>
      <c r="J2066" s="32">
        <v>152</v>
      </c>
      <c r="K2066" s="32">
        <f t="shared" si="125"/>
        <v>10</v>
      </c>
      <c r="L2066" s="32" t="str">
        <f t="shared" si="126"/>
        <v/>
      </c>
      <c r="M2066" s="32">
        <f t="shared" si="127"/>
        <v>100</v>
      </c>
      <c r="N2066" s="4">
        <v>1</v>
      </c>
      <c r="O2066" s="58">
        <v>0</v>
      </c>
      <c r="P2066" s="58">
        <v>0</v>
      </c>
      <c r="Q2066" s="58">
        <v>0</v>
      </c>
      <c r="R2066" s="58">
        <v>0</v>
      </c>
      <c r="S2066" s="58">
        <v>0</v>
      </c>
      <c r="T2066" s="58">
        <v>0</v>
      </c>
      <c r="U2066" s="58">
        <v>0</v>
      </c>
      <c r="V2066" s="58">
        <v>0</v>
      </c>
      <c r="AG2066" t="s">
        <v>1784</v>
      </c>
      <c r="AM2066" s="1" t="str">
        <f t="shared" si="128"/>
        <v>2064_C0013_1592.jpg</v>
      </c>
    </row>
    <row r="2067" spans="1:39" x14ac:dyDescent="0.35">
      <c r="A2067">
        <v>2063</v>
      </c>
      <c r="B2067">
        <v>2064</v>
      </c>
      <c r="F2067" s="64" t="s">
        <v>5103</v>
      </c>
      <c r="G2067" s="64"/>
      <c r="H2067" s="64"/>
      <c r="I2067" s="64">
        <v>1</v>
      </c>
      <c r="J2067" s="32">
        <v>153</v>
      </c>
      <c r="K2067" s="32">
        <f t="shared" si="125"/>
        <v>10</v>
      </c>
      <c r="L2067" s="32" t="str">
        <f t="shared" si="126"/>
        <v/>
      </c>
      <c r="M2067" s="32">
        <f t="shared" si="127"/>
        <v>100</v>
      </c>
      <c r="N2067" s="4">
        <v>1</v>
      </c>
      <c r="O2067" s="58">
        <v>0</v>
      </c>
      <c r="P2067" s="58">
        <v>0</v>
      </c>
      <c r="Q2067" s="58">
        <v>0</v>
      </c>
      <c r="R2067" s="58">
        <v>0</v>
      </c>
      <c r="S2067" s="58">
        <v>0</v>
      </c>
      <c r="T2067" s="58">
        <v>0</v>
      </c>
      <c r="U2067" s="58">
        <v>0</v>
      </c>
      <c r="V2067" s="58">
        <v>0</v>
      </c>
      <c r="AG2067" t="s">
        <v>1785</v>
      </c>
      <c r="AM2067" s="1" t="str">
        <f t="shared" si="128"/>
        <v>2065_C0013_1588.jpg</v>
      </c>
    </row>
    <row r="2068" spans="1:39" x14ac:dyDescent="0.35">
      <c r="A2068">
        <v>2064</v>
      </c>
      <c r="B2068">
        <v>2065</v>
      </c>
      <c r="F2068" s="64" t="s">
        <v>5104</v>
      </c>
      <c r="G2068" s="64"/>
      <c r="H2068" s="64"/>
      <c r="I2068" s="64">
        <v>1</v>
      </c>
      <c r="J2068" s="32" t="str">
        <f>IF(AND(E2068=1,OR(E2067=0,E2067="")),MAX(#REF!)+1,IF(AND(E2068=1,E2067=1),J2067,""))</f>
        <v/>
      </c>
      <c r="K2068" s="32" t="str">
        <f t="shared" si="125"/>
        <v/>
      </c>
      <c r="L2068" s="32" t="str">
        <f t="shared" si="126"/>
        <v/>
      </c>
      <c r="M2068" s="32" t="str">
        <f t="shared" si="127"/>
        <v/>
      </c>
      <c r="N2068" s="4">
        <v>1</v>
      </c>
      <c r="O2068" s="58">
        <v>0</v>
      </c>
      <c r="P2068" s="58">
        <v>0</v>
      </c>
      <c r="Q2068" s="58">
        <v>0</v>
      </c>
      <c r="R2068" s="58">
        <v>0</v>
      </c>
      <c r="S2068" s="58">
        <v>0</v>
      </c>
      <c r="T2068" s="58">
        <v>0</v>
      </c>
      <c r="U2068" s="58">
        <v>0</v>
      </c>
      <c r="V2068" s="58">
        <v>0</v>
      </c>
      <c r="AG2068" t="s">
        <v>1786</v>
      </c>
      <c r="AM2068" s="1" t="str">
        <f t="shared" si="128"/>
        <v>2066_C0013_1585.jpg</v>
      </c>
    </row>
    <row r="2069" spans="1:39" x14ac:dyDescent="0.35">
      <c r="A2069">
        <v>2065</v>
      </c>
      <c r="B2069">
        <v>2066</v>
      </c>
      <c r="F2069" s="64" t="s">
        <v>5105</v>
      </c>
      <c r="G2069" s="64"/>
      <c r="H2069" s="64"/>
      <c r="I2069" s="64">
        <v>1</v>
      </c>
      <c r="J2069" s="32">
        <v>154</v>
      </c>
      <c r="K2069" s="32">
        <f t="shared" si="125"/>
        <v>10</v>
      </c>
      <c r="L2069" s="32" t="str">
        <f t="shared" si="126"/>
        <v/>
      </c>
      <c r="M2069" s="32">
        <f t="shared" si="127"/>
        <v>100</v>
      </c>
      <c r="N2069" s="4">
        <v>1</v>
      </c>
      <c r="O2069" s="58">
        <v>0</v>
      </c>
      <c r="P2069" s="58">
        <v>0</v>
      </c>
      <c r="Q2069" s="58">
        <v>0</v>
      </c>
      <c r="R2069" s="58">
        <v>0</v>
      </c>
      <c r="S2069" s="58">
        <v>0</v>
      </c>
      <c r="T2069" s="58">
        <v>0</v>
      </c>
      <c r="U2069" s="58">
        <v>0</v>
      </c>
      <c r="V2069" s="58">
        <v>0</v>
      </c>
      <c r="AG2069" t="s">
        <v>1787</v>
      </c>
      <c r="AM2069" s="1" t="str">
        <f t="shared" si="128"/>
        <v>2067_C0013_1582.jpg</v>
      </c>
    </row>
    <row r="2070" spans="1:39" x14ac:dyDescent="0.35">
      <c r="A2070">
        <v>2066</v>
      </c>
      <c r="B2070">
        <v>2067</v>
      </c>
      <c r="F2070" s="64" t="s">
        <v>5106</v>
      </c>
      <c r="G2070" s="64"/>
      <c r="H2070" s="64"/>
      <c r="I2070" s="64">
        <v>1</v>
      </c>
      <c r="J2070" s="32" t="str">
        <f>IF(AND(E2070=1,OR(E2069=0,E2069="")),MAX(#REF!)+1,IF(AND(E2070=1,E2069=1),J2069,""))</f>
        <v/>
      </c>
      <c r="K2070" s="32" t="str">
        <f t="shared" si="125"/>
        <v/>
      </c>
      <c r="L2070" s="32" t="str">
        <f t="shared" si="126"/>
        <v/>
      </c>
      <c r="M2070" s="32" t="str">
        <f t="shared" si="127"/>
        <v/>
      </c>
      <c r="N2070" s="4">
        <v>1</v>
      </c>
      <c r="O2070" s="58">
        <v>0</v>
      </c>
      <c r="P2070" s="58">
        <v>0</v>
      </c>
      <c r="Q2070" s="58">
        <v>0</v>
      </c>
      <c r="R2070" s="58">
        <v>0</v>
      </c>
      <c r="S2070" s="58">
        <v>0</v>
      </c>
      <c r="T2070" s="58">
        <v>0</v>
      </c>
      <c r="U2070" s="58">
        <v>0</v>
      </c>
      <c r="V2070" s="58">
        <v>0</v>
      </c>
      <c r="AG2070" t="s">
        <v>1788</v>
      </c>
      <c r="AM2070" s="1" t="str">
        <f t="shared" si="128"/>
        <v>2068_C0013_1578.jpg</v>
      </c>
    </row>
    <row r="2071" spans="1:39" x14ac:dyDescent="0.35">
      <c r="A2071">
        <v>2067</v>
      </c>
      <c r="B2071">
        <v>2068</v>
      </c>
      <c r="F2071" s="64" t="s">
        <v>5107</v>
      </c>
      <c r="G2071" s="64"/>
      <c r="H2071" s="64"/>
      <c r="I2071" s="64">
        <v>1</v>
      </c>
      <c r="J2071" s="32">
        <v>155</v>
      </c>
      <c r="K2071" s="32">
        <f t="shared" si="125"/>
        <v>10</v>
      </c>
      <c r="L2071" s="32" t="str">
        <f t="shared" si="126"/>
        <v/>
      </c>
      <c r="M2071" s="32">
        <f t="shared" si="127"/>
        <v>100</v>
      </c>
      <c r="N2071" s="4">
        <v>1</v>
      </c>
      <c r="O2071" s="58">
        <v>0</v>
      </c>
      <c r="P2071" s="58">
        <v>0</v>
      </c>
      <c r="Q2071" s="58">
        <v>0</v>
      </c>
      <c r="R2071" s="58">
        <v>0</v>
      </c>
      <c r="S2071" s="58">
        <v>0</v>
      </c>
      <c r="T2071" s="58">
        <v>0</v>
      </c>
      <c r="U2071" s="58">
        <v>0</v>
      </c>
      <c r="V2071" s="58">
        <v>0</v>
      </c>
      <c r="AG2071" t="s">
        <v>1789</v>
      </c>
      <c r="AM2071" s="1" t="str">
        <f t="shared" si="128"/>
        <v>2069_C0013_1575.jpg</v>
      </c>
    </row>
    <row r="2072" spans="1:39" x14ac:dyDescent="0.35">
      <c r="A2072">
        <v>2068</v>
      </c>
      <c r="B2072">
        <v>2069</v>
      </c>
      <c r="F2072" s="64" t="s">
        <v>5108</v>
      </c>
      <c r="G2072" s="64"/>
      <c r="H2072" s="64"/>
      <c r="I2072" s="64">
        <v>1</v>
      </c>
      <c r="J2072" s="32" t="str">
        <f>IF(AND(E2072=1,OR(E2071=0,E2071="")),MAX(#REF!)+1,IF(AND(E2072=1,E2071=1),J2071,""))</f>
        <v/>
      </c>
      <c r="K2072" s="32" t="str">
        <f t="shared" si="125"/>
        <v/>
      </c>
      <c r="L2072" s="32" t="str">
        <f t="shared" si="126"/>
        <v/>
      </c>
      <c r="M2072" s="32" t="str">
        <f t="shared" si="127"/>
        <v/>
      </c>
      <c r="N2072" s="4">
        <v>1</v>
      </c>
      <c r="O2072" s="58">
        <v>0</v>
      </c>
      <c r="P2072" s="58">
        <v>0</v>
      </c>
      <c r="Q2072" s="58">
        <v>0</v>
      </c>
      <c r="R2072" s="58">
        <v>0</v>
      </c>
      <c r="S2072" s="58">
        <v>0</v>
      </c>
      <c r="T2072" s="58">
        <v>0</v>
      </c>
      <c r="U2072" s="58">
        <v>0</v>
      </c>
      <c r="V2072" s="58">
        <v>0</v>
      </c>
      <c r="AG2072" t="s">
        <v>1790</v>
      </c>
      <c r="AM2072" s="1" t="str">
        <f t="shared" si="128"/>
        <v>2070_C0013_1572.jpg</v>
      </c>
    </row>
    <row r="2073" spans="1:39" x14ac:dyDescent="0.35">
      <c r="A2073">
        <v>2069</v>
      </c>
      <c r="B2073">
        <v>2070</v>
      </c>
      <c r="F2073" s="64" t="s">
        <v>5109</v>
      </c>
      <c r="G2073" s="64"/>
      <c r="H2073" s="64"/>
      <c r="I2073" s="64">
        <v>1</v>
      </c>
      <c r="J2073" s="32" t="str">
        <f>IF(AND(E2073=1,OR(E2072=0,E2072="")),MAX(#REF!)+1,IF(AND(E2073=1,E2072=1),J2072,""))</f>
        <v/>
      </c>
      <c r="K2073" s="32" t="str">
        <f t="shared" si="125"/>
        <v/>
      </c>
      <c r="L2073" s="32" t="str">
        <f t="shared" si="126"/>
        <v/>
      </c>
      <c r="M2073" s="32" t="str">
        <f t="shared" si="127"/>
        <v/>
      </c>
      <c r="N2073" s="4">
        <v>1</v>
      </c>
      <c r="O2073" s="58">
        <v>0</v>
      </c>
      <c r="P2073" s="58">
        <v>0</v>
      </c>
      <c r="Q2073" s="58">
        <v>0</v>
      </c>
      <c r="R2073" s="58">
        <v>0</v>
      </c>
      <c r="S2073" s="58">
        <v>0</v>
      </c>
      <c r="T2073" s="58">
        <v>0</v>
      </c>
      <c r="U2073" s="58">
        <v>0</v>
      </c>
      <c r="V2073" s="58">
        <v>0</v>
      </c>
      <c r="AG2073" t="s">
        <v>1791</v>
      </c>
      <c r="AM2073" s="1" t="str">
        <f t="shared" si="128"/>
        <v>2071_C0013_1567.jpg</v>
      </c>
    </row>
    <row r="2074" spans="1:39" x14ac:dyDescent="0.35">
      <c r="A2074">
        <v>2070</v>
      </c>
      <c r="B2074">
        <v>2071</v>
      </c>
      <c r="F2074" s="64" t="s">
        <v>5110</v>
      </c>
      <c r="G2074" s="64"/>
      <c r="H2074" s="64"/>
      <c r="I2074" s="64">
        <v>1</v>
      </c>
      <c r="J2074" s="32" t="str">
        <f>IF(AND(E2074=1,OR(E2073=0,E2073="")),MAX(#REF!)+1,IF(AND(E2074=1,E2073=1),J2073,""))</f>
        <v/>
      </c>
      <c r="K2074" s="32" t="str">
        <f t="shared" si="125"/>
        <v/>
      </c>
      <c r="L2074" s="32" t="str">
        <f t="shared" si="126"/>
        <v/>
      </c>
      <c r="M2074" s="32" t="str">
        <f t="shared" si="127"/>
        <v/>
      </c>
      <c r="N2074" s="4">
        <v>1</v>
      </c>
      <c r="O2074" s="58">
        <v>0</v>
      </c>
      <c r="P2074" s="58">
        <v>0</v>
      </c>
      <c r="Q2074" s="58">
        <v>0</v>
      </c>
      <c r="R2074" s="58">
        <v>0</v>
      </c>
      <c r="S2074" s="58">
        <v>0</v>
      </c>
      <c r="T2074" s="58">
        <v>0</v>
      </c>
      <c r="U2074" s="58">
        <v>0</v>
      </c>
      <c r="V2074" s="58">
        <v>0</v>
      </c>
      <c r="AG2074" t="s">
        <v>1792</v>
      </c>
      <c r="AM2074" s="1" t="str">
        <f t="shared" si="128"/>
        <v>2072_C0013_1565.jpg</v>
      </c>
    </row>
    <row r="2075" spans="1:39" x14ac:dyDescent="0.35">
      <c r="A2075">
        <v>2071</v>
      </c>
      <c r="B2075">
        <v>2072</v>
      </c>
      <c r="F2075" s="64" t="s">
        <v>5111</v>
      </c>
      <c r="G2075" s="64"/>
      <c r="H2075" s="64"/>
      <c r="I2075" s="64">
        <v>1</v>
      </c>
      <c r="J2075" s="32" t="str">
        <f>IF(AND(E2075=1,OR(E2074=0,E2074="")),MAX(#REF!)+1,IF(AND(E2075=1,E2074=1),J2074,""))</f>
        <v/>
      </c>
      <c r="K2075" s="32" t="str">
        <f t="shared" si="125"/>
        <v/>
      </c>
      <c r="L2075" s="32" t="str">
        <f t="shared" si="126"/>
        <v/>
      </c>
      <c r="M2075" s="32" t="str">
        <f t="shared" si="127"/>
        <v/>
      </c>
      <c r="N2075" s="4">
        <v>1</v>
      </c>
      <c r="O2075" s="58">
        <v>0</v>
      </c>
      <c r="P2075" s="58">
        <v>0</v>
      </c>
      <c r="Q2075" s="58">
        <v>0</v>
      </c>
      <c r="R2075" s="58">
        <v>0</v>
      </c>
      <c r="S2075" s="58">
        <v>0</v>
      </c>
      <c r="T2075" s="58">
        <v>0</v>
      </c>
      <c r="U2075" s="58">
        <v>0</v>
      </c>
      <c r="V2075" s="58">
        <v>0</v>
      </c>
      <c r="AG2075" t="s">
        <v>1793</v>
      </c>
      <c r="AM2075" s="1" t="str">
        <f t="shared" si="128"/>
        <v>2073_C0013_1562.jpg</v>
      </c>
    </row>
    <row r="2076" spans="1:39" x14ac:dyDescent="0.35">
      <c r="A2076">
        <v>2072</v>
      </c>
      <c r="B2076">
        <v>2073</v>
      </c>
      <c r="F2076" s="64" t="s">
        <v>5112</v>
      </c>
      <c r="G2076" s="64"/>
      <c r="H2076" s="64"/>
      <c r="I2076" s="64">
        <v>1</v>
      </c>
      <c r="J2076" s="32" t="str">
        <f>IF(AND(E2076=1,OR(E2075=0,E2075="")),MAX(#REF!)+1,IF(AND(E2076=1,E2075=1),J2075,""))</f>
        <v/>
      </c>
      <c r="K2076" s="32" t="str">
        <f t="shared" si="125"/>
        <v/>
      </c>
      <c r="L2076" s="32" t="str">
        <f t="shared" si="126"/>
        <v/>
      </c>
      <c r="M2076" s="32" t="str">
        <f t="shared" si="127"/>
        <v/>
      </c>
      <c r="N2076" s="4">
        <v>1</v>
      </c>
      <c r="O2076" s="58">
        <v>0</v>
      </c>
      <c r="P2076" s="58">
        <v>0</v>
      </c>
      <c r="Q2076" s="58">
        <v>0</v>
      </c>
      <c r="R2076" s="58">
        <v>0</v>
      </c>
      <c r="S2076" s="58">
        <v>0</v>
      </c>
      <c r="T2076" s="58">
        <v>0</v>
      </c>
      <c r="U2076" s="58">
        <v>0</v>
      </c>
      <c r="V2076" s="58">
        <v>0</v>
      </c>
      <c r="AG2076" t="s">
        <v>1794</v>
      </c>
      <c r="AM2076" s="1" t="str">
        <f t="shared" si="128"/>
        <v>2074_C0013_1558.jpg</v>
      </c>
    </row>
    <row r="2077" spans="1:39" x14ac:dyDescent="0.35">
      <c r="A2077">
        <v>2073</v>
      </c>
      <c r="B2077">
        <v>2074</v>
      </c>
      <c r="F2077" s="64" t="s">
        <v>5113</v>
      </c>
      <c r="G2077" s="64"/>
      <c r="H2077" s="64"/>
      <c r="I2077" s="64">
        <v>1</v>
      </c>
      <c r="J2077" s="32" t="str">
        <f>IF(AND(E2077=1,OR(E2076=0,E2076="")),MAX(#REF!)+1,IF(AND(E2077=1,E2076=1),J2076,""))</f>
        <v/>
      </c>
      <c r="K2077" s="32" t="str">
        <f t="shared" si="125"/>
        <v/>
      </c>
      <c r="L2077" s="32" t="str">
        <f t="shared" si="126"/>
        <v/>
      </c>
      <c r="M2077" s="32" t="str">
        <f t="shared" si="127"/>
        <v/>
      </c>
      <c r="N2077" s="4">
        <v>1</v>
      </c>
      <c r="O2077" s="58">
        <v>0</v>
      </c>
      <c r="P2077" s="58">
        <v>0</v>
      </c>
      <c r="Q2077" s="58">
        <v>0</v>
      </c>
      <c r="R2077" s="58">
        <v>0</v>
      </c>
      <c r="S2077" s="58">
        <v>0</v>
      </c>
      <c r="T2077" s="58">
        <v>0</v>
      </c>
      <c r="U2077" s="58">
        <v>0</v>
      </c>
      <c r="V2077" s="58">
        <v>0</v>
      </c>
      <c r="AG2077" t="s">
        <v>1795</v>
      </c>
      <c r="AM2077" s="1" t="str">
        <f t="shared" si="128"/>
        <v>2075_C0013_1555.jpg</v>
      </c>
    </row>
    <row r="2078" spans="1:39" x14ac:dyDescent="0.35">
      <c r="A2078">
        <v>2074</v>
      </c>
      <c r="B2078">
        <v>2075</v>
      </c>
      <c r="F2078" s="64" t="s">
        <v>5114</v>
      </c>
      <c r="G2078" s="64"/>
      <c r="H2078" s="64"/>
      <c r="I2078" s="64">
        <v>1</v>
      </c>
      <c r="J2078" s="32" t="str">
        <f>IF(AND(E2078=1,OR(E2077=0,E2077="")),MAX(#REF!)+1,IF(AND(E2078=1,E2077=1),J2077,""))</f>
        <v/>
      </c>
      <c r="K2078" s="32" t="str">
        <f t="shared" si="125"/>
        <v/>
      </c>
      <c r="L2078" s="32" t="str">
        <f t="shared" si="126"/>
        <v/>
      </c>
      <c r="M2078" s="32" t="str">
        <f t="shared" si="127"/>
        <v/>
      </c>
      <c r="N2078" s="4">
        <v>1</v>
      </c>
      <c r="O2078" s="58">
        <v>0</v>
      </c>
      <c r="P2078" s="58">
        <v>0</v>
      </c>
      <c r="Q2078" s="58">
        <v>0</v>
      </c>
      <c r="R2078" s="58">
        <v>0</v>
      </c>
      <c r="S2078" s="58">
        <v>0</v>
      </c>
      <c r="T2078" s="58">
        <v>0</v>
      </c>
      <c r="U2078" s="58">
        <v>0</v>
      </c>
      <c r="V2078" s="58">
        <v>0</v>
      </c>
      <c r="AG2078" t="s">
        <v>1796</v>
      </c>
      <c r="AM2078" s="1" t="str">
        <f t="shared" si="128"/>
        <v>2076_C0013_1551.jpg</v>
      </c>
    </row>
    <row r="2079" spans="1:39" x14ac:dyDescent="0.35">
      <c r="A2079">
        <v>2075</v>
      </c>
      <c r="B2079">
        <v>2076</v>
      </c>
      <c r="F2079" s="64" t="s">
        <v>5115</v>
      </c>
      <c r="G2079" s="64"/>
      <c r="H2079" s="64"/>
      <c r="I2079" s="64">
        <v>1</v>
      </c>
      <c r="J2079" s="32" t="str">
        <f>IF(AND(E2079=1,OR(E2078=0,E2078="")),MAX(#REF!)+1,IF(AND(E2079=1,E2078=1),J2078,""))</f>
        <v/>
      </c>
      <c r="K2079" s="32" t="str">
        <f t="shared" ref="K2079:K2142" si="129">IF(J2079="","",COUNTIF(J:J,J2079)*10)</f>
        <v/>
      </c>
      <c r="L2079" s="32" t="str">
        <f t="shared" si="126"/>
        <v/>
      </c>
      <c r="M2079" s="32" t="str">
        <f t="shared" si="127"/>
        <v/>
      </c>
      <c r="N2079" s="4">
        <v>1</v>
      </c>
      <c r="O2079" s="58">
        <v>0</v>
      </c>
      <c r="P2079" s="58">
        <v>0</v>
      </c>
      <c r="Q2079" s="58">
        <v>0</v>
      </c>
      <c r="R2079" s="58">
        <v>0</v>
      </c>
      <c r="S2079" s="58">
        <v>0</v>
      </c>
      <c r="T2079" s="58">
        <v>0</v>
      </c>
      <c r="U2079" s="58">
        <v>0</v>
      </c>
      <c r="V2079" s="58">
        <v>0</v>
      </c>
      <c r="AG2079" t="s">
        <v>1797</v>
      </c>
      <c r="AM2079" s="1" t="str">
        <f t="shared" si="128"/>
        <v>2077_C0013_1548.jpg</v>
      </c>
    </row>
    <row r="2080" spans="1:39" x14ac:dyDescent="0.35">
      <c r="A2080">
        <v>2076</v>
      </c>
      <c r="B2080">
        <v>2077</v>
      </c>
      <c r="F2080" s="64" t="s">
        <v>5116</v>
      </c>
      <c r="G2080" s="64"/>
      <c r="H2080" s="64"/>
      <c r="I2080" s="64">
        <v>1</v>
      </c>
      <c r="J2080" s="32" t="str">
        <f>IF(AND(E2080=1,OR(E2079=0,E2079="")),MAX(#REF!)+1,IF(AND(E2080=1,E2079=1),J2079,""))</f>
        <v/>
      </c>
      <c r="K2080" s="32" t="str">
        <f t="shared" si="129"/>
        <v/>
      </c>
      <c r="L2080" s="32" t="str">
        <f t="shared" si="126"/>
        <v/>
      </c>
      <c r="M2080" s="32" t="str">
        <f t="shared" si="127"/>
        <v/>
      </c>
      <c r="N2080" s="4">
        <v>1</v>
      </c>
      <c r="O2080" s="58">
        <v>0</v>
      </c>
      <c r="P2080" s="58">
        <v>0</v>
      </c>
      <c r="Q2080" s="58">
        <v>0</v>
      </c>
      <c r="R2080" s="58">
        <v>0</v>
      </c>
      <c r="S2080" s="58">
        <v>0</v>
      </c>
      <c r="T2080" s="58">
        <v>0</v>
      </c>
      <c r="U2080" s="58">
        <v>0</v>
      </c>
      <c r="V2080" s="58">
        <v>0</v>
      </c>
      <c r="AG2080" t="s">
        <v>1798</v>
      </c>
      <c r="AM2080" s="1" t="str">
        <f t="shared" si="128"/>
        <v>2078_C0013_1546.jpg</v>
      </c>
    </row>
    <row r="2081" spans="1:39" x14ac:dyDescent="0.35">
      <c r="A2081">
        <v>2077</v>
      </c>
      <c r="B2081">
        <v>2078</v>
      </c>
      <c r="F2081" s="64" t="s">
        <v>5117</v>
      </c>
      <c r="G2081" s="64"/>
      <c r="H2081" s="64"/>
      <c r="I2081" s="64">
        <v>1</v>
      </c>
      <c r="J2081" s="32" t="str">
        <f>IF(AND(E2081=1,OR(E2080=0,E2080="")),MAX(#REF!)+1,IF(AND(E2081=1,E2080=1),J2080,""))</f>
        <v/>
      </c>
      <c r="K2081" s="32" t="str">
        <f t="shared" si="129"/>
        <v/>
      </c>
      <c r="L2081" s="32" t="str">
        <f t="shared" si="126"/>
        <v/>
      </c>
      <c r="M2081" s="32" t="str">
        <f t="shared" si="127"/>
        <v/>
      </c>
      <c r="N2081" s="4">
        <v>1</v>
      </c>
      <c r="O2081" s="58">
        <v>0</v>
      </c>
      <c r="P2081" s="58">
        <v>0</v>
      </c>
      <c r="Q2081" s="58">
        <v>0</v>
      </c>
      <c r="R2081" s="58">
        <v>0</v>
      </c>
      <c r="S2081" s="58">
        <v>0</v>
      </c>
      <c r="T2081" s="58">
        <v>0</v>
      </c>
      <c r="U2081" s="58">
        <v>0</v>
      </c>
      <c r="V2081" s="58">
        <v>0</v>
      </c>
      <c r="AG2081" t="s">
        <v>1799</v>
      </c>
      <c r="AM2081" s="1" t="str">
        <f t="shared" si="128"/>
        <v>2079_C0013_1543.jpg</v>
      </c>
    </row>
    <row r="2082" spans="1:39" x14ac:dyDescent="0.35">
      <c r="A2082">
        <v>2078</v>
      </c>
      <c r="B2082">
        <v>2079</v>
      </c>
      <c r="F2082" s="64" t="s">
        <v>5118</v>
      </c>
      <c r="G2082" s="64"/>
      <c r="H2082" s="64"/>
      <c r="I2082" s="64">
        <v>1</v>
      </c>
      <c r="J2082" s="32" t="str">
        <f>IF(AND(E2082=1,OR(E2081=0,E2081="")),MAX(#REF!)+1,IF(AND(E2082=1,E2081=1),J2081,""))</f>
        <v/>
      </c>
      <c r="K2082" s="32" t="str">
        <f t="shared" si="129"/>
        <v/>
      </c>
      <c r="L2082" s="32" t="str">
        <f t="shared" si="126"/>
        <v/>
      </c>
      <c r="M2082" s="32" t="str">
        <f t="shared" si="127"/>
        <v/>
      </c>
      <c r="N2082" s="4">
        <v>1</v>
      </c>
      <c r="O2082" s="58">
        <v>0</v>
      </c>
      <c r="P2082" s="58">
        <v>0</v>
      </c>
      <c r="Q2082" s="58">
        <v>0</v>
      </c>
      <c r="R2082" s="58">
        <v>0</v>
      </c>
      <c r="S2082" s="58">
        <v>0</v>
      </c>
      <c r="T2082" s="58">
        <v>0</v>
      </c>
      <c r="U2082" s="58">
        <v>0</v>
      </c>
      <c r="V2082" s="58">
        <v>0</v>
      </c>
      <c r="AG2082" t="s">
        <v>1800</v>
      </c>
      <c r="AM2082" s="1" t="str">
        <f t="shared" si="128"/>
        <v>2080_C0013_1540.jpg</v>
      </c>
    </row>
    <row r="2083" spans="1:39" x14ac:dyDescent="0.35">
      <c r="A2083">
        <v>2079</v>
      </c>
      <c r="B2083">
        <v>2080</v>
      </c>
      <c r="F2083" s="64" t="s">
        <v>5119</v>
      </c>
      <c r="G2083" s="64"/>
      <c r="H2083" s="64"/>
      <c r="I2083" s="64">
        <v>1</v>
      </c>
      <c r="J2083" s="32" t="str">
        <f>IF(AND(E2083=1,OR(E2082=0,E2082="")),MAX(#REF!)+1,IF(AND(E2083=1,E2082=1),J2082,""))</f>
        <v/>
      </c>
      <c r="K2083" s="32" t="str">
        <f t="shared" si="129"/>
        <v/>
      </c>
      <c r="L2083" s="32" t="str">
        <f t="shared" si="126"/>
        <v/>
      </c>
      <c r="M2083" s="32" t="str">
        <f t="shared" si="127"/>
        <v/>
      </c>
      <c r="N2083" s="4">
        <v>1</v>
      </c>
      <c r="O2083" s="58">
        <v>0</v>
      </c>
      <c r="P2083" s="58">
        <v>0</v>
      </c>
      <c r="Q2083" s="58">
        <v>0</v>
      </c>
      <c r="R2083" s="58">
        <v>0</v>
      </c>
      <c r="S2083" s="58">
        <v>0</v>
      </c>
      <c r="T2083" s="58">
        <v>0</v>
      </c>
      <c r="U2083" s="58">
        <v>0</v>
      </c>
      <c r="V2083" s="58">
        <v>0</v>
      </c>
      <c r="AG2083" t="s">
        <v>1801</v>
      </c>
      <c r="AM2083" s="1" t="str">
        <f t="shared" si="128"/>
        <v>2081_C0013_1537.jpg</v>
      </c>
    </row>
    <row r="2084" spans="1:39" x14ac:dyDescent="0.35">
      <c r="A2084">
        <v>2080</v>
      </c>
      <c r="B2084">
        <v>2081</v>
      </c>
      <c r="F2084" s="64" t="s">
        <v>5120</v>
      </c>
      <c r="G2084" s="64"/>
      <c r="H2084" s="64"/>
      <c r="I2084" s="64">
        <v>1</v>
      </c>
      <c r="J2084" s="32" t="str">
        <f>IF(AND(E2084=1,OR(E2083=0,E2083="")),MAX(#REF!)+1,IF(AND(E2084=1,E2083=1),J2083,""))</f>
        <v/>
      </c>
      <c r="K2084" s="32" t="str">
        <f t="shared" si="129"/>
        <v/>
      </c>
      <c r="L2084" s="32" t="str">
        <f t="shared" si="126"/>
        <v/>
      </c>
      <c r="M2084" s="32" t="str">
        <f t="shared" si="127"/>
        <v/>
      </c>
      <c r="N2084" s="4">
        <v>1</v>
      </c>
      <c r="O2084" s="58">
        <v>0</v>
      </c>
      <c r="P2084" s="58">
        <v>0</v>
      </c>
      <c r="Q2084" s="58">
        <v>0</v>
      </c>
      <c r="R2084" s="58">
        <v>0</v>
      </c>
      <c r="S2084" s="58">
        <v>0</v>
      </c>
      <c r="T2084" s="58">
        <v>0</v>
      </c>
      <c r="U2084" s="58">
        <v>0</v>
      </c>
      <c r="V2084" s="58">
        <v>0</v>
      </c>
      <c r="AG2084" t="s">
        <v>1802</v>
      </c>
      <c r="AM2084" s="1" t="str">
        <f t="shared" si="128"/>
        <v>2082_C0013_1533.jpg</v>
      </c>
    </row>
    <row r="2085" spans="1:39" x14ac:dyDescent="0.35">
      <c r="A2085">
        <v>2081</v>
      </c>
      <c r="B2085">
        <v>2082</v>
      </c>
      <c r="F2085" s="64" t="s">
        <v>5121</v>
      </c>
      <c r="G2085" s="64"/>
      <c r="H2085" s="64"/>
      <c r="I2085" s="64">
        <v>1</v>
      </c>
      <c r="J2085" s="32" t="str">
        <f>IF(AND(E2085=1,OR(E2084=0,E2084="")),MAX(#REF!)+1,IF(AND(E2085=1,E2084=1),J2084,""))</f>
        <v/>
      </c>
      <c r="K2085" s="32" t="str">
        <f t="shared" si="129"/>
        <v/>
      </c>
      <c r="L2085" s="32" t="str">
        <f t="shared" si="126"/>
        <v/>
      </c>
      <c r="M2085" s="32" t="str">
        <f t="shared" si="127"/>
        <v/>
      </c>
      <c r="N2085" s="4">
        <v>1</v>
      </c>
      <c r="O2085" s="58">
        <v>0</v>
      </c>
      <c r="P2085" s="58">
        <v>0</v>
      </c>
      <c r="Q2085" s="58">
        <v>0</v>
      </c>
      <c r="R2085" s="58">
        <v>0</v>
      </c>
      <c r="S2085" s="58">
        <v>0</v>
      </c>
      <c r="T2085" s="58">
        <v>0</v>
      </c>
      <c r="U2085" s="58">
        <v>0</v>
      </c>
      <c r="V2085" s="58">
        <v>0</v>
      </c>
      <c r="AG2085" t="s">
        <v>1803</v>
      </c>
      <c r="AM2085" s="1" t="str">
        <f t="shared" si="128"/>
        <v>2083_C0013_1529.jpg</v>
      </c>
    </row>
    <row r="2086" spans="1:39" x14ac:dyDescent="0.35">
      <c r="A2086">
        <v>2082</v>
      </c>
      <c r="B2086">
        <v>2083</v>
      </c>
      <c r="F2086" s="64" t="s">
        <v>5122</v>
      </c>
      <c r="G2086" s="64"/>
      <c r="H2086" s="64"/>
      <c r="I2086" s="64">
        <v>1</v>
      </c>
      <c r="J2086" s="32" t="str">
        <f>IF(AND(E2086=1,OR(E2085=0,E2085="")),MAX(#REF!)+1,IF(AND(E2086=1,E2085=1),J2085,""))</f>
        <v/>
      </c>
      <c r="K2086" s="32" t="str">
        <f t="shared" si="129"/>
        <v/>
      </c>
      <c r="L2086" s="32" t="str">
        <f t="shared" si="126"/>
        <v/>
      </c>
      <c r="M2086" s="32" t="str">
        <f t="shared" si="127"/>
        <v/>
      </c>
      <c r="N2086" s="4">
        <v>1</v>
      </c>
      <c r="O2086" s="58">
        <v>0</v>
      </c>
      <c r="P2086" s="58">
        <v>0</v>
      </c>
      <c r="Q2086" s="58">
        <v>0</v>
      </c>
      <c r="R2086" s="58">
        <v>0</v>
      </c>
      <c r="S2086" s="58">
        <v>0</v>
      </c>
      <c r="T2086" s="58">
        <v>0</v>
      </c>
      <c r="U2086" s="58">
        <v>0</v>
      </c>
      <c r="V2086" s="58">
        <v>0</v>
      </c>
      <c r="AG2086" t="s">
        <v>1804</v>
      </c>
      <c r="AM2086" s="1" t="str">
        <f t="shared" si="128"/>
        <v>2084_C0013_1526.jpg</v>
      </c>
    </row>
    <row r="2087" spans="1:39" x14ac:dyDescent="0.35">
      <c r="A2087">
        <v>2083</v>
      </c>
      <c r="B2087">
        <v>2084</v>
      </c>
      <c r="F2087" s="64" t="s">
        <v>5123</v>
      </c>
      <c r="G2087" s="64"/>
      <c r="H2087" s="64"/>
      <c r="I2087" s="64">
        <v>1</v>
      </c>
      <c r="J2087" s="32" t="str">
        <f>IF(AND(E2087=1,OR(E2086=0,E2086="")),MAX(#REF!)+1,IF(AND(E2087=1,E2086=1),J2086,""))</f>
        <v/>
      </c>
      <c r="K2087" s="32" t="str">
        <f t="shared" si="129"/>
        <v/>
      </c>
      <c r="L2087" s="32" t="str">
        <f t="shared" si="126"/>
        <v/>
      </c>
      <c r="M2087" s="32" t="str">
        <f t="shared" si="127"/>
        <v/>
      </c>
      <c r="N2087" s="4">
        <v>1</v>
      </c>
      <c r="O2087" s="58">
        <v>0</v>
      </c>
      <c r="P2087" s="58">
        <v>0</v>
      </c>
      <c r="Q2087" s="58">
        <v>0</v>
      </c>
      <c r="R2087" s="58">
        <v>0</v>
      </c>
      <c r="S2087" s="58">
        <v>0</v>
      </c>
      <c r="T2087" s="58">
        <v>0</v>
      </c>
      <c r="U2087" s="58">
        <v>0</v>
      </c>
      <c r="V2087" s="58">
        <v>0</v>
      </c>
      <c r="AG2087" t="s">
        <v>1805</v>
      </c>
      <c r="AM2087" s="1" t="str">
        <f t="shared" si="128"/>
        <v>2085_C0013_1522.jpg</v>
      </c>
    </row>
    <row r="2088" spans="1:39" x14ac:dyDescent="0.35">
      <c r="A2088">
        <v>2084</v>
      </c>
      <c r="B2088">
        <v>2085</v>
      </c>
      <c r="F2088" s="64" t="s">
        <v>5124</v>
      </c>
      <c r="G2088" s="64"/>
      <c r="H2088" s="64"/>
      <c r="I2088" s="64">
        <v>0</v>
      </c>
      <c r="J2088" s="32" t="str">
        <f>IF(AND(E2088=1,OR(E2087=0,E2087="")),MAX(#REF!)+1,IF(AND(E2088=1,E2087=1),J2087,""))</f>
        <v/>
      </c>
      <c r="K2088" s="32" t="str">
        <f t="shared" si="129"/>
        <v/>
      </c>
      <c r="L2088" s="32" t="str">
        <f t="shared" si="126"/>
        <v/>
      </c>
      <c r="M2088" s="32" t="str">
        <f t="shared" si="127"/>
        <v/>
      </c>
      <c r="N2088" s="4">
        <v>1</v>
      </c>
      <c r="O2088" s="58">
        <v>0</v>
      </c>
      <c r="P2088" s="58">
        <v>0</v>
      </c>
      <c r="Q2088" s="58">
        <v>0</v>
      </c>
      <c r="R2088" s="58">
        <v>0</v>
      </c>
      <c r="S2088" s="58">
        <v>0</v>
      </c>
      <c r="T2088" s="58">
        <v>0</v>
      </c>
      <c r="U2088" s="58">
        <v>0</v>
      </c>
      <c r="V2088" s="58">
        <v>0</v>
      </c>
      <c r="AG2088" t="s">
        <v>1806</v>
      </c>
      <c r="AM2088" s="1" t="str">
        <f t="shared" si="128"/>
        <v>2086_C0013_1518.jpg</v>
      </c>
    </row>
    <row r="2089" spans="1:39" x14ac:dyDescent="0.35">
      <c r="A2089">
        <v>2085</v>
      </c>
      <c r="B2089">
        <v>2086</v>
      </c>
      <c r="F2089" s="64" t="s">
        <v>5125</v>
      </c>
      <c r="G2089" s="64"/>
      <c r="H2089" s="64"/>
      <c r="I2089" s="64">
        <v>0</v>
      </c>
      <c r="J2089" s="32" t="str">
        <f>IF(AND(E2089=1,OR(E2088=0,E2088="")),MAX(#REF!)+1,IF(AND(E2089=1,E2088=1),J2088,""))</f>
        <v/>
      </c>
      <c r="K2089" s="32" t="str">
        <f t="shared" si="129"/>
        <v/>
      </c>
      <c r="L2089" s="32" t="str">
        <f t="shared" si="126"/>
        <v/>
      </c>
      <c r="M2089" s="32" t="str">
        <f t="shared" si="127"/>
        <v/>
      </c>
      <c r="N2089" s="4">
        <v>1</v>
      </c>
      <c r="O2089" s="58">
        <v>0</v>
      </c>
      <c r="P2089" s="58">
        <v>0</v>
      </c>
      <c r="Q2089" s="58">
        <v>0</v>
      </c>
      <c r="R2089" s="58">
        <v>0</v>
      </c>
      <c r="S2089" s="58">
        <v>0</v>
      </c>
      <c r="T2089" s="58">
        <v>0</v>
      </c>
      <c r="U2089" s="58">
        <v>0</v>
      </c>
      <c r="V2089" s="58">
        <v>0</v>
      </c>
      <c r="AG2089" t="s">
        <v>1807</v>
      </c>
      <c r="AM2089" s="1" t="str">
        <f t="shared" si="128"/>
        <v>2087_C0013_1516.jpg</v>
      </c>
    </row>
    <row r="2090" spans="1:39" x14ac:dyDescent="0.35">
      <c r="A2090">
        <v>2086</v>
      </c>
      <c r="B2090">
        <v>2087</v>
      </c>
      <c r="F2090" s="64" t="s">
        <v>5126</v>
      </c>
      <c r="G2090" s="64"/>
      <c r="H2090" s="64"/>
      <c r="I2090" s="64">
        <v>1</v>
      </c>
      <c r="J2090" s="32" t="str">
        <f>IF(AND(E2090=1,OR(E2089=0,E2089="")),MAX(#REF!)+1,IF(AND(E2090=1,E2089=1),J2089,""))</f>
        <v/>
      </c>
      <c r="K2090" s="32" t="str">
        <f t="shared" si="129"/>
        <v/>
      </c>
      <c r="L2090" s="32" t="str">
        <f t="shared" si="126"/>
        <v/>
      </c>
      <c r="M2090" s="32" t="str">
        <f t="shared" si="127"/>
        <v/>
      </c>
      <c r="N2090" s="4">
        <v>1</v>
      </c>
      <c r="O2090" s="58">
        <v>0</v>
      </c>
      <c r="P2090" s="58">
        <v>0</v>
      </c>
      <c r="Q2090" s="58">
        <v>0</v>
      </c>
      <c r="R2090" s="58">
        <v>0</v>
      </c>
      <c r="S2090" s="58">
        <v>0</v>
      </c>
      <c r="T2090" s="58">
        <v>0</v>
      </c>
      <c r="U2090" s="58">
        <v>0</v>
      </c>
      <c r="V2090" s="58">
        <v>0</v>
      </c>
      <c r="AG2090" t="s">
        <v>1808</v>
      </c>
      <c r="AM2090" s="1" t="str">
        <f t="shared" si="128"/>
        <v>2088_C0013_1512.jpg</v>
      </c>
    </row>
    <row r="2091" spans="1:39" x14ac:dyDescent="0.35">
      <c r="A2091">
        <v>2087</v>
      </c>
      <c r="B2091">
        <v>2088</v>
      </c>
      <c r="F2091" s="64" t="s">
        <v>5127</v>
      </c>
      <c r="G2091" s="64"/>
      <c r="H2091" s="64"/>
      <c r="I2091" s="64">
        <v>1</v>
      </c>
      <c r="J2091" s="32" t="str">
        <f>IF(AND(E2091=1,OR(E2090=0,E2090="")),MAX(#REF!)+1,IF(AND(E2091=1,E2090=1),J2090,""))</f>
        <v/>
      </c>
      <c r="K2091" s="32" t="str">
        <f t="shared" si="129"/>
        <v/>
      </c>
      <c r="L2091" s="32" t="str">
        <f t="shared" si="126"/>
        <v/>
      </c>
      <c r="M2091" s="32" t="str">
        <f t="shared" si="127"/>
        <v/>
      </c>
      <c r="N2091" s="4">
        <v>1</v>
      </c>
      <c r="O2091" s="58">
        <v>0</v>
      </c>
      <c r="P2091" s="58">
        <v>0</v>
      </c>
      <c r="Q2091" s="58">
        <v>0</v>
      </c>
      <c r="R2091" s="58">
        <v>0</v>
      </c>
      <c r="S2091" s="58">
        <v>0</v>
      </c>
      <c r="T2091" s="58">
        <v>0</v>
      </c>
      <c r="U2091" s="58">
        <v>0</v>
      </c>
      <c r="V2091" s="58">
        <v>0</v>
      </c>
      <c r="AG2091" t="s">
        <v>1809</v>
      </c>
      <c r="AM2091" s="1" t="str">
        <f t="shared" si="128"/>
        <v>2089_C0013_1509.jpg</v>
      </c>
    </row>
    <row r="2092" spans="1:39" x14ac:dyDescent="0.35">
      <c r="A2092">
        <v>2088</v>
      </c>
      <c r="B2092">
        <v>2089</v>
      </c>
      <c r="F2092" s="64" t="s">
        <v>5128</v>
      </c>
      <c r="G2092" s="64"/>
      <c r="H2092" s="64"/>
      <c r="I2092" s="64">
        <v>0</v>
      </c>
      <c r="J2092" s="32" t="str">
        <f>IF(AND(E2092=1,OR(E2091=0,E2091="")),MAX(#REF!)+1,IF(AND(E2092=1,E2091=1),J2091,""))</f>
        <v/>
      </c>
      <c r="K2092" s="32" t="str">
        <f t="shared" si="129"/>
        <v/>
      </c>
      <c r="L2092" s="32" t="str">
        <f t="shared" si="126"/>
        <v/>
      </c>
      <c r="M2092" s="32" t="str">
        <f t="shared" si="127"/>
        <v/>
      </c>
      <c r="N2092" s="4">
        <v>1</v>
      </c>
      <c r="O2092" s="58">
        <v>0</v>
      </c>
      <c r="P2092" s="58">
        <v>0</v>
      </c>
      <c r="Q2092" s="58">
        <v>0</v>
      </c>
      <c r="R2092" s="58">
        <v>0</v>
      </c>
      <c r="S2092" s="58">
        <v>0</v>
      </c>
      <c r="T2092" s="58">
        <v>0</v>
      </c>
      <c r="U2092" s="58">
        <v>0</v>
      </c>
      <c r="V2092" s="58">
        <v>0</v>
      </c>
      <c r="AG2092" t="s">
        <v>1810</v>
      </c>
      <c r="AM2092" s="1" t="str">
        <f t="shared" si="128"/>
        <v>2090_C0013_1507.jpg</v>
      </c>
    </row>
    <row r="2093" spans="1:39" x14ac:dyDescent="0.35">
      <c r="A2093">
        <v>2089</v>
      </c>
      <c r="B2093">
        <v>2090</v>
      </c>
      <c r="F2093" s="64" t="s">
        <v>5129</v>
      </c>
      <c r="G2093" s="64"/>
      <c r="H2093" s="64"/>
      <c r="I2093" s="64">
        <v>0</v>
      </c>
      <c r="J2093" s="32" t="str">
        <f>IF(AND(E2093=1,OR(E2092=0,E2092="")),MAX(#REF!)+1,IF(AND(E2093=1,E2092=1),J2092,""))</f>
        <v/>
      </c>
      <c r="K2093" s="32" t="str">
        <f t="shared" si="129"/>
        <v/>
      </c>
      <c r="L2093" s="32" t="str">
        <f t="shared" si="126"/>
        <v/>
      </c>
      <c r="M2093" s="32" t="str">
        <f t="shared" si="127"/>
        <v/>
      </c>
      <c r="N2093" s="4">
        <v>1</v>
      </c>
      <c r="O2093" s="58">
        <v>0</v>
      </c>
      <c r="P2093" s="58">
        <v>0</v>
      </c>
      <c r="Q2093" s="58">
        <v>0</v>
      </c>
      <c r="R2093" s="58">
        <v>0</v>
      </c>
      <c r="S2093" s="58">
        <v>0</v>
      </c>
      <c r="T2093" s="58">
        <v>0</v>
      </c>
      <c r="U2093" s="58">
        <v>0</v>
      </c>
      <c r="V2093" s="58">
        <v>0</v>
      </c>
      <c r="AG2093" t="s">
        <v>1811</v>
      </c>
      <c r="AM2093" s="1" t="str">
        <f t="shared" si="128"/>
        <v>2091_C0013_1502.jpg</v>
      </c>
    </row>
    <row r="2094" spans="1:39" x14ac:dyDescent="0.35">
      <c r="A2094">
        <v>2090</v>
      </c>
      <c r="B2094">
        <v>2091</v>
      </c>
      <c r="F2094" s="64" t="s">
        <v>5130</v>
      </c>
      <c r="G2094" s="64"/>
      <c r="H2094" s="64"/>
      <c r="I2094" s="64">
        <v>0</v>
      </c>
      <c r="J2094" s="32" t="str">
        <f>IF(AND(E2094=1,OR(E2093=0,E2093="")),MAX(#REF!)+1,IF(AND(E2094=1,E2093=1),J2093,""))</f>
        <v/>
      </c>
      <c r="K2094" s="32" t="str">
        <f t="shared" si="129"/>
        <v/>
      </c>
      <c r="L2094" s="32" t="str">
        <f t="shared" si="126"/>
        <v/>
      </c>
      <c r="M2094" s="32" t="str">
        <f t="shared" si="127"/>
        <v/>
      </c>
      <c r="N2094" s="4">
        <v>1</v>
      </c>
      <c r="O2094" s="58">
        <v>0</v>
      </c>
      <c r="P2094" s="58">
        <v>0</v>
      </c>
      <c r="Q2094" s="58">
        <v>0</v>
      </c>
      <c r="R2094" s="58">
        <v>0</v>
      </c>
      <c r="S2094" s="58">
        <v>0</v>
      </c>
      <c r="T2094" s="58">
        <v>0</v>
      </c>
      <c r="U2094" s="58">
        <v>0</v>
      </c>
      <c r="V2094" s="58">
        <v>0</v>
      </c>
      <c r="AG2094" t="s">
        <v>1812</v>
      </c>
      <c r="AM2094" s="1" t="str">
        <f t="shared" si="128"/>
        <v>2092_C0013_1499.jpg</v>
      </c>
    </row>
    <row r="2095" spans="1:39" x14ac:dyDescent="0.35">
      <c r="A2095">
        <v>2091</v>
      </c>
      <c r="B2095">
        <v>2092</v>
      </c>
      <c r="F2095" s="64" t="s">
        <v>5131</v>
      </c>
      <c r="G2095" s="64"/>
      <c r="H2095" s="64"/>
      <c r="I2095" s="64">
        <v>0</v>
      </c>
      <c r="J2095" s="32">
        <v>160</v>
      </c>
      <c r="K2095" s="32">
        <f t="shared" si="129"/>
        <v>10</v>
      </c>
      <c r="L2095" s="32" t="str">
        <f t="shared" si="126"/>
        <v/>
      </c>
      <c r="M2095" s="32">
        <f t="shared" si="127"/>
        <v>100</v>
      </c>
      <c r="N2095" s="4">
        <v>1</v>
      </c>
      <c r="O2095" s="58">
        <v>0</v>
      </c>
      <c r="P2095" s="58">
        <v>0</v>
      </c>
      <c r="Q2095" s="58">
        <v>0</v>
      </c>
      <c r="R2095" s="58">
        <v>0</v>
      </c>
      <c r="S2095" s="58">
        <v>0</v>
      </c>
      <c r="T2095" s="58">
        <v>0</v>
      </c>
      <c r="U2095" s="58">
        <v>0</v>
      </c>
      <c r="V2095" s="58">
        <v>0</v>
      </c>
      <c r="AG2095" t="s">
        <v>1813</v>
      </c>
      <c r="AM2095" s="1" t="str">
        <f t="shared" si="128"/>
        <v>2093_C0013_1496.jpg</v>
      </c>
    </row>
    <row r="2096" spans="1:39" x14ac:dyDescent="0.35">
      <c r="A2096">
        <v>2092</v>
      </c>
      <c r="B2096">
        <v>2093</v>
      </c>
      <c r="F2096" s="64" t="s">
        <v>5132</v>
      </c>
      <c r="G2096" s="64"/>
      <c r="H2096" s="64"/>
      <c r="I2096" s="64">
        <v>0</v>
      </c>
      <c r="J2096" s="32" t="str">
        <f>IF(AND(E2096=1,OR(E2095=0,E2095="")),MAX(#REF!)+1,IF(AND(E2096=1,E2095=1),J2095,""))</f>
        <v/>
      </c>
      <c r="K2096" s="32" t="str">
        <f t="shared" si="129"/>
        <v/>
      </c>
      <c r="L2096" s="32" t="str">
        <f t="shared" si="126"/>
        <v/>
      </c>
      <c r="M2096" s="32" t="str">
        <f t="shared" si="127"/>
        <v/>
      </c>
      <c r="N2096" s="4">
        <v>1</v>
      </c>
      <c r="O2096" s="58">
        <v>0</v>
      </c>
      <c r="P2096" s="58">
        <v>0</v>
      </c>
      <c r="Q2096" s="58">
        <v>0</v>
      </c>
      <c r="R2096" s="58">
        <v>0</v>
      </c>
      <c r="S2096" s="58">
        <v>0</v>
      </c>
      <c r="T2096" s="58">
        <v>0</v>
      </c>
      <c r="U2096" s="58">
        <v>0</v>
      </c>
      <c r="V2096" s="58">
        <v>0</v>
      </c>
      <c r="AG2096" t="s">
        <v>1814</v>
      </c>
      <c r="AM2096" s="1" t="str">
        <f t="shared" si="128"/>
        <v>2094_C0013_1493.jpg</v>
      </c>
    </row>
    <row r="2097" spans="1:39" x14ac:dyDescent="0.35">
      <c r="A2097">
        <v>2093</v>
      </c>
      <c r="B2097">
        <v>2094</v>
      </c>
      <c r="F2097" s="64" t="s">
        <v>5133</v>
      </c>
      <c r="G2097" s="64"/>
      <c r="H2097" s="64"/>
      <c r="I2097" s="64">
        <v>0</v>
      </c>
      <c r="J2097" s="32" t="str">
        <f>IF(AND(E2097=1,OR(E2096=0,E2096="")),MAX(#REF!)+1,IF(AND(E2097=1,E2096=1),J2096,""))</f>
        <v/>
      </c>
      <c r="K2097" s="32" t="str">
        <f t="shared" si="129"/>
        <v/>
      </c>
      <c r="L2097" s="32" t="str">
        <f t="shared" si="126"/>
        <v/>
      </c>
      <c r="M2097" s="32" t="str">
        <f t="shared" si="127"/>
        <v/>
      </c>
      <c r="N2097" s="4">
        <v>1</v>
      </c>
      <c r="O2097" s="58">
        <v>0</v>
      </c>
      <c r="P2097" s="58">
        <v>0</v>
      </c>
      <c r="Q2097" s="58">
        <v>0</v>
      </c>
      <c r="R2097" s="58">
        <v>0</v>
      </c>
      <c r="S2097" s="58">
        <v>0</v>
      </c>
      <c r="T2097" s="58">
        <v>0</v>
      </c>
      <c r="U2097" s="58">
        <v>0</v>
      </c>
      <c r="V2097" s="58">
        <v>0</v>
      </c>
      <c r="AG2097" t="s">
        <v>1815</v>
      </c>
      <c r="AM2097" s="1" t="str">
        <f t="shared" si="128"/>
        <v>2095_C0013_1491.jpg</v>
      </c>
    </row>
    <row r="2098" spans="1:39" x14ac:dyDescent="0.35">
      <c r="A2098">
        <v>2094</v>
      </c>
      <c r="B2098">
        <v>2095</v>
      </c>
      <c r="F2098" s="64" t="s">
        <v>5134</v>
      </c>
      <c r="G2098" s="64"/>
      <c r="H2098" s="64"/>
      <c r="I2098" s="64">
        <v>1</v>
      </c>
      <c r="J2098" s="32" t="str">
        <f>IF(AND(E2098=1,OR(E2097=0,E2097="")),MAX(#REF!)+1,IF(AND(E2098=1,E2097=1),J2097,""))</f>
        <v/>
      </c>
      <c r="K2098" s="32" t="str">
        <f t="shared" si="129"/>
        <v/>
      </c>
      <c r="L2098" s="32" t="str">
        <f t="shared" si="126"/>
        <v/>
      </c>
      <c r="M2098" s="32" t="str">
        <f t="shared" si="127"/>
        <v/>
      </c>
      <c r="N2098" s="4">
        <v>1</v>
      </c>
      <c r="O2098" s="58">
        <v>0</v>
      </c>
      <c r="P2098" s="58">
        <v>0</v>
      </c>
      <c r="Q2098" s="58">
        <v>0</v>
      </c>
      <c r="R2098" s="58">
        <v>0</v>
      </c>
      <c r="S2098" s="58">
        <v>0</v>
      </c>
      <c r="T2098" s="58">
        <v>0</v>
      </c>
      <c r="U2098" s="58">
        <v>0</v>
      </c>
      <c r="V2098" s="58">
        <v>0</v>
      </c>
      <c r="AG2098" t="s">
        <v>1816</v>
      </c>
      <c r="AM2098" s="1" t="str">
        <f t="shared" si="128"/>
        <v>2096_C0013_1487.jpg</v>
      </c>
    </row>
    <row r="2099" spans="1:39" x14ac:dyDescent="0.35">
      <c r="A2099">
        <v>2095</v>
      </c>
      <c r="B2099">
        <v>2096</v>
      </c>
      <c r="F2099" s="64" t="s">
        <v>5135</v>
      </c>
      <c r="G2099" s="64"/>
      <c r="H2099" s="64"/>
      <c r="I2099" s="64">
        <v>1</v>
      </c>
      <c r="J2099" s="32">
        <v>162</v>
      </c>
      <c r="K2099" s="32">
        <f t="shared" si="129"/>
        <v>10</v>
      </c>
      <c r="L2099" s="32" t="str">
        <f t="shared" si="126"/>
        <v/>
      </c>
      <c r="M2099" s="32">
        <f t="shared" si="127"/>
        <v>100</v>
      </c>
      <c r="N2099" s="4">
        <v>1</v>
      </c>
      <c r="O2099" s="58">
        <v>0</v>
      </c>
      <c r="P2099" s="58">
        <v>0</v>
      </c>
      <c r="Q2099" s="58">
        <v>0</v>
      </c>
      <c r="R2099" s="58">
        <v>0</v>
      </c>
      <c r="S2099" s="58">
        <v>0</v>
      </c>
      <c r="T2099" s="58">
        <v>0</v>
      </c>
      <c r="U2099" s="58">
        <v>0</v>
      </c>
      <c r="V2099" s="58">
        <v>0</v>
      </c>
      <c r="AG2099" t="s">
        <v>1817</v>
      </c>
      <c r="AM2099" s="1" t="str">
        <f t="shared" si="128"/>
        <v>2097_C0013_1484.jpg</v>
      </c>
    </row>
    <row r="2100" spans="1:39" x14ac:dyDescent="0.35">
      <c r="A2100">
        <v>2096</v>
      </c>
      <c r="B2100">
        <v>2097</v>
      </c>
      <c r="F2100" s="64" t="s">
        <v>5136</v>
      </c>
      <c r="G2100" s="64"/>
      <c r="H2100" s="64"/>
      <c r="I2100" s="64">
        <v>0</v>
      </c>
      <c r="J2100" s="32" t="str">
        <f>IF(AND(E2100=1,OR(E2099=0,E2099="")),MAX(#REF!)+1,IF(AND(E2100=1,E2099=1),J2099,""))</f>
        <v/>
      </c>
      <c r="K2100" s="32" t="str">
        <f t="shared" si="129"/>
        <v/>
      </c>
      <c r="L2100" s="32" t="str">
        <f t="shared" si="126"/>
        <v/>
      </c>
      <c r="M2100" s="32" t="str">
        <f t="shared" si="127"/>
        <v/>
      </c>
      <c r="N2100" s="4">
        <v>1</v>
      </c>
      <c r="O2100" s="58">
        <v>0</v>
      </c>
      <c r="P2100" s="58">
        <v>0</v>
      </c>
      <c r="Q2100" s="58">
        <v>0</v>
      </c>
      <c r="R2100" s="58">
        <v>0</v>
      </c>
      <c r="S2100" s="58">
        <v>0</v>
      </c>
      <c r="T2100" s="58">
        <v>0</v>
      </c>
      <c r="U2100" s="58">
        <v>0</v>
      </c>
      <c r="V2100" s="58">
        <v>0</v>
      </c>
      <c r="AG2100" t="s">
        <v>1818</v>
      </c>
      <c r="AM2100" s="1" t="str">
        <f t="shared" si="128"/>
        <v>2098_C0013_1482.jpg</v>
      </c>
    </row>
    <row r="2101" spans="1:39" x14ac:dyDescent="0.35">
      <c r="A2101">
        <v>2097</v>
      </c>
      <c r="B2101">
        <v>2098</v>
      </c>
      <c r="F2101" s="64" t="s">
        <v>5137</v>
      </c>
      <c r="G2101" s="64"/>
      <c r="H2101" s="64"/>
      <c r="I2101" s="64">
        <v>0</v>
      </c>
      <c r="J2101" s="32" t="str">
        <f>IF(AND(E2101=1,OR(E2100=0,E2100="")),MAX(#REF!)+1,IF(AND(E2101=1,E2100=1),J2100,""))</f>
        <v/>
      </c>
      <c r="K2101" s="32" t="str">
        <f t="shared" si="129"/>
        <v/>
      </c>
      <c r="L2101" s="32" t="str">
        <f t="shared" si="126"/>
        <v/>
      </c>
      <c r="M2101" s="32" t="str">
        <f t="shared" si="127"/>
        <v/>
      </c>
      <c r="N2101" s="4">
        <v>1</v>
      </c>
      <c r="O2101" s="58">
        <v>0</v>
      </c>
      <c r="P2101" s="58">
        <v>0</v>
      </c>
      <c r="Q2101" s="58">
        <v>0</v>
      </c>
      <c r="R2101" s="58">
        <v>0</v>
      </c>
      <c r="S2101" s="58">
        <v>0</v>
      </c>
      <c r="T2101" s="58">
        <v>0</v>
      </c>
      <c r="U2101" s="58">
        <v>0</v>
      </c>
      <c r="V2101" s="58">
        <v>0</v>
      </c>
      <c r="AG2101" t="s">
        <v>1819</v>
      </c>
      <c r="AM2101" s="1" t="str">
        <f t="shared" si="128"/>
        <v>2099_C0013_1479.jpg</v>
      </c>
    </row>
    <row r="2102" spans="1:39" x14ac:dyDescent="0.35">
      <c r="A2102">
        <v>2098</v>
      </c>
      <c r="B2102">
        <v>2099</v>
      </c>
      <c r="F2102" s="64" t="s">
        <v>5138</v>
      </c>
      <c r="G2102" s="64"/>
      <c r="H2102" s="64"/>
      <c r="I2102" s="64">
        <v>0</v>
      </c>
      <c r="J2102" s="32" t="str">
        <f>IF(AND(E2102=1,OR(E2101=0,E2101="")),MAX(#REF!)+1,IF(AND(E2102=1,E2101=1),J2101,""))</f>
        <v/>
      </c>
      <c r="K2102" s="32" t="str">
        <f t="shared" si="129"/>
        <v/>
      </c>
      <c r="L2102" s="32" t="str">
        <f t="shared" si="126"/>
        <v/>
      </c>
      <c r="M2102" s="32" t="str">
        <f t="shared" si="127"/>
        <v/>
      </c>
      <c r="N2102" s="4">
        <v>1</v>
      </c>
      <c r="O2102" s="58">
        <v>0</v>
      </c>
      <c r="P2102" s="58">
        <v>0</v>
      </c>
      <c r="Q2102" s="58">
        <v>0</v>
      </c>
      <c r="R2102" s="58">
        <v>0</v>
      </c>
      <c r="S2102" s="58">
        <v>0</v>
      </c>
      <c r="T2102" s="58">
        <v>0</v>
      </c>
      <c r="U2102" s="58">
        <v>0</v>
      </c>
      <c r="V2102" s="58">
        <v>0</v>
      </c>
      <c r="AG2102" t="s">
        <v>1820</v>
      </c>
      <c r="AM2102" s="1" t="str">
        <f t="shared" si="128"/>
        <v>2100_C0013_1475.jpg</v>
      </c>
    </row>
    <row r="2103" spans="1:39" x14ac:dyDescent="0.35">
      <c r="A2103">
        <v>2099</v>
      </c>
      <c r="B2103">
        <v>2100</v>
      </c>
      <c r="F2103" s="64" t="s">
        <v>5139</v>
      </c>
      <c r="G2103" s="64"/>
      <c r="H2103" s="64"/>
      <c r="I2103" s="64">
        <v>0</v>
      </c>
      <c r="J2103" s="32" t="str">
        <f>IF(AND(E2103=1,OR(E2102=0,E2102="")),MAX(#REF!)+1,IF(AND(E2103=1,E2102=1),J2102,""))</f>
        <v/>
      </c>
      <c r="K2103" s="32" t="str">
        <f t="shared" si="129"/>
        <v/>
      </c>
      <c r="L2103" s="32" t="str">
        <f t="shared" si="126"/>
        <v/>
      </c>
      <c r="M2103" s="32" t="str">
        <f t="shared" si="127"/>
        <v/>
      </c>
      <c r="N2103" s="4">
        <v>1</v>
      </c>
      <c r="O2103" s="58">
        <v>0</v>
      </c>
      <c r="P2103" s="58">
        <v>0</v>
      </c>
      <c r="Q2103" s="58">
        <v>0</v>
      </c>
      <c r="R2103" s="58">
        <v>0</v>
      </c>
      <c r="S2103" s="58">
        <v>0</v>
      </c>
      <c r="T2103" s="58">
        <v>0</v>
      </c>
      <c r="U2103" s="58">
        <v>0</v>
      </c>
      <c r="V2103" s="58">
        <v>0</v>
      </c>
      <c r="AG2103" t="s">
        <v>1821</v>
      </c>
      <c r="AM2103" s="1" t="str">
        <f t="shared" si="128"/>
        <v>2101_C0013_1472.jpg</v>
      </c>
    </row>
    <row r="2104" spans="1:39" x14ac:dyDescent="0.35">
      <c r="A2104">
        <v>2100</v>
      </c>
      <c r="B2104">
        <v>2101</v>
      </c>
      <c r="F2104" s="64" t="s">
        <v>5140</v>
      </c>
      <c r="G2104" s="64"/>
      <c r="H2104" s="64"/>
      <c r="I2104" s="64">
        <v>0</v>
      </c>
      <c r="J2104" s="32">
        <v>163</v>
      </c>
      <c r="K2104" s="32">
        <f t="shared" si="129"/>
        <v>10</v>
      </c>
      <c r="L2104" s="32" t="str">
        <f t="shared" si="126"/>
        <v/>
      </c>
      <c r="M2104" s="32">
        <f t="shared" si="127"/>
        <v>100</v>
      </c>
      <c r="N2104" s="4">
        <v>1</v>
      </c>
      <c r="O2104" s="58">
        <v>0</v>
      </c>
      <c r="P2104" s="58">
        <v>0</v>
      </c>
      <c r="Q2104" s="58">
        <v>0</v>
      </c>
      <c r="R2104" s="58">
        <v>0</v>
      </c>
      <c r="S2104" s="58">
        <v>0</v>
      </c>
      <c r="T2104" s="58">
        <v>0</v>
      </c>
      <c r="U2104" s="58">
        <v>0</v>
      </c>
      <c r="V2104" s="58">
        <v>0</v>
      </c>
      <c r="AG2104" t="s">
        <v>1822</v>
      </c>
      <c r="AM2104" s="1" t="str">
        <f t="shared" si="128"/>
        <v>2102_C0013_1469.jpg</v>
      </c>
    </row>
    <row r="2105" spans="1:39" x14ac:dyDescent="0.35">
      <c r="A2105">
        <v>2101</v>
      </c>
      <c r="B2105">
        <v>2102</v>
      </c>
      <c r="F2105" s="64" t="s">
        <v>5141</v>
      </c>
      <c r="G2105" s="64"/>
      <c r="H2105" s="64"/>
      <c r="I2105" s="64">
        <v>0</v>
      </c>
      <c r="J2105" s="32" t="str">
        <f>IF(AND(E2105=1,OR(E2104=0,E2104="")),MAX(#REF!)+1,IF(AND(E2105=1,E2104=1),J2104,""))</f>
        <v/>
      </c>
      <c r="K2105" s="32" t="str">
        <f t="shared" si="129"/>
        <v/>
      </c>
      <c r="L2105" s="32" t="str">
        <f t="shared" si="126"/>
        <v/>
      </c>
      <c r="M2105" s="32" t="str">
        <f t="shared" si="127"/>
        <v/>
      </c>
      <c r="N2105" s="4">
        <v>1</v>
      </c>
      <c r="O2105" s="58">
        <v>0</v>
      </c>
      <c r="P2105" s="58">
        <v>0</v>
      </c>
      <c r="Q2105" s="58">
        <v>0</v>
      </c>
      <c r="R2105" s="58">
        <v>0</v>
      </c>
      <c r="S2105" s="58">
        <v>0</v>
      </c>
      <c r="T2105" s="58">
        <v>0</v>
      </c>
      <c r="U2105" s="58">
        <v>0</v>
      </c>
      <c r="V2105" s="58">
        <v>0</v>
      </c>
      <c r="AG2105" t="s">
        <v>1823</v>
      </c>
      <c r="AM2105" s="1" t="str">
        <f t="shared" si="128"/>
        <v>2103_C0013_1466.jpg</v>
      </c>
    </row>
    <row r="2106" spans="1:39" x14ac:dyDescent="0.35">
      <c r="A2106">
        <v>2102</v>
      </c>
      <c r="B2106">
        <v>2103</v>
      </c>
      <c r="F2106" s="64" t="s">
        <v>5142</v>
      </c>
      <c r="G2106" s="64"/>
      <c r="H2106" s="64"/>
      <c r="I2106" s="64">
        <v>1</v>
      </c>
      <c r="J2106" s="32">
        <v>164</v>
      </c>
      <c r="K2106" s="32">
        <f t="shared" si="129"/>
        <v>10</v>
      </c>
      <c r="L2106" s="32" t="str">
        <f t="shared" si="126"/>
        <v/>
      </c>
      <c r="M2106" s="32">
        <f t="shared" si="127"/>
        <v>100</v>
      </c>
      <c r="N2106" s="4">
        <v>1</v>
      </c>
      <c r="O2106" s="58">
        <v>0</v>
      </c>
      <c r="P2106" s="58">
        <v>0</v>
      </c>
      <c r="Q2106" s="58">
        <v>0</v>
      </c>
      <c r="R2106" s="58">
        <v>0</v>
      </c>
      <c r="S2106" s="58">
        <v>0</v>
      </c>
      <c r="T2106" s="58">
        <v>0</v>
      </c>
      <c r="U2106" s="58">
        <v>0</v>
      </c>
      <c r="V2106" s="58">
        <v>0</v>
      </c>
      <c r="AG2106" t="s">
        <v>1824</v>
      </c>
      <c r="AM2106" s="1" t="str">
        <f t="shared" si="128"/>
        <v>2104_C0013_1463.jpg</v>
      </c>
    </row>
    <row r="2107" spans="1:39" x14ac:dyDescent="0.35">
      <c r="A2107">
        <v>2103</v>
      </c>
      <c r="B2107">
        <v>2104</v>
      </c>
      <c r="F2107" s="64" t="s">
        <v>5143</v>
      </c>
      <c r="G2107" s="64"/>
      <c r="H2107" s="64"/>
      <c r="I2107" s="64">
        <v>0</v>
      </c>
      <c r="J2107" s="32">
        <v>165</v>
      </c>
      <c r="K2107" s="32">
        <f t="shared" si="129"/>
        <v>10</v>
      </c>
      <c r="L2107" s="32" t="str">
        <f t="shared" si="126"/>
        <v/>
      </c>
      <c r="M2107" s="32">
        <f t="shared" si="127"/>
        <v>100</v>
      </c>
      <c r="N2107" s="4">
        <v>1</v>
      </c>
      <c r="O2107" s="58">
        <v>0</v>
      </c>
      <c r="P2107" s="58">
        <v>0</v>
      </c>
      <c r="Q2107" s="58">
        <v>0</v>
      </c>
      <c r="R2107" s="58">
        <v>0</v>
      </c>
      <c r="S2107" s="58">
        <v>0</v>
      </c>
      <c r="T2107" s="58">
        <v>0</v>
      </c>
      <c r="U2107" s="58">
        <v>0</v>
      </c>
      <c r="V2107" s="58">
        <v>0</v>
      </c>
      <c r="AG2107" t="s">
        <v>1825</v>
      </c>
      <c r="AM2107" s="1" t="str">
        <f t="shared" si="128"/>
        <v>2105_C0013_1460.jpg</v>
      </c>
    </row>
    <row r="2108" spans="1:39" x14ac:dyDescent="0.35">
      <c r="A2108">
        <v>2104</v>
      </c>
      <c r="B2108">
        <v>2105</v>
      </c>
      <c r="F2108" s="64" t="s">
        <v>5144</v>
      </c>
      <c r="G2108" s="64"/>
      <c r="H2108" s="64"/>
      <c r="I2108" s="64">
        <v>0</v>
      </c>
      <c r="J2108" s="32" t="str">
        <f>IF(AND(E2108=1,OR(E2107=0,E2107="")),MAX(#REF!)+1,IF(AND(E2108=1,E2107=1),J2107,""))</f>
        <v/>
      </c>
      <c r="K2108" s="32" t="str">
        <f t="shared" si="129"/>
        <v/>
      </c>
      <c r="L2108" s="32" t="str">
        <f t="shared" si="126"/>
        <v/>
      </c>
      <c r="M2108" s="32" t="str">
        <f t="shared" si="127"/>
        <v/>
      </c>
      <c r="N2108" s="4">
        <v>1</v>
      </c>
      <c r="O2108" s="58">
        <v>0</v>
      </c>
      <c r="P2108" s="58">
        <v>0</v>
      </c>
      <c r="Q2108" s="58">
        <v>0</v>
      </c>
      <c r="R2108" s="58">
        <v>0</v>
      </c>
      <c r="S2108" s="58">
        <v>0</v>
      </c>
      <c r="T2108" s="58">
        <v>0</v>
      </c>
      <c r="U2108" s="58">
        <v>0</v>
      </c>
      <c r="V2108" s="58">
        <v>0</v>
      </c>
      <c r="AG2108" t="s">
        <v>1826</v>
      </c>
      <c r="AM2108" s="1" t="str">
        <f t="shared" si="128"/>
        <v>2106_C0013_1458.jpg</v>
      </c>
    </row>
    <row r="2109" spans="1:39" x14ac:dyDescent="0.35">
      <c r="A2109">
        <v>2105</v>
      </c>
      <c r="B2109">
        <v>2106</v>
      </c>
      <c r="F2109" s="64" t="s">
        <v>5145</v>
      </c>
      <c r="G2109" s="64"/>
      <c r="H2109" s="64"/>
      <c r="I2109" s="64">
        <v>1</v>
      </c>
      <c r="J2109" s="32" t="str">
        <f>IF(AND(E2109=1,OR(E2108=0,E2108="")),MAX(#REF!)+1,IF(AND(E2109=1,E2108=1),J2108,""))</f>
        <v/>
      </c>
      <c r="K2109" s="32" t="str">
        <f t="shared" si="129"/>
        <v/>
      </c>
      <c r="L2109" s="32" t="str">
        <f t="shared" si="126"/>
        <v/>
      </c>
      <c r="M2109" s="32" t="str">
        <f t="shared" si="127"/>
        <v/>
      </c>
      <c r="N2109" s="4">
        <v>1</v>
      </c>
      <c r="O2109" s="58">
        <v>0</v>
      </c>
      <c r="P2109" s="58">
        <v>0</v>
      </c>
      <c r="Q2109" s="58">
        <v>0</v>
      </c>
      <c r="R2109" s="58">
        <v>0</v>
      </c>
      <c r="S2109" s="58">
        <v>0</v>
      </c>
      <c r="T2109" s="58">
        <v>0</v>
      </c>
      <c r="U2109" s="58">
        <v>0</v>
      </c>
      <c r="V2109" s="58">
        <v>0</v>
      </c>
      <c r="AG2109" t="s">
        <v>1827</v>
      </c>
      <c r="AM2109" s="1" t="str">
        <f t="shared" si="128"/>
        <v>2107_C0013_1455.jpg</v>
      </c>
    </row>
    <row r="2110" spans="1:39" x14ac:dyDescent="0.35">
      <c r="A2110">
        <v>2106</v>
      </c>
      <c r="B2110">
        <v>2107</v>
      </c>
      <c r="F2110" s="64" t="s">
        <v>5146</v>
      </c>
      <c r="G2110" s="64"/>
      <c r="H2110" s="64"/>
      <c r="I2110" s="64">
        <v>1</v>
      </c>
      <c r="J2110" s="32" t="str">
        <f>IF(AND(E2110=1,OR(E2109=0,E2109="")),MAX(#REF!)+1,IF(AND(E2110=1,E2109=1),J2109,""))</f>
        <v/>
      </c>
      <c r="K2110" s="32" t="str">
        <f t="shared" si="129"/>
        <v/>
      </c>
      <c r="L2110" s="32" t="str">
        <f t="shared" si="126"/>
        <v/>
      </c>
      <c r="M2110" s="32" t="str">
        <f t="shared" si="127"/>
        <v/>
      </c>
      <c r="N2110" s="4">
        <v>1</v>
      </c>
      <c r="O2110" s="58">
        <v>0</v>
      </c>
      <c r="P2110" s="58">
        <v>0</v>
      </c>
      <c r="Q2110" s="58">
        <v>0</v>
      </c>
      <c r="R2110" s="58">
        <v>0</v>
      </c>
      <c r="S2110" s="58">
        <v>0</v>
      </c>
      <c r="T2110" s="58">
        <v>0</v>
      </c>
      <c r="U2110" s="58">
        <v>0</v>
      </c>
      <c r="V2110" s="58">
        <v>0</v>
      </c>
      <c r="AG2110" t="s">
        <v>1828</v>
      </c>
      <c r="AM2110" s="1" t="str">
        <f t="shared" si="128"/>
        <v>2108_C0013_1452.jpg</v>
      </c>
    </row>
    <row r="2111" spans="1:39" x14ac:dyDescent="0.35">
      <c r="A2111">
        <v>2107</v>
      </c>
      <c r="B2111">
        <v>2108</v>
      </c>
      <c r="F2111" s="64" t="s">
        <v>5147</v>
      </c>
      <c r="G2111" s="64"/>
      <c r="H2111" s="64"/>
      <c r="I2111" s="64">
        <v>1</v>
      </c>
      <c r="J2111" s="32" t="str">
        <f>IF(AND(E2111=1,OR(E2110=0,E2110="")),MAX(#REF!)+1,IF(AND(E2111=1,E2110=1),J2110,""))</f>
        <v/>
      </c>
      <c r="K2111" s="32" t="str">
        <f t="shared" si="129"/>
        <v/>
      </c>
      <c r="L2111" s="32" t="str">
        <f t="shared" si="126"/>
        <v/>
      </c>
      <c r="M2111" s="32" t="str">
        <f t="shared" si="127"/>
        <v/>
      </c>
      <c r="N2111" s="4">
        <v>1</v>
      </c>
      <c r="O2111" s="58">
        <v>0</v>
      </c>
      <c r="P2111" s="58">
        <v>0</v>
      </c>
      <c r="Q2111" s="58">
        <v>0</v>
      </c>
      <c r="R2111" s="58">
        <v>0</v>
      </c>
      <c r="S2111" s="58">
        <v>0</v>
      </c>
      <c r="T2111" s="58">
        <v>0</v>
      </c>
      <c r="U2111" s="58">
        <v>0</v>
      </c>
      <c r="V2111" s="58">
        <v>0</v>
      </c>
      <c r="AG2111" t="s">
        <v>1829</v>
      </c>
      <c r="AM2111" s="1" t="str">
        <f t="shared" si="128"/>
        <v>2109_C0013_1449.jpg</v>
      </c>
    </row>
    <row r="2112" spans="1:39" x14ac:dyDescent="0.35">
      <c r="A2112">
        <v>2108</v>
      </c>
      <c r="B2112">
        <v>2109</v>
      </c>
      <c r="F2112" s="64" t="s">
        <v>5148</v>
      </c>
      <c r="G2112" s="64"/>
      <c r="H2112" s="64"/>
      <c r="I2112" s="64">
        <v>0</v>
      </c>
      <c r="J2112" s="32" t="str">
        <f>IF(AND(E2112=1,OR(E2111=0,E2111="")),MAX(#REF!)+1,IF(AND(E2112=1,E2111=1),J2111,""))</f>
        <v/>
      </c>
      <c r="K2112" s="32" t="str">
        <f t="shared" si="129"/>
        <v/>
      </c>
      <c r="L2112" s="32" t="str">
        <f t="shared" si="126"/>
        <v/>
      </c>
      <c r="M2112" s="32" t="str">
        <f t="shared" si="127"/>
        <v/>
      </c>
      <c r="N2112" s="4">
        <v>1</v>
      </c>
      <c r="O2112" s="58">
        <v>0</v>
      </c>
      <c r="P2112" s="58">
        <v>0</v>
      </c>
      <c r="Q2112" s="58">
        <v>0</v>
      </c>
      <c r="R2112" s="58">
        <v>0</v>
      </c>
      <c r="S2112" s="58">
        <v>0</v>
      </c>
      <c r="T2112" s="58">
        <v>0</v>
      </c>
      <c r="U2112" s="58">
        <v>0</v>
      </c>
      <c r="V2112" s="58">
        <v>0</v>
      </c>
      <c r="AG2112" t="s">
        <v>1830</v>
      </c>
      <c r="AM2112" s="1" t="str">
        <f t="shared" si="128"/>
        <v>2110_C0013_1447.jpg</v>
      </c>
    </row>
    <row r="2113" spans="1:39" x14ac:dyDescent="0.35">
      <c r="A2113">
        <v>2109</v>
      </c>
      <c r="B2113">
        <v>2110</v>
      </c>
      <c r="F2113" s="64" t="s">
        <v>5149</v>
      </c>
      <c r="G2113" s="64"/>
      <c r="H2113" s="64"/>
      <c r="I2113" s="64">
        <v>0</v>
      </c>
      <c r="J2113" s="32" t="str">
        <f>IF(AND(E2113=1,OR(E2112=0,E2112="")),MAX(#REF!)+1,IF(AND(E2113=1,E2112=1),J2112,""))</f>
        <v/>
      </c>
      <c r="K2113" s="32" t="str">
        <f t="shared" si="129"/>
        <v/>
      </c>
      <c r="L2113" s="32" t="str">
        <f t="shared" si="126"/>
        <v/>
      </c>
      <c r="M2113" s="32" t="str">
        <f t="shared" si="127"/>
        <v/>
      </c>
      <c r="N2113" s="4">
        <v>1</v>
      </c>
      <c r="O2113" s="58">
        <v>0</v>
      </c>
      <c r="P2113" s="58">
        <v>0</v>
      </c>
      <c r="Q2113" s="58">
        <v>0</v>
      </c>
      <c r="R2113" s="58">
        <v>0</v>
      </c>
      <c r="S2113" s="58">
        <v>0</v>
      </c>
      <c r="T2113" s="58">
        <v>0</v>
      </c>
      <c r="U2113" s="58">
        <v>0</v>
      </c>
      <c r="V2113" s="58">
        <v>0</v>
      </c>
      <c r="AG2113" t="s">
        <v>1831</v>
      </c>
      <c r="AM2113" s="1" t="str">
        <f t="shared" si="128"/>
        <v>2111_C0013_1444.jpg</v>
      </c>
    </row>
    <row r="2114" spans="1:39" x14ac:dyDescent="0.35">
      <c r="A2114">
        <v>2110</v>
      </c>
      <c r="B2114">
        <v>2111</v>
      </c>
      <c r="F2114" s="64" t="s">
        <v>5150</v>
      </c>
      <c r="G2114" s="64"/>
      <c r="H2114" s="64"/>
      <c r="I2114" s="64">
        <v>0</v>
      </c>
      <c r="J2114" s="32" t="str">
        <f>IF(AND(E2114=1,OR(E2113=0,E2113="")),MAX(#REF!)+1,IF(AND(E2114=1,E2113=1),J2113,""))</f>
        <v/>
      </c>
      <c r="K2114" s="32" t="str">
        <f t="shared" si="129"/>
        <v/>
      </c>
      <c r="L2114" s="32" t="str">
        <f t="shared" si="126"/>
        <v/>
      </c>
      <c r="M2114" s="32" t="str">
        <f t="shared" si="127"/>
        <v/>
      </c>
      <c r="N2114" s="4">
        <v>1</v>
      </c>
      <c r="O2114" s="58">
        <v>0</v>
      </c>
      <c r="P2114" s="58">
        <v>0</v>
      </c>
      <c r="Q2114" s="58">
        <v>0</v>
      </c>
      <c r="R2114" s="58">
        <v>0</v>
      </c>
      <c r="S2114" s="58">
        <v>0</v>
      </c>
      <c r="T2114" s="58">
        <v>0</v>
      </c>
      <c r="U2114" s="58">
        <v>0</v>
      </c>
      <c r="V2114" s="58">
        <v>0</v>
      </c>
      <c r="AG2114" t="s">
        <v>1832</v>
      </c>
      <c r="AM2114" s="1" t="str">
        <f t="shared" si="128"/>
        <v>2112_C0013_1441.jpg</v>
      </c>
    </row>
    <row r="2115" spans="1:39" x14ac:dyDescent="0.35">
      <c r="A2115">
        <v>2111</v>
      </c>
      <c r="B2115">
        <v>2112</v>
      </c>
      <c r="F2115" s="64" t="s">
        <v>5151</v>
      </c>
      <c r="G2115" s="64"/>
      <c r="H2115" s="64"/>
      <c r="I2115" s="64">
        <v>0</v>
      </c>
      <c r="J2115" s="32" t="str">
        <f>IF(AND(E2115=1,OR(E2114=0,E2114="")),MAX(#REF!)+1,IF(AND(E2115=1,E2114=1),J2114,""))</f>
        <v/>
      </c>
      <c r="K2115" s="32" t="str">
        <f t="shared" si="129"/>
        <v/>
      </c>
      <c r="L2115" s="32" t="str">
        <f t="shared" si="126"/>
        <v/>
      </c>
      <c r="M2115" s="32" t="str">
        <f t="shared" si="127"/>
        <v/>
      </c>
      <c r="N2115" s="4">
        <v>1</v>
      </c>
      <c r="O2115" s="58">
        <v>0</v>
      </c>
      <c r="P2115" s="58">
        <v>0</v>
      </c>
      <c r="Q2115" s="58">
        <v>0</v>
      </c>
      <c r="R2115" s="58">
        <v>0</v>
      </c>
      <c r="S2115" s="58">
        <v>0</v>
      </c>
      <c r="T2115" s="58">
        <v>0</v>
      </c>
      <c r="U2115" s="58">
        <v>0</v>
      </c>
      <c r="V2115" s="58">
        <v>0</v>
      </c>
      <c r="AG2115" t="s">
        <v>1833</v>
      </c>
      <c r="AM2115" s="1" t="str">
        <f t="shared" si="128"/>
        <v>2113_C0013_1439.jpg</v>
      </c>
    </row>
    <row r="2116" spans="1:39" x14ac:dyDescent="0.35">
      <c r="A2116">
        <v>2112</v>
      </c>
      <c r="B2116">
        <v>2113</v>
      </c>
      <c r="F2116" s="64" t="s">
        <v>5152</v>
      </c>
      <c r="G2116" s="64"/>
      <c r="H2116" s="64"/>
      <c r="I2116" s="64">
        <v>1</v>
      </c>
      <c r="J2116" s="32" t="str">
        <f>IF(AND(E2116=1,OR(E2115=0,E2115="")),MAX(#REF!)+1,IF(AND(E2116=1,E2115=1),J2115,""))</f>
        <v/>
      </c>
      <c r="K2116" s="32" t="str">
        <f t="shared" si="129"/>
        <v/>
      </c>
      <c r="L2116" s="32" t="str">
        <f t="shared" ref="L2116:L2179" si="130">IF(K2116="","",IF(K2116&gt;=100,"HV",""))</f>
        <v/>
      </c>
      <c r="M2116" s="32" t="str">
        <f t="shared" ref="M2116:M2179" si="131">IF(K2116&lt;&gt;"",K2116^2,"")</f>
        <v/>
      </c>
      <c r="N2116" s="4">
        <v>1</v>
      </c>
      <c r="O2116" s="58">
        <v>0</v>
      </c>
      <c r="P2116" s="58">
        <v>0</v>
      </c>
      <c r="Q2116" s="58">
        <v>0</v>
      </c>
      <c r="R2116" s="58">
        <v>0</v>
      </c>
      <c r="S2116" s="58">
        <v>0</v>
      </c>
      <c r="T2116" s="58">
        <v>0</v>
      </c>
      <c r="U2116" s="58">
        <v>0</v>
      </c>
      <c r="V2116" s="58">
        <v>0</v>
      </c>
      <c r="AG2116" t="s">
        <v>1834</v>
      </c>
      <c r="AM2116" s="1" t="str">
        <f t="shared" si="128"/>
        <v>2114_C0013_1435.jpg</v>
      </c>
    </row>
    <row r="2117" spans="1:39" x14ac:dyDescent="0.35">
      <c r="A2117">
        <v>2113</v>
      </c>
      <c r="B2117">
        <v>2114</v>
      </c>
      <c r="F2117" s="64" t="s">
        <v>5153</v>
      </c>
      <c r="G2117" s="64"/>
      <c r="H2117" s="64"/>
      <c r="I2117" s="64">
        <v>0</v>
      </c>
      <c r="J2117" s="32" t="str">
        <f>IF(AND(E2117=1,OR(E2116=0,E2116="")),MAX(#REF!)+1,IF(AND(E2117=1,E2116=1),J2116,""))</f>
        <v/>
      </c>
      <c r="K2117" s="32" t="str">
        <f t="shared" si="129"/>
        <v/>
      </c>
      <c r="L2117" s="32" t="str">
        <f t="shared" si="130"/>
        <v/>
      </c>
      <c r="M2117" s="32" t="str">
        <f t="shared" si="131"/>
        <v/>
      </c>
      <c r="N2117" s="4">
        <v>1</v>
      </c>
      <c r="O2117" s="58">
        <v>0</v>
      </c>
      <c r="P2117" s="58">
        <v>0</v>
      </c>
      <c r="Q2117" s="58">
        <v>0</v>
      </c>
      <c r="R2117" s="58">
        <v>0</v>
      </c>
      <c r="S2117" s="58">
        <v>0</v>
      </c>
      <c r="T2117" s="58">
        <v>0</v>
      </c>
      <c r="U2117" s="58">
        <v>0</v>
      </c>
      <c r="V2117" s="58">
        <v>0</v>
      </c>
      <c r="AG2117" t="s">
        <v>1835</v>
      </c>
      <c r="AM2117" s="1" t="str">
        <f t="shared" si="128"/>
        <v>2115_C0013_1433.jpg</v>
      </c>
    </row>
    <row r="2118" spans="1:39" x14ac:dyDescent="0.35">
      <c r="A2118">
        <v>2114</v>
      </c>
      <c r="B2118">
        <v>2115</v>
      </c>
      <c r="F2118" s="64" t="s">
        <v>5154</v>
      </c>
      <c r="G2118" s="64"/>
      <c r="H2118" s="64"/>
      <c r="I2118" s="64">
        <v>0</v>
      </c>
      <c r="J2118" s="32" t="str">
        <f>IF(AND(E2118=1,OR(E2117=0,E2117="")),MAX(#REF!)+1,IF(AND(E2118=1,E2117=1),J2117,""))</f>
        <v/>
      </c>
      <c r="K2118" s="32" t="str">
        <f t="shared" si="129"/>
        <v/>
      </c>
      <c r="L2118" s="32" t="str">
        <f t="shared" si="130"/>
        <v/>
      </c>
      <c r="M2118" s="32" t="str">
        <f t="shared" si="131"/>
        <v/>
      </c>
      <c r="N2118" s="4">
        <v>1</v>
      </c>
      <c r="O2118" s="58">
        <v>0</v>
      </c>
      <c r="P2118" s="58">
        <v>0</v>
      </c>
      <c r="Q2118" s="58">
        <v>0</v>
      </c>
      <c r="R2118" s="58">
        <v>0</v>
      </c>
      <c r="S2118" s="58">
        <v>0</v>
      </c>
      <c r="T2118" s="58">
        <v>0</v>
      </c>
      <c r="U2118" s="58">
        <v>0</v>
      </c>
      <c r="V2118" s="58">
        <v>0</v>
      </c>
      <c r="AG2118" t="s">
        <v>1836</v>
      </c>
      <c r="AM2118" s="1" t="str">
        <f t="shared" si="128"/>
        <v>2116_C0013_1430.jpg</v>
      </c>
    </row>
    <row r="2119" spans="1:39" x14ac:dyDescent="0.35">
      <c r="A2119">
        <v>2115</v>
      </c>
      <c r="B2119">
        <v>2116</v>
      </c>
      <c r="F2119" s="64" t="s">
        <v>5155</v>
      </c>
      <c r="G2119" s="64"/>
      <c r="H2119" s="64"/>
      <c r="I2119" s="64">
        <v>0</v>
      </c>
      <c r="J2119" s="32" t="str">
        <f>IF(AND(E2119=1,OR(E2118=0,E2118="")),MAX(#REF!)+1,IF(AND(E2119=1,E2118=1),J2118,""))</f>
        <v/>
      </c>
      <c r="K2119" s="32" t="str">
        <f t="shared" si="129"/>
        <v/>
      </c>
      <c r="L2119" s="32" t="str">
        <f t="shared" si="130"/>
        <v/>
      </c>
      <c r="M2119" s="32" t="str">
        <f t="shared" si="131"/>
        <v/>
      </c>
      <c r="N2119" s="4">
        <v>1</v>
      </c>
      <c r="O2119" s="58">
        <v>0</v>
      </c>
      <c r="P2119" s="58">
        <v>0</v>
      </c>
      <c r="Q2119" s="58">
        <v>0</v>
      </c>
      <c r="R2119" s="58">
        <v>0</v>
      </c>
      <c r="S2119" s="58">
        <v>0</v>
      </c>
      <c r="T2119" s="58">
        <v>0</v>
      </c>
      <c r="U2119" s="58">
        <v>0</v>
      </c>
      <c r="V2119" s="58">
        <v>0</v>
      </c>
      <c r="AG2119" t="s">
        <v>1837</v>
      </c>
      <c r="AM2119" s="1" t="str">
        <f t="shared" si="128"/>
        <v>2117_C0013_1427.jpg</v>
      </c>
    </row>
    <row r="2120" spans="1:39" x14ac:dyDescent="0.35">
      <c r="A2120">
        <v>2116</v>
      </c>
      <c r="B2120">
        <v>2117</v>
      </c>
      <c r="F2120" s="64" t="s">
        <v>5156</v>
      </c>
      <c r="G2120" s="64"/>
      <c r="H2120" s="64"/>
      <c r="I2120" s="64">
        <v>0</v>
      </c>
      <c r="J2120" s="32" t="str">
        <f>IF(AND(E2120=1,OR(E2119=0,E2119="")),MAX(#REF!)+1,IF(AND(E2120=1,E2119=1),J2119,""))</f>
        <v/>
      </c>
      <c r="K2120" s="32" t="str">
        <f t="shared" si="129"/>
        <v/>
      </c>
      <c r="L2120" s="32" t="str">
        <f t="shared" si="130"/>
        <v/>
      </c>
      <c r="M2120" s="32" t="str">
        <f t="shared" si="131"/>
        <v/>
      </c>
      <c r="N2120" s="4">
        <v>1</v>
      </c>
      <c r="O2120" s="58">
        <v>0</v>
      </c>
      <c r="P2120" s="58">
        <v>0</v>
      </c>
      <c r="Q2120" s="58">
        <v>0</v>
      </c>
      <c r="R2120" s="58">
        <v>0</v>
      </c>
      <c r="S2120" s="58">
        <v>0</v>
      </c>
      <c r="T2120" s="58">
        <v>0</v>
      </c>
      <c r="U2120" s="58">
        <v>0</v>
      </c>
      <c r="V2120" s="58">
        <v>0</v>
      </c>
      <c r="AG2120" t="s">
        <v>1838</v>
      </c>
      <c r="AM2120" s="1" t="str">
        <f t="shared" si="128"/>
        <v>2118_C0013_1424.jpg</v>
      </c>
    </row>
    <row r="2121" spans="1:39" x14ac:dyDescent="0.35">
      <c r="A2121">
        <v>2117</v>
      </c>
      <c r="B2121">
        <v>2118</v>
      </c>
      <c r="F2121" s="64" t="s">
        <v>5157</v>
      </c>
      <c r="G2121" s="64"/>
      <c r="H2121" s="64"/>
      <c r="I2121" s="64">
        <v>0</v>
      </c>
      <c r="J2121" s="32">
        <v>166</v>
      </c>
      <c r="K2121" s="32">
        <f t="shared" si="129"/>
        <v>10</v>
      </c>
      <c r="L2121" s="32" t="str">
        <f t="shared" si="130"/>
        <v/>
      </c>
      <c r="M2121" s="32">
        <f t="shared" si="131"/>
        <v>100</v>
      </c>
      <c r="N2121" s="4">
        <v>1</v>
      </c>
      <c r="O2121" s="58">
        <v>0</v>
      </c>
      <c r="P2121" s="58">
        <v>0</v>
      </c>
      <c r="Q2121" s="58">
        <v>0</v>
      </c>
      <c r="R2121" s="58">
        <v>0</v>
      </c>
      <c r="S2121" s="58">
        <v>0</v>
      </c>
      <c r="T2121" s="58">
        <v>0</v>
      </c>
      <c r="U2121" s="58">
        <v>0</v>
      </c>
      <c r="V2121" s="58">
        <v>0</v>
      </c>
      <c r="AG2121" t="s">
        <v>1839</v>
      </c>
      <c r="AM2121" s="1" t="str">
        <f t="shared" si="128"/>
        <v>2119_C0013_1421.jpg</v>
      </c>
    </row>
    <row r="2122" spans="1:39" x14ac:dyDescent="0.35">
      <c r="A2122">
        <v>2118</v>
      </c>
      <c r="B2122">
        <v>2119</v>
      </c>
      <c r="F2122" s="64" t="s">
        <v>5158</v>
      </c>
      <c r="G2122" s="64"/>
      <c r="H2122" s="64"/>
      <c r="I2122" s="64">
        <v>0</v>
      </c>
      <c r="J2122" s="32" t="str">
        <f>IF(AND(E2122=1,OR(E2121=0,E2121="")),MAX(#REF!)+1,IF(AND(E2122=1,E2121=1),J2121,""))</f>
        <v/>
      </c>
      <c r="K2122" s="32" t="str">
        <f t="shared" si="129"/>
        <v/>
      </c>
      <c r="L2122" s="32" t="str">
        <f t="shared" si="130"/>
        <v/>
      </c>
      <c r="M2122" s="32" t="str">
        <f t="shared" si="131"/>
        <v/>
      </c>
      <c r="N2122" s="4">
        <v>1</v>
      </c>
      <c r="O2122" s="58">
        <v>0</v>
      </c>
      <c r="P2122" s="58">
        <v>0</v>
      </c>
      <c r="Q2122" s="58">
        <v>0</v>
      </c>
      <c r="R2122" s="58">
        <v>0</v>
      </c>
      <c r="S2122" s="58">
        <v>0</v>
      </c>
      <c r="T2122" s="58">
        <v>0</v>
      </c>
      <c r="U2122" s="58">
        <v>0</v>
      </c>
      <c r="V2122" s="58">
        <v>0</v>
      </c>
      <c r="AG2122" t="s">
        <v>1840</v>
      </c>
      <c r="AM2122" s="1" t="str">
        <f t="shared" si="128"/>
        <v>2120_C0013_1418.jpg</v>
      </c>
    </row>
    <row r="2123" spans="1:39" x14ac:dyDescent="0.35">
      <c r="A2123">
        <v>2119</v>
      </c>
      <c r="B2123">
        <v>2120</v>
      </c>
      <c r="F2123" s="64" t="s">
        <v>5159</v>
      </c>
      <c r="G2123" s="64"/>
      <c r="H2123" s="64"/>
      <c r="I2123" s="64">
        <v>0</v>
      </c>
      <c r="J2123" s="32" t="str">
        <f>IF(AND(E2123=1,OR(E2122=0,E2122="")),MAX(#REF!)+1,IF(AND(E2123=1,E2122=1),J2122,""))</f>
        <v/>
      </c>
      <c r="K2123" s="32" t="str">
        <f t="shared" si="129"/>
        <v/>
      </c>
      <c r="L2123" s="32" t="str">
        <f t="shared" si="130"/>
        <v/>
      </c>
      <c r="M2123" s="32" t="str">
        <f t="shared" si="131"/>
        <v/>
      </c>
      <c r="N2123" s="4">
        <v>1</v>
      </c>
      <c r="O2123" s="58">
        <v>0</v>
      </c>
      <c r="P2123" s="58">
        <v>0</v>
      </c>
      <c r="Q2123" s="58">
        <v>0</v>
      </c>
      <c r="R2123" s="58">
        <v>0</v>
      </c>
      <c r="S2123" s="58">
        <v>0</v>
      </c>
      <c r="T2123" s="58">
        <v>0</v>
      </c>
      <c r="U2123" s="58">
        <v>0</v>
      </c>
      <c r="V2123" s="58">
        <v>0</v>
      </c>
      <c r="AG2123" t="s">
        <v>1841</v>
      </c>
      <c r="AM2123" s="1" t="str">
        <f t="shared" ref="AM2123:AM2186" si="132">HYPERLINK("E:\CAFNEC_GBRF\2023\JohnstoneRiver\Frames_for_Analysis\" &amp; F2124, F2124)</f>
        <v>2121_C0013_1415.jpg</v>
      </c>
    </row>
    <row r="2124" spans="1:39" x14ac:dyDescent="0.35">
      <c r="A2124">
        <v>2120</v>
      </c>
      <c r="B2124">
        <v>2121</v>
      </c>
      <c r="F2124" s="64" t="s">
        <v>5160</v>
      </c>
      <c r="G2124" s="64"/>
      <c r="H2124" s="64"/>
      <c r="I2124" s="64">
        <v>1</v>
      </c>
      <c r="J2124" s="32">
        <v>167</v>
      </c>
      <c r="K2124" s="32">
        <f t="shared" si="129"/>
        <v>10</v>
      </c>
      <c r="L2124" s="32" t="str">
        <f t="shared" si="130"/>
        <v/>
      </c>
      <c r="M2124" s="32">
        <f t="shared" si="131"/>
        <v>100</v>
      </c>
      <c r="N2124" s="4">
        <v>1</v>
      </c>
      <c r="O2124" s="58">
        <v>0</v>
      </c>
      <c r="P2124" s="58">
        <v>0</v>
      </c>
      <c r="Q2124" s="58">
        <v>0</v>
      </c>
      <c r="R2124" s="58">
        <v>0</v>
      </c>
      <c r="S2124" s="58">
        <v>0</v>
      </c>
      <c r="T2124" s="58">
        <v>0</v>
      </c>
      <c r="U2124" s="58">
        <v>0</v>
      </c>
      <c r="V2124" s="58">
        <v>0</v>
      </c>
      <c r="AG2124" t="s">
        <v>1842</v>
      </c>
      <c r="AM2124" s="1" t="str">
        <f t="shared" si="132"/>
        <v>2122_C0013_1412.jpg</v>
      </c>
    </row>
    <row r="2125" spans="1:39" x14ac:dyDescent="0.35">
      <c r="A2125">
        <v>2121</v>
      </c>
      <c r="B2125">
        <v>2122</v>
      </c>
      <c r="F2125" s="64" t="s">
        <v>5161</v>
      </c>
      <c r="G2125" s="64"/>
      <c r="H2125" s="64"/>
      <c r="I2125" s="64">
        <v>1</v>
      </c>
      <c r="J2125" s="32" t="str">
        <f>IF(AND(E2125=1,OR(E2124=0,E2124="")),MAX(#REF!)+1,IF(AND(E2125=1,E2124=1),J2124,""))</f>
        <v/>
      </c>
      <c r="K2125" s="32" t="str">
        <f t="shared" si="129"/>
        <v/>
      </c>
      <c r="L2125" s="32" t="str">
        <f t="shared" si="130"/>
        <v/>
      </c>
      <c r="M2125" s="32" t="str">
        <f t="shared" si="131"/>
        <v/>
      </c>
      <c r="N2125" s="4">
        <v>1</v>
      </c>
      <c r="O2125" s="58">
        <v>0</v>
      </c>
      <c r="P2125" s="58">
        <v>0</v>
      </c>
      <c r="Q2125" s="58">
        <v>0</v>
      </c>
      <c r="R2125" s="58">
        <v>0</v>
      </c>
      <c r="S2125" s="58">
        <v>0</v>
      </c>
      <c r="T2125" s="58">
        <v>0</v>
      </c>
      <c r="U2125" s="58">
        <v>0</v>
      </c>
      <c r="V2125" s="58">
        <v>0</v>
      </c>
      <c r="AG2125" t="s">
        <v>1843</v>
      </c>
      <c r="AM2125" s="1" t="str">
        <f t="shared" si="132"/>
        <v>2123_C0013_1409.jpg</v>
      </c>
    </row>
    <row r="2126" spans="1:39" x14ac:dyDescent="0.35">
      <c r="A2126">
        <v>2122</v>
      </c>
      <c r="B2126">
        <v>2123</v>
      </c>
      <c r="F2126" s="64" t="s">
        <v>5162</v>
      </c>
      <c r="G2126" s="64"/>
      <c r="H2126" s="64"/>
      <c r="I2126" s="64">
        <v>0</v>
      </c>
      <c r="J2126" s="32" t="str">
        <f>IF(AND(E2126=1,OR(E2125=0,E2125="")),MAX(#REF!)+1,IF(AND(E2126=1,E2125=1),J2125,""))</f>
        <v/>
      </c>
      <c r="K2126" s="32" t="str">
        <f t="shared" si="129"/>
        <v/>
      </c>
      <c r="L2126" s="32" t="str">
        <f t="shared" si="130"/>
        <v/>
      </c>
      <c r="M2126" s="32" t="str">
        <f t="shared" si="131"/>
        <v/>
      </c>
      <c r="N2126" s="4">
        <v>1</v>
      </c>
      <c r="O2126" s="58">
        <v>0</v>
      </c>
      <c r="P2126" s="58">
        <v>0</v>
      </c>
      <c r="Q2126" s="58">
        <v>0</v>
      </c>
      <c r="R2126" s="58">
        <v>0</v>
      </c>
      <c r="S2126" s="58">
        <v>0</v>
      </c>
      <c r="T2126" s="58">
        <v>0</v>
      </c>
      <c r="U2126" s="58">
        <v>0</v>
      </c>
      <c r="V2126" s="58">
        <v>0</v>
      </c>
      <c r="AG2126" t="s">
        <v>1844</v>
      </c>
      <c r="AM2126" s="1" t="str">
        <f t="shared" si="132"/>
        <v>2124_C0013_1406.jpg</v>
      </c>
    </row>
    <row r="2127" spans="1:39" x14ac:dyDescent="0.35">
      <c r="A2127">
        <v>2123</v>
      </c>
      <c r="B2127">
        <v>2124</v>
      </c>
      <c r="F2127" s="64" t="s">
        <v>5163</v>
      </c>
      <c r="G2127" s="64"/>
      <c r="H2127" s="64"/>
      <c r="I2127" s="64">
        <v>0</v>
      </c>
      <c r="J2127" s="32" t="str">
        <f>IF(AND(E2127=1,OR(E2126=0,E2126="")),MAX(#REF!)+1,IF(AND(E2127=1,E2126=1),J2126,""))</f>
        <v/>
      </c>
      <c r="K2127" s="32" t="str">
        <f t="shared" si="129"/>
        <v/>
      </c>
      <c r="L2127" s="32" t="str">
        <f t="shared" si="130"/>
        <v/>
      </c>
      <c r="M2127" s="32" t="str">
        <f t="shared" si="131"/>
        <v/>
      </c>
      <c r="N2127" s="4">
        <v>1</v>
      </c>
      <c r="O2127" s="58">
        <v>0</v>
      </c>
      <c r="P2127" s="58">
        <v>0</v>
      </c>
      <c r="Q2127" s="58">
        <v>0</v>
      </c>
      <c r="R2127" s="58">
        <v>0</v>
      </c>
      <c r="S2127" s="58">
        <v>0</v>
      </c>
      <c r="T2127" s="58">
        <v>0</v>
      </c>
      <c r="U2127" s="58">
        <v>0</v>
      </c>
      <c r="V2127" s="58">
        <v>0</v>
      </c>
      <c r="AG2127" t="s">
        <v>1845</v>
      </c>
      <c r="AM2127" s="1" t="str">
        <f t="shared" si="132"/>
        <v>2125_C0013_1403.jpg</v>
      </c>
    </row>
    <row r="2128" spans="1:39" x14ac:dyDescent="0.35">
      <c r="A2128">
        <v>2124</v>
      </c>
      <c r="B2128">
        <v>2125</v>
      </c>
      <c r="F2128" s="64" t="s">
        <v>5164</v>
      </c>
      <c r="G2128" s="64"/>
      <c r="H2128" s="64"/>
      <c r="I2128" s="64">
        <v>0</v>
      </c>
      <c r="J2128" s="32" t="str">
        <f>IF(AND(E2128=1,OR(E2127=0,E2127="")),MAX(#REF!)+1,IF(AND(E2128=1,E2127=1),J2127,""))</f>
        <v/>
      </c>
      <c r="K2128" s="32" t="str">
        <f t="shared" si="129"/>
        <v/>
      </c>
      <c r="L2128" s="32" t="str">
        <f t="shared" si="130"/>
        <v/>
      </c>
      <c r="M2128" s="32" t="str">
        <f t="shared" si="131"/>
        <v/>
      </c>
      <c r="N2128" s="4">
        <v>1</v>
      </c>
      <c r="O2128" s="58">
        <v>0</v>
      </c>
      <c r="P2128" s="58">
        <v>0</v>
      </c>
      <c r="Q2128" s="58">
        <v>0</v>
      </c>
      <c r="R2128" s="58">
        <v>0</v>
      </c>
      <c r="S2128" s="58">
        <v>0</v>
      </c>
      <c r="T2128" s="58">
        <v>0</v>
      </c>
      <c r="U2128" s="58">
        <v>0</v>
      </c>
      <c r="V2128" s="58">
        <v>0</v>
      </c>
      <c r="AG2128" t="s">
        <v>1846</v>
      </c>
      <c r="AM2128" s="1" t="str">
        <f t="shared" si="132"/>
        <v>2126_C0013_1400.jpg</v>
      </c>
    </row>
    <row r="2129" spans="1:39" x14ac:dyDescent="0.35">
      <c r="A2129">
        <v>2125</v>
      </c>
      <c r="B2129">
        <v>2126</v>
      </c>
      <c r="F2129" s="64" t="s">
        <v>5165</v>
      </c>
      <c r="G2129" s="64"/>
      <c r="H2129" s="64"/>
      <c r="I2129" s="64">
        <v>0</v>
      </c>
      <c r="J2129" s="32" t="str">
        <f>IF(AND(E2129=1,OR(E2128=0,E2128="")),MAX(#REF!)+1,IF(AND(E2129=1,E2128=1),J2128,""))</f>
        <v/>
      </c>
      <c r="K2129" s="32" t="str">
        <f t="shared" si="129"/>
        <v/>
      </c>
      <c r="L2129" s="32" t="str">
        <f t="shared" si="130"/>
        <v/>
      </c>
      <c r="M2129" s="32" t="str">
        <f t="shared" si="131"/>
        <v/>
      </c>
      <c r="N2129" s="4">
        <v>1</v>
      </c>
      <c r="O2129" s="58">
        <v>0</v>
      </c>
      <c r="P2129" s="58">
        <v>0</v>
      </c>
      <c r="Q2129" s="58">
        <v>0</v>
      </c>
      <c r="R2129" s="58">
        <v>0</v>
      </c>
      <c r="S2129" s="58">
        <v>0</v>
      </c>
      <c r="T2129" s="58">
        <v>0</v>
      </c>
      <c r="U2129" s="58">
        <v>0</v>
      </c>
      <c r="V2129" s="58">
        <v>0</v>
      </c>
      <c r="AG2129" t="s">
        <v>1847</v>
      </c>
      <c r="AM2129" s="1" t="str">
        <f t="shared" si="132"/>
        <v>2127_C0013_1397.jpg</v>
      </c>
    </row>
    <row r="2130" spans="1:39" x14ac:dyDescent="0.35">
      <c r="A2130">
        <v>2126</v>
      </c>
      <c r="B2130">
        <v>2127</v>
      </c>
      <c r="F2130" s="64" t="s">
        <v>5166</v>
      </c>
      <c r="G2130" s="64"/>
      <c r="H2130" s="64"/>
      <c r="I2130" s="64">
        <v>1</v>
      </c>
      <c r="J2130" s="32" t="str">
        <f>IF(AND(E2130=1,OR(E2129=0,E2129="")),MAX(#REF!)+1,IF(AND(E2130=1,E2129=1),J2129,""))</f>
        <v/>
      </c>
      <c r="K2130" s="32" t="str">
        <f t="shared" si="129"/>
        <v/>
      </c>
      <c r="L2130" s="32" t="str">
        <f t="shared" si="130"/>
        <v/>
      </c>
      <c r="M2130" s="32" t="str">
        <f t="shared" si="131"/>
        <v/>
      </c>
      <c r="N2130" s="4">
        <v>1</v>
      </c>
      <c r="O2130" s="58">
        <v>0</v>
      </c>
      <c r="P2130" s="58">
        <v>0</v>
      </c>
      <c r="Q2130" s="58">
        <v>0</v>
      </c>
      <c r="R2130" s="58">
        <v>0</v>
      </c>
      <c r="S2130" s="58">
        <v>0</v>
      </c>
      <c r="T2130" s="58">
        <v>0</v>
      </c>
      <c r="U2130" s="58">
        <v>0</v>
      </c>
      <c r="V2130" s="58">
        <v>0</v>
      </c>
      <c r="AG2130" t="s">
        <v>1848</v>
      </c>
      <c r="AM2130" s="1" t="str">
        <f t="shared" si="132"/>
        <v>2128_C0013_1395.jpg</v>
      </c>
    </row>
    <row r="2131" spans="1:39" x14ac:dyDescent="0.35">
      <c r="A2131">
        <v>2127</v>
      </c>
      <c r="B2131">
        <v>2128</v>
      </c>
      <c r="F2131" s="64" t="s">
        <v>5167</v>
      </c>
      <c r="G2131" s="64"/>
      <c r="H2131" s="64"/>
      <c r="I2131" s="64">
        <v>0</v>
      </c>
      <c r="J2131" s="32" t="str">
        <f>IF(AND(E2131=1,OR(E2130=0,E2130="")),MAX(#REF!)+1,IF(AND(E2131=1,E2130=1),J2130,""))</f>
        <v/>
      </c>
      <c r="K2131" s="32" t="str">
        <f t="shared" si="129"/>
        <v/>
      </c>
      <c r="L2131" s="32" t="str">
        <f t="shared" si="130"/>
        <v/>
      </c>
      <c r="M2131" s="32" t="str">
        <f t="shared" si="131"/>
        <v/>
      </c>
      <c r="N2131" s="4">
        <v>1</v>
      </c>
      <c r="O2131" s="58">
        <v>0</v>
      </c>
      <c r="P2131" s="58">
        <v>0</v>
      </c>
      <c r="Q2131" s="58">
        <v>0</v>
      </c>
      <c r="R2131" s="58">
        <v>0</v>
      </c>
      <c r="S2131" s="58">
        <v>0</v>
      </c>
      <c r="T2131" s="58">
        <v>0</v>
      </c>
      <c r="U2131" s="58">
        <v>0</v>
      </c>
      <c r="V2131" s="58">
        <v>0</v>
      </c>
      <c r="AG2131" t="s">
        <v>1849</v>
      </c>
      <c r="AM2131" s="1" t="str">
        <f t="shared" si="132"/>
        <v>2129_C0013_1392.jpg</v>
      </c>
    </row>
    <row r="2132" spans="1:39" x14ac:dyDescent="0.35">
      <c r="A2132">
        <v>2128</v>
      </c>
      <c r="B2132">
        <v>2129</v>
      </c>
      <c r="F2132" s="64" t="s">
        <v>5168</v>
      </c>
      <c r="G2132" s="64"/>
      <c r="H2132" s="64"/>
      <c r="I2132" s="64">
        <v>0</v>
      </c>
      <c r="J2132" s="32" t="str">
        <f>IF(AND(E2132=1,OR(E2131=0,E2131="")),MAX(#REF!)+1,IF(AND(E2132=1,E2131=1),J2131,""))</f>
        <v/>
      </c>
      <c r="K2132" s="32" t="str">
        <f t="shared" si="129"/>
        <v/>
      </c>
      <c r="L2132" s="32" t="str">
        <f t="shared" si="130"/>
        <v/>
      </c>
      <c r="M2132" s="32" t="str">
        <f t="shared" si="131"/>
        <v/>
      </c>
      <c r="N2132" s="4">
        <v>1</v>
      </c>
      <c r="O2132" s="58">
        <v>0</v>
      </c>
      <c r="P2132" s="58">
        <v>0</v>
      </c>
      <c r="Q2132" s="58">
        <v>0</v>
      </c>
      <c r="R2132" s="58">
        <v>0</v>
      </c>
      <c r="S2132" s="58">
        <v>0</v>
      </c>
      <c r="T2132" s="58">
        <v>0</v>
      </c>
      <c r="U2132" s="58">
        <v>0</v>
      </c>
      <c r="V2132" s="58">
        <v>0</v>
      </c>
      <c r="AG2132" t="s">
        <v>1850</v>
      </c>
      <c r="AM2132" s="1" t="str">
        <f t="shared" si="132"/>
        <v>2130_C0013_1388.jpg</v>
      </c>
    </row>
    <row r="2133" spans="1:39" x14ac:dyDescent="0.35">
      <c r="A2133">
        <v>2129</v>
      </c>
      <c r="B2133">
        <v>2130</v>
      </c>
      <c r="F2133" s="64" t="s">
        <v>5169</v>
      </c>
      <c r="G2133" s="64"/>
      <c r="H2133" s="64"/>
      <c r="I2133" s="64">
        <v>0</v>
      </c>
      <c r="J2133" s="32" t="str">
        <f>IF(AND(E2133=1,OR(E2132=0,E2132="")),MAX(#REF!)+1,IF(AND(E2133=1,E2132=1),J2132,""))</f>
        <v/>
      </c>
      <c r="K2133" s="32" t="str">
        <f t="shared" si="129"/>
        <v/>
      </c>
      <c r="L2133" s="32" t="str">
        <f t="shared" si="130"/>
        <v/>
      </c>
      <c r="M2133" s="32" t="str">
        <f t="shared" si="131"/>
        <v/>
      </c>
      <c r="N2133" s="4">
        <v>1</v>
      </c>
      <c r="O2133" s="58">
        <v>0</v>
      </c>
      <c r="P2133" s="58">
        <v>0</v>
      </c>
      <c r="Q2133" s="58">
        <v>0</v>
      </c>
      <c r="R2133" s="58">
        <v>0</v>
      </c>
      <c r="S2133" s="58">
        <v>0</v>
      </c>
      <c r="T2133" s="58">
        <v>0</v>
      </c>
      <c r="U2133" s="58">
        <v>0</v>
      </c>
      <c r="V2133" s="58">
        <v>0</v>
      </c>
      <c r="AG2133" t="s">
        <v>1851</v>
      </c>
      <c r="AM2133" s="1" t="str">
        <f t="shared" si="132"/>
        <v>2131_C0013_1385.jpg</v>
      </c>
    </row>
    <row r="2134" spans="1:39" x14ac:dyDescent="0.35">
      <c r="A2134">
        <v>2130</v>
      </c>
      <c r="B2134">
        <v>2131</v>
      </c>
      <c r="F2134" s="64" t="s">
        <v>5170</v>
      </c>
      <c r="G2134" s="64"/>
      <c r="H2134" s="64"/>
      <c r="I2134" s="64">
        <v>0</v>
      </c>
      <c r="J2134" s="32" t="str">
        <f>IF(AND(E2134=1,OR(E2133=0,E2133="")),MAX(#REF!)+1,IF(AND(E2134=1,E2133=1),J2133,""))</f>
        <v/>
      </c>
      <c r="K2134" s="32" t="str">
        <f t="shared" si="129"/>
        <v/>
      </c>
      <c r="L2134" s="32" t="str">
        <f t="shared" si="130"/>
        <v/>
      </c>
      <c r="M2134" s="32" t="str">
        <f t="shared" si="131"/>
        <v/>
      </c>
      <c r="N2134" s="4">
        <v>1</v>
      </c>
      <c r="O2134" s="58">
        <v>0</v>
      </c>
      <c r="P2134" s="58">
        <v>0</v>
      </c>
      <c r="Q2134" s="58">
        <v>0</v>
      </c>
      <c r="R2134" s="58">
        <v>0</v>
      </c>
      <c r="S2134" s="58">
        <v>0</v>
      </c>
      <c r="T2134" s="58">
        <v>0</v>
      </c>
      <c r="U2134" s="58">
        <v>0</v>
      </c>
      <c r="V2134" s="58">
        <v>0</v>
      </c>
      <c r="AG2134" t="s">
        <v>1852</v>
      </c>
      <c r="AM2134" s="1" t="str">
        <f t="shared" si="132"/>
        <v>2132_C0013_1382.jpg</v>
      </c>
    </row>
    <row r="2135" spans="1:39" x14ac:dyDescent="0.35">
      <c r="A2135">
        <v>2131</v>
      </c>
      <c r="B2135">
        <v>2132</v>
      </c>
      <c r="F2135" s="64" t="s">
        <v>5171</v>
      </c>
      <c r="G2135" s="64"/>
      <c r="H2135" s="64"/>
      <c r="I2135" s="64">
        <v>0</v>
      </c>
      <c r="J2135" s="32" t="str">
        <f>IF(AND(E2135=1,OR(E2134=0,E2134="")),MAX(#REF!)+1,IF(AND(E2135=1,E2134=1),J2134,""))</f>
        <v/>
      </c>
      <c r="K2135" s="32" t="str">
        <f t="shared" si="129"/>
        <v/>
      </c>
      <c r="L2135" s="32" t="str">
        <f t="shared" si="130"/>
        <v/>
      </c>
      <c r="M2135" s="32" t="str">
        <f t="shared" si="131"/>
        <v/>
      </c>
      <c r="N2135" s="4">
        <v>1</v>
      </c>
      <c r="O2135" s="58">
        <v>0</v>
      </c>
      <c r="P2135" s="58">
        <v>0</v>
      </c>
      <c r="Q2135" s="58">
        <v>0</v>
      </c>
      <c r="R2135" s="58">
        <v>0</v>
      </c>
      <c r="S2135" s="58">
        <v>0</v>
      </c>
      <c r="T2135" s="58">
        <v>0</v>
      </c>
      <c r="U2135" s="58">
        <v>0</v>
      </c>
      <c r="V2135" s="58">
        <v>0</v>
      </c>
      <c r="AG2135" t="s">
        <v>1853</v>
      </c>
      <c r="AM2135" s="1" t="str">
        <f t="shared" si="132"/>
        <v>2133_C0013_1379.jpg</v>
      </c>
    </row>
    <row r="2136" spans="1:39" x14ac:dyDescent="0.35">
      <c r="A2136">
        <v>2132</v>
      </c>
      <c r="B2136">
        <v>2133</v>
      </c>
      <c r="F2136" s="64" t="s">
        <v>5172</v>
      </c>
      <c r="G2136" s="64"/>
      <c r="H2136" s="64"/>
      <c r="I2136" s="64">
        <v>0</v>
      </c>
      <c r="J2136" s="32" t="str">
        <f>IF(AND(E2136=1,OR(E2135=0,E2135="")),MAX(#REF!)+1,IF(AND(E2136=1,E2135=1),J2135,""))</f>
        <v/>
      </c>
      <c r="K2136" s="32" t="str">
        <f t="shared" si="129"/>
        <v/>
      </c>
      <c r="L2136" s="32" t="str">
        <f t="shared" si="130"/>
        <v/>
      </c>
      <c r="M2136" s="32" t="str">
        <f t="shared" si="131"/>
        <v/>
      </c>
      <c r="N2136" s="4">
        <v>1</v>
      </c>
      <c r="O2136" s="58">
        <v>0</v>
      </c>
      <c r="P2136" s="58">
        <v>0</v>
      </c>
      <c r="Q2136" s="58">
        <v>0</v>
      </c>
      <c r="R2136" s="58">
        <v>0</v>
      </c>
      <c r="S2136" s="58">
        <v>0</v>
      </c>
      <c r="T2136" s="58">
        <v>0</v>
      </c>
      <c r="U2136" s="58">
        <v>0</v>
      </c>
      <c r="V2136" s="58">
        <v>0</v>
      </c>
      <c r="AG2136" t="s">
        <v>1854</v>
      </c>
      <c r="AM2136" s="1" t="str">
        <f t="shared" si="132"/>
        <v>2134_C0013_1377.jpg</v>
      </c>
    </row>
    <row r="2137" spans="1:39" x14ac:dyDescent="0.35">
      <c r="A2137">
        <v>2133</v>
      </c>
      <c r="B2137">
        <v>2134</v>
      </c>
      <c r="F2137" s="64" t="s">
        <v>5173</v>
      </c>
      <c r="G2137" s="64"/>
      <c r="H2137" s="64"/>
      <c r="I2137" s="64">
        <v>1</v>
      </c>
      <c r="J2137" s="32" t="str">
        <f>IF(AND(E2137=1,OR(E2136=0,E2136="")),MAX(#REF!)+1,IF(AND(E2137=1,E2136=1),J2136,""))</f>
        <v/>
      </c>
      <c r="K2137" s="32" t="str">
        <f t="shared" si="129"/>
        <v/>
      </c>
      <c r="L2137" s="32" t="str">
        <f t="shared" si="130"/>
        <v/>
      </c>
      <c r="M2137" s="32" t="str">
        <f t="shared" si="131"/>
        <v/>
      </c>
      <c r="N2137" s="4">
        <v>1</v>
      </c>
      <c r="O2137" s="58">
        <v>0</v>
      </c>
      <c r="P2137" s="58">
        <v>0</v>
      </c>
      <c r="Q2137" s="58">
        <v>0</v>
      </c>
      <c r="R2137" s="58">
        <v>0</v>
      </c>
      <c r="S2137" s="58">
        <v>0</v>
      </c>
      <c r="T2137" s="58">
        <v>0</v>
      </c>
      <c r="U2137" s="58">
        <v>0</v>
      </c>
      <c r="V2137" s="58">
        <v>0</v>
      </c>
      <c r="AG2137" t="s">
        <v>1855</v>
      </c>
      <c r="AM2137" s="1" t="str">
        <f t="shared" si="132"/>
        <v>2135_C0013_1374.jpg</v>
      </c>
    </row>
    <row r="2138" spans="1:39" x14ac:dyDescent="0.35">
      <c r="A2138">
        <v>2134</v>
      </c>
      <c r="B2138">
        <v>2135</v>
      </c>
      <c r="F2138" s="64" t="s">
        <v>5174</v>
      </c>
      <c r="G2138" s="64"/>
      <c r="H2138" s="64"/>
      <c r="I2138" s="64">
        <v>1</v>
      </c>
      <c r="J2138" s="32" t="str">
        <f>IF(AND(E2138=1,OR(E2137=0,E2137="")),MAX(#REF!)+1,IF(AND(E2138=1,E2137=1),J2137,""))</f>
        <v/>
      </c>
      <c r="K2138" s="32" t="str">
        <f t="shared" si="129"/>
        <v/>
      </c>
      <c r="L2138" s="32" t="str">
        <f t="shared" si="130"/>
        <v/>
      </c>
      <c r="M2138" s="32" t="str">
        <f t="shared" si="131"/>
        <v/>
      </c>
      <c r="N2138" s="4">
        <v>1</v>
      </c>
      <c r="O2138" s="58">
        <v>0</v>
      </c>
      <c r="P2138" s="58">
        <v>0</v>
      </c>
      <c r="Q2138" s="58">
        <v>0</v>
      </c>
      <c r="R2138" s="58">
        <v>0</v>
      </c>
      <c r="S2138" s="58">
        <v>0</v>
      </c>
      <c r="T2138" s="58">
        <v>0</v>
      </c>
      <c r="U2138" s="58">
        <v>0</v>
      </c>
      <c r="V2138" s="58">
        <v>0</v>
      </c>
      <c r="AG2138" t="s">
        <v>1856</v>
      </c>
      <c r="AM2138" s="1" t="str">
        <f t="shared" si="132"/>
        <v>2136_C0013_1371.jpg</v>
      </c>
    </row>
    <row r="2139" spans="1:39" x14ac:dyDescent="0.35">
      <c r="A2139">
        <v>2135</v>
      </c>
      <c r="B2139">
        <v>2136</v>
      </c>
      <c r="F2139" s="64" t="s">
        <v>5175</v>
      </c>
      <c r="G2139" s="64"/>
      <c r="H2139" s="64"/>
      <c r="I2139" s="64">
        <v>0</v>
      </c>
      <c r="J2139" s="32" t="str">
        <f>IF(AND(E2139=1,OR(E2138=0,E2138="")),MAX(#REF!)+1,IF(AND(E2139=1,E2138=1),J2138,""))</f>
        <v/>
      </c>
      <c r="K2139" s="32" t="str">
        <f t="shared" si="129"/>
        <v/>
      </c>
      <c r="L2139" s="32" t="str">
        <f t="shared" si="130"/>
        <v/>
      </c>
      <c r="M2139" s="32" t="str">
        <f t="shared" si="131"/>
        <v/>
      </c>
      <c r="N2139" s="4">
        <v>1</v>
      </c>
      <c r="O2139" s="58">
        <v>0</v>
      </c>
      <c r="P2139" s="58">
        <v>0</v>
      </c>
      <c r="Q2139" s="58">
        <v>0</v>
      </c>
      <c r="R2139" s="58">
        <v>0</v>
      </c>
      <c r="S2139" s="58">
        <v>0</v>
      </c>
      <c r="T2139" s="58">
        <v>0</v>
      </c>
      <c r="U2139" s="58">
        <v>0</v>
      </c>
      <c r="V2139" s="58">
        <v>0</v>
      </c>
      <c r="AG2139" t="s">
        <v>1857</v>
      </c>
      <c r="AM2139" s="1" t="str">
        <f t="shared" si="132"/>
        <v>2137_C0013_1368.jpg</v>
      </c>
    </row>
    <row r="2140" spans="1:39" x14ac:dyDescent="0.35">
      <c r="A2140">
        <v>2136</v>
      </c>
      <c r="B2140">
        <v>2137</v>
      </c>
      <c r="F2140" s="64" t="s">
        <v>5176</v>
      </c>
      <c r="G2140" s="64"/>
      <c r="H2140" s="64"/>
      <c r="I2140" s="64">
        <v>0</v>
      </c>
      <c r="J2140" s="32" t="str">
        <f>IF(AND(E2140=1,OR(E2139=0,E2139="")),MAX(#REF!)+1,IF(AND(E2140=1,E2139=1),J2139,""))</f>
        <v/>
      </c>
      <c r="K2140" s="32" t="str">
        <f t="shared" si="129"/>
        <v/>
      </c>
      <c r="L2140" s="32" t="str">
        <f t="shared" si="130"/>
        <v/>
      </c>
      <c r="M2140" s="32" t="str">
        <f t="shared" si="131"/>
        <v/>
      </c>
      <c r="N2140" s="4">
        <v>1</v>
      </c>
      <c r="O2140" s="58">
        <v>0</v>
      </c>
      <c r="P2140" s="58">
        <v>0</v>
      </c>
      <c r="Q2140" s="58">
        <v>0</v>
      </c>
      <c r="R2140" s="58">
        <v>0</v>
      </c>
      <c r="S2140" s="58">
        <v>0</v>
      </c>
      <c r="T2140" s="58">
        <v>0</v>
      </c>
      <c r="U2140" s="58">
        <v>0</v>
      </c>
      <c r="V2140" s="58">
        <v>0</v>
      </c>
      <c r="AG2140" t="s">
        <v>1858</v>
      </c>
      <c r="AM2140" s="1" t="str">
        <f t="shared" si="132"/>
        <v>2138_C0013_1366.jpg</v>
      </c>
    </row>
    <row r="2141" spans="1:39" x14ac:dyDescent="0.35">
      <c r="A2141">
        <v>2137</v>
      </c>
      <c r="B2141">
        <v>2138</v>
      </c>
      <c r="F2141" s="64" t="s">
        <v>5177</v>
      </c>
      <c r="G2141" s="64"/>
      <c r="H2141" s="64"/>
      <c r="I2141" s="64">
        <v>0</v>
      </c>
      <c r="J2141" s="32" t="str">
        <f>IF(AND(E2141=1,OR(E2140=0,E2140="")),MAX(#REF!)+1,IF(AND(E2141=1,E2140=1),J2140,""))</f>
        <v/>
      </c>
      <c r="K2141" s="32" t="str">
        <f t="shared" si="129"/>
        <v/>
      </c>
      <c r="L2141" s="32" t="str">
        <f t="shared" si="130"/>
        <v/>
      </c>
      <c r="M2141" s="32" t="str">
        <f t="shared" si="131"/>
        <v/>
      </c>
      <c r="N2141" s="4">
        <v>1</v>
      </c>
      <c r="O2141" s="58">
        <v>0</v>
      </c>
      <c r="P2141" s="58">
        <v>0</v>
      </c>
      <c r="Q2141" s="58">
        <v>0</v>
      </c>
      <c r="R2141" s="58">
        <v>0</v>
      </c>
      <c r="S2141" s="58">
        <v>0</v>
      </c>
      <c r="T2141" s="58">
        <v>0</v>
      </c>
      <c r="U2141" s="58">
        <v>0</v>
      </c>
      <c r="V2141" s="58">
        <v>0</v>
      </c>
      <c r="AG2141" t="s">
        <v>1859</v>
      </c>
      <c r="AM2141" s="1" t="str">
        <f t="shared" si="132"/>
        <v>2139_C0013_1363.jpg</v>
      </c>
    </row>
    <row r="2142" spans="1:39" x14ac:dyDescent="0.35">
      <c r="A2142">
        <v>2138</v>
      </c>
      <c r="B2142">
        <v>2139</v>
      </c>
      <c r="F2142" s="64" t="s">
        <v>5178</v>
      </c>
      <c r="G2142" s="64"/>
      <c r="H2142" s="64"/>
      <c r="I2142" s="64">
        <v>0</v>
      </c>
      <c r="J2142" s="32" t="str">
        <f>IF(AND(E2142=1,OR(E2141=0,E2141="")),MAX(#REF!)+1,IF(AND(E2142=1,E2141=1),J2141,""))</f>
        <v/>
      </c>
      <c r="K2142" s="32" t="str">
        <f t="shared" si="129"/>
        <v/>
      </c>
      <c r="L2142" s="32" t="str">
        <f t="shared" si="130"/>
        <v/>
      </c>
      <c r="M2142" s="32" t="str">
        <f t="shared" si="131"/>
        <v/>
      </c>
      <c r="N2142" s="4">
        <v>1</v>
      </c>
      <c r="O2142" s="58">
        <v>0</v>
      </c>
      <c r="P2142" s="58">
        <v>0</v>
      </c>
      <c r="Q2142" s="58">
        <v>0</v>
      </c>
      <c r="R2142" s="58">
        <v>0</v>
      </c>
      <c r="S2142" s="58">
        <v>0</v>
      </c>
      <c r="T2142" s="58">
        <v>0</v>
      </c>
      <c r="U2142" s="58">
        <v>0</v>
      </c>
      <c r="V2142" s="58">
        <v>0</v>
      </c>
      <c r="AG2142" t="s">
        <v>1860</v>
      </c>
      <c r="AM2142" s="1" t="str">
        <f t="shared" si="132"/>
        <v>2140_C0013_1360.jpg</v>
      </c>
    </row>
    <row r="2143" spans="1:39" x14ac:dyDescent="0.35">
      <c r="A2143">
        <v>2139</v>
      </c>
      <c r="B2143">
        <v>2140</v>
      </c>
      <c r="F2143" s="64" t="s">
        <v>5179</v>
      </c>
      <c r="G2143" s="64"/>
      <c r="H2143" s="64"/>
      <c r="I2143" s="64">
        <v>0</v>
      </c>
      <c r="J2143" s="32">
        <v>170</v>
      </c>
      <c r="K2143" s="32">
        <f t="shared" ref="K2143:K2206" si="133">IF(J2143="","",COUNTIF(J:J,J2143)*10)</f>
        <v>10</v>
      </c>
      <c r="L2143" s="32" t="str">
        <f t="shared" si="130"/>
        <v/>
      </c>
      <c r="M2143" s="32">
        <f t="shared" si="131"/>
        <v>100</v>
      </c>
      <c r="N2143" s="4">
        <v>1</v>
      </c>
      <c r="O2143" s="58">
        <v>0</v>
      </c>
      <c r="P2143" s="58">
        <v>0</v>
      </c>
      <c r="Q2143" s="58">
        <v>0</v>
      </c>
      <c r="R2143" s="58">
        <v>0</v>
      </c>
      <c r="S2143" s="58">
        <v>0</v>
      </c>
      <c r="T2143" s="58">
        <v>0</v>
      </c>
      <c r="U2143" s="58">
        <v>0</v>
      </c>
      <c r="V2143" s="58">
        <v>0</v>
      </c>
      <c r="AG2143" t="s">
        <v>1861</v>
      </c>
      <c r="AM2143" s="1" t="str">
        <f t="shared" si="132"/>
        <v>2141_C0013_1357.jpg</v>
      </c>
    </row>
    <row r="2144" spans="1:39" x14ac:dyDescent="0.35">
      <c r="A2144">
        <v>2140</v>
      </c>
      <c r="B2144">
        <v>2141</v>
      </c>
      <c r="F2144" s="64" t="s">
        <v>5180</v>
      </c>
      <c r="G2144" s="64"/>
      <c r="H2144" s="64"/>
      <c r="I2144" s="64">
        <v>0</v>
      </c>
      <c r="J2144" s="32" t="str">
        <f>IF(AND(E2144=1,OR(E2143=0,E2143="")),MAX(#REF!)+1,IF(AND(E2144=1,E2143=1),J2143,""))</f>
        <v/>
      </c>
      <c r="K2144" s="32" t="str">
        <f t="shared" si="133"/>
        <v/>
      </c>
      <c r="L2144" s="32" t="str">
        <f t="shared" si="130"/>
        <v/>
      </c>
      <c r="M2144" s="32" t="str">
        <f t="shared" si="131"/>
        <v/>
      </c>
      <c r="N2144" s="4">
        <v>1</v>
      </c>
      <c r="O2144" s="58">
        <v>0</v>
      </c>
      <c r="P2144" s="58">
        <v>0</v>
      </c>
      <c r="Q2144" s="58">
        <v>0</v>
      </c>
      <c r="R2144" s="58">
        <v>0</v>
      </c>
      <c r="S2144" s="58">
        <v>0</v>
      </c>
      <c r="T2144" s="58">
        <v>0</v>
      </c>
      <c r="U2144" s="58">
        <v>0</v>
      </c>
      <c r="V2144" s="58">
        <v>0</v>
      </c>
      <c r="AG2144" t="s">
        <v>1862</v>
      </c>
      <c r="AM2144" s="1" t="str">
        <f t="shared" si="132"/>
        <v>2142_C0013_1354.jpg</v>
      </c>
    </row>
    <row r="2145" spans="1:39" x14ac:dyDescent="0.35">
      <c r="A2145">
        <v>2141</v>
      </c>
      <c r="B2145">
        <v>2142</v>
      </c>
      <c r="F2145" s="64" t="s">
        <v>5181</v>
      </c>
      <c r="G2145" s="64"/>
      <c r="H2145" s="64"/>
      <c r="I2145" s="64">
        <v>0</v>
      </c>
      <c r="J2145" s="32" t="str">
        <f>IF(AND(E2145=1,OR(E2144=0,E2144="")),MAX(#REF!)+1,IF(AND(E2145=1,E2144=1),J2144,""))</f>
        <v/>
      </c>
      <c r="K2145" s="32" t="str">
        <f t="shared" si="133"/>
        <v/>
      </c>
      <c r="L2145" s="32" t="str">
        <f t="shared" si="130"/>
        <v/>
      </c>
      <c r="M2145" s="32" t="str">
        <f t="shared" si="131"/>
        <v/>
      </c>
      <c r="N2145" s="4">
        <v>1</v>
      </c>
      <c r="O2145" s="58">
        <v>0</v>
      </c>
      <c r="P2145" s="58">
        <v>0</v>
      </c>
      <c r="Q2145" s="58">
        <v>0</v>
      </c>
      <c r="R2145" s="58">
        <v>0</v>
      </c>
      <c r="S2145" s="58">
        <v>0</v>
      </c>
      <c r="T2145" s="58">
        <v>0</v>
      </c>
      <c r="U2145" s="58">
        <v>0</v>
      </c>
      <c r="V2145" s="58">
        <v>0</v>
      </c>
      <c r="AG2145" t="s">
        <v>1863</v>
      </c>
      <c r="AM2145" s="1" t="str">
        <f t="shared" si="132"/>
        <v>2143_C0013_1351.jpg</v>
      </c>
    </row>
    <row r="2146" spans="1:39" x14ac:dyDescent="0.35">
      <c r="A2146">
        <v>2142</v>
      </c>
      <c r="B2146">
        <v>2143</v>
      </c>
      <c r="F2146" s="64" t="s">
        <v>5182</v>
      </c>
      <c r="G2146" s="64"/>
      <c r="H2146" s="64"/>
      <c r="I2146" s="64">
        <v>0</v>
      </c>
      <c r="J2146" s="32" t="str">
        <f>IF(AND(E2146=1,OR(E2145=0,E2145="")),MAX(#REF!)+1,IF(AND(E2146=1,E2145=1),J2145,""))</f>
        <v/>
      </c>
      <c r="K2146" s="32" t="str">
        <f t="shared" si="133"/>
        <v/>
      </c>
      <c r="L2146" s="32" t="str">
        <f t="shared" si="130"/>
        <v/>
      </c>
      <c r="M2146" s="32" t="str">
        <f t="shared" si="131"/>
        <v/>
      </c>
      <c r="N2146" s="4">
        <v>1</v>
      </c>
      <c r="O2146" s="58">
        <v>0</v>
      </c>
      <c r="P2146" s="58">
        <v>0</v>
      </c>
      <c r="Q2146" s="58">
        <v>0</v>
      </c>
      <c r="R2146" s="58">
        <v>0</v>
      </c>
      <c r="S2146" s="58">
        <v>0</v>
      </c>
      <c r="T2146" s="58">
        <v>0</v>
      </c>
      <c r="U2146" s="58">
        <v>0</v>
      </c>
      <c r="V2146" s="58">
        <v>0</v>
      </c>
      <c r="AG2146" t="s">
        <v>1864</v>
      </c>
      <c r="AM2146" s="1" t="str">
        <f t="shared" si="132"/>
        <v>2144_C0013_1348.jpg</v>
      </c>
    </row>
    <row r="2147" spans="1:39" x14ac:dyDescent="0.35">
      <c r="A2147">
        <v>2143</v>
      </c>
      <c r="B2147">
        <v>2144</v>
      </c>
      <c r="F2147" s="64" t="s">
        <v>5183</v>
      </c>
      <c r="G2147" s="64"/>
      <c r="H2147" s="64"/>
      <c r="I2147" s="64">
        <v>0</v>
      </c>
      <c r="J2147" s="32" t="str">
        <f>IF(AND(E2147=1,OR(E2146=0,E2146="")),MAX(#REF!)+1,IF(AND(E2147=1,E2146=1),J2146,""))</f>
        <v/>
      </c>
      <c r="K2147" s="32" t="str">
        <f t="shared" si="133"/>
        <v/>
      </c>
      <c r="L2147" s="32" t="str">
        <f t="shared" si="130"/>
        <v/>
      </c>
      <c r="M2147" s="32" t="str">
        <f t="shared" si="131"/>
        <v/>
      </c>
      <c r="N2147" s="4">
        <v>1</v>
      </c>
      <c r="O2147" s="58">
        <v>0</v>
      </c>
      <c r="P2147" s="58">
        <v>0</v>
      </c>
      <c r="Q2147" s="58">
        <v>0</v>
      </c>
      <c r="R2147" s="58">
        <v>0</v>
      </c>
      <c r="S2147" s="58">
        <v>0</v>
      </c>
      <c r="T2147" s="58">
        <v>0</v>
      </c>
      <c r="U2147" s="58">
        <v>0</v>
      </c>
      <c r="V2147" s="58">
        <v>0</v>
      </c>
      <c r="AG2147" t="s">
        <v>1865</v>
      </c>
      <c r="AM2147" s="1" t="str">
        <f t="shared" si="132"/>
        <v>2145_C0013_1345.jpg</v>
      </c>
    </row>
    <row r="2148" spans="1:39" x14ac:dyDescent="0.35">
      <c r="A2148">
        <v>2144</v>
      </c>
      <c r="B2148">
        <v>2145</v>
      </c>
      <c r="F2148" s="64" t="s">
        <v>5184</v>
      </c>
      <c r="G2148" s="64"/>
      <c r="H2148" s="64"/>
      <c r="I2148" s="64">
        <v>0</v>
      </c>
      <c r="J2148" s="32" t="str">
        <f>IF(AND(E2148=1,OR(E2147=0,E2147="")),MAX(#REF!)+1,IF(AND(E2148=1,E2147=1),J2147,""))</f>
        <v/>
      </c>
      <c r="K2148" s="32" t="str">
        <f t="shared" si="133"/>
        <v/>
      </c>
      <c r="L2148" s="32" t="str">
        <f t="shared" si="130"/>
        <v/>
      </c>
      <c r="M2148" s="32" t="str">
        <f t="shared" si="131"/>
        <v/>
      </c>
      <c r="N2148" s="4">
        <v>1</v>
      </c>
      <c r="O2148" s="58">
        <v>0</v>
      </c>
      <c r="P2148" s="58">
        <v>0</v>
      </c>
      <c r="Q2148" s="58">
        <v>0</v>
      </c>
      <c r="R2148" s="58">
        <v>0</v>
      </c>
      <c r="S2148" s="58">
        <v>0</v>
      </c>
      <c r="T2148" s="58">
        <v>0</v>
      </c>
      <c r="U2148" s="58">
        <v>0</v>
      </c>
      <c r="V2148" s="58">
        <v>0</v>
      </c>
      <c r="AG2148" t="s">
        <v>1866</v>
      </c>
      <c r="AM2148" s="1" t="str">
        <f t="shared" si="132"/>
        <v>2146_C0013_1341.jpg</v>
      </c>
    </row>
    <row r="2149" spans="1:39" x14ac:dyDescent="0.35">
      <c r="A2149">
        <v>2145</v>
      </c>
      <c r="B2149">
        <v>2146</v>
      </c>
      <c r="F2149" s="64" t="s">
        <v>5185</v>
      </c>
      <c r="G2149" s="64"/>
      <c r="H2149" s="64"/>
      <c r="I2149" s="64">
        <v>0</v>
      </c>
      <c r="J2149" s="32" t="str">
        <f>IF(AND(E2149=1,OR(E2148=0,E2148="")),MAX(#REF!)+1,IF(AND(E2149=1,E2148=1),J2148,""))</f>
        <v/>
      </c>
      <c r="K2149" s="32" t="str">
        <f t="shared" si="133"/>
        <v/>
      </c>
      <c r="L2149" s="32" t="str">
        <f t="shared" si="130"/>
        <v/>
      </c>
      <c r="M2149" s="32" t="str">
        <f t="shared" si="131"/>
        <v/>
      </c>
      <c r="N2149" s="4">
        <v>1</v>
      </c>
      <c r="O2149" s="58">
        <v>0</v>
      </c>
      <c r="P2149" s="58">
        <v>0</v>
      </c>
      <c r="Q2149" s="58">
        <v>0</v>
      </c>
      <c r="R2149" s="58">
        <v>0</v>
      </c>
      <c r="S2149" s="58">
        <v>0</v>
      </c>
      <c r="T2149" s="58">
        <v>0</v>
      </c>
      <c r="U2149" s="58">
        <v>0</v>
      </c>
      <c r="V2149" s="58">
        <v>0</v>
      </c>
      <c r="AG2149" t="s">
        <v>1867</v>
      </c>
      <c r="AM2149" s="1" t="str">
        <f t="shared" si="132"/>
        <v>2147_C0013_1338.jpg</v>
      </c>
    </row>
    <row r="2150" spans="1:39" x14ac:dyDescent="0.35">
      <c r="A2150">
        <v>2146</v>
      </c>
      <c r="B2150">
        <v>2147</v>
      </c>
      <c r="F2150" s="64" t="s">
        <v>5186</v>
      </c>
      <c r="G2150" s="64"/>
      <c r="H2150" s="64"/>
      <c r="I2150" s="64">
        <v>0</v>
      </c>
      <c r="J2150" s="32" t="str">
        <f>IF(AND(E2150=1,OR(E2149=0,E2149="")),MAX(#REF!)+1,IF(AND(E2150=1,E2149=1),J2149,""))</f>
        <v/>
      </c>
      <c r="K2150" s="32" t="str">
        <f t="shared" si="133"/>
        <v/>
      </c>
      <c r="L2150" s="32" t="str">
        <f t="shared" si="130"/>
        <v/>
      </c>
      <c r="M2150" s="32" t="str">
        <f t="shared" si="131"/>
        <v/>
      </c>
      <c r="N2150" s="4">
        <v>1</v>
      </c>
      <c r="O2150" s="58">
        <v>0</v>
      </c>
      <c r="P2150" s="58">
        <v>0</v>
      </c>
      <c r="Q2150" s="58">
        <v>0</v>
      </c>
      <c r="R2150" s="58">
        <v>0</v>
      </c>
      <c r="S2150" s="58">
        <v>0</v>
      </c>
      <c r="T2150" s="58">
        <v>0</v>
      </c>
      <c r="U2150" s="58">
        <v>0</v>
      </c>
      <c r="V2150" s="58">
        <v>0</v>
      </c>
      <c r="AG2150" t="s">
        <v>1868</v>
      </c>
      <c r="AM2150" s="1" t="str">
        <f t="shared" si="132"/>
        <v>2148_C0013_1335.jpg</v>
      </c>
    </row>
    <row r="2151" spans="1:39" x14ac:dyDescent="0.35">
      <c r="A2151">
        <v>2147</v>
      </c>
      <c r="B2151">
        <v>2148</v>
      </c>
      <c r="F2151" s="64" t="s">
        <v>5187</v>
      </c>
      <c r="G2151" s="64"/>
      <c r="H2151" s="64"/>
      <c r="I2151" s="64">
        <v>0</v>
      </c>
      <c r="J2151" s="32" t="str">
        <f>IF(AND(E2151=1,OR(E2150=0,E2150="")),MAX(#REF!)+1,IF(AND(E2151=1,E2150=1),J2150,""))</f>
        <v/>
      </c>
      <c r="K2151" s="32" t="str">
        <f t="shared" si="133"/>
        <v/>
      </c>
      <c r="L2151" s="32" t="str">
        <f t="shared" si="130"/>
        <v/>
      </c>
      <c r="M2151" s="32" t="str">
        <f t="shared" si="131"/>
        <v/>
      </c>
      <c r="N2151" s="4">
        <v>1</v>
      </c>
      <c r="O2151" s="58">
        <v>0</v>
      </c>
      <c r="P2151" s="58">
        <v>0</v>
      </c>
      <c r="Q2151" s="58">
        <v>0</v>
      </c>
      <c r="R2151" s="58">
        <v>0</v>
      </c>
      <c r="S2151" s="58">
        <v>0</v>
      </c>
      <c r="T2151" s="58">
        <v>0</v>
      </c>
      <c r="U2151" s="58">
        <v>0</v>
      </c>
      <c r="V2151" s="58">
        <v>0</v>
      </c>
      <c r="AG2151" t="s">
        <v>1869</v>
      </c>
      <c r="AM2151" s="1" t="str">
        <f t="shared" si="132"/>
        <v>2149_C0013_1332.jpg</v>
      </c>
    </row>
    <row r="2152" spans="1:39" x14ac:dyDescent="0.35">
      <c r="A2152">
        <v>2148</v>
      </c>
      <c r="B2152">
        <v>2149</v>
      </c>
      <c r="F2152" s="64" t="s">
        <v>5188</v>
      </c>
      <c r="G2152" s="64"/>
      <c r="H2152" s="64"/>
      <c r="I2152" s="64">
        <v>0</v>
      </c>
      <c r="J2152" s="32" t="str">
        <f>IF(AND(E2152=1,OR(E2151=0,E2151="")),MAX(#REF!)+1,IF(AND(E2152=1,E2151=1),J2151,""))</f>
        <v/>
      </c>
      <c r="K2152" s="32" t="str">
        <f t="shared" si="133"/>
        <v/>
      </c>
      <c r="L2152" s="32" t="str">
        <f t="shared" si="130"/>
        <v/>
      </c>
      <c r="M2152" s="32" t="str">
        <f t="shared" si="131"/>
        <v/>
      </c>
      <c r="N2152" s="4">
        <v>1</v>
      </c>
      <c r="O2152" s="58">
        <v>0</v>
      </c>
      <c r="P2152" s="58">
        <v>0</v>
      </c>
      <c r="Q2152" s="58">
        <v>0</v>
      </c>
      <c r="R2152" s="58">
        <v>0</v>
      </c>
      <c r="S2152" s="58">
        <v>0</v>
      </c>
      <c r="T2152" s="58">
        <v>0</v>
      </c>
      <c r="U2152" s="58">
        <v>0</v>
      </c>
      <c r="V2152" s="58">
        <v>0</v>
      </c>
      <c r="AG2152" t="s">
        <v>1870</v>
      </c>
      <c r="AM2152" s="1" t="str">
        <f t="shared" si="132"/>
        <v>2150_C0013_1328.jpg</v>
      </c>
    </row>
    <row r="2153" spans="1:39" x14ac:dyDescent="0.35">
      <c r="A2153">
        <v>2149</v>
      </c>
      <c r="B2153">
        <v>2150</v>
      </c>
      <c r="F2153" s="64" t="s">
        <v>5189</v>
      </c>
      <c r="G2153" s="64"/>
      <c r="H2153" s="64"/>
      <c r="I2153" s="64">
        <v>0</v>
      </c>
      <c r="J2153" s="32" t="str">
        <f>IF(AND(E2153=1,OR(E2152=0,E2152="")),MAX(#REF!)+1,IF(AND(E2153=1,E2152=1),J2152,""))</f>
        <v/>
      </c>
      <c r="K2153" s="32" t="str">
        <f t="shared" si="133"/>
        <v/>
      </c>
      <c r="L2153" s="32" t="str">
        <f t="shared" si="130"/>
        <v/>
      </c>
      <c r="M2153" s="32" t="str">
        <f t="shared" si="131"/>
        <v/>
      </c>
      <c r="N2153" s="4">
        <v>1</v>
      </c>
      <c r="O2153" s="58">
        <v>0</v>
      </c>
      <c r="P2153" s="58">
        <v>0</v>
      </c>
      <c r="Q2153" s="58">
        <v>0</v>
      </c>
      <c r="R2153" s="58">
        <v>0</v>
      </c>
      <c r="S2153" s="58">
        <v>0</v>
      </c>
      <c r="T2153" s="58">
        <v>0</v>
      </c>
      <c r="U2153" s="58">
        <v>0</v>
      </c>
      <c r="V2153" s="58">
        <v>0</v>
      </c>
      <c r="AG2153" t="s">
        <v>1871</v>
      </c>
      <c r="AM2153" s="1" t="str">
        <f t="shared" si="132"/>
        <v>2151_C0013_1326.jpg</v>
      </c>
    </row>
    <row r="2154" spans="1:39" x14ac:dyDescent="0.35">
      <c r="A2154">
        <v>2150</v>
      </c>
      <c r="B2154">
        <v>2151</v>
      </c>
      <c r="F2154" s="64" t="s">
        <v>5190</v>
      </c>
      <c r="G2154" s="64"/>
      <c r="H2154" s="64"/>
      <c r="I2154" s="64">
        <v>0</v>
      </c>
      <c r="J2154" s="32" t="str">
        <f>IF(AND(E2154=1,OR(E2153=0,E2153="")),MAX(#REF!)+1,IF(AND(E2154=1,E2153=1),J2153,""))</f>
        <v/>
      </c>
      <c r="K2154" s="32" t="str">
        <f t="shared" si="133"/>
        <v/>
      </c>
      <c r="L2154" s="32" t="str">
        <f t="shared" si="130"/>
        <v/>
      </c>
      <c r="M2154" s="32" t="str">
        <f t="shared" si="131"/>
        <v/>
      </c>
      <c r="N2154" s="4">
        <v>1</v>
      </c>
      <c r="O2154" s="58">
        <v>0</v>
      </c>
      <c r="P2154" s="58">
        <v>0</v>
      </c>
      <c r="Q2154" s="58">
        <v>0</v>
      </c>
      <c r="R2154" s="58">
        <v>0</v>
      </c>
      <c r="S2154" s="58">
        <v>0</v>
      </c>
      <c r="T2154" s="58">
        <v>0</v>
      </c>
      <c r="U2154" s="58">
        <v>0</v>
      </c>
      <c r="V2154" s="58">
        <v>0</v>
      </c>
      <c r="AG2154" t="s">
        <v>1872</v>
      </c>
      <c r="AM2154" s="1" t="str">
        <f t="shared" si="132"/>
        <v>2152_C0013_1323.jpg</v>
      </c>
    </row>
    <row r="2155" spans="1:39" x14ac:dyDescent="0.35">
      <c r="A2155">
        <v>2151</v>
      </c>
      <c r="B2155">
        <v>2152</v>
      </c>
      <c r="F2155" s="64" t="s">
        <v>5191</v>
      </c>
      <c r="G2155" s="64"/>
      <c r="H2155" s="64"/>
      <c r="I2155" s="64">
        <v>1</v>
      </c>
      <c r="J2155" s="32" t="str">
        <f>IF(AND(E2155=1,OR(E2154=0,E2154="")),MAX(#REF!)+1,IF(AND(E2155=1,E2154=1),J2154,""))</f>
        <v/>
      </c>
      <c r="K2155" s="32" t="str">
        <f t="shared" si="133"/>
        <v/>
      </c>
      <c r="L2155" s="32" t="str">
        <f t="shared" si="130"/>
        <v/>
      </c>
      <c r="M2155" s="32" t="str">
        <f t="shared" si="131"/>
        <v/>
      </c>
      <c r="N2155" s="4">
        <v>1</v>
      </c>
      <c r="O2155" s="58">
        <v>0</v>
      </c>
      <c r="P2155" s="58">
        <v>0</v>
      </c>
      <c r="Q2155" s="58">
        <v>0</v>
      </c>
      <c r="R2155" s="58">
        <v>0</v>
      </c>
      <c r="S2155" s="58">
        <v>0</v>
      </c>
      <c r="T2155" s="58">
        <v>0</v>
      </c>
      <c r="U2155" s="58">
        <v>0</v>
      </c>
      <c r="V2155" s="58">
        <v>0</v>
      </c>
      <c r="AG2155" t="s">
        <v>1873</v>
      </c>
      <c r="AM2155" s="1" t="str">
        <f t="shared" si="132"/>
        <v>2153_C0013_1320.jpg</v>
      </c>
    </row>
    <row r="2156" spans="1:39" x14ac:dyDescent="0.35">
      <c r="A2156">
        <v>2152</v>
      </c>
      <c r="B2156">
        <v>2153</v>
      </c>
      <c r="F2156" s="64" t="s">
        <v>5192</v>
      </c>
      <c r="G2156" s="64"/>
      <c r="H2156" s="64"/>
      <c r="I2156" s="64">
        <v>1</v>
      </c>
      <c r="J2156" s="32" t="str">
        <f>IF(AND(E2156=1,OR(E2155=0,E2155="")),MAX(#REF!)+1,IF(AND(E2156=1,E2155=1),J2155,""))</f>
        <v/>
      </c>
      <c r="K2156" s="32" t="str">
        <f t="shared" si="133"/>
        <v/>
      </c>
      <c r="L2156" s="32" t="str">
        <f t="shared" si="130"/>
        <v/>
      </c>
      <c r="M2156" s="32" t="str">
        <f t="shared" si="131"/>
        <v/>
      </c>
      <c r="N2156" s="4">
        <v>1</v>
      </c>
      <c r="O2156" s="58">
        <v>0</v>
      </c>
      <c r="P2156" s="58">
        <v>0</v>
      </c>
      <c r="Q2156" s="58">
        <v>0</v>
      </c>
      <c r="R2156" s="58">
        <v>0</v>
      </c>
      <c r="S2156" s="58">
        <v>0</v>
      </c>
      <c r="T2156" s="58">
        <v>0</v>
      </c>
      <c r="U2156" s="58">
        <v>0</v>
      </c>
      <c r="V2156" s="58">
        <v>0</v>
      </c>
      <c r="AG2156" t="s">
        <v>1874</v>
      </c>
      <c r="AM2156" s="1" t="str">
        <f t="shared" si="132"/>
        <v>2154_C0013_1317.jpg</v>
      </c>
    </row>
    <row r="2157" spans="1:39" x14ac:dyDescent="0.35">
      <c r="A2157">
        <v>2153</v>
      </c>
      <c r="B2157">
        <v>2154</v>
      </c>
      <c r="F2157" s="64" t="s">
        <v>5193</v>
      </c>
      <c r="G2157" s="64"/>
      <c r="H2157" s="64"/>
      <c r="I2157" s="64">
        <v>1</v>
      </c>
      <c r="J2157" s="32" t="str">
        <f>IF(AND(E2157=1,OR(E2156=0,E2156="")),MAX(#REF!)+1,IF(AND(E2157=1,E2156=1),J2156,""))</f>
        <v/>
      </c>
      <c r="K2157" s="32" t="str">
        <f t="shared" si="133"/>
        <v/>
      </c>
      <c r="L2157" s="32" t="str">
        <f t="shared" si="130"/>
        <v/>
      </c>
      <c r="M2157" s="32" t="str">
        <f t="shared" si="131"/>
        <v/>
      </c>
      <c r="N2157" s="4">
        <v>1</v>
      </c>
      <c r="O2157" s="58">
        <v>0</v>
      </c>
      <c r="P2157" s="58">
        <v>0</v>
      </c>
      <c r="Q2157" s="58">
        <v>0</v>
      </c>
      <c r="R2157" s="58">
        <v>0</v>
      </c>
      <c r="S2157" s="58">
        <v>0</v>
      </c>
      <c r="T2157" s="58">
        <v>0</v>
      </c>
      <c r="U2157" s="58">
        <v>0</v>
      </c>
      <c r="V2157" s="58">
        <v>0</v>
      </c>
      <c r="AG2157" t="s">
        <v>1875</v>
      </c>
      <c r="AM2157" s="1" t="str">
        <f t="shared" si="132"/>
        <v>2155_C0013_1314.jpg</v>
      </c>
    </row>
    <row r="2158" spans="1:39" x14ac:dyDescent="0.35">
      <c r="A2158">
        <v>2154</v>
      </c>
      <c r="B2158">
        <v>2155</v>
      </c>
      <c r="F2158" s="64" t="s">
        <v>5194</v>
      </c>
      <c r="G2158" s="64"/>
      <c r="H2158" s="64"/>
      <c r="I2158" s="64">
        <v>1</v>
      </c>
      <c r="J2158" s="32" t="str">
        <f>IF(AND(E2158=1,OR(E2157=0,E2157="")),MAX(#REF!)+1,IF(AND(E2158=1,E2157=1),J2157,""))</f>
        <v/>
      </c>
      <c r="K2158" s="32" t="str">
        <f t="shared" si="133"/>
        <v/>
      </c>
      <c r="L2158" s="32" t="str">
        <f t="shared" si="130"/>
        <v/>
      </c>
      <c r="M2158" s="32" t="str">
        <f t="shared" si="131"/>
        <v/>
      </c>
      <c r="N2158" s="4">
        <v>1</v>
      </c>
      <c r="O2158" s="58">
        <v>0</v>
      </c>
      <c r="P2158" s="58">
        <v>0</v>
      </c>
      <c r="Q2158" s="58">
        <v>0</v>
      </c>
      <c r="R2158" s="58">
        <v>0</v>
      </c>
      <c r="S2158" s="58">
        <v>0</v>
      </c>
      <c r="T2158" s="58">
        <v>0</v>
      </c>
      <c r="U2158" s="58">
        <v>0</v>
      </c>
      <c r="V2158" s="58">
        <v>0</v>
      </c>
      <c r="AG2158" t="s">
        <v>1876</v>
      </c>
      <c r="AM2158" s="1" t="str">
        <f t="shared" si="132"/>
        <v>2156_C0013_1311.jpg</v>
      </c>
    </row>
    <row r="2159" spans="1:39" x14ac:dyDescent="0.35">
      <c r="A2159">
        <v>2155</v>
      </c>
      <c r="B2159">
        <v>2156</v>
      </c>
      <c r="F2159" s="64" t="s">
        <v>5195</v>
      </c>
      <c r="G2159" s="64"/>
      <c r="H2159" s="64"/>
      <c r="I2159" s="64">
        <v>0</v>
      </c>
      <c r="J2159" s="32" t="str">
        <f>IF(AND(E2159=1,OR(E2158=0,E2158="")),MAX(#REF!)+1,IF(AND(E2159=1,E2158=1),J2158,""))</f>
        <v/>
      </c>
      <c r="K2159" s="32" t="str">
        <f t="shared" si="133"/>
        <v/>
      </c>
      <c r="L2159" s="32" t="str">
        <f t="shared" si="130"/>
        <v/>
      </c>
      <c r="M2159" s="32" t="str">
        <f t="shared" si="131"/>
        <v/>
      </c>
      <c r="N2159" s="4">
        <v>1</v>
      </c>
      <c r="O2159" s="58">
        <v>0</v>
      </c>
      <c r="P2159" s="58">
        <v>0</v>
      </c>
      <c r="Q2159" s="58">
        <v>0</v>
      </c>
      <c r="R2159" s="58">
        <v>0</v>
      </c>
      <c r="S2159" s="58">
        <v>0</v>
      </c>
      <c r="T2159" s="58">
        <v>0</v>
      </c>
      <c r="U2159" s="58">
        <v>0</v>
      </c>
      <c r="V2159" s="58">
        <v>0</v>
      </c>
      <c r="AG2159" t="s">
        <v>1877</v>
      </c>
      <c r="AM2159" s="1" t="str">
        <f t="shared" si="132"/>
        <v>2157_C0013_1309.jpg</v>
      </c>
    </row>
    <row r="2160" spans="1:39" x14ac:dyDescent="0.35">
      <c r="A2160">
        <v>2156</v>
      </c>
      <c r="B2160">
        <v>2157</v>
      </c>
      <c r="F2160" s="64" t="s">
        <v>5196</v>
      </c>
      <c r="G2160" s="64"/>
      <c r="H2160" s="64"/>
      <c r="I2160" s="64">
        <v>1</v>
      </c>
      <c r="J2160" s="32" t="str">
        <f>IF(AND(E2160=1,OR(E2159=0,E2159="")),MAX(#REF!)+1,IF(AND(E2160=1,E2159=1),J2159,""))</f>
        <v/>
      </c>
      <c r="K2160" s="32" t="str">
        <f t="shared" si="133"/>
        <v/>
      </c>
      <c r="L2160" s="32" t="str">
        <f t="shared" si="130"/>
        <v/>
      </c>
      <c r="M2160" s="32" t="str">
        <f t="shared" si="131"/>
        <v/>
      </c>
      <c r="N2160" s="4">
        <v>1</v>
      </c>
      <c r="O2160" s="58">
        <v>0</v>
      </c>
      <c r="P2160" s="58">
        <v>0</v>
      </c>
      <c r="Q2160" s="58">
        <v>0</v>
      </c>
      <c r="R2160" s="58">
        <v>0</v>
      </c>
      <c r="S2160" s="58">
        <v>0</v>
      </c>
      <c r="T2160" s="58">
        <v>0</v>
      </c>
      <c r="U2160" s="58">
        <v>0</v>
      </c>
      <c r="V2160" s="58">
        <v>0</v>
      </c>
      <c r="AG2160" t="s">
        <v>1878</v>
      </c>
      <c r="AM2160" s="1" t="str">
        <f t="shared" si="132"/>
        <v>2158_C0013_1306.jpg</v>
      </c>
    </row>
    <row r="2161" spans="1:39" x14ac:dyDescent="0.35">
      <c r="A2161">
        <v>2157</v>
      </c>
      <c r="B2161">
        <v>2158</v>
      </c>
      <c r="F2161" s="64" t="s">
        <v>5197</v>
      </c>
      <c r="G2161" s="64"/>
      <c r="H2161" s="64"/>
      <c r="I2161" s="64">
        <v>0</v>
      </c>
      <c r="J2161" s="32" t="str">
        <f>IF(AND(E2161=1,OR(E2160=0,E2160="")),MAX(#REF!)+1,IF(AND(E2161=1,E2160=1),J2160,""))</f>
        <v/>
      </c>
      <c r="K2161" s="32" t="str">
        <f t="shared" si="133"/>
        <v/>
      </c>
      <c r="L2161" s="32" t="str">
        <f t="shared" si="130"/>
        <v/>
      </c>
      <c r="M2161" s="32" t="str">
        <f t="shared" si="131"/>
        <v/>
      </c>
      <c r="N2161" s="4">
        <v>1</v>
      </c>
      <c r="O2161" s="58">
        <v>0</v>
      </c>
      <c r="P2161" s="58">
        <v>0</v>
      </c>
      <c r="Q2161" s="58">
        <v>0</v>
      </c>
      <c r="R2161" s="58">
        <v>0</v>
      </c>
      <c r="S2161" s="58">
        <v>0</v>
      </c>
      <c r="T2161" s="58">
        <v>0</v>
      </c>
      <c r="U2161" s="58">
        <v>0</v>
      </c>
      <c r="V2161" s="58">
        <v>0</v>
      </c>
      <c r="AG2161" t="s">
        <v>1879</v>
      </c>
      <c r="AM2161" s="1" t="str">
        <f t="shared" si="132"/>
        <v>2159_C0013_1303.jpg</v>
      </c>
    </row>
    <row r="2162" spans="1:39" x14ac:dyDescent="0.35">
      <c r="A2162">
        <v>2158</v>
      </c>
      <c r="B2162">
        <v>2159</v>
      </c>
      <c r="F2162" s="64" t="s">
        <v>5198</v>
      </c>
      <c r="G2162" s="64"/>
      <c r="H2162" s="64"/>
      <c r="I2162" s="64">
        <v>0</v>
      </c>
      <c r="J2162" s="32" t="str">
        <f>IF(AND(E2162=1,OR(E2161=0,E2161="")),MAX(#REF!)+1,IF(AND(E2162=1,E2161=1),J2161,""))</f>
        <v/>
      </c>
      <c r="K2162" s="32" t="str">
        <f t="shared" si="133"/>
        <v/>
      </c>
      <c r="L2162" s="32" t="str">
        <f t="shared" si="130"/>
        <v/>
      </c>
      <c r="M2162" s="32" t="str">
        <f t="shared" si="131"/>
        <v/>
      </c>
      <c r="N2162" s="4">
        <v>1</v>
      </c>
      <c r="O2162" s="58">
        <v>0</v>
      </c>
      <c r="P2162" s="58">
        <v>0</v>
      </c>
      <c r="Q2162" s="58">
        <v>0</v>
      </c>
      <c r="R2162" s="58">
        <v>0</v>
      </c>
      <c r="S2162" s="58">
        <v>0</v>
      </c>
      <c r="T2162" s="58">
        <v>0</v>
      </c>
      <c r="U2162" s="58">
        <v>0</v>
      </c>
      <c r="V2162" s="58">
        <v>0</v>
      </c>
      <c r="AG2162" t="s">
        <v>1880</v>
      </c>
      <c r="AM2162" s="1" t="str">
        <f t="shared" si="132"/>
        <v>2160_C0013_1300.jpg</v>
      </c>
    </row>
    <row r="2163" spans="1:39" x14ac:dyDescent="0.35">
      <c r="A2163">
        <v>2159</v>
      </c>
      <c r="B2163">
        <v>2160</v>
      </c>
      <c r="F2163" s="64" t="s">
        <v>5199</v>
      </c>
      <c r="G2163" s="64"/>
      <c r="H2163" s="64"/>
      <c r="I2163" s="64">
        <v>0</v>
      </c>
      <c r="J2163" s="32" t="str">
        <f>IF(AND(E2163=1,OR(E2162=0,E2162="")),MAX(#REF!)+1,IF(AND(E2163=1,E2162=1),J2162,""))</f>
        <v/>
      </c>
      <c r="K2163" s="32" t="str">
        <f t="shared" si="133"/>
        <v/>
      </c>
      <c r="L2163" s="32" t="str">
        <f t="shared" si="130"/>
        <v/>
      </c>
      <c r="M2163" s="32" t="str">
        <f t="shared" si="131"/>
        <v/>
      </c>
      <c r="N2163" s="4">
        <v>1</v>
      </c>
      <c r="O2163" s="58">
        <v>0</v>
      </c>
      <c r="P2163" s="58">
        <v>0</v>
      </c>
      <c r="Q2163" s="58">
        <v>0</v>
      </c>
      <c r="R2163" s="58">
        <v>0</v>
      </c>
      <c r="S2163" s="58">
        <v>0</v>
      </c>
      <c r="T2163" s="58">
        <v>0</v>
      </c>
      <c r="U2163" s="58">
        <v>0</v>
      </c>
      <c r="V2163" s="58">
        <v>0</v>
      </c>
      <c r="AG2163" t="s">
        <v>1881</v>
      </c>
      <c r="AM2163" s="1" t="str">
        <f t="shared" si="132"/>
        <v>2161_C0013_1297.jpg</v>
      </c>
    </row>
    <row r="2164" spans="1:39" x14ac:dyDescent="0.35">
      <c r="A2164">
        <v>2160</v>
      </c>
      <c r="B2164">
        <v>2161</v>
      </c>
      <c r="F2164" s="64" t="s">
        <v>5200</v>
      </c>
      <c r="G2164" s="64"/>
      <c r="H2164" s="64"/>
      <c r="I2164" s="64">
        <v>1</v>
      </c>
      <c r="J2164" s="32" t="str">
        <f>IF(AND(E2164=1,OR(E2163=0,E2163="")),MAX(#REF!)+1,IF(AND(E2164=1,E2163=1),J2163,""))</f>
        <v/>
      </c>
      <c r="K2164" s="32" t="str">
        <f t="shared" si="133"/>
        <v/>
      </c>
      <c r="L2164" s="32" t="str">
        <f t="shared" si="130"/>
        <v/>
      </c>
      <c r="M2164" s="32" t="str">
        <f t="shared" si="131"/>
        <v/>
      </c>
      <c r="N2164" s="4">
        <v>1</v>
      </c>
      <c r="O2164" s="58">
        <v>0</v>
      </c>
      <c r="P2164" s="58">
        <v>0</v>
      </c>
      <c r="Q2164" s="58">
        <v>0</v>
      </c>
      <c r="R2164" s="58">
        <v>0</v>
      </c>
      <c r="S2164" s="58">
        <v>0</v>
      </c>
      <c r="T2164" s="58">
        <v>0</v>
      </c>
      <c r="U2164" s="58">
        <v>0</v>
      </c>
      <c r="V2164" s="58">
        <v>0</v>
      </c>
      <c r="AG2164" t="s">
        <v>1882</v>
      </c>
      <c r="AM2164" s="1" t="str">
        <f t="shared" si="132"/>
        <v>2162_C0013_1294.jpg</v>
      </c>
    </row>
    <row r="2165" spans="1:39" x14ac:dyDescent="0.35">
      <c r="A2165">
        <v>2161</v>
      </c>
      <c r="B2165">
        <v>2162</v>
      </c>
      <c r="F2165" s="64" t="s">
        <v>5201</v>
      </c>
      <c r="G2165" s="64"/>
      <c r="H2165" s="64"/>
      <c r="I2165" s="64">
        <v>1</v>
      </c>
      <c r="J2165" s="32" t="str">
        <f>IF(AND(E2165=1,OR(E2164=0,E2164="")),MAX(#REF!)+1,IF(AND(E2165=1,E2164=1),J2164,""))</f>
        <v/>
      </c>
      <c r="K2165" s="32" t="str">
        <f t="shared" si="133"/>
        <v/>
      </c>
      <c r="L2165" s="32" t="str">
        <f t="shared" si="130"/>
        <v/>
      </c>
      <c r="M2165" s="32" t="str">
        <f t="shared" si="131"/>
        <v/>
      </c>
      <c r="N2165" s="4">
        <v>1</v>
      </c>
      <c r="O2165" s="58">
        <v>0</v>
      </c>
      <c r="P2165" s="58">
        <v>0</v>
      </c>
      <c r="Q2165" s="58">
        <v>0</v>
      </c>
      <c r="R2165" s="58">
        <v>0</v>
      </c>
      <c r="S2165" s="58">
        <v>0</v>
      </c>
      <c r="T2165" s="58">
        <v>0</v>
      </c>
      <c r="U2165" s="58">
        <v>0</v>
      </c>
      <c r="V2165" s="58">
        <v>0</v>
      </c>
      <c r="AG2165" t="s">
        <v>1883</v>
      </c>
      <c r="AM2165" s="1" t="str">
        <f t="shared" si="132"/>
        <v>2163_C0013_1291.jpg</v>
      </c>
    </row>
    <row r="2166" spans="1:39" x14ac:dyDescent="0.35">
      <c r="A2166">
        <v>2162</v>
      </c>
      <c r="B2166">
        <v>2163</v>
      </c>
      <c r="F2166" s="64" t="s">
        <v>5202</v>
      </c>
      <c r="G2166" s="64"/>
      <c r="H2166" s="64"/>
      <c r="I2166" s="64">
        <v>1</v>
      </c>
      <c r="J2166" s="32" t="str">
        <f>IF(AND(E2166=1,OR(E2165=0,E2165="")),MAX(#REF!)+1,IF(AND(E2166=1,E2165=1),J2165,""))</f>
        <v/>
      </c>
      <c r="K2166" s="32" t="str">
        <f t="shared" si="133"/>
        <v/>
      </c>
      <c r="L2166" s="32" t="str">
        <f t="shared" si="130"/>
        <v/>
      </c>
      <c r="M2166" s="32" t="str">
        <f t="shared" si="131"/>
        <v/>
      </c>
      <c r="N2166" s="4">
        <v>1</v>
      </c>
      <c r="O2166" s="58">
        <v>0</v>
      </c>
      <c r="P2166" s="58">
        <v>0</v>
      </c>
      <c r="Q2166" s="58">
        <v>0</v>
      </c>
      <c r="R2166" s="58">
        <v>0</v>
      </c>
      <c r="S2166" s="58">
        <v>0</v>
      </c>
      <c r="T2166" s="58">
        <v>0</v>
      </c>
      <c r="U2166" s="58">
        <v>0</v>
      </c>
      <c r="V2166" s="58">
        <v>0</v>
      </c>
      <c r="AG2166" t="s">
        <v>1884</v>
      </c>
      <c r="AM2166" s="1" t="str">
        <f t="shared" si="132"/>
        <v>2164_C0013_1288.jpg</v>
      </c>
    </row>
    <row r="2167" spans="1:39" x14ac:dyDescent="0.35">
      <c r="A2167">
        <v>2163</v>
      </c>
      <c r="B2167">
        <v>2164</v>
      </c>
      <c r="F2167" s="64" t="s">
        <v>5203</v>
      </c>
      <c r="G2167" s="64"/>
      <c r="H2167" s="64"/>
      <c r="I2167" s="64">
        <v>1</v>
      </c>
      <c r="J2167" s="32" t="str">
        <f>IF(AND(E2167=1,OR(E2166=0,E2166="")),MAX(#REF!)+1,IF(AND(E2167=1,E2166=1),J2166,""))</f>
        <v/>
      </c>
      <c r="K2167" s="32" t="str">
        <f t="shared" si="133"/>
        <v/>
      </c>
      <c r="L2167" s="32" t="str">
        <f t="shared" si="130"/>
        <v/>
      </c>
      <c r="M2167" s="32" t="str">
        <f t="shared" si="131"/>
        <v/>
      </c>
      <c r="N2167" s="4">
        <v>1</v>
      </c>
      <c r="O2167" s="58">
        <v>0</v>
      </c>
      <c r="P2167" s="58">
        <v>0</v>
      </c>
      <c r="Q2167" s="58">
        <v>0</v>
      </c>
      <c r="R2167" s="58">
        <v>0</v>
      </c>
      <c r="S2167" s="58">
        <v>0</v>
      </c>
      <c r="T2167" s="58">
        <v>0</v>
      </c>
      <c r="U2167" s="58">
        <v>0</v>
      </c>
      <c r="V2167" s="58">
        <v>0</v>
      </c>
      <c r="AG2167" t="s">
        <v>1885</v>
      </c>
      <c r="AM2167" s="1" t="str">
        <f t="shared" si="132"/>
        <v>2165_C0013_1285.jpg</v>
      </c>
    </row>
    <row r="2168" spans="1:39" x14ac:dyDescent="0.35">
      <c r="A2168">
        <v>2164</v>
      </c>
      <c r="B2168">
        <v>2165</v>
      </c>
      <c r="F2168" s="64" t="s">
        <v>5204</v>
      </c>
      <c r="G2168" s="64"/>
      <c r="H2168" s="64"/>
      <c r="I2168" s="64">
        <v>1</v>
      </c>
      <c r="J2168" s="32" t="str">
        <f>IF(AND(E2168=1,OR(E2167=0,E2167="")),MAX(#REF!)+1,IF(AND(E2168=1,E2167=1),J2167,""))</f>
        <v/>
      </c>
      <c r="K2168" s="32" t="str">
        <f t="shared" si="133"/>
        <v/>
      </c>
      <c r="L2168" s="32" t="str">
        <f t="shared" si="130"/>
        <v/>
      </c>
      <c r="M2168" s="32" t="str">
        <f t="shared" si="131"/>
        <v/>
      </c>
      <c r="N2168" s="4">
        <v>1</v>
      </c>
      <c r="O2168" s="58">
        <v>0</v>
      </c>
      <c r="P2168" s="58">
        <v>0</v>
      </c>
      <c r="Q2168" s="58">
        <v>0</v>
      </c>
      <c r="R2168" s="58">
        <v>0</v>
      </c>
      <c r="S2168" s="58">
        <v>0</v>
      </c>
      <c r="T2168" s="58">
        <v>0</v>
      </c>
      <c r="U2168" s="58">
        <v>0</v>
      </c>
      <c r="V2168" s="58">
        <v>0</v>
      </c>
      <c r="AG2168" t="s">
        <v>1886</v>
      </c>
      <c r="AM2168" s="1" t="str">
        <f t="shared" si="132"/>
        <v>2166_C0013_1282.jpg</v>
      </c>
    </row>
    <row r="2169" spans="1:39" x14ac:dyDescent="0.35">
      <c r="A2169">
        <v>2165</v>
      </c>
      <c r="B2169">
        <v>2166</v>
      </c>
      <c r="F2169" s="64" t="s">
        <v>5205</v>
      </c>
      <c r="G2169" s="64"/>
      <c r="H2169" s="64"/>
      <c r="I2169" s="64">
        <v>0</v>
      </c>
      <c r="J2169" s="32" t="str">
        <f>IF(AND(E2169=1,OR(E2168=0,E2168="")),MAX(#REF!)+1,IF(AND(E2169=1,E2168=1),J2168,""))</f>
        <v/>
      </c>
      <c r="K2169" s="32" t="str">
        <f t="shared" si="133"/>
        <v/>
      </c>
      <c r="L2169" s="32" t="str">
        <f t="shared" si="130"/>
        <v/>
      </c>
      <c r="M2169" s="32" t="str">
        <f t="shared" si="131"/>
        <v/>
      </c>
      <c r="N2169" s="4">
        <v>1</v>
      </c>
      <c r="O2169" s="58">
        <v>0</v>
      </c>
      <c r="P2169" s="58">
        <v>0</v>
      </c>
      <c r="Q2169" s="58">
        <v>0</v>
      </c>
      <c r="R2169" s="58">
        <v>0</v>
      </c>
      <c r="S2169" s="58">
        <v>0</v>
      </c>
      <c r="T2169" s="58">
        <v>0</v>
      </c>
      <c r="U2169" s="58">
        <v>0</v>
      </c>
      <c r="V2169" s="58">
        <v>0</v>
      </c>
      <c r="AG2169" t="s">
        <v>1887</v>
      </c>
      <c r="AM2169" s="1" t="str">
        <f t="shared" si="132"/>
        <v>2167_C0013_1279.jpg</v>
      </c>
    </row>
    <row r="2170" spans="1:39" x14ac:dyDescent="0.35">
      <c r="A2170">
        <v>2166</v>
      </c>
      <c r="B2170">
        <v>2167</v>
      </c>
      <c r="F2170" s="64" t="s">
        <v>5206</v>
      </c>
      <c r="G2170" s="64"/>
      <c r="H2170" s="64"/>
      <c r="I2170" s="64">
        <v>1</v>
      </c>
      <c r="J2170" s="32" t="str">
        <f>IF(AND(E2170=1,OR(E2169=0,E2169="")),MAX(#REF!)+1,IF(AND(E2170=1,E2169=1),J2169,""))</f>
        <v/>
      </c>
      <c r="K2170" s="32" t="str">
        <f t="shared" si="133"/>
        <v/>
      </c>
      <c r="L2170" s="32" t="str">
        <f t="shared" si="130"/>
        <v/>
      </c>
      <c r="M2170" s="32" t="str">
        <f t="shared" si="131"/>
        <v/>
      </c>
      <c r="N2170" s="4">
        <v>1</v>
      </c>
      <c r="O2170" s="58">
        <v>0</v>
      </c>
      <c r="P2170" s="58">
        <v>0</v>
      </c>
      <c r="Q2170" s="58">
        <v>0</v>
      </c>
      <c r="R2170" s="58">
        <v>0</v>
      </c>
      <c r="S2170" s="58">
        <v>0</v>
      </c>
      <c r="T2170" s="58">
        <v>0</v>
      </c>
      <c r="U2170" s="58">
        <v>0</v>
      </c>
      <c r="V2170" s="58">
        <v>0</v>
      </c>
      <c r="AG2170" t="s">
        <v>1888</v>
      </c>
      <c r="AM2170" s="1" t="str">
        <f t="shared" si="132"/>
        <v>2168_C0013_1276.jpg</v>
      </c>
    </row>
    <row r="2171" spans="1:39" x14ac:dyDescent="0.35">
      <c r="A2171">
        <v>2167</v>
      </c>
      <c r="B2171">
        <v>2168</v>
      </c>
      <c r="F2171" s="64" t="s">
        <v>5207</v>
      </c>
      <c r="G2171" s="64"/>
      <c r="H2171" s="64"/>
      <c r="I2171" s="64">
        <v>1</v>
      </c>
      <c r="J2171" s="32" t="str">
        <f>IF(AND(E2171=1,OR(E2170=0,E2170="")),MAX(#REF!)+1,IF(AND(E2171=1,E2170=1),J2170,""))</f>
        <v/>
      </c>
      <c r="K2171" s="32" t="str">
        <f t="shared" si="133"/>
        <v/>
      </c>
      <c r="L2171" s="32" t="str">
        <f t="shared" si="130"/>
        <v/>
      </c>
      <c r="M2171" s="32" t="str">
        <f t="shared" si="131"/>
        <v/>
      </c>
      <c r="N2171" s="4">
        <v>1</v>
      </c>
      <c r="O2171" s="58">
        <v>0</v>
      </c>
      <c r="P2171" s="58">
        <v>0</v>
      </c>
      <c r="Q2171" s="58">
        <v>0</v>
      </c>
      <c r="R2171" s="58">
        <v>0</v>
      </c>
      <c r="S2171" s="58">
        <v>0</v>
      </c>
      <c r="T2171" s="58">
        <v>0</v>
      </c>
      <c r="U2171" s="58">
        <v>0</v>
      </c>
      <c r="V2171" s="58">
        <v>0</v>
      </c>
      <c r="AG2171" t="s">
        <v>1889</v>
      </c>
      <c r="AM2171" s="1" t="str">
        <f t="shared" si="132"/>
        <v>2169_C0013_1273.jpg</v>
      </c>
    </row>
    <row r="2172" spans="1:39" x14ac:dyDescent="0.35">
      <c r="A2172">
        <v>2168</v>
      </c>
      <c r="B2172">
        <v>2169</v>
      </c>
      <c r="F2172" s="64" t="s">
        <v>5208</v>
      </c>
      <c r="G2172" s="64"/>
      <c r="H2172" s="64"/>
      <c r="I2172" s="64">
        <v>1</v>
      </c>
      <c r="J2172" s="32" t="str">
        <f>IF(AND(E2172=1,OR(E2171=0,E2171="")),MAX(#REF!)+1,IF(AND(E2172=1,E2171=1),J2171,""))</f>
        <v/>
      </c>
      <c r="K2172" s="32" t="str">
        <f t="shared" si="133"/>
        <v/>
      </c>
      <c r="L2172" s="32" t="str">
        <f t="shared" si="130"/>
        <v/>
      </c>
      <c r="M2172" s="32" t="str">
        <f t="shared" si="131"/>
        <v/>
      </c>
      <c r="N2172" s="4">
        <v>1</v>
      </c>
      <c r="O2172" s="58">
        <v>0</v>
      </c>
      <c r="P2172" s="58">
        <v>0</v>
      </c>
      <c r="Q2172" s="58">
        <v>0</v>
      </c>
      <c r="R2172" s="58">
        <v>0</v>
      </c>
      <c r="S2172" s="58">
        <v>0</v>
      </c>
      <c r="T2172" s="58">
        <v>0</v>
      </c>
      <c r="U2172" s="58">
        <v>0</v>
      </c>
      <c r="V2172" s="58">
        <v>0</v>
      </c>
      <c r="AG2172" t="s">
        <v>1890</v>
      </c>
      <c r="AM2172" s="1" t="str">
        <f t="shared" si="132"/>
        <v>2170_C0013_1270.jpg</v>
      </c>
    </row>
    <row r="2173" spans="1:39" x14ac:dyDescent="0.35">
      <c r="A2173">
        <v>2169</v>
      </c>
      <c r="B2173">
        <v>2170</v>
      </c>
      <c r="F2173" s="64" t="s">
        <v>5209</v>
      </c>
      <c r="G2173" s="64"/>
      <c r="H2173" s="64"/>
      <c r="I2173" s="64">
        <v>0</v>
      </c>
      <c r="J2173" s="32" t="str">
        <f>IF(AND(E2173=1,OR(E2172=0,E2172="")),MAX(#REF!)+1,IF(AND(E2173=1,E2172=1),J2172,""))</f>
        <v/>
      </c>
      <c r="K2173" s="32" t="str">
        <f t="shared" si="133"/>
        <v/>
      </c>
      <c r="L2173" s="32" t="str">
        <f t="shared" si="130"/>
        <v/>
      </c>
      <c r="M2173" s="32" t="str">
        <f t="shared" si="131"/>
        <v/>
      </c>
      <c r="N2173" s="4">
        <v>1</v>
      </c>
      <c r="O2173" s="58">
        <v>0</v>
      </c>
      <c r="P2173" s="58">
        <v>0</v>
      </c>
      <c r="Q2173" s="58">
        <v>0</v>
      </c>
      <c r="R2173" s="58">
        <v>0</v>
      </c>
      <c r="S2173" s="58">
        <v>0</v>
      </c>
      <c r="T2173" s="58">
        <v>0</v>
      </c>
      <c r="U2173" s="58">
        <v>0</v>
      </c>
      <c r="V2173" s="58">
        <v>0</v>
      </c>
      <c r="AG2173" t="s">
        <v>1891</v>
      </c>
      <c r="AM2173" s="1" t="str">
        <f t="shared" si="132"/>
        <v>2171_C0013_1266.jpg</v>
      </c>
    </row>
    <row r="2174" spans="1:39" x14ac:dyDescent="0.35">
      <c r="A2174">
        <v>2170</v>
      </c>
      <c r="B2174">
        <v>2171</v>
      </c>
      <c r="F2174" s="64" t="s">
        <v>5210</v>
      </c>
      <c r="G2174" s="64"/>
      <c r="H2174" s="64"/>
      <c r="I2174" s="64">
        <v>0</v>
      </c>
      <c r="J2174" s="32" t="str">
        <f>IF(AND(E2174=1,OR(E2173=0,E2173="")),MAX(#REF!)+1,IF(AND(E2174=1,E2173=1),J2173,""))</f>
        <v/>
      </c>
      <c r="K2174" s="32" t="str">
        <f t="shared" si="133"/>
        <v/>
      </c>
      <c r="L2174" s="32" t="str">
        <f t="shared" si="130"/>
        <v/>
      </c>
      <c r="M2174" s="32" t="str">
        <f t="shared" si="131"/>
        <v/>
      </c>
      <c r="N2174" s="4">
        <v>1</v>
      </c>
      <c r="O2174" s="58">
        <v>0</v>
      </c>
      <c r="P2174" s="58">
        <v>0</v>
      </c>
      <c r="Q2174" s="58">
        <v>0</v>
      </c>
      <c r="R2174" s="58">
        <v>0</v>
      </c>
      <c r="S2174" s="58">
        <v>0</v>
      </c>
      <c r="T2174" s="58">
        <v>0</v>
      </c>
      <c r="U2174" s="58">
        <v>0</v>
      </c>
      <c r="V2174" s="58">
        <v>0</v>
      </c>
      <c r="AG2174" t="s">
        <v>1892</v>
      </c>
      <c r="AM2174" s="1" t="str">
        <f t="shared" si="132"/>
        <v>2172_C0013_1263.jpg</v>
      </c>
    </row>
    <row r="2175" spans="1:39" x14ac:dyDescent="0.35">
      <c r="A2175">
        <v>2171</v>
      </c>
      <c r="B2175">
        <v>2172</v>
      </c>
      <c r="F2175" s="64" t="s">
        <v>5211</v>
      </c>
      <c r="G2175" s="64"/>
      <c r="H2175" s="64"/>
      <c r="I2175" s="64">
        <v>0</v>
      </c>
      <c r="J2175" s="32" t="str">
        <f>IF(AND(E2175=1,OR(E2174=0,E2174="")),MAX(#REF!)+1,IF(AND(E2175=1,E2174=1),J2174,""))</f>
        <v/>
      </c>
      <c r="K2175" s="32" t="str">
        <f t="shared" si="133"/>
        <v/>
      </c>
      <c r="L2175" s="32" t="str">
        <f t="shared" si="130"/>
        <v/>
      </c>
      <c r="M2175" s="32" t="str">
        <f t="shared" si="131"/>
        <v/>
      </c>
      <c r="N2175" s="4">
        <v>1</v>
      </c>
      <c r="O2175" s="58">
        <v>0</v>
      </c>
      <c r="P2175" s="58">
        <v>0</v>
      </c>
      <c r="Q2175" s="58">
        <v>0</v>
      </c>
      <c r="R2175" s="58">
        <v>0</v>
      </c>
      <c r="S2175" s="58">
        <v>0</v>
      </c>
      <c r="T2175" s="58">
        <v>0</v>
      </c>
      <c r="U2175" s="58">
        <v>0</v>
      </c>
      <c r="V2175" s="58">
        <v>0</v>
      </c>
      <c r="AG2175" t="s">
        <v>1893</v>
      </c>
      <c r="AM2175" s="1" t="str">
        <f t="shared" si="132"/>
        <v>2173_C0013_1260.jpg</v>
      </c>
    </row>
    <row r="2176" spans="1:39" x14ac:dyDescent="0.35">
      <c r="A2176">
        <v>2172</v>
      </c>
      <c r="B2176">
        <v>2173</v>
      </c>
      <c r="F2176" s="64" t="s">
        <v>5212</v>
      </c>
      <c r="G2176" s="64"/>
      <c r="H2176" s="64"/>
      <c r="I2176" s="64">
        <v>1</v>
      </c>
      <c r="J2176" s="32" t="str">
        <f>IF(AND(E2176=1,OR(E2175=0,E2175="")),MAX(#REF!)+1,IF(AND(E2176=1,E2175=1),J2175,""))</f>
        <v/>
      </c>
      <c r="K2176" s="32" t="str">
        <f t="shared" si="133"/>
        <v/>
      </c>
      <c r="L2176" s="32" t="str">
        <f t="shared" si="130"/>
        <v/>
      </c>
      <c r="M2176" s="32" t="str">
        <f t="shared" si="131"/>
        <v/>
      </c>
      <c r="N2176" s="4">
        <v>1</v>
      </c>
      <c r="O2176" s="58">
        <v>0</v>
      </c>
      <c r="P2176" s="58">
        <v>0</v>
      </c>
      <c r="Q2176" s="58">
        <v>0</v>
      </c>
      <c r="R2176" s="58">
        <v>0</v>
      </c>
      <c r="S2176" s="58">
        <v>0</v>
      </c>
      <c r="T2176" s="58">
        <v>0</v>
      </c>
      <c r="U2176" s="58">
        <v>0</v>
      </c>
      <c r="V2176" s="58">
        <v>0</v>
      </c>
      <c r="AG2176" t="s">
        <v>1894</v>
      </c>
      <c r="AM2176" s="1" t="str">
        <f t="shared" si="132"/>
        <v>2174_C0013_1257.jpg</v>
      </c>
    </row>
    <row r="2177" spans="1:39" x14ac:dyDescent="0.35">
      <c r="A2177">
        <v>2173</v>
      </c>
      <c r="B2177">
        <v>2174</v>
      </c>
      <c r="F2177" s="64" t="s">
        <v>5213</v>
      </c>
      <c r="G2177" s="64"/>
      <c r="H2177" s="64"/>
      <c r="I2177" s="64">
        <v>1</v>
      </c>
      <c r="J2177" s="32" t="str">
        <f>IF(AND(E2177=1,OR(E2176=0,E2176="")),MAX(#REF!)+1,IF(AND(E2177=1,E2176=1),J2176,""))</f>
        <v/>
      </c>
      <c r="K2177" s="32" t="str">
        <f t="shared" si="133"/>
        <v/>
      </c>
      <c r="L2177" s="32" t="str">
        <f t="shared" si="130"/>
        <v/>
      </c>
      <c r="M2177" s="32" t="str">
        <f t="shared" si="131"/>
        <v/>
      </c>
      <c r="N2177" s="4">
        <v>1</v>
      </c>
      <c r="O2177" s="58">
        <v>0</v>
      </c>
      <c r="P2177" s="58">
        <v>0</v>
      </c>
      <c r="Q2177" s="58">
        <v>0</v>
      </c>
      <c r="R2177" s="58">
        <v>0</v>
      </c>
      <c r="S2177" s="58">
        <v>0</v>
      </c>
      <c r="T2177" s="58">
        <v>0</v>
      </c>
      <c r="U2177" s="58">
        <v>0</v>
      </c>
      <c r="V2177" s="58">
        <v>0</v>
      </c>
      <c r="AG2177" t="s">
        <v>1895</v>
      </c>
      <c r="AM2177" s="1" t="str">
        <f t="shared" si="132"/>
        <v>2175_C0013_1254.jpg</v>
      </c>
    </row>
    <row r="2178" spans="1:39" x14ac:dyDescent="0.35">
      <c r="A2178">
        <v>2174</v>
      </c>
      <c r="B2178">
        <v>2175</v>
      </c>
      <c r="F2178" s="64" t="s">
        <v>5214</v>
      </c>
      <c r="G2178" s="64"/>
      <c r="H2178" s="64"/>
      <c r="I2178" s="64">
        <v>0</v>
      </c>
      <c r="J2178" s="32" t="str">
        <f>IF(AND(E2178=1,OR(E2177=0,E2177="")),MAX(#REF!)+1,IF(AND(E2178=1,E2177=1),J2177,""))</f>
        <v/>
      </c>
      <c r="K2178" s="32" t="str">
        <f t="shared" si="133"/>
        <v/>
      </c>
      <c r="L2178" s="32" t="str">
        <f t="shared" si="130"/>
        <v/>
      </c>
      <c r="M2178" s="32" t="str">
        <f t="shared" si="131"/>
        <v/>
      </c>
      <c r="N2178" s="4">
        <v>1</v>
      </c>
      <c r="O2178" s="58">
        <v>0</v>
      </c>
      <c r="P2178" s="58">
        <v>0</v>
      </c>
      <c r="Q2178" s="58">
        <v>0</v>
      </c>
      <c r="R2178" s="58">
        <v>0</v>
      </c>
      <c r="S2178" s="58">
        <v>0</v>
      </c>
      <c r="T2178" s="58">
        <v>0</v>
      </c>
      <c r="U2178" s="58">
        <v>0</v>
      </c>
      <c r="V2178" s="58">
        <v>0</v>
      </c>
      <c r="AG2178" t="s">
        <v>1896</v>
      </c>
      <c r="AM2178" s="1" t="str">
        <f t="shared" si="132"/>
        <v>2176_C0013_1252.jpg</v>
      </c>
    </row>
    <row r="2179" spans="1:39" x14ac:dyDescent="0.35">
      <c r="A2179">
        <v>2175</v>
      </c>
      <c r="B2179">
        <v>2176</v>
      </c>
      <c r="F2179" s="64" t="s">
        <v>5215</v>
      </c>
      <c r="G2179" s="64"/>
      <c r="H2179" s="64"/>
      <c r="I2179" s="64">
        <v>0</v>
      </c>
      <c r="J2179" s="32" t="str">
        <f>IF(AND(E2179=1,OR(E2178=0,E2178="")),MAX(#REF!)+1,IF(AND(E2179=1,E2178=1),J2178,""))</f>
        <v/>
      </c>
      <c r="K2179" s="32" t="str">
        <f t="shared" si="133"/>
        <v/>
      </c>
      <c r="L2179" s="32" t="str">
        <f t="shared" si="130"/>
        <v/>
      </c>
      <c r="M2179" s="32" t="str">
        <f t="shared" si="131"/>
        <v/>
      </c>
      <c r="N2179" s="4">
        <v>1</v>
      </c>
      <c r="O2179" s="58">
        <v>0</v>
      </c>
      <c r="P2179" s="58">
        <v>0</v>
      </c>
      <c r="Q2179" s="58">
        <v>0</v>
      </c>
      <c r="R2179" s="58">
        <v>0</v>
      </c>
      <c r="S2179" s="58">
        <v>0</v>
      </c>
      <c r="T2179" s="58">
        <v>0</v>
      </c>
      <c r="U2179" s="58">
        <v>0</v>
      </c>
      <c r="V2179" s="58">
        <v>0</v>
      </c>
      <c r="AG2179" t="s">
        <v>1897</v>
      </c>
      <c r="AM2179" s="1" t="str">
        <f t="shared" si="132"/>
        <v>2177_C0013_1249.jpg</v>
      </c>
    </row>
    <row r="2180" spans="1:39" x14ac:dyDescent="0.35">
      <c r="A2180">
        <v>2176</v>
      </c>
      <c r="B2180">
        <v>2177</v>
      </c>
      <c r="F2180" s="64" t="s">
        <v>5216</v>
      </c>
      <c r="G2180" s="64"/>
      <c r="H2180" s="64"/>
      <c r="I2180" s="64">
        <v>1</v>
      </c>
      <c r="J2180" s="32" t="str">
        <f>IF(AND(E2180=1,OR(E2179=0,E2179="")),MAX(#REF!)+1,IF(AND(E2180=1,E2179=1),J2179,""))</f>
        <v/>
      </c>
      <c r="K2180" s="32" t="str">
        <f t="shared" si="133"/>
        <v/>
      </c>
      <c r="L2180" s="32" t="str">
        <f t="shared" ref="L2180:L2243" si="134">IF(K2180="","",IF(K2180&gt;=100,"HV",""))</f>
        <v/>
      </c>
      <c r="M2180" s="32" t="str">
        <f t="shared" ref="M2180:M2243" si="135">IF(K2180&lt;&gt;"",K2180^2,"")</f>
        <v/>
      </c>
      <c r="N2180" s="4">
        <v>1</v>
      </c>
      <c r="O2180" s="58">
        <v>0</v>
      </c>
      <c r="P2180" s="58">
        <v>0</v>
      </c>
      <c r="Q2180" s="58">
        <v>0</v>
      </c>
      <c r="R2180" s="58">
        <v>0</v>
      </c>
      <c r="S2180" s="58">
        <v>0</v>
      </c>
      <c r="T2180" s="58">
        <v>0</v>
      </c>
      <c r="U2180" s="58">
        <v>0</v>
      </c>
      <c r="V2180" s="58">
        <v>0</v>
      </c>
      <c r="AG2180" t="s">
        <v>1898</v>
      </c>
      <c r="AM2180" s="1" t="str">
        <f t="shared" si="132"/>
        <v>2178_C0013_1246.jpg</v>
      </c>
    </row>
    <row r="2181" spans="1:39" x14ac:dyDescent="0.35">
      <c r="A2181">
        <v>2177</v>
      </c>
      <c r="B2181">
        <v>2178</v>
      </c>
      <c r="F2181" s="64" t="s">
        <v>5217</v>
      </c>
      <c r="G2181" s="64"/>
      <c r="H2181" s="64"/>
      <c r="I2181" s="64">
        <v>0</v>
      </c>
      <c r="J2181" s="32" t="str">
        <f>IF(AND(E2181=1,OR(E2180=0,E2180="")),MAX(#REF!)+1,IF(AND(E2181=1,E2180=1),J2180,""))</f>
        <v/>
      </c>
      <c r="K2181" s="32" t="str">
        <f t="shared" si="133"/>
        <v/>
      </c>
      <c r="L2181" s="32" t="str">
        <f t="shared" si="134"/>
        <v/>
      </c>
      <c r="M2181" s="32" t="str">
        <f t="shared" si="135"/>
        <v/>
      </c>
      <c r="N2181" s="4">
        <v>1</v>
      </c>
      <c r="O2181" s="58">
        <v>0</v>
      </c>
      <c r="P2181" s="58">
        <v>0</v>
      </c>
      <c r="Q2181" s="58">
        <v>0</v>
      </c>
      <c r="R2181" s="58">
        <v>0</v>
      </c>
      <c r="S2181" s="58">
        <v>0</v>
      </c>
      <c r="T2181" s="58">
        <v>0</v>
      </c>
      <c r="U2181" s="58">
        <v>0</v>
      </c>
      <c r="V2181" s="58">
        <v>0</v>
      </c>
      <c r="AG2181" t="s">
        <v>1899</v>
      </c>
      <c r="AM2181" s="1" t="str">
        <f t="shared" si="132"/>
        <v>2179_C0013_1243.jpg</v>
      </c>
    </row>
    <row r="2182" spans="1:39" x14ac:dyDescent="0.35">
      <c r="A2182">
        <v>2178</v>
      </c>
      <c r="B2182">
        <v>2179</v>
      </c>
      <c r="F2182" s="64" t="s">
        <v>5218</v>
      </c>
      <c r="G2182" s="64"/>
      <c r="H2182" s="64"/>
      <c r="I2182" s="64">
        <v>0</v>
      </c>
      <c r="J2182" s="32" t="str">
        <f>IF(AND(E2182=1,OR(E2181=0,E2181="")),MAX(#REF!)+1,IF(AND(E2182=1,E2181=1),J2181,""))</f>
        <v/>
      </c>
      <c r="K2182" s="32" t="str">
        <f t="shared" si="133"/>
        <v/>
      </c>
      <c r="L2182" s="32" t="str">
        <f t="shared" si="134"/>
        <v/>
      </c>
      <c r="M2182" s="32" t="str">
        <f t="shared" si="135"/>
        <v/>
      </c>
      <c r="N2182" s="4">
        <v>1</v>
      </c>
      <c r="O2182" s="58">
        <v>0</v>
      </c>
      <c r="P2182" s="58">
        <v>0</v>
      </c>
      <c r="Q2182" s="58">
        <v>0</v>
      </c>
      <c r="R2182" s="58">
        <v>0</v>
      </c>
      <c r="S2182" s="58">
        <v>0</v>
      </c>
      <c r="T2182" s="58">
        <v>0</v>
      </c>
      <c r="U2182" s="58">
        <v>0</v>
      </c>
      <c r="V2182" s="58">
        <v>0</v>
      </c>
      <c r="AG2182" t="s">
        <v>1900</v>
      </c>
      <c r="AM2182" s="1" t="str">
        <f t="shared" si="132"/>
        <v>2180_C0013_1240.jpg</v>
      </c>
    </row>
    <row r="2183" spans="1:39" x14ac:dyDescent="0.35">
      <c r="A2183">
        <v>2179</v>
      </c>
      <c r="B2183">
        <v>2180</v>
      </c>
      <c r="F2183" s="64" t="s">
        <v>5219</v>
      </c>
      <c r="G2183" s="64"/>
      <c r="H2183" s="64"/>
      <c r="I2183" s="64">
        <v>1</v>
      </c>
      <c r="J2183" s="32" t="str">
        <f>IF(AND(E2183=1,OR(E2182=0,E2182="")),MAX(#REF!)+1,IF(AND(E2183=1,E2182=1),J2182,""))</f>
        <v/>
      </c>
      <c r="K2183" s="32" t="str">
        <f t="shared" si="133"/>
        <v/>
      </c>
      <c r="L2183" s="32" t="str">
        <f t="shared" si="134"/>
        <v/>
      </c>
      <c r="M2183" s="32" t="str">
        <f t="shared" si="135"/>
        <v/>
      </c>
      <c r="N2183" s="4">
        <v>1</v>
      </c>
      <c r="O2183" s="58">
        <v>0</v>
      </c>
      <c r="P2183" s="58">
        <v>0</v>
      </c>
      <c r="Q2183" s="58">
        <v>0</v>
      </c>
      <c r="R2183" s="58">
        <v>0</v>
      </c>
      <c r="S2183" s="58">
        <v>0</v>
      </c>
      <c r="T2183" s="58">
        <v>0</v>
      </c>
      <c r="U2183" s="58">
        <v>0</v>
      </c>
      <c r="V2183" s="58">
        <v>0</v>
      </c>
      <c r="AG2183" t="s">
        <v>1901</v>
      </c>
      <c r="AM2183" s="1" t="str">
        <f t="shared" si="132"/>
        <v>2181_C0013_1237.jpg</v>
      </c>
    </row>
    <row r="2184" spans="1:39" x14ac:dyDescent="0.35">
      <c r="A2184">
        <v>2180</v>
      </c>
      <c r="B2184">
        <v>2181</v>
      </c>
      <c r="F2184" s="64" t="s">
        <v>5220</v>
      </c>
      <c r="G2184" s="64"/>
      <c r="H2184" s="64"/>
      <c r="I2184" s="64">
        <v>1</v>
      </c>
      <c r="J2184" s="32" t="str">
        <f>IF(AND(E2184=1,OR(E2183=0,E2183="")),MAX(#REF!)+1,IF(AND(E2184=1,E2183=1),J2183,""))</f>
        <v/>
      </c>
      <c r="K2184" s="32" t="str">
        <f t="shared" si="133"/>
        <v/>
      </c>
      <c r="L2184" s="32" t="str">
        <f t="shared" si="134"/>
        <v/>
      </c>
      <c r="M2184" s="32" t="str">
        <f t="shared" si="135"/>
        <v/>
      </c>
      <c r="N2184" s="4">
        <v>1</v>
      </c>
      <c r="O2184" s="58">
        <v>0</v>
      </c>
      <c r="P2184" s="58">
        <v>0</v>
      </c>
      <c r="Q2184" s="58">
        <v>0</v>
      </c>
      <c r="R2184" s="58">
        <v>0</v>
      </c>
      <c r="S2184" s="58">
        <v>0</v>
      </c>
      <c r="T2184" s="58">
        <v>0</v>
      </c>
      <c r="U2184" s="58">
        <v>0</v>
      </c>
      <c r="V2184" s="58">
        <v>0</v>
      </c>
      <c r="AG2184" t="s">
        <v>1902</v>
      </c>
      <c r="AM2184" s="1" t="str">
        <f t="shared" si="132"/>
        <v>2182_C0013_1234.jpg</v>
      </c>
    </row>
    <row r="2185" spans="1:39" x14ac:dyDescent="0.35">
      <c r="A2185">
        <v>2181</v>
      </c>
      <c r="B2185">
        <v>2182</v>
      </c>
      <c r="F2185" s="64" t="s">
        <v>5221</v>
      </c>
      <c r="G2185" s="64"/>
      <c r="H2185" s="64"/>
      <c r="I2185" s="64">
        <v>0</v>
      </c>
      <c r="J2185" s="32" t="str">
        <f>IF(AND(E2185=1,OR(E2184=0,E2184="")),MAX(#REF!)+1,IF(AND(E2185=1,E2184=1),J2184,""))</f>
        <v/>
      </c>
      <c r="K2185" s="32" t="str">
        <f t="shared" si="133"/>
        <v/>
      </c>
      <c r="L2185" s="32" t="str">
        <f t="shared" si="134"/>
        <v/>
      </c>
      <c r="M2185" s="32" t="str">
        <f t="shared" si="135"/>
        <v/>
      </c>
      <c r="N2185" s="4">
        <v>1</v>
      </c>
      <c r="O2185" s="58">
        <v>0</v>
      </c>
      <c r="P2185" s="58">
        <v>0</v>
      </c>
      <c r="Q2185" s="58">
        <v>0</v>
      </c>
      <c r="R2185" s="58">
        <v>0</v>
      </c>
      <c r="S2185" s="58">
        <v>0</v>
      </c>
      <c r="T2185" s="58">
        <v>0</v>
      </c>
      <c r="U2185" s="58">
        <v>0</v>
      </c>
      <c r="V2185" s="58">
        <v>0</v>
      </c>
      <c r="AG2185" t="s">
        <v>1903</v>
      </c>
      <c r="AM2185" s="1" t="str">
        <f t="shared" si="132"/>
        <v>2183_C0013_1231.jpg</v>
      </c>
    </row>
    <row r="2186" spans="1:39" x14ac:dyDescent="0.35">
      <c r="A2186">
        <v>2182</v>
      </c>
      <c r="B2186">
        <v>2183</v>
      </c>
      <c r="F2186" s="64" t="s">
        <v>5222</v>
      </c>
      <c r="G2186" s="64"/>
      <c r="H2186" s="64"/>
      <c r="I2186" s="64">
        <v>0</v>
      </c>
      <c r="J2186" s="32" t="str">
        <f>IF(AND(E2186=1,OR(E2185=0,E2185="")),MAX(#REF!)+1,IF(AND(E2186=1,E2185=1),J2185,""))</f>
        <v/>
      </c>
      <c r="K2186" s="32" t="str">
        <f t="shared" si="133"/>
        <v/>
      </c>
      <c r="L2186" s="32" t="str">
        <f t="shared" si="134"/>
        <v/>
      </c>
      <c r="M2186" s="32" t="str">
        <f t="shared" si="135"/>
        <v/>
      </c>
      <c r="N2186" s="4">
        <v>1</v>
      </c>
      <c r="O2186" s="58">
        <v>0</v>
      </c>
      <c r="P2186" s="58">
        <v>0</v>
      </c>
      <c r="Q2186" s="58">
        <v>0</v>
      </c>
      <c r="R2186" s="58">
        <v>0</v>
      </c>
      <c r="S2186" s="58">
        <v>0</v>
      </c>
      <c r="T2186" s="58">
        <v>0</v>
      </c>
      <c r="U2186" s="58">
        <v>0</v>
      </c>
      <c r="V2186" s="58">
        <v>0</v>
      </c>
      <c r="AG2186" t="s">
        <v>1904</v>
      </c>
      <c r="AM2186" s="1" t="str">
        <f t="shared" si="132"/>
        <v>2184_C0013_1227.jpg</v>
      </c>
    </row>
    <row r="2187" spans="1:39" x14ac:dyDescent="0.35">
      <c r="A2187">
        <v>2183</v>
      </c>
      <c r="B2187">
        <v>2184</v>
      </c>
      <c r="F2187" s="64" t="s">
        <v>5223</v>
      </c>
      <c r="G2187" s="64"/>
      <c r="H2187" s="64"/>
      <c r="I2187" s="64">
        <v>1</v>
      </c>
      <c r="J2187" s="32" t="str">
        <f>IF(AND(E2187=1,OR(E2186=0,E2186="")),MAX(#REF!)+1,IF(AND(E2187=1,E2186=1),J2186,""))</f>
        <v/>
      </c>
      <c r="K2187" s="32" t="str">
        <f t="shared" si="133"/>
        <v/>
      </c>
      <c r="L2187" s="32" t="str">
        <f t="shared" si="134"/>
        <v/>
      </c>
      <c r="M2187" s="32" t="str">
        <f t="shared" si="135"/>
        <v/>
      </c>
      <c r="N2187" s="4">
        <v>1</v>
      </c>
      <c r="O2187" s="58">
        <v>0</v>
      </c>
      <c r="P2187" s="58">
        <v>0</v>
      </c>
      <c r="Q2187" s="58">
        <v>0</v>
      </c>
      <c r="R2187" s="58">
        <v>0</v>
      </c>
      <c r="S2187" s="58">
        <v>0</v>
      </c>
      <c r="T2187" s="58">
        <v>0</v>
      </c>
      <c r="U2187" s="58">
        <v>0</v>
      </c>
      <c r="V2187" s="58">
        <v>0</v>
      </c>
      <c r="AG2187" t="s">
        <v>1905</v>
      </c>
      <c r="AM2187" s="1" t="str">
        <f t="shared" ref="AM2187:AM2250" si="136">HYPERLINK("E:\CAFNEC_GBRF\2023\JohnstoneRiver\Frames_for_Analysis\" &amp; F2188, F2188)</f>
        <v>2185_C0013_1223.jpg</v>
      </c>
    </row>
    <row r="2188" spans="1:39" x14ac:dyDescent="0.35">
      <c r="A2188">
        <v>2184</v>
      </c>
      <c r="B2188">
        <v>2185</v>
      </c>
      <c r="F2188" s="64" t="s">
        <v>5224</v>
      </c>
      <c r="G2188" s="64"/>
      <c r="H2188" s="64"/>
      <c r="I2188" s="64">
        <v>1</v>
      </c>
      <c r="J2188" s="32" t="str">
        <f>IF(AND(E2188=1,OR(E2187=0,E2187="")),MAX(#REF!)+1,IF(AND(E2188=1,E2187=1),J2187,""))</f>
        <v/>
      </c>
      <c r="K2188" s="32" t="str">
        <f t="shared" si="133"/>
        <v/>
      </c>
      <c r="L2188" s="32" t="str">
        <f t="shared" si="134"/>
        <v/>
      </c>
      <c r="M2188" s="32" t="str">
        <f t="shared" si="135"/>
        <v/>
      </c>
      <c r="N2188" s="4">
        <v>1</v>
      </c>
      <c r="O2188" s="58">
        <v>0</v>
      </c>
      <c r="P2188" s="58">
        <v>0</v>
      </c>
      <c r="Q2188" s="58">
        <v>0</v>
      </c>
      <c r="R2188" s="58">
        <v>0</v>
      </c>
      <c r="S2188" s="58">
        <v>0</v>
      </c>
      <c r="T2188" s="58">
        <v>0</v>
      </c>
      <c r="U2188" s="58">
        <v>0</v>
      </c>
      <c r="V2188" s="58">
        <v>0</v>
      </c>
      <c r="AG2188" t="s">
        <v>1906</v>
      </c>
      <c r="AM2188" s="1" t="str">
        <f t="shared" si="136"/>
        <v>2186_C0013_1220.jpg</v>
      </c>
    </row>
    <row r="2189" spans="1:39" x14ac:dyDescent="0.35">
      <c r="A2189">
        <v>2185</v>
      </c>
      <c r="B2189">
        <v>2186</v>
      </c>
      <c r="F2189" s="64" t="s">
        <v>5225</v>
      </c>
      <c r="G2189" s="64"/>
      <c r="H2189" s="64"/>
      <c r="I2189" s="64">
        <v>1</v>
      </c>
      <c r="J2189" s="32" t="str">
        <f>IF(AND(E2189=1,OR(E2188=0,E2188="")),MAX(#REF!)+1,IF(AND(E2189=1,E2188=1),J2188,""))</f>
        <v/>
      </c>
      <c r="K2189" s="32" t="str">
        <f t="shared" si="133"/>
        <v/>
      </c>
      <c r="L2189" s="32" t="str">
        <f t="shared" si="134"/>
        <v/>
      </c>
      <c r="M2189" s="32" t="str">
        <f t="shared" si="135"/>
        <v/>
      </c>
      <c r="N2189" s="4">
        <v>1</v>
      </c>
      <c r="O2189" s="58">
        <v>0</v>
      </c>
      <c r="P2189" s="58">
        <v>0</v>
      </c>
      <c r="Q2189" s="58">
        <v>0</v>
      </c>
      <c r="R2189" s="58">
        <v>0</v>
      </c>
      <c r="S2189" s="58">
        <v>0</v>
      </c>
      <c r="T2189" s="58">
        <v>0</v>
      </c>
      <c r="U2189" s="58">
        <v>0</v>
      </c>
      <c r="V2189" s="58">
        <v>0</v>
      </c>
      <c r="AG2189" t="s">
        <v>1907</v>
      </c>
      <c r="AM2189" s="1" t="str">
        <f t="shared" si="136"/>
        <v>2187_C0013_1218.jpg</v>
      </c>
    </row>
    <row r="2190" spans="1:39" x14ac:dyDescent="0.35">
      <c r="A2190">
        <v>2186</v>
      </c>
      <c r="B2190">
        <v>2187</v>
      </c>
      <c r="F2190" s="64" t="s">
        <v>5226</v>
      </c>
      <c r="G2190" s="64"/>
      <c r="H2190" s="64"/>
      <c r="I2190" s="64">
        <v>1</v>
      </c>
      <c r="J2190" s="32" t="str">
        <f>IF(AND(E2190=1,OR(E2189=0,E2189="")),MAX(#REF!)+1,IF(AND(E2190=1,E2189=1),J2189,""))</f>
        <v/>
      </c>
      <c r="K2190" s="32" t="str">
        <f t="shared" si="133"/>
        <v/>
      </c>
      <c r="L2190" s="32" t="str">
        <f t="shared" si="134"/>
        <v/>
      </c>
      <c r="M2190" s="32" t="str">
        <f t="shared" si="135"/>
        <v/>
      </c>
      <c r="N2190" s="4">
        <v>1</v>
      </c>
      <c r="O2190" s="58">
        <v>0</v>
      </c>
      <c r="P2190" s="58">
        <v>0</v>
      </c>
      <c r="Q2190" s="58">
        <v>0</v>
      </c>
      <c r="R2190" s="58">
        <v>0</v>
      </c>
      <c r="S2190" s="58">
        <v>0</v>
      </c>
      <c r="T2190" s="58">
        <v>0</v>
      </c>
      <c r="U2190" s="58">
        <v>0</v>
      </c>
      <c r="V2190" s="58">
        <v>0</v>
      </c>
      <c r="AG2190" t="s">
        <v>1908</v>
      </c>
      <c r="AM2190" s="1" t="str">
        <f t="shared" si="136"/>
        <v>2188_C0013_1215.jpg</v>
      </c>
    </row>
    <row r="2191" spans="1:39" x14ac:dyDescent="0.35">
      <c r="A2191">
        <v>2187</v>
      </c>
      <c r="B2191">
        <v>2188</v>
      </c>
      <c r="F2191" s="64" t="s">
        <v>5227</v>
      </c>
      <c r="G2191" s="64"/>
      <c r="H2191" s="64"/>
      <c r="I2191" s="64">
        <v>1</v>
      </c>
      <c r="J2191" s="32" t="str">
        <f>IF(AND(E2191=1,OR(E2190=0,E2190="")),MAX(#REF!)+1,IF(AND(E2191=1,E2190=1),J2190,""))</f>
        <v/>
      </c>
      <c r="K2191" s="32" t="str">
        <f t="shared" si="133"/>
        <v/>
      </c>
      <c r="L2191" s="32" t="str">
        <f t="shared" si="134"/>
        <v/>
      </c>
      <c r="M2191" s="32" t="str">
        <f t="shared" si="135"/>
        <v/>
      </c>
      <c r="N2191" s="4">
        <v>1</v>
      </c>
      <c r="O2191" s="58">
        <v>0</v>
      </c>
      <c r="P2191" s="58">
        <v>0</v>
      </c>
      <c r="Q2191" s="58">
        <v>0</v>
      </c>
      <c r="R2191" s="58">
        <v>0</v>
      </c>
      <c r="S2191" s="58">
        <v>0</v>
      </c>
      <c r="T2191" s="58">
        <v>0</v>
      </c>
      <c r="U2191" s="58">
        <v>0</v>
      </c>
      <c r="V2191" s="58">
        <v>0</v>
      </c>
      <c r="AG2191" t="s">
        <v>1909</v>
      </c>
      <c r="AM2191" s="1" t="str">
        <f t="shared" si="136"/>
        <v>2189_C0013_1212.jpg</v>
      </c>
    </row>
    <row r="2192" spans="1:39" x14ac:dyDescent="0.35">
      <c r="A2192">
        <v>2188</v>
      </c>
      <c r="B2192">
        <v>2189</v>
      </c>
      <c r="F2192" s="64" t="s">
        <v>5228</v>
      </c>
      <c r="G2192" s="64"/>
      <c r="H2192" s="64"/>
      <c r="I2192" s="64">
        <v>1</v>
      </c>
      <c r="J2192" s="32" t="str">
        <f>IF(AND(E2192=1,OR(E2191=0,E2191="")),MAX(#REF!)+1,IF(AND(E2192=1,E2191=1),J2191,""))</f>
        <v/>
      </c>
      <c r="K2192" s="32" t="str">
        <f t="shared" si="133"/>
        <v/>
      </c>
      <c r="L2192" s="32" t="str">
        <f t="shared" si="134"/>
        <v/>
      </c>
      <c r="M2192" s="32" t="str">
        <f t="shared" si="135"/>
        <v/>
      </c>
      <c r="N2192" s="4">
        <v>1</v>
      </c>
      <c r="O2192" s="58">
        <v>0</v>
      </c>
      <c r="P2192" s="58">
        <v>0</v>
      </c>
      <c r="Q2192" s="58">
        <v>0</v>
      </c>
      <c r="R2192" s="58">
        <v>0</v>
      </c>
      <c r="S2192" s="58">
        <v>0</v>
      </c>
      <c r="T2192" s="58">
        <v>0</v>
      </c>
      <c r="U2192" s="58">
        <v>0</v>
      </c>
      <c r="V2192" s="58">
        <v>0</v>
      </c>
      <c r="AG2192" t="s">
        <v>1910</v>
      </c>
      <c r="AM2192" s="1" t="str">
        <f t="shared" si="136"/>
        <v>2190_C0013_1210.jpg</v>
      </c>
    </row>
    <row r="2193" spans="1:39" x14ac:dyDescent="0.35">
      <c r="A2193">
        <v>2189</v>
      </c>
      <c r="B2193">
        <v>2190</v>
      </c>
      <c r="F2193" s="64" t="s">
        <v>5229</v>
      </c>
      <c r="G2193" s="64"/>
      <c r="H2193" s="64"/>
      <c r="I2193" s="64">
        <v>1</v>
      </c>
      <c r="J2193" s="32" t="str">
        <f>IF(AND(E2193=1,OR(E2192=0,E2192="")),MAX(#REF!)+1,IF(AND(E2193=1,E2192=1),J2192,""))</f>
        <v/>
      </c>
      <c r="K2193" s="32" t="str">
        <f t="shared" si="133"/>
        <v/>
      </c>
      <c r="L2193" s="32" t="str">
        <f t="shared" si="134"/>
        <v/>
      </c>
      <c r="M2193" s="32" t="str">
        <f t="shared" si="135"/>
        <v/>
      </c>
      <c r="N2193" s="4">
        <v>1</v>
      </c>
      <c r="O2193" s="58">
        <v>0</v>
      </c>
      <c r="P2193" s="58">
        <v>0</v>
      </c>
      <c r="Q2193" s="58">
        <v>0</v>
      </c>
      <c r="R2193" s="58">
        <v>0</v>
      </c>
      <c r="S2193" s="58">
        <v>0</v>
      </c>
      <c r="T2193" s="58">
        <v>0</v>
      </c>
      <c r="U2193" s="58">
        <v>0</v>
      </c>
      <c r="V2193" s="58">
        <v>0</v>
      </c>
      <c r="AG2193" t="s">
        <v>1911</v>
      </c>
      <c r="AM2193" s="1" t="str">
        <f t="shared" si="136"/>
        <v>2191_C0013_1207.jpg</v>
      </c>
    </row>
    <row r="2194" spans="1:39" x14ac:dyDescent="0.35">
      <c r="A2194">
        <v>2190</v>
      </c>
      <c r="B2194">
        <v>2191</v>
      </c>
      <c r="F2194" s="64" t="s">
        <v>5230</v>
      </c>
      <c r="G2194" s="64"/>
      <c r="H2194" s="64"/>
      <c r="I2194" s="64">
        <v>1</v>
      </c>
      <c r="J2194" s="32" t="str">
        <f>IF(AND(E2194=1,OR(E2193=0,E2193="")),MAX(#REF!)+1,IF(AND(E2194=1,E2193=1),J2193,""))</f>
        <v/>
      </c>
      <c r="K2194" s="32" t="str">
        <f t="shared" si="133"/>
        <v/>
      </c>
      <c r="L2194" s="32" t="str">
        <f t="shared" si="134"/>
        <v/>
      </c>
      <c r="M2194" s="32" t="str">
        <f t="shared" si="135"/>
        <v/>
      </c>
      <c r="N2194" s="4">
        <v>1</v>
      </c>
      <c r="O2194" s="58">
        <v>0</v>
      </c>
      <c r="P2194" s="58">
        <v>0</v>
      </c>
      <c r="Q2194" s="58">
        <v>0</v>
      </c>
      <c r="R2194" s="58">
        <v>0</v>
      </c>
      <c r="S2194" s="58">
        <v>0</v>
      </c>
      <c r="T2194" s="58">
        <v>0</v>
      </c>
      <c r="U2194" s="58">
        <v>0</v>
      </c>
      <c r="V2194" s="58">
        <v>0</v>
      </c>
      <c r="AG2194" t="s">
        <v>1912</v>
      </c>
      <c r="AM2194" s="1" t="str">
        <f t="shared" si="136"/>
        <v>2192_C0013_1204.jpg</v>
      </c>
    </row>
    <row r="2195" spans="1:39" x14ac:dyDescent="0.35">
      <c r="A2195">
        <v>2191</v>
      </c>
      <c r="B2195">
        <v>2192</v>
      </c>
      <c r="F2195" s="64" t="s">
        <v>5231</v>
      </c>
      <c r="G2195" s="64"/>
      <c r="H2195" s="64"/>
      <c r="I2195" s="64">
        <v>0</v>
      </c>
      <c r="J2195" s="32" t="str">
        <f>IF(AND(E2195=1,OR(E2194=0,E2194="")),MAX(#REF!)+1,IF(AND(E2195=1,E2194=1),J2194,""))</f>
        <v/>
      </c>
      <c r="K2195" s="32" t="str">
        <f t="shared" si="133"/>
        <v/>
      </c>
      <c r="L2195" s="32" t="str">
        <f t="shared" si="134"/>
        <v/>
      </c>
      <c r="M2195" s="32" t="str">
        <f t="shared" si="135"/>
        <v/>
      </c>
      <c r="N2195" s="4">
        <v>1</v>
      </c>
      <c r="O2195" s="58">
        <v>0</v>
      </c>
      <c r="P2195" s="58">
        <v>0</v>
      </c>
      <c r="Q2195" s="58">
        <v>0</v>
      </c>
      <c r="R2195" s="58">
        <v>0</v>
      </c>
      <c r="S2195" s="58">
        <v>0</v>
      </c>
      <c r="T2195" s="58">
        <v>0</v>
      </c>
      <c r="U2195" s="58">
        <v>0</v>
      </c>
      <c r="V2195" s="58">
        <v>0</v>
      </c>
      <c r="AG2195" t="s">
        <v>1913</v>
      </c>
      <c r="AM2195" s="1" t="str">
        <f t="shared" si="136"/>
        <v>2193_C0013_1200.jpg</v>
      </c>
    </row>
    <row r="2196" spans="1:39" x14ac:dyDescent="0.35">
      <c r="A2196">
        <v>2192</v>
      </c>
      <c r="B2196">
        <v>2193</v>
      </c>
      <c r="F2196" s="64" t="s">
        <v>5232</v>
      </c>
      <c r="G2196" s="64"/>
      <c r="H2196" s="64"/>
      <c r="I2196" s="64">
        <v>0</v>
      </c>
      <c r="J2196" s="32" t="str">
        <f>IF(AND(E2196=1,OR(E2195=0,E2195="")),MAX(#REF!)+1,IF(AND(E2196=1,E2195=1),J2195,""))</f>
        <v/>
      </c>
      <c r="K2196" s="32" t="str">
        <f t="shared" si="133"/>
        <v/>
      </c>
      <c r="L2196" s="32" t="str">
        <f t="shared" si="134"/>
        <v/>
      </c>
      <c r="M2196" s="32" t="str">
        <f t="shared" si="135"/>
        <v/>
      </c>
      <c r="N2196" s="4">
        <v>1</v>
      </c>
      <c r="O2196" s="58">
        <v>0</v>
      </c>
      <c r="P2196" s="58">
        <v>0</v>
      </c>
      <c r="Q2196" s="58">
        <v>0</v>
      </c>
      <c r="R2196" s="58">
        <v>0</v>
      </c>
      <c r="S2196" s="58">
        <v>0</v>
      </c>
      <c r="T2196" s="58">
        <v>0</v>
      </c>
      <c r="U2196" s="58">
        <v>0</v>
      </c>
      <c r="V2196" s="58">
        <v>0</v>
      </c>
      <c r="AG2196" t="s">
        <v>1914</v>
      </c>
      <c r="AM2196" s="1" t="str">
        <f t="shared" si="136"/>
        <v>2194_C0013_1198.jpg</v>
      </c>
    </row>
    <row r="2197" spans="1:39" x14ac:dyDescent="0.35">
      <c r="A2197">
        <v>2193</v>
      </c>
      <c r="B2197">
        <v>2194</v>
      </c>
      <c r="F2197" s="64" t="s">
        <v>5233</v>
      </c>
      <c r="G2197" s="64"/>
      <c r="H2197" s="64"/>
      <c r="I2197" s="64">
        <v>0</v>
      </c>
      <c r="J2197" s="32" t="str">
        <f>IF(AND(E2197=1,OR(E2196=0,E2196="")),MAX(#REF!)+1,IF(AND(E2197=1,E2196=1),J2196,""))</f>
        <v/>
      </c>
      <c r="K2197" s="32" t="str">
        <f t="shared" si="133"/>
        <v/>
      </c>
      <c r="L2197" s="32" t="str">
        <f t="shared" si="134"/>
        <v/>
      </c>
      <c r="M2197" s="32" t="str">
        <f t="shared" si="135"/>
        <v/>
      </c>
      <c r="N2197" s="4">
        <v>1</v>
      </c>
      <c r="O2197" s="58">
        <v>0</v>
      </c>
      <c r="P2197" s="58">
        <v>0</v>
      </c>
      <c r="Q2197" s="58">
        <v>0</v>
      </c>
      <c r="R2197" s="58">
        <v>0</v>
      </c>
      <c r="S2197" s="58">
        <v>0</v>
      </c>
      <c r="T2197" s="58">
        <v>0</v>
      </c>
      <c r="U2197" s="58">
        <v>0</v>
      </c>
      <c r="V2197" s="58">
        <v>0</v>
      </c>
      <c r="AG2197" t="s">
        <v>1915</v>
      </c>
      <c r="AM2197" s="1" t="str">
        <f t="shared" si="136"/>
        <v>2195_C0013_1195.jpg</v>
      </c>
    </row>
    <row r="2198" spans="1:39" x14ac:dyDescent="0.35">
      <c r="A2198">
        <v>2194</v>
      </c>
      <c r="B2198">
        <v>2195</v>
      </c>
      <c r="F2198" s="64" t="s">
        <v>5234</v>
      </c>
      <c r="G2198" s="64"/>
      <c r="H2198" s="64"/>
      <c r="I2198" s="64">
        <v>0</v>
      </c>
      <c r="J2198" s="32" t="str">
        <f>IF(AND(E2198=1,OR(E2197=0,E2197="")),MAX(#REF!)+1,IF(AND(E2198=1,E2197=1),J2197,""))</f>
        <v/>
      </c>
      <c r="K2198" s="32" t="str">
        <f t="shared" si="133"/>
        <v/>
      </c>
      <c r="L2198" s="32" t="str">
        <f t="shared" si="134"/>
        <v/>
      </c>
      <c r="M2198" s="32" t="str">
        <f t="shared" si="135"/>
        <v/>
      </c>
      <c r="N2198" s="4">
        <v>1</v>
      </c>
      <c r="O2198" s="58">
        <v>0</v>
      </c>
      <c r="P2198" s="58">
        <v>0</v>
      </c>
      <c r="Q2198" s="58">
        <v>0</v>
      </c>
      <c r="R2198" s="58">
        <v>0</v>
      </c>
      <c r="S2198" s="58">
        <v>0</v>
      </c>
      <c r="T2198" s="58">
        <v>0</v>
      </c>
      <c r="U2198" s="58">
        <v>0</v>
      </c>
      <c r="V2198" s="58">
        <v>0</v>
      </c>
      <c r="AG2198" t="s">
        <v>1916</v>
      </c>
      <c r="AM2198" s="1" t="str">
        <f t="shared" si="136"/>
        <v>2196_C0013_1192.jpg</v>
      </c>
    </row>
    <row r="2199" spans="1:39" x14ac:dyDescent="0.35">
      <c r="A2199">
        <v>2195</v>
      </c>
      <c r="B2199">
        <v>2196</v>
      </c>
      <c r="F2199" s="64" t="s">
        <v>5235</v>
      </c>
      <c r="G2199" s="64"/>
      <c r="H2199" s="64"/>
      <c r="I2199" s="64">
        <v>1</v>
      </c>
      <c r="J2199" s="32" t="str">
        <f>IF(AND(E2199=1,OR(E2198=0,E2198="")),MAX(#REF!)+1,IF(AND(E2199=1,E2198=1),J2198,""))</f>
        <v/>
      </c>
      <c r="K2199" s="32" t="str">
        <f t="shared" si="133"/>
        <v/>
      </c>
      <c r="L2199" s="32" t="str">
        <f t="shared" si="134"/>
        <v/>
      </c>
      <c r="M2199" s="32" t="str">
        <f t="shared" si="135"/>
        <v/>
      </c>
      <c r="N2199" s="4">
        <v>1</v>
      </c>
      <c r="O2199" s="58">
        <v>0</v>
      </c>
      <c r="P2199" s="58">
        <v>0</v>
      </c>
      <c r="Q2199" s="58">
        <v>0</v>
      </c>
      <c r="R2199" s="58">
        <v>0</v>
      </c>
      <c r="S2199" s="58">
        <v>0</v>
      </c>
      <c r="T2199" s="58">
        <v>0</v>
      </c>
      <c r="U2199" s="58">
        <v>0</v>
      </c>
      <c r="V2199" s="58">
        <v>0</v>
      </c>
      <c r="AG2199" t="s">
        <v>1917</v>
      </c>
      <c r="AM2199" s="1" t="str">
        <f t="shared" si="136"/>
        <v>2197_C0013_1188.jpg</v>
      </c>
    </row>
    <row r="2200" spans="1:39" x14ac:dyDescent="0.35">
      <c r="A2200">
        <v>2196</v>
      </c>
      <c r="B2200">
        <v>2197</v>
      </c>
      <c r="F2200" s="64" t="s">
        <v>5236</v>
      </c>
      <c r="G2200" s="64"/>
      <c r="H2200" s="64"/>
      <c r="I2200" s="64">
        <v>1</v>
      </c>
      <c r="J2200" s="32" t="str">
        <f>IF(AND(E2200=1,OR(E2199=0,E2199="")),MAX(#REF!)+1,IF(AND(E2200=1,E2199=1),J2199,""))</f>
        <v/>
      </c>
      <c r="K2200" s="32" t="str">
        <f t="shared" si="133"/>
        <v/>
      </c>
      <c r="L2200" s="32" t="str">
        <f t="shared" si="134"/>
        <v/>
      </c>
      <c r="M2200" s="32" t="str">
        <f t="shared" si="135"/>
        <v/>
      </c>
      <c r="N2200" s="4">
        <v>1</v>
      </c>
      <c r="O2200" s="58">
        <v>0</v>
      </c>
      <c r="P2200" s="58">
        <v>0</v>
      </c>
      <c r="Q2200" s="58">
        <v>0</v>
      </c>
      <c r="R2200" s="58">
        <v>0</v>
      </c>
      <c r="S2200" s="58">
        <v>0</v>
      </c>
      <c r="T2200" s="58">
        <v>0</v>
      </c>
      <c r="U2200" s="58">
        <v>0</v>
      </c>
      <c r="V2200" s="58">
        <v>0</v>
      </c>
      <c r="AG2200" t="s">
        <v>1918</v>
      </c>
      <c r="AM2200" s="1" t="str">
        <f t="shared" si="136"/>
        <v>2198_C0013_1185.jpg</v>
      </c>
    </row>
    <row r="2201" spans="1:39" x14ac:dyDescent="0.35">
      <c r="A2201">
        <v>2197</v>
      </c>
      <c r="B2201">
        <v>2198</v>
      </c>
      <c r="F2201" s="64" t="s">
        <v>5237</v>
      </c>
      <c r="G2201" s="64"/>
      <c r="H2201" s="64"/>
      <c r="I2201" s="64">
        <v>0</v>
      </c>
      <c r="J2201" s="32" t="str">
        <f>IF(AND(E2201=1,OR(E2200=0,E2200="")),MAX(#REF!)+1,IF(AND(E2201=1,E2200=1),J2200,""))</f>
        <v/>
      </c>
      <c r="K2201" s="32" t="str">
        <f t="shared" si="133"/>
        <v/>
      </c>
      <c r="L2201" s="32" t="str">
        <f t="shared" si="134"/>
        <v/>
      </c>
      <c r="M2201" s="32" t="str">
        <f t="shared" si="135"/>
        <v/>
      </c>
      <c r="N2201" s="4">
        <v>1</v>
      </c>
      <c r="O2201" s="58">
        <v>0</v>
      </c>
      <c r="P2201" s="58">
        <v>0</v>
      </c>
      <c r="Q2201" s="58">
        <v>0</v>
      </c>
      <c r="R2201" s="58">
        <v>0</v>
      </c>
      <c r="S2201" s="58">
        <v>0</v>
      </c>
      <c r="T2201" s="58">
        <v>0</v>
      </c>
      <c r="U2201" s="58">
        <v>0</v>
      </c>
      <c r="V2201" s="58">
        <v>0</v>
      </c>
      <c r="AG2201" t="s">
        <v>1919</v>
      </c>
      <c r="AM2201" s="1" t="str">
        <f t="shared" si="136"/>
        <v>2199_C0013_1182.jpg</v>
      </c>
    </row>
    <row r="2202" spans="1:39" x14ac:dyDescent="0.35">
      <c r="A2202">
        <v>2198</v>
      </c>
      <c r="B2202">
        <v>2199</v>
      </c>
      <c r="F2202" s="64" t="s">
        <v>5238</v>
      </c>
      <c r="G2202" s="64"/>
      <c r="H2202" s="64"/>
      <c r="I2202" s="64">
        <v>0</v>
      </c>
      <c r="J2202" s="32" t="str">
        <f>IF(AND(E2202=1,OR(E2201=0,E2201="")),MAX(#REF!)+1,IF(AND(E2202=1,E2201=1),J2201,""))</f>
        <v/>
      </c>
      <c r="K2202" s="32" t="str">
        <f t="shared" si="133"/>
        <v/>
      </c>
      <c r="L2202" s="32" t="str">
        <f t="shared" si="134"/>
        <v/>
      </c>
      <c r="M2202" s="32" t="str">
        <f t="shared" si="135"/>
        <v/>
      </c>
      <c r="N2202" s="4">
        <v>2</v>
      </c>
      <c r="O2202" s="58">
        <v>0</v>
      </c>
      <c r="P2202" s="58">
        <v>0</v>
      </c>
      <c r="Q2202" s="58">
        <v>0</v>
      </c>
      <c r="R2202" s="58">
        <v>1</v>
      </c>
      <c r="S2202" s="58">
        <v>0</v>
      </c>
      <c r="T2202" s="58">
        <v>0</v>
      </c>
      <c r="U2202" s="58">
        <v>0</v>
      </c>
      <c r="V2202" s="58">
        <v>0</v>
      </c>
      <c r="AG2202" t="s">
        <v>1920</v>
      </c>
      <c r="AM2202" s="1" t="str">
        <f t="shared" si="136"/>
        <v>2200_C0013_1178.jpg</v>
      </c>
    </row>
    <row r="2203" spans="1:39" x14ac:dyDescent="0.35">
      <c r="A2203">
        <v>2199</v>
      </c>
      <c r="B2203">
        <v>2200</v>
      </c>
      <c r="F2203" s="64" t="s">
        <v>5239</v>
      </c>
      <c r="G2203" s="64"/>
      <c r="H2203" s="64"/>
      <c r="I2203" s="64">
        <v>0</v>
      </c>
      <c r="J2203" s="32" t="str">
        <f>IF(AND(E2203=1,OR(E2202=0,E2202="")),MAX(#REF!)+1,IF(AND(E2203=1,E2202=1),J2202,""))</f>
        <v/>
      </c>
      <c r="K2203" s="32" t="str">
        <f t="shared" si="133"/>
        <v/>
      </c>
      <c r="L2203" s="32" t="str">
        <f t="shared" si="134"/>
        <v/>
      </c>
      <c r="M2203" s="32" t="str">
        <f t="shared" si="135"/>
        <v/>
      </c>
      <c r="N2203" s="4">
        <v>2</v>
      </c>
      <c r="O2203" s="58">
        <v>0</v>
      </c>
      <c r="P2203" s="58">
        <v>0</v>
      </c>
      <c r="Q2203" s="58">
        <v>1</v>
      </c>
      <c r="R2203" s="58">
        <v>0</v>
      </c>
      <c r="S2203" s="58">
        <v>0</v>
      </c>
      <c r="T2203" s="58">
        <v>0</v>
      </c>
      <c r="U2203" s="58">
        <v>0</v>
      </c>
      <c r="V2203" s="58" t="s">
        <v>6905</v>
      </c>
      <c r="AG2203" t="s">
        <v>1921</v>
      </c>
      <c r="AM2203" s="1" t="str">
        <f t="shared" si="136"/>
        <v>2201_C0013_1176.jpg</v>
      </c>
    </row>
    <row r="2204" spans="1:39" x14ac:dyDescent="0.35">
      <c r="A2204">
        <v>2200</v>
      </c>
      <c r="B2204">
        <v>2201</v>
      </c>
      <c r="F2204" s="64" t="s">
        <v>5240</v>
      </c>
      <c r="G2204" s="64"/>
      <c r="H2204" s="64"/>
      <c r="I2204" s="64">
        <v>1</v>
      </c>
      <c r="J2204" s="32" t="str">
        <f>IF(AND(E2204=1,OR(E2203=0,E2203="")),MAX(#REF!)+1,IF(AND(E2204=1,E2203=1),J2203,""))</f>
        <v/>
      </c>
      <c r="K2204" s="32" t="str">
        <f t="shared" si="133"/>
        <v/>
      </c>
      <c r="L2204" s="32" t="str">
        <f t="shared" si="134"/>
        <v/>
      </c>
      <c r="M2204" s="32" t="str">
        <f t="shared" si="135"/>
        <v/>
      </c>
      <c r="N2204" s="4">
        <v>2</v>
      </c>
      <c r="O2204" s="58">
        <v>0</v>
      </c>
      <c r="P2204" s="58">
        <v>0</v>
      </c>
      <c r="Q2204" s="58">
        <v>0</v>
      </c>
      <c r="R2204" s="58">
        <v>0</v>
      </c>
      <c r="S2204" s="58">
        <v>0</v>
      </c>
      <c r="T2204" s="58">
        <v>0</v>
      </c>
      <c r="U2204" s="58">
        <v>0</v>
      </c>
      <c r="V2204" s="58">
        <v>0</v>
      </c>
      <c r="AG2204" t="s">
        <v>1922</v>
      </c>
      <c r="AM2204" s="1" t="str">
        <f t="shared" si="136"/>
        <v>2202_C0013_1173.jpg</v>
      </c>
    </row>
    <row r="2205" spans="1:39" x14ac:dyDescent="0.35">
      <c r="A2205">
        <v>2201</v>
      </c>
      <c r="B2205">
        <v>2202</v>
      </c>
      <c r="F2205" s="64" t="s">
        <v>5241</v>
      </c>
      <c r="G2205" s="64"/>
      <c r="H2205" s="64"/>
      <c r="I2205" s="64">
        <v>0</v>
      </c>
      <c r="J2205" s="32" t="str">
        <f>IF(AND(E2205=1,OR(E2204=0,E2204="")),MAX(#REF!)+1,IF(AND(E2205=1,E2204=1),J2204,""))</f>
        <v/>
      </c>
      <c r="K2205" s="32" t="str">
        <f t="shared" si="133"/>
        <v/>
      </c>
      <c r="L2205" s="32" t="str">
        <f t="shared" si="134"/>
        <v/>
      </c>
      <c r="M2205" s="32" t="str">
        <f t="shared" si="135"/>
        <v/>
      </c>
      <c r="N2205" s="4">
        <v>2</v>
      </c>
      <c r="O2205" s="58">
        <v>0</v>
      </c>
      <c r="P2205" s="58">
        <v>0</v>
      </c>
      <c r="Q2205" s="58">
        <v>0</v>
      </c>
      <c r="R2205" s="58">
        <v>0</v>
      </c>
      <c r="S2205" s="58">
        <v>0</v>
      </c>
      <c r="T2205" s="58">
        <v>0</v>
      </c>
      <c r="U2205" s="58">
        <v>0</v>
      </c>
      <c r="V2205" s="58">
        <v>0</v>
      </c>
      <c r="AG2205" t="s">
        <v>1923</v>
      </c>
      <c r="AM2205" s="1" t="str">
        <f t="shared" si="136"/>
        <v>2203_C0013_1170.jpg</v>
      </c>
    </row>
    <row r="2206" spans="1:39" x14ac:dyDescent="0.35">
      <c r="A2206">
        <v>2202</v>
      </c>
      <c r="B2206">
        <v>2203</v>
      </c>
      <c r="F2206" s="64" t="s">
        <v>5242</v>
      </c>
      <c r="G2206" s="64"/>
      <c r="H2206" s="64"/>
      <c r="I2206" s="64">
        <v>1</v>
      </c>
      <c r="J2206" s="32" t="str">
        <f>IF(AND(E2206=1,OR(E2205=0,E2205="")),MAX(#REF!)+1,IF(AND(E2206=1,E2205=1),J2205,""))</f>
        <v/>
      </c>
      <c r="K2206" s="32" t="str">
        <f t="shared" si="133"/>
        <v/>
      </c>
      <c r="L2206" s="32" t="str">
        <f t="shared" si="134"/>
        <v/>
      </c>
      <c r="M2206" s="32" t="str">
        <f t="shared" si="135"/>
        <v/>
      </c>
      <c r="N2206" s="4">
        <v>2</v>
      </c>
      <c r="O2206" s="58">
        <v>0</v>
      </c>
      <c r="P2206" s="58">
        <v>0</v>
      </c>
      <c r="Q2206" s="58">
        <v>0</v>
      </c>
      <c r="R2206" s="58">
        <v>0</v>
      </c>
      <c r="S2206" s="58">
        <v>0</v>
      </c>
      <c r="T2206" s="58">
        <v>0</v>
      </c>
      <c r="U2206" s="58">
        <v>0</v>
      </c>
      <c r="V2206" s="58">
        <v>0</v>
      </c>
      <c r="AG2206" t="s">
        <v>1924</v>
      </c>
      <c r="AM2206" s="1" t="str">
        <f t="shared" si="136"/>
        <v>2204_C0013_1167.jpg</v>
      </c>
    </row>
    <row r="2207" spans="1:39" x14ac:dyDescent="0.35">
      <c r="A2207">
        <v>2203</v>
      </c>
      <c r="B2207">
        <v>2204</v>
      </c>
      <c r="F2207" s="64" t="s">
        <v>5243</v>
      </c>
      <c r="G2207" s="64"/>
      <c r="H2207" s="64"/>
      <c r="I2207" s="64">
        <v>0</v>
      </c>
      <c r="J2207" s="32" t="str">
        <f>IF(AND(E2207=1,OR(E2206=0,E2206="")),MAX(#REF!)+1,IF(AND(E2207=1,E2206=1),J2206,""))</f>
        <v/>
      </c>
      <c r="K2207" s="32" t="str">
        <f t="shared" ref="K2207:K2270" si="137">IF(J2207="","",COUNTIF(J:J,J2207)*10)</f>
        <v/>
      </c>
      <c r="L2207" s="32" t="str">
        <f t="shared" si="134"/>
        <v/>
      </c>
      <c r="M2207" s="32" t="str">
        <f t="shared" si="135"/>
        <v/>
      </c>
      <c r="N2207" s="4">
        <v>2</v>
      </c>
      <c r="O2207" s="58">
        <v>0</v>
      </c>
      <c r="P2207" s="58">
        <v>0</v>
      </c>
      <c r="Q2207" s="58">
        <v>0</v>
      </c>
      <c r="R2207" s="58">
        <v>0</v>
      </c>
      <c r="S2207" s="58">
        <v>0</v>
      </c>
      <c r="T2207" s="58">
        <v>0</v>
      </c>
      <c r="U2207" s="58">
        <v>0</v>
      </c>
      <c r="V2207" s="58">
        <v>0</v>
      </c>
      <c r="AG2207" t="s">
        <v>1925</v>
      </c>
      <c r="AM2207" s="1" t="str">
        <f t="shared" si="136"/>
        <v>2205_C0013_1164.jpg</v>
      </c>
    </row>
    <row r="2208" spans="1:39" x14ac:dyDescent="0.35">
      <c r="A2208">
        <v>2204</v>
      </c>
      <c r="B2208">
        <v>2205</v>
      </c>
      <c r="F2208" s="64" t="s">
        <v>5244</v>
      </c>
      <c r="G2208" s="64"/>
      <c r="H2208" s="64"/>
      <c r="I2208" s="64">
        <v>0</v>
      </c>
      <c r="J2208" s="32" t="str">
        <f>IF(AND(E2208=1,OR(E2207=0,E2207="")),MAX(#REF!)+1,IF(AND(E2208=1,E2207=1),J2207,""))</f>
        <v/>
      </c>
      <c r="K2208" s="32" t="str">
        <f t="shared" si="137"/>
        <v/>
      </c>
      <c r="L2208" s="32" t="str">
        <f t="shared" si="134"/>
        <v/>
      </c>
      <c r="M2208" s="32" t="str">
        <f t="shared" si="135"/>
        <v/>
      </c>
      <c r="N2208" s="4">
        <v>2</v>
      </c>
      <c r="O2208" s="58">
        <v>0</v>
      </c>
      <c r="P2208" s="58">
        <v>0</v>
      </c>
      <c r="Q2208" s="58">
        <v>0</v>
      </c>
      <c r="R2208" s="58">
        <v>0</v>
      </c>
      <c r="S2208" s="58">
        <v>0</v>
      </c>
      <c r="T2208" s="58">
        <v>0</v>
      </c>
      <c r="U2208" s="58">
        <v>0</v>
      </c>
      <c r="V2208" s="58">
        <v>0</v>
      </c>
      <c r="AG2208" t="s">
        <v>1926</v>
      </c>
      <c r="AM2208" s="1" t="str">
        <f t="shared" si="136"/>
        <v>2206_C0013_1160.jpg</v>
      </c>
    </row>
    <row r="2209" spans="1:39" x14ac:dyDescent="0.35">
      <c r="A2209">
        <v>2205</v>
      </c>
      <c r="B2209">
        <v>2206</v>
      </c>
      <c r="F2209" s="64" t="s">
        <v>5245</v>
      </c>
      <c r="G2209" s="64"/>
      <c r="H2209" s="64"/>
      <c r="I2209" s="64">
        <v>0</v>
      </c>
      <c r="J2209" s="32" t="str">
        <f>IF(AND(E2209=1,OR(E2208=0,E2208="")),MAX(#REF!)+1,IF(AND(E2209=1,E2208=1),J2208,""))</f>
        <v/>
      </c>
      <c r="K2209" s="32" t="str">
        <f t="shared" si="137"/>
        <v/>
      </c>
      <c r="L2209" s="32" t="str">
        <f t="shared" si="134"/>
        <v/>
      </c>
      <c r="M2209" s="32" t="str">
        <f t="shared" si="135"/>
        <v/>
      </c>
      <c r="N2209" s="4">
        <v>2</v>
      </c>
      <c r="O2209" s="58">
        <v>0</v>
      </c>
      <c r="P2209" s="58">
        <v>0</v>
      </c>
      <c r="Q2209" s="58">
        <v>0</v>
      </c>
      <c r="R2209" s="58">
        <v>0</v>
      </c>
      <c r="S2209" s="58">
        <v>0</v>
      </c>
      <c r="T2209" s="58">
        <v>0</v>
      </c>
      <c r="U2209" s="58">
        <v>0</v>
      </c>
      <c r="V2209" s="58">
        <v>0</v>
      </c>
      <c r="AG2209" t="s">
        <v>1927</v>
      </c>
      <c r="AM2209" s="1" t="str">
        <f t="shared" si="136"/>
        <v>2207_C0013_1157.jpg</v>
      </c>
    </row>
    <row r="2210" spans="1:39" x14ac:dyDescent="0.35">
      <c r="A2210">
        <v>2206</v>
      </c>
      <c r="B2210">
        <v>2207</v>
      </c>
      <c r="F2210" s="64" t="s">
        <v>5246</v>
      </c>
      <c r="G2210" s="64"/>
      <c r="H2210" s="64"/>
      <c r="I2210" s="64">
        <v>1</v>
      </c>
      <c r="J2210" s="32" t="str">
        <f>IF(AND(E2210=1,OR(E2209=0,E2209="")),MAX(#REF!)+1,IF(AND(E2210=1,E2209=1),J2209,""))</f>
        <v/>
      </c>
      <c r="K2210" s="32" t="str">
        <f t="shared" si="137"/>
        <v/>
      </c>
      <c r="L2210" s="32" t="str">
        <f t="shared" si="134"/>
        <v/>
      </c>
      <c r="M2210" s="32" t="str">
        <f t="shared" si="135"/>
        <v/>
      </c>
      <c r="N2210" s="4">
        <v>2</v>
      </c>
      <c r="O2210" s="58">
        <v>0</v>
      </c>
      <c r="P2210" s="58">
        <v>0</v>
      </c>
      <c r="Q2210" s="58">
        <v>0</v>
      </c>
      <c r="R2210" s="58">
        <v>0</v>
      </c>
      <c r="S2210" s="58">
        <v>0</v>
      </c>
      <c r="T2210" s="58">
        <v>0</v>
      </c>
      <c r="U2210" s="58">
        <v>0</v>
      </c>
      <c r="V2210" s="58">
        <v>0</v>
      </c>
      <c r="AG2210" t="s">
        <v>1928</v>
      </c>
      <c r="AM2210" s="1" t="str">
        <f t="shared" si="136"/>
        <v>2208_C0013_1154.jpg</v>
      </c>
    </row>
    <row r="2211" spans="1:39" x14ac:dyDescent="0.35">
      <c r="A2211">
        <v>2207</v>
      </c>
      <c r="B2211">
        <v>2208</v>
      </c>
      <c r="F2211" s="64" t="s">
        <v>5247</v>
      </c>
      <c r="G2211" s="64"/>
      <c r="H2211" s="64"/>
      <c r="I2211" s="64">
        <v>0</v>
      </c>
      <c r="J2211" s="32">
        <v>178</v>
      </c>
      <c r="K2211" s="32">
        <f t="shared" si="137"/>
        <v>10</v>
      </c>
      <c r="L2211" s="32" t="str">
        <f t="shared" si="134"/>
        <v/>
      </c>
      <c r="M2211" s="32">
        <f t="shared" si="135"/>
        <v>100</v>
      </c>
      <c r="N2211" s="4">
        <v>2</v>
      </c>
      <c r="O2211" s="58">
        <v>0</v>
      </c>
      <c r="P2211" s="58">
        <v>0</v>
      </c>
      <c r="Q2211" s="58">
        <v>0</v>
      </c>
      <c r="R2211" s="58">
        <v>0</v>
      </c>
      <c r="S2211" s="58">
        <v>0</v>
      </c>
      <c r="T2211" s="58">
        <v>0</v>
      </c>
      <c r="U2211" s="58">
        <v>0</v>
      </c>
      <c r="V2211" s="58">
        <v>0</v>
      </c>
      <c r="AG2211" t="s">
        <v>1929</v>
      </c>
      <c r="AM2211" s="1" t="str">
        <f t="shared" si="136"/>
        <v>2209_C0013_1151.jpg</v>
      </c>
    </row>
    <row r="2212" spans="1:39" x14ac:dyDescent="0.35">
      <c r="A2212">
        <v>2208</v>
      </c>
      <c r="B2212">
        <v>2209</v>
      </c>
      <c r="F2212" s="64" t="s">
        <v>5248</v>
      </c>
      <c r="G2212" s="64"/>
      <c r="H2212" s="64"/>
      <c r="I2212" s="64">
        <v>0</v>
      </c>
      <c r="J2212" s="32" t="str">
        <f>IF(AND(E2212=1,OR(E2211=0,E2211="")),MAX(#REF!)+1,IF(AND(E2212=1,E2211=1),J2211,""))</f>
        <v/>
      </c>
      <c r="K2212" s="32" t="str">
        <f t="shared" si="137"/>
        <v/>
      </c>
      <c r="L2212" s="32" t="str">
        <f t="shared" si="134"/>
        <v/>
      </c>
      <c r="M2212" s="32" t="str">
        <f t="shared" si="135"/>
        <v/>
      </c>
      <c r="N2212" s="4">
        <v>2</v>
      </c>
      <c r="O2212" s="58">
        <v>0</v>
      </c>
      <c r="P2212" s="58">
        <v>0</v>
      </c>
      <c r="Q2212" s="58">
        <v>0</v>
      </c>
      <c r="R2212" s="58">
        <v>0</v>
      </c>
      <c r="S2212" s="58">
        <v>0</v>
      </c>
      <c r="T2212" s="58">
        <v>0</v>
      </c>
      <c r="U2212" s="58">
        <v>0</v>
      </c>
      <c r="V2212" s="58">
        <v>0</v>
      </c>
      <c r="AG2212" t="s">
        <v>1930</v>
      </c>
      <c r="AM2212" s="1" t="str">
        <f t="shared" si="136"/>
        <v>2210_C0013_1148.jpg</v>
      </c>
    </row>
    <row r="2213" spans="1:39" x14ac:dyDescent="0.35">
      <c r="A2213">
        <v>2209</v>
      </c>
      <c r="B2213">
        <v>2210</v>
      </c>
      <c r="F2213" s="64" t="s">
        <v>5249</v>
      </c>
      <c r="G2213" s="64"/>
      <c r="H2213" s="64"/>
      <c r="I2213" s="64">
        <v>0</v>
      </c>
      <c r="J2213" s="32" t="str">
        <f>IF(AND(E2213=1,OR(E2212=0,E2212="")),MAX(#REF!)+1,IF(AND(E2213=1,E2212=1),J2212,""))</f>
        <v/>
      </c>
      <c r="K2213" s="32" t="str">
        <f t="shared" si="137"/>
        <v/>
      </c>
      <c r="L2213" s="32" t="str">
        <f t="shared" si="134"/>
        <v/>
      </c>
      <c r="M2213" s="32" t="str">
        <f t="shared" si="135"/>
        <v/>
      </c>
      <c r="N2213" s="4">
        <v>2</v>
      </c>
      <c r="O2213" s="58">
        <v>0</v>
      </c>
      <c r="P2213" s="58">
        <v>0</v>
      </c>
      <c r="Q2213" s="58">
        <v>0</v>
      </c>
      <c r="R2213" s="58">
        <v>0</v>
      </c>
      <c r="S2213" s="58">
        <v>0</v>
      </c>
      <c r="T2213" s="58">
        <v>0</v>
      </c>
      <c r="U2213" s="58">
        <v>0</v>
      </c>
      <c r="V2213" s="58">
        <v>0</v>
      </c>
      <c r="AG2213" t="s">
        <v>1931</v>
      </c>
      <c r="AM2213" s="1" t="str">
        <f t="shared" si="136"/>
        <v>2211_C0013_1145.jpg</v>
      </c>
    </row>
    <row r="2214" spans="1:39" x14ac:dyDescent="0.35">
      <c r="A2214">
        <v>2210</v>
      </c>
      <c r="B2214">
        <v>2211</v>
      </c>
      <c r="F2214" s="64" t="s">
        <v>5250</v>
      </c>
      <c r="G2214" s="64"/>
      <c r="H2214" s="64"/>
      <c r="I2214" s="64">
        <v>1</v>
      </c>
      <c r="J2214" s="32" t="str">
        <f>IF(AND(E2214=1,OR(E2213=0,E2213="")),MAX(#REF!)+1,IF(AND(E2214=1,E2213=1),J2213,""))</f>
        <v/>
      </c>
      <c r="K2214" s="32" t="str">
        <f t="shared" si="137"/>
        <v/>
      </c>
      <c r="L2214" s="32" t="str">
        <f t="shared" si="134"/>
        <v/>
      </c>
      <c r="M2214" s="32" t="str">
        <f t="shared" si="135"/>
        <v/>
      </c>
      <c r="N2214" s="4">
        <v>1</v>
      </c>
      <c r="O2214" s="58">
        <v>0</v>
      </c>
      <c r="P2214" s="58">
        <v>0</v>
      </c>
      <c r="Q2214" s="58">
        <v>0</v>
      </c>
      <c r="R2214" s="58">
        <v>0</v>
      </c>
      <c r="S2214" s="58">
        <v>0</v>
      </c>
      <c r="T2214" s="58">
        <v>0</v>
      </c>
      <c r="U2214" s="58">
        <v>0</v>
      </c>
      <c r="V2214" s="58">
        <v>0</v>
      </c>
      <c r="AG2214" t="s">
        <v>1932</v>
      </c>
      <c r="AM2214" s="1" t="str">
        <f t="shared" si="136"/>
        <v>2212_C0013_1142.jpg</v>
      </c>
    </row>
    <row r="2215" spans="1:39" x14ac:dyDescent="0.35">
      <c r="A2215">
        <v>2211</v>
      </c>
      <c r="B2215">
        <v>2212</v>
      </c>
      <c r="F2215" s="64" t="s">
        <v>5251</v>
      </c>
      <c r="G2215" s="64"/>
      <c r="H2215" s="64"/>
      <c r="I2215" s="64">
        <v>0</v>
      </c>
      <c r="J2215" s="32" t="str">
        <f>IF(AND(E2215=1,OR(E2214=0,E2214="")),MAX(#REF!)+1,IF(AND(E2215=1,E2214=1),J2214,""))</f>
        <v/>
      </c>
      <c r="K2215" s="32" t="str">
        <f t="shared" si="137"/>
        <v/>
      </c>
      <c r="L2215" s="32" t="str">
        <f t="shared" si="134"/>
        <v/>
      </c>
      <c r="M2215" s="32" t="str">
        <f t="shared" si="135"/>
        <v/>
      </c>
      <c r="N2215" s="4">
        <v>1</v>
      </c>
      <c r="O2215" s="58">
        <v>0</v>
      </c>
      <c r="P2215" s="58">
        <v>0</v>
      </c>
      <c r="Q2215" s="58">
        <v>0</v>
      </c>
      <c r="R2215" s="58">
        <v>0</v>
      </c>
      <c r="S2215" s="58">
        <v>0</v>
      </c>
      <c r="T2215" s="58">
        <v>0</v>
      </c>
      <c r="U2215" s="58">
        <v>0</v>
      </c>
      <c r="V2215" s="58">
        <v>0</v>
      </c>
      <c r="AG2215" t="s">
        <v>1933</v>
      </c>
      <c r="AM2215" s="1" t="str">
        <f t="shared" si="136"/>
        <v>2213_C0013_1139.jpg</v>
      </c>
    </row>
    <row r="2216" spans="1:39" x14ac:dyDescent="0.35">
      <c r="A2216">
        <v>2212</v>
      </c>
      <c r="B2216">
        <v>2213</v>
      </c>
      <c r="F2216" s="64" t="s">
        <v>5252</v>
      </c>
      <c r="G2216" s="64"/>
      <c r="H2216" s="64"/>
      <c r="I2216" s="64">
        <v>1</v>
      </c>
      <c r="J2216" s="32" t="str">
        <f>IF(AND(E2216=1,OR(E2215=0,E2215="")),MAX(#REF!)+1,IF(AND(E2216=1,E2215=1),J2215,""))</f>
        <v/>
      </c>
      <c r="K2216" s="32" t="str">
        <f t="shared" si="137"/>
        <v/>
      </c>
      <c r="L2216" s="32" t="str">
        <f t="shared" si="134"/>
        <v/>
      </c>
      <c r="M2216" s="32" t="str">
        <f t="shared" si="135"/>
        <v/>
      </c>
      <c r="N2216" s="4">
        <v>1</v>
      </c>
      <c r="O2216" s="58">
        <v>0</v>
      </c>
      <c r="P2216" s="58">
        <v>0</v>
      </c>
      <c r="Q2216" s="58">
        <v>0</v>
      </c>
      <c r="R2216" s="58">
        <v>0</v>
      </c>
      <c r="S2216" s="58">
        <v>0</v>
      </c>
      <c r="T2216" s="58">
        <v>0</v>
      </c>
      <c r="U2216" s="58">
        <v>0</v>
      </c>
      <c r="V2216" s="58">
        <v>0</v>
      </c>
      <c r="AG2216" t="s">
        <v>1934</v>
      </c>
      <c r="AM2216" s="1" t="str">
        <f t="shared" si="136"/>
        <v>2214_C0013_1136.jpg</v>
      </c>
    </row>
    <row r="2217" spans="1:39" x14ac:dyDescent="0.35">
      <c r="A2217">
        <v>2213</v>
      </c>
      <c r="B2217">
        <v>2214</v>
      </c>
      <c r="F2217" s="64" t="s">
        <v>5253</v>
      </c>
      <c r="G2217" s="64"/>
      <c r="H2217" s="64"/>
      <c r="I2217" s="64">
        <v>1</v>
      </c>
      <c r="J2217" s="32" t="str">
        <f>IF(AND(E2217=1,OR(E2216=0,E2216="")),MAX(#REF!)+1,IF(AND(E2217=1,E2216=1),J2216,""))</f>
        <v/>
      </c>
      <c r="K2217" s="32" t="str">
        <f t="shared" si="137"/>
        <v/>
      </c>
      <c r="L2217" s="32" t="str">
        <f t="shared" si="134"/>
        <v/>
      </c>
      <c r="M2217" s="32" t="str">
        <f t="shared" si="135"/>
        <v/>
      </c>
      <c r="N2217" s="4">
        <v>1</v>
      </c>
      <c r="O2217" s="58">
        <v>0</v>
      </c>
      <c r="P2217" s="58">
        <v>0</v>
      </c>
      <c r="Q2217" s="58">
        <v>0</v>
      </c>
      <c r="R2217" s="58">
        <v>0</v>
      </c>
      <c r="S2217" s="58">
        <v>0</v>
      </c>
      <c r="T2217" s="58">
        <v>0</v>
      </c>
      <c r="U2217" s="58">
        <v>0</v>
      </c>
      <c r="V2217" s="58">
        <v>0</v>
      </c>
      <c r="AG2217" t="s">
        <v>1935</v>
      </c>
      <c r="AM2217" s="1" t="str">
        <f t="shared" si="136"/>
        <v>2215_C0013_1131.jpg</v>
      </c>
    </row>
    <row r="2218" spans="1:39" x14ac:dyDescent="0.35">
      <c r="A2218">
        <v>2214</v>
      </c>
      <c r="B2218">
        <v>2215</v>
      </c>
      <c r="F2218" s="64" t="s">
        <v>5254</v>
      </c>
      <c r="G2218" s="64"/>
      <c r="H2218" s="64"/>
      <c r="I2218" s="64">
        <v>1</v>
      </c>
      <c r="J2218" s="32" t="str">
        <f>IF(AND(E2218=1,OR(E2217=0,E2217="")),MAX(#REF!)+1,IF(AND(E2218=1,E2217=1),J2217,""))</f>
        <v/>
      </c>
      <c r="K2218" s="32" t="str">
        <f t="shared" si="137"/>
        <v/>
      </c>
      <c r="L2218" s="32" t="str">
        <f t="shared" si="134"/>
        <v/>
      </c>
      <c r="M2218" s="32" t="str">
        <f t="shared" si="135"/>
        <v/>
      </c>
      <c r="N2218" s="4">
        <v>1</v>
      </c>
      <c r="O2218" s="58">
        <v>0</v>
      </c>
      <c r="P2218" s="58">
        <v>0</v>
      </c>
      <c r="Q2218" s="58">
        <v>0</v>
      </c>
      <c r="R2218" s="58">
        <v>0</v>
      </c>
      <c r="S2218" s="58">
        <v>0</v>
      </c>
      <c r="T2218" s="58">
        <v>0</v>
      </c>
      <c r="U2218" s="58">
        <v>0</v>
      </c>
      <c r="V2218" s="58">
        <v>0</v>
      </c>
      <c r="AG2218" t="s">
        <v>1936</v>
      </c>
      <c r="AM2218" s="1" t="str">
        <f t="shared" si="136"/>
        <v>2216_C0013_1126.jpg</v>
      </c>
    </row>
    <row r="2219" spans="1:39" x14ac:dyDescent="0.35">
      <c r="A2219">
        <v>2215</v>
      </c>
      <c r="B2219">
        <v>2216</v>
      </c>
      <c r="F2219" s="64" t="s">
        <v>5255</v>
      </c>
      <c r="G2219" s="64"/>
      <c r="H2219" s="64"/>
      <c r="I2219" s="64">
        <v>1</v>
      </c>
      <c r="J2219" s="32" t="str">
        <f>IF(AND(E2219=1,OR(E2218=0,E2218="")),MAX(#REF!)+1,IF(AND(E2219=1,E2218=1),J2218,""))</f>
        <v/>
      </c>
      <c r="K2219" s="32" t="str">
        <f t="shared" si="137"/>
        <v/>
      </c>
      <c r="L2219" s="32" t="str">
        <f t="shared" si="134"/>
        <v/>
      </c>
      <c r="M2219" s="32" t="str">
        <f t="shared" si="135"/>
        <v/>
      </c>
      <c r="N2219" s="4">
        <v>1</v>
      </c>
      <c r="O2219" s="58">
        <v>0</v>
      </c>
      <c r="P2219" s="58">
        <v>0</v>
      </c>
      <c r="Q2219" s="58">
        <v>0</v>
      </c>
      <c r="R2219" s="58">
        <v>0</v>
      </c>
      <c r="S2219" s="58">
        <v>0</v>
      </c>
      <c r="T2219" s="58">
        <v>0</v>
      </c>
      <c r="U2219" s="58">
        <v>0</v>
      </c>
      <c r="V2219" s="58">
        <v>0</v>
      </c>
      <c r="AG2219" t="s">
        <v>1937</v>
      </c>
      <c r="AM2219" s="1" t="str">
        <f t="shared" si="136"/>
        <v>2217_C0013_1122.jpg</v>
      </c>
    </row>
    <row r="2220" spans="1:39" x14ac:dyDescent="0.35">
      <c r="A2220">
        <v>2216</v>
      </c>
      <c r="B2220">
        <v>2217</v>
      </c>
      <c r="F2220" s="64" t="s">
        <v>5256</v>
      </c>
      <c r="G2220" s="64"/>
      <c r="H2220" s="64"/>
      <c r="I2220" s="64">
        <v>1</v>
      </c>
      <c r="J2220" s="32" t="str">
        <f>IF(AND(E2220=1,OR(E2219=0,E2219="")),MAX(#REF!)+1,IF(AND(E2220=1,E2219=1),J2219,""))</f>
        <v/>
      </c>
      <c r="K2220" s="32" t="str">
        <f t="shared" si="137"/>
        <v/>
      </c>
      <c r="L2220" s="32" t="str">
        <f t="shared" si="134"/>
        <v/>
      </c>
      <c r="M2220" s="32" t="str">
        <f t="shared" si="135"/>
        <v/>
      </c>
      <c r="N2220" s="4">
        <v>1</v>
      </c>
      <c r="O2220" s="58">
        <v>0</v>
      </c>
      <c r="P2220" s="58">
        <v>0</v>
      </c>
      <c r="Q2220" s="58">
        <v>0</v>
      </c>
      <c r="R2220" s="58">
        <v>0</v>
      </c>
      <c r="S2220" s="58">
        <v>0</v>
      </c>
      <c r="T2220" s="58">
        <v>0</v>
      </c>
      <c r="U2220" s="58">
        <v>0</v>
      </c>
      <c r="V2220" s="58">
        <v>0</v>
      </c>
      <c r="AG2220" t="s">
        <v>1938</v>
      </c>
      <c r="AM2220" s="1" t="str">
        <f t="shared" si="136"/>
        <v>2218_C0013_1118.jpg</v>
      </c>
    </row>
    <row r="2221" spans="1:39" x14ac:dyDescent="0.35">
      <c r="A2221">
        <v>2217</v>
      </c>
      <c r="B2221">
        <v>2218</v>
      </c>
      <c r="F2221" s="64" t="s">
        <v>5257</v>
      </c>
      <c r="G2221" s="64"/>
      <c r="H2221" s="64"/>
      <c r="I2221" s="64">
        <v>1</v>
      </c>
      <c r="J2221" s="32" t="str">
        <f>IF(AND(E2221=1,OR(E2220=0,E2220="")),MAX(#REF!)+1,IF(AND(E2221=1,E2220=1),J2220,""))</f>
        <v/>
      </c>
      <c r="K2221" s="32" t="str">
        <f t="shared" si="137"/>
        <v/>
      </c>
      <c r="L2221" s="32" t="str">
        <f t="shared" si="134"/>
        <v/>
      </c>
      <c r="M2221" s="32" t="str">
        <f t="shared" si="135"/>
        <v/>
      </c>
      <c r="N2221" s="4">
        <v>1</v>
      </c>
      <c r="O2221" s="58">
        <v>0</v>
      </c>
      <c r="P2221" s="58">
        <v>0</v>
      </c>
      <c r="Q2221" s="58">
        <v>0</v>
      </c>
      <c r="R2221" s="58">
        <v>0</v>
      </c>
      <c r="S2221" s="58">
        <v>0</v>
      </c>
      <c r="T2221" s="58">
        <v>0</v>
      </c>
      <c r="U2221" s="58">
        <v>0</v>
      </c>
      <c r="V2221" s="58">
        <v>0</v>
      </c>
      <c r="AG2221" t="s">
        <v>1939</v>
      </c>
      <c r="AM2221" s="1" t="str">
        <f t="shared" si="136"/>
        <v>2219_C0013_1113.jpg</v>
      </c>
    </row>
    <row r="2222" spans="1:39" x14ac:dyDescent="0.35">
      <c r="A2222">
        <v>2218</v>
      </c>
      <c r="B2222">
        <v>2219</v>
      </c>
      <c r="F2222" s="64" t="s">
        <v>5258</v>
      </c>
      <c r="G2222" s="64"/>
      <c r="H2222" s="64"/>
      <c r="I2222" s="64">
        <v>1</v>
      </c>
      <c r="J2222" s="32" t="str">
        <f>IF(AND(E2222=1,OR(E2221=0,E2221="")),MAX(#REF!)+1,IF(AND(E2222=1,E2221=1),J2221,""))</f>
        <v/>
      </c>
      <c r="K2222" s="32" t="str">
        <f t="shared" si="137"/>
        <v/>
      </c>
      <c r="L2222" s="32" t="str">
        <f t="shared" si="134"/>
        <v/>
      </c>
      <c r="M2222" s="32" t="str">
        <f t="shared" si="135"/>
        <v/>
      </c>
      <c r="N2222" s="4">
        <v>1</v>
      </c>
      <c r="O2222" s="58">
        <v>0</v>
      </c>
      <c r="P2222" s="58">
        <v>0</v>
      </c>
      <c r="Q2222" s="58">
        <v>0</v>
      </c>
      <c r="R2222" s="58">
        <v>0</v>
      </c>
      <c r="S2222" s="58">
        <v>0</v>
      </c>
      <c r="T2222" s="58">
        <v>0</v>
      </c>
      <c r="U2222" s="58">
        <v>0</v>
      </c>
      <c r="V2222" s="58">
        <v>0</v>
      </c>
      <c r="AG2222" t="s">
        <v>1940</v>
      </c>
      <c r="AM2222" s="1" t="str">
        <f t="shared" si="136"/>
        <v>2220_C0013_1110.jpg</v>
      </c>
    </row>
    <row r="2223" spans="1:39" x14ac:dyDescent="0.35">
      <c r="A2223">
        <v>2219</v>
      </c>
      <c r="B2223">
        <v>2220</v>
      </c>
      <c r="F2223" s="64" t="s">
        <v>5259</v>
      </c>
      <c r="G2223" s="64"/>
      <c r="H2223" s="64"/>
      <c r="I2223" s="64">
        <v>1</v>
      </c>
      <c r="J2223" s="32" t="str">
        <f>IF(AND(E2223=1,OR(E2222=0,E2222="")),MAX(#REF!)+1,IF(AND(E2223=1,E2222=1),J2222,""))</f>
        <v/>
      </c>
      <c r="K2223" s="32" t="str">
        <f t="shared" si="137"/>
        <v/>
      </c>
      <c r="L2223" s="32" t="str">
        <f t="shared" si="134"/>
        <v/>
      </c>
      <c r="M2223" s="32" t="str">
        <f t="shared" si="135"/>
        <v/>
      </c>
      <c r="N2223" s="4">
        <v>1</v>
      </c>
      <c r="O2223" s="58">
        <v>0</v>
      </c>
      <c r="P2223" s="58">
        <v>0</v>
      </c>
      <c r="Q2223" s="58">
        <v>0</v>
      </c>
      <c r="R2223" s="58">
        <v>0</v>
      </c>
      <c r="S2223" s="58">
        <v>0</v>
      </c>
      <c r="T2223" s="58">
        <v>0</v>
      </c>
      <c r="U2223" s="58">
        <v>0</v>
      </c>
      <c r="V2223" s="58">
        <v>0</v>
      </c>
      <c r="AG2223" t="s">
        <v>1941</v>
      </c>
      <c r="AM2223" s="1" t="str">
        <f t="shared" si="136"/>
        <v>2221_C0013_1104.jpg</v>
      </c>
    </row>
    <row r="2224" spans="1:39" x14ac:dyDescent="0.35">
      <c r="A2224">
        <v>2220</v>
      </c>
      <c r="B2224">
        <v>2221</v>
      </c>
      <c r="F2224" s="64" t="s">
        <v>5260</v>
      </c>
      <c r="G2224" s="64"/>
      <c r="H2224" s="64"/>
      <c r="I2224" s="64">
        <v>1</v>
      </c>
      <c r="J2224" s="32" t="str">
        <f>IF(AND(E2224=1,OR(E2223=0,E2223="")),MAX(#REF!)+1,IF(AND(E2224=1,E2223=1),J2223,""))</f>
        <v/>
      </c>
      <c r="K2224" s="32" t="str">
        <f t="shared" si="137"/>
        <v/>
      </c>
      <c r="L2224" s="32" t="str">
        <f t="shared" si="134"/>
        <v/>
      </c>
      <c r="M2224" s="32" t="str">
        <f t="shared" si="135"/>
        <v/>
      </c>
      <c r="N2224" s="4">
        <v>1</v>
      </c>
      <c r="O2224" s="58">
        <v>0</v>
      </c>
      <c r="P2224" s="58">
        <v>0</v>
      </c>
      <c r="Q2224" s="58">
        <v>0</v>
      </c>
      <c r="R2224" s="58">
        <v>0</v>
      </c>
      <c r="S2224" s="58">
        <v>0</v>
      </c>
      <c r="T2224" s="58">
        <v>0</v>
      </c>
      <c r="U2224" s="58">
        <v>0</v>
      </c>
      <c r="V2224" s="58">
        <v>0</v>
      </c>
      <c r="AG2224" t="s">
        <v>1942</v>
      </c>
      <c r="AM2224" s="1" t="str">
        <f t="shared" si="136"/>
        <v>2222_C0013_1098.jpg</v>
      </c>
    </row>
    <row r="2225" spans="1:39" x14ac:dyDescent="0.35">
      <c r="A2225">
        <v>2221</v>
      </c>
      <c r="B2225">
        <v>2222</v>
      </c>
      <c r="F2225" s="64" t="s">
        <v>5261</v>
      </c>
      <c r="G2225" s="64"/>
      <c r="H2225" s="64"/>
      <c r="I2225" s="64">
        <v>1</v>
      </c>
      <c r="J2225" s="32" t="str">
        <f>IF(AND(E2225=1,OR(E2224=0,E2224="")),MAX(#REF!)+1,IF(AND(E2225=1,E2224=1),J2224,""))</f>
        <v/>
      </c>
      <c r="K2225" s="32" t="str">
        <f t="shared" si="137"/>
        <v/>
      </c>
      <c r="L2225" s="32" t="str">
        <f t="shared" si="134"/>
        <v/>
      </c>
      <c r="M2225" s="32" t="str">
        <f t="shared" si="135"/>
        <v/>
      </c>
      <c r="N2225" s="4">
        <v>1</v>
      </c>
      <c r="O2225" s="58">
        <v>0</v>
      </c>
      <c r="P2225" s="58">
        <v>0</v>
      </c>
      <c r="Q2225" s="58">
        <v>0</v>
      </c>
      <c r="R2225" s="58">
        <v>0</v>
      </c>
      <c r="S2225" s="58">
        <v>0</v>
      </c>
      <c r="T2225" s="58">
        <v>0</v>
      </c>
      <c r="U2225" s="58">
        <v>0</v>
      </c>
      <c r="V2225" s="58">
        <v>0</v>
      </c>
      <c r="AG2225" t="s">
        <v>1943</v>
      </c>
      <c r="AM2225" s="1" t="str">
        <f t="shared" si="136"/>
        <v>2223_C0013_1094.jpg</v>
      </c>
    </row>
    <row r="2226" spans="1:39" x14ac:dyDescent="0.35">
      <c r="A2226">
        <v>2222</v>
      </c>
      <c r="B2226">
        <v>2223</v>
      </c>
      <c r="F2226" s="64" t="s">
        <v>5262</v>
      </c>
      <c r="G2226" s="64"/>
      <c r="H2226" s="64"/>
      <c r="I2226" s="64">
        <v>1</v>
      </c>
      <c r="J2226" s="32" t="str">
        <f>IF(AND(E2226=1,OR(E2225=0,E2225="")),MAX(#REF!)+1,IF(AND(E2226=1,E2225=1),J2225,""))</f>
        <v/>
      </c>
      <c r="K2226" s="32" t="str">
        <f t="shared" si="137"/>
        <v/>
      </c>
      <c r="L2226" s="32" t="str">
        <f t="shared" si="134"/>
        <v/>
      </c>
      <c r="M2226" s="32" t="str">
        <f t="shared" si="135"/>
        <v/>
      </c>
      <c r="N2226" s="4">
        <v>1</v>
      </c>
      <c r="O2226" s="58">
        <v>0</v>
      </c>
      <c r="P2226" s="58">
        <v>0</v>
      </c>
      <c r="Q2226" s="58">
        <v>0</v>
      </c>
      <c r="R2226" s="58">
        <v>0</v>
      </c>
      <c r="S2226" s="58">
        <v>0</v>
      </c>
      <c r="T2226" s="58">
        <v>0</v>
      </c>
      <c r="U2226" s="58">
        <v>0</v>
      </c>
      <c r="V2226" s="58">
        <v>0</v>
      </c>
      <c r="AG2226" t="s">
        <v>1944</v>
      </c>
      <c r="AM2226" s="1" t="str">
        <f t="shared" si="136"/>
        <v>2224_C0013_1090.jpg</v>
      </c>
    </row>
    <row r="2227" spans="1:39" x14ac:dyDescent="0.35">
      <c r="A2227">
        <v>2223</v>
      </c>
      <c r="B2227">
        <v>2224</v>
      </c>
      <c r="F2227" s="64" t="s">
        <v>5263</v>
      </c>
      <c r="G2227" s="64"/>
      <c r="H2227" s="64"/>
      <c r="I2227" s="64">
        <v>1</v>
      </c>
      <c r="J2227" s="32" t="str">
        <f>IF(AND(E2227=1,OR(E2226=0,E2226="")),MAX(#REF!)+1,IF(AND(E2227=1,E2226=1),J2226,""))</f>
        <v/>
      </c>
      <c r="K2227" s="32" t="str">
        <f t="shared" si="137"/>
        <v/>
      </c>
      <c r="L2227" s="32" t="str">
        <f t="shared" si="134"/>
        <v/>
      </c>
      <c r="M2227" s="32" t="str">
        <f t="shared" si="135"/>
        <v/>
      </c>
      <c r="N2227" s="4">
        <v>1</v>
      </c>
      <c r="O2227" s="58">
        <v>0</v>
      </c>
      <c r="P2227" s="58">
        <v>0</v>
      </c>
      <c r="Q2227" s="58">
        <v>0</v>
      </c>
      <c r="R2227" s="58">
        <v>0</v>
      </c>
      <c r="S2227" s="58">
        <v>0</v>
      </c>
      <c r="T2227" s="58">
        <v>0</v>
      </c>
      <c r="U2227" s="58">
        <v>0</v>
      </c>
      <c r="V2227" s="58">
        <v>0</v>
      </c>
      <c r="AG2227" t="s">
        <v>1945</v>
      </c>
      <c r="AM2227" s="1" t="str">
        <f t="shared" si="136"/>
        <v>2225_C0013_1085.jpg</v>
      </c>
    </row>
    <row r="2228" spans="1:39" x14ac:dyDescent="0.35">
      <c r="A2228">
        <v>2224</v>
      </c>
      <c r="B2228">
        <v>2225</v>
      </c>
      <c r="F2228" s="64" t="s">
        <v>5264</v>
      </c>
      <c r="G2228" s="64"/>
      <c r="H2228" s="64"/>
      <c r="I2228" s="64">
        <v>1</v>
      </c>
      <c r="J2228" s="32" t="str">
        <f>IF(AND(E2228=1,OR(E2227=0,E2227="")),MAX(#REF!)+1,IF(AND(E2228=1,E2227=1),J2227,""))</f>
        <v/>
      </c>
      <c r="K2228" s="32" t="str">
        <f t="shared" si="137"/>
        <v/>
      </c>
      <c r="L2228" s="32" t="str">
        <f t="shared" si="134"/>
        <v/>
      </c>
      <c r="M2228" s="32" t="str">
        <f t="shared" si="135"/>
        <v/>
      </c>
      <c r="N2228" s="4">
        <v>1</v>
      </c>
      <c r="O2228" s="58">
        <v>0</v>
      </c>
      <c r="P2228" s="58">
        <v>0</v>
      </c>
      <c r="Q2228" s="58">
        <v>0</v>
      </c>
      <c r="R2228" s="58">
        <v>0</v>
      </c>
      <c r="S2228" s="58">
        <v>0</v>
      </c>
      <c r="T2228" s="58">
        <v>0</v>
      </c>
      <c r="U2228" s="58">
        <v>0</v>
      </c>
      <c r="V2228" s="58">
        <v>0</v>
      </c>
      <c r="AG2228" t="s">
        <v>1946</v>
      </c>
      <c r="AM2228" s="1" t="str">
        <f t="shared" si="136"/>
        <v>2226_C0013_1082.jpg</v>
      </c>
    </row>
    <row r="2229" spans="1:39" x14ac:dyDescent="0.35">
      <c r="A2229">
        <v>2225</v>
      </c>
      <c r="B2229">
        <v>2226</v>
      </c>
      <c r="F2229" s="64" t="s">
        <v>5265</v>
      </c>
      <c r="G2229" s="64"/>
      <c r="H2229" s="64"/>
      <c r="I2229" s="64">
        <v>1</v>
      </c>
      <c r="J2229" s="32" t="str">
        <f>IF(AND(E2229=1,OR(E2228=0,E2228="")),MAX(#REF!)+1,IF(AND(E2229=1,E2228=1),J2228,""))</f>
        <v/>
      </c>
      <c r="K2229" s="32" t="str">
        <f t="shared" si="137"/>
        <v/>
      </c>
      <c r="L2229" s="32" t="str">
        <f t="shared" si="134"/>
        <v/>
      </c>
      <c r="M2229" s="32" t="str">
        <f t="shared" si="135"/>
        <v/>
      </c>
      <c r="N2229" s="4">
        <v>1</v>
      </c>
      <c r="O2229" s="58">
        <v>0</v>
      </c>
      <c r="P2229" s="58">
        <v>0</v>
      </c>
      <c r="Q2229" s="58">
        <v>0</v>
      </c>
      <c r="R2229" s="58">
        <v>0</v>
      </c>
      <c r="S2229" s="58">
        <v>0</v>
      </c>
      <c r="T2229" s="58">
        <v>0</v>
      </c>
      <c r="U2229" s="58">
        <v>0</v>
      </c>
      <c r="V2229" s="58">
        <v>0</v>
      </c>
      <c r="AG2229" t="s">
        <v>1947</v>
      </c>
      <c r="AM2229" s="1" t="str">
        <f t="shared" si="136"/>
        <v>2227_C0013_1078.jpg</v>
      </c>
    </row>
    <row r="2230" spans="1:39" x14ac:dyDescent="0.35">
      <c r="A2230">
        <v>2226</v>
      </c>
      <c r="B2230">
        <v>2227</v>
      </c>
      <c r="F2230" s="64" t="s">
        <v>5266</v>
      </c>
      <c r="G2230" s="64"/>
      <c r="H2230" s="64"/>
      <c r="I2230" s="64">
        <v>1</v>
      </c>
      <c r="J2230" s="32" t="str">
        <f>IF(AND(E2230=1,OR(E2229=0,E2229="")),MAX(#REF!)+1,IF(AND(E2230=1,E2229=1),J2229,""))</f>
        <v/>
      </c>
      <c r="K2230" s="32" t="str">
        <f t="shared" si="137"/>
        <v/>
      </c>
      <c r="L2230" s="32" t="str">
        <f t="shared" si="134"/>
        <v/>
      </c>
      <c r="M2230" s="32" t="str">
        <f t="shared" si="135"/>
        <v/>
      </c>
      <c r="N2230" s="4">
        <v>1</v>
      </c>
      <c r="O2230" s="58">
        <v>0</v>
      </c>
      <c r="P2230" s="58">
        <v>0</v>
      </c>
      <c r="Q2230" s="58">
        <v>0</v>
      </c>
      <c r="R2230" s="58">
        <v>0</v>
      </c>
      <c r="S2230" s="58">
        <v>0</v>
      </c>
      <c r="T2230" s="58">
        <v>0</v>
      </c>
      <c r="U2230" s="58">
        <v>0</v>
      </c>
      <c r="V2230" s="58">
        <v>0</v>
      </c>
      <c r="AG2230" t="s">
        <v>1948</v>
      </c>
      <c r="AM2230" s="1" t="str">
        <f t="shared" si="136"/>
        <v>2228_C0013_1075.jpg</v>
      </c>
    </row>
    <row r="2231" spans="1:39" x14ac:dyDescent="0.35">
      <c r="A2231">
        <v>2227</v>
      </c>
      <c r="B2231">
        <v>2228</v>
      </c>
      <c r="F2231" s="64" t="s">
        <v>5267</v>
      </c>
      <c r="G2231" s="64"/>
      <c r="H2231" s="64"/>
      <c r="I2231" s="64">
        <v>1</v>
      </c>
      <c r="J2231" s="32" t="str">
        <f>IF(AND(E2231=1,OR(E2230=0,E2230="")),MAX(#REF!)+1,IF(AND(E2231=1,E2230=1),J2230,""))</f>
        <v/>
      </c>
      <c r="K2231" s="32" t="str">
        <f t="shared" si="137"/>
        <v/>
      </c>
      <c r="L2231" s="32" t="str">
        <f t="shared" si="134"/>
        <v/>
      </c>
      <c r="M2231" s="32" t="str">
        <f t="shared" si="135"/>
        <v/>
      </c>
      <c r="N2231" s="4">
        <v>1</v>
      </c>
      <c r="O2231" s="58">
        <v>0</v>
      </c>
      <c r="P2231" s="58">
        <v>0</v>
      </c>
      <c r="Q2231" s="58">
        <v>0</v>
      </c>
      <c r="R2231" s="58">
        <v>0</v>
      </c>
      <c r="S2231" s="58">
        <v>0</v>
      </c>
      <c r="T2231" s="58">
        <v>0</v>
      </c>
      <c r="U2231" s="58">
        <v>0</v>
      </c>
      <c r="V2231" s="58">
        <v>0</v>
      </c>
      <c r="AG2231" t="s">
        <v>1949</v>
      </c>
      <c r="AM2231" s="1" t="str">
        <f t="shared" si="136"/>
        <v>2229_C0013_1072.jpg</v>
      </c>
    </row>
    <row r="2232" spans="1:39" x14ac:dyDescent="0.35">
      <c r="A2232">
        <v>2228</v>
      </c>
      <c r="B2232">
        <v>2229</v>
      </c>
      <c r="F2232" s="64" t="s">
        <v>5268</v>
      </c>
      <c r="G2232" s="64"/>
      <c r="H2232" s="64"/>
      <c r="I2232" s="64">
        <v>1</v>
      </c>
      <c r="J2232" s="32" t="str">
        <f>IF(AND(E2232=1,OR(E2231=0,E2231="")),MAX(#REF!)+1,IF(AND(E2232=1,E2231=1),J2231,""))</f>
        <v/>
      </c>
      <c r="K2232" s="32" t="str">
        <f t="shared" si="137"/>
        <v/>
      </c>
      <c r="L2232" s="32" t="str">
        <f t="shared" si="134"/>
        <v/>
      </c>
      <c r="M2232" s="32" t="str">
        <f t="shared" si="135"/>
        <v/>
      </c>
      <c r="N2232" s="4">
        <v>1</v>
      </c>
      <c r="O2232" s="58">
        <v>0</v>
      </c>
      <c r="P2232" s="58">
        <v>0</v>
      </c>
      <c r="Q2232" s="58">
        <v>0</v>
      </c>
      <c r="R2232" s="58">
        <v>0</v>
      </c>
      <c r="S2232" s="58">
        <v>0</v>
      </c>
      <c r="T2232" s="58">
        <v>0</v>
      </c>
      <c r="U2232" s="58">
        <v>0</v>
      </c>
      <c r="V2232" s="58">
        <v>0</v>
      </c>
      <c r="AG2232" t="s">
        <v>1950</v>
      </c>
      <c r="AM2232" s="1" t="str">
        <f t="shared" si="136"/>
        <v>2230_C0013_1069.jpg</v>
      </c>
    </row>
    <row r="2233" spans="1:39" x14ac:dyDescent="0.35">
      <c r="A2233">
        <v>2229</v>
      </c>
      <c r="B2233">
        <v>2230</v>
      </c>
      <c r="F2233" s="64" t="s">
        <v>5269</v>
      </c>
      <c r="G2233" s="64"/>
      <c r="H2233" s="64"/>
      <c r="I2233" s="64">
        <v>1</v>
      </c>
      <c r="J2233" s="32" t="str">
        <f>IF(AND(E2233=1,OR(E2232=0,E2232="")),MAX(#REF!)+1,IF(AND(E2233=1,E2232=1),J2232,""))</f>
        <v/>
      </c>
      <c r="K2233" s="32" t="str">
        <f t="shared" si="137"/>
        <v/>
      </c>
      <c r="L2233" s="32" t="str">
        <f t="shared" si="134"/>
        <v/>
      </c>
      <c r="M2233" s="32" t="str">
        <f t="shared" si="135"/>
        <v/>
      </c>
      <c r="N2233" s="4">
        <v>1</v>
      </c>
      <c r="O2233" s="58">
        <v>0</v>
      </c>
      <c r="P2233" s="58">
        <v>0</v>
      </c>
      <c r="Q2233" s="58">
        <v>0</v>
      </c>
      <c r="R2233" s="58">
        <v>0</v>
      </c>
      <c r="S2233" s="58">
        <v>0</v>
      </c>
      <c r="T2233" s="58">
        <v>0</v>
      </c>
      <c r="U2233" s="58">
        <v>0</v>
      </c>
      <c r="V2233" s="58">
        <v>0</v>
      </c>
      <c r="AG2233" t="s">
        <v>1951</v>
      </c>
      <c r="AM2233" s="1" t="str">
        <f t="shared" si="136"/>
        <v>2231_C0013_1066.jpg</v>
      </c>
    </row>
    <row r="2234" spans="1:39" x14ac:dyDescent="0.35">
      <c r="A2234">
        <v>2230</v>
      </c>
      <c r="B2234">
        <v>2231</v>
      </c>
      <c r="F2234" s="64" t="s">
        <v>5270</v>
      </c>
      <c r="G2234" s="64"/>
      <c r="H2234" s="64"/>
      <c r="I2234" s="64">
        <v>1</v>
      </c>
      <c r="J2234" s="32" t="str">
        <f>IF(AND(E2234=1,OR(E2233=0,E2233="")),MAX(#REF!)+1,IF(AND(E2234=1,E2233=1),J2233,""))</f>
        <v/>
      </c>
      <c r="K2234" s="32" t="str">
        <f t="shared" si="137"/>
        <v/>
      </c>
      <c r="L2234" s="32" t="str">
        <f t="shared" si="134"/>
        <v/>
      </c>
      <c r="M2234" s="32" t="str">
        <f t="shared" si="135"/>
        <v/>
      </c>
      <c r="N2234" s="4">
        <v>1</v>
      </c>
      <c r="O2234" s="58">
        <v>0</v>
      </c>
      <c r="P2234" s="58">
        <v>0</v>
      </c>
      <c r="Q2234" s="58">
        <v>0</v>
      </c>
      <c r="R2234" s="58">
        <v>0</v>
      </c>
      <c r="S2234" s="58">
        <v>0</v>
      </c>
      <c r="T2234" s="58">
        <v>0</v>
      </c>
      <c r="U2234" s="58">
        <v>0</v>
      </c>
      <c r="V2234" s="58">
        <v>0</v>
      </c>
      <c r="AG2234" t="s">
        <v>1952</v>
      </c>
      <c r="AM2234" s="1" t="str">
        <f t="shared" si="136"/>
        <v>2232_C0013_1061.jpg</v>
      </c>
    </row>
    <row r="2235" spans="1:39" x14ac:dyDescent="0.35">
      <c r="A2235">
        <v>2231</v>
      </c>
      <c r="B2235">
        <v>2232</v>
      </c>
      <c r="F2235" s="64" t="s">
        <v>5271</v>
      </c>
      <c r="G2235" s="64"/>
      <c r="H2235" s="64"/>
      <c r="I2235" s="64">
        <v>1</v>
      </c>
      <c r="J2235" s="32" t="str">
        <f>IF(AND(E2235=1,OR(E2234=0,E2234="")),MAX(#REF!)+1,IF(AND(E2235=1,E2234=1),J2234,""))</f>
        <v/>
      </c>
      <c r="K2235" s="32" t="str">
        <f t="shared" si="137"/>
        <v/>
      </c>
      <c r="L2235" s="32" t="str">
        <f t="shared" si="134"/>
        <v/>
      </c>
      <c r="M2235" s="32" t="str">
        <f t="shared" si="135"/>
        <v/>
      </c>
      <c r="N2235" s="4">
        <v>1</v>
      </c>
      <c r="O2235" s="58">
        <v>0</v>
      </c>
      <c r="P2235" s="58">
        <v>0</v>
      </c>
      <c r="Q2235" s="58">
        <v>0</v>
      </c>
      <c r="R2235" s="58">
        <v>0</v>
      </c>
      <c r="S2235" s="58">
        <v>0</v>
      </c>
      <c r="T2235" s="58">
        <v>0</v>
      </c>
      <c r="U2235" s="58">
        <v>0</v>
      </c>
      <c r="V2235" s="58">
        <v>0</v>
      </c>
      <c r="AG2235" t="s">
        <v>1953</v>
      </c>
      <c r="AM2235" s="1" t="str">
        <f t="shared" si="136"/>
        <v>2233_C0013_1058.jpg</v>
      </c>
    </row>
    <row r="2236" spans="1:39" x14ac:dyDescent="0.35">
      <c r="A2236">
        <v>2232</v>
      </c>
      <c r="B2236">
        <v>2233</v>
      </c>
      <c r="F2236" s="64" t="s">
        <v>5272</v>
      </c>
      <c r="G2236" s="64"/>
      <c r="H2236" s="64"/>
      <c r="I2236" s="64">
        <v>1</v>
      </c>
      <c r="J2236" s="32" t="str">
        <f>IF(AND(E2236=1,OR(E2235=0,E2235="")),MAX(#REF!)+1,IF(AND(E2236=1,E2235=1),J2235,""))</f>
        <v/>
      </c>
      <c r="K2236" s="32" t="str">
        <f t="shared" si="137"/>
        <v/>
      </c>
      <c r="L2236" s="32" t="str">
        <f t="shared" si="134"/>
        <v/>
      </c>
      <c r="M2236" s="32" t="str">
        <f t="shared" si="135"/>
        <v/>
      </c>
      <c r="N2236" s="4">
        <v>1</v>
      </c>
      <c r="O2236" s="58">
        <v>0</v>
      </c>
      <c r="P2236" s="58">
        <v>0</v>
      </c>
      <c r="Q2236" s="58">
        <v>0</v>
      </c>
      <c r="R2236" s="58">
        <v>0</v>
      </c>
      <c r="S2236" s="58">
        <v>0</v>
      </c>
      <c r="T2236" s="58">
        <v>0</v>
      </c>
      <c r="U2236" s="58">
        <v>0</v>
      </c>
      <c r="V2236" s="58">
        <v>0</v>
      </c>
      <c r="AG2236" t="s">
        <v>1954</v>
      </c>
      <c r="AM2236" s="1" t="str">
        <f t="shared" si="136"/>
        <v>2234_C0013_1054.jpg</v>
      </c>
    </row>
    <row r="2237" spans="1:39" x14ac:dyDescent="0.35">
      <c r="A2237">
        <v>2233</v>
      </c>
      <c r="B2237">
        <v>2234</v>
      </c>
      <c r="F2237" s="64" t="s">
        <v>5273</v>
      </c>
      <c r="G2237" s="64"/>
      <c r="H2237" s="64"/>
      <c r="I2237" s="64">
        <v>1</v>
      </c>
      <c r="J2237" s="32" t="str">
        <f>IF(AND(E2237=1,OR(E2236=0,E2236="")),MAX(#REF!)+1,IF(AND(E2237=1,E2236=1),J2236,""))</f>
        <v/>
      </c>
      <c r="K2237" s="32" t="str">
        <f t="shared" si="137"/>
        <v/>
      </c>
      <c r="L2237" s="32" t="str">
        <f t="shared" si="134"/>
        <v/>
      </c>
      <c r="M2237" s="32" t="str">
        <f t="shared" si="135"/>
        <v/>
      </c>
      <c r="N2237" s="4">
        <v>1</v>
      </c>
      <c r="O2237" s="58">
        <v>0</v>
      </c>
      <c r="P2237" s="58">
        <v>0</v>
      </c>
      <c r="Q2237" s="58">
        <v>0</v>
      </c>
      <c r="R2237" s="58">
        <v>0</v>
      </c>
      <c r="S2237" s="58">
        <v>0</v>
      </c>
      <c r="T2237" s="58">
        <v>0</v>
      </c>
      <c r="U2237" s="58">
        <v>0</v>
      </c>
      <c r="V2237" s="58">
        <v>0</v>
      </c>
      <c r="AG2237" t="s">
        <v>1955</v>
      </c>
      <c r="AM2237" s="1" t="str">
        <f t="shared" si="136"/>
        <v>2235_C0013_1051.jpg</v>
      </c>
    </row>
    <row r="2238" spans="1:39" x14ac:dyDescent="0.35">
      <c r="A2238">
        <v>2234</v>
      </c>
      <c r="B2238">
        <v>2235</v>
      </c>
      <c r="F2238" s="64" t="s">
        <v>5274</v>
      </c>
      <c r="G2238" s="64"/>
      <c r="H2238" s="64"/>
      <c r="I2238" s="64">
        <v>1</v>
      </c>
      <c r="J2238" s="32" t="str">
        <f>IF(AND(E2238=1,OR(E2237=0,E2237="")),MAX(#REF!)+1,IF(AND(E2238=1,E2237=1),J2237,""))</f>
        <v/>
      </c>
      <c r="K2238" s="32" t="str">
        <f t="shared" si="137"/>
        <v/>
      </c>
      <c r="L2238" s="32" t="str">
        <f t="shared" si="134"/>
        <v/>
      </c>
      <c r="M2238" s="32" t="str">
        <f t="shared" si="135"/>
        <v/>
      </c>
      <c r="N2238" s="4">
        <v>1</v>
      </c>
      <c r="O2238" s="58">
        <v>0</v>
      </c>
      <c r="P2238" s="58">
        <v>0</v>
      </c>
      <c r="Q2238" s="58">
        <v>0</v>
      </c>
      <c r="R2238" s="58">
        <v>0</v>
      </c>
      <c r="S2238" s="58">
        <v>0</v>
      </c>
      <c r="T2238" s="58">
        <v>0</v>
      </c>
      <c r="U2238" s="58">
        <v>0</v>
      </c>
      <c r="V2238" s="58">
        <v>0</v>
      </c>
      <c r="AG2238" t="s">
        <v>1956</v>
      </c>
      <c r="AM2238" s="1" t="str">
        <f t="shared" si="136"/>
        <v>2236_C0013_1047.jpg</v>
      </c>
    </row>
    <row r="2239" spans="1:39" x14ac:dyDescent="0.35">
      <c r="A2239">
        <v>2235</v>
      </c>
      <c r="B2239">
        <v>2236</v>
      </c>
      <c r="F2239" s="64" t="s">
        <v>5275</v>
      </c>
      <c r="G2239" s="64"/>
      <c r="H2239" s="64"/>
      <c r="I2239" s="64">
        <v>1</v>
      </c>
      <c r="J2239" s="32" t="str">
        <f>IF(AND(E2239=1,OR(E2238=0,E2238="")),MAX(#REF!)+1,IF(AND(E2239=1,E2238=1),J2238,""))</f>
        <v/>
      </c>
      <c r="K2239" s="32" t="str">
        <f t="shared" si="137"/>
        <v/>
      </c>
      <c r="L2239" s="32" t="str">
        <f t="shared" si="134"/>
        <v/>
      </c>
      <c r="M2239" s="32" t="str">
        <f t="shared" si="135"/>
        <v/>
      </c>
      <c r="N2239" s="4">
        <v>1</v>
      </c>
      <c r="O2239" s="58">
        <v>0</v>
      </c>
      <c r="P2239" s="58">
        <v>0</v>
      </c>
      <c r="Q2239" s="58">
        <v>0</v>
      </c>
      <c r="R2239" s="58">
        <v>0</v>
      </c>
      <c r="S2239" s="58">
        <v>0</v>
      </c>
      <c r="T2239" s="58">
        <v>0</v>
      </c>
      <c r="U2239" s="58">
        <v>0</v>
      </c>
      <c r="V2239" s="58">
        <v>0</v>
      </c>
      <c r="AG2239" t="s">
        <v>1957</v>
      </c>
      <c r="AM2239" s="1" t="str">
        <f t="shared" si="136"/>
        <v>2237_C0013_1045.jpg</v>
      </c>
    </row>
    <row r="2240" spans="1:39" x14ac:dyDescent="0.35">
      <c r="A2240">
        <v>2236</v>
      </c>
      <c r="B2240">
        <v>2237</v>
      </c>
      <c r="F2240" s="64" t="s">
        <v>5276</v>
      </c>
      <c r="G2240" s="64"/>
      <c r="H2240" s="64"/>
      <c r="I2240" s="64">
        <v>1</v>
      </c>
      <c r="J2240" s="32" t="str">
        <f>IF(AND(E2240=1,OR(E2239=0,E2239="")),MAX(#REF!)+1,IF(AND(E2240=1,E2239=1),J2239,""))</f>
        <v/>
      </c>
      <c r="K2240" s="32" t="str">
        <f t="shared" si="137"/>
        <v/>
      </c>
      <c r="L2240" s="32" t="str">
        <f t="shared" si="134"/>
        <v/>
      </c>
      <c r="M2240" s="32" t="str">
        <f t="shared" si="135"/>
        <v/>
      </c>
      <c r="N2240" s="4">
        <v>1</v>
      </c>
      <c r="O2240" s="58">
        <v>0</v>
      </c>
      <c r="P2240" s="58">
        <v>0</v>
      </c>
      <c r="Q2240" s="58">
        <v>0</v>
      </c>
      <c r="R2240" s="58">
        <v>0</v>
      </c>
      <c r="S2240" s="58">
        <v>0</v>
      </c>
      <c r="T2240" s="58">
        <v>0</v>
      </c>
      <c r="U2240" s="58">
        <v>0</v>
      </c>
      <c r="V2240" s="58">
        <v>0</v>
      </c>
      <c r="AG2240" t="s">
        <v>1958</v>
      </c>
      <c r="AM2240" s="1" t="str">
        <f t="shared" si="136"/>
        <v>2238_C0013_1041.jpg</v>
      </c>
    </row>
    <row r="2241" spans="1:39" x14ac:dyDescent="0.35">
      <c r="A2241">
        <v>2237</v>
      </c>
      <c r="B2241">
        <v>2238</v>
      </c>
      <c r="F2241" s="64" t="s">
        <v>5277</v>
      </c>
      <c r="G2241" s="64"/>
      <c r="H2241" s="64"/>
      <c r="I2241" s="64">
        <v>1</v>
      </c>
      <c r="J2241" s="32" t="str">
        <f>IF(AND(E2241=1,OR(E2240=0,E2240="")),MAX(#REF!)+1,IF(AND(E2241=1,E2240=1),J2240,""))</f>
        <v/>
      </c>
      <c r="K2241" s="32" t="str">
        <f t="shared" si="137"/>
        <v/>
      </c>
      <c r="L2241" s="32" t="str">
        <f t="shared" si="134"/>
        <v/>
      </c>
      <c r="M2241" s="32" t="str">
        <f t="shared" si="135"/>
        <v/>
      </c>
      <c r="N2241" s="4">
        <v>1</v>
      </c>
      <c r="O2241" s="58">
        <v>0</v>
      </c>
      <c r="P2241" s="58">
        <v>0</v>
      </c>
      <c r="Q2241" s="58">
        <v>0</v>
      </c>
      <c r="R2241" s="58">
        <v>0</v>
      </c>
      <c r="S2241" s="58">
        <v>0</v>
      </c>
      <c r="T2241" s="58">
        <v>0</v>
      </c>
      <c r="U2241" s="58">
        <v>0</v>
      </c>
      <c r="V2241" s="58">
        <v>0</v>
      </c>
      <c r="AG2241" t="s">
        <v>1959</v>
      </c>
      <c r="AM2241" s="1" t="str">
        <f t="shared" si="136"/>
        <v>2239_C0013_1037.jpg</v>
      </c>
    </row>
    <row r="2242" spans="1:39" x14ac:dyDescent="0.35">
      <c r="A2242">
        <v>2238</v>
      </c>
      <c r="B2242">
        <v>2239</v>
      </c>
      <c r="F2242" s="64" t="s">
        <v>5278</v>
      </c>
      <c r="G2242" s="64"/>
      <c r="H2242" s="64"/>
      <c r="I2242" s="64">
        <v>1</v>
      </c>
      <c r="J2242" s="32" t="str">
        <f>IF(AND(E2242=1,OR(E2241=0,E2241="")),MAX(#REF!)+1,IF(AND(E2242=1,E2241=1),J2241,""))</f>
        <v/>
      </c>
      <c r="K2242" s="32" t="str">
        <f t="shared" si="137"/>
        <v/>
      </c>
      <c r="L2242" s="32" t="str">
        <f t="shared" si="134"/>
        <v/>
      </c>
      <c r="M2242" s="32" t="str">
        <f t="shared" si="135"/>
        <v/>
      </c>
      <c r="N2242" s="4">
        <v>1</v>
      </c>
      <c r="O2242" s="58">
        <v>0</v>
      </c>
      <c r="P2242" s="58">
        <v>0</v>
      </c>
      <c r="Q2242" s="58">
        <v>0</v>
      </c>
      <c r="R2242" s="58">
        <v>0</v>
      </c>
      <c r="S2242" s="58">
        <v>0</v>
      </c>
      <c r="T2242" s="58">
        <v>0</v>
      </c>
      <c r="U2242" s="58">
        <v>0</v>
      </c>
      <c r="V2242" s="58">
        <v>0</v>
      </c>
      <c r="AG2242" t="s">
        <v>1960</v>
      </c>
      <c r="AM2242" s="1" t="str">
        <f t="shared" si="136"/>
        <v>2240_C0013_1034.jpg</v>
      </c>
    </row>
    <row r="2243" spans="1:39" x14ac:dyDescent="0.35">
      <c r="A2243">
        <v>2239</v>
      </c>
      <c r="B2243">
        <v>2240</v>
      </c>
      <c r="F2243" s="64" t="s">
        <v>5279</v>
      </c>
      <c r="G2243" s="64"/>
      <c r="H2243" s="64"/>
      <c r="I2243" s="64">
        <v>1</v>
      </c>
      <c r="J2243" s="32" t="str">
        <f>IF(AND(E2243=1,OR(E2242=0,E2242="")),MAX(#REF!)+1,IF(AND(E2243=1,E2242=1),J2242,""))</f>
        <v/>
      </c>
      <c r="K2243" s="32" t="str">
        <f t="shared" si="137"/>
        <v/>
      </c>
      <c r="L2243" s="32" t="str">
        <f t="shared" si="134"/>
        <v/>
      </c>
      <c r="M2243" s="32" t="str">
        <f t="shared" si="135"/>
        <v/>
      </c>
      <c r="N2243" s="4">
        <v>1</v>
      </c>
      <c r="O2243" s="58">
        <v>0</v>
      </c>
      <c r="P2243" s="58">
        <v>0</v>
      </c>
      <c r="Q2243" s="58">
        <v>0</v>
      </c>
      <c r="R2243" s="58">
        <v>0</v>
      </c>
      <c r="S2243" s="58">
        <v>0</v>
      </c>
      <c r="T2243" s="58">
        <v>0</v>
      </c>
      <c r="U2243" s="58">
        <v>0</v>
      </c>
      <c r="V2243" s="58">
        <v>0</v>
      </c>
      <c r="AG2243" t="s">
        <v>1961</v>
      </c>
      <c r="AM2243" s="1" t="str">
        <f t="shared" si="136"/>
        <v>2241_C0013_1030.jpg</v>
      </c>
    </row>
    <row r="2244" spans="1:39" x14ac:dyDescent="0.35">
      <c r="A2244">
        <v>2240</v>
      </c>
      <c r="B2244">
        <v>2241</v>
      </c>
      <c r="F2244" s="64" t="s">
        <v>5280</v>
      </c>
      <c r="G2244" s="64"/>
      <c r="H2244" s="64"/>
      <c r="I2244" s="64">
        <v>1</v>
      </c>
      <c r="J2244" s="32" t="str">
        <f>IF(AND(E2244=1,OR(E2243=0,E2243="")),MAX(#REF!)+1,IF(AND(E2244=1,E2243=1),J2243,""))</f>
        <v/>
      </c>
      <c r="K2244" s="32" t="str">
        <f t="shared" si="137"/>
        <v/>
      </c>
      <c r="L2244" s="32" t="str">
        <f t="shared" ref="L2244:L2307" si="138">IF(K2244="","",IF(K2244&gt;=100,"HV",""))</f>
        <v/>
      </c>
      <c r="M2244" s="32" t="str">
        <f t="shared" ref="M2244:M2307" si="139">IF(K2244&lt;&gt;"",K2244^2,"")</f>
        <v/>
      </c>
      <c r="N2244" s="4">
        <v>1</v>
      </c>
      <c r="O2244" s="58">
        <v>0</v>
      </c>
      <c r="P2244" s="58">
        <v>0</v>
      </c>
      <c r="Q2244" s="58">
        <v>0</v>
      </c>
      <c r="R2244" s="58">
        <v>0</v>
      </c>
      <c r="S2244" s="58">
        <v>0</v>
      </c>
      <c r="T2244" s="58">
        <v>0</v>
      </c>
      <c r="U2244" s="58">
        <v>0</v>
      </c>
      <c r="V2244" s="58">
        <v>0</v>
      </c>
      <c r="AG2244" t="s">
        <v>1962</v>
      </c>
      <c r="AM2244" s="1" t="str">
        <f t="shared" si="136"/>
        <v>2242_C0013_1027.jpg</v>
      </c>
    </row>
    <row r="2245" spans="1:39" x14ac:dyDescent="0.35">
      <c r="A2245">
        <v>2241</v>
      </c>
      <c r="B2245">
        <v>2242</v>
      </c>
      <c r="F2245" s="64" t="s">
        <v>5281</v>
      </c>
      <c r="G2245" s="64"/>
      <c r="H2245" s="64"/>
      <c r="I2245" s="64">
        <v>0</v>
      </c>
      <c r="J2245" s="32" t="str">
        <f>IF(AND(E2245=1,OR(E2244=0,E2244="")),MAX(#REF!)+1,IF(AND(E2245=1,E2244=1),J2244,""))</f>
        <v/>
      </c>
      <c r="K2245" s="32" t="str">
        <f t="shared" si="137"/>
        <v/>
      </c>
      <c r="L2245" s="32" t="str">
        <f t="shared" si="138"/>
        <v/>
      </c>
      <c r="M2245" s="32" t="str">
        <f t="shared" si="139"/>
        <v/>
      </c>
      <c r="N2245" s="4">
        <v>1</v>
      </c>
      <c r="O2245" s="58">
        <v>0</v>
      </c>
      <c r="P2245" s="58">
        <v>0</v>
      </c>
      <c r="Q2245" s="58">
        <v>0</v>
      </c>
      <c r="R2245" s="58">
        <v>0</v>
      </c>
      <c r="S2245" s="58">
        <v>0</v>
      </c>
      <c r="T2245" s="58">
        <v>0</v>
      </c>
      <c r="U2245" s="58">
        <v>0</v>
      </c>
      <c r="V2245" s="58">
        <v>0</v>
      </c>
      <c r="AG2245" t="s">
        <v>1963</v>
      </c>
      <c r="AM2245" s="1" t="str">
        <f t="shared" si="136"/>
        <v>2243_C0013_1024.jpg</v>
      </c>
    </row>
    <row r="2246" spans="1:39" x14ac:dyDescent="0.35">
      <c r="A2246">
        <v>2242</v>
      </c>
      <c r="B2246">
        <v>2243</v>
      </c>
      <c r="F2246" s="64" t="s">
        <v>5282</v>
      </c>
      <c r="G2246" s="64"/>
      <c r="H2246" s="64"/>
      <c r="I2246" s="64">
        <v>1</v>
      </c>
      <c r="J2246" s="32" t="str">
        <f>IF(AND(E2246=1,OR(E2245=0,E2245="")),MAX(#REF!)+1,IF(AND(E2246=1,E2245=1),J2245,""))</f>
        <v/>
      </c>
      <c r="K2246" s="32" t="str">
        <f t="shared" si="137"/>
        <v/>
      </c>
      <c r="L2246" s="32" t="str">
        <f t="shared" si="138"/>
        <v/>
      </c>
      <c r="M2246" s="32" t="str">
        <f t="shared" si="139"/>
        <v/>
      </c>
      <c r="N2246" s="4">
        <v>1</v>
      </c>
      <c r="O2246" s="58">
        <v>0</v>
      </c>
      <c r="P2246" s="58">
        <v>0</v>
      </c>
      <c r="Q2246" s="58">
        <v>0</v>
      </c>
      <c r="R2246" s="58">
        <v>0</v>
      </c>
      <c r="S2246" s="58">
        <v>0</v>
      </c>
      <c r="T2246" s="58">
        <v>0</v>
      </c>
      <c r="U2246" s="58">
        <v>0</v>
      </c>
      <c r="V2246" s="58">
        <v>0</v>
      </c>
      <c r="AG2246" t="s">
        <v>1964</v>
      </c>
      <c r="AM2246" s="1" t="str">
        <f t="shared" si="136"/>
        <v>2244_C0013_1021.jpg</v>
      </c>
    </row>
    <row r="2247" spans="1:39" x14ac:dyDescent="0.35">
      <c r="A2247">
        <v>2243</v>
      </c>
      <c r="B2247">
        <v>2244</v>
      </c>
      <c r="F2247" s="64" t="s">
        <v>5283</v>
      </c>
      <c r="G2247" s="64"/>
      <c r="H2247" s="64"/>
      <c r="I2247" s="64">
        <v>1</v>
      </c>
      <c r="J2247" s="32" t="str">
        <f>IF(AND(E2247=1,OR(E2246=0,E2246="")),MAX(#REF!)+1,IF(AND(E2247=1,E2246=1),J2246,""))</f>
        <v/>
      </c>
      <c r="K2247" s="32" t="str">
        <f t="shared" si="137"/>
        <v/>
      </c>
      <c r="L2247" s="32" t="str">
        <f t="shared" si="138"/>
        <v/>
      </c>
      <c r="M2247" s="32" t="str">
        <f t="shared" si="139"/>
        <v/>
      </c>
      <c r="N2247" s="4">
        <v>1</v>
      </c>
      <c r="O2247" s="58">
        <v>0</v>
      </c>
      <c r="P2247" s="58">
        <v>0</v>
      </c>
      <c r="Q2247" s="58">
        <v>0</v>
      </c>
      <c r="R2247" s="58">
        <v>0</v>
      </c>
      <c r="S2247" s="58">
        <v>0</v>
      </c>
      <c r="T2247" s="58">
        <v>0</v>
      </c>
      <c r="U2247" s="58">
        <v>0</v>
      </c>
      <c r="V2247" s="58">
        <v>0</v>
      </c>
      <c r="AG2247" t="s">
        <v>1965</v>
      </c>
      <c r="AM2247" s="1" t="str">
        <f t="shared" si="136"/>
        <v>2245_C0013_1018.jpg</v>
      </c>
    </row>
    <row r="2248" spans="1:39" x14ac:dyDescent="0.35">
      <c r="A2248">
        <v>2244</v>
      </c>
      <c r="B2248">
        <v>2245</v>
      </c>
      <c r="F2248" s="64" t="s">
        <v>5284</v>
      </c>
      <c r="G2248" s="64"/>
      <c r="H2248" s="64"/>
      <c r="I2248" s="64">
        <v>1</v>
      </c>
      <c r="J2248" s="32" t="str">
        <f>IF(AND(E2248=1,OR(E2247=0,E2247="")),MAX(#REF!)+1,IF(AND(E2248=1,E2247=1),J2247,""))</f>
        <v/>
      </c>
      <c r="K2248" s="32" t="str">
        <f t="shared" si="137"/>
        <v/>
      </c>
      <c r="L2248" s="32" t="str">
        <f t="shared" si="138"/>
        <v/>
      </c>
      <c r="M2248" s="32" t="str">
        <f t="shared" si="139"/>
        <v/>
      </c>
      <c r="N2248" s="4">
        <v>1</v>
      </c>
      <c r="O2248" s="58">
        <v>0</v>
      </c>
      <c r="P2248" s="58">
        <v>0</v>
      </c>
      <c r="Q2248" s="58">
        <v>0</v>
      </c>
      <c r="R2248" s="58">
        <v>0</v>
      </c>
      <c r="S2248" s="58">
        <v>0</v>
      </c>
      <c r="T2248" s="58">
        <v>0</v>
      </c>
      <c r="U2248" s="58">
        <v>0</v>
      </c>
      <c r="V2248" s="58">
        <v>0</v>
      </c>
      <c r="AG2248" t="s">
        <v>1966</v>
      </c>
      <c r="AM2248" s="1" t="str">
        <f t="shared" si="136"/>
        <v>2246_C0013_1015.jpg</v>
      </c>
    </row>
    <row r="2249" spans="1:39" x14ac:dyDescent="0.35">
      <c r="A2249">
        <v>2245</v>
      </c>
      <c r="B2249">
        <v>2246</v>
      </c>
      <c r="F2249" s="64" t="s">
        <v>5285</v>
      </c>
      <c r="G2249" s="64"/>
      <c r="H2249" s="64"/>
      <c r="I2249" s="64">
        <v>1</v>
      </c>
      <c r="J2249" s="32" t="str">
        <f>IF(AND(E2249=1,OR(E2248=0,E2248="")),MAX(#REF!)+1,IF(AND(E2249=1,E2248=1),J2248,""))</f>
        <v/>
      </c>
      <c r="K2249" s="32" t="str">
        <f t="shared" si="137"/>
        <v/>
      </c>
      <c r="L2249" s="32" t="str">
        <f t="shared" si="138"/>
        <v/>
      </c>
      <c r="M2249" s="32" t="str">
        <f t="shared" si="139"/>
        <v/>
      </c>
      <c r="N2249" s="4">
        <v>1</v>
      </c>
      <c r="O2249" s="58">
        <v>0</v>
      </c>
      <c r="P2249" s="58">
        <v>0</v>
      </c>
      <c r="Q2249" s="58">
        <v>0</v>
      </c>
      <c r="R2249" s="58">
        <v>0</v>
      </c>
      <c r="S2249" s="58">
        <v>0</v>
      </c>
      <c r="T2249" s="58">
        <v>0</v>
      </c>
      <c r="U2249" s="58">
        <v>0</v>
      </c>
      <c r="V2249" s="58">
        <v>0</v>
      </c>
      <c r="AG2249" t="s">
        <v>1967</v>
      </c>
      <c r="AM2249" s="1" t="str">
        <f t="shared" si="136"/>
        <v>2247_C0013_1012.jpg</v>
      </c>
    </row>
    <row r="2250" spans="1:39" x14ac:dyDescent="0.35">
      <c r="A2250">
        <v>2246</v>
      </c>
      <c r="B2250">
        <v>2247</v>
      </c>
      <c r="F2250" s="64" t="s">
        <v>5286</v>
      </c>
      <c r="G2250" s="64"/>
      <c r="H2250" s="64"/>
      <c r="I2250" s="64">
        <v>0</v>
      </c>
      <c r="J2250" s="32" t="str">
        <f>IF(AND(E2250=1,OR(E2249=0,E2249="")),MAX(#REF!)+1,IF(AND(E2250=1,E2249=1),J2249,""))</f>
        <v/>
      </c>
      <c r="K2250" s="32" t="str">
        <f t="shared" si="137"/>
        <v/>
      </c>
      <c r="L2250" s="32" t="str">
        <f t="shared" si="138"/>
        <v/>
      </c>
      <c r="M2250" s="32" t="str">
        <f t="shared" si="139"/>
        <v/>
      </c>
      <c r="N2250" s="4">
        <v>1</v>
      </c>
      <c r="O2250" s="58">
        <v>0</v>
      </c>
      <c r="P2250" s="58">
        <v>0</v>
      </c>
      <c r="Q2250" s="58">
        <v>0</v>
      </c>
      <c r="R2250" s="58">
        <v>0</v>
      </c>
      <c r="S2250" s="58">
        <v>0</v>
      </c>
      <c r="T2250" s="58">
        <v>0</v>
      </c>
      <c r="U2250" s="58">
        <v>0</v>
      </c>
      <c r="V2250" s="58">
        <v>0</v>
      </c>
      <c r="AG2250" t="s">
        <v>1968</v>
      </c>
      <c r="AM2250" s="1" t="str">
        <f t="shared" si="136"/>
        <v>2248_C0013_1009.jpg</v>
      </c>
    </row>
    <row r="2251" spans="1:39" x14ac:dyDescent="0.35">
      <c r="A2251">
        <v>2247</v>
      </c>
      <c r="B2251">
        <v>2248</v>
      </c>
      <c r="F2251" s="64" t="s">
        <v>5287</v>
      </c>
      <c r="G2251" s="64"/>
      <c r="H2251" s="64"/>
      <c r="I2251" s="64">
        <v>0</v>
      </c>
      <c r="J2251" s="32" t="str">
        <f>IF(AND(E2251=1,OR(E2250=0,E2250="")),MAX(#REF!)+1,IF(AND(E2251=1,E2250=1),J2250,""))</f>
        <v/>
      </c>
      <c r="K2251" s="32" t="str">
        <f t="shared" si="137"/>
        <v/>
      </c>
      <c r="L2251" s="32" t="str">
        <f t="shared" si="138"/>
        <v/>
      </c>
      <c r="M2251" s="32" t="str">
        <f t="shared" si="139"/>
        <v/>
      </c>
      <c r="N2251" s="4">
        <v>1</v>
      </c>
      <c r="O2251" s="58">
        <v>0</v>
      </c>
      <c r="P2251" s="58">
        <v>0</v>
      </c>
      <c r="Q2251" s="58">
        <v>0</v>
      </c>
      <c r="R2251" s="58">
        <v>0</v>
      </c>
      <c r="S2251" s="58">
        <v>0</v>
      </c>
      <c r="T2251" s="58">
        <v>0</v>
      </c>
      <c r="U2251" s="58">
        <v>0</v>
      </c>
      <c r="V2251" s="58">
        <v>0</v>
      </c>
      <c r="AG2251" t="s">
        <v>1969</v>
      </c>
      <c r="AM2251" s="1" t="str">
        <f t="shared" ref="AM2251:AM2314" si="140">HYPERLINK("E:\CAFNEC_GBRF\2023\JohnstoneRiver\Frames_for_Analysis\" &amp; F2252, F2252)</f>
        <v>2249_C0013_1006.jpg</v>
      </c>
    </row>
    <row r="2252" spans="1:39" x14ac:dyDescent="0.35">
      <c r="A2252">
        <v>2248</v>
      </c>
      <c r="B2252">
        <v>2249</v>
      </c>
      <c r="F2252" s="64" t="s">
        <v>5288</v>
      </c>
      <c r="G2252" s="64"/>
      <c r="H2252" s="64"/>
      <c r="I2252" s="64">
        <v>0</v>
      </c>
      <c r="J2252" s="32" t="str">
        <f>IF(AND(E2252=1,OR(E2251=0,E2251="")),MAX(#REF!)+1,IF(AND(E2252=1,E2251=1),J2251,""))</f>
        <v/>
      </c>
      <c r="K2252" s="32" t="str">
        <f t="shared" si="137"/>
        <v/>
      </c>
      <c r="L2252" s="32" t="str">
        <f t="shared" si="138"/>
        <v/>
      </c>
      <c r="M2252" s="32" t="str">
        <f t="shared" si="139"/>
        <v/>
      </c>
      <c r="N2252" s="4">
        <v>1</v>
      </c>
      <c r="O2252" s="58">
        <v>0</v>
      </c>
      <c r="P2252" s="58">
        <v>0</v>
      </c>
      <c r="Q2252" s="58">
        <v>0</v>
      </c>
      <c r="R2252" s="58">
        <v>0</v>
      </c>
      <c r="S2252" s="58">
        <v>0</v>
      </c>
      <c r="T2252" s="58">
        <v>0</v>
      </c>
      <c r="U2252" s="58">
        <v>0</v>
      </c>
      <c r="V2252" s="58">
        <v>0</v>
      </c>
      <c r="AG2252" t="s">
        <v>1970</v>
      </c>
      <c r="AM2252" s="1" t="str">
        <f t="shared" si="140"/>
        <v>2250_C0013_1003.jpg</v>
      </c>
    </row>
    <row r="2253" spans="1:39" x14ac:dyDescent="0.35">
      <c r="A2253">
        <v>2249</v>
      </c>
      <c r="B2253">
        <v>2250</v>
      </c>
      <c r="F2253" s="64" t="s">
        <v>5289</v>
      </c>
      <c r="G2253" s="64"/>
      <c r="H2253" s="64"/>
      <c r="I2253" s="64">
        <v>0</v>
      </c>
      <c r="J2253" s="32" t="str">
        <f>IF(AND(E2253=1,OR(E2252=0,E2252="")),MAX(#REF!)+1,IF(AND(E2253=1,E2252=1),J2252,""))</f>
        <v/>
      </c>
      <c r="K2253" s="32" t="str">
        <f t="shared" si="137"/>
        <v/>
      </c>
      <c r="L2253" s="32" t="str">
        <f t="shared" si="138"/>
        <v/>
      </c>
      <c r="M2253" s="32" t="str">
        <f t="shared" si="139"/>
        <v/>
      </c>
      <c r="N2253" s="4">
        <v>1</v>
      </c>
      <c r="O2253" s="58">
        <v>0</v>
      </c>
      <c r="P2253" s="58">
        <v>0</v>
      </c>
      <c r="Q2253" s="58">
        <v>0</v>
      </c>
      <c r="R2253" s="58">
        <v>0</v>
      </c>
      <c r="S2253" s="58">
        <v>0</v>
      </c>
      <c r="T2253" s="58">
        <v>0</v>
      </c>
      <c r="U2253" s="58">
        <v>0</v>
      </c>
      <c r="V2253" s="58">
        <v>0</v>
      </c>
      <c r="AG2253" t="s">
        <v>1971</v>
      </c>
      <c r="AM2253" s="1" t="str">
        <f t="shared" si="140"/>
        <v>2251_C0013_1000.jpg</v>
      </c>
    </row>
    <row r="2254" spans="1:39" x14ac:dyDescent="0.35">
      <c r="A2254">
        <v>2250</v>
      </c>
      <c r="B2254">
        <v>2251</v>
      </c>
      <c r="F2254" s="64" t="s">
        <v>5290</v>
      </c>
      <c r="G2254" s="64"/>
      <c r="H2254" s="64"/>
      <c r="I2254" s="64">
        <v>1</v>
      </c>
      <c r="J2254" s="32" t="str">
        <f>IF(AND(E2254=1,OR(E2253=0,E2253="")),MAX(#REF!)+1,IF(AND(E2254=1,E2253=1),J2253,""))</f>
        <v/>
      </c>
      <c r="K2254" s="32" t="str">
        <f t="shared" si="137"/>
        <v/>
      </c>
      <c r="L2254" s="32" t="str">
        <f t="shared" si="138"/>
        <v/>
      </c>
      <c r="M2254" s="32" t="str">
        <f t="shared" si="139"/>
        <v/>
      </c>
      <c r="N2254" s="4">
        <v>1</v>
      </c>
      <c r="O2254" s="58">
        <v>0</v>
      </c>
      <c r="P2254" s="58">
        <v>0</v>
      </c>
      <c r="Q2254" s="58">
        <v>0</v>
      </c>
      <c r="R2254" s="58">
        <v>0</v>
      </c>
      <c r="S2254" s="58">
        <v>0</v>
      </c>
      <c r="T2254" s="58">
        <v>0</v>
      </c>
      <c r="U2254" s="58">
        <v>0</v>
      </c>
      <c r="V2254" s="58">
        <v>0</v>
      </c>
      <c r="AG2254" t="s">
        <v>1972</v>
      </c>
      <c r="AM2254" s="1" t="str">
        <f t="shared" si="140"/>
        <v>2252_C0013_0996.jpg</v>
      </c>
    </row>
    <row r="2255" spans="1:39" x14ac:dyDescent="0.35">
      <c r="A2255">
        <v>2251</v>
      </c>
      <c r="B2255">
        <v>2252</v>
      </c>
      <c r="F2255" s="64" t="s">
        <v>5291</v>
      </c>
      <c r="G2255" s="64"/>
      <c r="H2255" s="64"/>
      <c r="I2255" s="64">
        <v>1</v>
      </c>
      <c r="J2255" s="32" t="str">
        <f>IF(AND(E2255=1,OR(E2254=0,E2254="")),MAX(#REF!)+1,IF(AND(E2255=1,E2254=1),J2254,""))</f>
        <v/>
      </c>
      <c r="K2255" s="32" t="str">
        <f t="shared" si="137"/>
        <v/>
      </c>
      <c r="L2255" s="32" t="str">
        <f t="shared" si="138"/>
        <v/>
      </c>
      <c r="M2255" s="32" t="str">
        <f t="shared" si="139"/>
        <v/>
      </c>
      <c r="N2255" s="4">
        <v>1</v>
      </c>
      <c r="O2255" s="58">
        <v>0</v>
      </c>
      <c r="P2255" s="58">
        <v>0</v>
      </c>
      <c r="Q2255" s="58">
        <v>0</v>
      </c>
      <c r="R2255" s="58">
        <v>0</v>
      </c>
      <c r="S2255" s="58">
        <v>0</v>
      </c>
      <c r="T2255" s="58">
        <v>0</v>
      </c>
      <c r="U2255" s="58">
        <v>0</v>
      </c>
      <c r="V2255" s="58">
        <v>0</v>
      </c>
      <c r="AG2255" t="s">
        <v>1973</v>
      </c>
      <c r="AM2255" s="1" t="str">
        <f t="shared" si="140"/>
        <v>2253_C0013_0993.jpg</v>
      </c>
    </row>
    <row r="2256" spans="1:39" x14ac:dyDescent="0.35">
      <c r="A2256">
        <v>2252</v>
      </c>
      <c r="B2256">
        <v>2253</v>
      </c>
      <c r="F2256" s="64" t="s">
        <v>5292</v>
      </c>
      <c r="G2256" s="64"/>
      <c r="H2256" s="64"/>
      <c r="I2256" s="64">
        <v>1</v>
      </c>
      <c r="J2256" s="32" t="str">
        <f>IF(AND(E2256=1,OR(E2255=0,E2255="")),MAX(#REF!)+1,IF(AND(E2256=1,E2255=1),J2255,""))</f>
        <v/>
      </c>
      <c r="K2256" s="32" t="str">
        <f t="shared" si="137"/>
        <v/>
      </c>
      <c r="L2256" s="32" t="str">
        <f t="shared" si="138"/>
        <v/>
      </c>
      <c r="M2256" s="32" t="str">
        <f t="shared" si="139"/>
        <v/>
      </c>
      <c r="N2256" s="4">
        <v>1</v>
      </c>
      <c r="O2256" s="58">
        <v>0</v>
      </c>
      <c r="P2256" s="58">
        <v>0</v>
      </c>
      <c r="Q2256" s="58">
        <v>0</v>
      </c>
      <c r="R2256" s="58">
        <v>0</v>
      </c>
      <c r="S2256" s="58">
        <v>0</v>
      </c>
      <c r="T2256" s="58">
        <v>0</v>
      </c>
      <c r="U2256" s="58">
        <v>0</v>
      </c>
      <c r="V2256" s="58">
        <v>0</v>
      </c>
      <c r="AG2256" t="s">
        <v>1974</v>
      </c>
      <c r="AM2256" s="1" t="str">
        <f t="shared" si="140"/>
        <v>2254_C0013_0990.jpg</v>
      </c>
    </row>
    <row r="2257" spans="1:39" x14ac:dyDescent="0.35">
      <c r="A2257">
        <v>2253</v>
      </c>
      <c r="B2257">
        <v>2254</v>
      </c>
      <c r="F2257" s="64" t="s">
        <v>5293</v>
      </c>
      <c r="G2257" s="64"/>
      <c r="H2257" s="64"/>
      <c r="I2257" s="64">
        <v>1</v>
      </c>
      <c r="J2257" s="32" t="str">
        <f>IF(AND(E2257=1,OR(E2256=0,E2256="")),MAX(#REF!)+1,IF(AND(E2257=1,E2256=1),J2256,""))</f>
        <v/>
      </c>
      <c r="K2257" s="32" t="str">
        <f t="shared" si="137"/>
        <v/>
      </c>
      <c r="L2257" s="32" t="str">
        <f t="shared" si="138"/>
        <v/>
      </c>
      <c r="M2257" s="32" t="str">
        <f t="shared" si="139"/>
        <v/>
      </c>
      <c r="N2257" s="4">
        <v>1</v>
      </c>
      <c r="O2257" s="58">
        <v>0</v>
      </c>
      <c r="P2257" s="58">
        <v>0</v>
      </c>
      <c r="Q2257" s="58">
        <v>0</v>
      </c>
      <c r="R2257" s="58">
        <v>0</v>
      </c>
      <c r="S2257" s="58">
        <v>0</v>
      </c>
      <c r="T2257" s="58">
        <v>0</v>
      </c>
      <c r="U2257" s="58">
        <v>0</v>
      </c>
      <c r="V2257" s="58">
        <v>0</v>
      </c>
      <c r="AG2257" t="s">
        <v>1975</v>
      </c>
      <c r="AM2257" s="1" t="str">
        <f t="shared" si="140"/>
        <v>2255_C0013_0987.jpg</v>
      </c>
    </row>
    <row r="2258" spans="1:39" x14ac:dyDescent="0.35">
      <c r="A2258">
        <v>2254</v>
      </c>
      <c r="B2258">
        <v>2255</v>
      </c>
      <c r="F2258" s="64" t="s">
        <v>5294</v>
      </c>
      <c r="G2258" s="64"/>
      <c r="H2258" s="64"/>
      <c r="I2258" s="64">
        <v>1</v>
      </c>
      <c r="J2258" s="32">
        <v>181</v>
      </c>
      <c r="K2258" s="32">
        <f t="shared" si="137"/>
        <v>10</v>
      </c>
      <c r="L2258" s="32" t="str">
        <f t="shared" si="138"/>
        <v/>
      </c>
      <c r="M2258" s="32">
        <f t="shared" si="139"/>
        <v>100</v>
      </c>
      <c r="N2258" s="4">
        <v>1</v>
      </c>
      <c r="O2258" s="58">
        <v>0</v>
      </c>
      <c r="P2258" s="58">
        <v>0</v>
      </c>
      <c r="Q2258" s="58">
        <v>0</v>
      </c>
      <c r="R2258" s="58">
        <v>0</v>
      </c>
      <c r="S2258" s="58">
        <v>0</v>
      </c>
      <c r="T2258" s="58">
        <v>0</v>
      </c>
      <c r="U2258" s="58">
        <v>0</v>
      </c>
      <c r="V2258" s="58">
        <v>0</v>
      </c>
      <c r="AG2258" t="s">
        <v>1976</v>
      </c>
      <c r="AM2258" s="1" t="str">
        <f t="shared" si="140"/>
        <v>2256_C0013_0983.jpg</v>
      </c>
    </row>
    <row r="2259" spans="1:39" x14ac:dyDescent="0.35">
      <c r="A2259">
        <v>2255</v>
      </c>
      <c r="B2259">
        <v>2256</v>
      </c>
      <c r="F2259" s="64" t="s">
        <v>5295</v>
      </c>
      <c r="G2259" s="64"/>
      <c r="H2259" s="64"/>
      <c r="I2259" s="64">
        <v>1</v>
      </c>
      <c r="J2259" s="32" t="str">
        <f>IF(AND(E2259=1,OR(E2258=0,E2258="")),MAX(#REF!)+1,IF(AND(E2259=1,E2258=1),J2258,""))</f>
        <v/>
      </c>
      <c r="K2259" s="32" t="str">
        <f t="shared" si="137"/>
        <v/>
      </c>
      <c r="L2259" s="32" t="str">
        <f t="shared" si="138"/>
        <v/>
      </c>
      <c r="M2259" s="32" t="str">
        <f t="shared" si="139"/>
        <v/>
      </c>
      <c r="N2259" s="4">
        <v>1</v>
      </c>
      <c r="O2259" s="58">
        <v>0</v>
      </c>
      <c r="P2259" s="58">
        <v>0</v>
      </c>
      <c r="Q2259" s="58">
        <v>0</v>
      </c>
      <c r="R2259" s="58">
        <v>0</v>
      </c>
      <c r="S2259" s="58">
        <v>0</v>
      </c>
      <c r="T2259" s="58">
        <v>0</v>
      </c>
      <c r="U2259" s="58">
        <v>0</v>
      </c>
      <c r="V2259" s="58">
        <v>0</v>
      </c>
      <c r="AG2259" t="s">
        <v>1977</v>
      </c>
      <c r="AM2259" s="1" t="str">
        <f t="shared" si="140"/>
        <v>2257_C0013_0980.jpg</v>
      </c>
    </row>
    <row r="2260" spans="1:39" x14ac:dyDescent="0.35">
      <c r="A2260">
        <v>2256</v>
      </c>
      <c r="B2260">
        <v>2257</v>
      </c>
      <c r="F2260" s="64" t="s">
        <v>5296</v>
      </c>
      <c r="G2260" s="64"/>
      <c r="H2260" s="64"/>
      <c r="I2260" s="64">
        <v>1</v>
      </c>
      <c r="J2260" s="32">
        <v>182</v>
      </c>
      <c r="K2260" s="32">
        <f t="shared" si="137"/>
        <v>10</v>
      </c>
      <c r="L2260" s="32" t="str">
        <f t="shared" si="138"/>
        <v/>
      </c>
      <c r="M2260" s="32">
        <f t="shared" si="139"/>
        <v>100</v>
      </c>
      <c r="N2260" s="4">
        <v>1</v>
      </c>
      <c r="O2260" s="58">
        <v>0</v>
      </c>
      <c r="P2260" s="58">
        <v>0</v>
      </c>
      <c r="Q2260" s="58">
        <v>0</v>
      </c>
      <c r="R2260" s="58">
        <v>0</v>
      </c>
      <c r="S2260" s="58">
        <v>0</v>
      </c>
      <c r="T2260" s="58">
        <v>0</v>
      </c>
      <c r="U2260" s="58">
        <v>0</v>
      </c>
      <c r="V2260" s="58">
        <v>0</v>
      </c>
      <c r="AG2260" t="s">
        <v>1978</v>
      </c>
      <c r="AM2260" s="1" t="str">
        <f t="shared" si="140"/>
        <v>2258_C0013_0977.jpg</v>
      </c>
    </row>
    <row r="2261" spans="1:39" x14ac:dyDescent="0.35">
      <c r="A2261">
        <v>2257</v>
      </c>
      <c r="B2261">
        <v>2258</v>
      </c>
      <c r="F2261" s="64" t="s">
        <v>5297</v>
      </c>
      <c r="G2261" s="64"/>
      <c r="H2261" s="64"/>
      <c r="I2261" s="64">
        <v>1</v>
      </c>
      <c r="J2261" s="32" t="str">
        <f>IF(AND(E2261=1,OR(E2260=0,E2260="")),MAX(#REF!)+1,IF(AND(E2261=1,E2260=1),J2260,""))</f>
        <v/>
      </c>
      <c r="K2261" s="32" t="str">
        <f t="shared" si="137"/>
        <v/>
      </c>
      <c r="L2261" s="32" t="str">
        <f t="shared" si="138"/>
        <v/>
      </c>
      <c r="M2261" s="32" t="str">
        <f t="shared" si="139"/>
        <v/>
      </c>
      <c r="N2261" s="4">
        <v>1</v>
      </c>
      <c r="O2261" s="58">
        <v>0</v>
      </c>
      <c r="P2261" s="58">
        <v>0</v>
      </c>
      <c r="Q2261" s="58">
        <v>0</v>
      </c>
      <c r="R2261" s="58">
        <v>0</v>
      </c>
      <c r="S2261" s="58">
        <v>0</v>
      </c>
      <c r="T2261" s="58">
        <v>0</v>
      </c>
      <c r="U2261" s="58">
        <v>0</v>
      </c>
      <c r="V2261" s="58">
        <v>0</v>
      </c>
      <c r="AG2261" t="s">
        <v>1979</v>
      </c>
      <c r="AM2261" s="1" t="str">
        <f t="shared" si="140"/>
        <v>2259_C0013_0974.jpg</v>
      </c>
    </row>
    <row r="2262" spans="1:39" x14ac:dyDescent="0.35">
      <c r="A2262">
        <v>2258</v>
      </c>
      <c r="B2262">
        <v>2259</v>
      </c>
      <c r="F2262" s="64" t="s">
        <v>5298</v>
      </c>
      <c r="G2262" s="64"/>
      <c r="H2262" s="64"/>
      <c r="I2262" s="64">
        <v>1</v>
      </c>
      <c r="J2262" s="32" t="str">
        <f>IF(AND(E2262=1,OR(E2261=0,E2261="")),MAX(#REF!)+1,IF(AND(E2262=1,E2261=1),J2261,""))</f>
        <v/>
      </c>
      <c r="K2262" s="32" t="str">
        <f t="shared" si="137"/>
        <v/>
      </c>
      <c r="L2262" s="32" t="str">
        <f t="shared" si="138"/>
        <v/>
      </c>
      <c r="M2262" s="32" t="str">
        <f t="shared" si="139"/>
        <v/>
      </c>
      <c r="N2262" s="4">
        <v>1</v>
      </c>
      <c r="O2262" s="58">
        <v>0</v>
      </c>
      <c r="P2262" s="58">
        <v>0</v>
      </c>
      <c r="Q2262" s="58">
        <v>0</v>
      </c>
      <c r="R2262" s="58">
        <v>0</v>
      </c>
      <c r="S2262" s="58">
        <v>0</v>
      </c>
      <c r="T2262" s="58">
        <v>0</v>
      </c>
      <c r="U2262" s="58">
        <v>0</v>
      </c>
      <c r="V2262" s="58">
        <v>0</v>
      </c>
      <c r="AG2262" t="s">
        <v>1980</v>
      </c>
      <c r="AM2262" s="1" t="str">
        <f t="shared" si="140"/>
        <v>2260_C0013_0971.jpg</v>
      </c>
    </row>
    <row r="2263" spans="1:39" x14ac:dyDescent="0.35">
      <c r="A2263">
        <v>2259</v>
      </c>
      <c r="B2263">
        <v>2260</v>
      </c>
      <c r="F2263" s="64" t="s">
        <v>5299</v>
      </c>
      <c r="G2263" s="64"/>
      <c r="H2263" s="64"/>
      <c r="I2263" s="64">
        <v>1</v>
      </c>
      <c r="J2263" s="32" t="str">
        <f>IF(AND(E2263=1,OR(E2262=0,E2262="")),MAX(#REF!)+1,IF(AND(E2263=1,E2262=1),J2262,""))</f>
        <v/>
      </c>
      <c r="K2263" s="32" t="str">
        <f t="shared" si="137"/>
        <v/>
      </c>
      <c r="L2263" s="32" t="str">
        <f t="shared" si="138"/>
        <v/>
      </c>
      <c r="M2263" s="32" t="str">
        <f t="shared" si="139"/>
        <v/>
      </c>
      <c r="N2263" s="4">
        <v>1</v>
      </c>
      <c r="O2263" s="58">
        <v>0</v>
      </c>
      <c r="P2263" s="58">
        <v>0</v>
      </c>
      <c r="Q2263" s="58">
        <v>0</v>
      </c>
      <c r="R2263" s="58">
        <v>0</v>
      </c>
      <c r="S2263" s="58">
        <v>0</v>
      </c>
      <c r="T2263" s="58">
        <v>0</v>
      </c>
      <c r="U2263" s="58">
        <v>0</v>
      </c>
      <c r="V2263" s="58">
        <v>0</v>
      </c>
      <c r="AG2263" t="s">
        <v>1981</v>
      </c>
      <c r="AM2263" s="1" t="str">
        <f t="shared" si="140"/>
        <v>2261_C0013_0968.jpg</v>
      </c>
    </row>
    <row r="2264" spans="1:39" x14ac:dyDescent="0.35">
      <c r="A2264">
        <v>2260</v>
      </c>
      <c r="B2264">
        <v>2261</v>
      </c>
      <c r="F2264" s="64" t="s">
        <v>5300</v>
      </c>
      <c r="G2264" s="64"/>
      <c r="H2264" s="64"/>
      <c r="I2264" s="64">
        <v>1</v>
      </c>
      <c r="J2264" s="32" t="str">
        <f>IF(AND(E2264=1,OR(E2263=0,E2263="")),MAX(#REF!)+1,IF(AND(E2264=1,E2263=1),J2263,""))</f>
        <v/>
      </c>
      <c r="K2264" s="32" t="str">
        <f t="shared" si="137"/>
        <v/>
      </c>
      <c r="L2264" s="32" t="str">
        <f t="shared" si="138"/>
        <v/>
      </c>
      <c r="M2264" s="32" t="str">
        <f t="shared" si="139"/>
        <v/>
      </c>
      <c r="N2264" s="4">
        <v>1</v>
      </c>
      <c r="O2264" s="58">
        <v>0</v>
      </c>
      <c r="P2264" s="58">
        <v>0</v>
      </c>
      <c r="Q2264" s="58">
        <v>0</v>
      </c>
      <c r="R2264" s="58">
        <v>0</v>
      </c>
      <c r="S2264" s="58">
        <v>0</v>
      </c>
      <c r="T2264" s="58">
        <v>0</v>
      </c>
      <c r="U2264" s="58">
        <v>0</v>
      </c>
      <c r="V2264" s="58">
        <v>0</v>
      </c>
      <c r="AG2264" t="s">
        <v>1982</v>
      </c>
      <c r="AM2264" s="1" t="str">
        <f t="shared" si="140"/>
        <v>2262_C0013_0965.jpg</v>
      </c>
    </row>
    <row r="2265" spans="1:39" x14ac:dyDescent="0.35">
      <c r="A2265">
        <v>2261</v>
      </c>
      <c r="B2265">
        <v>2262</v>
      </c>
      <c r="F2265" s="64" t="s">
        <v>5301</v>
      </c>
      <c r="G2265" s="64"/>
      <c r="H2265" s="64"/>
      <c r="I2265" s="64">
        <v>1</v>
      </c>
      <c r="J2265" s="32" t="str">
        <f>IF(AND(E2265=1,OR(E2264=0,E2264="")),MAX(#REF!)+1,IF(AND(E2265=1,E2264=1),J2264,""))</f>
        <v/>
      </c>
      <c r="K2265" s="32" t="str">
        <f t="shared" si="137"/>
        <v/>
      </c>
      <c r="L2265" s="32" t="str">
        <f t="shared" si="138"/>
        <v/>
      </c>
      <c r="M2265" s="32" t="str">
        <f t="shared" si="139"/>
        <v/>
      </c>
      <c r="N2265" s="4">
        <v>1</v>
      </c>
      <c r="O2265" s="58">
        <v>0</v>
      </c>
      <c r="P2265" s="58">
        <v>0</v>
      </c>
      <c r="Q2265" s="58">
        <v>0</v>
      </c>
      <c r="R2265" s="58">
        <v>0</v>
      </c>
      <c r="S2265" s="58">
        <v>0</v>
      </c>
      <c r="T2265" s="58">
        <v>0</v>
      </c>
      <c r="U2265" s="58">
        <v>0</v>
      </c>
      <c r="V2265" s="58">
        <v>0</v>
      </c>
      <c r="AG2265" t="s">
        <v>1983</v>
      </c>
      <c r="AM2265" s="1" t="str">
        <f t="shared" si="140"/>
        <v>2263_C0013_0962.jpg</v>
      </c>
    </row>
    <row r="2266" spans="1:39" x14ac:dyDescent="0.35">
      <c r="A2266">
        <v>2262</v>
      </c>
      <c r="B2266">
        <v>2263</v>
      </c>
      <c r="F2266" s="64" t="s">
        <v>5302</v>
      </c>
      <c r="G2266" s="64"/>
      <c r="H2266" s="64"/>
      <c r="I2266" s="64">
        <v>1</v>
      </c>
      <c r="J2266" s="32" t="str">
        <f>IF(AND(E2266=1,OR(E2265=0,E2265="")),MAX(#REF!)+1,IF(AND(E2266=1,E2265=1),J2265,""))</f>
        <v/>
      </c>
      <c r="K2266" s="32" t="str">
        <f t="shared" si="137"/>
        <v/>
      </c>
      <c r="L2266" s="32" t="str">
        <f t="shared" si="138"/>
        <v/>
      </c>
      <c r="M2266" s="32" t="str">
        <f t="shared" si="139"/>
        <v/>
      </c>
      <c r="N2266" s="4">
        <v>1</v>
      </c>
      <c r="O2266" s="58">
        <v>0</v>
      </c>
      <c r="P2266" s="58">
        <v>0</v>
      </c>
      <c r="Q2266" s="58">
        <v>0</v>
      </c>
      <c r="R2266" s="58">
        <v>0</v>
      </c>
      <c r="S2266" s="58">
        <v>0</v>
      </c>
      <c r="T2266" s="58">
        <v>0</v>
      </c>
      <c r="U2266" s="58">
        <v>0</v>
      </c>
      <c r="V2266" s="58">
        <v>0</v>
      </c>
      <c r="AG2266" t="s">
        <v>1984</v>
      </c>
      <c r="AM2266" s="1" t="str">
        <f t="shared" si="140"/>
        <v>2264_C0013_0959.jpg</v>
      </c>
    </row>
    <row r="2267" spans="1:39" x14ac:dyDescent="0.35">
      <c r="A2267">
        <v>2263</v>
      </c>
      <c r="B2267">
        <v>2264</v>
      </c>
      <c r="F2267" s="64" t="s">
        <v>5303</v>
      </c>
      <c r="G2267" s="64"/>
      <c r="H2267" s="64"/>
      <c r="I2267" s="64">
        <v>1</v>
      </c>
      <c r="J2267" s="32" t="str">
        <f>IF(AND(E2267=1,OR(E2266=0,E2266="")),MAX(#REF!)+1,IF(AND(E2267=1,E2266=1),J2266,""))</f>
        <v/>
      </c>
      <c r="K2267" s="32" t="str">
        <f t="shared" si="137"/>
        <v/>
      </c>
      <c r="L2267" s="32" t="str">
        <f t="shared" si="138"/>
        <v/>
      </c>
      <c r="M2267" s="32" t="str">
        <f t="shared" si="139"/>
        <v/>
      </c>
      <c r="N2267" s="4">
        <v>1</v>
      </c>
      <c r="O2267" s="58">
        <v>0</v>
      </c>
      <c r="P2267" s="58">
        <v>0</v>
      </c>
      <c r="Q2267" s="58">
        <v>0</v>
      </c>
      <c r="R2267" s="58">
        <v>0</v>
      </c>
      <c r="S2267" s="58">
        <v>0</v>
      </c>
      <c r="T2267" s="58">
        <v>0</v>
      </c>
      <c r="U2267" s="58">
        <v>0</v>
      </c>
      <c r="V2267" s="58">
        <v>0</v>
      </c>
      <c r="AG2267" t="s">
        <v>1985</v>
      </c>
      <c r="AM2267" s="1" t="str">
        <f t="shared" si="140"/>
        <v>2265_C0013_0956.jpg</v>
      </c>
    </row>
    <row r="2268" spans="1:39" x14ac:dyDescent="0.35">
      <c r="A2268">
        <v>2264</v>
      </c>
      <c r="B2268">
        <v>2265</v>
      </c>
      <c r="F2268" s="64" t="s">
        <v>5304</v>
      </c>
      <c r="G2268" s="64"/>
      <c r="H2268" s="64"/>
      <c r="I2268" s="64">
        <v>1</v>
      </c>
      <c r="J2268" s="32" t="str">
        <f>IF(AND(E2268=1,OR(E2267=0,E2267="")),MAX(#REF!)+1,IF(AND(E2268=1,E2267=1),J2267,""))</f>
        <v/>
      </c>
      <c r="K2268" s="32" t="str">
        <f t="shared" si="137"/>
        <v/>
      </c>
      <c r="L2268" s="32" t="str">
        <f t="shared" si="138"/>
        <v/>
      </c>
      <c r="M2268" s="32" t="str">
        <f t="shared" si="139"/>
        <v/>
      </c>
      <c r="N2268" s="4">
        <v>1</v>
      </c>
      <c r="O2268" s="58">
        <v>0</v>
      </c>
      <c r="P2268" s="58">
        <v>0</v>
      </c>
      <c r="Q2268" s="58">
        <v>0</v>
      </c>
      <c r="R2268" s="58">
        <v>0</v>
      </c>
      <c r="S2268" s="58">
        <v>0</v>
      </c>
      <c r="T2268" s="58">
        <v>0</v>
      </c>
      <c r="U2268" s="58">
        <v>0</v>
      </c>
      <c r="V2268" s="58">
        <v>0</v>
      </c>
      <c r="AG2268" t="s">
        <v>1986</v>
      </c>
      <c r="AM2268" s="1" t="str">
        <f t="shared" si="140"/>
        <v>2266_C0013_0953.jpg</v>
      </c>
    </row>
    <row r="2269" spans="1:39" x14ac:dyDescent="0.35">
      <c r="A2269">
        <v>2265</v>
      </c>
      <c r="B2269">
        <v>2266</v>
      </c>
      <c r="F2269" s="64" t="s">
        <v>5305</v>
      </c>
      <c r="G2269" s="64"/>
      <c r="H2269" s="64"/>
      <c r="I2269" s="64">
        <v>1</v>
      </c>
      <c r="J2269" s="32" t="str">
        <f>IF(AND(E2269=1,OR(E2268=0,E2268="")),MAX(#REF!)+1,IF(AND(E2269=1,E2268=1),J2268,""))</f>
        <v/>
      </c>
      <c r="K2269" s="32" t="str">
        <f t="shared" si="137"/>
        <v/>
      </c>
      <c r="L2269" s="32" t="str">
        <f t="shared" si="138"/>
        <v/>
      </c>
      <c r="M2269" s="32" t="str">
        <f t="shared" si="139"/>
        <v/>
      </c>
      <c r="N2269" s="4">
        <v>1</v>
      </c>
      <c r="O2269" s="58">
        <v>0</v>
      </c>
      <c r="P2269" s="58">
        <v>0</v>
      </c>
      <c r="Q2269" s="58">
        <v>0</v>
      </c>
      <c r="R2269" s="58">
        <v>0</v>
      </c>
      <c r="S2269" s="58">
        <v>0</v>
      </c>
      <c r="T2269" s="58">
        <v>0</v>
      </c>
      <c r="U2269" s="58">
        <v>0</v>
      </c>
      <c r="V2269" s="58">
        <v>0</v>
      </c>
      <c r="AG2269" t="s">
        <v>1987</v>
      </c>
      <c r="AM2269" s="1" t="str">
        <f t="shared" si="140"/>
        <v>2267_C0013_0950.jpg</v>
      </c>
    </row>
    <row r="2270" spans="1:39" x14ac:dyDescent="0.35">
      <c r="A2270">
        <v>2266</v>
      </c>
      <c r="B2270">
        <v>2267</v>
      </c>
      <c r="F2270" s="64" t="s">
        <v>5306</v>
      </c>
      <c r="G2270" s="64"/>
      <c r="H2270" s="64"/>
      <c r="I2270" s="64">
        <v>1</v>
      </c>
      <c r="J2270" s="32" t="str">
        <f>IF(AND(E2270=1,OR(E2269=0,E2269="")),MAX(#REF!)+1,IF(AND(E2270=1,E2269=1),J2269,""))</f>
        <v/>
      </c>
      <c r="K2270" s="32" t="str">
        <f t="shared" si="137"/>
        <v/>
      </c>
      <c r="L2270" s="32" t="str">
        <f t="shared" si="138"/>
        <v/>
      </c>
      <c r="M2270" s="32" t="str">
        <f t="shared" si="139"/>
        <v/>
      </c>
      <c r="N2270" s="4">
        <v>1</v>
      </c>
      <c r="O2270" s="58">
        <v>0</v>
      </c>
      <c r="P2270" s="58">
        <v>0</v>
      </c>
      <c r="Q2270" s="58">
        <v>0</v>
      </c>
      <c r="R2270" s="58">
        <v>0</v>
      </c>
      <c r="S2270" s="58">
        <v>0</v>
      </c>
      <c r="T2270" s="58">
        <v>0</v>
      </c>
      <c r="U2270" s="58">
        <v>0</v>
      </c>
      <c r="V2270" s="58">
        <v>0</v>
      </c>
      <c r="AG2270" t="s">
        <v>1988</v>
      </c>
      <c r="AM2270" s="1" t="str">
        <f t="shared" si="140"/>
        <v>2268_C0013_0946.jpg</v>
      </c>
    </row>
    <row r="2271" spans="1:39" x14ac:dyDescent="0.35">
      <c r="A2271">
        <v>2267</v>
      </c>
      <c r="B2271">
        <v>2268</v>
      </c>
      <c r="F2271" s="64" t="s">
        <v>5307</v>
      </c>
      <c r="G2271" s="64"/>
      <c r="H2271" s="64"/>
      <c r="I2271" s="64">
        <v>1</v>
      </c>
      <c r="J2271" s="32" t="str">
        <f>IF(AND(E2271=1,OR(E2270=0,E2270="")),MAX(#REF!)+1,IF(AND(E2271=1,E2270=1),J2270,""))</f>
        <v/>
      </c>
      <c r="K2271" s="32" t="str">
        <f t="shared" ref="K2271:K2334" si="141">IF(J2271="","",COUNTIF(J:J,J2271)*10)</f>
        <v/>
      </c>
      <c r="L2271" s="32" t="str">
        <f t="shared" si="138"/>
        <v/>
      </c>
      <c r="M2271" s="32" t="str">
        <f t="shared" si="139"/>
        <v/>
      </c>
      <c r="N2271" s="4">
        <v>1</v>
      </c>
      <c r="O2271" s="58">
        <v>0</v>
      </c>
      <c r="P2271" s="58">
        <v>0</v>
      </c>
      <c r="Q2271" s="58">
        <v>0</v>
      </c>
      <c r="R2271" s="58">
        <v>0</v>
      </c>
      <c r="S2271" s="58">
        <v>0</v>
      </c>
      <c r="T2271" s="58">
        <v>0</v>
      </c>
      <c r="U2271" s="58">
        <v>0</v>
      </c>
      <c r="V2271" s="58">
        <v>0</v>
      </c>
      <c r="AG2271" t="s">
        <v>1989</v>
      </c>
      <c r="AM2271" s="1" t="str">
        <f t="shared" si="140"/>
        <v>2269_C0013_0943.jpg</v>
      </c>
    </row>
    <row r="2272" spans="1:39" x14ac:dyDescent="0.35">
      <c r="A2272">
        <v>2268</v>
      </c>
      <c r="B2272">
        <v>2269</v>
      </c>
      <c r="F2272" s="64" t="s">
        <v>5308</v>
      </c>
      <c r="G2272" s="64"/>
      <c r="H2272" s="64"/>
      <c r="I2272" s="64">
        <v>1</v>
      </c>
      <c r="J2272" s="32" t="str">
        <f>IF(AND(E2272=1,OR(E2271=0,E2271="")),MAX(#REF!)+1,IF(AND(E2272=1,E2271=1),J2271,""))</f>
        <v/>
      </c>
      <c r="K2272" s="32" t="str">
        <f t="shared" si="141"/>
        <v/>
      </c>
      <c r="L2272" s="32" t="str">
        <f t="shared" si="138"/>
        <v/>
      </c>
      <c r="M2272" s="32" t="str">
        <f t="shared" si="139"/>
        <v/>
      </c>
      <c r="N2272" s="4">
        <v>1</v>
      </c>
      <c r="O2272" s="58">
        <v>0</v>
      </c>
      <c r="P2272" s="58">
        <v>0</v>
      </c>
      <c r="Q2272" s="58">
        <v>0</v>
      </c>
      <c r="R2272" s="58">
        <v>0</v>
      </c>
      <c r="S2272" s="58">
        <v>0</v>
      </c>
      <c r="T2272" s="58">
        <v>0</v>
      </c>
      <c r="U2272" s="58">
        <v>0</v>
      </c>
      <c r="V2272" s="58">
        <v>0</v>
      </c>
      <c r="AG2272" t="s">
        <v>1990</v>
      </c>
      <c r="AM2272" s="1" t="str">
        <f t="shared" si="140"/>
        <v>2270_C0013_0940.jpg</v>
      </c>
    </row>
    <row r="2273" spans="1:39" x14ac:dyDescent="0.35">
      <c r="A2273">
        <v>2269</v>
      </c>
      <c r="B2273">
        <v>2270</v>
      </c>
      <c r="F2273" s="64" t="s">
        <v>5309</v>
      </c>
      <c r="G2273" s="64"/>
      <c r="H2273" s="64"/>
      <c r="I2273" s="64">
        <v>0</v>
      </c>
      <c r="J2273" s="32" t="str">
        <f>IF(AND(E2273=1,OR(E2272=0,E2272="")),MAX(#REF!)+1,IF(AND(E2273=1,E2272=1),J2272,""))</f>
        <v/>
      </c>
      <c r="K2273" s="32" t="str">
        <f t="shared" si="141"/>
        <v/>
      </c>
      <c r="L2273" s="32" t="str">
        <f t="shared" si="138"/>
        <v/>
      </c>
      <c r="M2273" s="32" t="str">
        <f t="shared" si="139"/>
        <v/>
      </c>
      <c r="N2273" s="4">
        <v>1</v>
      </c>
      <c r="O2273" s="58">
        <v>0</v>
      </c>
      <c r="P2273" s="58">
        <v>0</v>
      </c>
      <c r="Q2273" s="58">
        <v>0</v>
      </c>
      <c r="R2273" s="58">
        <v>0</v>
      </c>
      <c r="S2273" s="58">
        <v>0</v>
      </c>
      <c r="T2273" s="58">
        <v>0</v>
      </c>
      <c r="U2273" s="58">
        <v>0</v>
      </c>
      <c r="V2273" s="58">
        <v>0</v>
      </c>
      <c r="AG2273" t="s">
        <v>1991</v>
      </c>
      <c r="AM2273" s="1" t="str">
        <f t="shared" si="140"/>
        <v>2271_C0013_0936.jpg</v>
      </c>
    </row>
    <row r="2274" spans="1:39" x14ac:dyDescent="0.35">
      <c r="A2274">
        <v>2270</v>
      </c>
      <c r="B2274">
        <v>2271</v>
      </c>
      <c r="F2274" s="64" t="s">
        <v>5310</v>
      </c>
      <c r="G2274" s="64"/>
      <c r="H2274" s="64"/>
      <c r="I2274" s="64">
        <v>1</v>
      </c>
      <c r="J2274" s="32" t="str">
        <f>IF(AND(E2274=1,OR(E2273=0,E2273="")),MAX(#REF!)+1,IF(AND(E2274=1,E2273=1),J2273,""))</f>
        <v/>
      </c>
      <c r="K2274" s="32" t="str">
        <f t="shared" si="141"/>
        <v/>
      </c>
      <c r="L2274" s="32" t="str">
        <f t="shared" si="138"/>
        <v/>
      </c>
      <c r="M2274" s="32" t="str">
        <f t="shared" si="139"/>
        <v/>
      </c>
      <c r="N2274" s="4">
        <v>1</v>
      </c>
      <c r="O2274" s="58">
        <v>0</v>
      </c>
      <c r="P2274" s="58">
        <v>0</v>
      </c>
      <c r="Q2274" s="58">
        <v>0</v>
      </c>
      <c r="R2274" s="58">
        <v>0</v>
      </c>
      <c r="S2274" s="58">
        <v>0</v>
      </c>
      <c r="T2274" s="58">
        <v>0</v>
      </c>
      <c r="U2274" s="58">
        <v>0</v>
      </c>
      <c r="V2274" s="58">
        <v>0</v>
      </c>
      <c r="AG2274" t="s">
        <v>1992</v>
      </c>
      <c r="AM2274" s="1" t="str">
        <f t="shared" si="140"/>
        <v>2272_C0013_0933.jpg</v>
      </c>
    </row>
    <row r="2275" spans="1:39" x14ac:dyDescent="0.35">
      <c r="A2275">
        <v>2271</v>
      </c>
      <c r="B2275">
        <v>2272</v>
      </c>
      <c r="F2275" s="64" t="s">
        <v>5311</v>
      </c>
      <c r="G2275" s="64"/>
      <c r="H2275" s="64"/>
      <c r="I2275" s="64">
        <v>0</v>
      </c>
      <c r="J2275" s="32" t="str">
        <f>IF(AND(E2275=1,OR(E2274=0,E2274="")),MAX(#REF!)+1,IF(AND(E2275=1,E2274=1),J2274,""))</f>
        <v/>
      </c>
      <c r="K2275" s="32" t="str">
        <f t="shared" si="141"/>
        <v/>
      </c>
      <c r="L2275" s="32" t="str">
        <f t="shared" si="138"/>
        <v/>
      </c>
      <c r="M2275" s="32" t="str">
        <f t="shared" si="139"/>
        <v/>
      </c>
      <c r="N2275" s="4">
        <v>1</v>
      </c>
      <c r="O2275" s="58">
        <v>0</v>
      </c>
      <c r="P2275" s="58">
        <v>0</v>
      </c>
      <c r="Q2275" s="58">
        <v>0</v>
      </c>
      <c r="R2275" s="58">
        <v>0</v>
      </c>
      <c r="S2275" s="58">
        <v>0</v>
      </c>
      <c r="T2275" s="58">
        <v>0</v>
      </c>
      <c r="U2275" s="58">
        <v>0</v>
      </c>
      <c r="V2275" s="58">
        <v>0</v>
      </c>
      <c r="AG2275" t="s">
        <v>1993</v>
      </c>
      <c r="AM2275" s="1" t="str">
        <f t="shared" si="140"/>
        <v>2273_C0013_0930.jpg</v>
      </c>
    </row>
    <row r="2276" spans="1:39" x14ac:dyDescent="0.35">
      <c r="A2276">
        <v>2272</v>
      </c>
      <c r="B2276">
        <v>2273</v>
      </c>
      <c r="F2276" s="64" t="s">
        <v>5312</v>
      </c>
      <c r="G2276" s="64"/>
      <c r="H2276" s="64"/>
      <c r="I2276" s="64">
        <v>1</v>
      </c>
      <c r="J2276" s="32" t="str">
        <f>IF(AND(E2276=1,OR(E2275=0,E2275="")),MAX(#REF!)+1,IF(AND(E2276=1,E2275=1),J2275,""))</f>
        <v/>
      </c>
      <c r="K2276" s="32" t="str">
        <f t="shared" si="141"/>
        <v/>
      </c>
      <c r="L2276" s="32" t="str">
        <f t="shared" si="138"/>
        <v/>
      </c>
      <c r="M2276" s="32" t="str">
        <f t="shared" si="139"/>
        <v/>
      </c>
      <c r="N2276" s="4">
        <v>1</v>
      </c>
      <c r="O2276" s="58">
        <v>0</v>
      </c>
      <c r="P2276" s="58">
        <v>0</v>
      </c>
      <c r="Q2276" s="58">
        <v>0</v>
      </c>
      <c r="R2276" s="58">
        <v>0</v>
      </c>
      <c r="S2276" s="58">
        <v>0</v>
      </c>
      <c r="T2276" s="58">
        <v>0</v>
      </c>
      <c r="U2276" s="58">
        <v>0</v>
      </c>
      <c r="V2276" s="58">
        <v>0</v>
      </c>
      <c r="AG2276" t="s">
        <v>1994</v>
      </c>
      <c r="AM2276" s="1" t="str">
        <f t="shared" si="140"/>
        <v>2274_C0013_0926.jpg</v>
      </c>
    </row>
    <row r="2277" spans="1:39" x14ac:dyDescent="0.35">
      <c r="A2277">
        <v>2273</v>
      </c>
      <c r="B2277">
        <v>2274</v>
      </c>
      <c r="F2277" s="64" t="s">
        <v>5313</v>
      </c>
      <c r="G2277" s="64"/>
      <c r="H2277" s="64"/>
      <c r="I2277" s="64">
        <v>1</v>
      </c>
      <c r="J2277" s="32" t="str">
        <f>IF(AND(E2277=1,OR(E2276=0,E2276="")),MAX(#REF!)+1,IF(AND(E2277=1,E2276=1),J2276,""))</f>
        <v/>
      </c>
      <c r="K2277" s="32" t="str">
        <f t="shared" si="141"/>
        <v/>
      </c>
      <c r="L2277" s="32" t="str">
        <f t="shared" si="138"/>
        <v/>
      </c>
      <c r="M2277" s="32" t="str">
        <f t="shared" si="139"/>
        <v/>
      </c>
      <c r="N2277" s="4">
        <v>1</v>
      </c>
      <c r="O2277" s="58">
        <v>0</v>
      </c>
      <c r="P2277" s="58">
        <v>0</v>
      </c>
      <c r="Q2277" s="58">
        <v>0</v>
      </c>
      <c r="R2277" s="58">
        <v>0</v>
      </c>
      <c r="S2277" s="58">
        <v>0</v>
      </c>
      <c r="T2277" s="58">
        <v>0</v>
      </c>
      <c r="U2277" s="58">
        <v>0</v>
      </c>
      <c r="V2277" s="58">
        <v>0</v>
      </c>
      <c r="AG2277" t="s">
        <v>1995</v>
      </c>
      <c r="AM2277" s="1" t="str">
        <f t="shared" si="140"/>
        <v>2275_C0013_0923.jpg</v>
      </c>
    </row>
    <row r="2278" spans="1:39" x14ac:dyDescent="0.35">
      <c r="A2278">
        <v>2274</v>
      </c>
      <c r="B2278">
        <v>2275</v>
      </c>
      <c r="F2278" s="64" t="s">
        <v>5314</v>
      </c>
      <c r="G2278" s="64"/>
      <c r="H2278" s="64"/>
      <c r="I2278" s="64">
        <v>1</v>
      </c>
      <c r="J2278" s="32" t="str">
        <f>IF(AND(E2278=1,OR(E2277=0,E2277="")),MAX(#REF!)+1,IF(AND(E2278=1,E2277=1),J2277,""))</f>
        <v/>
      </c>
      <c r="K2278" s="32" t="str">
        <f t="shared" si="141"/>
        <v/>
      </c>
      <c r="L2278" s="32" t="str">
        <f t="shared" si="138"/>
        <v/>
      </c>
      <c r="M2278" s="32" t="str">
        <f t="shared" si="139"/>
        <v/>
      </c>
      <c r="N2278" s="4">
        <v>1</v>
      </c>
      <c r="O2278" s="58">
        <v>0</v>
      </c>
      <c r="P2278" s="58">
        <v>0</v>
      </c>
      <c r="Q2278" s="58">
        <v>0</v>
      </c>
      <c r="R2278" s="58">
        <v>0</v>
      </c>
      <c r="S2278" s="58">
        <v>0</v>
      </c>
      <c r="T2278" s="58">
        <v>0</v>
      </c>
      <c r="U2278" s="58">
        <v>0</v>
      </c>
      <c r="V2278" s="58">
        <v>0</v>
      </c>
      <c r="AG2278" t="s">
        <v>1996</v>
      </c>
      <c r="AM2278" s="1" t="str">
        <f t="shared" si="140"/>
        <v>2276_C0013_0920.jpg</v>
      </c>
    </row>
    <row r="2279" spans="1:39" x14ac:dyDescent="0.35">
      <c r="A2279">
        <v>2275</v>
      </c>
      <c r="B2279">
        <v>2276</v>
      </c>
      <c r="F2279" s="64" t="s">
        <v>5315</v>
      </c>
      <c r="G2279" s="64"/>
      <c r="H2279" s="64"/>
      <c r="I2279" s="64">
        <v>1</v>
      </c>
      <c r="J2279" s="32" t="str">
        <f>IF(AND(E2279=1,OR(E2278=0,E2278="")),MAX(#REF!)+1,IF(AND(E2279=1,E2278=1),J2278,""))</f>
        <v/>
      </c>
      <c r="K2279" s="32" t="str">
        <f t="shared" si="141"/>
        <v/>
      </c>
      <c r="L2279" s="32" t="str">
        <f t="shared" si="138"/>
        <v/>
      </c>
      <c r="M2279" s="32" t="str">
        <f t="shared" si="139"/>
        <v/>
      </c>
      <c r="N2279" s="4">
        <v>1</v>
      </c>
      <c r="O2279" s="58">
        <v>0</v>
      </c>
      <c r="P2279" s="58">
        <v>0</v>
      </c>
      <c r="Q2279" s="58">
        <v>0</v>
      </c>
      <c r="R2279" s="58">
        <v>0</v>
      </c>
      <c r="S2279" s="58">
        <v>0</v>
      </c>
      <c r="T2279" s="58">
        <v>0</v>
      </c>
      <c r="U2279" s="58">
        <v>0</v>
      </c>
      <c r="V2279" s="58">
        <v>0</v>
      </c>
      <c r="AG2279" t="s">
        <v>1997</v>
      </c>
      <c r="AM2279" s="1" t="str">
        <f t="shared" si="140"/>
        <v>2277_C0013_0918.jpg</v>
      </c>
    </row>
    <row r="2280" spans="1:39" x14ac:dyDescent="0.35">
      <c r="A2280">
        <v>2276</v>
      </c>
      <c r="B2280">
        <v>2277</v>
      </c>
      <c r="F2280" s="64" t="s">
        <v>5316</v>
      </c>
      <c r="G2280" s="64"/>
      <c r="H2280" s="64"/>
      <c r="I2280" s="64">
        <v>1</v>
      </c>
      <c r="J2280" s="32" t="str">
        <f>IF(AND(E2280=1,OR(E2279=0,E2279="")),MAX(#REF!)+1,IF(AND(E2280=1,E2279=1),J2279,""))</f>
        <v/>
      </c>
      <c r="K2280" s="32" t="str">
        <f t="shared" si="141"/>
        <v/>
      </c>
      <c r="L2280" s="32" t="str">
        <f t="shared" si="138"/>
        <v/>
      </c>
      <c r="M2280" s="32" t="str">
        <f t="shared" si="139"/>
        <v/>
      </c>
      <c r="N2280" s="4">
        <v>1</v>
      </c>
      <c r="O2280" s="58">
        <v>0</v>
      </c>
      <c r="P2280" s="58">
        <v>0</v>
      </c>
      <c r="Q2280" s="58">
        <v>0</v>
      </c>
      <c r="R2280" s="58">
        <v>0</v>
      </c>
      <c r="S2280" s="58">
        <v>0</v>
      </c>
      <c r="T2280" s="58">
        <v>0</v>
      </c>
      <c r="U2280" s="58">
        <v>0</v>
      </c>
      <c r="V2280" s="58">
        <v>0</v>
      </c>
      <c r="AG2280" t="s">
        <v>1998</v>
      </c>
      <c r="AM2280" s="1" t="str">
        <f t="shared" si="140"/>
        <v>2278_C0013_0915.jpg</v>
      </c>
    </row>
    <row r="2281" spans="1:39" x14ac:dyDescent="0.35">
      <c r="A2281">
        <v>2277</v>
      </c>
      <c r="B2281">
        <v>2278</v>
      </c>
      <c r="F2281" s="64" t="s">
        <v>5317</v>
      </c>
      <c r="G2281" s="64"/>
      <c r="H2281" s="64"/>
      <c r="I2281" s="64">
        <v>1</v>
      </c>
      <c r="J2281" s="32" t="str">
        <f>IF(AND(E2281=1,OR(E2280=0,E2280="")),MAX(#REF!)+1,IF(AND(E2281=1,E2280=1),J2280,""))</f>
        <v/>
      </c>
      <c r="K2281" s="32" t="str">
        <f t="shared" si="141"/>
        <v/>
      </c>
      <c r="L2281" s="32" t="str">
        <f t="shared" si="138"/>
        <v/>
      </c>
      <c r="M2281" s="32" t="str">
        <f t="shared" si="139"/>
        <v/>
      </c>
      <c r="N2281" s="4">
        <v>1</v>
      </c>
      <c r="O2281" s="58">
        <v>0</v>
      </c>
      <c r="P2281" s="58">
        <v>0</v>
      </c>
      <c r="Q2281" s="58">
        <v>0</v>
      </c>
      <c r="R2281" s="58">
        <v>0</v>
      </c>
      <c r="S2281" s="58">
        <v>0</v>
      </c>
      <c r="T2281" s="58">
        <v>0</v>
      </c>
      <c r="U2281" s="58">
        <v>0</v>
      </c>
      <c r="V2281" s="58">
        <v>0</v>
      </c>
      <c r="AG2281" t="s">
        <v>1999</v>
      </c>
      <c r="AM2281" s="1" t="str">
        <f t="shared" si="140"/>
        <v>2279_C0013_0912.jpg</v>
      </c>
    </row>
    <row r="2282" spans="1:39" x14ac:dyDescent="0.35">
      <c r="A2282">
        <v>2278</v>
      </c>
      <c r="B2282">
        <v>2279</v>
      </c>
      <c r="F2282" s="64" t="s">
        <v>5318</v>
      </c>
      <c r="G2282" s="64"/>
      <c r="H2282" s="64"/>
      <c r="I2282" s="64">
        <v>1</v>
      </c>
      <c r="J2282" s="32" t="str">
        <f>IF(AND(E2282=1,OR(E2281=0,E2281="")),MAX(#REF!)+1,IF(AND(E2282=1,E2281=1),J2281,""))</f>
        <v/>
      </c>
      <c r="K2282" s="32" t="str">
        <f t="shared" si="141"/>
        <v/>
      </c>
      <c r="L2282" s="32" t="str">
        <f t="shared" si="138"/>
        <v/>
      </c>
      <c r="M2282" s="32" t="str">
        <f t="shared" si="139"/>
        <v/>
      </c>
      <c r="N2282" s="4">
        <v>1</v>
      </c>
      <c r="O2282" s="58">
        <v>0</v>
      </c>
      <c r="P2282" s="58">
        <v>0</v>
      </c>
      <c r="Q2282" s="58">
        <v>0</v>
      </c>
      <c r="R2282" s="58">
        <v>0</v>
      </c>
      <c r="S2282" s="58">
        <v>0</v>
      </c>
      <c r="T2282" s="58">
        <v>0</v>
      </c>
      <c r="U2282" s="58">
        <v>0</v>
      </c>
      <c r="V2282" s="58">
        <v>0</v>
      </c>
      <c r="AG2282" t="s">
        <v>2000</v>
      </c>
      <c r="AM2282" s="1" t="str">
        <f t="shared" si="140"/>
        <v>2280_C0013_0910.jpg</v>
      </c>
    </row>
    <row r="2283" spans="1:39" x14ac:dyDescent="0.35">
      <c r="A2283">
        <v>2279</v>
      </c>
      <c r="B2283">
        <v>2280</v>
      </c>
      <c r="F2283" s="64" t="s">
        <v>5319</v>
      </c>
      <c r="G2283" s="64"/>
      <c r="H2283" s="64"/>
      <c r="I2283" s="64">
        <v>1</v>
      </c>
      <c r="J2283" s="32" t="str">
        <f>IF(AND(E2283=1,OR(E2282=0,E2282="")),MAX(#REF!)+1,IF(AND(E2283=1,E2282=1),J2282,""))</f>
        <v/>
      </c>
      <c r="K2283" s="32" t="str">
        <f t="shared" si="141"/>
        <v/>
      </c>
      <c r="L2283" s="32" t="str">
        <f t="shared" si="138"/>
        <v/>
      </c>
      <c r="M2283" s="32" t="str">
        <f t="shared" si="139"/>
        <v/>
      </c>
      <c r="N2283" s="4">
        <v>1</v>
      </c>
      <c r="O2283" s="58">
        <v>0</v>
      </c>
      <c r="P2283" s="58">
        <v>0</v>
      </c>
      <c r="Q2283" s="58">
        <v>0</v>
      </c>
      <c r="R2283" s="58">
        <v>0</v>
      </c>
      <c r="S2283" s="58">
        <v>0</v>
      </c>
      <c r="T2283" s="58">
        <v>0</v>
      </c>
      <c r="U2283" s="58">
        <v>0</v>
      </c>
      <c r="V2283" s="58">
        <v>0</v>
      </c>
      <c r="AG2283" t="s">
        <v>2001</v>
      </c>
      <c r="AM2283" s="1" t="str">
        <f t="shared" si="140"/>
        <v>2281_C0013_0907.jpg</v>
      </c>
    </row>
    <row r="2284" spans="1:39" x14ac:dyDescent="0.35">
      <c r="A2284">
        <v>2280</v>
      </c>
      <c r="B2284">
        <v>2281</v>
      </c>
      <c r="F2284" s="64" t="s">
        <v>5320</v>
      </c>
      <c r="G2284" s="64"/>
      <c r="H2284" s="64"/>
      <c r="I2284" s="64">
        <v>1</v>
      </c>
      <c r="J2284" s="32" t="str">
        <f>IF(AND(E2284=1,OR(E2283=0,E2283="")),MAX(#REF!)+1,IF(AND(E2284=1,E2283=1),J2283,""))</f>
        <v/>
      </c>
      <c r="K2284" s="32" t="str">
        <f t="shared" si="141"/>
        <v/>
      </c>
      <c r="L2284" s="32" t="str">
        <f t="shared" si="138"/>
        <v/>
      </c>
      <c r="M2284" s="32" t="str">
        <f t="shared" si="139"/>
        <v/>
      </c>
      <c r="N2284" s="4">
        <v>1</v>
      </c>
      <c r="O2284" s="58">
        <v>0</v>
      </c>
      <c r="P2284" s="58">
        <v>0</v>
      </c>
      <c r="Q2284" s="58">
        <v>0</v>
      </c>
      <c r="R2284" s="58">
        <v>0</v>
      </c>
      <c r="S2284" s="58">
        <v>0</v>
      </c>
      <c r="T2284" s="58">
        <v>0</v>
      </c>
      <c r="U2284" s="58">
        <v>0</v>
      </c>
      <c r="V2284" s="58">
        <v>0</v>
      </c>
      <c r="AG2284" t="s">
        <v>2002</v>
      </c>
      <c r="AM2284" s="1" t="str">
        <f t="shared" si="140"/>
        <v>2282_C0013_0904.jpg</v>
      </c>
    </row>
    <row r="2285" spans="1:39" x14ac:dyDescent="0.35">
      <c r="A2285">
        <v>2281</v>
      </c>
      <c r="B2285">
        <v>2282</v>
      </c>
      <c r="F2285" s="64" t="s">
        <v>5321</v>
      </c>
      <c r="G2285" s="64"/>
      <c r="H2285" s="64"/>
      <c r="I2285" s="64">
        <v>1</v>
      </c>
      <c r="J2285" s="32" t="str">
        <f>IF(AND(E2285=1,OR(E2284=0,E2284="")),MAX(#REF!)+1,IF(AND(E2285=1,E2284=1),J2284,""))</f>
        <v/>
      </c>
      <c r="K2285" s="32" t="str">
        <f t="shared" si="141"/>
        <v/>
      </c>
      <c r="L2285" s="32" t="str">
        <f t="shared" si="138"/>
        <v/>
      </c>
      <c r="M2285" s="32" t="str">
        <f t="shared" si="139"/>
        <v/>
      </c>
      <c r="N2285" s="4">
        <v>1</v>
      </c>
      <c r="O2285" s="58">
        <v>0</v>
      </c>
      <c r="P2285" s="58">
        <v>0</v>
      </c>
      <c r="Q2285" s="58">
        <v>0</v>
      </c>
      <c r="R2285" s="58">
        <v>0</v>
      </c>
      <c r="S2285" s="58">
        <v>0</v>
      </c>
      <c r="T2285" s="58">
        <v>0</v>
      </c>
      <c r="U2285" s="58">
        <v>0</v>
      </c>
      <c r="V2285" s="58">
        <v>0</v>
      </c>
      <c r="AG2285" t="s">
        <v>2003</v>
      </c>
      <c r="AM2285" s="1" t="str">
        <f t="shared" si="140"/>
        <v>2283_C0013_0901.jpg</v>
      </c>
    </row>
    <row r="2286" spans="1:39" x14ac:dyDescent="0.35">
      <c r="A2286">
        <v>2282</v>
      </c>
      <c r="B2286">
        <v>2283</v>
      </c>
      <c r="F2286" s="64" t="s">
        <v>5322</v>
      </c>
      <c r="G2286" s="64"/>
      <c r="H2286" s="64"/>
      <c r="I2286" s="64">
        <v>1</v>
      </c>
      <c r="J2286" s="32" t="str">
        <f>IF(AND(E2286=1,OR(E2285=0,E2285="")),MAX(#REF!)+1,IF(AND(E2286=1,E2285=1),J2285,""))</f>
        <v/>
      </c>
      <c r="K2286" s="32" t="str">
        <f t="shared" si="141"/>
        <v/>
      </c>
      <c r="L2286" s="32" t="str">
        <f t="shared" si="138"/>
        <v/>
      </c>
      <c r="M2286" s="32" t="str">
        <f t="shared" si="139"/>
        <v/>
      </c>
      <c r="N2286" s="4">
        <v>1</v>
      </c>
      <c r="O2286" s="58">
        <v>0</v>
      </c>
      <c r="P2286" s="58">
        <v>0</v>
      </c>
      <c r="Q2286" s="58">
        <v>0</v>
      </c>
      <c r="R2286" s="58">
        <v>0</v>
      </c>
      <c r="S2286" s="58">
        <v>0</v>
      </c>
      <c r="T2286" s="58">
        <v>0</v>
      </c>
      <c r="U2286" s="58">
        <v>0</v>
      </c>
      <c r="V2286" s="58">
        <v>0</v>
      </c>
      <c r="AG2286" t="s">
        <v>2004</v>
      </c>
      <c r="AM2286" s="1" t="str">
        <f t="shared" si="140"/>
        <v>2284_C0013_0898.jpg</v>
      </c>
    </row>
    <row r="2287" spans="1:39" x14ac:dyDescent="0.35">
      <c r="A2287">
        <v>2283</v>
      </c>
      <c r="B2287">
        <v>2284</v>
      </c>
      <c r="F2287" s="64" t="s">
        <v>5323</v>
      </c>
      <c r="G2287" s="64"/>
      <c r="H2287" s="64"/>
      <c r="I2287" s="64">
        <v>0</v>
      </c>
      <c r="J2287" s="32" t="str">
        <f>IF(AND(E2287=1,OR(E2286=0,E2286="")),MAX(#REF!)+1,IF(AND(E2287=1,E2286=1),J2286,""))</f>
        <v/>
      </c>
      <c r="K2287" s="32" t="str">
        <f t="shared" si="141"/>
        <v/>
      </c>
      <c r="L2287" s="32" t="str">
        <f t="shared" si="138"/>
        <v/>
      </c>
      <c r="M2287" s="32" t="str">
        <f t="shared" si="139"/>
        <v/>
      </c>
      <c r="N2287" s="4">
        <v>1</v>
      </c>
      <c r="O2287" s="58">
        <v>0</v>
      </c>
      <c r="P2287" s="58">
        <v>0</v>
      </c>
      <c r="Q2287" s="58">
        <v>0</v>
      </c>
      <c r="R2287" s="58">
        <v>0</v>
      </c>
      <c r="S2287" s="58">
        <v>0</v>
      </c>
      <c r="T2287" s="58">
        <v>0</v>
      </c>
      <c r="U2287" s="58">
        <v>0</v>
      </c>
      <c r="V2287" s="58">
        <v>0</v>
      </c>
      <c r="AG2287" t="s">
        <v>2005</v>
      </c>
      <c r="AM2287" s="1" t="str">
        <f t="shared" si="140"/>
        <v>2285_C0013_0895.jpg</v>
      </c>
    </row>
    <row r="2288" spans="1:39" x14ac:dyDescent="0.35">
      <c r="A2288">
        <v>2284</v>
      </c>
      <c r="B2288">
        <v>2285</v>
      </c>
      <c r="F2288" s="64" t="s">
        <v>5324</v>
      </c>
      <c r="G2288" s="64"/>
      <c r="H2288" s="64"/>
      <c r="I2288" s="64">
        <v>1</v>
      </c>
      <c r="J2288" s="32" t="str">
        <f>IF(AND(E2288=1,OR(E2287=0,E2287="")),MAX(#REF!)+1,IF(AND(E2288=1,E2287=1),J2287,""))</f>
        <v/>
      </c>
      <c r="K2288" s="32" t="str">
        <f t="shared" si="141"/>
        <v/>
      </c>
      <c r="L2288" s="32" t="str">
        <f t="shared" si="138"/>
        <v/>
      </c>
      <c r="M2288" s="32" t="str">
        <f t="shared" si="139"/>
        <v/>
      </c>
      <c r="N2288" s="4">
        <v>1</v>
      </c>
      <c r="O2288" s="58">
        <v>0</v>
      </c>
      <c r="P2288" s="58">
        <v>0</v>
      </c>
      <c r="Q2288" s="58">
        <v>0</v>
      </c>
      <c r="R2288" s="58">
        <v>0</v>
      </c>
      <c r="S2288" s="58">
        <v>0</v>
      </c>
      <c r="T2288" s="58">
        <v>0</v>
      </c>
      <c r="U2288" s="58">
        <v>0</v>
      </c>
      <c r="V2288" s="58">
        <v>0</v>
      </c>
      <c r="AG2288" t="s">
        <v>2006</v>
      </c>
      <c r="AM2288" s="1" t="str">
        <f t="shared" si="140"/>
        <v>2286_C0013_0892.jpg</v>
      </c>
    </row>
    <row r="2289" spans="1:39" x14ac:dyDescent="0.35">
      <c r="A2289">
        <v>2285</v>
      </c>
      <c r="B2289">
        <v>2286</v>
      </c>
      <c r="F2289" s="64" t="s">
        <v>5325</v>
      </c>
      <c r="G2289" s="64"/>
      <c r="H2289" s="64"/>
      <c r="I2289" s="64">
        <v>1</v>
      </c>
      <c r="J2289" s="32" t="str">
        <f>IF(AND(E2289=1,OR(E2288=0,E2288="")),MAX(#REF!)+1,IF(AND(E2289=1,E2288=1),J2288,""))</f>
        <v/>
      </c>
      <c r="K2289" s="32" t="str">
        <f t="shared" si="141"/>
        <v/>
      </c>
      <c r="L2289" s="32" t="str">
        <f t="shared" si="138"/>
        <v/>
      </c>
      <c r="M2289" s="32" t="str">
        <f t="shared" si="139"/>
        <v/>
      </c>
      <c r="N2289" s="4">
        <v>1</v>
      </c>
      <c r="O2289" s="58">
        <v>0</v>
      </c>
      <c r="P2289" s="58">
        <v>0</v>
      </c>
      <c r="Q2289" s="58">
        <v>0</v>
      </c>
      <c r="R2289" s="58">
        <v>0</v>
      </c>
      <c r="S2289" s="58">
        <v>0</v>
      </c>
      <c r="T2289" s="58">
        <v>0</v>
      </c>
      <c r="U2289" s="58">
        <v>0</v>
      </c>
      <c r="V2289" s="58">
        <v>0</v>
      </c>
      <c r="AG2289" t="s">
        <v>2007</v>
      </c>
      <c r="AM2289" s="1" t="str">
        <f t="shared" si="140"/>
        <v>2287_C0013_0889.jpg</v>
      </c>
    </row>
    <row r="2290" spans="1:39" x14ac:dyDescent="0.35">
      <c r="A2290">
        <v>2286</v>
      </c>
      <c r="B2290">
        <v>2287</v>
      </c>
      <c r="F2290" s="64" t="s">
        <v>5326</v>
      </c>
      <c r="G2290" s="64"/>
      <c r="H2290" s="64"/>
      <c r="I2290" s="64">
        <v>1</v>
      </c>
      <c r="J2290" s="32" t="str">
        <f>IF(AND(E2290=1,OR(E2289=0,E2289="")),MAX(#REF!)+1,IF(AND(E2290=1,E2289=1),J2289,""))</f>
        <v/>
      </c>
      <c r="K2290" s="32" t="str">
        <f t="shared" si="141"/>
        <v/>
      </c>
      <c r="L2290" s="32" t="str">
        <f t="shared" si="138"/>
        <v/>
      </c>
      <c r="M2290" s="32" t="str">
        <f t="shared" si="139"/>
        <v/>
      </c>
      <c r="N2290" s="4">
        <v>1</v>
      </c>
      <c r="O2290" s="58">
        <v>0</v>
      </c>
      <c r="P2290" s="58">
        <v>0</v>
      </c>
      <c r="Q2290" s="58">
        <v>0</v>
      </c>
      <c r="R2290" s="58">
        <v>0</v>
      </c>
      <c r="S2290" s="58">
        <v>0</v>
      </c>
      <c r="T2290" s="58">
        <v>0</v>
      </c>
      <c r="U2290" s="58">
        <v>0</v>
      </c>
      <c r="V2290" s="58">
        <v>0</v>
      </c>
      <c r="AG2290" t="s">
        <v>2008</v>
      </c>
      <c r="AM2290" s="1" t="str">
        <f t="shared" si="140"/>
        <v>2288_C0013_0886.jpg</v>
      </c>
    </row>
    <row r="2291" spans="1:39" x14ac:dyDescent="0.35">
      <c r="A2291">
        <v>2287</v>
      </c>
      <c r="B2291">
        <v>2288</v>
      </c>
      <c r="F2291" s="64" t="s">
        <v>5327</v>
      </c>
      <c r="G2291" s="64"/>
      <c r="H2291" s="64"/>
      <c r="I2291" s="64">
        <v>1</v>
      </c>
      <c r="J2291" s="32" t="str">
        <f>IF(AND(E2291=1,OR(E2290=0,E2290="")),MAX(#REF!)+1,IF(AND(E2291=1,E2290=1),J2290,""))</f>
        <v/>
      </c>
      <c r="K2291" s="32" t="str">
        <f t="shared" si="141"/>
        <v/>
      </c>
      <c r="L2291" s="32" t="str">
        <f t="shared" si="138"/>
        <v/>
      </c>
      <c r="M2291" s="32" t="str">
        <f t="shared" si="139"/>
        <v/>
      </c>
      <c r="N2291" s="4">
        <v>1</v>
      </c>
      <c r="O2291" s="58">
        <v>0</v>
      </c>
      <c r="P2291" s="58">
        <v>0</v>
      </c>
      <c r="Q2291" s="58">
        <v>1</v>
      </c>
      <c r="R2291" s="58">
        <v>0</v>
      </c>
      <c r="S2291" s="58">
        <v>0</v>
      </c>
      <c r="T2291" s="58">
        <v>0</v>
      </c>
      <c r="U2291" s="58">
        <v>0</v>
      </c>
      <c r="V2291" s="58" t="s">
        <v>6905</v>
      </c>
      <c r="AG2291" t="s">
        <v>2009</v>
      </c>
      <c r="AM2291" s="1" t="str">
        <f t="shared" si="140"/>
        <v>2289_C0013_0883.jpg</v>
      </c>
    </row>
    <row r="2292" spans="1:39" x14ac:dyDescent="0.35">
      <c r="A2292">
        <v>2288</v>
      </c>
      <c r="B2292">
        <v>2289</v>
      </c>
      <c r="F2292" s="64" t="s">
        <v>5328</v>
      </c>
      <c r="G2292" s="64"/>
      <c r="H2292" s="64"/>
      <c r="I2292" s="64">
        <v>1</v>
      </c>
      <c r="J2292" s="32" t="str">
        <f>IF(AND(E2292=1,OR(E2291=0,E2291="")),MAX(#REF!)+1,IF(AND(E2292=1,E2291=1),J2291,""))</f>
        <v/>
      </c>
      <c r="K2292" s="32" t="str">
        <f t="shared" si="141"/>
        <v/>
      </c>
      <c r="L2292" s="32" t="str">
        <f t="shared" si="138"/>
        <v/>
      </c>
      <c r="M2292" s="32" t="str">
        <f t="shared" si="139"/>
        <v/>
      </c>
      <c r="N2292" s="4">
        <v>1</v>
      </c>
      <c r="O2292" s="58">
        <v>0</v>
      </c>
      <c r="P2292" s="58">
        <v>0</v>
      </c>
      <c r="Q2292" s="58">
        <v>1</v>
      </c>
      <c r="R2292" s="58">
        <v>0</v>
      </c>
      <c r="S2292" s="58">
        <v>0</v>
      </c>
      <c r="T2292" s="58">
        <v>0</v>
      </c>
      <c r="U2292" s="58">
        <v>0</v>
      </c>
      <c r="V2292" s="58" t="s">
        <v>6905</v>
      </c>
      <c r="AG2292" t="s">
        <v>2010</v>
      </c>
      <c r="AM2292" s="1" t="str">
        <f t="shared" si="140"/>
        <v>2290_C0013_0880.jpg</v>
      </c>
    </row>
    <row r="2293" spans="1:39" x14ac:dyDescent="0.35">
      <c r="A2293">
        <v>2289</v>
      </c>
      <c r="B2293">
        <v>2290</v>
      </c>
      <c r="F2293" s="64" t="s">
        <v>5329</v>
      </c>
      <c r="G2293" s="64"/>
      <c r="H2293" s="64"/>
      <c r="I2293" s="64">
        <v>0</v>
      </c>
      <c r="J2293" s="32" t="str">
        <f>IF(AND(E2293=1,OR(E2292=0,E2292="")),MAX(#REF!)+1,IF(AND(E2293=1,E2292=1),J2292,""))</f>
        <v/>
      </c>
      <c r="K2293" s="32" t="str">
        <f t="shared" si="141"/>
        <v/>
      </c>
      <c r="L2293" s="32" t="str">
        <f t="shared" si="138"/>
        <v/>
      </c>
      <c r="M2293" s="32" t="str">
        <f t="shared" si="139"/>
        <v/>
      </c>
      <c r="N2293" s="4">
        <v>1</v>
      </c>
      <c r="O2293" s="58">
        <v>0</v>
      </c>
      <c r="P2293" s="58">
        <v>0</v>
      </c>
      <c r="Q2293" s="58">
        <v>1</v>
      </c>
      <c r="R2293" s="58">
        <v>0</v>
      </c>
      <c r="S2293" s="58">
        <v>0</v>
      </c>
      <c r="T2293" s="58">
        <v>0</v>
      </c>
      <c r="U2293" s="58">
        <v>0</v>
      </c>
      <c r="V2293" s="58" t="s">
        <v>6905</v>
      </c>
      <c r="AG2293" t="s">
        <v>2011</v>
      </c>
      <c r="AM2293" s="1" t="str">
        <f t="shared" si="140"/>
        <v>2291_C0013_0877.jpg</v>
      </c>
    </row>
    <row r="2294" spans="1:39" x14ac:dyDescent="0.35">
      <c r="A2294">
        <v>2290</v>
      </c>
      <c r="B2294">
        <v>2291</v>
      </c>
      <c r="F2294" s="64" t="s">
        <v>5330</v>
      </c>
      <c r="G2294" s="64"/>
      <c r="H2294" s="64"/>
      <c r="I2294" s="64">
        <v>1</v>
      </c>
      <c r="J2294" s="32" t="str">
        <f>IF(AND(E2294=1,OR(E2293=0,E2293="")),MAX(#REF!)+1,IF(AND(E2294=1,E2293=1),J2293,""))</f>
        <v/>
      </c>
      <c r="K2294" s="32" t="str">
        <f t="shared" si="141"/>
        <v/>
      </c>
      <c r="L2294" s="32" t="str">
        <f t="shared" si="138"/>
        <v/>
      </c>
      <c r="M2294" s="32" t="str">
        <f t="shared" si="139"/>
        <v/>
      </c>
      <c r="N2294" s="4">
        <v>1</v>
      </c>
      <c r="O2294" s="58">
        <v>0</v>
      </c>
      <c r="P2294" s="58">
        <v>0</v>
      </c>
      <c r="Q2294" s="58">
        <v>0</v>
      </c>
      <c r="R2294" s="58">
        <v>0</v>
      </c>
      <c r="S2294" s="58">
        <v>0</v>
      </c>
      <c r="T2294" s="58">
        <v>0</v>
      </c>
      <c r="U2294" s="58">
        <v>0</v>
      </c>
      <c r="V2294" s="58">
        <v>0</v>
      </c>
      <c r="AG2294" t="s">
        <v>2012</v>
      </c>
      <c r="AM2294" s="1" t="str">
        <f t="shared" si="140"/>
        <v>2292_C0013_0873.jpg</v>
      </c>
    </row>
    <row r="2295" spans="1:39" x14ac:dyDescent="0.35">
      <c r="A2295">
        <v>2291</v>
      </c>
      <c r="B2295">
        <v>2292</v>
      </c>
      <c r="F2295" s="64" t="s">
        <v>5331</v>
      </c>
      <c r="G2295" s="64"/>
      <c r="H2295" s="64"/>
      <c r="I2295" s="64">
        <v>1</v>
      </c>
      <c r="J2295" s="32" t="str">
        <f>IF(AND(E2295=1,OR(E2294=0,E2294="")),MAX(#REF!)+1,IF(AND(E2295=1,E2294=1),J2294,""))</f>
        <v/>
      </c>
      <c r="K2295" s="32" t="str">
        <f t="shared" si="141"/>
        <v/>
      </c>
      <c r="L2295" s="32" t="str">
        <f t="shared" si="138"/>
        <v/>
      </c>
      <c r="M2295" s="32" t="str">
        <f t="shared" si="139"/>
        <v/>
      </c>
      <c r="N2295" s="4">
        <v>1</v>
      </c>
      <c r="O2295" s="58">
        <v>0</v>
      </c>
      <c r="P2295" s="58">
        <v>0</v>
      </c>
      <c r="Q2295" s="58">
        <v>0</v>
      </c>
      <c r="R2295" s="58">
        <v>0</v>
      </c>
      <c r="S2295" s="58">
        <v>0</v>
      </c>
      <c r="T2295" s="58">
        <v>0</v>
      </c>
      <c r="U2295" s="58">
        <v>0</v>
      </c>
      <c r="V2295" s="58">
        <v>0</v>
      </c>
      <c r="AG2295" t="s">
        <v>2013</v>
      </c>
      <c r="AM2295" s="1" t="str">
        <f t="shared" si="140"/>
        <v>2293_C0013_0870.jpg</v>
      </c>
    </row>
    <row r="2296" spans="1:39" x14ac:dyDescent="0.35">
      <c r="A2296">
        <v>2292</v>
      </c>
      <c r="B2296">
        <v>2293</v>
      </c>
      <c r="F2296" s="64" t="s">
        <v>5332</v>
      </c>
      <c r="G2296" s="64"/>
      <c r="H2296" s="64"/>
      <c r="I2296" s="64">
        <v>1</v>
      </c>
      <c r="J2296" s="32" t="str">
        <f>IF(AND(E2296=1,OR(E2295=0,E2295="")),MAX(#REF!)+1,IF(AND(E2296=1,E2295=1),J2295,""))</f>
        <v/>
      </c>
      <c r="K2296" s="32" t="str">
        <f t="shared" si="141"/>
        <v/>
      </c>
      <c r="L2296" s="32" t="str">
        <f t="shared" si="138"/>
        <v/>
      </c>
      <c r="M2296" s="32" t="str">
        <f t="shared" si="139"/>
        <v/>
      </c>
      <c r="N2296" s="4">
        <v>1</v>
      </c>
      <c r="O2296" s="58">
        <v>0</v>
      </c>
      <c r="P2296" s="58">
        <v>0</v>
      </c>
      <c r="Q2296" s="58">
        <v>0</v>
      </c>
      <c r="R2296" s="58">
        <v>0</v>
      </c>
      <c r="S2296" s="58">
        <v>0</v>
      </c>
      <c r="T2296" s="58">
        <v>0</v>
      </c>
      <c r="U2296" s="58">
        <v>0</v>
      </c>
      <c r="V2296" s="58">
        <v>0</v>
      </c>
      <c r="AG2296" t="s">
        <v>2014</v>
      </c>
      <c r="AM2296" s="1" t="str">
        <f t="shared" si="140"/>
        <v>2294_C0013_0867.jpg</v>
      </c>
    </row>
    <row r="2297" spans="1:39" x14ac:dyDescent="0.35">
      <c r="A2297">
        <v>2293</v>
      </c>
      <c r="B2297">
        <v>2294</v>
      </c>
      <c r="F2297" s="64" t="s">
        <v>5333</v>
      </c>
      <c r="G2297" s="64"/>
      <c r="H2297" s="64"/>
      <c r="I2297" s="64">
        <v>0</v>
      </c>
      <c r="J2297" s="32" t="str">
        <f>IF(AND(E2297=1,OR(E2296=0,E2296="")),MAX(#REF!)+1,IF(AND(E2297=1,E2296=1),J2296,""))</f>
        <v/>
      </c>
      <c r="K2297" s="32" t="str">
        <f t="shared" si="141"/>
        <v/>
      </c>
      <c r="L2297" s="32" t="str">
        <f t="shared" si="138"/>
        <v/>
      </c>
      <c r="M2297" s="32" t="str">
        <f t="shared" si="139"/>
        <v/>
      </c>
      <c r="N2297" s="4">
        <v>1</v>
      </c>
      <c r="O2297" s="58">
        <v>0</v>
      </c>
      <c r="P2297" s="58">
        <v>0</v>
      </c>
      <c r="Q2297" s="58">
        <v>0</v>
      </c>
      <c r="R2297" s="58">
        <v>0</v>
      </c>
      <c r="S2297" s="58">
        <v>0</v>
      </c>
      <c r="T2297" s="58">
        <v>0</v>
      </c>
      <c r="U2297" s="58">
        <v>0</v>
      </c>
      <c r="V2297" s="58">
        <v>0</v>
      </c>
      <c r="AG2297" t="s">
        <v>2015</v>
      </c>
      <c r="AM2297" s="1" t="str">
        <f t="shared" si="140"/>
        <v>2295_C0013_0864.jpg</v>
      </c>
    </row>
    <row r="2298" spans="1:39" x14ac:dyDescent="0.35">
      <c r="A2298">
        <v>2294</v>
      </c>
      <c r="B2298">
        <v>2295</v>
      </c>
      <c r="F2298" s="64" t="s">
        <v>5334</v>
      </c>
      <c r="G2298" s="64"/>
      <c r="H2298" s="64"/>
      <c r="I2298" s="64">
        <v>1</v>
      </c>
      <c r="J2298" s="32" t="str">
        <f>IF(AND(E2298=1,OR(E2297=0,E2297="")),MAX(#REF!)+1,IF(AND(E2298=1,E2297=1),J2297,""))</f>
        <v/>
      </c>
      <c r="K2298" s="32" t="str">
        <f t="shared" si="141"/>
        <v/>
      </c>
      <c r="L2298" s="32" t="str">
        <f t="shared" si="138"/>
        <v/>
      </c>
      <c r="M2298" s="32" t="str">
        <f t="shared" si="139"/>
        <v/>
      </c>
      <c r="N2298" s="4">
        <v>1</v>
      </c>
      <c r="O2298" s="58">
        <v>0</v>
      </c>
      <c r="P2298" s="58">
        <v>0</v>
      </c>
      <c r="Q2298" s="58">
        <v>0</v>
      </c>
      <c r="R2298" s="58">
        <v>0</v>
      </c>
      <c r="S2298" s="58">
        <v>0</v>
      </c>
      <c r="T2298" s="58">
        <v>0</v>
      </c>
      <c r="U2298" s="58">
        <v>0</v>
      </c>
      <c r="V2298" s="58">
        <v>0</v>
      </c>
      <c r="AG2298" t="s">
        <v>2016</v>
      </c>
      <c r="AM2298" s="1" t="str">
        <f t="shared" si="140"/>
        <v>2296_C0013_0861.jpg</v>
      </c>
    </row>
    <row r="2299" spans="1:39" x14ac:dyDescent="0.35">
      <c r="A2299">
        <v>2295</v>
      </c>
      <c r="B2299">
        <v>2296</v>
      </c>
      <c r="F2299" s="64" t="s">
        <v>5335</v>
      </c>
      <c r="G2299" s="64"/>
      <c r="H2299" s="64"/>
      <c r="I2299" s="64">
        <v>1</v>
      </c>
      <c r="J2299" s="32" t="str">
        <f>IF(AND(E2299=1,OR(E2298=0,E2298="")),MAX(#REF!)+1,IF(AND(E2299=1,E2298=1),J2298,""))</f>
        <v/>
      </c>
      <c r="K2299" s="32" t="str">
        <f t="shared" si="141"/>
        <v/>
      </c>
      <c r="L2299" s="32" t="str">
        <f t="shared" si="138"/>
        <v/>
      </c>
      <c r="M2299" s="32" t="str">
        <f t="shared" si="139"/>
        <v/>
      </c>
      <c r="N2299" s="4">
        <v>1</v>
      </c>
      <c r="O2299" s="58">
        <v>0</v>
      </c>
      <c r="P2299" s="58">
        <v>0</v>
      </c>
      <c r="Q2299" s="58">
        <v>0</v>
      </c>
      <c r="R2299" s="58">
        <v>0</v>
      </c>
      <c r="S2299" s="58">
        <v>0</v>
      </c>
      <c r="T2299" s="58">
        <v>0</v>
      </c>
      <c r="U2299" s="58">
        <v>0</v>
      </c>
      <c r="V2299" s="58">
        <v>0</v>
      </c>
      <c r="AG2299" t="s">
        <v>2017</v>
      </c>
      <c r="AM2299" s="1" t="str">
        <f t="shared" si="140"/>
        <v>2297_C0013_0858.jpg</v>
      </c>
    </row>
    <row r="2300" spans="1:39" x14ac:dyDescent="0.35">
      <c r="A2300">
        <v>2296</v>
      </c>
      <c r="B2300">
        <v>2297</v>
      </c>
      <c r="F2300" s="64" t="s">
        <v>5336</v>
      </c>
      <c r="G2300" s="64"/>
      <c r="H2300" s="64"/>
      <c r="I2300" s="64">
        <v>1</v>
      </c>
      <c r="J2300" s="32" t="str">
        <f>IF(AND(E2300=1,OR(E2299=0,E2299="")),MAX(#REF!)+1,IF(AND(E2300=1,E2299=1),J2299,""))</f>
        <v/>
      </c>
      <c r="K2300" s="32" t="str">
        <f t="shared" si="141"/>
        <v/>
      </c>
      <c r="L2300" s="32" t="str">
        <f t="shared" si="138"/>
        <v/>
      </c>
      <c r="M2300" s="32" t="str">
        <f t="shared" si="139"/>
        <v/>
      </c>
      <c r="N2300" s="4">
        <v>1</v>
      </c>
      <c r="O2300" s="58">
        <v>0</v>
      </c>
      <c r="P2300" s="58">
        <v>0</v>
      </c>
      <c r="Q2300" s="58">
        <v>0</v>
      </c>
      <c r="R2300" s="58">
        <v>0</v>
      </c>
      <c r="S2300" s="58">
        <v>0</v>
      </c>
      <c r="T2300" s="58">
        <v>0</v>
      </c>
      <c r="U2300" s="58">
        <v>0</v>
      </c>
      <c r="V2300" s="58">
        <v>0</v>
      </c>
      <c r="AG2300" t="s">
        <v>2018</v>
      </c>
      <c r="AM2300" s="1" t="str">
        <f t="shared" si="140"/>
        <v>2298_C0013_0856.jpg</v>
      </c>
    </row>
    <row r="2301" spans="1:39" x14ac:dyDescent="0.35">
      <c r="A2301">
        <v>2297</v>
      </c>
      <c r="B2301">
        <v>2298</v>
      </c>
      <c r="F2301" s="64" t="s">
        <v>5337</v>
      </c>
      <c r="G2301" s="64"/>
      <c r="H2301" s="64"/>
      <c r="I2301" s="64">
        <v>1</v>
      </c>
      <c r="J2301" s="32" t="str">
        <f>IF(AND(E2301=1,OR(E2300=0,E2300="")),MAX(#REF!)+1,IF(AND(E2301=1,E2300=1),J2300,""))</f>
        <v/>
      </c>
      <c r="K2301" s="32" t="str">
        <f t="shared" si="141"/>
        <v/>
      </c>
      <c r="L2301" s="32" t="str">
        <f t="shared" si="138"/>
        <v/>
      </c>
      <c r="M2301" s="32" t="str">
        <f t="shared" si="139"/>
        <v/>
      </c>
      <c r="N2301" s="4">
        <v>1</v>
      </c>
      <c r="O2301" s="58">
        <v>0</v>
      </c>
      <c r="P2301" s="58">
        <v>0</v>
      </c>
      <c r="Q2301" s="58">
        <v>0</v>
      </c>
      <c r="R2301" s="58">
        <v>0</v>
      </c>
      <c r="S2301" s="58">
        <v>0</v>
      </c>
      <c r="T2301" s="58">
        <v>0</v>
      </c>
      <c r="U2301" s="58">
        <v>0</v>
      </c>
      <c r="V2301" s="58">
        <v>0</v>
      </c>
      <c r="AG2301" t="s">
        <v>2019</v>
      </c>
      <c r="AM2301" s="1" t="str">
        <f t="shared" si="140"/>
        <v>2299_C0013_0852.jpg</v>
      </c>
    </row>
    <row r="2302" spans="1:39" x14ac:dyDescent="0.35">
      <c r="A2302">
        <v>2298</v>
      </c>
      <c r="B2302">
        <v>2299</v>
      </c>
      <c r="F2302" s="64" t="s">
        <v>5338</v>
      </c>
      <c r="G2302" s="64"/>
      <c r="H2302" s="64"/>
      <c r="I2302" s="64">
        <v>0</v>
      </c>
      <c r="J2302" s="32" t="str">
        <f>IF(AND(E2302=1,OR(E2301=0,E2301="")),MAX(#REF!)+1,IF(AND(E2302=1,E2301=1),J2301,""))</f>
        <v/>
      </c>
      <c r="K2302" s="32" t="str">
        <f t="shared" si="141"/>
        <v/>
      </c>
      <c r="L2302" s="32" t="str">
        <f t="shared" si="138"/>
        <v/>
      </c>
      <c r="M2302" s="32" t="str">
        <f t="shared" si="139"/>
        <v/>
      </c>
      <c r="N2302" s="4">
        <v>1</v>
      </c>
      <c r="O2302" s="58">
        <v>0</v>
      </c>
      <c r="P2302" s="58">
        <v>0</v>
      </c>
      <c r="Q2302" s="58">
        <v>0</v>
      </c>
      <c r="R2302" s="58">
        <v>0</v>
      </c>
      <c r="S2302" s="58">
        <v>0</v>
      </c>
      <c r="T2302" s="58">
        <v>0</v>
      </c>
      <c r="U2302" s="58">
        <v>0</v>
      </c>
      <c r="V2302" s="58">
        <v>0</v>
      </c>
      <c r="AG2302" t="s">
        <v>2020</v>
      </c>
      <c r="AM2302" s="1" t="str">
        <f t="shared" si="140"/>
        <v>2300_C0013_0849.jpg</v>
      </c>
    </row>
    <row r="2303" spans="1:39" x14ac:dyDescent="0.35">
      <c r="A2303">
        <v>2299</v>
      </c>
      <c r="B2303">
        <v>2300</v>
      </c>
      <c r="F2303" s="64" t="s">
        <v>5339</v>
      </c>
      <c r="G2303" s="64"/>
      <c r="H2303" s="64"/>
      <c r="I2303" s="64">
        <v>1</v>
      </c>
      <c r="J2303" s="32" t="str">
        <f>IF(AND(E2303=1,OR(E2302=0,E2302="")),MAX(#REF!)+1,IF(AND(E2303=1,E2302=1),J2302,""))</f>
        <v/>
      </c>
      <c r="K2303" s="32" t="str">
        <f t="shared" si="141"/>
        <v/>
      </c>
      <c r="L2303" s="32" t="str">
        <f t="shared" si="138"/>
        <v/>
      </c>
      <c r="M2303" s="32" t="str">
        <f t="shared" si="139"/>
        <v/>
      </c>
      <c r="N2303" s="4">
        <v>1</v>
      </c>
      <c r="O2303" s="58">
        <v>0</v>
      </c>
      <c r="P2303" s="58">
        <v>0</v>
      </c>
      <c r="Q2303" s="58">
        <v>0</v>
      </c>
      <c r="R2303" s="58">
        <v>0</v>
      </c>
      <c r="S2303" s="58">
        <v>0</v>
      </c>
      <c r="T2303" s="58">
        <v>0</v>
      </c>
      <c r="U2303" s="58">
        <v>0</v>
      </c>
      <c r="V2303" s="58">
        <v>0</v>
      </c>
      <c r="AG2303" t="s">
        <v>2021</v>
      </c>
      <c r="AM2303" s="1" t="str">
        <f t="shared" si="140"/>
        <v>2301_C0013_0847.jpg</v>
      </c>
    </row>
    <row r="2304" spans="1:39" x14ac:dyDescent="0.35">
      <c r="A2304">
        <v>2300</v>
      </c>
      <c r="B2304">
        <v>2301</v>
      </c>
      <c r="F2304" s="64" t="s">
        <v>5340</v>
      </c>
      <c r="G2304" s="64"/>
      <c r="H2304" s="64"/>
      <c r="I2304" s="64">
        <v>1</v>
      </c>
      <c r="J2304" s="32" t="str">
        <f>IF(AND(E2304=1,OR(E2303=0,E2303="")),MAX(#REF!)+1,IF(AND(E2304=1,E2303=1),J2303,""))</f>
        <v/>
      </c>
      <c r="K2304" s="32" t="str">
        <f t="shared" si="141"/>
        <v/>
      </c>
      <c r="L2304" s="32" t="str">
        <f t="shared" si="138"/>
        <v/>
      </c>
      <c r="M2304" s="32" t="str">
        <f t="shared" si="139"/>
        <v/>
      </c>
      <c r="N2304" s="4">
        <v>1</v>
      </c>
      <c r="O2304" s="58">
        <v>0</v>
      </c>
      <c r="P2304" s="58">
        <v>0</v>
      </c>
      <c r="Q2304" s="58">
        <v>0</v>
      </c>
      <c r="R2304" s="58">
        <v>0</v>
      </c>
      <c r="S2304" s="58">
        <v>0</v>
      </c>
      <c r="T2304" s="58">
        <v>0</v>
      </c>
      <c r="U2304" s="58">
        <v>0</v>
      </c>
      <c r="V2304" s="58">
        <v>0</v>
      </c>
      <c r="AG2304" t="s">
        <v>2022</v>
      </c>
      <c r="AM2304" s="1" t="str">
        <f t="shared" si="140"/>
        <v>2302_C0013_0844.jpg</v>
      </c>
    </row>
    <row r="2305" spans="1:39" x14ac:dyDescent="0.35">
      <c r="A2305">
        <v>2301</v>
      </c>
      <c r="B2305">
        <v>2302</v>
      </c>
      <c r="F2305" s="64" t="s">
        <v>5341</v>
      </c>
      <c r="G2305" s="64"/>
      <c r="H2305" s="64"/>
      <c r="I2305" s="64">
        <v>1</v>
      </c>
      <c r="J2305" s="32" t="str">
        <f>IF(AND(E2305=1,OR(E2304=0,E2304="")),MAX(#REF!)+1,IF(AND(E2305=1,E2304=1),J2304,""))</f>
        <v/>
      </c>
      <c r="K2305" s="32" t="str">
        <f t="shared" si="141"/>
        <v/>
      </c>
      <c r="L2305" s="32" t="str">
        <f t="shared" si="138"/>
        <v/>
      </c>
      <c r="M2305" s="32" t="str">
        <f t="shared" si="139"/>
        <v/>
      </c>
      <c r="N2305" s="4">
        <v>1</v>
      </c>
      <c r="O2305" s="58">
        <v>0</v>
      </c>
      <c r="P2305" s="58">
        <v>0</v>
      </c>
      <c r="Q2305" s="58">
        <v>0</v>
      </c>
      <c r="R2305" s="58">
        <v>0</v>
      </c>
      <c r="S2305" s="58">
        <v>0</v>
      </c>
      <c r="T2305" s="58">
        <v>0</v>
      </c>
      <c r="U2305" s="58">
        <v>0</v>
      </c>
      <c r="V2305" s="58">
        <v>0</v>
      </c>
      <c r="AG2305" t="s">
        <v>2023</v>
      </c>
      <c r="AM2305" s="1" t="str">
        <f t="shared" si="140"/>
        <v>2303_C0013_0841.jpg</v>
      </c>
    </row>
    <row r="2306" spans="1:39" x14ac:dyDescent="0.35">
      <c r="A2306">
        <v>2302</v>
      </c>
      <c r="B2306">
        <v>2303</v>
      </c>
      <c r="F2306" s="64" t="s">
        <v>5342</v>
      </c>
      <c r="G2306" s="64"/>
      <c r="H2306" s="64"/>
      <c r="I2306" s="64">
        <v>1</v>
      </c>
      <c r="J2306" s="32" t="str">
        <f>IF(AND(E2306=1,OR(E2305=0,E2305="")),MAX(#REF!)+1,IF(AND(E2306=1,E2305=1),J2305,""))</f>
        <v/>
      </c>
      <c r="K2306" s="32" t="str">
        <f t="shared" si="141"/>
        <v/>
      </c>
      <c r="L2306" s="32" t="str">
        <f t="shared" si="138"/>
        <v/>
      </c>
      <c r="M2306" s="32" t="str">
        <f t="shared" si="139"/>
        <v/>
      </c>
      <c r="N2306" s="4">
        <v>1</v>
      </c>
      <c r="O2306" s="58">
        <v>0</v>
      </c>
      <c r="P2306" s="58">
        <v>0</v>
      </c>
      <c r="Q2306" s="58">
        <v>0</v>
      </c>
      <c r="R2306" s="58">
        <v>0</v>
      </c>
      <c r="S2306" s="58">
        <v>0</v>
      </c>
      <c r="T2306" s="58">
        <v>0</v>
      </c>
      <c r="U2306" s="58">
        <v>0</v>
      </c>
      <c r="V2306" s="58">
        <v>0</v>
      </c>
      <c r="AG2306" t="s">
        <v>2024</v>
      </c>
      <c r="AM2306" s="1" t="str">
        <f t="shared" si="140"/>
        <v>2304_C0013_0838.jpg</v>
      </c>
    </row>
    <row r="2307" spans="1:39" x14ac:dyDescent="0.35">
      <c r="A2307">
        <v>2303</v>
      </c>
      <c r="B2307">
        <v>2304</v>
      </c>
      <c r="F2307" s="64" t="s">
        <v>5343</v>
      </c>
      <c r="G2307" s="64"/>
      <c r="H2307" s="64"/>
      <c r="I2307" s="64">
        <v>1</v>
      </c>
      <c r="J2307" s="32" t="str">
        <f>IF(AND(E2307=1,OR(E2306=0,E2306="")),MAX(#REF!)+1,IF(AND(E2307=1,E2306=1),J2306,""))</f>
        <v/>
      </c>
      <c r="K2307" s="32" t="str">
        <f t="shared" si="141"/>
        <v/>
      </c>
      <c r="L2307" s="32" t="str">
        <f t="shared" si="138"/>
        <v/>
      </c>
      <c r="M2307" s="32" t="str">
        <f t="shared" si="139"/>
        <v/>
      </c>
      <c r="N2307" s="4">
        <v>1</v>
      </c>
      <c r="O2307" s="58">
        <v>0</v>
      </c>
      <c r="P2307" s="58">
        <v>0</v>
      </c>
      <c r="Q2307" s="58">
        <v>0</v>
      </c>
      <c r="R2307" s="58">
        <v>0</v>
      </c>
      <c r="S2307" s="58">
        <v>0</v>
      </c>
      <c r="T2307" s="58">
        <v>0</v>
      </c>
      <c r="U2307" s="58">
        <v>0</v>
      </c>
      <c r="V2307" s="58">
        <v>0</v>
      </c>
      <c r="AG2307" t="s">
        <v>2025</v>
      </c>
      <c r="AM2307" s="1" t="str">
        <f t="shared" si="140"/>
        <v>2305_C0013_0835.jpg</v>
      </c>
    </row>
    <row r="2308" spans="1:39" x14ac:dyDescent="0.35">
      <c r="A2308">
        <v>2304</v>
      </c>
      <c r="B2308">
        <v>2305</v>
      </c>
      <c r="F2308" s="64" t="s">
        <v>5344</v>
      </c>
      <c r="G2308" s="64"/>
      <c r="H2308" s="64"/>
      <c r="I2308" s="64">
        <v>1</v>
      </c>
      <c r="J2308" s="32" t="str">
        <f>IF(AND(E2308=1,OR(E2307=0,E2307="")),MAX(#REF!)+1,IF(AND(E2308=1,E2307=1),J2307,""))</f>
        <v/>
      </c>
      <c r="K2308" s="32" t="str">
        <f t="shared" si="141"/>
        <v/>
      </c>
      <c r="L2308" s="32" t="str">
        <f t="shared" ref="L2308:L2371" si="142">IF(K2308="","",IF(K2308&gt;=100,"HV",""))</f>
        <v/>
      </c>
      <c r="M2308" s="32" t="str">
        <f t="shared" ref="M2308:M2371" si="143">IF(K2308&lt;&gt;"",K2308^2,"")</f>
        <v/>
      </c>
      <c r="N2308" s="4">
        <v>1</v>
      </c>
      <c r="O2308" s="58">
        <v>0</v>
      </c>
      <c r="P2308" s="58">
        <v>0</v>
      </c>
      <c r="Q2308" s="58">
        <v>0</v>
      </c>
      <c r="R2308" s="58">
        <v>0</v>
      </c>
      <c r="S2308" s="58">
        <v>0</v>
      </c>
      <c r="T2308" s="58">
        <v>0</v>
      </c>
      <c r="U2308" s="58">
        <v>0</v>
      </c>
      <c r="V2308" s="58">
        <v>0</v>
      </c>
      <c r="AG2308" t="s">
        <v>2026</v>
      </c>
      <c r="AM2308" s="1" t="str">
        <f t="shared" si="140"/>
        <v>2306_C0013_0832.jpg</v>
      </c>
    </row>
    <row r="2309" spans="1:39" x14ac:dyDescent="0.35">
      <c r="A2309">
        <v>2305</v>
      </c>
      <c r="B2309">
        <v>2306</v>
      </c>
      <c r="F2309" s="64" t="s">
        <v>5345</v>
      </c>
      <c r="G2309" s="64"/>
      <c r="H2309" s="64"/>
      <c r="I2309" s="64">
        <v>1</v>
      </c>
      <c r="J2309" s="32" t="str">
        <f>IF(AND(E2309=1,OR(E2308=0,E2308="")),MAX(#REF!)+1,IF(AND(E2309=1,E2308=1),J2308,""))</f>
        <v/>
      </c>
      <c r="K2309" s="32" t="str">
        <f t="shared" si="141"/>
        <v/>
      </c>
      <c r="L2309" s="32" t="str">
        <f t="shared" si="142"/>
        <v/>
      </c>
      <c r="M2309" s="32" t="str">
        <f t="shared" si="143"/>
        <v/>
      </c>
      <c r="N2309" s="4">
        <v>1</v>
      </c>
      <c r="O2309" s="58">
        <v>0</v>
      </c>
      <c r="P2309" s="58">
        <v>0</v>
      </c>
      <c r="Q2309" s="58">
        <v>0</v>
      </c>
      <c r="R2309" s="58">
        <v>0</v>
      </c>
      <c r="S2309" s="58">
        <v>0</v>
      </c>
      <c r="T2309" s="58">
        <v>0</v>
      </c>
      <c r="U2309" s="58">
        <v>0</v>
      </c>
      <c r="V2309" s="58">
        <v>0</v>
      </c>
      <c r="AG2309" t="s">
        <v>2027</v>
      </c>
      <c r="AM2309" s="1" t="str">
        <f t="shared" si="140"/>
        <v>2307_C0013_0828.jpg</v>
      </c>
    </row>
    <row r="2310" spans="1:39" x14ac:dyDescent="0.35">
      <c r="A2310">
        <v>2306</v>
      </c>
      <c r="B2310">
        <v>2307</v>
      </c>
      <c r="F2310" s="64" t="s">
        <v>5346</v>
      </c>
      <c r="G2310" s="64"/>
      <c r="H2310" s="64"/>
      <c r="I2310" s="64">
        <v>1</v>
      </c>
      <c r="J2310" s="32" t="str">
        <f>IF(AND(E2310=1,OR(E2309=0,E2309="")),MAX(#REF!)+1,IF(AND(E2310=1,E2309=1),J2309,""))</f>
        <v/>
      </c>
      <c r="K2310" s="32" t="str">
        <f t="shared" si="141"/>
        <v/>
      </c>
      <c r="L2310" s="32" t="str">
        <f t="shared" si="142"/>
        <v/>
      </c>
      <c r="M2310" s="32" t="str">
        <f t="shared" si="143"/>
        <v/>
      </c>
      <c r="N2310" s="4">
        <v>1</v>
      </c>
      <c r="O2310" s="58">
        <v>0</v>
      </c>
      <c r="P2310" s="58">
        <v>0</v>
      </c>
      <c r="Q2310" s="58">
        <v>0</v>
      </c>
      <c r="R2310" s="58">
        <v>0</v>
      </c>
      <c r="S2310" s="58">
        <v>0</v>
      </c>
      <c r="T2310" s="58">
        <v>0</v>
      </c>
      <c r="U2310" s="58">
        <v>0</v>
      </c>
      <c r="V2310" s="58">
        <v>0</v>
      </c>
      <c r="AG2310" t="s">
        <v>2028</v>
      </c>
      <c r="AM2310" s="1" t="str">
        <f t="shared" si="140"/>
        <v>2308_C0013_0825.jpg</v>
      </c>
    </row>
    <row r="2311" spans="1:39" x14ac:dyDescent="0.35">
      <c r="A2311">
        <v>2307</v>
      </c>
      <c r="B2311">
        <v>2308</v>
      </c>
      <c r="F2311" s="64" t="s">
        <v>5347</v>
      </c>
      <c r="G2311" s="64"/>
      <c r="H2311" s="64"/>
      <c r="I2311" s="64">
        <v>1</v>
      </c>
      <c r="J2311" s="32" t="str">
        <f>IF(AND(E2311=1,OR(E2310=0,E2310="")),MAX(#REF!)+1,IF(AND(E2311=1,E2310=1),J2310,""))</f>
        <v/>
      </c>
      <c r="K2311" s="32" t="str">
        <f t="shared" si="141"/>
        <v/>
      </c>
      <c r="L2311" s="32" t="str">
        <f t="shared" si="142"/>
        <v/>
      </c>
      <c r="M2311" s="32" t="str">
        <f t="shared" si="143"/>
        <v/>
      </c>
      <c r="N2311" s="4">
        <v>1</v>
      </c>
      <c r="O2311" s="58">
        <v>0</v>
      </c>
      <c r="P2311" s="58">
        <v>0</v>
      </c>
      <c r="Q2311" s="58">
        <v>0</v>
      </c>
      <c r="R2311" s="58">
        <v>0</v>
      </c>
      <c r="S2311" s="58">
        <v>0</v>
      </c>
      <c r="T2311" s="58">
        <v>0</v>
      </c>
      <c r="U2311" s="58">
        <v>0</v>
      </c>
      <c r="V2311" s="58">
        <v>0</v>
      </c>
      <c r="AG2311" t="s">
        <v>2029</v>
      </c>
      <c r="AM2311" s="1" t="str">
        <f t="shared" si="140"/>
        <v>2309_C0013_0821.jpg</v>
      </c>
    </row>
    <row r="2312" spans="1:39" x14ac:dyDescent="0.35">
      <c r="A2312">
        <v>2308</v>
      </c>
      <c r="B2312">
        <v>2309</v>
      </c>
      <c r="F2312" s="64" t="s">
        <v>5348</v>
      </c>
      <c r="G2312" s="64"/>
      <c r="H2312" s="64"/>
      <c r="I2312" s="64">
        <v>1</v>
      </c>
      <c r="J2312" s="32" t="str">
        <f>IF(AND(E2312=1,OR(E2311=0,E2311="")),MAX(#REF!)+1,IF(AND(E2312=1,E2311=1),J2311,""))</f>
        <v/>
      </c>
      <c r="K2312" s="32" t="str">
        <f t="shared" si="141"/>
        <v/>
      </c>
      <c r="L2312" s="32" t="str">
        <f t="shared" si="142"/>
        <v/>
      </c>
      <c r="M2312" s="32" t="str">
        <f t="shared" si="143"/>
        <v/>
      </c>
      <c r="N2312" s="4">
        <v>1</v>
      </c>
      <c r="O2312" s="58">
        <v>0</v>
      </c>
      <c r="P2312" s="58">
        <v>0</v>
      </c>
      <c r="Q2312" s="58">
        <v>0</v>
      </c>
      <c r="R2312" s="58">
        <v>0</v>
      </c>
      <c r="S2312" s="58">
        <v>0</v>
      </c>
      <c r="T2312" s="58">
        <v>0</v>
      </c>
      <c r="U2312" s="58">
        <v>0</v>
      </c>
      <c r="V2312" s="58">
        <v>0</v>
      </c>
      <c r="AG2312" t="s">
        <v>2030</v>
      </c>
      <c r="AM2312" s="1" t="str">
        <f t="shared" si="140"/>
        <v>2310_C0013_0818.jpg</v>
      </c>
    </row>
    <row r="2313" spans="1:39" x14ac:dyDescent="0.35">
      <c r="A2313">
        <v>2309</v>
      </c>
      <c r="B2313">
        <v>2310</v>
      </c>
      <c r="F2313" s="64" t="s">
        <v>5349</v>
      </c>
      <c r="G2313" s="64"/>
      <c r="H2313" s="64"/>
      <c r="I2313" s="64">
        <v>1</v>
      </c>
      <c r="J2313" s="32" t="str">
        <f>IF(AND(E2313=1,OR(E2312=0,E2312="")),MAX(#REF!)+1,IF(AND(E2313=1,E2312=1),J2312,""))</f>
        <v/>
      </c>
      <c r="K2313" s="32" t="str">
        <f t="shared" si="141"/>
        <v/>
      </c>
      <c r="L2313" s="32" t="str">
        <f t="shared" si="142"/>
        <v/>
      </c>
      <c r="M2313" s="32" t="str">
        <f t="shared" si="143"/>
        <v/>
      </c>
      <c r="N2313" s="4">
        <v>1</v>
      </c>
      <c r="O2313" s="58">
        <v>0</v>
      </c>
      <c r="P2313" s="58">
        <v>0</v>
      </c>
      <c r="Q2313" s="58">
        <v>0</v>
      </c>
      <c r="R2313" s="58">
        <v>0</v>
      </c>
      <c r="S2313" s="58">
        <v>0</v>
      </c>
      <c r="T2313" s="58">
        <v>0</v>
      </c>
      <c r="U2313" s="58">
        <v>0</v>
      </c>
      <c r="V2313" s="58">
        <v>0</v>
      </c>
      <c r="AG2313" t="s">
        <v>2031</v>
      </c>
      <c r="AM2313" s="1" t="str">
        <f t="shared" si="140"/>
        <v>2311_C0013_0814.jpg</v>
      </c>
    </row>
    <row r="2314" spans="1:39" x14ac:dyDescent="0.35">
      <c r="A2314">
        <v>2310</v>
      </c>
      <c r="B2314">
        <v>2311</v>
      </c>
      <c r="F2314" s="64" t="s">
        <v>5350</v>
      </c>
      <c r="G2314" s="64"/>
      <c r="H2314" s="64"/>
      <c r="I2314" s="64">
        <v>1</v>
      </c>
      <c r="J2314" s="32" t="str">
        <f>IF(AND(E2314=1,OR(E2313=0,E2313="")),MAX(#REF!)+1,IF(AND(E2314=1,E2313=1),J2313,""))</f>
        <v/>
      </c>
      <c r="K2314" s="32" t="str">
        <f t="shared" si="141"/>
        <v/>
      </c>
      <c r="L2314" s="32" t="str">
        <f t="shared" si="142"/>
        <v/>
      </c>
      <c r="M2314" s="32" t="str">
        <f t="shared" si="143"/>
        <v/>
      </c>
      <c r="N2314" s="4">
        <v>1</v>
      </c>
      <c r="O2314" s="58">
        <v>0</v>
      </c>
      <c r="P2314" s="58">
        <v>0</v>
      </c>
      <c r="Q2314" s="58">
        <v>0</v>
      </c>
      <c r="R2314" s="58">
        <v>0</v>
      </c>
      <c r="S2314" s="58">
        <v>0</v>
      </c>
      <c r="T2314" s="58">
        <v>0</v>
      </c>
      <c r="U2314" s="58">
        <v>0</v>
      </c>
      <c r="V2314" s="58">
        <v>0</v>
      </c>
      <c r="AG2314" t="s">
        <v>2032</v>
      </c>
      <c r="AM2314" s="1" t="str">
        <f t="shared" si="140"/>
        <v>2312_C0013_0810.jpg</v>
      </c>
    </row>
    <row r="2315" spans="1:39" x14ac:dyDescent="0.35">
      <c r="A2315">
        <v>2311</v>
      </c>
      <c r="B2315">
        <v>2312</v>
      </c>
      <c r="F2315" s="64" t="s">
        <v>5351</v>
      </c>
      <c r="G2315" s="64"/>
      <c r="H2315" s="64"/>
      <c r="I2315" s="64">
        <v>1</v>
      </c>
      <c r="J2315" s="32" t="str">
        <f>IF(AND(E2315=1,OR(E2314=0,E2314="")),MAX(#REF!)+1,IF(AND(E2315=1,E2314=1),J2314,""))</f>
        <v/>
      </c>
      <c r="K2315" s="32" t="str">
        <f t="shared" si="141"/>
        <v/>
      </c>
      <c r="L2315" s="32" t="str">
        <f t="shared" si="142"/>
        <v/>
      </c>
      <c r="M2315" s="32" t="str">
        <f t="shared" si="143"/>
        <v/>
      </c>
      <c r="N2315" s="4">
        <v>1</v>
      </c>
      <c r="O2315" s="58">
        <v>0</v>
      </c>
      <c r="P2315" s="58">
        <v>0</v>
      </c>
      <c r="Q2315" s="58">
        <v>0</v>
      </c>
      <c r="R2315" s="58">
        <v>0</v>
      </c>
      <c r="S2315" s="58">
        <v>0</v>
      </c>
      <c r="T2315" s="58">
        <v>0</v>
      </c>
      <c r="U2315" s="58">
        <v>0</v>
      </c>
      <c r="V2315" s="58">
        <v>0</v>
      </c>
      <c r="AG2315" t="s">
        <v>2033</v>
      </c>
      <c r="AM2315" s="1" t="str">
        <f t="shared" ref="AM2315:AM2378" si="144">HYPERLINK("E:\CAFNEC_GBRF\2023\JohnstoneRiver\Frames_for_Analysis\" &amp; F2316, F2316)</f>
        <v>2313_C0013_0806.jpg</v>
      </c>
    </row>
    <row r="2316" spans="1:39" x14ac:dyDescent="0.35">
      <c r="A2316">
        <v>2312</v>
      </c>
      <c r="B2316">
        <v>2313</v>
      </c>
      <c r="F2316" s="64" t="s">
        <v>5352</v>
      </c>
      <c r="G2316" s="64"/>
      <c r="H2316" s="64"/>
      <c r="I2316" s="64">
        <v>1</v>
      </c>
      <c r="J2316" s="32" t="str">
        <f>IF(AND(E2316=1,OR(E2315=0,E2315="")),MAX(#REF!)+1,IF(AND(E2316=1,E2315=1),J2315,""))</f>
        <v/>
      </c>
      <c r="K2316" s="32" t="str">
        <f t="shared" si="141"/>
        <v/>
      </c>
      <c r="L2316" s="32" t="str">
        <f t="shared" si="142"/>
        <v/>
      </c>
      <c r="M2316" s="32" t="str">
        <f t="shared" si="143"/>
        <v/>
      </c>
      <c r="N2316" s="4">
        <v>1</v>
      </c>
      <c r="O2316" s="58">
        <v>0</v>
      </c>
      <c r="P2316" s="58">
        <v>0</v>
      </c>
      <c r="Q2316" s="58">
        <v>0</v>
      </c>
      <c r="R2316" s="58">
        <v>0</v>
      </c>
      <c r="S2316" s="58">
        <v>0</v>
      </c>
      <c r="T2316" s="58">
        <v>0</v>
      </c>
      <c r="U2316" s="58">
        <v>0</v>
      </c>
      <c r="V2316" s="58">
        <v>0</v>
      </c>
      <c r="AG2316" t="s">
        <v>2034</v>
      </c>
      <c r="AM2316" s="1" t="str">
        <f t="shared" si="144"/>
        <v>2314_C0013_0802.jpg</v>
      </c>
    </row>
    <row r="2317" spans="1:39" x14ac:dyDescent="0.35">
      <c r="A2317">
        <v>2313</v>
      </c>
      <c r="B2317">
        <v>2314</v>
      </c>
      <c r="F2317" s="64" t="s">
        <v>5353</v>
      </c>
      <c r="G2317" s="64"/>
      <c r="H2317" s="64"/>
      <c r="I2317" s="64">
        <v>1</v>
      </c>
      <c r="J2317" s="32" t="str">
        <f>IF(AND(E2317=1,OR(E2316=0,E2316="")),MAX(#REF!)+1,IF(AND(E2317=1,E2316=1),J2316,""))</f>
        <v/>
      </c>
      <c r="K2317" s="32" t="str">
        <f t="shared" si="141"/>
        <v/>
      </c>
      <c r="L2317" s="32" t="str">
        <f t="shared" si="142"/>
        <v/>
      </c>
      <c r="M2317" s="32" t="str">
        <f t="shared" si="143"/>
        <v/>
      </c>
      <c r="N2317" s="4">
        <v>1</v>
      </c>
      <c r="O2317" s="58">
        <v>0</v>
      </c>
      <c r="P2317" s="58">
        <v>0</v>
      </c>
      <c r="Q2317" s="58">
        <v>0</v>
      </c>
      <c r="R2317" s="58">
        <v>0</v>
      </c>
      <c r="S2317" s="58">
        <v>0</v>
      </c>
      <c r="T2317" s="58">
        <v>0</v>
      </c>
      <c r="U2317" s="58">
        <v>0</v>
      </c>
      <c r="V2317" s="58">
        <v>0</v>
      </c>
      <c r="AG2317" t="s">
        <v>2035</v>
      </c>
      <c r="AM2317" s="1" t="str">
        <f t="shared" si="144"/>
        <v>2315_C0013_0798.jpg</v>
      </c>
    </row>
    <row r="2318" spans="1:39" x14ac:dyDescent="0.35">
      <c r="A2318">
        <v>2314</v>
      </c>
      <c r="B2318">
        <v>2315</v>
      </c>
      <c r="F2318" s="64" t="s">
        <v>5354</v>
      </c>
      <c r="G2318" s="64"/>
      <c r="H2318" s="64"/>
      <c r="I2318" s="64">
        <v>1</v>
      </c>
      <c r="J2318" s="32" t="str">
        <f>IF(AND(E2318=1,OR(E2317=0,E2317="")),MAX(#REF!)+1,IF(AND(E2318=1,E2317=1),J2317,""))</f>
        <v/>
      </c>
      <c r="K2318" s="32" t="str">
        <f t="shared" si="141"/>
        <v/>
      </c>
      <c r="L2318" s="32" t="str">
        <f t="shared" si="142"/>
        <v/>
      </c>
      <c r="M2318" s="32" t="str">
        <f t="shared" si="143"/>
        <v/>
      </c>
      <c r="N2318" s="4">
        <v>1</v>
      </c>
      <c r="O2318" s="58">
        <v>0</v>
      </c>
      <c r="P2318" s="58">
        <v>0</v>
      </c>
      <c r="Q2318" s="58">
        <v>0</v>
      </c>
      <c r="R2318" s="58">
        <v>0</v>
      </c>
      <c r="S2318" s="58">
        <v>0</v>
      </c>
      <c r="T2318" s="58">
        <v>0</v>
      </c>
      <c r="U2318" s="58">
        <v>0</v>
      </c>
      <c r="V2318" s="58">
        <v>0</v>
      </c>
      <c r="AG2318" t="s">
        <v>2036</v>
      </c>
      <c r="AM2318" s="1" t="str">
        <f t="shared" si="144"/>
        <v>2316_C0013_0795.jpg</v>
      </c>
    </row>
    <row r="2319" spans="1:39" x14ac:dyDescent="0.35">
      <c r="A2319">
        <v>2315</v>
      </c>
      <c r="B2319">
        <v>2316</v>
      </c>
      <c r="F2319" s="64" t="s">
        <v>5355</v>
      </c>
      <c r="G2319" s="64"/>
      <c r="H2319" s="64"/>
      <c r="I2319" s="64">
        <v>1</v>
      </c>
      <c r="J2319" s="32" t="str">
        <f>IF(AND(E2319=1,OR(E2318=0,E2318="")),MAX(#REF!)+1,IF(AND(E2319=1,E2318=1),J2318,""))</f>
        <v/>
      </c>
      <c r="K2319" s="32" t="str">
        <f t="shared" si="141"/>
        <v/>
      </c>
      <c r="L2319" s="32" t="str">
        <f t="shared" si="142"/>
        <v/>
      </c>
      <c r="M2319" s="32" t="str">
        <f t="shared" si="143"/>
        <v/>
      </c>
      <c r="N2319" s="4">
        <v>1</v>
      </c>
      <c r="O2319" s="58">
        <v>0</v>
      </c>
      <c r="P2319" s="58">
        <v>0</v>
      </c>
      <c r="Q2319" s="58">
        <v>0</v>
      </c>
      <c r="R2319" s="58">
        <v>0</v>
      </c>
      <c r="S2319" s="58">
        <v>0</v>
      </c>
      <c r="T2319" s="58">
        <v>0</v>
      </c>
      <c r="U2319" s="58">
        <v>0</v>
      </c>
      <c r="V2319" s="58">
        <v>0</v>
      </c>
      <c r="AG2319" t="s">
        <v>2037</v>
      </c>
      <c r="AM2319" s="1" t="str">
        <f t="shared" si="144"/>
        <v>2317_C0013_0792.jpg</v>
      </c>
    </row>
    <row r="2320" spans="1:39" x14ac:dyDescent="0.35">
      <c r="A2320">
        <v>2316</v>
      </c>
      <c r="B2320">
        <v>2317</v>
      </c>
      <c r="F2320" s="64" t="s">
        <v>5356</v>
      </c>
      <c r="G2320" s="64"/>
      <c r="H2320" s="64"/>
      <c r="I2320" s="64">
        <v>1</v>
      </c>
      <c r="J2320" s="32" t="str">
        <f>IF(AND(E2320=1,OR(E2319=0,E2319="")),MAX(#REF!)+1,IF(AND(E2320=1,E2319=1),J2319,""))</f>
        <v/>
      </c>
      <c r="K2320" s="32" t="str">
        <f t="shared" si="141"/>
        <v/>
      </c>
      <c r="L2320" s="32" t="str">
        <f t="shared" si="142"/>
        <v/>
      </c>
      <c r="M2320" s="32" t="str">
        <f t="shared" si="143"/>
        <v/>
      </c>
      <c r="N2320" s="4">
        <v>1</v>
      </c>
      <c r="O2320" s="58">
        <v>0</v>
      </c>
      <c r="P2320" s="58">
        <v>0</v>
      </c>
      <c r="Q2320" s="58">
        <v>0</v>
      </c>
      <c r="R2320" s="58">
        <v>0</v>
      </c>
      <c r="S2320" s="58">
        <v>0</v>
      </c>
      <c r="T2320" s="58">
        <v>0</v>
      </c>
      <c r="U2320" s="58">
        <v>0</v>
      </c>
      <c r="V2320" s="58">
        <v>0</v>
      </c>
      <c r="AG2320" t="s">
        <v>2038</v>
      </c>
      <c r="AM2320" s="1" t="str">
        <f t="shared" si="144"/>
        <v>2318_C0013_0788.jpg</v>
      </c>
    </row>
    <row r="2321" spans="1:39" x14ac:dyDescent="0.35">
      <c r="A2321">
        <v>2317</v>
      </c>
      <c r="B2321">
        <v>2318</v>
      </c>
      <c r="F2321" s="64" t="s">
        <v>5357</v>
      </c>
      <c r="G2321" s="64"/>
      <c r="H2321" s="64"/>
      <c r="I2321" s="64">
        <v>1</v>
      </c>
      <c r="J2321" s="32" t="str">
        <f>IF(AND(E2321=1,OR(E2320=0,E2320="")),MAX(#REF!)+1,IF(AND(E2321=1,E2320=1),J2320,""))</f>
        <v/>
      </c>
      <c r="K2321" s="32" t="str">
        <f t="shared" si="141"/>
        <v/>
      </c>
      <c r="L2321" s="32" t="str">
        <f t="shared" si="142"/>
        <v/>
      </c>
      <c r="M2321" s="32" t="str">
        <f t="shared" si="143"/>
        <v/>
      </c>
      <c r="N2321" s="4">
        <v>1</v>
      </c>
      <c r="O2321" s="58">
        <v>0</v>
      </c>
      <c r="P2321" s="58">
        <v>0</v>
      </c>
      <c r="Q2321" s="58">
        <v>0</v>
      </c>
      <c r="R2321" s="58">
        <v>0</v>
      </c>
      <c r="S2321" s="58">
        <v>0</v>
      </c>
      <c r="T2321" s="58">
        <v>0</v>
      </c>
      <c r="U2321" s="58">
        <v>0</v>
      </c>
      <c r="V2321" s="58">
        <v>0</v>
      </c>
      <c r="AG2321" t="s">
        <v>2039</v>
      </c>
      <c r="AM2321" s="1" t="str">
        <f t="shared" si="144"/>
        <v>2319_C0013_0786.jpg</v>
      </c>
    </row>
    <row r="2322" spans="1:39" x14ac:dyDescent="0.35">
      <c r="A2322">
        <v>2318</v>
      </c>
      <c r="B2322">
        <v>2319</v>
      </c>
      <c r="F2322" s="64" t="s">
        <v>5358</v>
      </c>
      <c r="G2322" s="64"/>
      <c r="H2322" s="64"/>
      <c r="I2322" s="64">
        <v>1</v>
      </c>
      <c r="J2322" s="32" t="str">
        <f>IF(AND(E2322=1,OR(E2321=0,E2321="")),MAX(#REF!)+1,IF(AND(E2322=1,E2321=1),J2321,""))</f>
        <v/>
      </c>
      <c r="K2322" s="32" t="str">
        <f t="shared" si="141"/>
        <v/>
      </c>
      <c r="L2322" s="32" t="str">
        <f t="shared" si="142"/>
        <v/>
      </c>
      <c r="M2322" s="32" t="str">
        <f t="shared" si="143"/>
        <v/>
      </c>
      <c r="N2322" s="4">
        <v>1</v>
      </c>
      <c r="O2322" s="58">
        <v>0</v>
      </c>
      <c r="P2322" s="58">
        <v>0</v>
      </c>
      <c r="Q2322" s="58">
        <v>0</v>
      </c>
      <c r="R2322" s="58">
        <v>0</v>
      </c>
      <c r="S2322" s="58">
        <v>0</v>
      </c>
      <c r="T2322" s="58">
        <v>0</v>
      </c>
      <c r="U2322" s="58">
        <v>0</v>
      </c>
      <c r="V2322" s="58">
        <v>0</v>
      </c>
      <c r="AG2322" t="s">
        <v>2040</v>
      </c>
      <c r="AM2322" s="1" t="str">
        <f t="shared" si="144"/>
        <v>2320_C0013_0782.jpg</v>
      </c>
    </row>
    <row r="2323" spans="1:39" x14ac:dyDescent="0.35">
      <c r="A2323">
        <v>2319</v>
      </c>
      <c r="B2323">
        <v>2320</v>
      </c>
      <c r="F2323" s="64" t="s">
        <v>5359</v>
      </c>
      <c r="G2323" s="64"/>
      <c r="H2323" s="64"/>
      <c r="I2323" s="64">
        <v>1</v>
      </c>
      <c r="J2323" s="32" t="str">
        <f>IF(AND(E2323=1,OR(E2322=0,E2322="")),MAX(#REF!)+1,IF(AND(E2323=1,E2322=1),J2322,""))</f>
        <v/>
      </c>
      <c r="K2323" s="32" t="str">
        <f t="shared" si="141"/>
        <v/>
      </c>
      <c r="L2323" s="32" t="str">
        <f t="shared" si="142"/>
        <v/>
      </c>
      <c r="M2323" s="32" t="str">
        <f t="shared" si="143"/>
        <v/>
      </c>
      <c r="N2323" s="4">
        <v>1</v>
      </c>
      <c r="O2323" s="58">
        <v>0</v>
      </c>
      <c r="P2323" s="58">
        <v>0</v>
      </c>
      <c r="Q2323" s="58">
        <v>0</v>
      </c>
      <c r="R2323" s="58">
        <v>0</v>
      </c>
      <c r="S2323" s="58">
        <v>0</v>
      </c>
      <c r="T2323" s="58">
        <v>0</v>
      </c>
      <c r="U2323" s="58">
        <v>0</v>
      </c>
      <c r="V2323" s="58">
        <v>0</v>
      </c>
      <c r="AG2323" t="s">
        <v>2041</v>
      </c>
      <c r="AM2323" s="1" t="str">
        <f t="shared" si="144"/>
        <v>2321_C0013_0779.jpg</v>
      </c>
    </row>
    <row r="2324" spans="1:39" x14ac:dyDescent="0.35">
      <c r="A2324">
        <v>2320</v>
      </c>
      <c r="B2324">
        <v>2321</v>
      </c>
      <c r="F2324" s="64" t="s">
        <v>5360</v>
      </c>
      <c r="G2324" s="64"/>
      <c r="H2324" s="64"/>
      <c r="I2324" s="64">
        <v>1</v>
      </c>
      <c r="J2324" s="32" t="str">
        <f>IF(AND(E2324=1,OR(E2323=0,E2323="")),MAX(#REF!)+1,IF(AND(E2324=1,E2323=1),J2323,""))</f>
        <v/>
      </c>
      <c r="K2324" s="32" t="str">
        <f t="shared" si="141"/>
        <v/>
      </c>
      <c r="L2324" s="32" t="str">
        <f t="shared" si="142"/>
        <v/>
      </c>
      <c r="M2324" s="32" t="str">
        <f t="shared" si="143"/>
        <v/>
      </c>
      <c r="N2324" s="4">
        <v>1</v>
      </c>
      <c r="O2324" s="58">
        <v>0</v>
      </c>
      <c r="P2324" s="58">
        <v>0</v>
      </c>
      <c r="Q2324" s="58">
        <v>0</v>
      </c>
      <c r="R2324" s="58">
        <v>0</v>
      </c>
      <c r="S2324" s="58">
        <v>0</v>
      </c>
      <c r="T2324" s="58">
        <v>0</v>
      </c>
      <c r="U2324" s="58">
        <v>0</v>
      </c>
      <c r="V2324" s="58">
        <v>0</v>
      </c>
      <c r="AG2324" t="s">
        <v>2042</v>
      </c>
      <c r="AM2324" s="1" t="str">
        <f t="shared" si="144"/>
        <v>2322_C0013_0775.jpg</v>
      </c>
    </row>
    <row r="2325" spans="1:39" x14ac:dyDescent="0.35">
      <c r="A2325">
        <v>2321</v>
      </c>
      <c r="B2325">
        <v>2322</v>
      </c>
      <c r="F2325" s="64" t="s">
        <v>5361</v>
      </c>
      <c r="G2325" s="64"/>
      <c r="H2325" s="64"/>
      <c r="I2325" s="64">
        <v>1</v>
      </c>
      <c r="J2325" s="32" t="str">
        <f>IF(AND(E2325=1,OR(E2324=0,E2324="")),MAX(#REF!)+1,IF(AND(E2325=1,E2324=1),J2324,""))</f>
        <v/>
      </c>
      <c r="K2325" s="32" t="str">
        <f t="shared" si="141"/>
        <v/>
      </c>
      <c r="L2325" s="32" t="str">
        <f t="shared" si="142"/>
        <v/>
      </c>
      <c r="M2325" s="32" t="str">
        <f t="shared" si="143"/>
        <v/>
      </c>
      <c r="N2325" s="4">
        <v>1</v>
      </c>
      <c r="O2325" s="58">
        <v>0</v>
      </c>
      <c r="P2325" s="58">
        <v>0</v>
      </c>
      <c r="Q2325" s="58">
        <v>0</v>
      </c>
      <c r="R2325" s="58">
        <v>0</v>
      </c>
      <c r="S2325" s="58">
        <v>0</v>
      </c>
      <c r="T2325" s="58">
        <v>0</v>
      </c>
      <c r="U2325" s="58">
        <v>0</v>
      </c>
      <c r="V2325" s="58">
        <v>0</v>
      </c>
      <c r="AG2325" t="s">
        <v>2043</v>
      </c>
      <c r="AM2325" s="1" t="str">
        <f t="shared" si="144"/>
        <v>2323_C0013_0771.jpg</v>
      </c>
    </row>
    <row r="2326" spans="1:39" x14ac:dyDescent="0.35">
      <c r="A2326">
        <v>2322</v>
      </c>
      <c r="B2326">
        <v>2323</v>
      </c>
      <c r="F2326" s="64" t="s">
        <v>5362</v>
      </c>
      <c r="G2326" s="64"/>
      <c r="H2326" s="64"/>
      <c r="I2326" s="64">
        <v>1</v>
      </c>
      <c r="J2326" s="32" t="str">
        <f>IF(AND(E2326=1,OR(E2325=0,E2325="")),MAX(#REF!)+1,IF(AND(E2326=1,E2325=1),J2325,""))</f>
        <v/>
      </c>
      <c r="K2326" s="32" t="str">
        <f t="shared" si="141"/>
        <v/>
      </c>
      <c r="L2326" s="32" t="str">
        <f t="shared" si="142"/>
        <v/>
      </c>
      <c r="M2326" s="32" t="str">
        <f t="shared" si="143"/>
        <v/>
      </c>
      <c r="N2326" s="4">
        <v>1</v>
      </c>
      <c r="O2326" s="58">
        <v>0</v>
      </c>
      <c r="P2326" s="58">
        <v>0</v>
      </c>
      <c r="Q2326" s="58">
        <v>0</v>
      </c>
      <c r="R2326" s="58">
        <v>0</v>
      </c>
      <c r="S2326" s="58">
        <v>0</v>
      </c>
      <c r="T2326" s="58">
        <v>0</v>
      </c>
      <c r="U2326" s="58">
        <v>0</v>
      </c>
      <c r="V2326" s="58">
        <v>0</v>
      </c>
      <c r="AG2326" t="s">
        <v>2044</v>
      </c>
      <c r="AM2326" s="1" t="str">
        <f t="shared" si="144"/>
        <v>2324_C0013_0768.jpg</v>
      </c>
    </row>
    <row r="2327" spans="1:39" x14ac:dyDescent="0.35">
      <c r="A2327">
        <v>2323</v>
      </c>
      <c r="B2327">
        <v>2324</v>
      </c>
      <c r="F2327" s="64" t="s">
        <v>5363</v>
      </c>
      <c r="G2327" s="64"/>
      <c r="H2327" s="64"/>
      <c r="I2327" s="64">
        <v>1</v>
      </c>
      <c r="J2327" s="32" t="str">
        <f>IF(AND(E2327=1,OR(E2326=0,E2326="")),MAX(#REF!)+1,IF(AND(E2327=1,E2326=1),J2326,""))</f>
        <v/>
      </c>
      <c r="K2327" s="32" t="str">
        <f t="shared" si="141"/>
        <v/>
      </c>
      <c r="L2327" s="32" t="str">
        <f t="shared" si="142"/>
        <v/>
      </c>
      <c r="M2327" s="32" t="str">
        <f t="shared" si="143"/>
        <v/>
      </c>
      <c r="N2327" s="4">
        <v>1</v>
      </c>
      <c r="O2327" s="58">
        <v>0</v>
      </c>
      <c r="P2327" s="58">
        <v>0</v>
      </c>
      <c r="Q2327" s="58">
        <v>0</v>
      </c>
      <c r="R2327" s="58">
        <v>0</v>
      </c>
      <c r="S2327" s="58">
        <v>0</v>
      </c>
      <c r="T2327" s="58">
        <v>0</v>
      </c>
      <c r="U2327" s="58">
        <v>0</v>
      </c>
      <c r="V2327" s="58">
        <v>0</v>
      </c>
      <c r="AG2327" t="s">
        <v>2045</v>
      </c>
      <c r="AM2327" s="1" t="str">
        <f t="shared" si="144"/>
        <v>2325_C0013_0764.jpg</v>
      </c>
    </row>
    <row r="2328" spans="1:39" x14ac:dyDescent="0.35">
      <c r="A2328">
        <v>2324</v>
      </c>
      <c r="B2328">
        <v>2325</v>
      </c>
      <c r="F2328" s="64" t="s">
        <v>5364</v>
      </c>
      <c r="G2328" s="64"/>
      <c r="H2328" s="64"/>
      <c r="I2328" s="64">
        <v>1</v>
      </c>
      <c r="J2328" s="32" t="str">
        <f>IF(AND(E2328=1,OR(E2327=0,E2327="")),MAX(#REF!)+1,IF(AND(E2328=1,E2327=1),J2327,""))</f>
        <v/>
      </c>
      <c r="K2328" s="32" t="str">
        <f t="shared" si="141"/>
        <v/>
      </c>
      <c r="L2328" s="32" t="str">
        <f t="shared" si="142"/>
        <v/>
      </c>
      <c r="M2328" s="32" t="str">
        <f t="shared" si="143"/>
        <v/>
      </c>
      <c r="N2328" s="4">
        <v>1</v>
      </c>
      <c r="O2328" s="58">
        <v>0</v>
      </c>
      <c r="P2328" s="58">
        <v>0</v>
      </c>
      <c r="Q2328" s="58">
        <v>0</v>
      </c>
      <c r="R2328" s="58">
        <v>0</v>
      </c>
      <c r="S2328" s="58">
        <v>0</v>
      </c>
      <c r="T2328" s="58">
        <v>0</v>
      </c>
      <c r="U2328" s="58">
        <v>0</v>
      </c>
      <c r="V2328" s="58">
        <v>0</v>
      </c>
      <c r="AG2328" t="s">
        <v>2046</v>
      </c>
      <c r="AM2328" s="1" t="str">
        <f t="shared" si="144"/>
        <v>2326_C0013_0760.jpg</v>
      </c>
    </row>
    <row r="2329" spans="1:39" x14ac:dyDescent="0.35">
      <c r="A2329">
        <v>2325</v>
      </c>
      <c r="B2329">
        <v>2326</v>
      </c>
      <c r="F2329" s="64" t="s">
        <v>5365</v>
      </c>
      <c r="G2329" s="64"/>
      <c r="H2329" s="64"/>
      <c r="I2329" s="64">
        <v>1</v>
      </c>
      <c r="J2329" s="32" t="str">
        <f>IF(AND(E2329=1,OR(E2328=0,E2328="")),MAX(#REF!)+1,IF(AND(E2329=1,E2328=1),J2328,""))</f>
        <v/>
      </c>
      <c r="K2329" s="32" t="str">
        <f t="shared" si="141"/>
        <v/>
      </c>
      <c r="L2329" s="32" t="str">
        <f t="shared" si="142"/>
        <v/>
      </c>
      <c r="M2329" s="32" t="str">
        <f t="shared" si="143"/>
        <v/>
      </c>
      <c r="N2329" s="4">
        <v>1</v>
      </c>
      <c r="O2329" s="58">
        <v>0</v>
      </c>
      <c r="P2329" s="58">
        <v>0</v>
      </c>
      <c r="Q2329" s="58">
        <v>0</v>
      </c>
      <c r="R2329" s="58">
        <v>0</v>
      </c>
      <c r="S2329" s="58">
        <v>0</v>
      </c>
      <c r="T2329" s="58">
        <v>0</v>
      </c>
      <c r="U2329" s="58">
        <v>0</v>
      </c>
      <c r="V2329" s="58">
        <v>0</v>
      </c>
      <c r="AG2329" t="s">
        <v>2047</v>
      </c>
      <c r="AM2329" s="1" t="str">
        <f t="shared" si="144"/>
        <v>2327_C0013_0757.jpg</v>
      </c>
    </row>
    <row r="2330" spans="1:39" x14ac:dyDescent="0.35">
      <c r="A2330">
        <v>2326</v>
      </c>
      <c r="B2330">
        <v>2327</v>
      </c>
      <c r="F2330" s="64" t="s">
        <v>5366</v>
      </c>
      <c r="G2330" s="64"/>
      <c r="H2330" s="64"/>
      <c r="I2330" s="64">
        <v>1</v>
      </c>
      <c r="J2330" s="32" t="str">
        <f>IF(AND(E2330=1,OR(E2329=0,E2329="")),MAX(#REF!)+1,IF(AND(E2330=1,E2329=1),J2329,""))</f>
        <v/>
      </c>
      <c r="K2330" s="32" t="str">
        <f t="shared" si="141"/>
        <v/>
      </c>
      <c r="L2330" s="32" t="str">
        <f t="shared" si="142"/>
        <v/>
      </c>
      <c r="M2330" s="32" t="str">
        <f t="shared" si="143"/>
        <v/>
      </c>
      <c r="N2330" s="4">
        <v>1</v>
      </c>
      <c r="O2330" s="58">
        <v>0</v>
      </c>
      <c r="P2330" s="58">
        <v>0</v>
      </c>
      <c r="Q2330" s="58">
        <v>0</v>
      </c>
      <c r="R2330" s="58">
        <v>0</v>
      </c>
      <c r="S2330" s="58">
        <v>0</v>
      </c>
      <c r="T2330" s="58">
        <v>0</v>
      </c>
      <c r="U2330" s="58">
        <v>0</v>
      </c>
      <c r="V2330" s="58">
        <v>0</v>
      </c>
      <c r="AG2330" t="s">
        <v>2048</v>
      </c>
      <c r="AM2330" s="1" t="str">
        <f t="shared" si="144"/>
        <v>2328_C0013_0754.jpg</v>
      </c>
    </row>
    <row r="2331" spans="1:39" x14ac:dyDescent="0.35">
      <c r="A2331">
        <v>2327</v>
      </c>
      <c r="B2331">
        <v>2328</v>
      </c>
      <c r="F2331" s="64" t="s">
        <v>5367</v>
      </c>
      <c r="G2331" s="64"/>
      <c r="H2331" s="64"/>
      <c r="I2331" s="64">
        <v>1</v>
      </c>
      <c r="J2331" s="32" t="str">
        <f>IF(AND(E2331=1,OR(E2330=0,E2330="")),MAX(#REF!)+1,IF(AND(E2331=1,E2330=1),J2330,""))</f>
        <v/>
      </c>
      <c r="K2331" s="32" t="str">
        <f t="shared" si="141"/>
        <v/>
      </c>
      <c r="L2331" s="32" t="str">
        <f t="shared" si="142"/>
        <v/>
      </c>
      <c r="M2331" s="32" t="str">
        <f t="shared" si="143"/>
        <v/>
      </c>
      <c r="N2331" s="4">
        <v>1</v>
      </c>
      <c r="O2331" s="58">
        <v>0</v>
      </c>
      <c r="P2331" s="58">
        <v>0</v>
      </c>
      <c r="Q2331" s="58">
        <v>0</v>
      </c>
      <c r="R2331" s="58">
        <v>0</v>
      </c>
      <c r="S2331" s="58">
        <v>0</v>
      </c>
      <c r="T2331" s="58">
        <v>0</v>
      </c>
      <c r="U2331" s="58">
        <v>0</v>
      </c>
      <c r="V2331" s="58">
        <v>0</v>
      </c>
      <c r="AG2331" t="s">
        <v>2049</v>
      </c>
      <c r="AM2331" s="1" t="str">
        <f t="shared" si="144"/>
        <v>2329_C0013_0751.jpg</v>
      </c>
    </row>
    <row r="2332" spans="1:39" x14ac:dyDescent="0.35">
      <c r="A2332">
        <v>2328</v>
      </c>
      <c r="B2332">
        <v>2329</v>
      </c>
      <c r="F2332" s="64" t="s">
        <v>5368</v>
      </c>
      <c r="G2332" s="64"/>
      <c r="H2332" s="64"/>
      <c r="I2332" s="64">
        <v>1</v>
      </c>
      <c r="J2332" s="32" t="str">
        <f>IF(AND(E2332=1,OR(E2331=0,E2331="")),MAX(#REF!)+1,IF(AND(E2332=1,E2331=1),J2331,""))</f>
        <v/>
      </c>
      <c r="K2332" s="32" t="str">
        <f t="shared" si="141"/>
        <v/>
      </c>
      <c r="L2332" s="32" t="str">
        <f t="shared" si="142"/>
        <v/>
      </c>
      <c r="M2332" s="32" t="str">
        <f t="shared" si="143"/>
        <v/>
      </c>
      <c r="N2332" s="4">
        <v>1</v>
      </c>
      <c r="O2332" s="58">
        <v>0</v>
      </c>
      <c r="P2332" s="58">
        <v>0</v>
      </c>
      <c r="Q2332" s="58">
        <v>0</v>
      </c>
      <c r="R2332" s="58">
        <v>0</v>
      </c>
      <c r="S2332" s="58">
        <v>0</v>
      </c>
      <c r="T2332" s="58">
        <v>0</v>
      </c>
      <c r="U2332" s="58">
        <v>0</v>
      </c>
      <c r="V2332" s="58">
        <v>0</v>
      </c>
      <c r="AG2332" t="s">
        <v>2050</v>
      </c>
      <c r="AM2332" s="1" t="str">
        <f t="shared" si="144"/>
        <v>2330_C0013_0749.jpg</v>
      </c>
    </row>
    <row r="2333" spans="1:39" x14ac:dyDescent="0.35">
      <c r="A2333">
        <v>2329</v>
      </c>
      <c r="B2333">
        <v>2330</v>
      </c>
      <c r="F2333" s="64" t="s">
        <v>5369</v>
      </c>
      <c r="G2333" s="64"/>
      <c r="H2333" s="64"/>
      <c r="I2333" s="64">
        <v>1</v>
      </c>
      <c r="J2333" s="32" t="str">
        <f>IF(AND(E2333=1,OR(E2332=0,E2332="")),MAX(#REF!)+1,IF(AND(E2333=1,E2332=1),J2332,""))</f>
        <v/>
      </c>
      <c r="K2333" s="32" t="str">
        <f t="shared" si="141"/>
        <v/>
      </c>
      <c r="L2333" s="32" t="str">
        <f t="shared" si="142"/>
        <v/>
      </c>
      <c r="M2333" s="32" t="str">
        <f t="shared" si="143"/>
        <v/>
      </c>
      <c r="N2333" s="4">
        <v>1</v>
      </c>
      <c r="O2333" s="58">
        <v>0</v>
      </c>
      <c r="P2333" s="58">
        <v>0</v>
      </c>
      <c r="Q2333" s="58">
        <v>0</v>
      </c>
      <c r="R2333" s="58">
        <v>0</v>
      </c>
      <c r="S2333" s="58">
        <v>0</v>
      </c>
      <c r="T2333" s="58">
        <v>0</v>
      </c>
      <c r="U2333" s="58">
        <v>0</v>
      </c>
      <c r="V2333" s="58">
        <v>0</v>
      </c>
      <c r="AG2333" t="s">
        <v>2051</v>
      </c>
      <c r="AM2333" s="1" t="str">
        <f t="shared" si="144"/>
        <v>2331_C0013_0745.jpg</v>
      </c>
    </row>
    <row r="2334" spans="1:39" x14ac:dyDescent="0.35">
      <c r="A2334">
        <v>2330</v>
      </c>
      <c r="B2334">
        <v>2331</v>
      </c>
      <c r="F2334" s="64" t="s">
        <v>5370</v>
      </c>
      <c r="G2334" s="64"/>
      <c r="H2334" s="64"/>
      <c r="I2334" s="64">
        <v>0</v>
      </c>
      <c r="J2334" s="32" t="str">
        <f>IF(AND(E2334=1,OR(E2333=0,E2333="")),MAX(#REF!)+1,IF(AND(E2334=1,E2333=1),J2333,""))</f>
        <v/>
      </c>
      <c r="K2334" s="32" t="str">
        <f t="shared" si="141"/>
        <v/>
      </c>
      <c r="L2334" s="32" t="str">
        <f t="shared" si="142"/>
        <v/>
      </c>
      <c r="M2334" s="32" t="str">
        <f t="shared" si="143"/>
        <v/>
      </c>
      <c r="N2334" s="4">
        <v>1</v>
      </c>
      <c r="O2334" s="58">
        <v>0</v>
      </c>
      <c r="P2334" s="58">
        <v>0</v>
      </c>
      <c r="Q2334" s="58">
        <v>0</v>
      </c>
      <c r="R2334" s="58">
        <v>0</v>
      </c>
      <c r="S2334" s="58">
        <v>0</v>
      </c>
      <c r="T2334" s="58">
        <v>0</v>
      </c>
      <c r="U2334" s="58">
        <v>0</v>
      </c>
      <c r="V2334" s="58">
        <v>0</v>
      </c>
      <c r="AG2334" t="s">
        <v>2052</v>
      </c>
      <c r="AM2334" s="1" t="str">
        <f t="shared" si="144"/>
        <v>2332_C0013_0743.jpg</v>
      </c>
    </row>
    <row r="2335" spans="1:39" x14ac:dyDescent="0.35">
      <c r="A2335">
        <v>2331</v>
      </c>
      <c r="B2335">
        <v>2332</v>
      </c>
      <c r="F2335" s="64" t="s">
        <v>5371</v>
      </c>
      <c r="G2335" s="64"/>
      <c r="H2335" s="64"/>
      <c r="I2335" s="64">
        <v>1</v>
      </c>
      <c r="J2335" s="32" t="str">
        <f>IF(AND(E2335=1,OR(E2334=0,E2334="")),MAX(#REF!)+1,IF(AND(E2335=1,E2334=1),J2334,""))</f>
        <v/>
      </c>
      <c r="K2335" s="32" t="str">
        <f t="shared" ref="K2335:K2398" si="145">IF(J2335="","",COUNTIF(J:J,J2335)*10)</f>
        <v/>
      </c>
      <c r="L2335" s="32" t="str">
        <f t="shared" si="142"/>
        <v/>
      </c>
      <c r="M2335" s="32" t="str">
        <f t="shared" si="143"/>
        <v/>
      </c>
      <c r="N2335" s="4">
        <v>1</v>
      </c>
      <c r="O2335" s="58">
        <v>0</v>
      </c>
      <c r="P2335" s="58">
        <v>0</v>
      </c>
      <c r="Q2335" s="58">
        <v>0</v>
      </c>
      <c r="R2335" s="58">
        <v>0</v>
      </c>
      <c r="S2335" s="58">
        <v>0</v>
      </c>
      <c r="T2335" s="58">
        <v>0</v>
      </c>
      <c r="U2335" s="58">
        <v>0</v>
      </c>
      <c r="V2335" s="58">
        <v>0</v>
      </c>
      <c r="AG2335" t="s">
        <v>2053</v>
      </c>
      <c r="AM2335" s="1" t="str">
        <f t="shared" si="144"/>
        <v>2333_C0013_0739.jpg</v>
      </c>
    </row>
    <row r="2336" spans="1:39" x14ac:dyDescent="0.35">
      <c r="A2336">
        <v>2332</v>
      </c>
      <c r="B2336">
        <v>2333</v>
      </c>
      <c r="F2336" s="64" t="s">
        <v>5372</v>
      </c>
      <c r="G2336" s="64"/>
      <c r="H2336" s="64"/>
      <c r="I2336" s="64">
        <v>1</v>
      </c>
      <c r="J2336" s="32" t="str">
        <f>IF(AND(E2336=1,OR(E2335=0,E2335="")),MAX(#REF!)+1,IF(AND(E2336=1,E2335=1),J2335,""))</f>
        <v/>
      </c>
      <c r="K2336" s="32" t="str">
        <f t="shared" si="145"/>
        <v/>
      </c>
      <c r="L2336" s="32" t="str">
        <f t="shared" si="142"/>
        <v/>
      </c>
      <c r="M2336" s="32" t="str">
        <f t="shared" si="143"/>
        <v/>
      </c>
      <c r="N2336" s="4">
        <v>1</v>
      </c>
      <c r="O2336" s="58">
        <v>0</v>
      </c>
      <c r="P2336" s="58">
        <v>0</v>
      </c>
      <c r="Q2336" s="58">
        <v>0</v>
      </c>
      <c r="R2336" s="58">
        <v>0</v>
      </c>
      <c r="S2336" s="58">
        <v>0</v>
      </c>
      <c r="T2336" s="58">
        <v>0</v>
      </c>
      <c r="U2336" s="58">
        <v>0</v>
      </c>
      <c r="V2336" s="58">
        <v>0</v>
      </c>
      <c r="AG2336" t="s">
        <v>2054</v>
      </c>
      <c r="AM2336" s="1" t="str">
        <f t="shared" si="144"/>
        <v>2334_C0013_0736.jpg</v>
      </c>
    </row>
    <row r="2337" spans="1:39" x14ac:dyDescent="0.35">
      <c r="A2337">
        <v>2333</v>
      </c>
      <c r="B2337">
        <v>2334</v>
      </c>
      <c r="F2337" s="64" t="s">
        <v>5373</v>
      </c>
      <c r="G2337" s="64"/>
      <c r="H2337" s="64"/>
      <c r="I2337" s="64">
        <v>1</v>
      </c>
      <c r="J2337" s="32" t="str">
        <f>IF(AND(E2337=1,OR(E2336=0,E2336="")),MAX(#REF!)+1,IF(AND(E2337=1,E2336=1),J2336,""))</f>
        <v/>
      </c>
      <c r="K2337" s="32" t="str">
        <f t="shared" si="145"/>
        <v/>
      </c>
      <c r="L2337" s="32" t="str">
        <f t="shared" si="142"/>
        <v/>
      </c>
      <c r="M2337" s="32" t="str">
        <f t="shared" si="143"/>
        <v/>
      </c>
      <c r="N2337" s="4">
        <v>1</v>
      </c>
      <c r="O2337" s="58">
        <v>0</v>
      </c>
      <c r="P2337" s="58">
        <v>0</v>
      </c>
      <c r="Q2337" s="58">
        <v>0</v>
      </c>
      <c r="R2337" s="58">
        <v>0</v>
      </c>
      <c r="S2337" s="58">
        <v>0</v>
      </c>
      <c r="T2337" s="58">
        <v>0</v>
      </c>
      <c r="U2337" s="58">
        <v>0</v>
      </c>
      <c r="V2337" s="58">
        <v>0</v>
      </c>
      <c r="AG2337" t="s">
        <v>2055</v>
      </c>
      <c r="AM2337" s="1" t="str">
        <f t="shared" si="144"/>
        <v>2335_C0013_0732.jpg</v>
      </c>
    </row>
    <row r="2338" spans="1:39" x14ac:dyDescent="0.35">
      <c r="A2338">
        <v>2334</v>
      </c>
      <c r="B2338">
        <v>2335</v>
      </c>
      <c r="F2338" s="64" t="s">
        <v>5374</v>
      </c>
      <c r="G2338" s="64"/>
      <c r="H2338" s="64"/>
      <c r="I2338" s="64">
        <v>1</v>
      </c>
      <c r="J2338" s="32" t="str">
        <f>IF(AND(E2338=1,OR(E2337=0,E2337="")),MAX(#REF!)+1,IF(AND(E2338=1,E2337=1),J2337,""))</f>
        <v/>
      </c>
      <c r="K2338" s="32" t="str">
        <f t="shared" si="145"/>
        <v/>
      </c>
      <c r="L2338" s="32" t="str">
        <f t="shared" si="142"/>
        <v/>
      </c>
      <c r="M2338" s="32" t="str">
        <f t="shared" si="143"/>
        <v/>
      </c>
      <c r="N2338" s="4">
        <v>1</v>
      </c>
      <c r="O2338" s="58">
        <v>0</v>
      </c>
      <c r="P2338" s="58">
        <v>0</v>
      </c>
      <c r="Q2338" s="58">
        <v>0</v>
      </c>
      <c r="R2338" s="58">
        <v>0</v>
      </c>
      <c r="S2338" s="58">
        <v>0</v>
      </c>
      <c r="T2338" s="58">
        <v>0</v>
      </c>
      <c r="U2338" s="58">
        <v>0</v>
      </c>
      <c r="V2338" s="58">
        <v>0</v>
      </c>
      <c r="AG2338" t="s">
        <v>2056</v>
      </c>
      <c r="AM2338" s="1" t="str">
        <f t="shared" si="144"/>
        <v>2336_C0013_0729.jpg</v>
      </c>
    </row>
    <row r="2339" spans="1:39" x14ac:dyDescent="0.35">
      <c r="A2339">
        <v>2335</v>
      </c>
      <c r="B2339">
        <v>2336</v>
      </c>
      <c r="F2339" s="64" t="s">
        <v>5375</v>
      </c>
      <c r="G2339" s="64"/>
      <c r="H2339" s="64"/>
      <c r="I2339" s="64">
        <v>1</v>
      </c>
      <c r="J2339" s="32" t="str">
        <f>IF(AND(E2339=1,OR(E2338=0,E2338="")),MAX(#REF!)+1,IF(AND(E2339=1,E2338=1),J2338,""))</f>
        <v/>
      </c>
      <c r="K2339" s="32" t="str">
        <f t="shared" si="145"/>
        <v/>
      </c>
      <c r="L2339" s="32" t="str">
        <f t="shared" si="142"/>
        <v/>
      </c>
      <c r="M2339" s="32" t="str">
        <f t="shared" si="143"/>
        <v/>
      </c>
      <c r="N2339" s="4">
        <v>1</v>
      </c>
      <c r="O2339" s="58">
        <v>0</v>
      </c>
      <c r="P2339" s="58">
        <v>0</v>
      </c>
      <c r="Q2339" s="58">
        <v>0</v>
      </c>
      <c r="R2339" s="58">
        <v>0</v>
      </c>
      <c r="S2339" s="58">
        <v>0</v>
      </c>
      <c r="T2339" s="58">
        <v>0</v>
      </c>
      <c r="U2339" s="58">
        <v>0</v>
      </c>
      <c r="V2339" s="58">
        <v>0</v>
      </c>
      <c r="AG2339" t="s">
        <v>2057</v>
      </c>
      <c r="AM2339" s="1" t="str">
        <f t="shared" si="144"/>
        <v>2337_C0013_0726.jpg</v>
      </c>
    </row>
    <row r="2340" spans="1:39" x14ac:dyDescent="0.35">
      <c r="A2340">
        <v>2336</v>
      </c>
      <c r="B2340">
        <v>2337</v>
      </c>
      <c r="F2340" s="64" t="s">
        <v>5376</v>
      </c>
      <c r="G2340" s="64"/>
      <c r="H2340" s="64"/>
      <c r="I2340" s="64">
        <v>1</v>
      </c>
      <c r="J2340" s="32" t="str">
        <f>IF(AND(E2340=1,OR(E2339=0,E2339="")),MAX(#REF!)+1,IF(AND(E2340=1,E2339=1),J2339,""))</f>
        <v/>
      </c>
      <c r="K2340" s="32" t="str">
        <f t="shared" si="145"/>
        <v/>
      </c>
      <c r="L2340" s="32" t="str">
        <f t="shared" si="142"/>
        <v/>
      </c>
      <c r="M2340" s="32" t="str">
        <f t="shared" si="143"/>
        <v/>
      </c>
      <c r="N2340" s="4">
        <v>1</v>
      </c>
      <c r="O2340" s="58">
        <v>0</v>
      </c>
      <c r="P2340" s="58">
        <v>0</v>
      </c>
      <c r="Q2340" s="58">
        <v>0</v>
      </c>
      <c r="R2340" s="58">
        <v>0</v>
      </c>
      <c r="S2340" s="58">
        <v>0</v>
      </c>
      <c r="T2340" s="58">
        <v>0</v>
      </c>
      <c r="U2340" s="58">
        <v>0</v>
      </c>
      <c r="V2340" s="58">
        <v>0</v>
      </c>
      <c r="AG2340" t="s">
        <v>2058</v>
      </c>
      <c r="AM2340" s="1" t="str">
        <f t="shared" si="144"/>
        <v>2338_C0013_0723.jpg</v>
      </c>
    </row>
    <row r="2341" spans="1:39" x14ac:dyDescent="0.35">
      <c r="A2341">
        <v>2337</v>
      </c>
      <c r="B2341">
        <v>2338</v>
      </c>
      <c r="F2341" s="64" t="s">
        <v>5377</v>
      </c>
      <c r="G2341" s="64"/>
      <c r="H2341" s="64"/>
      <c r="I2341" s="64">
        <v>1</v>
      </c>
      <c r="J2341" s="32" t="str">
        <f>IF(AND(E2341=1,OR(E2340=0,E2340="")),MAX(#REF!)+1,IF(AND(E2341=1,E2340=1),J2340,""))</f>
        <v/>
      </c>
      <c r="K2341" s="32" t="str">
        <f t="shared" si="145"/>
        <v/>
      </c>
      <c r="L2341" s="32" t="str">
        <f t="shared" si="142"/>
        <v/>
      </c>
      <c r="M2341" s="32" t="str">
        <f t="shared" si="143"/>
        <v/>
      </c>
      <c r="N2341" s="4">
        <v>1</v>
      </c>
      <c r="O2341" s="58">
        <v>0</v>
      </c>
      <c r="P2341" s="58">
        <v>0</v>
      </c>
      <c r="Q2341" s="58">
        <v>0</v>
      </c>
      <c r="R2341" s="58">
        <v>0</v>
      </c>
      <c r="S2341" s="58">
        <v>0</v>
      </c>
      <c r="T2341" s="58">
        <v>0</v>
      </c>
      <c r="U2341" s="58">
        <v>0</v>
      </c>
      <c r="V2341" s="58">
        <v>0</v>
      </c>
      <c r="AG2341" t="s">
        <v>2059</v>
      </c>
      <c r="AM2341" s="1" t="str">
        <f t="shared" si="144"/>
        <v>2339_C0013_0719.jpg</v>
      </c>
    </row>
    <row r="2342" spans="1:39" x14ac:dyDescent="0.35">
      <c r="A2342">
        <v>2338</v>
      </c>
      <c r="B2342">
        <v>2339</v>
      </c>
      <c r="F2342" s="64" t="s">
        <v>5378</v>
      </c>
      <c r="G2342" s="64"/>
      <c r="H2342" s="64"/>
      <c r="I2342" s="64">
        <v>1</v>
      </c>
      <c r="J2342" s="32" t="str">
        <f>IF(AND(E2342=1,OR(E2341=0,E2341="")),MAX(#REF!)+1,IF(AND(E2342=1,E2341=1),J2341,""))</f>
        <v/>
      </c>
      <c r="K2342" s="32" t="str">
        <f t="shared" si="145"/>
        <v/>
      </c>
      <c r="L2342" s="32" t="str">
        <f t="shared" si="142"/>
        <v/>
      </c>
      <c r="M2342" s="32" t="str">
        <f t="shared" si="143"/>
        <v/>
      </c>
      <c r="N2342" s="4">
        <v>1</v>
      </c>
      <c r="O2342" s="58">
        <v>0</v>
      </c>
      <c r="P2342" s="58">
        <v>0</v>
      </c>
      <c r="Q2342" s="58">
        <v>0</v>
      </c>
      <c r="R2342" s="58">
        <v>0</v>
      </c>
      <c r="S2342" s="58">
        <v>0</v>
      </c>
      <c r="T2342" s="58">
        <v>0</v>
      </c>
      <c r="U2342" s="58">
        <v>0</v>
      </c>
      <c r="V2342" s="58">
        <v>0</v>
      </c>
      <c r="AG2342" t="s">
        <v>2060</v>
      </c>
      <c r="AM2342" s="1" t="str">
        <f t="shared" si="144"/>
        <v>2340_C0013_0716.jpg</v>
      </c>
    </row>
    <row r="2343" spans="1:39" x14ac:dyDescent="0.35">
      <c r="A2343">
        <v>2339</v>
      </c>
      <c r="B2343">
        <v>2340</v>
      </c>
      <c r="F2343" s="64" t="s">
        <v>5379</v>
      </c>
      <c r="G2343" s="64"/>
      <c r="H2343" s="64"/>
      <c r="I2343" s="64">
        <v>1</v>
      </c>
      <c r="J2343" s="32" t="str">
        <f>IF(AND(E2343=1,OR(E2342=0,E2342="")),MAX(#REF!)+1,IF(AND(E2343=1,E2342=1),J2342,""))</f>
        <v/>
      </c>
      <c r="K2343" s="32" t="str">
        <f t="shared" si="145"/>
        <v/>
      </c>
      <c r="L2343" s="32" t="str">
        <f t="shared" si="142"/>
        <v/>
      </c>
      <c r="M2343" s="32" t="str">
        <f t="shared" si="143"/>
        <v/>
      </c>
      <c r="N2343" s="4">
        <v>1</v>
      </c>
      <c r="O2343" s="58">
        <v>0</v>
      </c>
      <c r="P2343" s="58">
        <v>0</v>
      </c>
      <c r="Q2343" s="58">
        <v>0</v>
      </c>
      <c r="R2343" s="58">
        <v>0</v>
      </c>
      <c r="S2343" s="58">
        <v>0</v>
      </c>
      <c r="T2343" s="58">
        <v>0</v>
      </c>
      <c r="U2343" s="58">
        <v>0</v>
      </c>
      <c r="V2343" s="58">
        <v>0</v>
      </c>
      <c r="AG2343" t="s">
        <v>2061</v>
      </c>
      <c r="AM2343" s="1" t="str">
        <f t="shared" si="144"/>
        <v>2341_C0013_0712.jpg</v>
      </c>
    </row>
    <row r="2344" spans="1:39" x14ac:dyDescent="0.35">
      <c r="A2344">
        <v>2340</v>
      </c>
      <c r="B2344">
        <v>2341</v>
      </c>
      <c r="F2344" s="64" t="s">
        <v>5380</v>
      </c>
      <c r="G2344" s="64"/>
      <c r="H2344" s="64"/>
      <c r="I2344" s="64">
        <v>1</v>
      </c>
      <c r="J2344" s="32" t="str">
        <f>IF(AND(E2344=1,OR(E2343=0,E2343="")),MAX(#REF!)+1,IF(AND(E2344=1,E2343=1),J2343,""))</f>
        <v/>
      </c>
      <c r="K2344" s="32" t="str">
        <f t="shared" si="145"/>
        <v/>
      </c>
      <c r="L2344" s="32" t="str">
        <f t="shared" si="142"/>
        <v/>
      </c>
      <c r="M2344" s="32" t="str">
        <f t="shared" si="143"/>
        <v/>
      </c>
      <c r="N2344" s="4">
        <v>1</v>
      </c>
      <c r="O2344" s="58">
        <v>0</v>
      </c>
      <c r="P2344" s="58">
        <v>0</v>
      </c>
      <c r="Q2344" s="58">
        <v>0</v>
      </c>
      <c r="R2344" s="58">
        <v>0</v>
      </c>
      <c r="S2344" s="58">
        <v>0</v>
      </c>
      <c r="T2344" s="58">
        <v>0</v>
      </c>
      <c r="U2344" s="58">
        <v>0</v>
      </c>
      <c r="V2344" s="58">
        <v>0</v>
      </c>
      <c r="AG2344" t="s">
        <v>2062</v>
      </c>
      <c r="AM2344" s="1" t="str">
        <f t="shared" si="144"/>
        <v>2342_C0013_0709.jpg</v>
      </c>
    </row>
    <row r="2345" spans="1:39" x14ac:dyDescent="0.35">
      <c r="A2345">
        <v>2341</v>
      </c>
      <c r="B2345">
        <v>2342</v>
      </c>
      <c r="F2345" s="64" t="s">
        <v>5381</v>
      </c>
      <c r="G2345" s="64"/>
      <c r="H2345" s="64"/>
      <c r="I2345" s="64">
        <v>1</v>
      </c>
      <c r="J2345" s="32" t="str">
        <f>IF(AND(E2345=1,OR(E2344=0,E2344="")),MAX(#REF!)+1,IF(AND(E2345=1,E2344=1),J2344,""))</f>
        <v/>
      </c>
      <c r="K2345" s="32" t="str">
        <f t="shared" si="145"/>
        <v/>
      </c>
      <c r="L2345" s="32" t="str">
        <f t="shared" si="142"/>
        <v/>
      </c>
      <c r="M2345" s="32" t="str">
        <f t="shared" si="143"/>
        <v/>
      </c>
      <c r="N2345" s="4">
        <v>1</v>
      </c>
      <c r="O2345" s="58">
        <v>0</v>
      </c>
      <c r="P2345" s="58">
        <v>0</v>
      </c>
      <c r="Q2345" s="58">
        <v>0</v>
      </c>
      <c r="R2345" s="58">
        <v>0</v>
      </c>
      <c r="S2345" s="58">
        <v>0</v>
      </c>
      <c r="T2345" s="58">
        <v>0</v>
      </c>
      <c r="U2345" s="58">
        <v>0</v>
      </c>
      <c r="V2345" s="58">
        <v>0</v>
      </c>
      <c r="AG2345" t="s">
        <v>2063</v>
      </c>
      <c r="AM2345" s="1" t="str">
        <f t="shared" si="144"/>
        <v>2343_C0013_0706.jpg</v>
      </c>
    </row>
    <row r="2346" spans="1:39" x14ac:dyDescent="0.35">
      <c r="A2346">
        <v>2342</v>
      </c>
      <c r="B2346">
        <v>2343</v>
      </c>
      <c r="F2346" s="64" t="s">
        <v>5382</v>
      </c>
      <c r="G2346" s="64"/>
      <c r="H2346" s="64"/>
      <c r="I2346" s="64">
        <v>1</v>
      </c>
      <c r="J2346" s="32" t="str">
        <f>IF(AND(E2346=1,OR(E2345=0,E2345="")),MAX(#REF!)+1,IF(AND(E2346=1,E2345=1),J2345,""))</f>
        <v/>
      </c>
      <c r="K2346" s="32" t="str">
        <f t="shared" si="145"/>
        <v/>
      </c>
      <c r="L2346" s="32" t="str">
        <f t="shared" si="142"/>
        <v/>
      </c>
      <c r="M2346" s="32" t="str">
        <f t="shared" si="143"/>
        <v/>
      </c>
      <c r="N2346" s="4">
        <v>1</v>
      </c>
      <c r="O2346" s="58">
        <v>0</v>
      </c>
      <c r="P2346" s="58">
        <v>0</v>
      </c>
      <c r="Q2346" s="58">
        <v>0</v>
      </c>
      <c r="R2346" s="58">
        <v>0</v>
      </c>
      <c r="S2346" s="58">
        <v>0</v>
      </c>
      <c r="T2346" s="58">
        <v>0</v>
      </c>
      <c r="U2346" s="58">
        <v>0</v>
      </c>
      <c r="V2346" s="58">
        <v>0</v>
      </c>
      <c r="AG2346" t="s">
        <v>2064</v>
      </c>
      <c r="AM2346" s="1" t="str">
        <f t="shared" si="144"/>
        <v>2344_C0013_0702.jpg</v>
      </c>
    </row>
    <row r="2347" spans="1:39" x14ac:dyDescent="0.35">
      <c r="A2347">
        <v>2343</v>
      </c>
      <c r="B2347">
        <v>2344</v>
      </c>
      <c r="F2347" s="64" t="s">
        <v>5383</v>
      </c>
      <c r="G2347" s="64"/>
      <c r="H2347" s="64"/>
      <c r="I2347" s="64">
        <v>1</v>
      </c>
      <c r="J2347" s="32" t="str">
        <f>IF(AND(E2347=1,OR(E2346=0,E2346="")),MAX(#REF!)+1,IF(AND(E2347=1,E2346=1),J2346,""))</f>
        <v/>
      </c>
      <c r="K2347" s="32" t="str">
        <f t="shared" si="145"/>
        <v/>
      </c>
      <c r="L2347" s="32" t="str">
        <f t="shared" si="142"/>
        <v/>
      </c>
      <c r="M2347" s="32" t="str">
        <f t="shared" si="143"/>
        <v/>
      </c>
      <c r="N2347" s="4">
        <v>1</v>
      </c>
      <c r="O2347" s="58">
        <v>0</v>
      </c>
      <c r="P2347" s="58">
        <v>0</v>
      </c>
      <c r="Q2347" s="58">
        <v>0</v>
      </c>
      <c r="R2347" s="58">
        <v>0</v>
      </c>
      <c r="S2347" s="58">
        <v>0</v>
      </c>
      <c r="T2347" s="58">
        <v>0</v>
      </c>
      <c r="U2347" s="58">
        <v>0</v>
      </c>
      <c r="V2347" s="58">
        <v>0</v>
      </c>
      <c r="AG2347" t="s">
        <v>2065</v>
      </c>
      <c r="AM2347" s="1" t="str">
        <f t="shared" si="144"/>
        <v>2345_C0013_0699.jpg</v>
      </c>
    </row>
    <row r="2348" spans="1:39" x14ac:dyDescent="0.35">
      <c r="A2348">
        <v>2344</v>
      </c>
      <c r="B2348">
        <v>2345</v>
      </c>
      <c r="F2348" s="64" t="s">
        <v>5384</v>
      </c>
      <c r="G2348" s="64"/>
      <c r="H2348" s="64"/>
      <c r="I2348" s="64">
        <v>1</v>
      </c>
      <c r="J2348" s="32" t="str">
        <f>IF(AND(E2348=1,OR(E2347=0,E2347="")),MAX(#REF!)+1,IF(AND(E2348=1,E2347=1),J2347,""))</f>
        <v/>
      </c>
      <c r="K2348" s="32" t="str">
        <f t="shared" si="145"/>
        <v/>
      </c>
      <c r="L2348" s="32" t="str">
        <f t="shared" si="142"/>
        <v/>
      </c>
      <c r="M2348" s="32" t="str">
        <f t="shared" si="143"/>
        <v/>
      </c>
      <c r="N2348" s="4">
        <v>1</v>
      </c>
      <c r="O2348" s="58">
        <v>0</v>
      </c>
      <c r="P2348" s="58">
        <v>0</v>
      </c>
      <c r="Q2348" s="58">
        <v>0</v>
      </c>
      <c r="R2348" s="58">
        <v>0</v>
      </c>
      <c r="S2348" s="58">
        <v>0</v>
      </c>
      <c r="T2348" s="58">
        <v>0</v>
      </c>
      <c r="U2348" s="58">
        <v>0</v>
      </c>
      <c r="V2348" s="58">
        <v>0</v>
      </c>
      <c r="AG2348" t="s">
        <v>2066</v>
      </c>
      <c r="AM2348" s="1" t="str">
        <f t="shared" si="144"/>
        <v>2346_C0013_0696.jpg</v>
      </c>
    </row>
    <row r="2349" spans="1:39" x14ac:dyDescent="0.35">
      <c r="A2349">
        <v>2345</v>
      </c>
      <c r="B2349">
        <v>2346</v>
      </c>
      <c r="F2349" s="64" t="s">
        <v>5385</v>
      </c>
      <c r="G2349" s="64"/>
      <c r="H2349" s="64"/>
      <c r="I2349" s="64">
        <v>1</v>
      </c>
      <c r="J2349" s="32" t="str">
        <f>IF(AND(E2349=1,OR(E2348=0,E2348="")),MAX(#REF!)+1,IF(AND(E2349=1,E2348=1),J2348,""))</f>
        <v/>
      </c>
      <c r="K2349" s="32" t="str">
        <f t="shared" si="145"/>
        <v/>
      </c>
      <c r="L2349" s="32" t="str">
        <f t="shared" si="142"/>
        <v/>
      </c>
      <c r="M2349" s="32" t="str">
        <f t="shared" si="143"/>
        <v/>
      </c>
      <c r="N2349" s="4">
        <v>1</v>
      </c>
      <c r="O2349" s="58">
        <v>0</v>
      </c>
      <c r="P2349" s="58">
        <v>0</v>
      </c>
      <c r="Q2349" s="58">
        <v>0</v>
      </c>
      <c r="R2349" s="58">
        <v>0</v>
      </c>
      <c r="S2349" s="58">
        <v>0</v>
      </c>
      <c r="T2349" s="58">
        <v>0</v>
      </c>
      <c r="U2349" s="58">
        <v>0</v>
      </c>
      <c r="V2349" s="58">
        <v>0</v>
      </c>
      <c r="AG2349" t="s">
        <v>2067</v>
      </c>
      <c r="AM2349" s="1" t="str">
        <f t="shared" si="144"/>
        <v>2347_C0013_0692.jpg</v>
      </c>
    </row>
    <row r="2350" spans="1:39" x14ac:dyDescent="0.35">
      <c r="A2350">
        <v>2346</v>
      </c>
      <c r="B2350">
        <v>2347</v>
      </c>
      <c r="F2350" s="64" t="s">
        <v>5386</v>
      </c>
      <c r="G2350" s="64"/>
      <c r="H2350" s="64"/>
      <c r="I2350" s="64">
        <v>0</v>
      </c>
      <c r="J2350" s="32" t="str">
        <f>IF(AND(E2350=1,OR(E2349=0,E2349="")),MAX(#REF!)+1,IF(AND(E2350=1,E2349=1),J2349,""))</f>
        <v/>
      </c>
      <c r="K2350" s="32" t="str">
        <f t="shared" si="145"/>
        <v/>
      </c>
      <c r="L2350" s="32" t="str">
        <f t="shared" si="142"/>
        <v/>
      </c>
      <c r="M2350" s="32" t="str">
        <f t="shared" si="143"/>
        <v/>
      </c>
      <c r="N2350" s="4">
        <v>1</v>
      </c>
      <c r="O2350" s="58">
        <v>0</v>
      </c>
      <c r="P2350" s="58">
        <v>0</v>
      </c>
      <c r="Q2350" s="58">
        <v>0</v>
      </c>
      <c r="R2350" s="58">
        <v>0</v>
      </c>
      <c r="S2350" s="58">
        <v>0</v>
      </c>
      <c r="T2350" s="58">
        <v>0</v>
      </c>
      <c r="U2350" s="58">
        <v>0</v>
      </c>
      <c r="V2350" s="58">
        <v>0</v>
      </c>
      <c r="AG2350" t="s">
        <v>2068</v>
      </c>
      <c r="AM2350" s="1" t="str">
        <f t="shared" si="144"/>
        <v>2348_C0013_0689.jpg</v>
      </c>
    </row>
    <row r="2351" spans="1:39" x14ac:dyDescent="0.35">
      <c r="A2351">
        <v>2347</v>
      </c>
      <c r="B2351">
        <v>2348</v>
      </c>
      <c r="F2351" s="64" t="s">
        <v>5387</v>
      </c>
      <c r="G2351" s="64"/>
      <c r="H2351" s="64"/>
      <c r="I2351" s="64">
        <v>1</v>
      </c>
      <c r="J2351" s="32" t="str">
        <f>IF(AND(E2351=1,OR(E2350=0,E2350="")),MAX(#REF!)+1,IF(AND(E2351=1,E2350=1),J2350,""))</f>
        <v/>
      </c>
      <c r="K2351" s="32" t="str">
        <f t="shared" si="145"/>
        <v/>
      </c>
      <c r="L2351" s="32" t="str">
        <f t="shared" si="142"/>
        <v/>
      </c>
      <c r="M2351" s="32" t="str">
        <f t="shared" si="143"/>
        <v/>
      </c>
      <c r="N2351" s="4">
        <v>1</v>
      </c>
      <c r="O2351" s="58">
        <v>0</v>
      </c>
      <c r="P2351" s="58">
        <v>0</v>
      </c>
      <c r="Q2351" s="58">
        <v>0</v>
      </c>
      <c r="R2351" s="58">
        <v>0</v>
      </c>
      <c r="S2351" s="58">
        <v>0</v>
      </c>
      <c r="T2351" s="58">
        <v>0</v>
      </c>
      <c r="U2351" s="58">
        <v>0</v>
      </c>
      <c r="V2351" s="58">
        <v>0</v>
      </c>
      <c r="AG2351" t="s">
        <v>2069</v>
      </c>
      <c r="AM2351" s="1" t="str">
        <f t="shared" si="144"/>
        <v>2349_C0013_0686.jpg</v>
      </c>
    </row>
    <row r="2352" spans="1:39" x14ac:dyDescent="0.35">
      <c r="A2352">
        <v>2348</v>
      </c>
      <c r="B2352">
        <v>2349</v>
      </c>
      <c r="F2352" s="64" t="s">
        <v>5388</v>
      </c>
      <c r="G2352" s="64"/>
      <c r="H2352" s="64"/>
      <c r="I2352" s="64">
        <v>1</v>
      </c>
      <c r="J2352" s="32" t="str">
        <f>IF(AND(E2352=1,OR(E2351=0,E2351="")),MAX(#REF!)+1,IF(AND(E2352=1,E2351=1),J2351,""))</f>
        <v/>
      </c>
      <c r="K2352" s="32" t="str">
        <f t="shared" si="145"/>
        <v/>
      </c>
      <c r="L2352" s="32" t="str">
        <f t="shared" si="142"/>
        <v/>
      </c>
      <c r="M2352" s="32" t="str">
        <f t="shared" si="143"/>
        <v/>
      </c>
      <c r="N2352" s="4">
        <v>1</v>
      </c>
      <c r="O2352" s="58">
        <v>0</v>
      </c>
      <c r="P2352" s="58">
        <v>0</v>
      </c>
      <c r="Q2352" s="58">
        <v>0</v>
      </c>
      <c r="R2352" s="58">
        <v>0</v>
      </c>
      <c r="S2352" s="58">
        <v>0</v>
      </c>
      <c r="T2352" s="58">
        <v>0</v>
      </c>
      <c r="U2352" s="58">
        <v>0</v>
      </c>
      <c r="V2352" s="58">
        <v>0</v>
      </c>
      <c r="AG2352" t="s">
        <v>2070</v>
      </c>
      <c r="AM2352" s="1" t="str">
        <f t="shared" si="144"/>
        <v>2350_C0013_0683.jpg</v>
      </c>
    </row>
    <row r="2353" spans="1:39" x14ac:dyDescent="0.35">
      <c r="A2353">
        <v>2349</v>
      </c>
      <c r="B2353">
        <v>2350</v>
      </c>
      <c r="F2353" s="64" t="s">
        <v>5389</v>
      </c>
      <c r="G2353" s="64"/>
      <c r="H2353" s="64"/>
      <c r="I2353" s="64">
        <v>1</v>
      </c>
      <c r="J2353" s="32" t="str">
        <f>IF(AND(E2353=1,OR(E2352=0,E2352="")),MAX(#REF!)+1,IF(AND(E2353=1,E2352=1),J2352,""))</f>
        <v/>
      </c>
      <c r="K2353" s="32" t="str">
        <f t="shared" si="145"/>
        <v/>
      </c>
      <c r="L2353" s="32" t="str">
        <f t="shared" si="142"/>
        <v/>
      </c>
      <c r="M2353" s="32" t="str">
        <f t="shared" si="143"/>
        <v/>
      </c>
      <c r="N2353" s="4">
        <v>1</v>
      </c>
      <c r="O2353" s="58">
        <v>0</v>
      </c>
      <c r="P2353" s="58">
        <v>0</v>
      </c>
      <c r="Q2353" s="58">
        <v>0</v>
      </c>
      <c r="R2353" s="58">
        <v>0</v>
      </c>
      <c r="S2353" s="58">
        <v>0</v>
      </c>
      <c r="T2353" s="58">
        <v>0</v>
      </c>
      <c r="U2353" s="58">
        <v>0</v>
      </c>
      <c r="V2353" s="58">
        <v>0</v>
      </c>
      <c r="AG2353" t="s">
        <v>2071</v>
      </c>
      <c r="AM2353" s="1" t="str">
        <f t="shared" si="144"/>
        <v>2351_C0013_0680.jpg</v>
      </c>
    </row>
    <row r="2354" spans="1:39" x14ac:dyDescent="0.35">
      <c r="A2354">
        <v>2350</v>
      </c>
      <c r="B2354">
        <v>2351</v>
      </c>
      <c r="F2354" s="64" t="s">
        <v>5390</v>
      </c>
      <c r="G2354" s="64"/>
      <c r="H2354" s="64"/>
      <c r="I2354" s="64">
        <v>1</v>
      </c>
      <c r="J2354" s="32" t="str">
        <f>IF(AND(E2354=1,OR(E2353=0,E2353="")),MAX(#REF!)+1,IF(AND(E2354=1,E2353=1),J2353,""))</f>
        <v/>
      </c>
      <c r="K2354" s="32" t="str">
        <f t="shared" si="145"/>
        <v/>
      </c>
      <c r="L2354" s="32" t="str">
        <f t="shared" si="142"/>
        <v/>
      </c>
      <c r="M2354" s="32" t="str">
        <f t="shared" si="143"/>
        <v/>
      </c>
      <c r="N2354" s="4">
        <v>1</v>
      </c>
      <c r="O2354" s="58">
        <v>0</v>
      </c>
      <c r="P2354" s="58">
        <v>0</v>
      </c>
      <c r="Q2354" s="58">
        <v>0</v>
      </c>
      <c r="R2354" s="58">
        <v>0</v>
      </c>
      <c r="S2354" s="58">
        <v>0</v>
      </c>
      <c r="T2354" s="58">
        <v>0</v>
      </c>
      <c r="U2354" s="58">
        <v>0</v>
      </c>
      <c r="V2354" s="58">
        <v>0</v>
      </c>
      <c r="AG2354" t="s">
        <v>2072</v>
      </c>
      <c r="AM2354" s="1" t="str">
        <f t="shared" si="144"/>
        <v>2352_C0013_0677.jpg</v>
      </c>
    </row>
    <row r="2355" spans="1:39" x14ac:dyDescent="0.35">
      <c r="A2355">
        <v>2351</v>
      </c>
      <c r="B2355">
        <v>2352</v>
      </c>
      <c r="F2355" s="64" t="s">
        <v>5391</v>
      </c>
      <c r="G2355" s="64"/>
      <c r="H2355" s="64"/>
      <c r="I2355" s="64">
        <v>1</v>
      </c>
      <c r="J2355" s="32" t="str">
        <f>IF(AND(E2355=1,OR(E2354=0,E2354="")),MAX(#REF!)+1,IF(AND(E2355=1,E2354=1),J2354,""))</f>
        <v/>
      </c>
      <c r="K2355" s="32" t="str">
        <f t="shared" si="145"/>
        <v/>
      </c>
      <c r="L2355" s="32" t="str">
        <f t="shared" si="142"/>
        <v/>
      </c>
      <c r="M2355" s="32" t="str">
        <f t="shared" si="143"/>
        <v/>
      </c>
      <c r="N2355" s="4">
        <v>1</v>
      </c>
      <c r="O2355" s="58">
        <v>0</v>
      </c>
      <c r="P2355" s="58">
        <v>0</v>
      </c>
      <c r="Q2355" s="58">
        <v>0</v>
      </c>
      <c r="R2355" s="58">
        <v>0</v>
      </c>
      <c r="S2355" s="58">
        <v>0</v>
      </c>
      <c r="T2355" s="58">
        <v>0</v>
      </c>
      <c r="U2355" s="58">
        <v>0</v>
      </c>
      <c r="V2355" s="58">
        <v>0</v>
      </c>
      <c r="AG2355" t="s">
        <v>2073</v>
      </c>
      <c r="AM2355" s="1" t="str">
        <f t="shared" si="144"/>
        <v>2353_C0013_0674.jpg</v>
      </c>
    </row>
    <row r="2356" spans="1:39" x14ac:dyDescent="0.35">
      <c r="A2356">
        <v>2352</v>
      </c>
      <c r="B2356">
        <v>2353</v>
      </c>
      <c r="F2356" s="64" t="s">
        <v>5392</v>
      </c>
      <c r="G2356" s="64"/>
      <c r="H2356" s="64"/>
      <c r="I2356" s="64">
        <v>1</v>
      </c>
      <c r="J2356" s="32" t="str">
        <f>IF(AND(E2356=1,OR(E2355=0,E2355="")),MAX(#REF!)+1,IF(AND(E2356=1,E2355=1),J2355,""))</f>
        <v/>
      </c>
      <c r="K2356" s="32" t="str">
        <f t="shared" si="145"/>
        <v/>
      </c>
      <c r="L2356" s="32" t="str">
        <f t="shared" si="142"/>
        <v/>
      </c>
      <c r="M2356" s="32" t="str">
        <f t="shared" si="143"/>
        <v/>
      </c>
      <c r="N2356" s="4">
        <v>1</v>
      </c>
      <c r="O2356" s="58">
        <v>0</v>
      </c>
      <c r="P2356" s="58">
        <v>0</v>
      </c>
      <c r="Q2356" s="58">
        <v>0</v>
      </c>
      <c r="R2356" s="58">
        <v>0</v>
      </c>
      <c r="S2356" s="58">
        <v>0</v>
      </c>
      <c r="T2356" s="58">
        <v>0</v>
      </c>
      <c r="U2356" s="58">
        <v>0</v>
      </c>
      <c r="V2356" s="58">
        <v>0</v>
      </c>
      <c r="AG2356" t="s">
        <v>2074</v>
      </c>
      <c r="AM2356" s="1" t="str">
        <f t="shared" si="144"/>
        <v>2354_C0013_0671.jpg</v>
      </c>
    </row>
    <row r="2357" spans="1:39" x14ac:dyDescent="0.35">
      <c r="A2357">
        <v>2353</v>
      </c>
      <c r="B2357">
        <v>2354</v>
      </c>
      <c r="F2357" s="64" t="s">
        <v>5393</v>
      </c>
      <c r="G2357" s="64"/>
      <c r="H2357" s="64"/>
      <c r="I2357" s="64">
        <v>1</v>
      </c>
      <c r="J2357" s="32" t="str">
        <f>IF(AND(E2357=1,OR(E2356=0,E2356="")),MAX(#REF!)+1,IF(AND(E2357=1,E2356=1),J2356,""))</f>
        <v/>
      </c>
      <c r="K2357" s="32" t="str">
        <f t="shared" si="145"/>
        <v/>
      </c>
      <c r="L2357" s="32" t="str">
        <f t="shared" si="142"/>
        <v/>
      </c>
      <c r="M2357" s="32" t="str">
        <f t="shared" si="143"/>
        <v/>
      </c>
      <c r="N2357" s="4">
        <v>1</v>
      </c>
      <c r="O2357" s="58">
        <v>0</v>
      </c>
      <c r="P2357" s="58">
        <v>0</v>
      </c>
      <c r="Q2357" s="58">
        <v>0</v>
      </c>
      <c r="R2357" s="58">
        <v>0</v>
      </c>
      <c r="S2357" s="58">
        <v>0</v>
      </c>
      <c r="T2357" s="58">
        <v>0</v>
      </c>
      <c r="U2357" s="58">
        <v>0</v>
      </c>
      <c r="V2357" s="58">
        <v>0</v>
      </c>
      <c r="AG2357" t="s">
        <v>2075</v>
      </c>
      <c r="AM2357" s="1" t="str">
        <f t="shared" si="144"/>
        <v>2355_C0013_0667.jpg</v>
      </c>
    </row>
    <row r="2358" spans="1:39" x14ac:dyDescent="0.35">
      <c r="A2358">
        <v>2354</v>
      </c>
      <c r="B2358">
        <v>2355</v>
      </c>
      <c r="F2358" s="64" t="s">
        <v>5394</v>
      </c>
      <c r="G2358" s="64"/>
      <c r="H2358" s="64"/>
      <c r="I2358" s="64">
        <v>0</v>
      </c>
      <c r="J2358" s="32" t="str">
        <f>IF(AND(E2358=1,OR(E2357=0,E2357="")),MAX(#REF!)+1,IF(AND(E2358=1,E2357=1),J2357,""))</f>
        <v/>
      </c>
      <c r="K2358" s="32" t="str">
        <f t="shared" si="145"/>
        <v/>
      </c>
      <c r="L2358" s="32" t="str">
        <f t="shared" si="142"/>
        <v/>
      </c>
      <c r="M2358" s="32" t="str">
        <f t="shared" si="143"/>
        <v/>
      </c>
      <c r="N2358" s="4">
        <v>1</v>
      </c>
      <c r="O2358" s="58">
        <v>0</v>
      </c>
      <c r="P2358" s="58">
        <v>0</v>
      </c>
      <c r="Q2358" s="58">
        <v>0</v>
      </c>
      <c r="R2358" s="58">
        <v>0</v>
      </c>
      <c r="S2358" s="58">
        <v>0</v>
      </c>
      <c r="T2358" s="58">
        <v>0</v>
      </c>
      <c r="U2358" s="58">
        <v>0</v>
      </c>
      <c r="V2358" s="58">
        <v>0</v>
      </c>
      <c r="AG2358" t="s">
        <v>2076</v>
      </c>
      <c r="AM2358" s="1" t="str">
        <f t="shared" si="144"/>
        <v>2356_C0013_0665.jpg</v>
      </c>
    </row>
    <row r="2359" spans="1:39" x14ac:dyDescent="0.35">
      <c r="A2359">
        <v>2355</v>
      </c>
      <c r="B2359">
        <v>2356</v>
      </c>
      <c r="F2359" s="64" t="s">
        <v>5395</v>
      </c>
      <c r="G2359" s="64"/>
      <c r="H2359" s="64"/>
      <c r="I2359" s="64">
        <v>0</v>
      </c>
      <c r="J2359" s="32" t="str">
        <f>IF(AND(E2359=1,OR(E2358=0,E2358="")),MAX(#REF!)+1,IF(AND(E2359=1,E2358=1),J2358,""))</f>
        <v/>
      </c>
      <c r="K2359" s="32" t="str">
        <f t="shared" si="145"/>
        <v/>
      </c>
      <c r="L2359" s="32" t="str">
        <f t="shared" si="142"/>
        <v/>
      </c>
      <c r="M2359" s="32" t="str">
        <f t="shared" si="143"/>
        <v/>
      </c>
      <c r="N2359" s="4">
        <v>1</v>
      </c>
      <c r="O2359" s="58">
        <v>0</v>
      </c>
      <c r="P2359" s="58">
        <v>0</v>
      </c>
      <c r="Q2359" s="58">
        <v>0</v>
      </c>
      <c r="R2359" s="58">
        <v>0</v>
      </c>
      <c r="S2359" s="58">
        <v>0</v>
      </c>
      <c r="T2359" s="58">
        <v>0</v>
      </c>
      <c r="U2359" s="58">
        <v>0</v>
      </c>
      <c r="V2359" s="58">
        <v>0</v>
      </c>
      <c r="AG2359" t="s">
        <v>2077</v>
      </c>
      <c r="AM2359" s="1" t="str">
        <f t="shared" si="144"/>
        <v>2357_C0013_0661.jpg</v>
      </c>
    </row>
    <row r="2360" spans="1:39" x14ac:dyDescent="0.35">
      <c r="A2360">
        <v>2356</v>
      </c>
      <c r="B2360">
        <v>2357</v>
      </c>
      <c r="F2360" s="64" t="s">
        <v>5396</v>
      </c>
      <c r="G2360" s="64"/>
      <c r="H2360" s="64"/>
      <c r="I2360" s="64">
        <v>1</v>
      </c>
      <c r="J2360" s="32" t="str">
        <f>IF(AND(E2360=1,OR(E2359=0,E2359="")),MAX(#REF!)+1,IF(AND(E2360=1,E2359=1),J2359,""))</f>
        <v/>
      </c>
      <c r="K2360" s="32" t="str">
        <f t="shared" si="145"/>
        <v/>
      </c>
      <c r="L2360" s="32" t="str">
        <f t="shared" si="142"/>
        <v/>
      </c>
      <c r="M2360" s="32" t="str">
        <f t="shared" si="143"/>
        <v/>
      </c>
      <c r="N2360" s="4">
        <v>1</v>
      </c>
      <c r="O2360" s="58">
        <v>0</v>
      </c>
      <c r="P2360" s="58">
        <v>0</v>
      </c>
      <c r="Q2360" s="58">
        <v>0</v>
      </c>
      <c r="R2360" s="58">
        <v>0</v>
      </c>
      <c r="S2360" s="58">
        <v>0</v>
      </c>
      <c r="T2360" s="58">
        <v>0</v>
      </c>
      <c r="U2360" s="58">
        <v>0</v>
      </c>
      <c r="V2360" s="58">
        <v>0</v>
      </c>
      <c r="AG2360" t="s">
        <v>2078</v>
      </c>
      <c r="AM2360" s="1" t="str">
        <f t="shared" si="144"/>
        <v>2358_C0013_0658.jpg</v>
      </c>
    </row>
    <row r="2361" spans="1:39" x14ac:dyDescent="0.35">
      <c r="A2361">
        <v>2357</v>
      </c>
      <c r="B2361">
        <v>2358</v>
      </c>
      <c r="F2361" s="64" t="s">
        <v>5397</v>
      </c>
      <c r="G2361" s="64"/>
      <c r="H2361" s="64"/>
      <c r="I2361" s="64">
        <v>1</v>
      </c>
      <c r="J2361" s="32" t="str">
        <f>IF(AND(E2361=1,OR(E2360=0,E2360="")),MAX(#REF!)+1,IF(AND(E2361=1,E2360=1),J2360,""))</f>
        <v/>
      </c>
      <c r="K2361" s="32" t="str">
        <f t="shared" si="145"/>
        <v/>
      </c>
      <c r="L2361" s="32" t="str">
        <f t="shared" si="142"/>
        <v/>
      </c>
      <c r="M2361" s="32" t="str">
        <f t="shared" si="143"/>
        <v/>
      </c>
      <c r="N2361" s="4">
        <v>1</v>
      </c>
      <c r="O2361" s="58">
        <v>0</v>
      </c>
      <c r="P2361" s="58">
        <v>0</v>
      </c>
      <c r="Q2361" s="58">
        <v>0</v>
      </c>
      <c r="R2361" s="58">
        <v>0</v>
      </c>
      <c r="S2361" s="58">
        <v>0</v>
      </c>
      <c r="T2361" s="58">
        <v>0</v>
      </c>
      <c r="U2361" s="58">
        <v>0</v>
      </c>
      <c r="V2361" s="58">
        <v>0</v>
      </c>
      <c r="AG2361" t="s">
        <v>2079</v>
      </c>
      <c r="AM2361" s="1" t="str">
        <f t="shared" si="144"/>
        <v>2359_C0013_0655.jpg</v>
      </c>
    </row>
    <row r="2362" spans="1:39" x14ac:dyDescent="0.35">
      <c r="A2362">
        <v>2358</v>
      </c>
      <c r="B2362">
        <v>2359</v>
      </c>
      <c r="F2362" s="64" t="s">
        <v>5398</v>
      </c>
      <c r="G2362" s="64"/>
      <c r="H2362" s="64"/>
      <c r="I2362" s="64">
        <v>1</v>
      </c>
      <c r="J2362" s="32" t="str">
        <f>IF(AND(E2362=1,OR(E2361=0,E2361="")),MAX(#REF!)+1,IF(AND(E2362=1,E2361=1),J2361,""))</f>
        <v/>
      </c>
      <c r="K2362" s="32" t="str">
        <f t="shared" si="145"/>
        <v/>
      </c>
      <c r="L2362" s="32" t="str">
        <f t="shared" si="142"/>
        <v/>
      </c>
      <c r="M2362" s="32" t="str">
        <f t="shared" si="143"/>
        <v/>
      </c>
      <c r="N2362" s="4">
        <v>1</v>
      </c>
      <c r="O2362" s="58">
        <v>0</v>
      </c>
      <c r="P2362" s="58">
        <v>0</v>
      </c>
      <c r="Q2362" s="58">
        <v>0</v>
      </c>
      <c r="R2362" s="58">
        <v>0</v>
      </c>
      <c r="S2362" s="58">
        <v>0</v>
      </c>
      <c r="T2362" s="58">
        <v>0</v>
      </c>
      <c r="U2362" s="58">
        <v>0</v>
      </c>
      <c r="V2362" s="58">
        <v>0</v>
      </c>
      <c r="AG2362" t="s">
        <v>2080</v>
      </c>
      <c r="AM2362" s="1" t="str">
        <f t="shared" si="144"/>
        <v>2360_C0013_0652.jpg</v>
      </c>
    </row>
    <row r="2363" spans="1:39" x14ac:dyDescent="0.35">
      <c r="A2363">
        <v>2359</v>
      </c>
      <c r="B2363">
        <v>2360</v>
      </c>
      <c r="F2363" s="64" t="s">
        <v>5399</v>
      </c>
      <c r="G2363" s="64"/>
      <c r="H2363" s="64"/>
      <c r="I2363" s="64">
        <v>1</v>
      </c>
      <c r="J2363" s="32" t="str">
        <f>IF(AND(E2363=1,OR(E2362=0,E2362="")),MAX(#REF!)+1,IF(AND(E2363=1,E2362=1),J2362,""))</f>
        <v/>
      </c>
      <c r="K2363" s="32" t="str">
        <f t="shared" si="145"/>
        <v/>
      </c>
      <c r="L2363" s="32" t="str">
        <f t="shared" si="142"/>
        <v/>
      </c>
      <c r="M2363" s="32" t="str">
        <f t="shared" si="143"/>
        <v/>
      </c>
      <c r="N2363" s="4">
        <v>1</v>
      </c>
      <c r="O2363" s="58">
        <v>0</v>
      </c>
      <c r="P2363" s="58">
        <v>0</v>
      </c>
      <c r="Q2363" s="58">
        <v>0</v>
      </c>
      <c r="R2363" s="58">
        <v>0</v>
      </c>
      <c r="S2363" s="58">
        <v>0</v>
      </c>
      <c r="T2363" s="58">
        <v>0</v>
      </c>
      <c r="U2363" s="58">
        <v>0</v>
      </c>
      <c r="V2363" s="58">
        <v>0</v>
      </c>
      <c r="AG2363" t="s">
        <v>2081</v>
      </c>
      <c r="AM2363" s="1" t="str">
        <f t="shared" si="144"/>
        <v>2361_C0013_0649.jpg</v>
      </c>
    </row>
    <row r="2364" spans="1:39" x14ac:dyDescent="0.35">
      <c r="A2364">
        <v>2360</v>
      </c>
      <c r="B2364">
        <v>2361</v>
      </c>
      <c r="F2364" s="64" t="s">
        <v>5400</v>
      </c>
      <c r="G2364" s="64"/>
      <c r="H2364" s="64"/>
      <c r="I2364" s="64">
        <v>0</v>
      </c>
      <c r="J2364" s="32" t="str">
        <f>IF(AND(E2364=1,OR(E2363=0,E2363="")),MAX(#REF!)+1,IF(AND(E2364=1,E2363=1),J2363,""))</f>
        <v/>
      </c>
      <c r="K2364" s="32" t="str">
        <f t="shared" si="145"/>
        <v/>
      </c>
      <c r="L2364" s="32" t="str">
        <f t="shared" si="142"/>
        <v/>
      </c>
      <c r="M2364" s="32" t="str">
        <f t="shared" si="143"/>
        <v/>
      </c>
      <c r="N2364" s="4">
        <v>1</v>
      </c>
      <c r="O2364" s="58">
        <v>0</v>
      </c>
      <c r="P2364" s="58">
        <v>0</v>
      </c>
      <c r="Q2364" s="58">
        <v>0</v>
      </c>
      <c r="R2364" s="58">
        <v>0</v>
      </c>
      <c r="S2364" s="58">
        <v>0</v>
      </c>
      <c r="T2364" s="58">
        <v>0</v>
      </c>
      <c r="U2364" s="58">
        <v>0</v>
      </c>
      <c r="V2364" s="58">
        <v>0</v>
      </c>
      <c r="AG2364" t="s">
        <v>2082</v>
      </c>
      <c r="AM2364" s="1" t="str">
        <f t="shared" si="144"/>
        <v>2362_C0013_0646.jpg</v>
      </c>
    </row>
    <row r="2365" spans="1:39" x14ac:dyDescent="0.35">
      <c r="A2365">
        <v>2361</v>
      </c>
      <c r="B2365">
        <v>2362</v>
      </c>
      <c r="F2365" s="64" t="s">
        <v>5401</v>
      </c>
      <c r="G2365" s="64"/>
      <c r="H2365" s="64"/>
      <c r="I2365" s="64">
        <v>1</v>
      </c>
      <c r="J2365" s="32" t="str">
        <f>IF(AND(E2365=1,OR(E2364=0,E2364="")),MAX(#REF!)+1,IF(AND(E2365=1,E2364=1),J2364,""))</f>
        <v/>
      </c>
      <c r="K2365" s="32" t="str">
        <f t="shared" si="145"/>
        <v/>
      </c>
      <c r="L2365" s="32" t="str">
        <f t="shared" si="142"/>
        <v/>
      </c>
      <c r="M2365" s="32" t="str">
        <f t="shared" si="143"/>
        <v/>
      </c>
      <c r="N2365" s="4">
        <v>1</v>
      </c>
      <c r="O2365" s="58">
        <v>0</v>
      </c>
      <c r="P2365" s="58">
        <v>0</v>
      </c>
      <c r="Q2365" s="58">
        <v>0</v>
      </c>
      <c r="R2365" s="58">
        <v>0</v>
      </c>
      <c r="S2365" s="58">
        <v>0</v>
      </c>
      <c r="T2365" s="58">
        <v>0</v>
      </c>
      <c r="U2365" s="58">
        <v>0</v>
      </c>
      <c r="V2365" s="58">
        <v>0</v>
      </c>
      <c r="AG2365" t="s">
        <v>2083</v>
      </c>
      <c r="AM2365" s="1" t="str">
        <f t="shared" si="144"/>
        <v>2363_C0013_0643.jpg</v>
      </c>
    </row>
    <row r="2366" spans="1:39" x14ac:dyDescent="0.35">
      <c r="A2366">
        <v>2362</v>
      </c>
      <c r="B2366">
        <v>2363</v>
      </c>
      <c r="F2366" s="64" t="s">
        <v>5402</v>
      </c>
      <c r="G2366" s="64"/>
      <c r="H2366" s="64"/>
      <c r="I2366" s="64">
        <v>1</v>
      </c>
      <c r="J2366" s="32" t="str">
        <f>IF(AND(E2366=1,OR(E2365=0,E2365="")),MAX(#REF!)+1,IF(AND(E2366=1,E2365=1),J2365,""))</f>
        <v/>
      </c>
      <c r="K2366" s="32" t="str">
        <f t="shared" si="145"/>
        <v/>
      </c>
      <c r="L2366" s="32" t="str">
        <f t="shared" si="142"/>
        <v/>
      </c>
      <c r="M2366" s="32" t="str">
        <f t="shared" si="143"/>
        <v/>
      </c>
      <c r="N2366" s="4">
        <v>1</v>
      </c>
      <c r="O2366" s="58">
        <v>0</v>
      </c>
      <c r="P2366" s="58">
        <v>0</v>
      </c>
      <c r="Q2366" s="58">
        <v>0</v>
      </c>
      <c r="R2366" s="58">
        <v>0</v>
      </c>
      <c r="S2366" s="58">
        <v>0</v>
      </c>
      <c r="T2366" s="58">
        <v>0</v>
      </c>
      <c r="U2366" s="58">
        <v>0</v>
      </c>
      <c r="V2366" s="58">
        <v>0</v>
      </c>
      <c r="AG2366" t="s">
        <v>2084</v>
      </c>
      <c r="AM2366" s="1" t="str">
        <f t="shared" si="144"/>
        <v>2364_C0013_0640.jpg</v>
      </c>
    </row>
    <row r="2367" spans="1:39" x14ac:dyDescent="0.35">
      <c r="A2367">
        <v>2363</v>
      </c>
      <c r="B2367">
        <v>2364</v>
      </c>
      <c r="F2367" s="64" t="s">
        <v>5403</v>
      </c>
      <c r="G2367" s="64"/>
      <c r="H2367" s="64"/>
      <c r="I2367" s="64">
        <v>0</v>
      </c>
      <c r="J2367" s="32" t="str">
        <f>IF(AND(E2367=1,OR(E2366=0,E2366="")),MAX(#REF!)+1,IF(AND(E2367=1,E2366=1),J2366,""))</f>
        <v/>
      </c>
      <c r="K2367" s="32" t="str">
        <f t="shared" si="145"/>
        <v/>
      </c>
      <c r="L2367" s="32" t="str">
        <f t="shared" si="142"/>
        <v/>
      </c>
      <c r="M2367" s="32" t="str">
        <f t="shared" si="143"/>
        <v/>
      </c>
      <c r="N2367" s="4">
        <v>1</v>
      </c>
      <c r="O2367" s="58">
        <v>0</v>
      </c>
      <c r="P2367" s="58">
        <v>0</v>
      </c>
      <c r="Q2367" s="58">
        <v>0</v>
      </c>
      <c r="R2367" s="58">
        <v>0</v>
      </c>
      <c r="S2367" s="58">
        <v>0</v>
      </c>
      <c r="T2367" s="58">
        <v>0</v>
      </c>
      <c r="U2367" s="58">
        <v>0</v>
      </c>
      <c r="V2367" s="58">
        <v>0</v>
      </c>
      <c r="AG2367" t="s">
        <v>2085</v>
      </c>
      <c r="AM2367" s="1" t="str">
        <f t="shared" si="144"/>
        <v>2365_C0013_0637.jpg</v>
      </c>
    </row>
    <row r="2368" spans="1:39" x14ac:dyDescent="0.35">
      <c r="A2368">
        <v>2364</v>
      </c>
      <c r="B2368">
        <v>2365</v>
      </c>
      <c r="F2368" s="64" t="s">
        <v>5404</v>
      </c>
      <c r="G2368" s="64"/>
      <c r="H2368" s="64"/>
      <c r="I2368" s="64">
        <v>1</v>
      </c>
      <c r="J2368" s="32" t="str">
        <f>IF(AND(E2368=1,OR(E2367=0,E2367="")),MAX(#REF!)+1,IF(AND(E2368=1,E2367=1),J2367,""))</f>
        <v/>
      </c>
      <c r="K2368" s="32" t="str">
        <f t="shared" si="145"/>
        <v/>
      </c>
      <c r="L2368" s="32" t="str">
        <f t="shared" si="142"/>
        <v/>
      </c>
      <c r="M2368" s="32" t="str">
        <f t="shared" si="143"/>
        <v/>
      </c>
      <c r="N2368" s="4">
        <v>1</v>
      </c>
      <c r="O2368" s="58">
        <v>0</v>
      </c>
      <c r="P2368" s="58">
        <v>0</v>
      </c>
      <c r="Q2368" s="58">
        <v>0</v>
      </c>
      <c r="R2368" s="58">
        <v>0</v>
      </c>
      <c r="S2368" s="58">
        <v>0</v>
      </c>
      <c r="T2368" s="58">
        <v>0</v>
      </c>
      <c r="U2368" s="58">
        <v>0</v>
      </c>
      <c r="V2368" s="58">
        <v>0</v>
      </c>
      <c r="AG2368" t="s">
        <v>2086</v>
      </c>
      <c r="AM2368" s="1" t="str">
        <f t="shared" si="144"/>
        <v>2366_C0013_0635.jpg</v>
      </c>
    </row>
    <row r="2369" spans="1:39" x14ac:dyDescent="0.35">
      <c r="A2369">
        <v>2365</v>
      </c>
      <c r="B2369">
        <v>2366</v>
      </c>
      <c r="F2369" s="64" t="s">
        <v>5405</v>
      </c>
      <c r="G2369" s="64"/>
      <c r="H2369" s="64"/>
      <c r="I2369" s="64">
        <v>1</v>
      </c>
      <c r="J2369" s="32" t="str">
        <f>IF(AND(E2369=1,OR(E2368=0,E2368="")),MAX(#REF!)+1,IF(AND(E2369=1,E2368=1),J2368,""))</f>
        <v/>
      </c>
      <c r="K2369" s="32" t="str">
        <f t="shared" si="145"/>
        <v/>
      </c>
      <c r="L2369" s="32" t="str">
        <f t="shared" si="142"/>
        <v/>
      </c>
      <c r="M2369" s="32" t="str">
        <f t="shared" si="143"/>
        <v/>
      </c>
      <c r="N2369" s="4">
        <v>1</v>
      </c>
      <c r="O2369" s="58">
        <v>0</v>
      </c>
      <c r="P2369" s="58">
        <v>0</v>
      </c>
      <c r="Q2369" s="58">
        <v>0</v>
      </c>
      <c r="R2369" s="58">
        <v>0</v>
      </c>
      <c r="S2369" s="58">
        <v>0</v>
      </c>
      <c r="T2369" s="58">
        <v>0</v>
      </c>
      <c r="U2369" s="58">
        <v>0</v>
      </c>
      <c r="V2369" s="58">
        <v>0</v>
      </c>
      <c r="AG2369" t="s">
        <v>2087</v>
      </c>
      <c r="AM2369" s="1" t="str">
        <f t="shared" si="144"/>
        <v>2367_C0013_0631.jpg</v>
      </c>
    </row>
    <row r="2370" spans="1:39" x14ac:dyDescent="0.35">
      <c r="A2370">
        <v>2366</v>
      </c>
      <c r="B2370">
        <v>2367</v>
      </c>
      <c r="F2370" s="64" t="s">
        <v>5406</v>
      </c>
      <c r="G2370" s="64"/>
      <c r="H2370" s="64"/>
      <c r="I2370" s="64">
        <v>0</v>
      </c>
      <c r="J2370" s="32" t="str">
        <f>IF(AND(E2370=1,OR(E2369=0,E2369="")),MAX(#REF!)+1,IF(AND(E2370=1,E2369=1),J2369,""))</f>
        <v/>
      </c>
      <c r="K2370" s="32" t="str">
        <f t="shared" si="145"/>
        <v/>
      </c>
      <c r="L2370" s="32" t="str">
        <f t="shared" si="142"/>
        <v/>
      </c>
      <c r="M2370" s="32" t="str">
        <f t="shared" si="143"/>
        <v/>
      </c>
      <c r="N2370" s="4">
        <v>1</v>
      </c>
      <c r="O2370" s="58">
        <v>0</v>
      </c>
      <c r="P2370" s="58">
        <v>0</v>
      </c>
      <c r="Q2370" s="58">
        <v>0</v>
      </c>
      <c r="R2370" s="58">
        <v>0</v>
      </c>
      <c r="S2370" s="58">
        <v>0</v>
      </c>
      <c r="T2370" s="58">
        <v>0</v>
      </c>
      <c r="U2370" s="58">
        <v>0</v>
      </c>
      <c r="V2370" s="58">
        <v>0</v>
      </c>
      <c r="AG2370" t="s">
        <v>2088</v>
      </c>
      <c r="AM2370" s="1" t="str">
        <f t="shared" si="144"/>
        <v>2368_C0013_0628.jpg</v>
      </c>
    </row>
    <row r="2371" spans="1:39" x14ac:dyDescent="0.35">
      <c r="A2371">
        <v>2367</v>
      </c>
      <c r="B2371">
        <v>2368</v>
      </c>
      <c r="F2371" s="64" t="s">
        <v>5407</v>
      </c>
      <c r="G2371" s="64"/>
      <c r="H2371" s="64"/>
      <c r="I2371" s="64">
        <v>1</v>
      </c>
      <c r="J2371" s="32" t="str">
        <f>IF(AND(E2371=1,OR(E2370=0,E2370="")),MAX(#REF!)+1,IF(AND(E2371=1,E2370=1),J2370,""))</f>
        <v/>
      </c>
      <c r="K2371" s="32" t="str">
        <f t="shared" si="145"/>
        <v/>
      </c>
      <c r="L2371" s="32" t="str">
        <f t="shared" si="142"/>
        <v/>
      </c>
      <c r="M2371" s="32" t="str">
        <f t="shared" si="143"/>
        <v/>
      </c>
      <c r="N2371" s="4">
        <v>1</v>
      </c>
      <c r="O2371" s="58">
        <v>0</v>
      </c>
      <c r="P2371" s="58">
        <v>0</v>
      </c>
      <c r="Q2371" s="58">
        <v>0</v>
      </c>
      <c r="R2371" s="58">
        <v>0</v>
      </c>
      <c r="S2371" s="58">
        <v>0</v>
      </c>
      <c r="T2371" s="58">
        <v>0</v>
      </c>
      <c r="U2371" s="58">
        <v>0</v>
      </c>
      <c r="V2371" s="58">
        <v>0</v>
      </c>
      <c r="AG2371" t="s">
        <v>2089</v>
      </c>
      <c r="AM2371" s="1" t="str">
        <f t="shared" si="144"/>
        <v>2369_C0013_0625.jpg</v>
      </c>
    </row>
    <row r="2372" spans="1:39" x14ac:dyDescent="0.35">
      <c r="A2372">
        <v>2368</v>
      </c>
      <c r="B2372">
        <v>2369</v>
      </c>
      <c r="F2372" s="64" t="s">
        <v>5408</v>
      </c>
      <c r="G2372" s="64"/>
      <c r="H2372" s="64"/>
      <c r="I2372" s="64">
        <v>1</v>
      </c>
      <c r="J2372" s="32" t="str">
        <f>IF(AND(E2372=1,OR(E2371=0,E2371="")),MAX(#REF!)+1,IF(AND(E2372=1,E2371=1),J2371,""))</f>
        <v/>
      </c>
      <c r="K2372" s="32" t="str">
        <f t="shared" si="145"/>
        <v/>
      </c>
      <c r="L2372" s="32" t="str">
        <f t="shared" ref="L2372:L2435" si="146">IF(K2372="","",IF(K2372&gt;=100,"HV",""))</f>
        <v/>
      </c>
      <c r="M2372" s="32" t="str">
        <f t="shared" ref="M2372:M2435" si="147">IF(K2372&lt;&gt;"",K2372^2,"")</f>
        <v/>
      </c>
      <c r="N2372" s="4">
        <v>1</v>
      </c>
      <c r="O2372" s="58">
        <v>0</v>
      </c>
      <c r="P2372" s="58">
        <v>0</v>
      </c>
      <c r="Q2372" s="58">
        <v>0</v>
      </c>
      <c r="R2372" s="58">
        <v>0</v>
      </c>
      <c r="S2372" s="58">
        <v>0</v>
      </c>
      <c r="T2372" s="58">
        <v>0</v>
      </c>
      <c r="U2372" s="58">
        <v>0</v>
      </c>
      <c r="V2372" s="58">
        <v>0</v>
      </c>
      <c r="AG2372" t="s">
        <v>2090</v>
      </c>
      <c r="AM2372" s="1" t="str">
        <f t="shared" si="144"/>
        <v>2370_C0013_0622.jpg</v>
      </c>
    </row>
    <row r="2373" spans="1:39" x14ac:dyDescent="0.35">
      <c r="A2373">
        <v>2369</v>
      </c>
      <c r="B2373">
        <v>2370</v>
      </c>
      <c r="F2373" s="64" t="s">
        <v>5409</v>
      </c>
      <c r="G2373" s="64"/>
      <c r="H2373" s="64"/>
      <c r="I2373" s="64">
        <v>1</v>
      </c>
      <c r="J2373" s="32" t="str">
        <f>IF(AND(E2373=1,OR(E2372=0,E2372="")),MAX(#REF!)+1,IF(AND(E2373=1,E2372=1),J2372,""))</f>
        <v/>
      </c>
      <c r="K2373" s="32" t="str">
        <f t="shared" si="145"/>
        <v/>
      </c>
      <c r="L2373" s="32" t="str">
        <f t="shared" si="146"/>
        <v/>
      </c>
      <c r="M2373" s="32" t="str">
        <f t="shared" si="147"/>
        <v/>
      </c>
      <c r="N2373" s="4">
        <v>1</v>
      </c>
      <c r="O2373" s="58">
        <v>0</v>
      </c>
      <c r="P2373" s="58">
        <v>0</v>
      </c>
      <c r="Q2373" s="58">
        <v>0</v>
      </c>
      <c r="R2373" s="58">
        <v>0</v>
      </c>
      <c r="S2373" s="58">
        <v>0</v>
      </c>
      <c r="T2373" s="58">
        <v>0</v>
      </c>
      <c r="U2373" s="58">
        <v>0</v>
      </c>
      <c r="V2373" s="58">
        <v>0</v>
      </c>
      <c r="AG2373" t="s">
        <v>2091</v>
      </c>
      <c r="AM2373" s="1" t="str">
        <f t="shared" si="144"/>
        <v>2371_C0013_0618.jpg</v>
      </c>
    </row>
    <row r="2374" spans="1:39" x14ac:dyDescent="0.35">
      <c r="A2374">
        <v>2370</v>
      </c>
      <c r="B2374">
        <v>2371</v>
      </c>
      <c r="F2374" s="64" t="s">
        <v>5410</v>
      </c>
      <c r="G2374" s="64"/>
      <c r="H2374" s="64"/>
      <c r="I2374" s="64">
        <v>0</v>
      </c>
      <c r="J2374" s="32" t="str">
        <f>IF(AND(E2374=1,OR(E2373=0,E2373="")),MAX(#REF!)+1,IF(AND(E2374=1,E2373=1),J2373,""))</f>
        <v/>
      </c>
      <c r="K2374" s="32" t="str">
        <f t="shared" si="145"/>
        <v/>
      </c>
      <c r="L2374" s="32" t="str">
        <f t="shared" si="146"/>
        <v/>
      </c>
      <c r="M2374" s="32" t="str">
        <f t="shared" si="147"/>
        <v/>
      </c>
      <c r="N2374" s="4">
        <v>1</v>
      </c>
      <c r="O2374" s="58">
        <v>0</v>
      </c>
      <c r="P2374" s="58">
        <v>0</v>
      </c>
      <c r="Q2374" s="58">
        <v>0</v>
      </c>
      <c r="R2374" s="58">
        <v>0</v>
      </c>
      <c r="S2374" s="58">
        <v>0</v>
      </c>
      <c r="T2374" s="58">
        <v>0</v>
      </c>
      <c r="U2374" s="58">
        <v>0</v>
      </c>
      <c r="V2374" s="58">
        <v>0</v>
      </c>
      <c r="AG2374" t="s">
        <v>2092</v>
      </c>
      <c r="AM2374" s="1" t="str">
        <f t="shared" si="144"/>
        <v>2372_C0013_0615.jpg</v>
      </c>
    </row>
    <row r="2375" spans="1:39" x14ac:dyDescent="0.35">
      <c r="A2375">
        <v>2371</v>
      </c>
      <c r="B2375">
        <v>2372</v>
      </c>
      <c r="F2375" s="64" t="s">
        <v>5411</v>
      </c>
      <c r="G2375" s="64"/>
      <c r="H2375" s="64"/>
      <c r="I2375" s="64">
        <v>0</v>
      </c>
      <c r="J2375" s="32" t="str">
        <f>IF(AND(E2375=1,OR(E2374=0,E2374="")),MAX(#REF!)+1,IF(AND(E2375=1,E2374=1),J2374,""))</f>
        <v/>
      </c>
      <c r="K2375" s="32" t="str">
        <f t="shared" si="145"/>
        <v/>
      </c>
      <c r="L2375" s="32" t="str">
        <f t="shared" si="146"/>
        <v/>
      </c>
      <c r="M2375" s="32" t="str">
        <f t="shared" si="147"/>
        <v/>
      </c>
      <c r="N2375" s="4">
        <v>1</v>
      </c>
      <c r="O2375" s="58">
        <v>0</v>
      </c>
      <c r="P2375" s="58">
        <v>0</v>
      </c>
      <c r="Q2375" s="58">
        <v>0</v>
      </c>
      <c r="R2375" s="58">
        <v>0</v>
      </c>
      <c r="S2375" s="58">
        <v>0</v>
      </c>
      <c r="T2375" s="58">
        <v>0</v>
      </c>
      <c r="U2375" s="58">
        <v>0</v>
      </c>
      <c r="V2375" s="58">
        <v>0</v>
      </c>
      <c r="AG2375" t="s">
        <v>2093</v>
      </c>
      <c r="AM2375" s="1" t="str">
        <f t="shared" si="144"/>
        <v>2373_C0013_0611.jpg</v>
      </c>
    </row>
    <row r="2376" spans="1:39" x14ac:dyDescent="0.35">
      <c r="A2376">
        <v>2372</v>
      </c>
      <c r="B2376">
        <v>2373</v>
      </c>
      <c r="F2376" s="64" t="s">
        <v>5412</v>
      </c>
      <c r="G2376" s="64"/>
      <c r="H2376" s="64"/>
      <c r="I2376" s="64">
        <v>0</v>
      </c>
      <c r="J2376" s="32" t="str">
        <f>IF(AND(E2376=1,OR(E2375=0,E2375="")),MAX(#REF!)+1,IF(AND(E2376=1,E2375=1),J2375,""))</f>
        <v/>
      </c>
      <c r="K2376" s="32" t="str">
        <f t="shared" si="145"/>
        <v/>
      </c>
      <c r="L2376" s="32" t="str">
        <f t="shared" si="146"/>
        <v/>
      </c>
      <c r="M2376" s="32" t="str">
        <f t="shared" si="147"/>
        <v/>
      </c>
      <c r="N2376" s="4">
        <v>1</v>
      </c>
      <c r="O2376" s="58">
        <v>0</v>
      </c>
      <c r="P2376" s="58">
        <v>0</v>
      </c>
      <c r="Q2376" s="58">
        <v>0</v>
      </c>
      <c r="R2376" s="58">
        <v>0</v>
      </c>
      <c r="S2376" s="58">
        <v>0</v>
      </c>
      <c r="T2376" s="58">
        <v>0</v>
      </c>
      <c r="U2376" s="58">
        <v>0</v>
      </c>
      <c r="V2376" s="58">
        <v>0</v>
      </c>
      <c r="AG2376" t="s">
        <v>2094</v>
      </c>
      <c r="AM2376" s="1" t="str">
        <f t="shared" si="144"/>
        <v>2374_C0013_0607.jpg</v>
      </c>
    </row>
    <row r="2377" spans="1:39" x14ac:dyDescent="0.35">
      <c r="A2377">
        <v>2373</v>
      </c>
      <c r="B2377">
        <v>2374</v>
      </c>
      <c r="F2377" s="64" t="s">
        <v>5413</v>
      </c>
      <c r="G2377" s="64"/>
      <c r="H2377" s="64"/>
      <c r="I2377" s="64">
        <v>1</v>
      </c>
      <c r="J2377" s="32">
        <v>186</v>
      </c>
      <c r="K2377" s="32">
        <f t="shared" si="145"/>
        <v>10</v>
      </c>
      <c r="L2377" s="32" t="str">
        <f t="shared" si="146"/>
        <v/>
      </c>
      <c r="M2377" s="32">
        <f t="shared" si="147"/>
        <v>100</v>
      </c>
      <c r="N2377" s="4">
        <v>1</v>
      </c>
      <c r="O2377" s="58">
        <v>0</v>
      </c>
      <c r="P2377" s="58">
        <v>0</v>
      </c>
      <c r="Q2377" s="58">
        <v>0</v>
      </c>
      <c r="R2377" s="58">
        <v>0</v>
      </c>
      <c r="S2377" s="58">
        <v>0</v>
      </c>
      <c r="T2377" s="58">
        <v>0</v>
      </c>
      <c r="U2377" s="58">
        <v>0</v>
      </c>
      <c r="V2377" s="58">
        <v>0</v>
      </c>
      <c r="AG2377" t="s">
        <v>2095</v>
      </c>
      <c r="AM2377" s="1" t="str">
        <f t="shared" si="144"/>
        <v>2375_C0013_0605.jpg</v>
      </c>
    </row>
    <row r="2378" spans="1:39" x14ac:dyDescent="0.35">
      <c r="A2378">
        <v>2374</v>
      </c>
      <c r="B2378">
        <v>2375</v>
      </c>
      <c r="F2378" s="64" t="s">
        <v>5414</v>
      </c>
      <c r="G2378" s="64"/>
      <c r="H2378" s="64"/>
      <c r="I2378" s="64">
        <v>0</v>
      </c>
      <c r="J2378" s="32" t="str">
        <f>IF(AND(E2378=1,OR(E2377=0,E2377="")),MAX(#REF!)+1,IF(AND(E2378=1,E2377=1),J2377,""))</f>
        <v/>
      </c>
      <c r="K2378" s="32" t="str">
        <f t="shared" si="145"/>
        <v/>
      </c>
      <c r="L2378" s="32" t="str">
        <f t="shared" si="146"/>
        <v/>
      </c>
      <c r="M2378" s="32" t="str">
        <f t="shared" si="147"/>
        <v/>
      </c>
      <c r="N2378" s="4">
        <v>1</v>
      </c>
      <c r="O2378" s="58">
        <v>0</v>
      </c>
      <c r="P2378" s="58">
        <v>0</v>
      </c>
      <c r="Q2378" s="58">
        <v>0</v>
      </c>
      <c r="R2378" s="58">
        <v>0</v>
      </c>
      <c r="S2378" s="58">
        <v>0</v>
      </c>
      <c r="T2378" s="58">
        <v>0</v>
      </c>
      <c r="U2378" s="58">
        <v>0</v>
      </c>
      <c r="V2378" s="58">
        <v>0</v>
      </c>
      <c r="AG2378" t="s">
        <v>2096</v>
      </c>
      <c r="AM2378" s="1" t="str">
        <f t="shared" si="144"/>
        <v>2376_C0013_0602.jpg</v>
      </c>
    </row>
    <row r="2379" spans="1:39" x14ac:dyDescent="0.35">
      <c r="A2379">
        <v>2375</v>
      </c>
      <c r="B2379">
        <v>2376</v>
      </c>
      <c r="F2379" s="64" t="s">
        <v>5415</v>
      </c>
      <c r="G2379" s="64"/>
      <c r="H2379" s="64"/>
      <c r="I2379" s="64">
        <v>1</v>
      </c>
      <c r="J2379" s="32">
        <v>187</v>
      </c>
      <c r="K2379" s="32">
        <f t="shared" si="145"/>
        <v>10</v>
      </c>
      <c r="L2379" s="32" t="str">
        <f t="shared" si="146"/>
        <v/>
      </c>
      <c r="M2379" s="32">
        <f t="shared" si="147"/>
        <v>100</v>
      </c>
      <c r="N2379" s="4">
        <v>1</v>
      </c>
      <c r="O2379" s="58">
        <v>0</v>
      </c>
      <c r="P2379" s="58">
        <v>0</v>
      </c>
      <c r="Q2379" s="58">
        <v>0</v>
      </c>
      <c r="R2379" s="58">
        <v>0</v>
      </c>
      <c r="S2379" s="58">
        <v>0</v>
      </c>
      <c r="T2379" s="58">
        <v>0</v>
      </c>
      <c r="U2379" s="58">
        <v>0</v>
      </c>
      <c r="V2379" s="58">
        <v>0</v>
      </c>
      <c r="AG2379" t="s">
        <v>2097</v>
      </c>
      <c r="AM2379" s="1" t="str">
        <f t="shared" ref="AM2379:AM2442" si="148">HYPERLINK("E:\CAFNEC_GBRF\2023\JohnstoneRiver\Frames_for_Analysis\" &amp; F2380, F2380)</f>
        <v>2377_C0013_0599.jpg</v>
      </c>
    </row>
    <row r="2380" spans="1:39" x14ac:dyDescent="0.35">
      <c r="A2380">
        <v>2376</v>
      </c>
      <c r="B2380">
        <v>2377</v>
      </c>
      <c r="F2380" s="64" t="s">
        <v>5416</v>
      </c>
      <c r="G2380" s="64"/>
      <c r="H2380" s="64"/>
      <c r="I2380" s="64">
        <v>0</v>
      </c>
      <c r="J2380" s="32" t="str">
        <f>IF(AND(E2380=1,OR(E2379=0,E2379="")),MAX(#REF!)+1,IF(AND(E2380=1,E2379=1),J2379,""))</f>
        <v/>
      </c>
      <c r="K2380" s="32" t="str">
        <f t="shared" si="145"/>
        <v/>
      </c>
      <c r="L2380" s="32" t="str">
        <f t="shared" si="146"/>
        <v/>
      </c>
      <c r="M2380" s="32" t="str">
        <f t="shared" si="147"/>
        <v/>
      </c>
      <c r="N2380" s="4">
        <v>1</v>
      </c>
      <c r="O2380" s="58">
        <v>0</v>
      </c>
      <c r="P2380" s="58">
        <v>0</v>
      </c>
      <c r="Q2380" s="58">
        <v>0</v>
      </c>
      <c r="R2380" s="58">
        <v>0</v>
      </c>
      <c r="S2380" s="58">
        <v>0</v>
      </c>
      <c r="T2380" s="58">
        <v>0</v>
      </c>
      <c r="U2380" s="58">
        <v>0</v>
      </c>
      <c r="V2380" s="58">
        <v>0</v>
      </c>
      <c r="AG2380" t="s">
        <v>2098</v>
      </c>
      <c r="AM2380" s="1" t="str">
        <f t="shared" si="148"/>
        <v>2378_C0013_0596.jpg</v>
      </c>
    </row>
    <row r="2381" spans="1:39" x14ac:dyDescent="0.35">
      <c r="A2381">
        <v>2377</v>
      </c>
      <c r="B2381">
        <v>2378</v>
      </c>
      <c r="F2381" s="64" t="s">
        <v>5417</v>
      </c>
      <c r="G2381" s="64"/>
      <c r="H2381" s="64"/>
      <c r="I2381" s="64">
        <v>1</v>
      </c>
      <c r="J2381" s="32" t="str">
        <f>IF(AND(E2381=1,OR(E2380=0,E2380="")),MAX(#REF!)+1,IF(AND(E2381=1,E2380=1),J2380,""))</f>
        <v/>
      </c>
      <c r="K2381" s="32" t="str">
        <f t="shared" si="145"/>
        <v/>
      </c>
      <c r="L2381" s="32" t="str">
        <f t="shared" si="146"/>
        <v/>
      </c>
      <c r="M2381" s="32" t="str">
        <f t="shared" si="147"/>
        <v/>
      </c>
      <c r="N2381" s="4">
        <v>1</v>
      </c>
      <c r="O2381" s="58">
        <v>0</v>
      </c>
      <c r="P2381" s="58">
        <v>0</v>
      </c>
      <c r="Q2381" s="58">
        <v>0</v>
      </c>
      <c r="R2381" s="58">
        <v>0</v>
      </c>
      <c r="S2381" s="58">
        <v>0</v>
      </c>
      <c r="T2381" s="58">
        <v>0</v>
      </c>
      <c r="U2381" s="58">
        <v>0</v>
      </c>
      <c r="V2381" s="58">
        <v>0</v>
      </c>
      <c r="AG2381" t="s">
        <v>2099</v>
      </c>
      <c r="AM2381" s="1" t="str">
        <f t="shared" si="148"/>
        <v>2379_C0013_0593.jpg</v>
      </c>
    </row>
    <row r="2382" spans="1:39" x14ac:dyDescent="0.35">
      <c r="A2382">
        <v>2378</v>
      </c>
      <c r="B2382">
        <v>2379</v>
      </c>
      <c r="F2382" s="64" t="s">
        <v>5418</v>
      </c>
      <c r="G2382" s="64"/>
      <c r="H2382" s="64"/>
      <c r="I2382" s="64">
        <v>1</v>
      </c>
      <c r="J2382" s="32" t="str">
        <f>IF(AND(E2382=1,OR(E2381=0,E2381="")),MAX(#REF!)+1,IF(AND(E2382=1,E2381=1),J2381,""))</f>
        <v/>
      </c>
      <c r="K2382" s="32" t="str">
        <f t="shared" si="145"/>
        <v/>
      </c>
      <c r="L2382" s="32" t="str">
        <f t="shared" si="146"/>
        <v/>
      </c>
      <c r="M2382" s="32" t="str">
        <f t="shared" si="147"/>
        <v/>
      </c>
      <c r="N2382" s="4">
        <v>1</v>
      </c>
      <c r="O2382" s="58">
        <v>0</v>
      </c>
      <c r="P2382" s="58">
        <v>0</v>
      </c>
      <c r="Q2382" s="58">
        <v>0</v>
      </c>
      <c r="R2382" s="58">
        <v>0</v>
      </c>
      <c r="S2382" s="58">
        <v>0</v>
      </c>
      <c r="T2382" s="58">
        <v>0</v>
      </c>
      <c r="U2382" s="58">
        <v>0</v>
      </c>
      <c r="V2382" s="58">
        <v>0</v>
      </c>
      <c r="AG2382" t="s">
        <v>2100</v>
      </c>
      <c r="AM2382" s="1" t="str">
        <f t="shared" si="148"/>
        <v>2380_C0013_0589.jpg</v>
      </c>
    </row>
    <row r="2383" spans="1:39" x14ac:dyDescent="0.35">
      <c r="A2383">
        <v>2379</v>
      </c>
      <c r="B2383">
        <v>2380</v>
      </c>
      <c r="F2383" s="64" t="s">
        <v>5419</v>
      </c>
      <c r="G2383" s="64"/>
      <c r="H2383" s="64"/>
      <c r="I2383" s="64">
        <v>0</v>
      </c>
      <c r="J2383" s="32" t="str">
        <f>IF(AND(E2383=1,OR(E2382=0,E2382="")),MAX(#REF!)+1,IF(AND(E2383=1,E2382=1),J2382,""))</f>
        <v/>
      </c>
      <c r="K2383" s="32" t="str">
        <f t="shared" si="145"/>
        <v/>
      </c>
      <c r="L2383" s="32" t="str">
        <f t="shared" si="146"/>
        <v/>
      </c>
      <c r="M2383" s="32" t="str">
        <f t="shared" si="147"/>
        <v/>
      </c>
      <c r="N2383" s="4">
        <v>1</v>
      </c>
      <c r="O2383" s="58">
        <v>0</v>
      </c>
      <c r="P2383" s="58">
        <v>0</v>
      </c>
      <c r="Q2383" s="58">
        <v>0</v>
      </c>
      <c r="R2383" s="58">
        <v>0</v>
      </c>
      <c r="S2383" s="58">
        <v>0</v>
      </c>
      <c r="T2383" s="58">
        <v>0</v>
      </c>
      <c r="U2383" s="58">
        <v>0</v>
      </c>
      <c r="V2383" s="58">
        <v>0</v>
      </c>
      <c r="AG2383" t="s">
        <v>2101</v>
      </c>
      <c r="AM2383" s="1" t="str">
        <f t="shared" si="148"/>
        <v>2381_C0013_0586.jpg</v>
      </c>
    </row>
    <row r="2384" spans="1:39" x14ac:dyDescent="0.35">
      <c r="A2384">
        <v>2380</v>
      </c>
      <c r="B2384">
        <v>2381</v>
      </c>
      <c r="F2384" s="64" t="s">
        <v>5420</v>
      </c>
      <c r="G2384" s="64"/>
      <c r="H2384" s="64"/>
      <c r="I2384" s="64">
        <v>0</v>
      </c>
      <c r="J2384" s="32" t="str">
        <f>IF(AND(E2384=1,OR(E2383=0,E2383="")),MAX(#REF!)+1,IF(AND(E2384=1,E2383=1),J2383,""))</f>
        <v/>
      </c>
      <c r="K2384" s="32" t="str">
        <f t="shared" si="145"/>
        <v/>
      </c>
      <c r="L2384" s="32" t="str">
        <f t="shared" si="146"/>
        <v/>
      </c>
      <c r="M2384" s="32" t="str">
        <f t="shared" si="147"/>
        <v/>
      </c>
      <c r="N2384" s="4">
        <v>1</v>
      </c>
      <c r="O2384" s="58">
        <v>0</v>
      </c>
      <c r="P2384" s="58">
        <v>0</v>
      </c>
      <c r="Q2384" s="58">
        <v>0</v>
      </c>
      <c r="R2384" s="58">
        <v>0</v>
      </c>
      <c r="S2384" s="58">
        <v>0</v>
      </c>
      <c r="T2384" s="58">
        <v>0</v>
      </c>
      <c r="U2384" s="58">
        <v>0</v>
      </c>
      <c r="V2384" s="58">
        <v>0</v>
      </c>
      <c r="AG2384" t="s">
        <v>2102</v>
      </c>
      <c r="AM2384" s="1" t="str">
        <f t="shared" si="148"/>
        <v>2382_C0013_0583.jpg</v>
      </c>
    </row>
    <row r="2385" spans="1:39" x14ac:dyDescent="0.35">
      <c r="A2385">
        <v>2381</v>
      </c>
      <c r="B2385">
        <v>2382</v>
      </c>
      <c r="F2385" s="64" t="s">
        <v>5421</v>
      </c>
      <c r="G2385" s="64"/>
      <c r="H2385" s="64"/>
      <c r="I2385" s="64">
        <v>1</v>
      </c>
      <c r="J2385" s="32">
        <v>188</v>
      </c>
      <c r="K2385" s="32">
        <f t="shared" si="145"/>
        <v>10</v>
      </c>
      <c r="L2385" s="32" t="str">
        <f t="shared" si="146"/>
        <v/>
      </c>
      <c r="M2385" s="32">
        <f t="shared" si="147"/>
        <v>100</v>
      </c>
      <c r="N2385" s="4">
        <v>1</v>
      </c>
      <c r="O2385" s="58">
        <v>0</v>
      </c>
      <c r="P2385" s="58">
        <v>0</v>
      </c>
      <c r="Q2385" s="58">
        <v>0</v>
      </c>
      <c r="R2385" s="58">
        <v>0</v>
      </c>
      <c r="S2385" s="58">
        <v>0</v>
      </c>
      <c r="T2385" s="58">
        <v>0</v>
      </c>
      <c r="U2385" s="58">
        <v>0</v>
      </c>
      <c r="V2385" s="58">
        <v>0</v>
      </c>
      <c r="AG2385" t="s">
        <v>2103</v>
      </c>
      <c r="AM2385" s="1" t="str">
        <f t="shared" si="148"/>
        <v>2383_C0013_0580.jpg</v>
      </c>
    </row>
    <row r="2386" spans="1:39" x14ac:dyDescent="0.35">
      <c r="A2386">
        <v>2382</v>
      </c>
      <c r="B2386">
        <v>2383</v>
      </c>
      <c r="F2386" s="64" t="s">
        <v>5422</v>
      </c>
      <c r="G2386" s="64"/>
      <c r="H2386" s="64"/>
      <c r="I2386" s="64">
        <v>1</v>
      </c>
      <c r="J2386" s="32" t="str">
        <f>IF(AND(E2386=1,OR(E2385=0,E2385="")),MAX(#REF!)+1,IF(AND(E2386=1,E2385=1),J2385,""))</f>
        <v/>
      </c>
      <c r="K2386" s="32" t="str">
        <f t="shared" si="145"/>
        <v/>
      </c>
      <c r="L2386" s="32" t="str">
        <f t="shared" si="146"/>
        <v/>
      </c>
      <c r="M2386" s="32" t="str">
        <f t="shared" si="147"/>
        <v/>
      </c>
      <c r="N2386" s="4">
        <v>1</v>
      </c>
      <c r="O2386" s="58">
        <v>0</v>
      </c>
      <c r="P2386" s="58">
        <v>0</v>
      </c>
      <c r="Q2386" s="58">
        <v>0</v>
      </c>
      <c r="R2386" s="58">
        <v>0</v>
      </c>
      <c r="S2386" s="58">
        <v>0</v>
      </c>
      <c r="T2386" s="58">
        <v>0</v>
      </c>
      <c r="U2386" s="58">
        <v>0</v>
      </c>
      <c r="V2386" s="58">
        <v>0</v>
      </c>
      <c r="AG2386" t="s">
        <v>2104</v>
      </c>
      <c r="AM2386" s="1" t="str">
        <f t="shared" si="148"/>
        <v>2384_C0013_0577.jpg</v>
      </c>
    </row>
    <row r="2387" spans="1:39" x14ac:dyDescent="0.35">
      <c r="A2387">
        <v>2383</v>
      </c>
      <c r="B2387">
        <v>2384</v>
      </c>
      <c r="F2387" s="64" t="s">
        <v>5423</v>
      </c>
      <c r="G2387" s="64"/>
      <c r="H2387" s="64"/>
      <c r="I2387" s="64">
        <v>0</v>
      </c>
      <c r="J2387" s="32" t="str">
        <f>IF(AND(E2387=1,OR(E2386=0,E2386="")),MAX(#REF!)+1,IF(AND(E2387=1,E2386=1),J2386,""))</f>
        <v/>
      </c>
      <c r="K2387" s="32" t="str">
        <f t="shared" si="145"/>
        <v/>
      </c>
      <c r="L2387" s="32" t="str">
        <f t="shared" si="146"/>
        <v/>
      </c>
      <c r="M2387" s="32" t="str">
        <f t="shared" si="147"/>
        <v/>
      </c>
      <c r="N2387" s="4">
        <v>1</v>
      </c>
      <c r="O2387" s="58">
        <v>0</v>
      </c>
      <c r="P2387" s="58">
        <v>0</v>
      </c>
      <c r="Q2387" s="58">
        <v>0</v>
      </c>
      <c r="R2387" s="58">
        <v>0</v>
      </c>
      <c r="S2387" s="58">
        <v>0</v>
      </c>
      <c r="T2387" s="58">
        <v>0</v>
      </c>
      <c r="U2387" s="58">
        <v>0</v>
      </c>
      <c r="V2387" s="58">
        <v>0</v>
      </c>
      <c r="AG2387" t="s">
        <v>2105</v>
      </c>
      <c r="AM2387" s="1" t="str">
        <f t="shared" si="148"/>
        <v>2385_C0013_0573.jpg</v>
      </c>
    </row>
    <row r="2388" spans="1:39" x14ac:dyDescent="0.35">
      <c r="A2388">
        <v>2384</v>
      </c>
      <c r="B2388">
        <v>2385</v>
      </c>
      <c r="F2388" s="64" t="s">
        <v>5424</v>
      </c>
      <c r="G2388" s="64"/>
      <c r="H2388" s="64"/>
      <c r="I2388" s="64">
        <v>0</v>
      </c>
      <c r="J2388" s="32" t="str">
        <f>IF(AND(E2388=1,OR(E2387=0,E2387="")),MAX(#REF!)+1,IF(AND(E2388=1,E2387=1),J2387,""))</f>
        <v/>
      </c>
      <c r="K2388" s="32" t="str">
        <f t="shared" si="145"/>
        <v/>
      </c>
      <c r="L2388" s="32" t="str">
        <f t="shared" si="146"/>
        <v/>
      </c>
      <c r="M2388" s="32" t="str">
        <f t="shared" si="147"/>
        <v/>
      </c>
      <c r="N2388" s="4">
        <v>1</v>
      </c>
      <c r="O2388" s="58">
        <v>0</v>
      </c>
      <c r="P2388" s="58">
        <v>0</v>
      </c>
      <c r="Q2388" s="58">
        <v>0</v>
      </c>
      <c r="R2388" s="58">
        <v>0</v>
      </c>
      <c r="S2388" s="58">
        <v>0</v>
      </c>
      <c r="T2388" s="58">
        <v>0</v>
      </c>
      <c r="U2388" s="58">
        <v>0</v>
      </c>
      <c r="V2388" s="58">
        <v>0</v>
      </c>
      <c r="AG2388" t="s">
        <v>2106</v>
      </c>
      <c r="AM2388" s="1" t="str">
        <f t="shared" si="148"/>
        <v>2386_C0013_0571.jpg</v>
      </c>
    </row>
    <row r="2389" spans="1:39" x14ac:dyDescent="0.35">
      <c r="A2389">
        <v>2385</v>
      </c>
      <c r="B2389">
        <v>2386</v>
      </c>
      <c r="F2389" s="64" t="s">
        <v>5425</v>
      </c>
      <c r="G2389" s="64"/>
      <c r="H2389" s="64"/>
      <c r="I2389" s="64">
        <v>0</v>
      </c>
      <c r="J2389" s="32" t="str">
        <f>IF(AND(E2389=1,OR(E2388=0,E2388="")),MAX(#REF!)+1,IF(AND(E2389=1,E2388=1),J2388,""))</f>
        <v/>
      </c>
      <c r="K2389" s="32" t="str">
        <f t="shared" si="145"/>
        <v/>
      </c>
      <c r="L2389" s="32" t="str">
        <f t="shared" si="146"/>
        <v/>
      </c>
      <c r="M2389" s="32" t="str">
        <f t="shared" si="147"/>
        <v/>
      </c>
      <c r="N2389" s="4">
        <v>1</v>
      </c>
      <c r="O2389" s="58">
        <v>0</v>
      </c>
      <c r="P2389" s="58">
        <v>0</v>
      </c>
      <c r="Q2389" s="58">
        <v>0</v>
      </c>
      <c r="R2389" s="58">
        <v>0</v>
      </c>
      <c r="S2389" s="58">
        <v>0</v>
      </c>
      <c r="T2389" s="58">
        <v>0</v>
      </c>
      <c r="U2389" s="58">
        <v>0</v>
      </c>
      <c r="V2389" s="58">
        <v>0</v>
      </c>
      <c r="AG2389" t="s">
        <v>2107</v>
      </c>
      <c r="AM2389" s="1" t="str">
        <f t="shared" si="148"/>
        <v>2387_C0013_0568.jpg</v>
      </c>
    </row>
    <row r="2390" spans="1:39" x14ac:dyDescent="0.35">
      <c r="A2390">
        <v>2386</v>
      </c>
      <c r="B2390">
        <v>2387</v>
      </c>
      <c r="F2390" s="64" t="s">
        <v>5426</v>
      </c>
      <c r="G2390" s="64"/>
      <c r="H2390" s="64"/>
      <c r="I2390" s="64">
        <v>1</v>
      </c>
      <c r="J2390" s="32" t="str">
        <f>IF(AND(E2390=1,OR(E2389=0,E2389="")),MAX(#REF!)+1,IF(AND(E2390=1,E2389=1),J2389,""))</f>
        <v/>
      </c>
      <c r="K2390" s="32" t="str">
        <f t="shared" si="145"/>
        <v/>
      </c>
      <c r="L2390" s="32" t="str">
        <f t="shared" si="146"/>
        <v/>
      </c>
      <c r="M2390" s="32" t="str">
        <f t="shared" si="147"/>
        <v/>
      </c>
      <c r="N2390" s="4">
        <v>1</v>
      </c>
      <c r="O2390" s="58">
        <v>0</v>
      </c>
      <c r="P2390" s="58">
        <v>0</v>
      </c>
      <c r="Q2390" s="58">
        <v>0</v>
      </c>
      <c r="R2390" s="58">
        <v>0</v>
      </c>
      <c r="S2390" s="58">
        <v>0</v>
      </c>
      <c r="T2390" s="58">
        <v>0</v>
      </c>
      <c r="U2390" s="58">
        <v>0</v>
      </c>
      <c r="V2390" s="58">
        <v>0</v>
      </c>
      <c r="AG2390" t="s">
        <v>2108</v>
      </c>
      <c r="AM2390" s="1" t="str">
        <f t="shared" si="148"/>
        <v>2388_C0013_0565.jpg</v>
      </c>
    </row>
    <row r="2391" spans="1:39" x14ac:dyDescent="0.35">
      <c r="A2391">
        <v>2387</v>
      </c>
      <c r="B2391">
        <v>2388</v>
      </c>
      <c r="F2391" s="64" t="s">
        <v>5427</v>
      </c>
      <c r="G2391" s="64"/>
      <c r="H2391" s="64"/>
      <c r="I2391" s="64">
        <v>0</v>
      </c>
      <c r="J2391" s="32" t="str">
        <f>IF(AND(E2391=1,OR(E2390=0,E2390="")),MAX(#REF!)+1,IF(AND(E2391=1,E2390=1),J2390,""))</f>
        <v/>
      </c>
      <c r="K2391" s="32" t="str">
        <f t="shared" si="145"/>
        <v/>
      </c>
      <c r="L2391" s="32" t="str">
        <f t="shared" si="146"/>
        <v/>
      </c>
      <c r="M2391" s="32" t="str">
        <f t="shared" si="147"/>
        <v/>
      </c>
      <c r="N2391" s="4">
        <v>1</v>
      </c>
      <c r="O2391" s="58">
        <v>0</v>
      </c>
      <c r="P2391" s="58">
        <v>0</v>
      </c>
      <c r="Q2391" s="58">
        <v>0</v>
      </c>
      <c r="R2391" s="58">
        <v>0</v>
      </c>
      <c r="S2391" s="58">
        <v>0</v>
      </c>
      <c r="T2391" s="58">
        <v>0</v>
      </c>
      <c r="U2391" s="58">
        <v>0</v>
      </c>
      <c r="V2391" s="58">
        <v>0</v>
      </c>
      <c r="AG2391" t="s">
        <v>2109</v>
      </c>
      <c r="AM2391" s="1" t="str">
        <f t="shared" si="148"/>
        <v>2389_C0013_0561.jpg</v>
      </c>
    </row>
    <row r="2392" spans="1:39" x14ac:dyDescent="0.35">
      <c r="A2392">
        <v>2388</v>
      </c>
      <c r="B2392">
        <v>2389</v>
      </c>
      <c r="F2392" s="64" t="s">
        <v>5428</v>
      </c>
      <c r="G2392" s="64"/>
      <c r="H2392" s="64"/>
      <c r="I2392" s="64">
        <v>0</v>
      </c>
      <c r="J2392" s="32" t="str">
        <f>IF(AND(E2392=1,OR(E2391=0,E2391="")),MAX(#REF!)+1,IF(AND(E2392=1,E2391=1),J2391,""))</f>
        <v/>
      </c>
      <c r="K2392" s="32" t="str">
        <f t="shared" si="145"/>
        <v/>
      </c>
      <c r="L2392" s="32" t="str">
        <f t="shared" si="146"/>
        <v/>
      </c>
      <c r="M2392" s="32" t="str">
        <f t="shared" si="147"/>
        <v/>
      </c>
      <c r="N2392" s="4">
        <v>1</v>
      </c>
      <c r="O2392" s="58">
        <v>0</v>
      </c>
      <c r="P2392" s="58">
        <v>0</v>
      </c>
      <c r="Q2392" s="58">
        <v>0</v>
      </c>
      <c r="R2392" s="58">
        <v>0</v>
      </c>
      <c r="S2392" s="58">
        <v>0</v>
      </c>
      <c r="T2392" s="58">
        <v>0</v>
      </c>
      <c r="U2392" s="58">
        <v>0</v>
      </c>
      <c r="V2392" s="58">
        <v>0</v>
      </c>
      <c r="AG2392" t="s">
        <v>2110</v>
      </c>
      <c r="AM2392" s="1" t="str">
        <f t="shared" si="148"/>
        <v>2390_C0013_0558.jpg</v>
      </c>
    </row>
    <row r="2393" spans="1:39" x14ac:dyDescent="0.35">
      <c r="A2393">
        <v>2389</v>
      </c>
      <c r="B2393">
        <v>2390</v>
      </c>
      <c r="F2393" s="64" t="s">
        <v>5429</v>
      </c>
      <c r="G2393" s="64"/>
      <c r="H2393" s="64"/>
      <c r="I2393" s="64">
        <v>0</v>
      </c>
      <c r="J2393" s="32" t="str">
        <f>IF(AND(E2393=1,OR(E2392=0,E2392="")),MAX(#REF!)+1,IF(AND(E2393=1,E2392=1),J2392,""))</f>
        <v/>
      </c>
      <c r="K2393" s="32" t="str">
        <f t="shared" si="145"/>
        <v/>
      </c>
      <c r="L2393" s="32" t="str">
        <f t="shared" si="146"/>
        <v/>
      </c>
      <c r="M2393" s="32" t="str">
        <f t="shared" si="147"/>
        <v/>
      </c>
      <c r="N2393" s="4">
        <v>1</v>
      </c>
      <c r="O2393" s="58">
        <v>0</v>
      </c>
      <c r="P2393" s="58">
        <v>0</v>
      </c>
      <c r="Q2393" s="58">
        <v>0</v>
      </c>
      <c r="R2393" s="58">
        <v>0</v>
      </c>
      <c r="S2393" s="58">
        <v>0</v>
      </c>
      <c r="T2393" s="58">
        <v>0</v>
      </c>
      <c r="U2393" s="58">
        <v>0</v>
      </c>
      <c r="V2393" s="58">
        <v>0</v>
      </c>
      <c r="AG2393" t="s">
        <v>2111</v>
      </c>
      <c r="AM2393" s="1" t="str">
        <f t="shared" si="148"/>
        <v>2391_C0013_0555.jpg</v>
      </c>
    </row>
    <row r="2394" spans="1:39" x14ac:dyDescent="0.35">
      <c r="A2394">
        <v>2390</v>
      </c>
      <c r="B2394">
        <v>2391</v>
      </c>
      <c r="F2394" s="64" t="s">
        <v>5430</v>
      </c>
      <c r="G2394" s="64"/>
      <c r="H2394" s="64"/>
      <c r="I2394" s="64">
        <v>0</v>
      </c>
      <c r="J2394" s="32" t="str">
        <f>IF(AND(E2394=1,OR(E2393=0,E2393="")),MAX(#REF!)+1,IF(AND(E2394=1,E2393=1),J2393,""))</f>
        <v/>
      </c>
      <c r="K2394" s="32" t="str">
        <f t="shared" si="145"/>
        <v/>
      </c>
      <c r="L2394" s="32" t="str">
        <f t="shared" si="146"/>
        <v/>
      </c>
      <c r="M2394" s="32" t="str">
        <f t="shared" si="147"/>
        <v/>
      </c>
      <c r="N2394" s="4">
        <v>1</v>
      </c>
      <c r="O2394" s="58">
        <v>0</v>
      </c>
      <c r="P2394" s="58">
        <v>0</v>
      </c>
      <c r="Q2394" s="58">
        <v>0</v>
      </c>
      <c r="R2394" s="58">
        <v>0</v>
      </c>
      <c r="S2394" s="58">
        <v>0</v>
      </c>
      <c r="T2394" s="58">
        <v>0</v>
      </c>
      <c r="U2394" s="58">
        <v>0</v>
      </c>
      <c r="V2394" s="58">
        <v>0</v>
      </c>
      <c r="AG2394" t="s">
        <v>2112</v>
      </c>
      <c r="AM2394" s="1" t="str">
        <f t="shared" si="148"/>
        <v>2392_C0013_0552.jpg</v>
      </c>
    </row>
    <row r="2395" spans="1:39" x14ac:dyDescent="0.35">
      <c r="A2395">
        <v>2391</v>
      </c>
      <c r="B2395">
        <v>2392</v>
      </c>
      <c r="F2395" s="64" t="s">
        <v>5431</v>
      </c>
      <c r="G2395" s="64"/>
      <c r="H2395" s="64"/>
      <c r="I2395" s="64">
        <v>0</v>
      </c>
      <c r="J2395" s="32" t="str">
        <f>IF(AND(E2395=1,OR(E2394=0,E2394="")),MAX(#REF!)+1,IF(AND(E2395=1,E2394=1),J2394,""))</f>
        <v/>
      </c>
      <c r="K2395" s="32" t="str">
        <f t="shared" si="145"/>
        <v/>
      </c>
      <c r="L2395" s="32" t="str">
        <f t="shared" si="146"/>
        <v/>
      </c>
      <c r="M2395" s="32" t="str">
        <f t="shared" si="147"/>
        <v/>
      </c>
      <c r="N2395" s="4">
        <v>1</v>
      </c>
      <c r="O2395" s="58">
        <v>0</v>
      </c>
      <c r="P2395" s="58">
        <v>0</v>
      </c>
      <c r="Q2395" s="58">
        <v>0</v>
      </c>
      <c r="R2395" s="58">
        <v>0</v>
      </c>
      <c r="S2395" s="58">
        <v>0</v>
      </c>
      <c r="T2395" s="58">
        <v>0</v>
      </c>
      <c r="U2395" s="58">
        <v>0</v>
      </c>
      <c r="V2395" s="58">
        <v>0</v>
      </c>
      <c r="AG2395" t="s">
        <v>2113</v>
      </c>
      <c r="AM2395" s="1" t="str">
        <f t="shared" si="148"/>
        <v>2393_C0013_0549.jpg</v>
      </c>
    </row>
    <row r="2396" spans="1:39" x14ac:dyDescent="0.35">
      <c r="A2396">
        <v>2392</v>
      </c>
      <c r="B2396">
        <v>2393</v>
      </c>
      <c r="F2396" s="64" t="s">
        <v>5432</v>
      </c>
      <c r="G2396" s="64"/>
      <c r="H2396" s="64"/>
      <c r="I2396" s="64">
        <v>0</v>
      </c>
      <c r="J2396" s="32" t="str">
        <f>IF(AND(E2396=1,OR(E2395=0,E2395="")),MAX(#REF!)+1,IF(AND(E2396=1,E2395=1),J2395,""))</f>
        <v/>
      </c>
      <c r="K2396" s="32" t="str">
        <f t="shared" si="145"/>
        <v/>
      </c>
      <c r="L2396" s="32" t="str">
        <f t="shared" si="146"/>
        <v/>
      </c>
      <c r="M2396" s="32" t="str">
        <f t="shared" si="147"/>
        <v/>
      </c>
      <c r="N2396" s="4">
        <v>1</v>
      </c>
      <c r="O2396" s="58">
        <v>0</v>
      </c>
      <c r="P2396" s="58">
        <v>0</v>
      </c>
      <c r="Q2396" s="58">
        <v>0</v>
      </c>
      <c r="R2396" s="58">
        <v>0</v>
      </c>
      <c r="S2396" s="58">
        <v>0</v>
      </c>
      <c r="T2396" s="58">
        <v>0</v>
      </c>
      <c r="U2396" s="58">
        <v>0</v>
      </c>
      <c r="V2396" s="58">
        <v>0</v>
      </c>
      <c r="AG2396" t="s">
        <v>2114</v>
      </c>
      <c r="AM2396" s="1" t="str">
        <f t="shared" si="148"/>
        <v>2394_C0013_0546.jpg</v>
      </c>
    </row>
    <row r="2397" spans="1:39" x14ac:dyDescent="0.35">
      <c r="A2397">
        <v>2393</v>
      </c>
      <c r="B2397">
        <v>2394</v>
      </c>
      <c r="F2397" s="64" t="s">
        <v>5433</v>
      </c>
      <c r="G2397" s="64"/>
      <c r="H2397" s="64"/>
      <c r="I2397" s="64">
        <v>0</v>
      </c>
      <c r="J2397" s="32" t="str">
        <f>IF(AND(E2397=1,OR(E2396=0,E2396="")),MAX(#REF!)+1,IF(AND(E2397=1,E2396=1),J2396,""))</f>
        <v/>
      </c>
      <c r="K2397" s="32" t="str">
        <f t="shared" si="145"/>
        <v/>
      </c>
      <c r="L2397" s="32" t="str">
        <f t="shared" si="146"/>
        <v/>
      </c>
      <c r="M2397" s="32" t="str">
        <f t="shared" si="147"/>
        <v/>
      </c>
      <c r="N2397" s="4">
        <v>1</v>
      </c>
      <c r="O2397" s="58">
        <v>0</v>
      </c>
      <c r="P2397" s="58">
        <v>0</v>
      </c>
      <c r="Q2397" s="58">
        <v>0</v>
      </c>
      <c r="R2397" s="58">
        <v>0</v>
      </c>
      <c r="S2397" s="58">
        <v>0</v>
      </c>
      <c r="T2397" s="58">
        <v>0</v>
      </c>
      <c r="U2397" s="58">
        <v>0</v>
      </c>
      <c r="V2397" s="58">
        <v>0</v>
      </c>
      <c r="AG2397" t="s">
        <v>2115</v>
      </c>
      <c r="AM2397" s="1" t="str">
        <f t="shared" si="148"/>
        <v>2395_C0013_0544.jpg</v>
      </c>
    </row>
    <row r="2398" spans="1:39" x14ac:dyDescent="0.35">
      <c r="A2398">
        <v>2394</v>
      </c>
      <c r="B2398">
        <v>2395</v>
      </c>
      <c r="F2398" s="64" t="s">
        <v>5434</v>
      </c>
      <c r="G2398" s="64"/>
      <c r="H2398" s="64"/>
      <c r="I2398" s="64">
        <v>0</v>
      </c>
      <c r="J2398" s="32" t="str">
        <f>IF(AND(E2398=1,OR(E2397=0,E2397="")),MAX(#REF!)+1,IF(AND(E2398=1,E2397=1),J2397,""))</f>
        <v/>
      </c>
      <c r="K2398" s="32" t="str">
        <f t="shared" si="145"/>
        <v/>
      </c>
      <c r="L2398" s="32" t="str">
        <f t="shared" si="146"/>
        <v/>
      </c>
      <c r="M2398" s="32" t="str">
        <f t="shared" si="147"/>
        <v/>
      </c>
      <c r="N2398" s="4">
        <v>1</v>
      </c>
      <c r="O2398" s="58">
        <v>0</v>
      </c>
      <c r="P2398" s="58">
        <v>0</v>
      </c>
      <c r="Q2398" s="58">
        <v>0</v>
      </c>
      <c r="R2398" s="58">
        <v>0</v>
      </c>
      <c r="S2398" s="58">
        <v>0</v>
      </c>
      <c r="T2398" s="58">
        <v>0</v>
      </c>
      <c r="U2398" s="58">
        <v>0</v>
      </c>
      <c r="V2398" s="58">
        <v>0</v>
      </c>
      <c r="AG2398" t="s">
        <v>2116</v>
      </c>
      <c r="AM2398" s="1" t="str">
        <f t="shared" si="148"/>
        <v>2396_C0013_0541.jpg</v>
      </c>
    </row>
    <row r="2399" spans="1:39" x14ac:dyDescent="0.35">
      <c r="A2399">
        <v>2395</v>
      </c>
      <c r="B2399">
        <v>2396</v>
      </c>
      <c r="F2399" s="64" t="s">
        <v>5435</v>
      </c>
      <c r="G2399" s="64"/>
      <c r="H2399" s="64"/>
      <c r="I2399" s="64">
        <v>0</v>
      </c>
      <c r="J2399" s="32" t="str">
        <f>IF(AND(E2399=1,OR(E2398=0,E2398="")),MAX(#REF!)+1,IF(AND(E2399=1,E2398=1),J2398,""))</f>
        <v/>
      </c>
      <c r="K2399" s="32" t="str">
        <f t="shared" ref="K2399:K2462" si="149">IF(J2399="","",COUNTIF(J:J,J2399)*10)</f>
        <v/>
      </c>
      <c r="L2399" s="32" t="str">
        <f t="shared" si="146"/>
        <v/>
      </c>
      <c r="M2399" s="32" t="str">
        <f t="shared" si="147"/>
        <v/>
      </c>
      <c r="N2399" s="4">
        <v>1</v>
      </c>
      <c r="O2399" s="58">
        <v>0</v>
      </c>
      <c r="P2399" s="58">
        <v>0</v>
      </c>
      <c r="Q2399" s="58">
        <v>0</v>
      </c>
      <c r="R2399" s="58">
        <v>0</v>
      </c>
      <c r="S2399" s="58">
        <v>0</v>
      </c>
      <c r="T2399" s="58">
        <v>0</v>
      </c>
      <c r="U2399" s="58">
        <v>0</v>
      </c>
      <c r="V2399" s="58">
        <v>0</v>
      </c>
      <c r="AG2399" t="s">
        <v>2117</v>
      </c>
      <c r="AM2399" s="1" t="str">
        <f t="shared" si="148"/>
        <v>2397_C0013_0538.jpg</v>
      </c>
    </row>
    <row r="2400" spans="1:39" x14ac:dyDescent="0.35">
      <c r="A2400">
        <v>2396</v>
      </c>
      <c r="B2400">
        <v>2397</v>
      </c>
      <c r="F2400" s="64" t="s">
        <v>5436</v>
      </c>
      <c r="G2400" s="64"/>
      <c r="H2400" s="64"/>
      <c r="I2400" s="64">
        <v>0</v>
      </c>
      <c r="J2400" s="32" t="str">
        <f>IF(AND(E2400=1,OR(E2399=0,E2399="")),MAX(#REF!)+1,IF(AND(E2400=1,E2399=1),J2399,""))</f>
        <v/>
      </c>
      <c r="K2400" s="32" t="str">
        <f t="shared" si="149"/>
        <v/>
      </c>
      <c r="L2400" s="32" t="str">
        <f t="shared" si="146"/>
        <v/>
      </c>
      <c r="M2400" s="32" t="str">
        <f t="shared" si="147"/>
        <v/>
      </c>
      <c r="N2400" s="4">
        <v>1</v>
      </c>
      <c r="O2400" s="58">
        <v>0</v>
      </c>
      <c r="P2400" s="58">
        <v>0</v>
      </c>
      <c r="Q2400" s="58">
        <v>0</v>
      </c>
      <c r="R2400" s="58">
        <v>0</v>
      </c>
      <c r="S2400" s="58">
        <v>0</v>
      </c>
      <c r="T2400" s="58">
        <v>0</v>
      </c>
      <c r="U2400" s="58">
        <v>0</v>
      </c>
      <c r="V2400" s="58">
        <v>0</v>
      </c>
      <c r="AG2400" t="s">
        <v>2118</v>
      </c>
      <c r="AM2400" s="1" t="str">
        <f t="shared" si="148"/>
        <v>2398_C0013_0536.jpg</v>
      </c>
    </row>
    <row r="2401" spans="1:39" x14ac:dyDescent="0.35">
      <c r="A2401">
        <v>2397</v>
      </c>
      <c r="B2401">
        <v>2398</v>
      </c>
      <c r="F2401" s="64" t="s">
        <v>5437</v>
      </c>
      <c r="G2401" s="64"/>
      <c r="H2401" s="64"/>
      <c r="I2401" s="64">
        <v>0</v>
      </c>
      <c r="J2401" s="32" t="str">
        <f>IF(AND(E2401=1,OR(E2400=0,E2400="")),MAX(#REF!)+1,IF(AND(E2401=1,E2400=1),J2400,""))</f>
        <v/>
      </c>
      <c r="K2401" s="32" t="str">
        <f t="shared" si="149"/>
        <v/>
      </c>
      <c r="L2401" s="32" t="str">
        <f t="shared" si="146"/>
        <v/>
      </c>
      <c r="M2401" s="32" t="str">
        <f t="shared" si="147"/>
        <v/>
      </c>
      <c r="N2401" s="4">
        <v>1</v>
      </c>
      <c r="O2401" s="58">
        <v>0</v>
      </c>
      <c r="P2401" s="58">
        <v>0</v>
      </c>
      <c r="Q2401" s="58">
        <v>0</v>
      </c>
      <c r="R2401" s="58">
        <v>0</v>
      </c>
      <c r="S2401" s="58">
        <v>0</v>
      </c>
      <c r="T2401" s="58">
        <v>0</v>
      </c>
      <c r="U2401" s="58">
        <v>0</v>
      </c>
      <c r="V2401" s="58">
        <v>0</v>
      </c>
      <c r="AG2401" t="s">
        <v>2119</v>
      </c>
      <c r="AM2401" s="1" t="str">
        <f t="shared" si="148"/>
        <v>2399_C0013_0533.jpg</v>
      </c>
    </row>
    <row r="2402" spans="1:39" x14ac:dyDescent="0.35">
      <c r="A2402">
        <v>2398</v>
      </c>
      <c r="B2402">
        <v>2399</v>
      </c>
      <c r="F2402" s="64" t="s">
        <v>5438</v>
      </c>
      <c r="G2402" s="64"/>
      <c r="H2402" s="64"/>
      <c r="I2402" s="64">
        <v>0</v>
      </c>
      <c r="J2402" s="32" t="str">
        <f>IF(AND(E2402=1,OR(E2401=0,E2401="")),MAX(#REF!)+1,IF(AND(E2402=1,E2401=1),J2401,""))</f>
        <v/>
      </c>
      <c r="K2402" s="32" t="str">
        <f t="shared" si="149"/>
        <v/>
      </c>
      <c r="L2402" s="32" t="str">
        <f t="shared" si="146"/>
        <v/>
      </c>
      <c r="M2402" s="32" t="str">
        <f t="shared" si="147"/>
        <v/>
      </c>
      <c r="N2402" s="4">
        <v>1</v>
      </c>
      <c r="O2402" s="58">
        <v>0</v>
      </c>
      <c r="P2402" s="58">
        <v>0</v>
      </c>
      <c r="Q2402" s="58">
        <v>0</v>
      </c>
      <c r="R2402" s="58">
        <v>0</v>
      </c>
      <c r="S2402" s="58">
        <v>0</v>
      </c>
      <c r="T2402" s="58">
        <v>0</v>
      </c>
      <c r="U2402" s="58">
        <v>0</v>
      </c>
      <c r="V2402" s="58">
        <v>0</v>
      </c>
      <c r="AG2402" t="s">
        <v>2120</v>
      </c>
      <c r="AM2402" s="1" t="str">
        <f t="shared" si="148"/>
        <v>2400_C0013_0530.jpg</v>
      </c>
    </row>
    <row r="2403" spans="1:39" x14ac:dyDescent="0.35">
      <c r="A2403">
        <v>2399</v>
      </c>
      <c r="B2403">
        <v>2400</v>
      </c>
      <c r="F2403" s="64" t="s">
        <v>5439</v>
      </c>
      <c r="G2403" s="64"/>
      <c r="H2403" s="64"/>
      <c r="I2403" s="64">
        <v>0</v>
      </c>
      <c r="J2403" s="32" t="str">
        <f>IF(AND(E2403=1,OR(E2402=0,E2402="")),MAX(#REF!)+1,IF(AND(E2403=1,E2402=1),J2402,""))</f>
        <v/>
      </c>
      <c r="K2403" s="32" t="str">
        <f t="shared" si="149"/>
        <v/>
      </c>
      <c r="L2403" s="32" t="str">
        <f t="shared" si="146"/>
        <v/>
      </c>
      <c r="M2403" s="32" t="str">
        <f t="shared" si="147"/>
        <v/>
      </c>
      <c r="N2403" s="4">
        <v>1</v>
      </c>
      <c r="O2403" s="58">
        <v>0</v>
      </c>
      <c r="P2403" s="58">
        <v>0</v>
      </c>
      <c r="Q2403" s="58">
        <v>0</v>
      </c>
      <c r="R2403" s="58">
        <v>0</v>
      </c>
      <c r="S2403" s="58">
        <v>0</v>
      </c>
      <c r="T2403" s="58">
        <v>0</v>
      </c>
      <c r="U2403" s="58">
        <v>0</v>
      </c>
      <c r="V2403" s="58">
        <v>0</v>
      </c>
      <c r="AG2403" t="s">
        <v>2121</v>
      </c>
      <c r="AM2403" s="1" t="str">
        <f t="shared" si="148"/>
        <v>2401_C0013_0528.jpg</v>
      </c>
    </row>
    <row r="2404" spans="1:39" x14ac:dyDescent="0.35">
      <c r="A2404">
        <v>2400</v>
      </c>
      <c r="B2404">
        <v>2401</v>
      </c>
      <c r="F2404" s="64" t="s">
        <v>5440</v>
      </c>
      <c r="G2404" s="64"/>
      <c r="H2404" s="64"/>
      <c r="I2404" s="64">
        <v>0</v>
      </c>
      <c r="J2404" s="32" t="str">
        <f>IF(AND(E2404=1,OR(E2403=0,E2403="")),MAX(#REF!)+1,IF(AND(E2404=1,E2403=1),J2403,""))</f>
        <v/>
      </c>
      <c r="K2404" s="32" t="str">
        <f t="shared" si="149"/>
        <v/>
      </c>
      <c r="L2404" s="32" t="str">
        <f t="shared" si="146"/>
        <v/>
      </c>
      <c r="M2404" s="32" t="str">
        <f t="shared" si="147"/>
        <v/>
      </c>
      <c r="N2404" s="4">
        <v>1</v>
      </c>
      <c r="O2404" s="58">
        <v>0</v>
      </c>
      <c r="P2404" s="58">
        <v>0</v>
      </c>
      <c r="Q2404" s="58">
        <v>0</v>
      </c>
      <c r="R2404" s="58">
        <v>0</v>
      </c>
      <c r="S2404" s="58">
        <v>0</v>
      </c>
      <c r="T2404" s="58">
        <v>0</v>
      </c>
      <c r="U2404" s="58">
        <v>0</v>
      </c>
      <c r="V2404" s="58">
        <v>0</v>
      </c>
      <c r="AG2404" t="s">
        <v>2122</v>
      </c>
      <c r="AM2404" s="1" t="str">
        <f t="shared" si="148"/>
        <v>2402_C0013_0524.jpg</v>
      </c>
    </row>
    <row r="2405" spans="1:39" x14ac:dyDescent="0.35">
      <c r="A2405">
        <v>2401</v>
      </c>
      <c r="B2405">
        <v>2402</v>
      </c>
      <c r="F2405" s="64" t="s">
        <v>5441</v>
      </c>
      <c r="G2405" s="64"/>
      <c r="H2405" s="64"/>
      <c r="I2405" s="64">
        <v>1</v>
      </c>
      <c r="J2405" s="32" t="str">
        <f>IF(AND(E2405=1,OR(E2404=0,E2404="")),MAX(#REF!)+1,IF(AND(E2405=1,E2404=1),J2404,""))</f>
        <v/>
      </c>
      <c r="K2405" s="32" t="str">
        <f t="shared" si="149"/>
        <v/>
      </c>
      <c r="L2405" s="32" t="str">
        <f t="shared" si="146"/>
        <v/>
      </c>
      <c r="M2405" s="32" t="str">
        <f t="shared" si="147"/>
        <v/>
      </c>
      <c r="N2405" s="4">
        <v>1</v>
      </c>
      <c r="O2405" s="58">
        <v>0</v>
      </c>
      <c r="P2405" s="58">
        <v>0</v>
      </c>
      <c r="Q2405" s="58">
        <v>0</v>
      </c>
      <c r="R2405" s="58">
        <v>0</v>
      </c>
      <c r="S2405" s="58">
        <v>0</v>
      </c>
      <c r="T2405" s="58">
        <v>0</v>
      </c>
      <c r="U2405" s="58">
        <v>0</v>
      </c>
      <c r="V2405" s="58">
        <v>0</v>
      </c>
      <c r="AG2405" t="s">
        <v>2123</v>
      </c>
      <c r="AM2405" s="1" t="str">
        <f t="shared" si="148"/>
        <v>2403_C0013_0520.jpg</v>
      </c>
    </row>
    <row r="2406" spans="1:39" x14ac:dyDescent="0.35">
      <c r="A2406">
        <v>2402</v>
      </c>
      <c r="B2406">
        <v>2403</v>
      </c>
      <c r="F2406" s="64" t="s">
        <v>5442</v>
      </c>
      <c r="G2406" s="64"/>
      <c r="H2406" s="64"/>
      <c r="I2406" s="64">
        <v>0</v>
      </c>
      <c r="J2406" s="32" t="str">
        <f>IF(AND(E2406=1,OR(E2405=0,E2405="")),MAX(#REF!)+1,IF(AND(E2406=1,E2405=1),J2405,""))</f>
        <v/>
      </c>
      <c r="K2406" s="32" t="str">
        <f t="shared" si="149"/>
        <v/>
      </c>
      <c r="L2406" s="32" t="str">
        <f t="shared" si="146"/>
        <v/>
      </c>
      <c r="M2406" s="32" t="str">
        <f t="shared" si="147"/>
        <v/>
      </c>
      <c r="N2406" s="4">
        <v>1</v>
      </c>
      <c r="O2406" s="58">
        <v>0</v>
      </c>
      <c r="P2406" s="58">
        <v>0</v>
      </c>
      <c r="Q2406" s="58">
        <v>0</v>
      </c>
      <c r="R2406" s="58">
        <v>0</v>
      </c>
      <c r="S2406" s="58">
        <v>0</v>
      </c>
      <c r="T2406" s="58">
        <v>0</v>
      </c>
      <c r="U2406" s="58">
        <v>0</v>
      </c>
      <c r="V2406" s="58">
        <v>0</v>
      </c>
      <c r="AG2406" t="s">
        <v>2124</v>
      </c>
      <c r="AM2406" s="1" t="str">
        <f t="shared" si="148"/>
        <v>2404_C0013_0516.jpg</v>
      </c>
    </row>
    <row r="2407" spans="1:39" x14ac:dyDescent="0.35">
      <c r="A2407">
        <v>2403</v>
      </c>
      <c r="B2407">
        <v>2404</v>
      </c>
      <c r="F2407" s="64" t="s">
        <v>5443</v>
      </c>
      <c r="G2407" s="64"/>
      <c r="H2407" s="64"/>
      <c r="I2407" s="64">
        <v>1</v>
      </c>
      <c r="J2407" s="32" t="str">
        <f>IF(AND(E2407=1,OR(E2406=0,E2406="")),MAX(#REF!)+1,IF(AND(E2407=1,E2406=1),J2406,""))</f>
        <v/>
      </c>
      <c r="K2407" s="32" t="str">
        <f t="shared" si="149"/>
        <v/>
      </c>
      <c r="L2407" s="32" t="str">
        <f t="shared" si="146"/>
        <v/>
      </c>
      <c r="M2407" s="32" t="str">
        <f t="shared" si="147"/>
        <v/>
      </c>
      <c r="N2407" s="4">
        <v>1</v>
      </c>
      <c r="O2407" s="58">
        <v>0</v>
      </c>
      <c r="P2407" s="58">
        <v>0</v>
      </c>
      <c r="Q2407" s="58">
        <v>0</v>
      </c>
      <c r="R2407" s="58">
        <v>0</v>
      </c>
      <c r="S2407" s="58">
        <v>0</v>
      </c>
      <c r="T2407" s="58">
        <v>0</v>
      </c>
      <c r="U2407" s="58">
        <v>0</v>
      </c>
      <c r="V2407" s="58">
        <v>0</v>
      </c>
      <c r="AG2407" t="s">
        <v>2125</v>
      </c>
      <c r="AM2407" s="1" t="str">
        <f t="shared" si="148"/>
        <v>2405_C0013_0512.jpg</v>
      </c>
    </row>
    <row r="2408" spans="1:39" x14ac:dyDescent="0.35">
      <c r="A2408">
        <v>2404</v>
      </c>
      <c r="B2408">
        <v>2405</v>
      </c>
      <c r="F2408" s="64" t="s">
        <v>5444</v>
      </c>
      <c r="G2408" s="64"/>
      <c r="H2408" s="64"/>
      <c r="I2408" s="64">
        <v>0</v>
      </c>
      <c r="J2408" s="32" t="str">
        <f>IF(AND(E2408=1,OR(E2407=0,E2407="")),MAX(#REF!)+1,IF(AND(E2408=1,E2407=1),J2407,""))</f>
        <v/>
      </c>
      <c r="K2408" s="32" t="str">
        <f t="shared" si="149"/>
        <v/>
      </c>
      <c r="L2408" s="32" t="str">
        <f t="shared" si="146"/>
        <v/>
      </c>
      <c r="M2408" s="32" t="str">
        <f t="shared" si="147"/>
        <v/>
      </c>
      <c r="N2408" s="4">
        <v>1</v>
      </c>
      <c r="O2408" s="58">
        <v>0</v>
      </c>
      <c r="P2408" s="58">
        <v>0</v>
      </c>
      <c r="Q2408" s="58">
        <v>0</v>
      </c>
      <c r="R2408" s="58">
        <v>0</v>
      </c>
      <c r="S2408" s="58">
        <v>0</v>
      </c>
      <c r="T2408" s="58">
        <v>0</v>
      </c>
      <c r="U2408" s="58">
        <v>0</v>
      </c>
      <c r="V2408" s="58">
        <v>0</v>
      </c>
      <c r="AG2408" t="s">
        <v>2126</v>
      </c>
      <c r="AM2408" s="1" t="str">
        <f t="shared" si="148"/>
        <v>2406_C0013_0509.jpg</v>
      </c>
    </row>
    <row r="2409" spans="1:39" x14ac:dyDescent="0.35">
      <c r="A2409">
        <v>2405</v>
      </c>
      <c r="B2409">
        <v>2406</v>
      </c>
      <c r="F2409" s="64" t="s">
        <v>5445</v>
      </c>
      <c r="G2409" s="64"/>
      <c r="H2409" s="64"/>
      <c r="I2409" s="64">
        <v>1</v>
      </c>
      <c r="J2409" s="32" t="str">
        <f>IF(AND(E2409=1,OR(E2408=0,E2408="")),MAX(#REF!)+1,IF(AND(E2409=1,E2408=1),J2408,""))</f>
        <v/>
      </c>
      <c r="K2409" s="32" t="str">
        <f t="shared" si="149"/>
        <v/>
      </c>
      <c r="L2409" s="32" t="str">
        <f t="shared" si="146"/>
        <v/>
      </c>
      <c r="M2409" s="32" t="str">
        <f t="shared" si="147"/>
        <v/>
      </c>
      <c r="N2409" s="4">
        <v>1</v>
      </c>
      <c r="O2409" s="58">
        <v>0</v>
      </c>
      <c r="P2409" s="58">
        <v>0</v>
      </c>
      <c r="Q2409" s="58">
        <v>0</v>
      </c>
      <c r="R2409" s="58">
        <v>0</v>
      </c>
      <c r="S2409" s="58">
        <v>0</v>
      </c>
      <c r="T2409" s="58">
        <v>0</v>
      </c>
      <c r="U2409" s="58">
        <v>0</v>
      </c>
      <c r="V2409" s="58">
        <v>0</v>
      </c>
      <c r="AG2409" t="s">
        <v>2127</v>
      </c>
      <c r="AM2409" s="1" t="str">
        <f t="shared" si="148"/>
        <v>2407_C0013_0506.jpg</v>
      </c>
    </row>
    <row r="2410" spans="1:39" x14ac:dyDescent="0.35">
      <c r="A2410">
        <v>2406</v>
      </c>
      <c r="B2410">
        <v>2407</v>
      </c>
      <c r="F2410" s="64" t="s">
        <v>5446</v>
      </c>
      <c r="G2410" s="64"/>
      <c r="H2410" s="64"/>
      <c r="I2410" s="64">
        <v>0</v>
      </c>
      <c r="J2410" s="32" t="str">
        <f>IF(AND(E2410=1,OR(E2409=0,E2409="")),MAX(#REF!)+1,IF(AND(E2410=1,E2409=1),J2409,""))</f>
        <v/>
      </c>
      <c r="K2410" s="32" t="str">
        <f t="shared" si="149"/>
        <v/>
      </c>
      <c r="L2410" s="32" t="str">
        <f t="shared" si="146"/>
        <v/>
      </c>
      <c r="M2410" s="32" t="str">
        <f t="shared" si="147"/>
        <v/>
      </c>
      <c r="N2410" s="4">
        <v>1</v>
      </c>
      <c r="O2410" s="58">
        <v>0</v>
      </c>
      <c r="P2410" s="58">
        <v>0</v>
      </c>
      <c r="Q2410" s="58">
        <v>0</v>
      </c>
      <c r="R2410" s="58">
        <v>0</v>
      </c>
      <c r="S2410" s="58">
        <v>0</v>
      </c>
      <c r="T2410" s="58">
        <v>0</v>
      </c>
      <c r="U2410" s="58">
        <v>0</v>
      </c>
      <c r="V2410" s="58">
        <v>0</v>
      </c>
      <c r="AG2410" t="s">
        <v>2128</v>
      </c>
      <c r="AM2410" s="1" t="str">
        <f t="shared" si="148"/>
        <v>2408_C0013_0503.jpg</v>
      </c>
    </row>
    <row r="2411" spans="1:39" x14ac:dyDescent="0.35">
      <c r="A2411">
        <v>2407</v>
      </c>
      <c r="B2411">
        <v>2408</v>
      </c>
      <c r="F2411" s="64" t="s">
        <v>5447</v>
      </c>
      <c r="G2411" s="64"/>
      <c r="H2411" s="64"/>
      <c r="I2411" s="64">
        <v>0</v>
      </c>
      <c r="J2411" s="32" t="str">
        <f>IF(AND(E2411=1,OR(E2410=0,E2410="")),MAX(#REF!)+1,IF(AND(E2411=1,E2410=1),J2410,""))</f>
        <v/>
      </c>
      <c r="K2411" s="32" t="str">
        <f t="shared" si="149"/>
        <v/>
      </c>
      <c r="L2411" s="32" t="str">
        <f t="shared" si="146"/>
        <v/>
      </c>
      <c r="M2411" s="32" t="str">
        <f t="shared" si="147"/>
        <v/>
      </c>
      <c r="N2411" s="4">
        <v>1</v>
      </c>
      <c r="O2411" s="58">
        <v>0</v>
      </c>
      <c r="P2411" s="58">
        <v>0</v>
      </c>
      <c r="Q2411" s="58">
        <v>0</v>
      </c>
      <c r="R2411" s="58">
        <v>0</v>
      </c>
      <c r="S2411" s="58">
        <v>0</v>
      </c>
      <c r="T2411" s="58">
        <v>0</v>
      </c>
      <c r="U2411" s="58">
        <v>0</v>
      </c>
      <c r="V2411" s="58">
        <v>0</v>
      </c>
      <c r="AG2411" t="s">
        <v>2129</v>
      </c>
      <c r="AM2411" s="1" t="str">
        <f t="shared" si="148"/>
        <v>2409_C0013_0500.jpg</v>
      </c>
    </row>
    <row r="2412" spans="1:39" x14ac:dyDescent="0.35">
      <c r="A2412">
        <v>2408</v>
      </c>
      <c r="B2412">
        <v>2409</v>
      </c>
      <c r="F2412" s="64" t="s">
        <v>5448</v>
      </c>
      <c r="G2412" s="64"/>
      <c r="H2412" s="64"/>
      <c r="I2412" s="64">
        <v>0</v>
      </c>
      <c r="J2412" s="32" t="str">
        <f>IF(AND(E2412=1,OR(E2411=0,E2411="")),MAX(#REF!)+1,IF(AND(E2412=1,E2411=1),J2411,""))</f>
        <v/>
      </c>
      <c r="K2412" s="32" t="str">
        <f t="shared" si="149"/>
        <v/>
      </c>
      <c r="L2412" s="32" t="str">
        <f t="shared" si="146"/>
        <v/>
      </c>
      <c r="M2412" s="32" t="str">
        <f t="shared" si="147"/>
        <v/>
      </c>
      <c r="N2412" s="4">
        <v>1</v>
      </c>
      <c r="O2412" s="58">
        <v>0</v>
      </c>
      <c r="P2412" s="58">
        <v>0</v>
      </c>
      <c r="Q2412" s="58">
        <v>0</v>
      </c>
      <c r="R2412" s="58">
        <v>0</v>
      </c>
      <c r="S2412" s="58">
        <v>0</v>
      </c>
      <c r="T2412" s="58">
        <v>0</v>
      </c>
      <c r="U2412" s="58">
        <v>0</v>
      </c>
      <c r="V2412" s="58">
        <v>0</v>
      </c>
      <c r="AG2412" t="s">
        <v>2130</v>
      </c>
      <c r="AM2412" s="1" t="str">
        <f t="shared" si="148"/>
        <v>2410_C0013_0497.jpg</v>
      </c>
    </row>
    <row r="2413" spans="1:39" x14ac:dyDescent="0.35">
      <c r="A2413">
        <v>2409</v>
      </c>
      <c r="B2413">
        <v>2410</v>
      </c>
      <c r="F2413" s="64" t="s">
        <v>5449</v>
      </c>
      <c r="G2413" s="64"/>
      <c r="H2413" s="64"/>
      <c r="I2413" s="64">
        <v>1</v>
      </c>
      <c r="J2413" s="32" t="str">
        <f>IF(AND(E2413=1,OR(E2412=0,E2412="")),MAX(#REF!)+1,IF(AND(E2413=1,E2412=1),J2412,""))</f>
        <v/>
      </c>
      <c r="K2413" s="32" t="str">
        <f t="shared" si="149"/>
        <v/>
      </c>
      <c r="L2413" s="32" t="str">
        <f t="shared" si="146"/>
        <v/>
      </c>
      <c r="M2413" s="32" t="str">
        <f t="shared" si="147"/>
        <v/>
      </c>
      <c r="N2413" s="4">
        <v>1</v>
      </c>
      <c r="O2413" s="58">
        <v>0</v>
      </c>
      <c r="P2413" s="58">
        <v>0</v>
      </c>
      <c r="Q2413" s="58">
        <v>0</v>
      </c>
      <c r="R2413" s="58">
        <v>0</v>
      </c>
      <c r="S2413" s="58">
        <v>0</v>
      </c>
      <c r="T2413" s="58">
        <v>0</v>
      </c>
      <c r="U2413" s="58">
        <v>0</v>
      </c>
      <c r="V2413" s="58">
        <v>0</v>
      </c>
      <c r="AG2413" t="s">
        <v>2131</v>
      </c>
      <c r="AM2413" s="1" t="str">
        <f t="shared" si="148"/>
        <v>2411_C0013_0494.jpg</v>
      </c>
    </row>
    <row r="2414" spans="1:39" x14ac:dyDescent="0.35">
      <c r="A2414">
        <v>2410</v>
      </c>
      <c r="B2414">
        <v>2411</v>
      </c>
      <c r="F2414" s="64" t="s">
        <v>5450</v>
      </c>
      <c r="G2414" s="64"/>
      <c r="H2414" s="64"/>
      <c r="I2414" s="64">
        <v>1</v>
      </c>
      <c r="J2414" s="32" t="str">
        <f>IF(AND(E2414=1,OR(E2413=0,E2413="")),MAX(#REF!)+1,IF(AND(E2414=1,E2413=1),J2413,""))</f>
        <v/>
      </c>
      <c r="K2414" s="32" t="str">
        <f t="shared" si="149"/>
        <v/>
      </c>
      <c r="L2414" s="32" t="str">
        <f t="shared" si="146"/>
        <v/>
      </c>
      <c r="M2414" s="32" t="str">
        <f t="shared" si="147"/>
        <v/>
      </c>
      <c r="N2414" s="4">
        <v>1</v>
      </c>
      <c r="O2414" s="58">
        <v>0</v>
      </c>
      <c r="P2414" s="58">
        <v>0</v>
      </c>
      <c r="Q2414" s="58">
        <v>0</v>
      </c>
      <c r="R2414" s="58">
        <v>0</v>
      </c>
      <c r="S2414" s="58">
        <v>0</v>
      </c>
      <c r="T2414" s="58">
        <v>0</v>
      </c>
      <c r="U2414" s="58">
        <v>0</v>
      </c>
      <c r="V2414" s="58">
        <v>0</v>
      </c>
      <c r="AG2414" t="s">
        <v>2132</v>
      </c>
      <c r="AM2414" s="1" t="str">
        <f t="shared" si="148"/>
        <v>2412_C0013_0491.jpg</v>
      </c>
    </row>
    <row r="2415" spans="1:39" x14ac:dyDescent="0.35">
      <c r="A2415">
        <v>2411</v>
      </c>
      <c r="B2415">
        <v>2412</v>
      </c>
      <c r="F2415" s="64" t="s">
        <v>5451</v>
      </c>
      <c r="G2415" s="64"/>
      <c r="H2415" s="64"/>
      <c r="I2415" s="64">
        <v>1</v>
      </c>
      <c r="J2415" s="32" t="str">
        <f>IF(AND(E2415=1,OR(E2414=0,E2414="")),MAX(#REF!)+1,IF(AND(E2415=1,E2414=1),J2414,""))</f>
        <v/>
      </c>
      <c r="K2415" s="32" t="str">
        <f t="shared" si="149"/>
        <v/>
      </c>
      <c r="L2415" s="32" t="str">
        <f t="shared" si="146"/>
        <v/>
      </c>
      <c r="M2415" s="32" t="str">
        <f t="shared" si="147"/>
        <v/>
      </c>
      <c r="N2415" s="4">
        <v>1</v>
      </c>
      <c r="O2415" s="58">
        <v>0</v>
      </c>
      <c r="P2415" s="58">
        <v>0</v>
      </c>
      <c r="Q2415" s="58">
        <v>0</v>
      </c>
      <c r="R2415" s="58">
        <v>0</v>
      </c>
      <c r="S2415" s="58">
        <v>0</v>
      </c>
      <c r="T2415" s="58">
        <v>0</v>
      </c>
      <c r="U2415" s="58">
        <v>0</v>
      </c>
      <c r="V2415" s="58">
        <v>0</v>
      </c>
      <c r="AG2415" t="s">
        <v>2133</v>
      </c>
      <c r="AM2415" s="1" t="str">
        <f t="shared" si="148"/>
        <v>2413_C0013_0488.jpg</v>
      </c>
    </row>
    <row r="2416" spans="1:39" x14ac:dyDescent="0.35">
      <c r="A2416">
        <v>2412</v>
      </c>
      <c r="B2416">
        <v>2413</v>
      </c>
      <c r="F2416" s="64" t="s">
        <v>5452</v>
      </c>
      <c r="G2416" s="64"/>
      <c r="H2416" s="64"/>
      <c r="I2416" s="64">
        <v>1</v>
      </c>
      <c r="J2416" s="32" t="str">
        <f>IF(AND(E2416=1,OR(E2415=0,E2415="")),MAX(#REF!)+1,IF(AND(E2416=1,E2415=1),J2415,""))</f>
        <v/>
      </c>
      <c r="K2416" s="32" t="str">
        <f t="shared" si="149"/>
        <v/>
      </c>
      <c r="L2416" s="32" t="str">
        <f t="shared" si="146"/>
        <v/>
      </c>
      <c r="M2416" s="32" t="str">
        <f t="shared" si="147"/>
        <v/>
      </c>
      <c r="N2416" s="4">
        <v>1</v>
      </c>
      <c r="O2416" s="58">
        <v>0</v>
      </c>
      <c r="P2416" s="58">
        <v>0</v>
      </c>
      <c r="Q2416" s="58">
        <v>0</v>
      </c>
      <c r="R2416" s="58">
        <v>0</v>
      </c>
      <c r="S2416" s="58">
        <v>0</v>
      </c>
      <c r="T2416" s="58">
        <v>0</v>
      </c>
      <c r="U2416" s="58">
        <v>0</v>
      </c>
      <c r="V2416" s="58">
        <v>0</v>
      </c>
      <c r="AG2416" t="s">
        <v>2134</v>
      </c>
      <c r="AM2416" s="1" t="str">
        <f t="shared" si="148"/>
        <v>2414_C0013_0485.jpg</v>
      </c>
    </row>
    <row r="2417" spans="1:39" x14ac:dyDescent="0.35">
      <c r="A2417">
        <v>2413</v>
      </c>
      <c r="B2417">
        <v>2414</v>
      </c>
      <c r="F2417" s="64" t="s">
        <v>5453</v>
      </c>
      <c r="G2417" s="64"/>
      <c r="H2417" s="64"/>
      <c r="I2417" s="64">
        <v>1</v>
      </c>
      <c r="J2417" s="32">
        <v>195</v>
      </c>
      <c r="K2417" s="32">
        <f t="shared" si="149"/>
        <v>10</v>
      </c>
      <c r="L2417" s="32" t="str">
        <f t="shared" si="146"/>
        <v/>
      </c>
      <c r="M2417" s="32">
        <f t="shared" si="147"/>
        <v>100</v>
      </c>
      <c r="N2417" s="4">
        <v>1</v>
      </c>
      <c r="O2417" s="58">
        <v>0</v>
      </c>
      <c r="P2417" s="58">
        <v>0</v>
      </c>
      <c r="Q2417" s="58">
        <v>0</v>
      </c>
      <c r="R2417" s="58">
        <v>0</v>
      </c>
      <c r="S2417" s="58">
        <v>0</v>
      </c>
      <c r="T2417" s="58">
        <v>0</v>
      </c>
      <c r="U2417" s="58">
        <v>0</v>
      </c>
      <c r="V2417" s="58">
        <v>0</v>
      </c>
      <c r="AG2417" t="s">
        <v>2135</v>
      </c>
      <c r="AM2417" s="1" t="str">
        <f t="shared" si="148"/>
        <v>2415_C0013_0483.jpg</v>
      </c>
    </row>
    <row r="2418" spans="1:39" x14ac:dyDescent="0.35">
      <c r="A2418">
        <v>2414</v>
      </c>
      <c r="B2418">
        <v>2415</v>
      </c>
      <c r="F2418" s="64" t="s">
        <v>5454</v>
      </c>
      <c r="G2418" s="64"/>
      <c r="H2418" s="64"/>
      <c r="I2418" s="64">
        <v>1</v>
      </c>
      <c r="J2418" s="32" t="str">
        <f>IF(AND(E2418=1,OR(E2417=0,E2417="")),MAX(#REF!)+1,IF(AND(E2418=1,E2417=1),J2417,""))</f>
        <v/>
      </c>
      <c r="K2418" s="32" t="str">
        <f t="shared" si="149"/>
        <v/>
      </c>
      <c r="L2418" s="32" t="str">
        <f t="shared" si="146"/>
        <v/>
      </c>
      <c r="M2418" s="32" t="str">
        <f t="shared" si="147"/>
        <v/>
      </c>
      <c r="N2418" s="4">
        <v>1</v>
      </c>
      <c r="O2418" s="58">
        <v>0</v>
      </c>
      <c r="P2418" s="58">
        <v>0</v>
      </c>
      <c r="Q2418" s="58">
        <v>0</v>
      </c>
      <c r="R2418" s="58">
        <v>0</v>
      </c>
      <c r="S2418" s="58">
        <v>0</v>
      </c>
      <c r="T2418" s="58">
        <v>0</v>
      </c>
      <c r="U2418" s="58">
        <v>0</v>
      </c>
      <c r="V2418" s="58">
        <v>0</v>
      </c>
      <c r="AG2418" t="s">
        <v>2136</v>
      </c>
      <c r="AM2418" s="1" t="str">
        <f t="shared" si="148"/>
        <v>2416_C0013_0481.jpg</v>
      </c>
    </row>
    <row r="2419" spans="1:39" x14ac:dyDescent="0.35">
      <c r="A2419">
        <v>2415</v>
      </c>
      <c r="B2419">
        <v>2416</v>
      </c>
      <c r="F2419" s="64" t="s">
        <v>5455</v>
      </c>
      <c r="G2419" s="64"/>
      <c r="H2419" s="64"/>
      <c r="I2419" s="64">
        <v>1</v>
      </c>
      <c r="J2419" s="32" t="str">
        <f>IF(AND(E2419=1,OR(E2418=0,E2418="")),MAX(#REF!)+1,IF(AND(E2419=1,E2418=1),J2418,""))</f>
        <v/>
      </c>
      <c r="K2419" s="32" t="str">
        <f t="shared" si="149"/>
        <v/>
      </c>
      <c r="L2419" s="32" t="str">
        <f t="shared" si="146"/>
        <v/>
      </c>
      <c r="M2419" s="32" t="str">
        <f t="shared" si="147"/>
        <v/>
      </c>
      <c r="N2419" s="4">
        <v>1</v>
      </c>
      <c r="O2419" s="58">
        <v>0</v>
      </c>
      <c r="P2419" s="58">
        <v>0</v>
      </c>
      <c r="Q2419" s="58">
        <v>0</v>
      </c>
      <c r="R2419" s="58">
        <v>0</v>
      </c>
      <c r="S2419" s="58">
        <v>0</v>
      </c>
      <c r="T2419" s="58">
        <v>0</v>
      </c>
      <c r="U2419" s="58">
        <v>0</v>
      </c>
      <c r="V2419" s="58">
        <v>0</v>
      </c>
      <c r="AG2419" t="s">
        <v>2137</v>
      </c>
      <c r="AM2419" s="1" t="str">
        <f t="shared" si="148"/>
        <v>2417_C0013_0478.jpg</v>
      </c>
    </row>
    <row r="2420" spans="1:39" x14ac:dyDescent="0.35">
      <c r="A2420">
        <v>2416</v>
      </c>
      <c r="B2420">
        <v>2417</v>
      </c>
      <c r="F2420" s="64" t="s">
        <v>5456</v>
      </c>
      <c r="G2420" s="64"/>
      <c r="H2420" s="64"/>
      <c r="I2420" s="64">
        <v>1</v>
      </c>
      <c r="J2420" s="32" t="str">
        <f>IF(AND(E2420=1,OR(E2419=0,E2419="")),MAX(#REF!)+1,IF(AND(E2420=1,E2419=1),J2419,""))</f>
        <v/>
      </c>
      <c r="K2420" s="32" t="str">
        <f t="shared" si="149"/>
        <v/>
      </c>
      <c r="L2420" s="32" t="str">
        <f t="shared" si="146"/>
        <v/>
      </c>
      <c r="M2420" s="32" t="str">
        <f t="shared" si="147"/>
        <v/>
      </c>
      <c r="N2420" s="4">
        <v>1</v>
      </c>
      <c r="O2420" s="58">
        <v>0</v>
      </c>
      <c r="P2420" s="58">
        <v>0</v>
      </c>
      <c r="Q2420" s="58">
        <v>0</v>
      </c>
      <c r="R2420" s="58">
        <v>0</v>
      </c>
      <c r="S2420" s="58">
        <v>0</v>
      </c>
      <c r="T2420" s="58">
        <v>0</v>
      </c>
      <c r="U2420" s="58">
        <v>0</v>
      </c>
      <c r="V2420" s="58">
        <v>0</v>
      </c>
      <c r="AG2420" t="s">
        <v>2138</v>
      </c>
      <c r="AM2420" s="1" t="str">
        <f t="shared" si="148"/>
        <v>2418_C0013_0475.jpg</v>
      </c>
    </row>
    <row r="2421" spans="1:39" x14ac:dyDescent="0.35">
      <c r="A2421">
        <v>2417</v>
      </c>
      <c r="B2421">
        <v>2418</v>
      </c>
      <c r="F2421" s="64" t="s">
        <v>5457</v>
      </c>
      <c r="G2421" s="64"/>
      <c r="H2421" s="64"/>
      <c r="I2421" s="64">
        <v>1</v>
      </c>
      <c r="J2421" s="32" t="str">
        <f>IF(AND(E2421=1,OR(E2420=0,E2420="")),MAX(#REF!)+1,IF(AND(E2421=1,E2420=1),J2420,""))</f>
        <v/>
      </c>
      <c r="K2421" s="32" t="str">
        <f t="shared" si="149"/>
        <v/>
      </c>
      <c r="L2421" s="32" t="str">
        <f t="shared" si="146"/>
        <v/>
      </c>
      <c r="M2421" s="32" t="str">
        <f t="shared" si="147"/>
        <v/>
      </c>
      <c r="N2421" s="4">
        <v>1</v>
      </c>
      <c r="O2421" s="58">
        <v>0</v>
      </c>
      <c r="P2421" s="58">
        <v>0</v>
      </c>
      <c r="Q2421" s="58">
        <v>0</v>
      </c>
      <c r="R2421" s="58">
        <v>0</v>
      </c>
      <c r="S2421" s="58">
        <v>0</v>
      </c>
      <c r="T2421" s="58">
        <v>0</v>
      </c>
      <c r="U2421" s="58">
        <v>0</v>
      </c>
      <c r="V2421" s="58">
        <v>0</v>
      </c>
      <c r="AG2421" t="s">
        <v>2139</v>
      </c>
      <c r="AM2421" s="1" t="str">
        <f t="shared" si="148"/>
        <v>2419_C0013_0472.jpg</v>
      </c>
    </row>
    <row r="2422" spans="1:39" x14ac:dyDescent="0.35">
      <c r="A2422">
        <v>2418</v>
      </c>
      <c r="B2422">
        <v>2419</v>
      </c>
      <c r="F2422" s="64" t="s">
        <v>5458</v>
      </c>
      <c r="G2422" s="64"/>
      <c r="H2422" s="64"/>
      <c r="I2422" s="64">
        <v>1</v>
      </c>
      <c r="J2422" s="32" t="str">
        <f>IF(AND(E2422=1,OR(E2421=0,E2421="")),MAX(#REF!)+1,IF(AND(E2422=1,E2421=1),J2421,""))</f>
        <v/>
      </c>
      <c r="K2422" s="32" t="str">
        <f t="shared" si="149"/>
        <v/>
      </c>
      <c r="L2422" s="32" t="str">
        <f t="shared" si="146"/>
        <v/>
      </c>
      <c r="M2422" s="32" t="str">
        <f t="shared" si="147"/>
        <v/>
      </c>
      <c r="N2422" s="4">
        <v>1</v>
      </c>
      <c r="O2422" s="58">
        <v>0</v>
      </c>
      <c r="P2422" s="58">
        <v>0</v>
      </c>
      <c r="Q2422" s="58">
        <v>0</v>
      </c>
      <c r="R2422" s="58">
        <v>0</v>
      </c>
      <c r="S2422" s="58">
        <v>0</v>
      </c>
      <c r="T2422" s="58">
        <v>0</v>
      </c>
      <c r="U2422" s="58">
        <v>0</v>
      </c>
      <c r="V2422" s="58">
        <v>0</v>
      </c>
      <c r="AG2422" t="s">
        <v>2140</v>
      </c>
      <c r="AM2422" s="1" t="str">
        <f t="shared" si="148"/>
        <v>2420_C0013_0469.jpg</v>
      </c>
    </row>
    <row r="2423" spans="1:39" x14ac:dyDescent="0.35">
      <c r="A2423">
        <v>2419</v>
      </c>
      <c r="B2423">
        <v>2420</v>
      </c>
      <c r="F2423" s="64" t="s">
        <v>5459</v>
      </c>
      <c r="G2423" s="64"/>
      <c r="H2423" s="64"/>
      <c r="I2423" s="64">
        <v>1</v>
      </c>
      <c r="J2423" s="32" t="str">
        <f>IF(AND(E2423=1,OR(E2422=0,E2422="")),MAX(#REF!)+1,IF(AND(E2423=1,E2422=1),J2422,""))</f>
        <v/>
      </c>
      <c r="K2423" s="32" t="str">
        <f t="shared" si="149"/>
        <v/>
      </c>
      <c r="L2423" s="32" t="str">
        <f t="shared" si="146"/>
        <v/>
      </c>
      <c r="M2423" s="32" t="str">
        <f t="shared" si="147"/>
        <v/>
      </c>
      <c r="N2423" s="4">
        <v>1</v>
      </c>
      <c r="O2423" s="58">
        <v>0</v>
      </c>
      <c r="P2423" s="58">
        <v>0</v>
      </c>
      <c r="Q2423" s="58">
        <v>0</v>
      </c>
      <c r="R2423" s="58">
        <v>0</v>
      </c>
      <c r="S2423" s="58">
        <v>0</v>
      </c>
      <c r="T2423" s="58">
        <v>0</v>
      </c>
      <c r="U2423" s="58">
        <v>0</v>
      </c>
      <c r="V2423" s="58">
        <v>0</v>
      </c>
      <c r="AG2423" t="s">
        <v>2141</v>
      </c>
      <c r="AM2423" s="1" t="str">
        <f t="shared" si="148"/>
        <v>2421_C0013_0466.jpg</v>
      </c>
    </row>
    <row r="2424" spans="1:39" x14ac:dyDescent="0.35">
      <c r="A2424">
        <v>2420</v>
      </c>
      <c r="B2424">
        <v>2421</v>
      </c>
      <c r="F2424" s="64" t="s">
        <v>5460</v>
      </c>
      <c r="G2424" s="64"/>
      <c r="H2424" s="64"/>
      <c r="I2424" s="64">
        <v>1</v>
      </c>
      <c r="J2424" s="32" t="str">
        <f>IF(AND(E2424=1,OR(E2423=0,E2423="")),MAX(#REF!)+1,IF(AND(E2424=1,E2423=1),J2423,""))</f>
        <v/>
      </c>
      <c r="K2424" s="32" t="str">
        <f t="shared" si="149"/>
        <v/>
      </c>
      <c r="L2424" s="32" t="str">
        <f t="shared" si="146"/>
        <v/>
      </c>
      <c r="M2424" s="32" t="str">
        <f t="shared" si="147"/>
        <v/>
      </c>
      <c r="N2424" s="4">
        <v>1</v>
      </c>
      <c r="O2424" s="58">
        <v>0</v>
      </c>
      <c r="P2424" s="58">
        <v>0</v>
      </c>
      <c r="Q2424" s="58">
        <v>0</v>
      </c>
      <c r="R2424" s="58">
        <v>0</v>
      </c>
      <c r="S2424" s="58">
        <v>0</v>
      </c>
      <c r="T2424" s="58">
        <v>0</v>
      </c>
      <c r="U2424" s="58">
        <v>0</v>
      </c>
      <c r="V2424" s="58">
        <v>0</v>
      </c>
      <c r="AG2424" t="s">
        <v>2142</v>
      </c>
      <c r="AM2424" s="1" t="str">
        <f t="shared" si="148"/>
        <v>2422_C0013_0463.jpg</v>
      </c>
    </row>
    <row r="2425" spans="1:39" x14ac:dyDescent="0.35">
      <c r="A2425">
        <v>2421</v>
      </c>
      <c r="B2425">
        <v>2422</v>
      </c>
      <c r="F2425" s="64" t="s">
        <v>5461</v>
      </c>
      <c r="G2425" s="64"/>
      <c r="H2425" s="64"/>
      <c r="I2425" s="64">
        <v>0</v>
      </c>
      <c r="J2425" s="32" t="str">
        <f>IF(AND(E2425=1,OR(E2424=0,E2424="")),MAX(#REF!)+1,IF(AND(E2425=1,E2424=1),J2424,""))</f>
        <v/>
      </c>
      <c r="K2425" s="32" t="str">
        <f t="shared" si="149"/>
        <v/>
      </c>
      <c r="L2425" s="32" t="str">
        <f t="shared" si="146"/>
        <v/>
      </c>
      <c r="M2425" s="32" t="str">
        <f t="shared" si="147"/>
        <v/>
      </c>
      <c r="N2425" s="4">
        <v>1</v>
      </c>
      <c r="O2425" s="58">
        <v>0</v>
      </c>
      <c r="P2425" s="58">
        <v>0</v>
      </c>
      <c r="Q2425" s="58">
        <v>0</v>
      </c>
      <c r="R2425" s="58">
        <v>0</v>
      </c>
      <c r="S2425" s="58">
        <v>0</v>
      </c>
      <c r="T2425" s="58">
        <v>0</v>
      </c>
      <c r="U2425" s="58">
        <v>0</v>
      </c>
      <c r="V2425" s="58">
        <v>0</v>
      </c>
      <c r="AG2425" t="s">
        <v>2143</v>
      </c>
      <c r="AM2425" s="1" t="str">
        <f t="shared" si="148"/>
        <v>2423_C0013_0460.jpg</v>
      </c>
    </row>
    <row r="2426" spans="1:39" x14ac:dyDescent="0.35">
      <c r="A2426">
        <v>2422</v>
      </c>
      <c r="B2426">
        <v>2423</v>
      </c>
      <c r="F2426" s="64" t="s">
        <v>5462</v>
      </c>
      <c r="G2426" s="64"/>
      <c r="H2426" s="64"/>
      <c r="I2426" s="64">
        <v>1</v>
      </c>
      <c r="J2426" s="32" t="str">
        <f>IF(AND(E2426=1,OR(E2425=0,E2425="")),MAX(#REF!)+1,IF(AND(E2426=1,E2425=1),J2425,""))</f>
        <v/>
      </c>
      <c r="K2426" s="32" t="str">
        <f t="shared" si="149"/>
        <v/>
      </c>
      <c r="L2426" s="32" t="str">
        <f t="shared" si="146"/>
        <v/>
      </c>
      <c r="M2426" s="32" t="str">
        <f t="shared" si="147"/>
        <v/>
      </c>
      <c r="N2426" s="4">
        <v>1</v>
      </c>
      <c r="O2426" s="58">
        <v>0</v>
      </c>
      <c r="P2426" s="58">
        <v>0</v>
      </c>
      <c r="Q2426" s="58">
        <v>0</v>
      </c>
      <c r="R2426" s="58">
        <v>0</v>
      </c>
      <c r="S2426" s="58">
        <v>0</v>
      </c>
      <c r="T2426" s="58">
        <v>0</v>
      </c>
      <c r="U2426" s="58">
        <v>0</v>
      </c>
      <c r="V2426" s="58">
        <v>0</v>
      </c>
      <c r="AG2426" t="s">
        <v>2144</v>
      </c>
      <c r="AM2426" s="1" t="str">
        <f t="shared" si="148"/>
        <v>2424_C0013_0458.jpg</v>
      </c>
    </row>
    <row r="2427" spans="1:39" x14ac:dyDescent="0.35">
      <c r="A2427">
        <v>2423</v>
      </c>
      <c r="B2427">
        <v>2424</v>
      </c>
      <c r="F2427" s="64" t="s">
        <v>5463</v>
      </c>
      <c r="G2427" s="64"/>
      <c r="H2427" s="64"/>
      <c r="I2427" s="64">
        <v>0</v>
      </c>
      <c r="J2427" s="32" t="str">
        <f>IF(AND(E2427=1,OR(E2426=0,E2426="")),MAX(#REF!)+1,IF(AND(E2427=1,E2426=1),J2426,""))</f>
        <v/>
      </c>
      <c r="K2427" s="32" t="str">
        <f t="shared" si="149"/>
        <v/>
      </c>
      <c r="L2427" s="32" t="str">
        <f t="shared" si="146"/>
        <v/>
      </c>
      <c r="M2427" s="32" t="str">
        <f t="shared" si="147"/>
        <v/>
      </c>
      <c r="N2427" s="4">
        <v>1</v>
      </c>
      <c r="O2427" s="58">
        <v>0</v>
      </c>
      <c r="P2427" s="58">
        <v>0</v>
      </c>
      <c r="Q2427" s="58">
        <v>0</v>
      </c>
      <c r="R2427" s="58">
        <v>0</v>
      </c>
      <c r="S2427" s="58">
        <v>0</v>
      </c>
      <c r="T2427" s="58">
        <v>0</v>
      </c>
      <c r="U2427" s="58">
        <v>0</v>
      </c>
      <c r="V2427" s="58">
        <v>0</v>
      </c>
      <c r="AG2427" t="s">
        <v>2145</v>
      </c>
      <c r="AM2427" s="1" t="str">
        <f t="shared" si="148"/>
        <v>2425_C0013_0454.jpg</v>
      </c>
    </row>
    <row r="2428" spans="1:39" x14ac:dyDescent="0.35">
      <c r="A2428">
        <v>2424</v>
      </c>
      <c r="B2428">
        <v>2425</v>
      </c>
      <c r="F2428" s="64" t="s">
        <v>5464</v>
      </c>
      <c r="G2428" s="64"/>
      <c r="H2428" s="64"/>
      <c r="I2428" s="64">
        <v>1</v>
      </c>
      <c r="J2428" s="32" t="str">
        <f>IF(AND(E2428=1,OR(E2427=0,E2427="")),MAX(#REF!)+1,IF(AND(E2428=1,E2427=1),J2427,""))</f>
        <v/>
      </c>
      <c r="K2428" s="32" t="str">
        <f t="shared" si="149"/>
        <v/>
      </c>
      <c r="L2428" s="32" t="str">
        <f t="shared" si="146"/>
        <v/>
      </c>
      <c r="M2428" s="32" t="str">
        <f t="shared" si="147"/>
        <v/>
      </c>
      <c r="N2428" s="4">
        <v>1</v>
      </c>
      <c r="O2428" s="58">
        <v>0</v>
      </c>
      <c r="P2428" s="58">
        <v>0</v>
      </c>
      <c r="Q2428" s="58">
        <v>0</v>
      </c>
      <c r="R2428" s="58">
        <v>0</v>
      </c>
      <c r="S2428" s="58">
        <v>0</v>
      </c>
      <c r="T2428" s="58">
        <v>0</v>
      </c>
      <c r="U2428" s="58">
        <v>0</v>
      </c>
      <c r="V2428" s="58">
        <v>0</v>
      </c>
      <c r="AG2428" t="s">
        <v>2146</v>
      </c>
      <c r="AM2428" s="1" t="str">
        <f t="shared" si="148"/>
        <v>2426_C0013_0451.jpg</v>
      </c>
    </row>
    <row r="2429" spans="1:39" x14ac:dyDescent="0.35">
      <c r="A2429">
        <v>2425</v>
      </c>
      <c r="B2429">
        <v>2426</v>
      </c>
      <c r="F2429" s="64" t="s">
        <v>5465</v>
      </c>
      <c r="G2429" s="64"/>
      <c r="H2429" s="64"/>
      <c r="I2429" s="64">
        <v>1</v>
      </c>
      <c r="J2429" s="32" t="str">
        <f>IF(AND(E2429=1,OR(E2428=0,E2428="")),MAX(#REF!)+1,IF(AND(E2429=1,E2428=1),J2428,""))</f>
        <v/>
      </c>
      <c r="K2429" s="32" t="str">
        <f t="shared" si="149"/>
        <v/>
      </c>
      <c r="L2429" s="32" t="str">
        <f t="shared" si="146"/>
        <v/>
      </c>
      <c r="M2429" s="32" t="str">
        <f t="shared" si="147"/>
        <v/>
      </c>
      <c r="N2429" s="4">
        <v>1</v>
      </c>
      <c r="O2429" s="58">
        <v>0</v>
      </c>
      <c r="P2429" s="58">
        <v>0</v>
      </c>
      <c r="Q2429" s="58">
        <v>0</v>
      </c>
      <c r="R2429" s="58">
        <v>0</v>
      </c>
      <c r="S2429" s="58">
        <v>0</v>
      </c>
      <c r="T2429" s="58">
        <v>0</v>
      </c>
      <c r="U2429" s="58">
        <v>0</v>
      </c>
      <c r="V2429" s="58">
        <v>0</v>
      </c>
      <c r="AG2429" t="s">
        <v>2147</v>
      </c>
      <c r="AM2429" s="1" t="str">
        <f t="shared" si="148"/>
        <v>2427_C0013_0448.jpg</v>
      </c>
    </row>
    <row r="2430" spans="1:39" x14ac:dyDescent="0.35">
      <c r="A2430">
        <v>2426</v>
      </c>
      <c r="B2430">
        <v>2427</v>
      </c>
      <c r="F2430" s="64" t="s">
        <v>5466</v>
      </c>
      <c r="G2430" s="64"/>
      <c r="H2430" s="64"/>
      <c r="I2430" s="64">
        <v>1</v>
      </c>
      <c r="J2430" s="32" t="str">
        <f>IF(AND(E2430=1,OR(E2429=0,E2429="")),MAX(#REF!)+1,IF(AND(E2430=1,E2429=1),J2429,""))</f>
        <v/>
      </c>
      <c r="K2430" s="32" t="str">
        <f t="shared" si="149"/>
        <v/>
      </c>
      <c r="L2430" s="32" t="str">
        <f t="shared" si="146"/>
        <v/>
      </c>
      <c r="M2430" s="32" t="str">
        <f t="shared" si="147"/>
        <v/>
      </c>
      <c r="N2430" s="4">
        <v>1</v>
      </c>
      <c r="O2430" s="58">
        <v>0</v>
      </c>
      <c r="P2430" s="58">
        <v>0</v>
      </c>
      <c r="Q2430" s="58">
        <v>0</v>
      </c>
      <c r="R2430" s="58">
        <v>0</v>
      </c>
      <c r="S2430" s="58">
        <v>0</v>
      </c>
      <c r="T2430" s="58">
        <v>0</v>
      </c>
      <c r="U2430" s="58">
        <v>0</v>
      </c>
      <c r="V2430" s="58">
        <v>0</v>
      </c>
      <c r="AG2430" t="s">
        <v>2148</v>
      </c>
      <c r="AM2430" s="1" t="str">
        <f t="shared" si="148"/>
        <v>2428_C0013_0445.jpg</v>
      </c>
    </row>
    <row r="2431" spans="1:39" x14ac:dyDescent="0.35">
      <c r="A2431">
        <v>2427</v>
      </c>
      <c r="B2431">
        <v>2428</v>
      </c>
      <c r="F2431" s="64" t="s">
        <v>5467</v>
      </c>
      <c r="G2431" s="64"/>
      <c r="H2431" s="64"/>
      <c r="I2431" s="64">
        <v>1</v>
      </c>
      <c r="J2431" s="32" t="str">
        <f>IF(AND(E2431=1,OR(E2430=0,E2430="")),MAX(#REF!)+1,IF(AND(E2431=1,E2430=1),J2430,""))</f>
        <v/>
      </c>
      <c r="K2431" s="32" t="str">
        <f t="shared" si="149"/>
        <v/>
      </c>
      <c r="L2431" s="32" t="str">
        <f t="shared" si="146"/>
        <v/>
      </c>
      <c r="M2431" s="32" t="str">
        <f t="shared" si="147"/>
        <v/>
      </c>
      <c r="N2431" s="4">
        <v>1</v>
      </c>
      <c r="O2431" s="58">
        <v>0</v>
      </c>
      <c r="P2431" s="58">
        <v>0</v>
      </c>
      <c r="Q2431" s="58">
        <v>0</v>
      </c>
      <c r="R2431" s="58">
        <v>0</v>
      </c>
      <c r="S2431" s="58">
        <v>0</v>
      </c>
      <c r="T2431" s="58">
        <v>0</v>
      </c>
      <c r="U2431" s="58">
        <v>0</v>
      </c>
      <c r="V2431" s="58">
        <v>0</v>
      </c>
      <c r="AG2431" t="s">
        <v>2149</v>
      </c>
      <c r="AM2431" s="1" t="str">
        <f t="shared" si="148"/>
        <v>2429_C0013_0443.jpg</v>
      </c>
    </row>
    <row r="2432" spans="1:39" x14ac:dyDescent="0.35">
      <c r="A2432">
        <v>2428</v>
      </c>
      <c r="B2432">
        <v>2429</v>
      </c>
      <c r="F2432" s="64" t="s">
        <v>5468</v>
      </c>
      <c r="G2432" s="64"/>
      <c r="H2432" s="64"/>
      <c r="I2432" s="64">
        <v>1</v>
      </c>
      <c r="J2432" s="32" t="str">
        <f>IF(AND(E2432=1,OR(E2431=0,E2431="")),MAX(#REF!)+1,IF(AND(E2432=1,E2431=1),J2431,""))</f>
        <v/>
      </c>
      <c r="K2432" s="32" t="str">
        <f t="shared" si="149"/>
        <v/>
      </c>
      <c r="L2432" s="32" t="str">
        <f t="shared" si="146"/>
        <v/>
      </c>
      <c r="M2432" s="32" t="str">
        <f t="shared" si="147"/>
        <v/>
      </c>
      <c r="N2432" s="4">
        <v>1</v>
      </c>
      <c r="O2432" s="58">
        <v>0</v>
      </c>
      <c r="P2432" s="58">
        <v>0</v>
      </c>
      <c r="Q2432" s="58">
        <v>0</v>
      </c>
      <c r="R2432" s="58">
        <v>0</v>
      </c>
      <c r="S2432" s="58">
        <v>0</v>
      </c>
      <c r="T2432" s="58">
        <v>0</v>
      </c>
      <c r="U2432" s="58">
        <v>0</v>
      </c>
      <c r="V2432" s="58">
        <v>0</v>
      </c>
      <c r="AG2432" t="s">
        <v>2150</v>
      </c>
      <c r="AM2432" s="1" t="str">
        <f t="shared" si="148"/>
        <v>2430_C0013_0440.jpg</v>
      </c>
    </row>
    <row r="2433" spans="1:39" x14ac:dyDescent="0.35">
      <c r="A2433">
        <v>2429</v>
      </c>
      <c r="B2433">
        <v>2430</v>
      </c>
      <c r="F2433" s="64" t="s">
        <v>5469</v>
      </c>
      <c r="G2433" s="64"/>
      <c r="H2433" s="64"/>
      <c r="I2433" s="64">
        <v>1</v>
      </c>
      <c r="J2433" s="32" t="str">
        <f>IF(AND(E2433=1,OR(E2432=0,E2432="")),MAX(#REF!)+1,IF(AND(E2433=1,E2432=1),J2432,""))</f>
        <v/>
      </c>
      <c r="K2433" s="32" t="str">
        <f t="shared" si="149"/>
        <v/>
      </c>
      <c r="L2433" s="32" t="str">
        <f t="shared" si="146"/>
        <v/>
      </c>
      <c r="M2433" s="32" t="str">
        <f t="shared" si="147"/>
        <v/>
      </c>
      <c r="N2433" s="4">
        <v>1</v>
      </c>
      <c r="O2433" s="58">
        <v>0</v>
      </c>
      <c r="P2433" s="58">
        <v>0</v>
      </c>
      <c r="Q2433" s="58">
        <v>0</v>
      </c>
      <c r="R2433" s="58">
        <v>0</v>
      </c>
      <c r="S2433" s="58">
        <v>0</v>
      </c>
      <c r="T2433" s="58">
        <v>0</v>
      </c>
      <c r="U2433" s="58">
        <v>0</v>
      </c>
      <c r="V2433" s="58">
        <v>0</v>
      </c>
      <c r="AG2433" t="s">
        <v>2151</v>
      </c>
      <c r="AM2433" s="1" t="str">
        <f t="shared" si="148"/>
        <v>2431_C0013_0437.jpg</v>
      </c>
    </row>
    <row r="2434" spans="1:39" x14ac:dyDescent="0.35">
      <c r="A2434">
        <v>2430</v>
      </c>
      <c r="B2434">
        <v>2431</v>
      </c>
      <c r="F2434" s="64" t="s">
        <v>5470</v>
      </c>
      <c r="G2434" s="64"/>
      <c r="H2434" s="64"/>
      <c r="I2434" s="64">
        <v>1</v>
      </c>
      <c r="J2434" s="32" t="str">
        <f>IF(AND(E2434=1,OR(E2433=0,E2433="")),MAX(#REF!)+1,IF(AND(E2434=1,E2433=1),J2433,""))</f>
        <v/>
      </c>
      <c r="K2434" s="32" t="str">
        <f t="shared" si="149"/>
        <v/>
      </c>
      <c r="L2434" s="32" t="str">
        <f t="shared" si="146"/>
        <v/>
      </c>
      <c r="M2434" s="32" t="str">
        <f t="shared" si="147"/>
        <v/>
      </c>
      <c r="N2434" s="4">
        <v>1</v>
      </c>
      <c r="O2434" s="58">
        <v>0</v>
      </c>
      <c r="P2434" s="58">
        <v>0</v>
      </c>
      <c r="Q2434" s="58">
        <v>0</v>
      </c>
      <c r="R2434" s="58">
        <v>0</v>
      </c>
      <c r="S2434" s="58">
        <v>0</v>
      </c>
      <c r="T2434" s="58">
        <v>0</v>
      </c>
      <c r="U2434" s="58">
        <v>0</v>
      </c>
      <c r="V2434" s="58">
        <v>0</v>
      </c>
      <c r="AG2434" t="s">
        <v>2152</v>
      </c>
      <c r="AM2434" s="1" t="str">
        <f t="shared" si="148"/>
        <v>2432_C0013_0433.jpg</v>
      </c>
    </row>
    <row r="2435" spans="1:39" x14ac:dyDescent="0.35">
      <c r="A2435">
        <v>2431</v>
      </c>
      <c r="B2435">
        <v>2432</v>
      </c>
      <c r="F2435" s="64" t="s">
        <v>5471</v>
      </c>
      <c r="G2435" s="64"/>
      <c r="H2435" s="64"/>
      <c r="I2435" s="64">
        <v>0</v>
      </c>
      <c r="J2435" s="32" t="str">
        <f>IF(AND(E2435=1,OR(E2434=0,E2434="")),MAX(#REF!)+1,IF(AND(E2435=1,E2434=1),J2434,""))</f>
        <v/>
      </c>
      <c r="K2435" s="32" t="str">
        <f t="shared" si="149"/>
        <v/>
      </c>
      <c r="L2435" s="32" t="str">
        <f t="shared" si="146"/>
        <v/>
      </c>
      <c r="M2435" s="32" t="str">
        <f t="shared" si="147"/>
        <v/>
      </c>
      <c r="N2435" s="4">
        <v>1</v>
      </c>
      <c r="O2435" s="58">
        <v>0</v>
      </c>
      <c r="P2435" s="58">
        <v>0</v>
      </c>
      <c r="Q2435" s="58">
        <v>0</v>
      </c>
      <c r="R2435" s="58">
        <v>0</v>
      </c>
      <c r="S2435" s="58">
        <v>0</v>
      </c>
      <c r="T2435" s="58">
        <v>0</v>
      </c>
      <c r="U2435" s="58">
        <v>0</v>
      </c>
      <c r="V2435" s="58">
        <v>0</v>
      </c>
      <c r="AG2435" t="s">
        <v>2153</v>
      </c>
      <c r="AM2435" s="1" t="str">
        <f t="shared" si="148"/>
        <v>2433_C0013_0430.jpg</v>
      </c>
    </row>
    <row r="2436" spans="1:39" x14ac:dyDescent="0.35">
      <c r="A2436">
        <v>2432</v>
      </c>
      <c r="B2436">
        <v>2433</v>
      </c>
      <c r="F2436" s="64" t="s">
        <v>5472</v>
      </c>
      <c r="G2436" s="64"/>
      <c r="H2436" s="64"/>
      <c r="I2436" s="64">
        <v>0</v>
      </c>
      <c r="J2436" s="32" t="str">
        <f>IF(AND(E2436=1,OR(E2435=0,E2435="")),MAX(#REF!)+1,IF(AND(E2436=1,E2435=1),J2435,""))</f>
        <v/>
      </c>
      <c r="K2436" s="32" t="str">
        <f t="shared" si="149"/>
        <v/>
      </c>
      <c r="L2436" s="32" t="str">
        <f t="shared" ref="L2436:L2499" si="150">IF(K2436="","",IF(K2436&gt;=100,"HV",""))</f>
        <v/>
      </c>
      <c r="M2436" s="32" t="str">
        <f t="shared" ref="M2436:M2499" si="151">IF(K2436&lt;&gt;"",K2436^2,"")</f>
        <v/>
      </c>
      <c r="N2436" s="4">
        <v>1</v>
      </c>
      <c r="O2436" s="58">
        <v>0</v>
      </c>
      <c r="P2436" s="58">
        <v>0</v>
      </c>
      <c r="Q2436" s="58">
        <v>0</v>
      </c>
      <c r="R2436" s="58">
        <v>0</v>
      </c>
      <c r="S2436" s="58">
        <v>0</v>
      </c>
      <c r="T2436" s="58">
        <v>0</v>
      </c>
      <c r="U2436" s="58">
        <v>0</v>
      </c>
      <c r="V2436" s="58">
        <v>0</v>
      </c>
      <c r="AG2436" t="s">
        <v>2154</v>
      </c>
      <c r="AM2436" s="1" t="str">
        <f t="shared" si="148"/>
        <v>2434_C0013_0428.jpg</v>
      </c>
    </row>
    <row r="2437" spans="1:39" x14ac:dyDescent="0.35">
      <c r="A2437">
        <v>2433</v>
      </c>
      <c r="B2437">
        <v>2434</v>
      </c>
      <c r="F2437" s="64" t="s">
        <v>5473</v>
      </c>
      <c r="G2437" s="64"/>
      <c r="H2437" s="64"/>
      <c r="I2437" s="64">
        <v>0</v>
      </c>
      <c r="J2437" s="32" t="str">
        <f>IF(AND(E2437=1,OR(E2436=0,E2436="")),MAX(#REF!)+1,IF(AND(E2437=1,E2436=1),J2436,""))</f>
        <v/>
      </c>
      <c r="K2437" s="32" t="str">
        <f t="shared" si="149"/>
        <v/>
      </c>
      <c r="L2437" s="32" t="str">
        <f t="shared" si="150"/>
        <v/>
      </c>
      <c r="M2437" s="32" t="str">
        <f t="shared" si="151"/>
        <v/>
      </c>
      <c r="N2437" s="4">
        <v>1</v>
      </c>
      <c r="O2437" s="58">
        <v>0</v>
      </c>
      <c r="P2437" s="58">
        <v>0</v>
      </c>
      <c r="Q2437" s="58">
        <v>0</v>
      </c>
      <c r="R2437" s="58">
        <v>0</v>
      </c>
      <c r="S2437" s="58">
        <v>0</v>
      </c>
      <c r="T2437" s="58">
        <v>0</v>
      </c>
      <c r="U2437" s="58">
        <v>0</v>
      </c>
      <c r="V2437" s="58">
        <v>0</v>
      </c>
      <c r="AG2437" t="s">
        <v>2155</v>
      </c>
      <c r="AM2437" s="1" t="str">
        <f t="shared" si="148"/>
        <v>2435_C0013_0424.jpg</v>
      </c>
    </row>
    <row r="2438" spans="1:39" x14ac:dyDescent="0.35">
      <c r="A2438">
        <v>2434</v>
      </c>
      <c r="B2438">
        <v>2435</v>
      </c>
      <c r="F2438" s="64" t="s">
        <v>5474</v>
      </c>
      <c r="G2438" s="64"/>
      <c r="H2438" s="64"/>
      <c r="I2438" s="64">
        <v>1</v>
      </c>
      <c r="J2438" s="32" t="str">
        <f>IF(AND(E2438=1,OR(E2437=0,E2437="")),MAX(#REF!)+1,IF(AND(E2438=1,E2437=1),J2437,""))</f>
        <v/>
      </c>
      <c r="K2438" s="32" t="str">
        <f t="shared" si="149"/>
        <v/>
      </c>
      <c r="L2438" s="32" t="str">
        <f t="shared" si="150"/>
        <v/>
      </c>
      <c r="M2438" s="32" t="str">
        <f t="shared" si="151"/>
        <v/>
      </c>
      <c r="N2438" s="4">
        <v>1</v>
      </c>
      <c r="O2438" s="58">
        <v>0</v>
      </c>
      <c r="P2438" s="58">
        <v>0</v>
      </c>
      <c r="Q2438" s="58">
        <v>0</v>
      </c>
      <c r="R2438" s="58">
        <v>0</v>
      </c>
      <c r="S2438" s="58">
        <v>0</v>
      </c>
      <c r="T2438" s="58">
        <v>0</v>
      </c>
      <c r="U2438" s="58">
        <v>0</v>
      </c>
      <c r="V2438" s="58">
        <v>0</v>
      </c>
      <c r="AG2438" t="s">
        <v>2156</v>
      </c>
      <c r="AM2438" s="1" t="str">
        <f t="shared" si="148"/>
        <v>2436_C0013_0422.jpg</v>
      </c>
    </row>
    <row r="2439" spans="1:39" x14ac:dyDescent="0.35">
      <c r="A2439">
        <v>2435</v>
      </c>
      <c r="B2439">
        <v>2436</v>
      </c>
      <c r="F2439" s="64" t="s">
        <v>5475</v>
      </c>
      <c r="G2439" s="64"/>
      <c r="H2439" s="64"/>
      <c r="I2439" s="64">
        <v>1</v>
      </c>
      <c r="J2439" s="32" t="str">
        <f>IF(AND(E2439=1,OR(E2438=0,E2438="")),MAX(#REF!)+1,IF(AND(E2439=1,E2438=1),J2438,""))</f>
        <v/>
      </c>
      <c r="K2439" s="32" t="str">
        <f t="shared" si="149"/>
        <v/>
      </c>
      <c r="L2439" s="32" t="str">
        <f t="shared" si="150"/>
        <v/>
      </c>
      <c r="M2439" s="32" t="str">
        <f t="shared" si="151"/>
        <v/>
      </c>
      <c r="N2439" s="4">
        <v>1</v>
      </c>
      <c r="O2439" s="58">
        <v>0</v>
      </c>
      <c r="P2439" s="58">
        <v>0</v>
      </c>
      <c r="Q2439" s="58">
        <v>0</v>
      </c>
      <c r="R2439" s="58">
        <v>0</v>
      </c>
      <c r="S2439" s="58">
        <v>0</v>
      </c>
      <c r="T2439" s="58">
        <v>0</v>
      </c>
      <c r="U2439" s="58">
        <v>0</v>
      </c>
      <c r="V2439" s="58">
        <v>0</v>
      </c>
      <c r="AG2439" t="s">
        <v>2157</v>
      </c>
      <c r="AM2439" s="1" t="str">
        <f t="shared" si="148"/>
        <v>2437_C0013_0420.jpg</v>
      </c>
    </row>
    <row r="2440" spans="1:39" x14ac:dyDescent="0.35">
      <c r="A2440">
        <v>2436</v>
      </c>
      <c r="B2440">
        <v>2437</v>
      </c>
      <c r="F2440" s="64" t="s">
        <v>5476</v>
      </c>
      <c r="G2440" s="64"/>
      <c r="H2440" s="64"/>
      <c r="I2440" s="64">
        <v>1</v>
      </c>
      <c r="J2440" s="32" t="str">
        <f>IF(AND(E2440=1,OR(E2439=0,E2439="")),MAX(#REF!)+1,IF(AND(E2440=1,E2439=1),J2439,""))</f>
        <v/>
      </c>
      <c r="K2440" s="32" t="str">
        <f t="shared" si="149"/>
        <v/>
      </c>
      <c r="L2440" s="32" t="str">
        <f t="shared" si="150"/>
        <v/>
      </c>
      <c r="M2440" s="32" t="str">
        <f t="shared" si="151"/>
        <v/>
      </c>
      <c r="N2440" s="4">
        <v>1</v>
      </c>
      <c r="O2440" s="58">
        <v>0</v>
      </c>
      <c r="P2440" s="58">
        <v>0</v>
      </c>
      <c r="Q2440" s="58">
        <v>0</v>
      </c>
      <c r="R2440" s="58">
        <v>0</v>
      </c>
      <c r="S2440" s="58">
        <v>0</v>
      </c>
      <c r="T2440" s="58">
        <v>0</v>
      </c>
      <c r="U2440" s="58">
        <v>0</v>
      </c>
      <c r="V2440" s="58">
        <v>0</v>
      </c>
      <c r="AG2440" t="s">
        <v>2158</v>
      </c>
      <c r="AM2440" s="1" t="str">
        <f t="shared" si="148"/>
        <v>2438_C0013_0417.jpg</v>
      </c>
    </row>
    <row r="2441" spans="1:39" x14ac:dyDescent="0.35">
      <c r="A2441">
        <v>2437</v>
      </c>
      <c r="B2441">
        <v>2438</v>
      </c>
      <c r="F2441" s="64" t="s">
        <v>5477</v>
      </c>
      <c r="G2441" s="64"/>
      <c r="H2441" s="64"/>
      <c r="I2441" s="64">
        <v>0</v>
      </c>
      <c r="J2441" s="32" t="str">
        <f>IF(AND(E2441=1,OR(E2440=0,E2440="")),MAX(#REF!)+1,IF(AND(E2441=1,E2440=1),J2440,""))</f>
        <v/>
      </c>
      <c r="K2441" s="32" t="str">
        <f t="shared" si="149"/>
        <v/>
      </c>
      <c r="L2441" s="32" t="str">
        <f t="shared" si="150"/>
        <v/>
      </c>
      <c r="M2441" s="32" t="str">
        <f t="shared" si="151"/>
        <v/>
      </c>
      <c r="N2441" s="4">
        <v>1</v>
      </c>
      <c r="O2441" s="58">
        <v>0</v>
      </c>
      <c r="P2441" s="58">
        <v>0</v>
      </c>
      <c r="Q2441" s="58">
        <v>0</v>
      </c>
      <c r="R2441" s="58">
        <v>0</v>
      </c>
      <c r="S2441" s="58">
        <v>0</v>
      </c>
      <c r="T2441" s="58">
        <v>0</v>
      </c>
      <c r="U2441" s="58">
        <v>0</v>
      </c>
      <c r="V2441" s="58">
        <v>0</v>
      </c>
      <c r="AG2441" t="s">
        <v>2159</v>
      </c>
      <c r="AM2441" s="1" t="str">
        <f t="shared" si="148"/>
        <v>2439_C0013_0413.jpg</v>
      </c>
    </row>
    <row r="2442" spans="1:39" x14ac:dyDescent="0.35">
      <c r="A2442">
        <v>2438</v>
      </c>
      <c r="B2442">
        <v>2439</v>
      </c>
      <c r="F2442" s="64" t="s">
        <v>5478</v>
      </c>
      <c r="G2442" s="64"/>
      <c r="H2442" s="64"/>
      <c r="I2442" s="64">
        <v>0</v>
      </c>
      <c r="J2442" s="32" t="str">
        <f>IF(AND(E2442=1,OR(E2441=0,E2441="")),MAX(#REF!)+1,IF(AND(E2442=1,E2441=1),J2441,""))</f>
        <v/>
      </c>
      <c r="K2442" s="32" t="str">
        <f t="shared" si="149"/>
        <v/>
      </c>
      <c r="L2442" s="32" t="str">
        <f t="shared" si="150"/>
        <v/>
      </c>
      <c r="M2442" s="32" t="str">
        <f t="shared" si="151"/>
        <v/>
      </c>
      <c r="N2442" s="4">
        <v>1</v>
      </c>
      <c r="O2442" s="58">
        <v>0</v>
      </c>
      <c r="P2442" s="58">
        <v>0</v>
      </c>
      <c r="Q2442" s="58">
        <v>0</v>
      </c>
      <c r="R2442" s="58">
        <v>0</v>
      </c>
      <c r="S2442" s="58">
        <v>0</v>
      </c>
      <c r="T2442" s="58">
        <v>0</v>
      </c>
      <c r="U2442" s="58">
        <v>0</v>
      </c>
      <c r="V2442" s="58">
        <v>0</v>
      </c>
      <c r="AG2442" t="s">
        <v>2160</v>
      </c>
      <c r="AM2442" s="1" t="str">
        <f t="shared" si="148"/>
        <v>2440_C0013_0410.jpg</v>
      </c>
    </row>
    <row r="2443" spans="1:39" x14ac:dyDescent="0.35">
      <c r="A2443">
        <v>2439</v>
      </c>
      <c r="B2443">
        <v>2440</v>
      </c>
      <c r="F2443" s="64" t="s">
        <v>5479</v>
      </c>
      <c r="G2443" s="64"/>
      <c r="H2443" s="64"/>
      <c r="I2443" s="64">
        <v>1</v>
      </c>
      <c r="J2443" s="32" t="str">
        <f>IF(AND(E2443=1,OR(E2442=0,E2442="")),MAX(#REF!)+1,IF(AND(E2443=1,E2442=1),J2442,""))</f>
        <v/>
      </c>
      <c r="K2443" s="32" t="str">
        <f t="shared" si="149"/>
        <v/>
      </c>
      <c r="L2443" s="32" t="str">
        <f t="shared" si="150"/>
        <v/>
      </c>
      <c r="M2443" s="32" t="str">
        <f t="shared" si="151"/>
        <v/>
      </c>
      <c r="N2443" s="4">
        <v>1</v>
      </c>
      <c r="O2443" s="58">
        <v>0</v>
      </c>
      <c r="P2443" s="58">
        <v>0</v>
      </c>
      <c r="Q2443" s="58">
        <v>0</v>
      </c>
      <c r="R2443" s="58">
        <v>0</v>
      </c>
      <c r="S2443" s="58">
        <v>0</v>
      </c>
      <c r="T2443" s="58">
        <v>0</v>
      </c>
      <c r="U2443" s="58">
        <v>0</v>
      </c>
      <c r="V2443" s="58">
        <v>0</v>
      </c>
      <c r="AG2443" t="s">
        <v>2161</v>
      </c>
      <c r="AM2443" s="1" t="str">
        <f t="shared" ref="AM2443:AM2506" si="152">HYPERLINK("E:\CAFNEC_GBRF\2023\JohnstoneRiver\Frames_for_Analysis\" &amp; F2444, F2444)</f>
        <v>2441_C0013_0407.jpg</v>
      </c>
    </row>
    <row r="2444" spans="1:39" x14ac:dyDescent="0.35">
      <c r="A2444">
        <v>2440</v>
      </c>
      <c r="B2444">
        <v>2441</v>
      </c>
      <c r="F2444" s="64" t="s">
        <v>5480</v>
      </c>
      <c r="G2444" s="64"/>
      <c r="H2444" s="64"/>
      <c r="I2444" s="64">
        <v>1</v>
      </c>
      <c r="J2444" s="32" t="str">
        <f>IF(AND(E2444=1,OR(E2443=0,E2443="")),MAX(#REF!)+1,IF(AND(E2444=1,E2443=1),J2443,""))</f>
        <v/>
      </c>
      <c r="K2444" s="32" t="str">
        <f t="shared" si="149"/>
        <v/>
      </c>
      <c r="L2444" s="32" t="str">
        <f t="shared" si="150"/>
        <v/>
      </c>
      <c r="M2444" s="32" t="str">
        <f t="shared" si="151"/>
        <v/>
      </c>
      <c r="N2444" s="4">
        <v>1</v>
      </c>
      <c r="O2444" s="58">
        <v>0</v>
      </c>
      <c r="P2444" s="58">
        <v>0</v>
      </c>
      <c r="Q2444" s="58">
        <v>0</v>
      </c>
      <c r="R2444" s="58">
        <v>0</v>
      </c>
      <c r="S2444" s="58">
        <v>0</v>
      </c>
      <c r="T2444" s="58">
        <v>0</v>
      </c>
      <c r="U2444" s="58">
        <v>0</v>
      </c>
      <c r="V2444" s="58">
        <v>0</v>
      </c>
      <c r="AG2444" t="s">
        <v>2162</v>
      </c>
      <c r="AM2444" s="1" t="str">
        <f t="shared" si="152"/>
        <v>2442_C0013_0404.jpg</v>
      </c>
    </row>
    <row r="2445" spans="1:39" x14ac:dyDescent="0.35">
      <c r="A2445">
        <v>2441</v>
      </c>
      <c r="B2445">
        <v>2442</v>
      </c>
      <c r="F2445" s="64" t="s">
        <v>5481</v>
      </c>
      <c r="G2445" s="64"/>
      <c r="H2445" s="64"/>
      <c r="I2445" s="64">
        <v>0</v>
      </c>
      <c r="J2445" s="32" t="str">
        <f>IF(AND(E2445=1,OR(E2444=0,E2444="")),MAX(#REF!)+1,IF(AND(E2445=1,E2444=1),J2444,""))</f>
        <v/>
      </c>
      <c r="K2445" s="32" t="str">
        <f t="shared" si="149"/>
        <v/>
      </c>
      <c r="L2445" s="32" t="str">
        <f t="shared" si="150"/>
        <v/>
      </c>
      <c r="M2445" s="32" t="str">
        <f t="shared" si="151"/>
        <v/>
      </c>
      <c r="N2445" s="4">
        <v>1</v>
      </c>
      <c r="O2445" s="58">
        <v>0</v>
      </c>
      <c r="P2445" s="58">
        <v>0</v>
      </c>
      <c r="Q2445" s="58">
        <v>0</v>
      </c>
      <c r="R2445" s="58">
        <v>0</v>
      </c>
      <c r="S2445" s="58">
        <v>0</v>
      </c>
      <c r="T2445" s="58">
        <v>0</v>
      </c>
      <c r="U2445" s="58">
        <v>0</v>
      </c>
      <c r="V2445" s="58">
        <v>0</v>
      </c>
      <c r="AG2445" t="s">
        <v>2163</v>
      </c>
      <c r="AM2445" s="1" t="str">
        <f t="shared" si="152"/>
        <v>2443_C0013_0402.jpg</v>
      </c>
    </row>
    <row r="2446" spans="1:39" x14ac:dyDescent="0.35">
      <c r="A2446">
        <v>2442</v>
      </c>
      <c r="B2446">
        <v>2443</v>
      </c>
      <c r="F2446" s="64" t="s">
        <v>5482</v>
      </c>
      <c r="G2446" s="64"/>
      <c r="H2446" s="64"/>
      <c r="I2446" s="64">
        <v>0</v>
      </c>
      <c r="J2446" s="32" t="str">
        <f>IF(AND(E2446=1,OR(E2445=0,E2445="")),MAX(#REF!)+1,IF(AND(E2446=1,E2445=1),J2445,""))</f>
        <v/>
      </c>
      <c r="K2446" s="32" t="str">
        <f t="shared" si="149"/>
        <v/>
      </c>
      <c r="L2446" s="32" t="str">
        <f t="shared" si="150"/>
        <v/>
      </c>
      <c r="M2446" s="32" t="str">
        <f t="shared" si="151"/>
        <v/>
      </c>
      <c r="N2446" s="4">
        <v>1</v>
      </c>
      <c r="O2446" s="58">
        <v>0</v>
      </c>
      <c r="P2446" s="58">
        <v>0</v>
      </c>
      <c r="Q2446" s="58">
        <v>0</v>
      </c>
      <c r="R2446" s="58">
        <v>0</v>
      </c>
      <c r="S2446" s="58">
        <v>0</v>
      </c>
      <c r="T2446" s="58">
        <v>0</v>
      </c>
      <c r="U2446" s="58">
        <v>0</v>
      </c>
      <c r="V2446" s="58">
        <v>0</v>
      </c>
      <c r="AG2446" t="s">
        <v>2164</v>
      </c>
      <c r="AM2446" s="1" t="str">
        <f t="shared" si="152"/>
        <v>2444_C0013_0399.jpg</v>
      </c>
    </row>
    <row r="2447" spans="1:39" x14ac:dyDescent="0.35">
      <c r="A2447">
        <v>2443</v>
      </c>
      <c r="B2447">
        <v>2444</v>
      </c>
      <c r="F2447" s="64" t="s">
        <v>5483</v>
      </c>
      <c r="G2447" s="64"/>
      <c r="H2447" s="64"/>
      <c r="I2447" s="64">
        <v>1</v>
      </c>
      <c r="J2447" s="32" t="str">
        <f>IF(AND(E2447=1,OR(E2446=0,E2446="")),MAX(#REF!)+1,IF(AND(E2447=1,E2446=1),J2446,""))</f>
        <v/>
      </c>
      <c r="K2447" s="32" t="str">
        <f t="shared" si="149"/>
        <v/>
      </c>
      <c r="L2447" s="32" t="str">
        <f t="shared" si="150"/>
        <v/>
      </c>
      <c r="M2447" s="32" t="str">
        <f t="shared" si="151"/>
        <v/>
      </c>
      <c r="N2447" s="4">
        <v>1</v>
      </c>
      <c r="O2447" s="58">
        <v>0</v>
      </c>
      <c r="P2447" s="58">
        <v>0</v>
      </c>
      <c r="Q2447" s="58">
        <v>0</v>
      </c>
      <c r="R2447" s="58">
        <v>0</v>
      </c>
      <c r="S2447" s="58">
        <v>0</v>
      </c>
      <c r="T2447" s="58">
        <v>0</v>
      </c>
      <c r="U2447" s="58">
        <v>0</v>
      </c>
      <c r="V2447" s="58">
        <v>0</v>
      </c>
      <c r="AG2447" t="s">
        <v>2165</v>
      </c>
      <c r="AM2447" s="1" t="str">
        <f t="shared" si="152"/>
        <v>2445_C0013_0395.jpg</v>
      </c>
    </row>
    <row r="2448" spans="1:39" x14ac:dyDescent="0.35">
      <c r="A2448">
        <v>2444</v>
      </c>
      <c r="B2448">
        <v>2445</v>
      </c>
      <c r="F2448" s="64" t="s">
        <v>5484</v>
      </c>
      <c r="G2448" s="64"/>
      <c r="H2448" s="64"/>
      <c r="I2448" s="64">
        <v>0</v>
      </c>
      <c r="J2448" s="32" t="str">
        <f>IF(AND(E2448=1,OR(E2447=0,E2447="")),MAX(#REF!)+1,IF(AND(E2448=1,E2447=1),J2447,""))</f>
        <v/>
      </c>
      <c r="K2448" s="32" t="str">
        <f t="shared" si="149"/>
        <v/>
      </c>
      <c r="L2448" s="32" t="str">
        <f t="shared" si="150"/>
        <v/>
      </c>
      <c r="M2448" s="32" t="str">
        <f t="shared" si="151"/>
        <v/>
      </c>
      <c r="N2448" s="4">
        <v>1</v>
      </c>
      <c r="O2448" s="58">
        <v>0</v>
      </c>
      <c r="P2448" s="58">
        <v>0</v>
      </c>
      <c r="Q2448" s="58">
        <v>0</v>
      </c>
      <c r="R2448" s="58">
        <v>0</v>
      </c>
      <c r="S2448" s="58">
        <v>0</v>
      </c>
      <c r="T2448" s="58">
        <v>0</v>
      </c>
      <c r="U2448" s="58">
        <v>0</v>
      </c>
      <c r="V2448" s="58">
        <v>0</v>
      </c>
      <c r="AG2448" t="s">
        <v>2166</v>
      </c>
      <c r="AM2448" s="1" t="str">
        <f t="shared" si="152"/>
        <v>2446_C0013_0391.jpg</v>
      </c>
    </row>
    <row r="2449" spans="1:39" x14ac:dyDescent="0.35">
      <c r="A2449">
        <v>2445</v>
      </c>
      <c r="B2449">
        <v>2446</v>
      </c>
      <c r="F2449" s="64" t="s">
        <v>5485</v>
      </c>
      <c r="G2449" s="64"/>
      <c r="H2449" s="64"/>
      <c r="I2449" s="64">
        <v>0</v>
      </c>
      <c r="J2449" s="32" t="str">
        <f>IF(AND(E2449=1,OR(E2448=0,E2448="")),MAX(#REF!)+1,IF(AND(E2449=1,E2448=1),J2448,""))</f>
        <v/>
      </c>
      <c r="K2449" s="32" t="str">
        <f t="shared" si="149"/>
        <v/>
      </c>
      <c r="L2449" s="32" t="str">
        <f t="shared" si="150"/>
        <v/>
      </c>
      <c r="M2449" s="32" t="str">
        <f t="shared" si="151"/>
        <v/>
      </c>
      <c r="N2449" s="4">
        <v>1</v>
      </c>
      <c r="O2449" s="58">
        <v>0</v>
      </c>
      <c r="P2449" s="58">
        <v>0</v>
      </c>
      <c r="Q2449" s="58">
        <v>0</v>
      </c>
      <c r="R2449" s="58">
        <v>0</v>
      </c>
      <c r="S2449" s="58">
        <v>0</v>
      </c>
      <c r="T2449" s="58">
        <v>0</v>
      </c>
      <c r="U2449" s="58">
        <v>0</v>
      </c>
      <c r="V2449" s="58">
        <v>0</v>
      </c>
      <c r="AG2449" t="s">
        <v>2167</v>
      </c>
      <c r="AM2449" s="1" t="str">
        <f t="shared" si="152"/>
        <v>2447_C0013_0388.jpg</v>
      </c>
    </row>
    <row r="2450" spans="1:39" x14ac:dyDescent="0.35">
      <c r="A2450">
        <v>2446</v>
      </c>
      <c r="B2450">
        <v>2447</v>
      </c>
      <c r="F2450" s="64" t="s">
        <v>5486</v>
      </c>
      <c r="G2450" s="64"/>
      <c r="H2450" s="64"/>
      <c r="I2450" s="64">
        <v>0</v>
      </c>
      <c r="J2450" s="32" t="str">
        <f>IF(AND(E2450=1,OR(E2449=0,E2449="")),MAX(#REF!)+1,IF(AND(E2450=1,E2449=1),J2449,""))</f>
        <v/>
      </c>
      <c r="K2450" s="32" t="str">
        <f t="shared" si="149"/>
        <v/>
      </c>
      <c r="L2450" s="32" t="str">
        <f t="shared" si="150"/>
        <v/>
      </c>
      <c r="M2450" s="32" t="str">
        <f t="shared" si="151"/>
        <v/>
      </c>
      <c r="N2450" s="4">
        <v>1</v>
      </c>
      <c r="O2450" s="58">
        <v>0</v>
      </c>
      <c r="P2450" s="58">
        <v>0</v>
      </c>
      <c r="Q2450" s="58">
        <v>0</v>
      </c>
      <c r="R2450" s="58">
        <v>0</v>
      </c>
      <c r="S2450" s="58">
        <v>0</v>
      </c>
      <c r="T2450" s="58">
        <v>0</v>
      </c>
      <c r="U2450" s="58">
        <v>0</v>
      </c>
      <c r="V2450" s="58">
        <v>0</v>
      </c>
      <c r="AG2450" t="s">
        <v>2168</v>
      </c>
      <c r="AM2450" s="1" t="str">
        <f t="shared" si="152"/>
        <v>2448_C0013_0385.jpg</v>
      </c>
    </row>
    <row r="2451" spans="1:39" x14ac:dyDescent="0.35">
      <c r="A2451">
        <v>2447</v>
      </c>
      <c r="B2451">
        <v>2448</v>
      </c>
      <c r="F2451" s="64" t="s">
        <v>5487</v>
      </c>
      <c r="G2451" s="64"/>
      <c r="H2451" s="64"/>
      <c r="I2451" s="64">
        <v>0</v>
      </c>
      <c r="J2451" s="32" t="str">
        <f>IF(AND(E2451=1,OR(E2450=0,E2450="")),MAX(#REF!)+1,IF(AND(E2451=1,E2450=1),J2450,""))</f>
        <v/>
      </c>
      <c r="K2451" s="32" t="str">
        <f t="shared" si="149"/>
        <v/>
      </c>
      <c r="L2451" s="32" t="str">
        <f t="shared" si="150"/>
        <v/>
      </c>
      <c r="M2451" s="32" t="str">
        <f t="shared" si="151"/>
        <v/>
      </c>
      <c r="N2451" s="4">
        <v>1</v>
      </c>
      <c r="O2451" s="58">
        <v>0</v>
      </c>
      <c r="P2451" s="58">
        <v>0</v>
      </c>
      <c r="Q2451" s="58">
        <v>0</v>
      </c>
      <c r="R2451" s="58">
        <v>0</v>
      </c>
      <c r="S2451" s="58">
        <v>0</v>
      </c>
      <c r="T2451" s="58">
        <v>0</v>
      </c>
      <c r="U2451" s="58">
        <v>0</v>
      </c>
      <c r="V2451" s="58">
        <v>0</v>
      </c>
      <c r="AG2451" t="s">
        <v>2169</v>
      </c>
      <c r="AM2451" s="1" t="str">
        <f t="shared" si="152"/>
        <v>2449_C0013_0383.jpg</v>
      </c>
    </row>
    <row r="2452" spans="1:39" x14ac:dyDescent="0.35">
      <c r="A2452">
        <v>2448</v>
      </c>
      <c r="B2452">
        <v>2449</v>
      </c>
      <c r="F2452" s="64" t="s">
        <v>5488</v>
      </c>
      <c r="G2452" s="64"/>
      <c r="H2452" s="64"/>
      <c r="I2452" s="64">
        <v>0</v>
      </c>
      <c r="J2452" s="32" t="str">
        <f>IF(AND(E2452=1,OR(E2451=0,E2451="")),MAX(#REF!)+1,IF(AND(E2452=1,E2451=1),J2451,""))</f>
        <v/>
      </c>
      <c r="K2452" s="32" t="str">
        <f t="shared" si="149"/>
        <v/>
      </c>
      <c r="L2452" s="32" t="str">
        <f t="shared" si="150"/>
        <v/>
      </c>
      <c r="M2452" s="32" t="str">
        <f t="shared" si="151"/>
        <v/>
      </c>
      <c r="N2452" s="4">
        <v>1</v>
      </c>
      <c r="O2452" s="58">
        <v>0</v>
      </c>
      <c r="P2452" s="58">
        <v>0</v>
      </c>
      <c r="Q2452" s="58">
        <v>0</v>
      </c>
      <c r="R2452" s="58">
        <v>0</v>
      </c>
      <c r="S2452" s="58">
        <v>0</v>
      </c>
      <c r="T2452" s="58">
        <v>0</v>
      </c>
      <c r="U2452" s="58">
        <v>0</v>
      </c>
      <c r="V2452" s="58">
        <v>0</v>
      </c>
      <c r="AG2452" t="s">
        <v>2170</v>
      </c>
      <c r="AM2452" s="1" t="str">
        <f t="shared" si="152"/>
        <v>2450_C0013_0380.jpg</v>
      </c>
    </row>
    <row r="2453" spans="1:39" x14ac:dyDescent="0.35">
      <c r="A2453">
        <v>2449</v>
      </c>
      <c r="B2453">
        <v>2450</v>
      </c>
      <c r="F2453" s="64" t="s">
        <v>5489</v>
      </c>
      <c r="G2453" s="64"/>
      <c r="H2453" s="64"/>
      <c r="I2453" s="64">
        <v>0</v>
      </c>
      <c r="J2453" s="32" t="str">
        <f>IF(AND(E2453=1,OR(E2452=0,E2452="")),MAX(#REF!)+1,IF(AND(E2453=1,E2452=1),J2452,""))</f>
        <v/>
      </c>
      <c r="K2453" s="32" t="str">
        <f t="shared" si="149"/>
        <v/>
      </c>
      <c r="L2453" s="32" t="str">
        <f t="shared" si="150"/>
        <v/>
      </c>
      <c r="M2453" s="32" t="str">
        <f t="shared" si="151"/>
        <v/>
      </c>
      <c r="N2453" s="4">
        <v>1</v>
      </c>
      <c r="O2453" s="58">
        <v>0</v>
      </c>
      <c r="P2453" s="58">
        <v>0</v>
      </c>
      <c r="Q2453" s="58">
        <v>0</v>
      </c>
      <c r="R2453" s="58">
        <v>0</v>
      </c>
      <c r="S2453" s="58">
        <v>0</v>
      </c>
      <c r="T2453" s="58">
        <v>0</v>
      </c>
      <c r="U2453" s="58">
        <v>0</v>
      </c>
      <c r="V2453" s="58">
        <v>0</v>
      </c>
      <c r="AG2453" t="s">
        <v>2171</v>
      </c>
      <c r="AM2453" s="1" t="str">
        <f t="shared" si="152"/>
        <v>2451_C0013_0376.jpg</v>
      </c>
    </row>
    <row r="2454" spans="1:39" x14ac:dyDescent="0.35">
      <c r="A2454">
        <v>2450</v>
      </c>
      <c r="B2454">
        <v>2451</v>
      </c>
      <c r="F2454" s="64" t="s">
        <v>5490</v>
      </c>
      <c r="G2454" s="64"/>
      <c r="H2454" s="64"/>
      <c r="I2454" s="64">
        <v>0</v>
      </c>
      <c r="J2454" s="32" t="str">
        <f>IF(AND(E2454=1,OR(E2453=0,E2453="")),MAX(#REF!)+1,IF(AND(E2454=1,E2453=1),J2453,""))</f>
        <v/>
      </c>
      <c r="K2454" s="32" t="str">
        <f t="shared" si="149"/>
        <v/>
      </c>
      <c r="L2454" s="32" t="str">
        <f t="shared" si="150"/>
        <v/>
      </c>
      <c r="M2454" s="32" t="str">
        <f t="shared" si="151"/>
        <v/>
      </c>
      <c r="N2454" s="4">
        <v>1</v>
      </c>
      <c r="O2454" s="58">
        <v>0</v>
      </c>
      <c r="P2454" s="58">
        <v>0</v>
      </c>
      <c r="Q2454" s="58">
        <v>0</v>
      </c>
      <c r="R2454" s="58">
        <v>0</v>
      </c>
      <c r="S2454" s="58">
        <v>0</v>
      </c>
      <c r="T2454" s="58">
        <v>0</v>
      </c>
      <c r="U2454" s="58">
        <v>0</v>
      </c>
      <c r="V2454" s="58">
        <v>0</v>
      </c>
      <c r="AG2454" t="s">
        <v>2172</v>
      </c>
      <c r="AM2454" s="1" t="str">
        <f t="shared" si="152"/>
        <v>2452_C0013_0373.jpg</v>
      </c>
    </row>
    <row r="2455" spans="1:39" x14ac:dyDescent="0.35">
      <c r="A2455">
        <v>2451</v>
      </c>
      <c r="B2455">
        <v>2452</v>
      </c>
      <c r="F2455" s="64" t="s">
        <v>5491</v>
      </c>
      <c r="G2455" s="64"/>
      <c r="H2455" s="64"/>
      <c r="I2455" s="64">
        <v>0</v>
      </c>
      <c r="J2455" s="32" t="str">
        <f>IF(AND(E2455=1,OR(E2454=0,E2454="")),MAX(#REF!)+1,IF(AND(E2455=1,E2454=1),J2454,""))</f>
        <v/>
      </c>
      <c r="K2455" s="32" t="str">
        <f t="shared" si="149"/>
        <v/>
      </c>
      <c r="L2455" s="32" t="str">
        <f t="shared" si="150"/>
        <v/>
      </c>
      <c r="M2455" s="32" t="str">
        <f t="shared" si="151"/>
        <v/>
      </c>
      <c r="N2455" s="4">
        <v>1</v>
      </c>
      <c r="O2455" s="58">
        <v>0</v>
      </c>
      <c r="P2455" s="58">
        <v>0</v>
      </c>
      <c r="Q2455" s="58">
        <v>0</v>
      </c>
      <c r="R2455" s="58">
        <v>0</v>
      </c>
      <c r="S2455" s="58">
        <v>0</v>
      </c>
      <c r="T2455" s="58">
        <v>0</v>
      </c>
      <c r="U2455" s="58">
        <v>0</v>
      </c>
      <c r="V2455" s="58">
        <v>0</v>
      </c>
      <c r="AG2455" t="s">
        <v>2173</v>
      </c>
      <c r="AM2455" s="1" t="str">
        <f t="shared" si="152"/>
        <v>2453_C0013_0370.jpg</v>
      </c>
    </row>
    <row r="2456" spans="1:39" x14ac:dyDescent="0.35">
      <c r="A2456">
        <v>2452</v>
      </c>
      <c r="B2456">
        <v>2453</v>
      </c>
      <c r="F2456" s="64" t="s">
        <v>5492</v>
      </c>
      <c r="G2456" s="64"/>
      <c r="H2456" s="64"/>
      <c r="I2456" s="64">
        <v>0</v>
      </c>
      <c r="J2456" s="32" t="str">
        <f>IF(AND(E2456=1,OR(E2455=0,E2455="")),MAX(#REF!)+1,IF(AND(E2456=1,E2455=1),J2455,""))</f>
        <v/>
      </c>
      <c r="K2456" s="32" t="str">
        <f t="shared" si="149"/>
        <v/>
      </c>
      <c r="L2456" s="32" t="str">
        <f t="shared" si="150"/>
        <v/>
      </c>
      <c r="M2456" s="32" t="str">
        <f t="shared" si="151"/>
        <v/>
      </c>
      <c r="N2456" s="4">
        <v>1</v>
      </c>
      <c r="O2456" s="58">
        <v>0</v>
      </c>
      <c r="P2456" s="58">
        <v>0</v>
      </c>
      <c r="Q2456" s="58">
        <v>0</v>
      </c>
      <c r="R2456" s="58">
        <v>0</v>
      </c>
      <c r="S2456" s="58">
        <v>0</v>
      </c>
      <c r="T2456" s="58">
        <v>0</v>
      </c>
      <c r="U2456" s="58">
        <v>0</v>
      </c>
      <c r="V2456" s="58">
        <v>0</v>
      </c>
      <c r="AG2456" t="s">
        <v>2174</v>
      </c>
      <c r="AM2456" s="1" t="str">
        <f t="shared" si="152"/>
        <v>2454_C0013_0367.jpg</v>
      </c>
    </row>
    <row r="2457" spans="1:39" x14ac:dyDescent="0.35">
      <c r="A2457">
        <v>2453</v>
      </c>
      <c r="B2457">
        <v>2454</v>
      </c>
      <c r="F2457" s="64" t="s">
        <v>5493</v>
      </c>
      <c r="G2457" s="64"/>
      <c r="H2457" s="64"/>
      <c r="I2457" s="64">
        <v>0</v>
      </c>
      <c r="J2457" s="32" t="str">
        <f>IF(AND(E2457=1,OR(E2456=0,E2456="")),MAX(#REF!)+1,IF(AND(E2457=1,E2456=1),J2456,""))</f>
        <v/>
      </c>
      <c r="K2457" s="32" t="str">
        <f t="shared" si="149"/>
        <v/>
      </c>
      <c r="L2457" s="32" t="str">
        <f t="shared" si="150"/>
        <v/>
      </c>
      <c r="M2457" s="32" t="str">
        <f t="shared" si="151"/>
        <v/>
      </c>
      <c r="N2457" s="4">
        <v>1</v>
      </c>
      <c r="O2457" s="58">
        <v>0</v>
      </c>
      <c r="P2457" s="58">
        <v>0</v>
      </c>
      <c r="Q2457" s="58">
        <v>0</v>
      </c>
      <c r="R2457" s="58">
        <v>0</v>
      </c>
      <c r="S2457" s="58">
        <v>0</v>
      </c>
      <c r="T2457" s="58">
        <v>0</v>
      </c>
      <c r="U2457" s="58">
        <v>0</v>
      </c>
      <c r="V2457" s="58">
        <v>0</v>
      </c>
      <c r="AG2457" t="s">
        <v>2175</v>
      </c>
      <c r="AM2457" s="1" t="str">
        <f t="shared" si="152"/>
        <v>2455_C0013_0365.jpg</v>
      </c>
    </row>
    <row r="2458" spans="1:39" x14ac:dyDescent="0.35">
      <c r="A2458">
        <v>2454</v>
      </c>
      <c r="B2458">
        <v>2455</v>
      </c>
      <c r="F2458" s="64" t="s">
        <v>5494</v>
      </c>
      <c r="G2458" s="64"/>
      <c r="H2458" s="64"/>
      <c r="I2458" s="64">
        <v>0</v>
      </c>
      <c r="J2458" s="32">
        <v>168</v>
      </c>
      <c r="K2458" s="32">
        <f t="shared" si="149"/>
        <v>10</v>
      </c>
      <c r="L2458" s="32" t="str">
        <f t="shared" si="150"/>
        <v/>
      </c>
      <c r="M2458" s="32">
        <f t="shared" si="151"/>
        <v>100</v>
      </c>
      <c r="N2458" s="4">
        <v>1</v>
      </c>
      <c r="O2458" s="58">
        <v>0</v>
      </c>
      <c r="P2458" s="58">
        <v>0</v>
      </c>
      <c r="Q2458" s="58">
        <v>0</v>
      </c>
      <c r="R2458" s="58">
        <v>0</v>
      </c>
      <c r="S2458" s="58">
        <v>0</v>
      </c>
      <c r="T2458" s="58">
        <v>0</v>
      </c>
      <c r="U2458" s="58">
        <v>0</v>
      </c>
      <c r="V2458" s="58">
        <v>0</v>
      </c>
      <c r="AG2458" t="s">
        <v>2176</v>
      </c>
      <c r="AM2458" s="1" t="str">
        <f t="shared" si="152"/>
        <v>2456_C0013_0361.jpg</v>
      </c>
    </row>
    <row r="2459" spans="1:39" x14ac:dyDescent="0.35">
      <c r="A2459">
        <v>2455</v>
      </c>
      <c r="B2459">
        <v>2456</v>
      </c>
      <c r="F2459" s="64" t="s">
        <v>5495</v>
      </c>
      <c r="G2459" s="64"/>
      <c r="H2459" s="64"/>
      <c r="I2459" s="64">
        <v>0</v>
      </c>
      <c r="J2459" s="32" t="str">
        <f>IF(AND(E2459=1,OR(E2458=0,E2458="")),MAX(#REF!)+1,IF(AND(E2459=1,E2458=1),J2458,""))</f>
        <v/>
      </c>
      <c r="K2459" s="32" t="str">
        <f t="shared" si="149"/>
        <v/>
      </c>
      <c r="L2459" s="32" t="str">
        <f t="shared" si="150"/>
        <v/>
      </c>
      <c r="M2459" s="32" t="str">
        <f t="shared" si="151"/>
        <v/>
      </c>
      <c r="N2459" s="4">
        <v>1</v>
      </c>
      <c r="O2459" s="58">
        <v>0</v>
      </c>
      <c r="P2459" s="58">
        <v>0</v>
      </c>
      <c r="Q2459" s="58">
        <v>0</v>
      </c>
      <c r="R2459" s="58">
        <v>0</v>
      </c>
      <c r="S2459" s="58">
        <v>0</v>
      </c>
      <c r="T2459" s="58">
        <v>0</v>
      </c>
      <c r="U2459" s="58">
        <v>0</v>
      </c>
      <c r="V2459" s="58">
        <v>0</v>
      </c>
      <c r="AG2459" t="s">
        <v>2177</v>
      </c>
      <c r="AM2459" s="1" t="str">
        <f t="shared" si="152"/>
        <v>2457_C0013_0358.jpg</v>
      </c>
    </row>
    <row r="2460" spans="1:39" x14ac:dyDescent="0.35">
      <c r="A2460">
        <v>2456</v>
      </c>
      <c r="B2460">
        <v>2457</v>
      </c>
      <c r="F2460" s="64" t="s">
        <v>5496</v>
      </c>
      <c r="G2460" s="64"/>
      <c r="H2460" s="64"/>
      <c r="I2460" s="64">
        <v>1</v>
      </c>
      <c r="J2460" s="32" t="str">
        <f>IF(AND(E2460=1,OR(E2459=0,E2459="")),MAX(#REF!)+1,IF(AND(E2460=1,E2459=1),J2459,""))</f>
        <v/>
      </c>
      <c r="K2460" s="32" t="str">
        <f t="shared" si="149"/>
        <v/>
      </c>
      <c r="L2460" s="32" t="str">
        <f t="shared" si="150"/>
        <v/>
      </c>
      <c r="M2460" s="32" t="str">
        <f t="shared" si="151"/>
        <v/>
      </c>
      <c r="N2460" s="4">
        <v>1</v>
      </c>
      <c r="O2460" s="58">
        <v>0</v>
      </c>
      <c r="P2460" s="58">
        <v>0</v>
      </c>
      <c r="Q2460" s="58">
        <v>0</v>
      </c>
      <c r="R2460" s="58">
        <v>0</v>
      </c>
      <c r="S2460" s="58">
        <v>0</v>
      </c>
      <c r="T2460" s="58">
        <v>0</v>
      </c>
      <c r="U2460" s="58">
        <v>0</v>
      </c>
      <c r="V2460" s="58">
        <v>0</v>
      </c>
      <c r="AG2460" t="s">
        <v>2178</v>
      </c>
      <c r="AM2460" s="1" t="str">
        <f t="shared" si="152"/>
        <v>2458_C0013_0355.jpg</v>
      </c>
    </row>
    <row r="2461" spans="1:39" x14ac:dyDescent="0.35">
      <c r="A2461">
        <v>2457</v>
      </c>
      <c r="B2461">
        <v>2458</v>
      </c>
      <c r="F2461" s="64" t="s">
        <v>5497</v>
      </c>
      <c r="G2461" s="64"/>
      <c r="H2461" s="64"/>
      <c r="I2461" s="64">
        <v>1</v>
      </c>
      <c r="J2461" s="32" t="str">
        <f>IF(AND(E2461=1,OR(E2460=0,E2460="")),MAX(#REF!)+1,IF(AND(E2461=1,E2460=1),J2460,""))</f>
        <v/>
      </c>
      <c r="K2461" s="32" t="str">
        <f t="shared" si="149"/>
        <v/>
      </c>
      <c r="L2461" s="32" t="str">
        <f t="shared" si="150"/>
        <v/>
      </c>
      <c r="M2461" s="32" t="str">
        <f t="shared" si="151"/>
        <v/>
      </c>
      <c r="N2461" s="4">
        <v>1</v>
      </c>
      <c r="O2461" s="58">
        <v>0</v>
      </c>
      <c r="P2461" s="58">
        <v>0</v>
      </c>
      <c r="Q2461" s="58">
        <v>0</v>
      </c>
      <c r="R2461" s="58">
        <v>0</v>
      </c>
      <c r="S2461" s="58">
        <v>0</v>
      </c>
      <c r="T2461" s="58">
        <v>0</v>
      </c>
      <c r="U2461" s="58">
        <v>0</v>
      </c>
      <c r="V2461" s="58">
        <v>0</v>
      </c>
      <c r="AG2461" t="s">
        <v>2179</v>
      </c>
      <c r="AM2461" s="1" t="str">
        <f t="shared" si="152"/>
        <v>2459_C0013_0353.jpg</v>
      </c>
    </row>
    <row r="2462" spans="1:39" x14ac:dyDescent="0.35">
      <c r="A2462">
        <v>2458</v>
      </c>
      <c r="B2462">
        <v>2459</v>
      </c>
      <c r="F2462" s="64" t="s">
        <v>5498</v>
      </c>
      <c r="G2462" s="64"/>
      <c r="H2462" s="64"/>
      <c r="I2462" s="64">
        <v>1</v>
      </c>
      <c r="J2462" s="32" t="str">
        <f>IF(AND(E2462=1,OR(E2461=0,E2461="")),MAX(#REF!)+1,IF(AND(E2462=1,E2461=1),J2461,""))</f>
        <v/>
      </c>
      <c r="K2462" s="32" t="str">
        <f t="shared" si="149"/>
        <v/>
      </c>
      <c r="L2462" s="32" t="str">
        <f t="shared" si="150"/>
        <v/>
      </c>
      <c r="M2462" s="32" t="str">
        <f t="shared" si="151"/>
        <v/>
      </c>
      <c r="N2462" s="4">
        <v>1</v>
      </c>
      <c r="O2462" s="58">
        <v>0</v>
      </c>
      <c r="P2462" s="58">
        <v>0</v>
      </c>
      <c r="Q2462" s="58">
        <v>0</v>
      </c>
      <c r="R2462" s="58">
        <v>0</v>
      </c>
      <c r="S2462" s="58">
        <v>0</v>
      </c>
      <c r="T2462" s="58">
        <v>0</v>
      </c>
      <c r="U2462" s="58">
        <v>0</v>
      </c>
      <c r="V2462" s="58">
        <v>0</v>
      </c>
      <c r="AG2462" t="s">
        <v>2180</v>
      </c>
      <c r="AM2462" s="1" t="str">
        <f t="shared" si="152"/>
        <v>2460_C0013_0350.jpg</v>
      </c>
    </row>
    <row r="2463" spans="1:39" x14ac:dyDescent="0.35">
      <c r="A2463">
        <v>2459</v>
      </c>
      <c r="B2463">
        <v>2460</v>
      </c>
      <c r="F2463" s="64" t="s">
        <v>5499</v>
      </c>
      <c r="G2463" s="64"/>
      <c r="H2463" s="64"/>
      <c r="I2463" s="64">
        <v>0</v>
      </c>
      <c r="J2463" s="32" t="str">
        <f>IF(AND(E2463=1,OR(E2462=0,E2462="")),MAX(#REF!)+1,IF(AND(E2463=1,E2462=1),J2462,""))</f>
        <v/>
      </c>
      <c r="K2463" s="32" t="str">
        <f t="shared" ref="K2463:K2526" si="153">IF(J2463="","",COUNTIF(J:J,J2463)*10)</f>
        <v/>
      </c>
      <c r="L2463" s="32" t="str">
        <f t="shared" si="150"/>
        <v/>
      </c>
      <c r="M2463" s="32" t="str">
        <f t="shared" si="151"/>
        <v/>
      </c>
      <c r="N2463" s="4">
        <v>1</v>
      </c>
      <c r="O2463" s="58">
        <v>0</v>
      </c>
      <c r="P2463" s="58">
        <v>0</v>
      </c>
      <c r="Q2463" s="58">
        <v>0</v>
      </c>
      <c r="R2463" s="58">
        <v>0</v>
      </c>
      <c r="S2463" s="58">
        <v>0</v>
      </c>
      <c r="T2463" s="58">
        <v>0</v>
      </c>
      <c r="U2463" s="58">
        <v>0</v>
      </c>
      <c r="V2463" s="58">
        <v>0</v>
      </c>
      <c r="AG2463" t="s">
        <v>2181</v>
      </c>
      <c r="AM2463" s="1" t="str">
        <f t="shared" si="152"/>
        <v>2461_C0013_0348.jpg</v>
      </c>
    </row>
    <row r="2464" spans="1:39" x14ac:dyDescent="0.35">
      <c r="A2464">
        <v>2460</v>
      </c>
      <c r="B2464">
        <v>2461</v>
      </c>
      <c r="F2464" s="64" t="s">
        <v>5500</v>
      </c>
      <c r="G2464" s="64"/>
      <c r="H2464" s="64"/>
      <c r="I2464" s="64">
        <v>0</v>
      </c>
      <c r="J2464" s="32" t="str">
        <f>IF(AND(E2464=1,OR(E2463=0,E2463="")),MAX(#REF!)+1,IF(AND(E2464=1,E2463=1),J2463,""))</f>
        <v/>
      </c>
      <c r="K2464" s="32" t="str">
        <f t="shared" si="153"/>
        <v/>
      </c>
      <c r="L2464" s="32" t="str">
        <f t="shared" si="150"/>
        <v/>
      </c>
      <c r="M2464" s="32" t="str">
        <f t="shared" si="151"/>
        <v/>
      </c>
      <c r="N2464" s="4">
        <v>1</v>
      </c>
      <c r="O2464" s="58">
        <v>0</v>
      </c>
      <c r="P2464" s="58">
        <v>0</v>
      </c>
      <c r="Q2464" s="58">
        <v>0</v>
      </c>
      <c r="R2464" s="58">
        <v>0</v>
      </c>
      <c r="S2464" s="58">
        <v>0</v>
      </c>
      <c r="T2464" s="58">
        <v>0</v>
      </c>
      <c r="U2464" s="58">
        <v>0</v>
      </c>
      <c r="V2464" s="58">
        <v>0</v>
      </c>
      <c r="AG2464" t="s">
        <v>2182</v>
      </c>
      <c r="AM2464" s="1" t="str">
        <f t="shared" si="152"/>
        <v>2462_C0013_0345.jpg</v>
      </c>
    </row>
    <row r="2465" spans="1:39" x14ac:dyDescent="0.35">
      <c r="A2465">
        <v>2461</v>
      </c>
      <c r="B2465">
        <v>2462</v>
      </c>
      <c r="F2465" s="64" t="s">
        <v>5501</v>
      </c>
      <c r="G2465" s="64"/>
      <c r="H2465" s="64"/>
      <c r="I2465" s="64">
        <v>1</v>
      </c>
      <c r="J2465" s="32" t="str">
        <f>IF(AND(E2465=1,OR(E2464=0,E2464="")),MAX(#REF!)+1,IF(AND(E2465=1,E2464=1),J2464,""))</f>
        <v/>
      </c>
      <c r="K2465" s="32" t="str">
        <f t="shared" si="153"/>
        <v/>
      </c>
      <c r="L2465" s="32" t="str">
        <f t="shared" si="150"/>
        <v/>
      </c>
      <c r="M2465" s="32" t="str">
        <f t="shared" si="151"/>
        <v/>
      </c>
      <c r="N2465" s="4">
        <v>1</v>
      </c>
      <c r="O2465" s="58">
        <v>0</v>
      </c>
      <c r="P2465" s="58">
        <v>0</v>
      </c>
      <c r="Q2465" s="58">
        <v>0</v>
      </c>
      <c r="R2465" s="58">
        <v>0</v>
      </c>
      <c r="S2465" s="58">
        <v>0</v>
      </c>
      <c r="T2465" s="58">
        <v>0</v>
      </c>
      <c r="U2465" s="58">
        <v>0</v>
      </c>
      <c r="V2465" s="58">
        <v>0</v>
      </c>
      <c r="AG2465" t="s">
        <v>2183</v>
      </c>
      <c r="AM2465" s="1" t="str">
        <f t="shared" si="152"/>
        <v>2463_C0013_0343.jpg</v>
      </c>
    </row>
    <row r="2466" spans="1:39" x14ac:dyDescent="0.35">
      <c r="A2466">
        <v>2462</v>
      </c>
      <c r="B2466">
        <v>2463</v>
      </c>
      <c r="F2466" s="64" t="s">
        <v>5502</v>
      </c>
      <c r="G2466" s="64"/>
      <c r="H2466" s="64"/>
      <c r="I2466" s="64">
        <v>0</v>
      </c>
      <c r="J2466" s="32" t="str">
        <f>IF(AND(E2466=1,OR(E2465=0,E2465="")),MAX(#REF!)+1,IF(AND(E2466=1,E2465=1),J2465,""))</f>
        <v/>
      </c>
      <c r="K2466" s="32" t="str">
        <f t="shared" si="153"/>
        <v/>
      </c>
      <c r="L2466" s="32" t="str">
        <f t="shared" si="150"/>
        <v/>
      </c>
      <c r="M2466" s="32" t="str">
        <f t="shared" si="151"/>
        <v/>
      </c>
      <c r="N2466" s="4">
        <v>1</v>
      </c>
      <c r="O2466" s="58">
        <v>0</v>
      </c>
      <c r="P2466" s="58">
        <v>0</v>
      </c>
      <c r="Q2466" s="58">
        <v>0</v>
      </c>
      <c r="R2466" s="58">
        <v>0</v>
      </c>
      <c r="S2466" s="58">
        <v>0</v>
      </c>
      <c r="T2466" s="58">
        <v>0</v>
      </c>
      <c r="U2466" s="58">
        <v>0</v>
      </c>
      <c r="V2466" s="58">
        <v>0</v>
      </c>
      <c r="AG2466" t="s">
        <v>2184</v>
      </c>
      <c r="AM2466" s="1" t="str">
        <f t="shared" si="152"/>
        <v>2464_C0013_0340.jpg</v>
      </c>
    </row>
    <row r="2467" spans="1:39" x14ac:dyDescent="0.35">
      <c r="A2467">
        <v>2463</v>
      </c>
      <c r="B2467">
        <v>2464</v>
      </c>
      <c r="F2467" s="64" t="s">
        <v>5503</v>
      </c>
      <c r="G2467" s="64"/>
      <c r="H2467" s="64"/>
      <c r="I2467" s="64">
        <v>0</v>
      </c>
      <c r="J2467" s="32" t="str">
        <f>IF(AND(E2467=1,OR(E2466=0,E2466="")),MAX(#REF!)+1,IF(AND(E2467=1,E2466=1),J2466,""))</f>
        <v/>
      </c>
      <c r="K2467" s="32" t="str">
        <f t="shared" si="153"/>
        <v/>
      </c>
      <c r="L2467" s="32" t="str">
        <f t="shared" si="150"/>
        <v/>
      </c>
      <c r="M2467" s="32" t="str">
        <f t="shared" si="151"/>
        <v/>
      </c>
      <c r="N2467" s="4">
        <v>1</v>
      </c>
      <c r="O2467" s="58">
        <v>0</v>
      </c>
      <c r="P2467" s="58">
        <v>0</v>
      </c>
      <c r="Q2467" s="58">
        <v>0</v>
      </c>
      <c r="R2467" s="58">
        <v>0</v>
      </c>
      <c r="S2467" s="58">
        <v>0</v>
      </c>
      <c r="T2467" s="58">
        <v>0</v>
      </c>
      <c r="U2467" s="58">
        <v>0</v>
      </c>
      <c r="V2467" s="58">
        <v>0</v>
      </c>
      <c r="AG2467" t="s">
        <v>2185</v>
      </c>
      <c r="AM2467" s="1" t="str">
        <f t="shared" si="152"/>
        <v>2465_C0013_0338.jpg</v>
      </c>
    </row>
    <row r="2468" spans="1:39" x14ac:dyDescent="0.35">
      <c r="A2468">
        <v>2464</v>
      </c>
      <c r="B2468">
        <v>2465</v>
      </c>
      <c r="F2468" s="64" t="s">
        <v>5504</v>
      </c>
      <c r="G2468" s="64"/>
      <c r="H2468" s="64"/>
      <c r="I2468" s="64">
        <v>0</v>
      </c>
      <c r="J2468" s="32" t="str">
        <f>IF(AND(E2468=1,OR(E2467=0,E2467="")),MAX(#REF!)+1,IF(AND(E2468=1,E2467=1),J2467,""))</f>
        <v/>
      </c>
      <c r="K2468" s="32" t="str">
        <f t="shared" si="153"/>
        <v/>
      </c>
      <c r="L2468" s="32" t="str">
        <f t="shared" si="150"/>
        <v/>
      </c>
      <c r="M2468" s="32" t="str">
        <f t="shared" si="151"/>
        <v/>
      </c>
      <c r="N2468" s="4">
        <v>1</v>
      </c>
      <c r="O2468" s="58">
        <v>1</v>
      </c>
      <c r="P2468" s="58">
        <v>0</v>
      </c>
      <c r="Q2468" s="58">
        <v>0</v>
      </c>
      <c r="R2468" s="58">
        <v>0</v>
      </c>
      <c r="S2468" s="58">
        <v>0</v>
      </c>
      <c r="T2468" s="58">
        <v>0</v>
      </c>
      <c r="U2468" s="58">
        <v>0</v>
      </c>
      <c r="V2468" s="58">
        <v>0</v>
      </c>
      <c r="AG2468" t="s">
        <v>2186</v>
      </c>
      <c r="AM2468" s="1" t="str">
        <f t="shared" si="152"/>
        <v>2466_C0013_0334.jpg</v>
      </c>
    </row>
    <row r="2469" spans="1:39" x14ac:dyDescent="0.35">
      <c r="A2469">
        <v>2465</v>
      </c>
      <c r="B2469">
        <v>2466</v>
      </c>
      <c r="F2469" s="64" t="s">
        <v>5505</v>
      </c>
      <c r="G2469" s="64"/>
      <c r="H2469" s="64"/>
      <c r="I2469" s="64">
        <v>0</v>
      </c>
      <c r="J2469" s="32" t="str">
        <f>IF(AND(E2469=1,OR(E2468=0,E2468="")),MAX(#REF!)+1,IF(AND(E2469=1,E2468=1),J2468,""))</f>
        <v/>
      </c>
      <c r="K2469" s="32" t="str">
        <f t="shared" si="153"/>
        <v/>
      </c>
      <c r="L2469" s="32" t="str">
        <f t="shared" si="150"/>
        <v/>
      </c>
      <c r="M2469" s="32" t="str">
        <f t="shared" si="151"/>
        <v/>
      </c>
      <c r="N2469" s="4">
        <v>1</v>
      </c>
      <c r="O2469" s="58">
        <v>0</v>
      </c>
      <c r="P2469" s="58">
        <v>0</v>
      </c>
      <c r="Q2469" s="58">
        <v>0</v>
      </c>
      <c r="R2469" s="58">
        <v>0</v>
      </c>
      <c r="S2469" s="58">
        <v>0</v>
      </c>
      <c r="T2469" s="58">
        <v>0</v>
      </c>
      <c r="U2469" s="58">
        <v>0</v>
      </c>
      <c r="V2469" s="58">
        <v>0</v>
      </c>
      <c r="AG2469" t="s">
        <v>2187</v>
      </c>
      <c r="AM2469" s="1" t="str">
        <f t="shared" si="152"/>
        <v>2467_C0013_0329.jpg</v>
      </c>
    </row>
    <row r="2470" spans="1:39" x14ac:dyDescent="0.35">
      <c r="A2470">
        <v>2466</v>
      </c>
      <c r="B2470">
        <v>2467</v>
      </c>
      <c r="F2470" s="64" t="s">
        <v>5506</v>
      </c>
      <c r="G2470" s="64"/>
      <c r="H2470" s="64"/>
      <c r="I2470" s="64">
        <v>0</v>
      </c>
      <c r="J2470" s="32" t="str">
        <f>IF(AND(E2470=1,OR(E2469=0,E2469="")),MAX(#REF!)+1,IF(AND(E2470=1,E2469=1),J2469,""))</f>
        <v/>
      </c>
      <c r="K2470" s="32" t="str">
        <f t="shared" si="153"/>
        <v/>
      </c>
      <c r="L2470" s="32" t="str">
        <f t="shared" si="150"/>
        <v/>
      </c>
      <c r="M2470" s="32" t="str">
        <f t="shared" si="151"/>
        <v/>
      </c>
      <c r="N2470" s="4">
        <v>1</v>
      </c>
      <c r="O2470" s="58">
        <v>0</v>
      </c>
      <c r="P2470" s="58">
        <v>0</v>
      </c>
      <c r="Q2470" s="58">
        <v>0</v>
      </c>
      <c r="R2470" s="58">
        <v>0</v>
      </c>
      <c r="S2470" s="58">
        <v>0</v>
      </c>
      <c r="T2470" s="58">
        <v>0</v>
      </c>
      <c r="U2470" s="58">
        <v>0</v>
      </c>
      <c r="V2470" s="58">
        <v>0</v>
      </c>
      <c r="AG2470" t="s">
        <v>2188</v>
      </c>
      <c r="AM2470" s="1" t="str">
        <f t="shared" si="152"/>
        <v>2468_C0013_0325.jpg</v>
      </c>
    </row>
    <row r="2471" spans="1:39" x14ac:dyDescent="0.35">
      <c r="A2471">
        <v>2467</v>
      </c>
      <c r="B2471">
        <v>2468</v>
      </c>
      <c r="F2471" s="64" t="s">
        <v>5507</v>
      </c>
      <c r="G2471" s="64"/>
      <c r="H2471" s="64"/>
      <c r="I2471" s="64">
        <v>0</v>
      </c>
      <c r="J2471" s="32" t="str">
        <f>IF(AND(E2471=1,OR(E2470=0,E2470="")),MAX(#REF!)+1,IF(AND(E2471=1,E2470=1),J2470,""))</f>
        <v/>
      </c>
      <c r="K2471" s="32" t="str">
        <f t="shared" si="153"/>
        <v/>
      </c>
      <c r="L2471" s="32" t="str">
        <f t="shared" si="150"/>
        <v/>
      </c>
      <c r="M2471" s="32" t="str">
        <f t="shared" si="151"/>
        <v/>
      </c>
      <c r="N2471" s="4">
        <v>1</v>
      </c>
      <c r="O2471" s="58">
        <v>0</v>
      </c>
      <c r="P2471" s="58">
        <v>0</v>
      </c>
      <c r="Q2471" s="58">
        <v>0</v>
      </c>
      <c r="R2471" s="58">
        <v>0</v>
      </c>
      <c r="S2471" s="58">
        <v>0</v>
      </c>
      <c r="T2471" s="58">
        <v>0</v>
      </c>
      <c r="U2471" s="58">
        <v>0</v>
      </c>
      <c r="V2471" s="58">
        <v>0</v>
      </c>
      <c r="AG2471" t="s">
        <v>2189</v>
      </c>
      <c r="AM2471" s="1" t="str">
        <f t="shared" si="152"/>
        <v>2469_C0013_0321.jpg</v>
      </c>
    </row>
    <row r="2472" spans="1:39" x14ac:dyDescent="0.35">
      <c r="A2472">
        <v>2468</v>
      </c>
      <c r="B2472">
        <v>2469</v>
      </c>
      <c r="F2472" s="64" t="s">
        <v>5508</v>
      </c>
      <c r="G2472" s="64"/>
      <c r="H2472" s="64"/>
      <c r="I2472" s="64">
        <v>0</v>
      </c>
      <c r="J2472" s="32">
        <v>201</v>
      </c>
      <c r="K2472" s="32">
        <f t="shared" si="153"/>
        <v>10</v>
      </c>
      <c r="L2472" s="32" t="str">
        <f t="shared" si="150"/>
        <v/>
      </c>
      <c r="M2472" s="32">
        <f t="shared" si="151"/>
        <v>100</v>
      </c>
      <c r="N2472" s="4">
        <v>1</v>
      </c>
      <c r="O2472" s="58">
        <v>0</v>
      </c>
      <c r="P2472" s="58">
        <v>0</v>
      </c>
      <c r="Q2472" s="58">
        <v>0</v>
      </c>
      <c r="R2472" s="58">
        <v>0</v>
      </c>
      <c r="S2472" s="58">
        <v>0</v>
      </c>
      <c r="T2472" s="58">
        <v>0</v>
      </c>
      <c r="U2472" s="58">
        <v>0</v>
      </c>
      <c r="V2472" s="58">
        <v>0</v>
      </c>
      <c r="AG2472" t="s">
        <v>2190</v>
      </c>
      <c r="AM2472" s="1" t="str">
        <f t="shared" si="152"/>
        <v>2470_C0013_0318.jpg</v>
      </c>
    </row>
    <row r="2473" spans="1:39" x14ac:dyDescent="0.35">
      <c r="A2473">
        <v>2469</v>
      </c>
      <c r="B2473">
        <v>2470</v>
      </c>
      <c r="F2473" s="64" t="s">
        <v>5509</v>
      </c>
      <c r="G2473" s="64"/>
      <c r="H2473" s="64"/>
      <c r="I2473" s="64">
        <v>1</v>
      </c>
      <c r="J2473" s="32" t="str">
        <f>IF(AND(E2473=1,OR(E2472=0,E2472="")),MAX(#REF!)+1,IF(AND(E2473=1,E2472=1),J2472,""))</f>
        <v/>
      </c>
      <c r="K2473" s="32" t="str">
        <f t="shared" si="153"/>
        <v/>
      </c>
      <c r="L2473" s="32" t="str">
        <f t="shared" si="150"/>
        <v/>
      </c>
      <c r="M2473" s="32" t="str">
        <f t="shared" si="151"/>
        <v/>
      </c>
      <c r="N2473" s="4">
        <v>1</v>
      </c>
      <c r="O2473" s="58">
        <v>0</v>
      </c>
      <c r="P2473" s="58">
        <v>0</v>
      </c>
      <c r="Q2473" s="58">
        <v>0</v>
      </c>
      <c r="R2473" s="58">
        <v>0</v>
      </c>
      <c r="S2473" s="58">
        <v>0</v>
      </c>
      <c r="T2473" s="58">
        <v>0</v>
      </c>
      <c r="U2473" s="58">
        <v>0</v>
      </c>
      <c r="V2473" s="58">
        <v>0</v>
      </c>
      <c r="AG2473" t="s">
        <v>2191</v>
      </c>
      <c r="AM2473" s="1" t="str">
        <f t="shared" si="152"/>
        <v>2471_C0013_0314.jpg</v>
      </c>
    </row>
    <row r="2474" spans="1:39" x14ac:dyDescent="0.35">
      <c r="A2474">
        <v>2470</v>
      </c>
      <c r="B2474">
        <v>2471</v>
      </c>
      <c r="F2474" s="64" t="s">
        <v>5510</v>
      </c>
      <c r="G2474" s="64"/>
      <c r="H2474" s="64"/>
      <c r="I2474" s="64">
        <v>1</v>
      </c>
      <c r="J2474" s="32" t="str">
        <f>IF(AND(E2474=1,OR(E2473=0,E2473="")),MAX(#REF!)+1,IF(AND(E2474=1,E2473=1),J2473,""))</f>
        <v/>
      </c>
      <c r="K2474" s="32" t="str">
        <f t="shared" si="153"/>
        <v/>
      </c>
      <c r="L2474" s="32" t="str">
        <f t="shared" si="150"/>
        <v/>
      </c>
      <c r="M2474" s="32" t="str">
        <f t="shared" si="151"/>
        <v/>
      </c>
      <c r="N2474" s="4">
        <v>1</v>
      </c>
      <c r="O2474" s="58">
        <v>0</v>
      </c>
      <c r="P2474" s="58">
        <v>0</v>
      </c>
      <c r="Q2474" s="58">
        <v>0</v>
      </c>
      <c r="R2474" s="58">
        <v>0</v>
      </c>
      <c r="S2474" s="58">
        <v>0</v>
      </c>
      <c r="T2474" s="58">
        <v>0</v>
      </c>
      <c r="U2474" s="58">
        <v>0</v>
      </c>
      <c r="V2474" s="58">
        <v>0</v>
      </c>
      <c r="AG2474" t="s">
        <v>2192</v>
      </c>
      <c r="AM2474" s="1" t="str">
        <f t="shared" si="152"/>
        <v>2472_C0013_0310.jpg</v>
      </c>
    </row>
    <row r="2475" spans="1:39" x14ac:dyDescent="0.35">
      <c r="A2475">
        <v>2471</v>
      </c>
      <c r="B2475">
        <v>2472</v>
      </c>
      <c r="F2475" s="64" t="s">
        <v>5511</v>
      </c>
      <c r="G2475" s="64"/>
      <c r="H2475" s="64"/>
      <c r="I2475" s="64">
        <v>1</v>
      </c>
      <c r="J2475" s="32" t="str">
        <f>IF(AND(E2475=1,OR(E2474=0,E2474="")),MAX(#REF!)+1,IF(AND(E2475=1,E2474=1),J2474,""))</f>
        <v/>
      </c>
      <c r="K2475" s="32" t="str">
        <f t="shared" si="153"/>
        <v/>
      </c>
      <c r="L2475" s="32" t="str">
        <f t="shared" si="150"/>
        <v/>
      </c>
      <c r="M2475" s="32" t="str">
        <f t="shared" si="151"/>
        <v/>
      </c>
      <c r="N2475" s="4">
        <v>1</v>
      </c>
      <c r="O2475" s="58">
        <v>0</v>
      </c>
      <c r="P2475" s="58">
        <v>0</v>
      </c>
      <c r="Q2475" s="58">
        <v>0</v>
      </c>
      <c r="R2475" s="58">
        <v>0</v>
      </c>
      <c r="S2475" s="58">
        <v>0</v>
      </c>
      <c r="T2475" s="58">
        <v>0</v>
      </c>
      <c r="U2475" s="58">
        <v>0</v>
      </c>
      <c r="V2475" s="58">
        <v>0</v>
      </c>
      <c r="AG2475" t="s">
        <v>2193</v>
      </c>
      <c r="AM2475" s="1" t="str">
        <f t="shared" si="152"/>
        <v>2473_C0013_0307.jpg</v>
      </c>
    </row>
    <row r="2476" spans="1:39" x14ac:dyDescent="0.35">
      <c r="A2476">
        <v>2472</v>
      </c>
      <c r="B2476">
        <v>2473</v>
      </c>
      <c r="F2476" s="64" t="s">
        <v>5512</v>
      </c>
      <c r="G2476" s="64"/>
      <c r="H2476" s="64"/>
      <c r="I2476" s="64">
        <v>0</v>
      </c>
      <c r="J2476" s="32" t="str">
        <f>IF(AND(E2476=1,OR(E2475=0,E2475="")),MAX(#REF!)+1,IF(AND(E2476=1,E2475=1),J2475,""))</f>
        <v/>
      </c>
      <c r="K2476" s="32" t="str">
        <f t="shared" si="153"/>
        <v/>
      </c>
      <c r="L2476" s="32" t="str">
        <f t="shared" si="150"/>
        <v/>
      </c>
      <c r="M2476" s="32" t="str">
        <f t="shared" si="151"/>
        <v/>
      </c>
      <c r="N2476" s="4">
        <v>1</v>
      </c>
      <c r="O2476" s="58">
        <v>0</v>
      </c>
      <c r="P2476" s="58">
        <v>0</v>
      </c>
      <c r="Q2476" s="58">
        <v>0</v>
      </c>
      <c r="R2476" s="58">
        <v>0</v>
      </c>
      <c r="S2476" s="58">
        <v>0</v>
      </c>
      <c r="T2476" s="58">
        <v>0</v>
      </c>
      <c r="U2476" s="58">
        <v>0</v>
      </c>
      <c r="V2476" s="58">
        <v>0</v>
      </c>
      <c r="AG2476" t="s">
        <v>2194</v>
      </c>
      <c r="AM2476" s="1" t="str">
        <f t="shared" si="152"/>
        <v>2474_C0013_0304.jpg</v>
      </c>
    </row>
    <row r="2477" spans="1:39" x14ac:dyDescent="0.35">
      <c r="A2477">
        <v>2473</v>
      </c>
      <c r="B2477">
        <v>2474</v>
      </c>
      <c r="F2477" s="64" t="s">
        <v>5513</v>
      </c>
      <c r="G2477" s="64"/>
      <c r="H2477" s="64"/>
      <c r="I2477" s="64">
        <v>0</v>
      </c>
      <c r="J2477" s="32" t="str">
        <f>IF(AND(E2477=1,OR(E2476=0,E2476="")),MAX(#REF!)+1,IF(AND(E2477=1,E2476=1),J2476,""))</f>
        <v/>
      </c>
      <c r="K2477" s="32" t="str">
        <f t="shared" si="153"/>
        <v/>
      </c>
      <c r="L2477" s="32" t="str">
        <f t="shared" si="150"/>
        <v/>
      </c>
      <c r="M2477" s="32" t="str">
        <f t="shared" si="151"/>
        <v/>
      </c>
      <c r="N2477" s="4">
        <v>1</v>
      </c>
      <c r="O2477" s="58">
        <v>0</v>
      </c>
      <c r="P2477" s="58">
        <v>0</v>
      </c>
      <c r="Q2477" s="58">
        <v>0</v>
      </c>
      <c r="R2477" s="58">
        <v>0</v>
      </c>
      <c r="S2477" s="58">
        <v>0</v>
      </c>
      <c r="T2477" s="58">
        <v>0</v>
      </c>
      <c r="U2477" s="58">
        <v>0</v>
      </c>
      <c r="V2477" s="58">
        <v>0</v>
      </c>
      <c r="AG2477" t="s">
        <v>2195</v>
      </c>
      <c r="AM2477" s="1" t="str">
        <f t="shared" si="152"/>
        <v>2475_C0013_0301.jpg</v>
      </c>
    </row>
    <row r="2478" spans="1:39" x14ac:dyDescent="0.35">
      <c r="A2478">
        <v>2474</v>
      </c>
      <c r="B2478">
        <v>2475</v>
      </c>
      <c r="F2478" s="64" t="s">
        <v>5514</v>
      </c>
      <c r="G2478" s="64"/>
      <c r="H2478" s="64"/>
      <c r="I2478" s="64">
        <v>0</v>
      </c>
      <c r="J2478" s="32" t="str">
        <f>IF(AND(E2478=1,OR(E2477=0,E2477="")),MAX(#REF!)+1,IF(AND(E2478=1,E2477=1),J2477,""))</f>
        <v/>
      </c>
      <c r="K2478" s="32" t="str">
        <f t="shared" si="153"/>
        <v/>
      </c>
      <c r="L2478" s="32" t="str">
        <f t="shared" si="150"/>
        <v/>
      </c>
      <c r="M2478" s="32" t="str">
        <f t="shared" si="151"/>
        <v/>
      </c>
      <c r="N2478" s="4">
        <v>1</v>
      </c>
      <c r="O2478" s="58">
        <v>0</v>
      </c>
      <c r="P2478" s="58">
        <v>0</v>
      </c>
      <c r="Q2478" s="58">
        <v>0</v>
      </c>
      <c r="R2478" s="58">
        <v>0</v>
      </c>
      <c r="S2478" s="58">
        <v>0</v>
      </c>
      <c r="T2478" s="58">
        <v>0</v>
      </c>
      <c r="U2478" s="58">
        <v>0</v>
      </c>
      <c r="V2478" s="58">
        <v>0</v>
      </c>
      <c r="AG2478" t="s">
        <v>2196</v>
      </c>
      <c r="AM2478" s="1" t="str">
        <f t="shared" si="152"/>
        <v>2476_C0013_0298.jpg</v>
      </c>
    </row>
    <row r="2479" spans="1:39" x14ac:dyDescent="0.35">
      <c r="A2479">
        <v>2475</v>
      </c>
      <c r="B2479">
        <v>2476</v>
      </c>
      <c r="F2479" s="64" t="s">
        <v>5515</v>
      </c>
      <c r="G2479" s="64"/>
      <c r="H2479" s="64"/>
      <c r="I2479" s="64">
        <v>0</v>
      </c>
      <c r="J2479" s="32" t="str">
        <f>IF(AND(E2479=1,OR(E2478=0,E2478="")),MAX(#REF!)+1,IF(AND(E2479=1,E2478=1),J2478,""))</f>
        <v/>
      </c>
      <c r="K2479" s="32" t="str">
        <f t="shared" si="153"/>
        <v/>
      </c>
      <c r="L2479" s="32" t="str">
        <f t="shared" si="150"/>
        <v/>
      </c>
      <c r="M2479" s="32" t="str">
        <f t="shared" si="151"/>
        <v/>
      </c>
      <c r="N2479" s="4">
        <v>1</v>
      </c>
      <c r="O2479" s="58">
        <v>0</v>
      </c>
      <c r="P2479" s="58">
        <v>0</v>
      </c>
      <c r="Q2479" s="58">
        <v>0</v>
      </c>
      <c r="R2479" s="58">
        <v>0</v>
      </c>
      <c r="S2479" s="58">
        <v>0</v>
      </c>
      <c r="T2479" s="58">
        <v>0</v>
      </c>
      <c r="U2479" s="58">
        <v>0</v>
      </c>
      <c r="V2479" s="58">
        <v>0</v>
      </c>
      <c r="AG2479" t="s">
        <v>2197</v>
      </c>
      <c r="AM2479" s="1" t="str">
        <f t="shared" si="152"/>
        <v>2477_C0013_0296.jpg</v>
      </c>
    </row>
    <row r="2480" spans="1:39" x14ac:dyDescent="0.35">
      <c r="A2480">
        <v>2476</v>
      </c>
      <c r="B2480">
        <v>2477</v>
      </c>
      <c r="F2480" s="64" t="s">
        <v>5516</v>
      </c>
      <c r="G2480" s="64"/>
      <c r="H2480" s="64"/>
      <c r="I2480" s="64">
        <v>0</v>
      </c>
      <c r="J2480" s="32" t="str">
        <f>IF(AND(E2480=1,OR(E2479=0,E2479="")),MAX(#REF!)+1,IF(AND(E2480=1,E2479=1),J2479,""))</f>
        <v/>
      </c>
      <c r="K2480" s="32" t="str">
        <f t="shared" si="153"/>
        <v/>
      </c>
      <c r="L2480" s="32" t="str">
        <f t="shared" si="150"/>
        <v/>
      </c>
      <c r="M2480" s="32" t="str">
        <f t="shared" si="151"/>
        <v/>
      </c>
      <c r="N2480" s="4">
        <v>1</v>
      </c>
      <c r="O2480" s="58">
        <v>0</v>
      </c>
      <c r="P2480" s="58">
        <v>0</v>
      </c>
      <c r="Q2480" s="58">
        <v>0</v>
      </c>
      <c r="R2480" s="58">
        <v>0</v>
      </c>
      <c r="S2480" s="58">
        <v>0</v>
      </c>
      <c r="T2480" s="58">
        <v>0</v>
      </c>
      <c r="U2480" s="58">
        <v>0</v>
      </c>
      <c r="V2480" s="58">
        <v>0</v>
      </c>
      <c r="AG2480" t="s">
        <v>2198</v>
      </c>
      <c r="AM2480" s="1" t="str">
        <f t="shared" si="152"/>
        <v>2478_C0013_0293.jpg</v>
      </c>
    </row>
    <row r="2481" spans="1:39" x14ac:dyDescent="0.35">
      <c r="A2481">
        <v>2477</v>
      </c>
      <c r="B2481">
        <v>2478</v>
      </c>
      <c r="F2481" s="64" t="s">
        <v>5517</v>
      </c>
      <c r="G2481" s="64"/>
      <c r="H2481" s="64"/>
      <c r="I2481" s="64">
        <v>0</v>
      </c>
      <c r="J2481" s="32" t="str">
        <f>IF(AND(E2481=1,OR(E2480=0,E2480="")),MAX(#REF!)+1,IF(AND(E2481=1,E2480=1),J2480,""))</f>
        <v/>
      </c>
      <c r="K2481" s="32" t="str">
        <f t="shared" si="153"/>
        <v/>
      </c>
      <c r="L2481" s="32" t="str">
        <f t="shared" si="150"/>
        <v/>
      </c>
      <c r="M2481" s="32" t="str">
        <f t="shared" si="151"/>
        <v/>
      </c>
      <c r="N2481" s="4">
        <v>1</v>
      </c>
      <c r="O2481" s="58">
        <v>0</v>
      </c>
      <c r="P2481" s="58">
        <v>0</v>
      </c>
      <c r="Q2481" s="58">
        <v>0</v>
      </c>
      <c r="R2481" s="58">
        <v>0</v>
      </c>
      <c r="S2481" s="58">
        <v>0</v>
      </c>
      <c r="T2481" s="58">
        <v>0</v>
      </c>
      <c r="U2481" s="58">
        <v>0</v>
      </c>
      <c r="V2481" s="58">
        <v>0</v>
      </c>
      <c r="AG2481" t="s">
        <v>2199</v>
      </c>
      <c r="AM2481" s="1" t="str">
        <f t="shared" si="152"/>
        <v>2479_C0013_0291.jpg</v>
      </c>
    </row>
    <row r="2482" spans="1:39" x14ac:dyDescent="0.35">
      <c r="A2482">
        <v>2478</v>
      </c>
      <c r="B2482">
        <v>2479</v>
      </c>
      <c r="F2482" s="64" t="s">
        <v>5518</v>
      </c>
      <c r="G2482" s="64"/>
      <c r="H2482" s="64"/>
      <c r="I2482" s="64">
        <v>1</v>
      </c>
      <c r="J2482" s="32" t="str">
        <f>IF(AND(E2482=1,OR(E2481=0,E2481="")),MAX(#REF!)+1,IF(AND(E2482=1,E2481=1),J2481,""))</f>
        <v/>
      </c>
      <c r="K2482" s="32" t="str">
        <f t="shared" si="153"/>
        <v/>
      </c>
      <c r="L2482" s="32" t="str">
        <f t="shared" si="150"/>
        <v/>
      </c>
      <c r="M2482" s="32" t="str">
        <f t="shared" si="151"/>
        <v/>
      </c>
      <c r="N2482" s="4">
        <v>1</v>
      </c>
      <c r="O2482" s="58">
        <v>0</v>
      </c>
      <c r="P2482" s="58">
        <v>0</v>
      </c>
      <c r="Q2482" s="58">
        <v>0</v>
      </c>
      <c r="R2482" s="58">
        <v>0</v>
      </c>
      <c r="S2482" s="58">
        <v>0</v>
      </c>
      <c r="T2482" s="58">
        <v>0</v>
      </c>
      <c r="U2482" s="58">
        <v>0</v>
      </c>
      <c r="V2482" s="58">
        <v>0</v>
      </c>
      <c r="AG2482" t="s">
        <v>2200</v>
      </c>
      <c r="AM2482" s="1" t="str">
        <f t="shared" si="152"/>
        <v>2480_C0013_0290.jpg</v>
      </c>
    </row>
    <row r="2483" spans="1:39" x14ac:dyDescent="0.35">
      <c r="A2483">
        <v>2479</v>
      </c>
      <c r="B2483">
        <v>2480</v>
      </c>
      <c r="F2483" s="64" t="s">
        <v>5519</v>
      </c>
      <c r="G2483" s="64"/>
      <c r="H2483" s="64"/>
      <c r="I2483" s="64">
        <v>0</v>
      </c>
      <c r="J2483" s="32" t="str">
        <f>IF(AND(E2483=1,OR(E2482=0,E2482="")),MAX(#REF!)+1,IF(AND(E2483=1,E2482=1),J2482,""))</f>
        <v/>
      </c>
      <c r="K2483" s="32" t="str">
        <f t="shared" si="153"/>
        <v/>
      </c>
      <c r="L2483" s="32" t="str">
        <f t="shared" si="150"/>
        <v/>
      </c>
      <c r="M2483" s="32" t="str">
        <f t="shared" si="151"/>
        <v/>
      </c>
      <c r="N2483" s="4">
        <v>1</v>
      </c>
      <c r="O2483" s="58">
        <v>0</v>
      </c>
      <c r="P2483" s="58">
        <v>0</v>
      </c>
      <c r="Q2483" s="58">
        <v>0</v>
      </c>
      <c r="R2483" s="58">
        <v>0</v>
      </c>
      <c r="S2483" s="58">
        <v>0</v>
      </c>
      <c r="T2483" s="58">
        <v>0</v>
      </c>
      <c r="U2483" s="58">
        <v>0</v>
      </c>
      <c r="V2483" s="58">
        <v>0</v>
      </c>
      <c r="AG2483" t="s">
        <v>2201</v>
      </c>
      <c r="AM2483" s="1" t="str">
        <f t="shared" si="152"/>
        <v>2481_C0013_0288.jpg</v>
      </c>
    </row>
    <row r="2484" spans="1:39" x14ac:dyDescent="0.35">
      <c r="A2484">
        <v>2480</v>
      </c>
      <c r="B2484">
        <v>2481</v>
      </c>
      <c r="F2484" s="64" t="s">
        <v>5520</v>
      </c>
      <c r="G2484" s="64"/>
      <c r="H2484" s="64"/>
      <c r="I2484" s="64">
        <v>0</v>
      </c>
      <c r="J2484" s="32" t="str">
        <f>IF(AND(E2484=1,OR(E2483=0,E2483="")),MAX(#REF!)+1,IF(AND(E2484=1,E2483=1),J2483,""))</f>
        <v/>
      </c>
      <c r="K2484" s="32" t="str">
        <f t="shared" si="153"/>
        <v/>
      </c>
      <c r="L2484" s="32" t="str">
        <f t="shared" si="150"/>
        <v/>
      </c>
      <c r="M2484" s="32" t="str">
        <f t="shared" si="151"/>
        <v/>
      </c>
      <c r="N2484" s="4">
        <v>1</v>
      </c>
      <c r="O2484" s="58">
        <v>0</v>
      </c>
      <c r="P2484" s="58">
        <v>0</v>
      </c>
      <c r="Q2484" s="58">
        <v>0</v>
      </c>
      <c r="R2484" s="58">
        <v>0</v>
      </c>
      <c r="S2484" s="58">
        <v>0</v>
      </c>
      <c r="T2484" s="58">
        <v>0</v>
      </c>
      <c r="U2484" s="58">
        <v>0</v>
      </c>
      <c r="V2484" s="58">
        <v>0</v>
      </c>
      <c r="AG2484" t="s">
        <v>2202</v>
      </c>
      <c r="AM2484" s="1" t="str">
        <f t="shared" si="152"/>
        <v>2482_C0013_0286.jpg</v>
      </c>
    </row>
    <row r="2485" spans="1:39" x14ac:dyDescent="0.35">
      <c r="A2485">
        <v>2481</v>
      </c>
      <c r="B2485">
        <v>2482</v>
      </c>
      <c r="F2485" s="64" t="s">
        <v>5521</v>
      </c>
      <c r="G2485" s="64"/>
      <c r="H2485" s="64"/>
      <c r="I2485" s="64">
        <v>0</v>
      </c>
      <c r="J2485" s="32" t="str">
        <f>IF(AND(E2485=1,OR(E2484=0,E2484="")),MAX(#REF!)+1,IF(AND(E2485=1,E2484=1),J2484,""))</f>
        <v/>
      </c>
      <c r="K2485" s="32" t="str">
        <f t="shared" si="153"/>
        <v/>
      </c>
      <c r="L2485" s="32" t="str">
        <f t="shared" si="150"/>
        <v/>
      </c>
      <c r="M2485" s="32" t="str">
        <f t="shared" si="151"/>
        <v/>
      </c>
      <c r="N2485" s="4">
        <v>1</v>
      </c>
      <c r="O2485" s="58">
        <v>0</v>
      </c>
      <c r="P2485" s="58">
        <v>0</v>
      </c>
      <c r="Q2485" s="58">
        <v>0</v>
      </c>
      <c r="R2485" s="58">
        <v>0</v>
      </c>
      <c r="S2485" s="58">
        <v>0</v>
      </c>
      <c r="T2485" s="58">
        <v>0</v>
      </c>
      <c r="U2485" s="58">
        <v>0</v>
      </c>
      <c r="V2485" s="58">
        <v>0</v>
      </c>
      <c r="AG2485" t="s">
        <v>2203</v>
      </c>
      <c r="AM2485" s="1" t="str">
        <f t="shared" si="152"/>
        <v>2483_C0013_0284.jpg</v>
      </c>
    </row>
    <row r="2486" spans="1:39" x14ac:dyDescent="0.35">
      <c r="A2486">
        <v>2482</v>
      </c>
      <c r="B2486">
        <v>2483</v>
      </c>
      <c r="F2486" s="64" t="s">
        <v>5522</v>
      </c>
      <c r="G2486" s="64"/>
      <c r="H2486" s="64"/>
      <c r="I2486" s="64">
        <v>0</v>
      </c>
      <c r="J2486" s="32" t="str">
        <f>IF(AND(E2486=1,OR(E2485=0,E2485="")),MAX(#REF!)+1,IF(AND(E2486=1,E2485=1),J2485,""))</f>
        <v/>
      </c>
      <c r="K2486" s="32" t="str">
        <f t="shared" si="153"/>
        <v/>
      </c>
      <c r="L2486" s="32" t="str">
        <f t="shared" si="150"/>
        <v/>
      </c>
      <c r="M2486" s="32" t="str">
        <f t="shared" si="151"/>
        <v/>
      </c>
      <c r="N2486" s="4">
        <v>1</v>
      </c>
      <c r="O2486" s="58">
        <v>0</v>
      </c>
      <c r="P2486" s="58">
        <v>0</v>
      </c>
      <c r="Q2486" s="58">
        <v>0</v>
      </c>
      <c r="R2486" s="58">
        <v>0</v>
      </c>
      <c r="S2486" s="58">
        <v>0</v>
      </c>
      <c r="T2486" s="58">
        <v>0</v>
      </c>
      <c r="U2486" s="58">
        <v>0</v>
      </c>
      <c r="V2486" s="58">
        <v>0</v>
      </c>
      <c r="AG2486" t="s">
        <v>2204</v>
      </c>
      <c r="AM2486" s="1" t="str">
        <f t="shared" si="152"/>
        <v>2484_C0013_0283.jpg</v>
      </c>
    </row>
    <row r="2487" spans="1:39" x14ac:dyDescent="0.35">
      <c r="A2487">
        <v>2483</v>
      </c>
      <c r="B2487">
        <v>2484</v>
      </c>
      <c r="F2487" s="64" t="s">
        <v>5523</v>
      </c>
      <c r="G2487" s="64"/>
      <c r="H2487" s="64"/>
      <c r="I2487" s="64">
        <v>0</v>
      </c>
      <c r="J2487" s="32" t="str">
        <f>IF(AND(E2487=1,OR(E2486=0,E2486="")),MAX(#REF!)+1,IF(AND(E2487=1,E2486=1),J2486,""))</f>
        <v/>
      </c>
      <c r="K2487" s="32" t="str">
        <f t="shared" si="153"/>
        <v/>
      </c>
      <c r="L2487" s="32" t="str">
        <f t="shared" si="150"/>
        <v/>
      </c>
      <c r="M2487" s="32" t="str">
        <f t="shared" si="151"/>
        <v/>
      </c>
      <c r="N2487" s="4">
        <v>1</v>
      </c>
      <c r="O2487" s="58">
        <v>0</v>
      </c>
      <c r="P2487" s="58">
        <v>0</v>
      </c>
      <c r="Q2487" s="58">
        <v>0</v>
      </c>
      <c r="R2487" s="58">
        <v>0</v>
      </c>
      <c r="S2487" s="58">
        <v>0</v>
      </c>
      <c r="T2487" s="58">
        <v>0</v>
      </c>
      <c r="U2487" s="58">
        <v>0</v>
      </c>
      <c r="V2487" s="58">
        <v>0</v>
      </c>
      <c r="AG2487" t="s">
        <v>2205</v>
      </c>
      <c r="AM2487" s="1" t="str">
        <f t="shared" si="152"/>
        <v>2485_C0013_0281.jpg</v>
      </c>
    </row>
    <row r="2488" spans="1:39" x14ac:dyDescent="0.35">
      <c r="A2488">
        <v>2484</v>
      </c>
      <c r="B2488">
        <v>2485</v>
      </c>
      <c r="F2488" s="64" t="s">
        <v>5524</v>
      </c>
      <c r="G2488" s="64"/>
      <c r="H2488" s="64"/>
      <c r="I2488" s="64">
        <v>0</v>
      </c>
      <c r="J2488" s="32" t="str">
        <f>IF(AND(E2488=1,OR(E2487=0,E2487="")),MAX(#REF!)+1,IF(AND(E2488=1,E2487=1),J2487,""))</f>
        <v/>
      </c>
      <c r="K2488" s="32" t="str">
        <f t="shared" si="153"/>
        <v/>
      </c>
      <c r="L2488" s="32" t="str">
        <f t="shared" si="150"/>
        <v/>
      </c>
      <c r="M2488" s="32" t="str">
        <f t="shared" si="151"/>
        <v/>
      </c>
      <c r="N2488" s="4">
        <v>1</v>
      </c>
      <c r="O2488" s="58">
        <v>0</v>
      </c>
      <c r="P2488" s="58">
        <v>0</v>
      </c>
      <c r="Q2488" s="58">
        <v>0</v>
      </c>
      <c r="R2488" s="58">
        <v>0</v>
      </c>
      <c r="S2488" s="58">
        <v>0</v>
      </c>
      <c r="T2488" s="58">
        <v>0</v>
      </c>
      <c r="U2488" s="58">
        <v>0</v>
      </c>
      <c r="V2488" s="58">
        <v>0</v>
      </c>
      <c r="AG2488" t="s">
        <v>2206</v>
      </c>
      <c r="AM2488" s="1" t="str">
        <f t="shared" si="152"/>
        <v>2486_C0013_0280.jpg</v>
      </c>
    </row>
    <row r="2489" spans="1:39" x14ac:dyDescent="0.35">
      <c r="A2489">
        <v>2485</v>
      </c>
      <c r="B2489">
        <v>2486</v>
      </c>
      <c r="F2489" s="64" t="s">
        <v>5525</v>
      </c>
      <c r="G2489" s="64"/>
      <c r="H2489" s="64"/>
      <c r="I2489" s="64">
        <v>0</v>
      </c>
      <c r="J2489" s="32" t="str">
        <f>IF(AND(E2489=1,OR(E2488=0,E2488="")),MAX(#REF!)+1,IF(AND(E2489=1,E2488=1),J2488,""))</f>
        <v/>
      </c>
      <c r="K2489" s="32" t="str">
        <f t="shared" si="153"/>
        <v/>
      </c>
      <c r="L2489" s="32" t="str">
        <f t="shared" si="150"/>
        <v/>
      </c>
      <c r="M2489" s="32" t="str">
        <f t="shared" si="151"/>
        <v/>
      </c>
      <c r="N2489" s="4">
        <v>1</v>
      </c>
      <c r="O2489" s="58">
        <v>0</v>
      </c>
      <c r="P2489" s="58">
        <v>0</v>
      </c>
      <c r="Q2489" s="58">
        <v>0</v>
      </c>
      <c r="R2489" s="58">
        <v>0</v>
      </c>
      <c r="S2489" s="58">
        <v>0</v>
      </c>
      <c r="T2489" s="58">
        <v>0</v>
      </c>
      <c r="U2489" s="58">
        <v>0</v>
      </c>
      <c r="V2489" s="58">
        <v>0</v>
      </c>
      <c r="AG2489" t="s">
        <v>2207</v>
      </c>
      <c r="AM2489" s="1" t="str">
        <f t="shared" si="152"/>
        <v>2487_C0013_0278.jpg</v>
      </c>
    </row>
    <row r="2490" spans="1:39" x14ac:dyDescent="0.35">
      <c r="A2490">
        <v>2486</v>
      </c>
      <c r="B2490">
        <v>2487</v>
      </c>
      <c r="F2490" s="64" t="s">
        <v>5526</v>
      </c>
      <c r="G2490" s="64"/>
      <c r="H2490" s="64"/>
      <c r="I2490" s="64">
        <v>0</v>
      </c>
      <c r="J2490" s="32" t="str">
        <f>IF(AND(E2490=1,OR(E2489=0,E2489="")),MAX(#REF!)+1,IF(AND(E2490=1,E2489=1),J2489,""))</f>
        <v/>
      </c>
      <c r="K2490" s="32" t="str">
        <f t="shared" si="153"/>
        <v/>
      </c>
      <c r="L2490" s="32" t="str">
        <f t="shared" si="150"/>
        <v/>
      </c>
      <c r="M2490" s="32" t="str">
        <f t="shared" si="151"/>
        <v/>
      </c>
      <c r="N2490" s="4">
        <v>1</v>
      </c>
      <c r="O2490" s="58">
        <v>0</v>
      </c>
      <c r="P2490" s="58">
        <v>0</v>
      </c>
      <c r="Q2490" s="58">
        <v>0</v>
      </c>
      <c r="R2490" s="58">
        <v>0</v>
      </c>
      <c r="S2490" s="58">
        <v>0</v>
      </c>
      <c r="T2490" s="58">
        <v>0</v>
      </c>
      <c r="U2490" s="58">
        <v>0</v>
      </c>
      <c r="V2490" s="58">
        <v>0</v>
      </c>
      <c r="AG2490" t="s">
        <v>2208</v>
      </c>
      <c r="AM2490" s="1" t="str">
        <f t="shared" si="152"/>
        <v>2488_C0013_0275.jpg</v>
      </c>
    </row>
    <row r="2491" spans="1:39" x14ac:dyDescent="0.35">
      <c r="A2491">
        <v>2487</v>
      </c>
      <c r="B2491">
        <v>2488</v>
      </c>
      <c r="F2491" s="64" t="s">
        <v>5527</v>
      </c>
      <c r="G2491" s="64"/>
      <c r="H2491" s="64"/>
      <c r="I2491" s="64">
        <v>0</v>
      </c>
      <c r="J2491" s="32" t="str">
        <f>IF(AND(E2491=1,OR(E2490=0,E2490="")),MAX(#REF!)+1,IF(AND(E2491=1,E2490=1),J2490,""))</f>
        <v/>
      </c>
      <c r="K2491" s="32" t="str">
        <f t="shared" si="153"/>
        <v/>
      </c>
      <c r="L2491" s="32" t="str">
        <f t="shared" si="150"/>
        <v/>
      </c>
      <c r="M2491" s="32" t="str">
        <f t="shared" si="151"/>
        <v/>
      </c>
      <c r="N2491" s="4">
        <v>1</v>
      </c>
      <c r="O2491" s="58">
        <v>0</v>
      </c>
      <c r="P2491" s="58">
        <v>0</v>
      </c>
      <c r="Q2491" s="58">
        <v>0</v>
      </c>
      <c r="R2491" s="58">
        <v>0</v>
      </c>
      <c r="S2491" s="58">
        <v>0</v>
      </c>
      <c r="T2491" s="58">
        <v>0</v>
      </c>
      <c r="U2491" s="58">
        <v>0</v>
      </c>
      <c r="V2491" s="58">
        <v>0</v>
      </c>
      <c r="AG2491" t="s">
        <v>2209</v>
      </c>
      <c r="AM2491" s="1" t="str">
        <f t="shared" si="152"/>
        <v>2489_C0013_0273.jpg</v>
      </c>
    </row>
    <row r="2492" spans="1:39" x14ac:dyDescent="0.35">
      <c r="A2492">
        <v>2488</v>
      </c>
      <c r="B2492">
        <v>2489</v>
      </c>
      <c r="F2492" s="64" t="s">
        <v>5528</v>
      </c>
      <c r="G2492" s="64"/>
      <c r="H2492" s="64"/>
      <c r="I2492" s="64">
        <v>0</v>
      </c>
      <c r="J2492" s="32" t="str">
        <f>IF(AND(E2492=1,OR(E2491=0,E2491="")),MAX(#REF!)+1,IF(AND(E2492=1,E2491=1),J2491,""))</f>
        <v/>
      </c>
      <c r="K2492" s="32" t="str">
        <f t="shared" si="153"/>
        <v/>
      </c>
      <c r="L2492" s="32" t="str">
        <f t="shared" si="150"/>
        <v/>
      </c>
      <c r="M2492" s="32" t="str">
        <f t="shared" si="151"/>
        <v/>
      </c>
      <c r="N2492" s="4">
        <v>1</v>
      </c>
      <c r="O2492" s="58">
        <v>0</v>
      </c>
      <c r="P2492" s="58">
        <v>0</v>
      </c>
      <c r="Q2492" s="58">
        <v>0</v>
      </c>
      <c r="R2492" s="58">
        <v>0</v>
      </c>
      <c r="S2492" s="58">
        <v>0</v>
      </c>
      <c r="T2492" s="58">
        <v>0</v>
      </c>
      <c r="U2492" s="58">
        <v>0</v>
      </c>
      <c r="V2492" s="58">
        <v>0</v>
      </c>
      <c r="AG2492" t="s">
        <v>2210</v>
      </c>
      <c r="AM2492" s="1" t="str">
        <f t="shared" si="152"/>
        <v>2490_C0013_0271.jpg</v>
      </c>
    </row>
    <row r="2493" spans="1:39" x14ac:dyDescent="0.35">
      <c r="A2493">
        <v>2489</v>
      </c>
      <c r="B2493">
        <v>2490</v>
      </c>
      <c r="F2493" s="64" t="s">
        <v>5529</v>
      </c>
      <c r="G2493" s="64"/>
      <c r="H2493" s="64"/>
      <c r="I2493" s="64">
        <v>0</v>
      </c>
      <c r="J2493" s="32" t="str">
        <f>IF(AND(E2493=1,OR(E2492=0,E2492="")),MAX(#REF!)+1,IF(AND(E2493=1,E2492=1),J2492,""))</f>
        <v/>
      </c>
      <c r="K2493" s="32" t="str">
        <f t="shared" si="153"/>
        <v/>
      </c>
      <c r="L2493" s="32" t="str">
        <f t="shared" si="150"/>
        <v/>
      </c>
      <c r="M2493" s="32" t="str">
        <f t="shared" si="151"/>
        <v/>
      </c>
      <c r="N2493" s="4">
        <v>1</v>
      </c>
      <c r="O2493" s="58">
        <v>0</v>
      </c>
      <c r="P2493" s="58">
        <v>0</v>
      </c>
      <c r="Q2493" s="58">
        <v>0</v>
      </c>
      <c r="R2493" s="58">
        <v>0</v>
      </c>
      <c r="S2493" s="58">
        <v>0</v>
      </c>
      <c r="T2493" s="58">
        <v>0</v>
      </c>
      <c r="U2493" s="58">
        <v>0</v>
      </c>
      <c r="V2493" s="58">
        <v>0</v>
      </c>
      <c r="AG2493" t="s">
        <v>2211</v>
      </c>
      <c r="AM2493" s="1" t="str">
        <f t="shared" si="152"/>
        <v>2491_C0013_0269.jpg</v>
      </c>
    </row>
    <row r="2494" spans="1:39" x14ac:dyDescent="0.35">
      <c r="A2494">
        <v>2490</v>
      </c>
      <c r="B2494">
        <v>2491</v>
      </c>
      <c r="F2494" s="64" t="s">
        <v>5530</v>
      </c>
      <c r="G2494" s="64"/>
      <c r="H2494" s="64"/>
      <c r="I2494" s="64">
        <v>0</v>
      </c>
      <c r="J2494" s="32" t="str">
        <f>IF(AND(E2494=1,OR(E2493=0,E2493="")),MAX(#REF!)+1,IF(AND(E2494=1,E2493=1),J2493,""))</f>
        <v/>
      </c>
      <c r="K2494" s="32" t="str">
        <f t="shared" si="153"/>
        <v/>
      </c>
      <c r="L2494" s="32" t="str">
        <f t="shared" si="150"/>
        <v/>
      </c>
      <c r="M2494" s="32" t="str">
        <f t="shared" si="151"/>
        <v/>
      </c>
      <c r="N2494" s="4">
        <v>1</v>
      </c>
      <c r="O2494" s="58">
        <v>0</v>
      </c>
      <c r="P2494" s="58">
        <v>0</v>
      </c>
      <c r="Q2494" s="58">
        <v>0</v>
      </c>
      <c r="R2494" s="58">
        <v>0</v>
      </c>
      <c r="S2494" s="58">
        <v>0</v>
      </c>
      <c r="T2494" s="58">
        <v>0</v>
      </c>
      <c r="U2494" s="58">
        <v>0</v>
      </c>
      <c r="V2494" s="58">
        <v>0</v>
      </c>
      <c r="AG2494" t="s">
        <v>2212</v>
      </c>
      <c r="AM2494" s="1" t="str">
        <f t="shared" si="152"/>
        <v>2492_C0013_0266.jpg</v>
      </c>
    </row>
    <row r="2495" spans="1:39" x14ac:dyDescent="0.35">
      <c r="A2495">
        <v>2491</v>
      </c>
      <c r="B2495">
        <v>2492</v>
      </c>
      <c r="F2495" s="64" t="s">
        <v>5531</v>
      </c>
      <c r="G2495" s="64"/>
      <c r="H2495" s="64"/>
      <c r="I2495" s="64">
        <v>0</v>
      </c>
      <c r="J2495" s="32" t="str">
        <f>IF(AND(E2495=1,OR(E2494=0,E2494="")),MAX(#REF!)+1,IF(AND(E2495=1,E2494=1),J2494,""))</f>
        <v/>
      </c>
      <c r="K2495" s="32" t="str">
        <f t="shared" si="153"/>
        <v/>
      </c>
      <c r="L2495" s="32" t="str">
        <f t="shared" si="150"/>
        <v/>
      </c>
      <c r="M2495" s="32" t="str">
        <f t="shared" si="151"/>
        <v/>
      </c>
      <c r="N2495" s="4">
        <v>1</v>
      </c>
      <c r="O2495" s="58">
        <v>0</v>
      </c>
      <c r="P2495" s="58">
        <v>0</v>
      </c>
      <c r="Q2495" s="58">
        <v>0</v>
      </c>
      <c r="R2495" s="58">
        <v>0</v>
      </c>
      <c r="S2495" s="58">
        <v>0</v>
      </c>
      <c r="T2495" s="58">
        <v>0</v>
      </c>
      <c r="U2495" s="58">
        <v>0</v>
      </c>
      <c r="V2495" s="58">
        <v>0</v>
      </c>
      <c r="AG2495" t="s">
        <v>2213</v>
      </c>
      <c r="AM2495" s="1" t="str">
        <f t="shared" si="152"/>
        <v>2493_C0013_0263.jpg</v>
      </c>
    </row>
    <row r="2496" spans="1:39" x14ac:dyDescent="0.35">
      <c r="A2496">
        <v>2492</v>
      </c>
      <c r="B2496">
        <v>2493</v>
      </c>
      <c r="F2496" s="64" t="s">
        <v>5532</v>
      </c>
      <c r="G2496" s="64"/>
      <c r="H2496" s="64"/>
      <c r="I2496" s="64">
        <v>0</v>
      </c>
      <c r="J2496" s="32" t="str">
        <f>IF(AND(E2496=1,OR(E2495=0,E2495="")),MAX(#REF!)+1,IF(AND(E2496=1,E2495=1),J2495,""))</f>
        <v/>
      </c>
      <c r="K2496" s="32" t="str">
        <f t="shared" si="153"/>
        <v/>
      </c>
      <c r="L2496" s="32" t="str">
        <f t="shared" si="150"/>
        <v/>
      </c>
      <c r="M2496" s="32" t="str">
        <f t="shared" si="151"/>
        <v/>
      </c>
      <c r="N2496" s="4">
        <v>1</v>
      </c>
      <c r="O2496" s="58">
        <v>0</v>
      </c>
      <c r="P2496" s="58">
        <v>0</v>
      </c>
      <c r="Q2496" s="58">
        <v>0</v>
      </c>
      <c r="R2496" s="58">
        <v>0</v>
      </c>
      <c r="S2496" s="58">
        <v>0</v>
      </c>
      <c r="T2496" s="58">
        <v>0</v>
      </c>
      <c r="U2496" s="58">
        <v>0</v>
      </c>
      <c r="V2496" s="58">
        <v>0</v>
      </c>
      <c r="AG2496" t="s">
        <v>2214</v>
      </c>
      <c r="AM2496" s="1" t="str">
        <f t="shared" si="152"/>
        <v>2494_C0013_0261.jpg</v>
      </c>
    </row>
    <row r="2497" spans="1:39" x14ac:dyDescent="0.35">
      <c r="A2497">
        <v>2493</v>
      </c>
      <c r="B2497">
        <v>2494</v>
      </c>
      <c r="F2497" s="64" t="s">
        <v>5533</v>
      </c>
      <c r="G2497" s="64"/>
      <c r="H2497" s="64"/>
      <c r="I2497" s="64">
        <v>0</v>
      </c>
      <c r="J2497" s="32" t="str">
        <f>IF(AND(E2497=1,OR(E2496=0,E2496="")),MAX(#REF!)+1,IF(AND(E2497=1,E2496=1),J2496,""))</f>
        <v/>
      </c>
      <c r="K2497" s="32" t="str">
        <f t="shared" si="153"/>
        <v/>
      </c>
      <c r="L2497" s="32" t="str">
        <f t="shared" si="150"/>
        <v/>
      </c>
      <c r="M2497" s="32" t="str">
        <f t="shared" si="151"/>
        <v/>
      </c>
      <c r="N2497" s="4">
        <v>1</v>
      </c>
      <c r="O2497" s="58">
        <v>0</v>
      </c>
      <c r="P2497" s="58">
        <v>0</v>
      </c>
      <c r="Q2497" s="58">
        <v>0</v>
      </c>
      <c r="R2497" s="58">
        <v>0</v>
      </c>
      <c r="S2497" s="58">
        <v>0</v>
      </c>
      <c r="T2497" s="58">
        <v>0</v>
      </c>
      <c r="U2497" s="58">
        <v>0</v>
      </c>
      <c r="V2497" s="58">
        <v>0</v>
      </c>
      <c r="AG2497" t="s">
        <v>2215</v>
      </c>
      <c r="AM2497" s="1" t="str">
        <f t="shared" si="152"/>
        <v>2495_C0013_0258.jpg</v>
      </c>
    </row>
    <row r="2498" spans="1:39" x14ac:dyDescent="0.35">
      <c r="A2498">
        <v>2494</v>
      </c>
      <c r="B2498">
        <v>2495</v>
      </c>
      <c r="F2498" s="64" t="s">
        <v>5534</v>
      </c>
      <c r="G2498" s="64"/>
      <c r="H2498" s="64"/>
      <c r="I2498" s="64">
        <v>0</v>
      </c>
      <c r="J2498" s="32" t="str">
        <f>IF(AND(E2498=1,OR(E2497=0,E2497="")),MAX(#REF!)+1,IF(AND(E2498=1,E2497=1),J2497,""))</f>
        <v/>
      </c>
      <c r="K2498" s="32" t="str">
        <f t="shared" si="153"/>
        <v/>
      </c>
      <c r="L2498" s="32" t="str">
        <f t="shared" si="150"/>
        <v/>
      </c>
      <c r="M2498" s="32" t="str">
        <f t="shared" si="151"/>
        <v/>
      </c>
      <c r="N2498" s="4">
        <v>1</v>
      </c>
      <c r="O2498" s="58">
        <v>0</v>
      </c>
      <c r="P2498" s="58">
        <v>0</v>
      </c>
      <c r="Q2498" s="58">
        <v>0</v>
      </c>
      <c r="R2498" s="58">
        <v>0</v>
      </c>
      <c r="S2498" s="58">
        <v>0</v>
      </c>
      <c r="T2498" s="58">
        <v>0</v>
      </c>
      <c r="U2498" s="58">
        <v>0</v>
      </c>
      <c r="V2498" s="58">
        <v>0</v>
      </c>
      <c r="AG2498" t="s">
        <v>2216</v>
      </c>
      <c r="AM2498" s="1" t="str">
        <f t="shared" si="152"/>
        <v>2496_C0013_0255.jpg</v>
      </c>
    </row>
    <row r="2499" spans="1:39" x14ac:dyDescent="0.35">
      <c r="A2499">
        <v>2495</v>
      </c>
      <c r="B2499">
        <v>2496</v>
      </c>
      <c r="F2499" s="64" t="s">
        <v>5535</v>
      </c>
      <c r="G2499" s="64"/>
      <c r="H2499" s="64"/>
      <c r="I2499" s="64">
        <v>0</v>
      </c>
      <c r="J2499" s="32" t="str">
        <f>IF(AND(E2499=1,OR(E2498=0,E2498="")),MAX(#REF!)+1,IF(AND(E2499=1,E2498=1),J2498,""))</f>
        <v/>
      </c>
      <c r="K2499" s="32" t="str">
        <f t="shared" si="153"/>
        <v/>
      </c>
      <c r="L2499" s="32" t="str">
        <f t="shared" si="150"/>
        <v/>
      </c>
      <c r="M2499" s="32" t="str">
        <f t="shared" si="151"/>
        <v/>
      </c>
      <c r="N2499" s="4">
        <v>1</v>
      </c>
      <c r="O2499" s="58">
        <v>0</v>
      </c>
      <c r="P2499" s="58">
        <v>0</v>
      </c>
      <c r="Q2499" s="58">
        <v>0</v>
      </c>
      <c r="R2499" s="58">
        <v>0</v>
      </c>
      <c r="S2499" s="58">
        <v>0</v>
      </c>
      <c r="T2499" s="58">
        <v>0</v>
      </c>
      <c r="U2499" s="58">
        <v>0</v>
      </c>
      <c r="V2499" s="58">
        <v>0</v>
      </c>
      <c r="AG2499" t="s">
        <v>2217</v>
      </c>
      <c r="AM2499" s="1" t="str">
        <f t="shared" si="152"/>
        <v>2497_C0013_0252.jpg</v>
      </c>
    </row>
    <row r="2500" spans="1:39" x14ac:dyDescent="0.35">
      <c r="A2500">
        <v>2496</v>
      </c>
      <c r="B2500">
        <v>2497</v>
      </c>
      <c r="F2500" s="64" t="s">
        <v>5536</v>
      </c>
      <c r="G2500" s="64"/>
      <c r="H2500" s="64"/>
      <c r="I2500" s="64">
        <v>0</v>
      </c>
      <c r="J2500" s="32" t="str">
        <f>IF(AND(E2500=1,OR(E2499=0,E2499="")),MAX(#REF!)+1,IF(AND(E2500=1,E2499=1),J2499,""))</f>
        <v/>
      </c>
      <c r="K2500" s="32" t="str">
        <f t="shared" si="153"/>
        <v/>
      </c>
      <c r="L2500" s="32" t="str">
        <f t="shared" ref="L2500:L2563" si="154">IF(K2500="","",IF(K2500&gt;=100,"HV",""))</f>
        <v/>
      </c>
      <c r="M2500" s="32" t="str">
        <f t="shared" ref="M2500:M2563" si="155">IF(K2500&lt;&gt;"",K2500^2,"")</f>
        <v/>
      </c>
      <c r="N2500" s="4">
        <v>1</v>
      </c>
      <c r="O2500" s="58">
        <v>0</v>
      </c>
      <c r="P2500" s="58">
        <v>0</v>
      </c>
      <c r="Q2500" s="58">
        <v>0</v>
      </c>
      <c r="R2500" s="58">
        <v>0</v>
      </c>
      <c r="S2500" s="58">
        <v>0</v>
      </c>
      <c r="T2500" s="58">
        <v>0</v>
      </c>
      <c r="U2500" s="58">
        <v>0</v>
      </c>
      <c r="V2500" s="58">
        <v>0</v>
      </c>
      <c r="AG2500" t="s">
        <v>2218</v>
      </c>
      <c r="AM2500" s="1" t="str">
        <f t="shared" si="152"/>
        <v>2498_C0013_0249.jpg</v>
      </c>
    </row>
    <row r="2501" spans="1:39" x14ac:dyDescent="0.35">
      <c r="A2501">
        <v>2497</v>
      </c>
      <c r="B2501">
        <v>2498</v>
      </c>
      <c r="F2501" s="64" t="s">
        <v>5537</v>
      </c>
      <c r="G2501" s="64"/>
      <c r="H2501" s="64"/>
      <c r="I2501" s="64">
        <v>0</v>
      </c>
      <c r="J2501" s="32" t="str">
        <f>IF(AND(E2501=1,OR(E2500=0,E2500="")),MAX(#REF!)+1,IF(AND(E2501=1,E2500=1),J2500,""))</f>
        <v/>
      </c>
      <c r="K2501" s="32" t="str">
        <f t="shared" si="153"/>
        <v/>
      </c>
      <c r="L2501" s="32" t="str">
        <f t="shared" si="154"/>
        <v/>
      </c>
      <c r="M2501" s="32" t="str">
        <f t="shared" si="155"/>
        <v/>
      </c>
      <c r="N2501" s="4">
        <v>1</v>
      </c>
      <c r="O2501" s="58">
        <v>0</v>
      </c>
      <c r="P2501" s="58">
        <v>0</v>
      </c>
      <c r="Q2501" s="58">
        <v>0</v>
      </c>
      <c r="R2501" s="58">
        <v>0</v>
      </c>
      <c r="S2501" s="58">
        <v>0</v>
      </c>
      <c r="T2501" s="58">
        <v>0</v>
      </c>
      <c r="U2501" s="58">
        <v>0</v>
      </c>
      <c r="V2501" s="58">
        <v>0</v>
      </c>
      <c r="AG2501" t="s">
        <v>2219</v>
      </c>
      <c r="AM2501" s="1" t="str">
        <f t="shared" si="152"/>
        <v>2499_C0013_0246.jpg</v>
      </c>
    </row>
    <row r="2502" spans="1:39" x14ac:dyDescent="0.35">
      <c r="A2502">
        <v>2498</v>
      </c>
      <c r="B2502">
        <v>2499</v>
      </c>
      <c r="F2502" s="64" t="s">
        <v>5538</v>
      </c>
      <c r="G2502" s="64"/>
      <c r="H2502" s="64"/>
      <c r="I2502" s="64">
        <v>1</v>
      </c>
      <c r="J2502" s="32" t="str">
        <f>IF(AND(E2502=1,OR(E2501=0,E2501="")),MAX(#REF!)+1,IF(AND(E2502=1,E2501=1),J2501,""))</f>
        <v/>
      </c>
      <c r="K2502" s="32" t="str">
        <f t="shared" si="153"/>
        <v/>
      </c>
      <c r="L2502" s="32" t="str">
        <f t="shared" si="154"/>
        <v/>
      </c>
      <c r="M2502" s="32" t="str">
        <f t="shared" si="155"/>
        <v/>
      </c>
      <c r="N2502" s="4">
        <v>1</v>
      </c>
      <c r="O2502" s="58">
        <v>0</v>
      </c>
      <c r="P2502" s="58">
        <v>0</v>
      </c>
      <c r="Q2502" s="58">
        <v>0</v>
      </c>
      <c r="R2502" s="58">
        <v>0</v>
      </c>
      <c r="S2502" s="58">
        <v>0</v>
      </c>
      <c r="T2502" s="58">
        <v>0</v>
      </c>
      <c r="U2502" s="58">
        <v>0</v>
      </c>
      <c r="V2502" s="58">
        <v>0</v>
      </c>
      <c r="AG2502" t="s">
        <v>2220</v>
      </c>
      <c r="AM2502" s="1" t="str">
        <f t="shared" si="152"/>
        <v>2500_C0013_0243.jpg</v>
      </c>
    </row>
    <row r="2503" spans="1:39" x14ac:dyDescent="0.35">
      <c r="A2503">
        <v>2499</v>
      </c>
      <c r="B2503">
        <v>2500</v>
      </c>
      <c r="F2503" s="64" t="s">
        <v>5539</v>
      </c>
      <c r="G2503" s="64"/>
      <c r="H2503" s="64"/>
      <c r="I2503" s="64">
        <v>1</v>
      </c>
      <c r="J2503" s="32" t="str">
        <f>IF(AND(E2503=1,OR(E2502=0,E2502="")),MAX(#REF!)+1,IF(AND(E2503=1,E2502=1),J2502,""))</f>
        <v/>
      </c>
      <c r="K2503" s="32" t="str">
        <f t="shared" si="153"/>
        <v/>
      </c>
      <c r="L2503" s="32" t="str">
        <f t="shared" si="154"/>
        <v/>
      </c>
      <c r="M2503" s="32" t="str">
        <f t="shared" si="155"/>
        <v/>
      </c>
      <c r="N2503" s="4">
        <v>1</v>
      </c>
      <c r="O2503" s="58">
        <v>0</v>
      </c>
      <c r="P2503" s="58">
        <v>0</v>
      </c>
      <c r="Q2503" s="58">
        <v>0</v>
      </c>
      <c r="R2503" s="58">
        <v>0</v>
      </c>
      <c r="S2503" s="58">
        <v>0</v>
      </c>
      <c r="T2503" s="58">
        <v>0</v>
      </c>
      <c r="U2503" s="58">
        <v>0</v>
      </c>
      <c r="V2503" s="58">
        <v>0</v>
      </c>
      <c r="AG2503" t="s">
        <v>2221</v>
      </c>
      <c r="AM2503" s="1" t="str">
        <f t="shared" si="152"/>
        <v>2501_C0013_0240.jpg</v>
      </c>
    </row>
    <row r="2504" spans="1:39" x14ac:dyDescent="0.35">
      <c r="A2504">
        <v>2500</v>
      </c>
      <c r="B2504">
        <v>2501</v>
      </c>
      <c r="F2504" s="64" t="s">
        <v>5540</v>
      </c>
      <c r="G2504" s="64"/>
      <c r="H2504" s="64"/>
      <c r="I2504" s="64">
        <v>1</v>
      </c>
      <c r="J2504" s="32" t="str">
        <f>IF(AND(E2504=1,OR(E2503=0,E2503="")),MAX(#REF!)+1,IF(AND(E2504=1,E2503=1),J2503,""))</f>
        <v/>
      </c>
      <c r="K2504" s="32" t="str">
        <f t="shared" si="153"/>
        <v/>
      </c>
      <c r="L2504" s="32" t="str">
        <f t="shared" si="154"/>
        <v/>
      </c>
      <c r="M2504" s="32" t="str">
        <f t="shared" si="155"/>
        <v/>
      </c>
      <c r="N2504" s="4">
        <v>1</v>
      </c>
      <c r="O2504" s="58">
        <v>0</v>
      </c>
      <c r="P2504" s="58">
        <v>0</v>
      </c>
      <c r="Q2504" s="58">
        <v>0</v>
      </c>
      <c r="R2504" s="58">
        <v>0</v>
      </c>
      <c r="S2504" s="58">
        <v>0</v>
      </c>
      <c r="T2504" s="58">
        <v>0</v>
      </c>
      <c r="U2504" s="58">
        <v>0</v>
      </c>
      <c r="V2504" s="58">
        <v>0</v>
      </c>
      <c r="AG2504" t="s">
        <v>2222</v>
      </c>
      <c r="AM2504" s="1" t="str">
        <f t="shared" si="152"/>
        <v>2502_C0013_0237.jpg</v>
      </c>
    </row>
    <row r="2505" spans="1:39" x14ac:dyDescent="0.35">
      <c r="A2505">
        <v>2501</v>
      </c>
      <c r="B2505">
        <v>2502</v>
      </c>
      <c r="F2505" s="64" t="s">
        <v>5541</v>
      </c>
      <c r="G2505" s="64"/>
      <c r="H2505" s="64"/>
      <c r="I2505" s="64">
        <v>1</v>
      </c>
      <c r="J2505" s="32" t="str">
        <f>IF(AND(E2505=1,OR(E2504=0,E2504="")),MAX(#REF!)+1,IF(AND(E2505=1,E2504=1),J2504,""))</f>
        <v/>
      </c>
      <c r="K2505" s="32" t="str">
        <f t="shared" si="153"/>
        <v/>
      </c>
      <c r="L2505" s="32" t="str">
        <f t="shared" si="154"/>
        <v/>
      </c>
      <c r="M2505" s="32" t="str">
        <f t="shared" si="155"/>
        <v/>
      </c>
      <c r="N2505" s="4">
        <v>1</v>
      </c>
      <c r="O2505" s="58">
        <v>0</v>
      </c>
      <c r="P2505" s="58">
        <v>0</v>
      </c>
      <c r="Q2505" s="58">
        <v>0</v>
      </c>
      <c r="R2505" s="58">
        <v>0</v>
      </c>
      <c r="S2505" s="58">
        <v>0</v>
      </c>
      <c r="T2505" s="58">
        <v>0</v>
      </c>
      <c r="U2505" s="58">
        <v>0</v>
      </c>
      <c r="V2505" s="58">
        <v>0</v>
      </c>
      <c r="AG2505" t="s">
        <v>2223</v>
      </c>
      <c r="AM2505" s="1" t="str">
        <f t="shared" si="152"/>
        <v>2503_C0013_0234.jpg</v>
      </c>
    </row>
    <row r="2506" spans="1:39" x14ac:dyDescent="0.35">
      <c r="A2506">
        <v>2502</v>
      </c>
      <c r="B2506">
        <v>2503</v>
      </c>
      <c r="F2506" s="64" t="s">
        <v>5542</v>
      </c>
      <c r="G2506" s="64"/>
      <c r="H2506" s="64"/>
      <c r="I2506" s="64">
        <v>0</v>
      </c>
      <c r="J2506" s="32" t="str">
        <f>IF(AND(E2506=1,OR(E2505=0,E2505="")),MAX(#REF!)+1,IF(AND(E2506=1,E2505=1),J2505,""))</f>
        <v/>
      </c>
      <c r="K2506" s="32" t="str">
        <f t="shared" si="153"/>
        <v/>
      </c>
      <c r="L2506" s="32" t="str">
        <f t="shared" si="154"/>
        <v/>
      </c>
      <c r="M2506" s="32" t="str">
        <f t="shared" si="155"/>
        <v/>
      </c>
      <c r="N2506" s="4">
        <v>1</v>
      </c>
      <c r="O2506" s="58">
        <v>0</v>
      </c>
      <c r="P2506" s="58">
        <v>0</v>
      </c>
      <c r="Q2506" s="58">
        <v>0</v>
      </c>
      <c r="R2506" s="58">
        <v>0</v>
      </c>
      <c r="S2506" s="58">
        <v>0</v>
      </c>
      <c r="T2506" s="58">
        <v>0</v>
      </c>
      <c r="U2506" s="58">
        <v>0</v>
      </c>
      <c r="V2506" s="58">
        <v>0</v>
      </c>
      <c r="AG2506" t="s">
        <v>2224</v>
      </c>
      <c r="AM2506" s="1" t="str">
        <f t="shared" si="152"/>
        <v>2504_C0013_0231.jpg</v>
      </c>
    </row>
    <row r="2507" spans="1:39" x14ac:dyDescent="0.35">
      <c r="A2507">
        <v>2503</v>
      </c>
      <c r="B2507">
        <v>2504</v>
      </c>
      <c r="F2507" s="64" t="s">
        <v>5543</v>
      </c>
      <c r="G2507" s="64"/>
      <c r="H2507" s="64"/>
      <c r="I2507" s="64">
        <v>1</v>
      </c>
      <c r="J2507" s="32" t="str">
        <f>IF(AND(E2507=1,OR(E2506=0,E2506="")),MAX(#REF!)+1,IF(AND(E2507=1,E2506=1),J2506,""))</f>
        <v/>
      </c>
      <c r="K2507" s="32" t="str">
        <f t="shared" si="153"/>
        <v/>
      </c>
      <c r="L2507" s="32" t="str">
        <f t="shared" si="154"/>
        <v/>
      </c>
      <c r="M2507" s="32" t="str">
        <f t="shared" si="155"/>
        <v/>
      </c>
      <c r="N2507" s="4">
        <v>1</v>
      </c>
      <c r="O2507" s="58">
        <v>0</v>
      </c>
      <c r="P2507" s="58">
        <v>0</v>
      </c>
      <c r="Q2507" s="58">
        <v>0</v>
      </c>
      <c r="R2507" s="58">
        <v>0</v>
      </c>
      <c r="S2507" s="58">
        <v>0</v>
      </c>
      <c r="T2507" s="58">
        <v>0</v>
      </c>
      <c r="U2507" s="58">
        <v>0</v>
      </c>
      <c r="V2507" s="58">
        <v>0</v>
      </c>
      <c r="AG2507" t="s">
        <v>2225</v>
      </c>
      <c r="AM2507" s="1" t="str">
        <f t="shared" ref="AM2507:AM2570" si="156">HYPERLINK("E:\CAFNEC_GBRF\2023\JohnstoneRiver\Frames_for_Analysis\" &amp; F2508, F2508)</f>
        <v>2505_C0013_0228.jpg</v>
      </c>
    </row>
    <row r="2508" spans="1:39" x14ac:dyDescent="0.35">
      <c r="A2508">
        <v>2504</v>
      </c>
      <c r="B2508">
        <v>2505</v>
      </c>
      <c r="F2508" s="64" t="s">
        <v>5544</v>
      </c>
      <c r="G2508" s="64"/>
      <c r="H2508" s="64"/>
      <c r="I2508" s="64">
        <v>1</v>
      </c>
      <c r="J2508" s="32" t="str">
        <f>IF(AND(E2508=1,OR(E2507=0,E2507="")),MAX(#REF!)+1,IF(AND(E2508=1,E2507=1),J2507,""))</f>
        <v/>
      </c>
      <c r="K2508" s="32" t="str">
        <f t="shared" si="153"/>
        <v/>
      </c>
      <c r="L2508" s="32" t="str">
        <f t="shared" si="154"/>
        <v/>
      </c>
      <c r="M2508" s="32" t="str">
        <f t="shared" si="155"/>
        <v/>
      </c>
      <c r="N2508" s="4">
        <v>1</v>
      </c>
      <c r="O2508" s="58">
        <v>0</v>
      </c>
      <c r="P2508" s="58">
        <v>0</v>
      </c>
      <c r="Q2508" s="58">
        <v>0</v>
      </c>
      <c r="R2508" s="58">
        <v>0</v>
      </c>
      <c r="S2508" s="58">
        <v>0</v>
      </c>
      <c r="T2508" s="58">
        <v>0</v>
      </c>
      <c r="U2508" s="58">
        <v>0</v>
      </c>
      <c r="V2508" s="58">
        <v>0</v>
      </c>
      <c r="AG2508" t="s">
        <v>2226</v>
      </c>
      <c r="AM2508" s="1" t="str">
        <f t="shared" si="156"/>
        <v>2506_C0013_0225.jpg</v>
      </c>
    </row>
    <row r="2509" spans="1:39" x14ac:dyDescent="0.35">
      <c r="A2509">
        <v>2505</v>
      </c>
      <c r="B2509">
        <v>2506</v>
      </c>
      <c r="F2509" s="64" t="s">
        <v>5545</v>
      </c>
      <c r="G2509" s="64"/>
      <c r="H2509" s="64"/>
      <c r="I2509" s="64">
        <v>0</v>
      </c>
      <c r="J2509" s="32" t="str">
        <f>IF(AND(E2509=1,OR(E2508=0,E2508="")),MAX(#REF!)+1,IF(AND(E2509=1,E2508=1),J2508,""))</f>
        <v/>
      </c>
      <c r="K2509" s="32" t="str">
        <f t="shared" si="153"/>
        <v/>
      </c>
      <c r="L2509" s="32" t="str">
        <f t="shared" si="154"/>
        <v/>
      </c>
      <c r="M2509" s="32" t="str">
        <f t="shared" si="155"/>
        <v/>
      </c>
      <c r="N2509" s="4">
        <v>1</v>
      </c>
      <c r="O2509" s="58">
        <v>0</v>
      </c>
      <c r="P2509" s="58">
        <v>0</v>
      </c>
      <c r="Q2509" s="58">
        <v>0</v>
      </c>
      <c r="R2509" s="58">
        <v>0</v>
      </c>
      <c r="S2509" s="58">
        <v>0</v>
      </c>
      <c r="T2509" s="58">
        <v>0</v>
      </c>
      <c r="U2509" s="58">
        <v>0</v>
      </c>
      <c r="V2509" s="58">
        <v>0</v>
      </c>
      <c r="AG2509" t="s">
        <v>2227</v>
      </c>
      <c r="AM2509" s="1" t="str">
        <f t="shared" si="156"/>
        <v>2507_C0013_0222.jpg</v>
      </c>
    </row>
    <row r="2510" spans="1:39" x14ac:dyDescent="0.35">
      <c r="A2510">
        <v>2506</v>
      </c>
      <c r="B2510">
        <v>2507</v>
      </c>
      <c r="F2510" s="64" t="s">
        <v>5546</v>
      </c>
      <c r="G2510" s="64"/>
      <c r="H2510" s="64"/>
      <c r="I2510" s="64">
        <v>1</v>
      </c>
      <c r="J2510" s="32" t="str">
        <f>IF(AND(E2510=1,OR(E2509=0,E2509="")),MAX(#REF!)+1,IF(AND(E2510=1,E2509=1),J2509,""))</f>
        <v/>
      </c>
      <c r="K2510" s="32" t="str">
        <f t="shared" si="153"/>
        <v/>
      </c>
      <c r="L2510" s="32" t="str">
        <f t="shared" si="154"/>
        <v/>
      </c>
      <c r="M2510" s="32" t="str">
        <f t="shared" si="155"/>
        <v/>
      </c>
      <c r="N2510" s="4">
        <v>1</v>
      </c>
      <c r="O2510" s="58">
        <v>0</v>
      </c>
      <c r="P2510" s="58">
        <v>0</v>
      </c>
      <c r="Q2510" s="58">
        <v>0</v>
      </c>
      <c r="R2510" s="58">
        <v>0</v>
      </c>
      <c r="S2510" s="58">
        <v>0</v>
      </c>
      <c r="T2510" s="58">
        <v>0</v>
      </c>
      <c r="U2510" s="58">
        <v>0</v>
      </c>
      <c r="V2510" s="58">
        <v>0</v>
      </c>
      <c r="AG2510" t="s">
        <v>2228</v>
      </c>
      <c r="AM2510" s="1" t="str">
        <f t="shared" si="156"/>
        <v>2508_C0013_0219.jpg</v>
      </c>
    </row>
    <row r="2511" spans="1:39" x14ac:dyDescent="0.35">
      <c r="A2511">
        <v>2507</v>
      </c>
      <c r="B2511">
        <v>2508</v>
      </c>
      <c r="F2511" s="64" t="s">
        <v>5547</v>
      </c>
      <c r="G2511" s="64"/>
      <c r="H2511" s="64"/>
      <c r="I2511" s="64">
        <v>1</v>
      </c>
      <c r="J2511" s="32" t="str">
        <f>IF(AND(E2511=1,OR(E2510=0,E2510="")),MAX(#REF!)+1,IF(AND(E2511=1,E2510=1),J2510,""))</f>
        <v/>
      </c>
      <c r="K2511" s="32" t="str">
        <f t="shared" si="153"/>
        <v/>
      </c>
      <c r="L2511" s="32" t="str">
        <f t="shared" si="154"/>
        <v/>
      </c>
      <c r="M2511" s="32" t="str">
        <f t="shared" si="155"/>
        <v/>
      </c>
      <c r="N2511" s="4">
        <v>1</v>
      </c>
      <c r="O2511" s="58">
        <v>0</v>
      </c>
      <c r="P2511" s="58">
        <v>0</v>
      </c>
      <c r="Q2511" s="58">
        <v>0</v>
      </c>
      <c r="R2511" s="58">
        <v>0</v>
      </c>
      <c r="S2511" s="58">
        <v>0</v>
      </c>
      <c r="T2511" s="58">
        <v>0</v>
      </c>
      <c r="U2511" s="58">
        <v>0</v>
      </c>
      <c r="V2511" s="58">
        <v>0</v>
      </c>
      <c r="AG2511" t="s">
        <v>2229</v>
      </c>
      <c r="AM2511" s="1" t="str">
        <f t="shared" si="156"/>
        <v>2509_C0013_0216.jpg</v>
      </c>
    </row>
    <row r="2512" spans="1:39" x14ac:dyDescent="0.35">
      <c r="A2512">
        <v>2508</v>
      </c>
      <c r="B2512">
        <v>2509</v>
      </c>
      <c r="F2512" s="64" t="s">
        <v>5548</v>
      </c>
      <c r="G2512" s="64"/>
      <c r="H2512" s="64"/>
      <c r="I2512" s="64">
        <v>0</v>
      </c>
      <c r="J2512" s="32" t="str">
        <f>IF(AND(E2512=1,OR(E2511=0,E2511="")),MAX(#REF!)+1,IF(AND(E2512=1,E2511=1),J2511,""))</f>
        <v/>
      </c>
      <c r="K2512" s="32" t="str">
        <f t="shared" si="153"/>
        <v/>
      </c>
      <c r="L2512" s="32" t="str">
        <f t="shared" si="154"/>
        <v/>
      </c>
      <c r="M2512" s="32" t="str">
        <f t="shared" si="155"/>
        <v/>
      </c>
      <c r="N2512" s="4">
        <v>1</v>
      </c>
      <c r="O2512" s="58">
        <v>0</v>
      </c>
      <c r="P2512" s="58">
        <v>0</v>
      </c>
      <c r="Q2512" s="58">
        <v>0</v>
      </c>
      <c r="R2512" s="58">
        <v>0</v>
      </c>
      <c r="S2512" s="58">
        <v>0</v>
      </c>
      <c r="T2512" s="58">
        <v>0</v>
      </c>
      <c r="U2512" s="58">
        <v>0</v>
      </c>
      <c r="V2512" s="58">
        <v>0</v>
      </c>
      <c r="AG2512" t="s">
        <v>2230</v>
      </c>
      <c r="AM2512" s="1" t="str">
        <f t="shared" si="156"/>
        <v>2510_C0013_0213.jpg</v>
      </c>
    </row>
    <row r="2513" spans="1:39" x14ac:dyDescent="0.35">
      <c r="A2513">
        <v>2509</v>
      </c>
      <c r="B2513">
        <v>2510</v>
      </c>
      <c r="F2513" s="64" t="s">
        <v>5549</v>
      </c>
      <c r="G2513" s="64"/>
      <c r="H2513" s="64"/>
      <c r="I2513" s="64">
        <v>0</v>
      </c>
      <c r="J2513" s="32" t="str">
        <f>IF(AND(E2513=1,OR(E2512=0,E2512="")),MAX(#REF!)+1,IF(AND(E2513=1,E2512=1),J2512,""))</f>
        <v/>
      </c>
      <c r="K2513" s="32" t="str">
        <f t="shared" si="153"/>
        <v/>
      </c>
      <c r="L2513" s="32" t="str">
        <f t="shared" si="154"/>
        <v/>
      </c>
      <c r="M2513" s="32" t="str">
        <f t="shared" si="155"/>
        <v/>
      </c>
      <c r="N2513" s="4">
        <v>1</v>
      </c>
      <c r="O2513" s="58">
        <v>0</v>
      </c>
      <c r="P2513" s="58">
        <v>0</v>
      </c>
      <c r="Q2513" s="58">
        <v>0</v>
      </c>
      <c r="R2513" s="58">
        <v>0</v>
      </c>
      <c r="S2513" s="58">
        <v>0</v>
      </c>
      <c r="T2513" s="58">
        <v>0</v>
      </c>
      <c r="U2513" s="58">
        <v>0</v>
      </c>
      <c r="V2513" s="58">
        <v>0</v>
      </c>
      <c r="AG2513" t="s">
        <v>2231</v>
      </c>
      <c r="AM2513" s="1" t="str">
        <f t="shared" si="156"/>
        <v>2511_C0013_0210.jpg</v>
      </c>
    </row>
    <row r="2514" spans="1:39" x14ac:dyDescent="0.35">
      <c r="A2514">
        <v>2510</v>
      </c>
      <c r="B2514">
        <v>2511</v>
      </c>
      <c r="F2514" s="64" t="s">
        <v>5550</v>
      </c>
      <c r="G2514" s="64"/>
      <c r="H2514" s="64"/>
      <c r="I2514" s="64">
        <v>0</v>
      </c>
      <c r="J2514" s="32" t="str">
        <f>IF(AND(E2514=1,OR(E2513=0,E2513="")),MAX(#REF!)+1,IF(AND(E2514=1,E2513=1),J2513,""))</f>
        <v/>
      </c>
      <c r="K2514" s="32" t="str">
        <f t="shared" si="153"/>
        <v/>
      </c>
      <c r="L2514" s="32" t="str">
        <f t="shared" si="154"/>
        <v/>
      </c>
      <c r="M2514" s="32" t="str">
        <f t="shared" si="155"/>
        <v/>
      </c>
      <c r="N2514" s="4">
        <v>2</v>
      </c>
      <c r="O2514" s="58">
        <v>0</v>
      </c>
      <c r="P2514" s="58">
        <v>0</v>
      </c>
      <c r="Q2514" s="58">
        <v>0</v>
      </c>
      <c r="R2514" s="58">
        <v>0</v>
      </c>
      <c r="S2514" s="58">
        <v>0</v>
      </c>
      <c r="T2514" s="58">
        <v>0</v>
      </c>
      <c r="U2514" s="58">
        <v>0</v>
      </c>
      <c r="V2514" s="58">
        <v>0</v>
      </c>
      <c r="AG2514" t="s">
        <v>2232</v>
      </c>
      <c r="AM2514" s="1" t="str">
        <f t="shared" si="156"/>
        <v>2512_C0013_0207.jpg</v>
      </c>
    </row>
    <row r="2515" spans="1:39" x14ac:dyDescent="0.35">
      <c r="A2515">
        <v>2511</v>
      </c>
      <c r="B2515">
        <v>2512</v>
      </c>
      <c r="F2515" s="64" t="s">
        <v>5551</v>
      </c>
      <c r="G2515" s="64"/>
      <c r="H2515" s="64"/>
      <c r="I2515" s="64">
        <v>0</v>
      </c>
      <c r="J2515" s="32" t="str">
        <f>IF(AND(E2515=1,OR(E2514=0,E2514="")),MAX(#REF!)+1,IF(AND(E2515=1,E2514=1),J2514,""))</f>
        <v/>
      </c>
      <c r="K2515" s="32" t="str">
        <f t="shared" si="153"/>
        <v/>
      </c>
      <c r="L2515" s="32" t="str">
        <f t="shared" si="154"/>
        <v/>
      </c>
      <c r="M2515" s="32" t="str">
        <f t="shared" si="155"/>
        <v/>
      </c>
      <c r="N2515" s="4">
        <v>1</v>
      </c>
      <c r="O2515" s="58">
        <v>0</v>
      </c>
      <c r="P2515" s="58">
        <v>0</v>
      </c>
      <c r="Q2515" s="58">
        <v>0</v>
      </c>
      <c r="R2515" s="58">
        <v>0</v>
      </c>
      <c r="S2515" s="58">
        <v>0</v>
      </c>
      <c r="T2515" s="58">
        <v>0</v>
      </c>
      <c r="U2515" s="58">
        <v>0</v>
      </c>
      <c r="V2515" s="58">
        <v>0</v>
      </c>
      <c r="AG2515" t="s">
        <v>2233</v>
      </c>
      <c r="AM2515" s="1" t="str">
        <f t="shared" si="156"/>
        <v>2513_C0013_0204.jpg</v>
      </c>
    </row>
    <row r="2516" spans="1:39" x14ac:dyDescent="0.35">
      <c r="A2516">
        <v>2512</v>
      </c>
      <c r="B2516">
        <v>2513</v>
      </c>
      <c r="F2516" s="64" t="s">
        <v>5552</v>
      </c>
      <c r="G2516" s="64"/>
      <c r="H2516" s="64"/>
      <c r="I2516" s="64">
        <v>0</v>
      </c>
      <c r="J2516" s="32" t="str">
        <f>IF(AND(E2516=1,OR(E2515=0,E2515="")),MAX(#REF!)+1,IF(AND(E2516=1,E2515=1),J2515,""))</f>
        <v/>
      </c>
      <c r="K2516" s="32" t="str">
        <f t="shared" si="153"/>
        <v/>
      </c>
      <c r="L2516" s="32" t="str">
        <f t="shared" si="154"/>
        <v/>
      </c>
      <c r="M2516" s="32" t="str">
        <f t="shared" si="155"/>
        <v/>
      </c>
      <c r="N2516" s="4">
        <v>2</v>
      </c>
      <c r="O2516" s="58">
        <v>0</v>
      </c>
      <c r="P2516" s="58">
        <v>0</v>
      </c>
      <c r="Q2516" s="58">
        <v>0</v>
      </c>
      <c r="R2516" s="58">
        <v>0</v>
      </c>
      <c r="S2516" s="58">
        <v>1</v>
      </c>
      <c r="T2516" s="58">
        <v>0</v>
      </c>
      <c r="U2516" s="58">
        <v>0</v>
      </c>
      <c r="V2516" s="58">
        <v>0</v>
      </c>
      <c r="AG2516" t="s">
        <v>2234</v>
      </c>
      <c r="AM2516" s="1" t="str">
        <f t="shared" si="156"/>
        <v>2514_C0013_0201.jpg</v>
      </c>
    </row>
    <row r="2517" spans="1:39" x14ac:dyDescent="0.35">
      <c r="A2517">
        <v>2513</v>
      </c>
      <c r="B2517">
        <v>2514</v>
      </c>
      <c r="F2517" s="64" t="s">
        <v>5553</v>
      </c>
      <c r="G2517" s="64"/>
      <c r="H2517" s="64"/>
      <c r="I2517" s="64">
        <v>1</v>
      </c>
      <c r="J2517" s="32" t="str">
        <f>IF(AND(E2517=1,OR(E2516=0,E2516="")),MAX(#REF!)+1,IF(AND(E2517=1,E2516=1),J2516,""))</f>
        <v/>
      </c>
      <c r="K2517" s="32" t="str">
        <f t="shared" si="153"/>
        <v/>
      </c>
      <c r="L2517" s="32" t="str">
        <f t="shared" si="154"/>
        <v/>
      </c>
      <c r="M2517" s="32" t="str">
        <f t="shared" si="155"/>
        <v/>
      </c>
      <c r="N2517" s="4">
        <v>1</v>
      </c>
      <c r="O2517" s="58">
        <v>0</v>
      </c>
      <c r="P2517" s="58">
        <v>0</v>
      </c>
      <c r="Q2517" s="58">
        <v>0</v>
      </c>
      <c r="R2517" s="58">
        <v>0</v>
      </c>
      <c r="S2517" s="58">
        <v>0</v>
      </c>
      <c r="T2517" s="58">
        <v>0</v>
      </c>
      <c r="U2517" s="58">
        <v>0</v>
      </c>
      <c r="V2517" s="58">
        <v>0</v>
      </c>
      <c r="AG2517" t="s">
        <v>2235</v>
      </c>
      <c r="AM2517" s="1" t="str">
        <f t="shared" si="156"/>
        <v>2515_C0013_0198.jpg</v>
      </c>
    </row>
    <row r="2518" spans="1:39" x14ac:dyDescent="0.35">
      <c r="A2518">
        <v>2514</v>
      </c>
      <c r="B2518">
        <v>2515</v>
      </c>
      <c r="F2518" s="64" t="s">
        <v>5554</v>
      </c>
      <c r="G2518" s="64"/>
      <c r="H2518" s="64"/>
      <c r="I2518" s="64">
        <v>1</v>
      </c>
      <c r="J2518" s="32" t="str">
        <f>IF(AND(E2518=1,OR(E2517=0,E2517="")),MAX(#REF!)+1,IF(AND(E2518=1,E2517=1),J2517,""))</f>
        <v/>
      </c>
      <c r="K2518" s="32" t="str">
        <f t="shared" si="153"/>
        <v/>
      </c>
      <c r="L2518" s="32" t="str">
        <f t="shared" si="154"/>
        <v/>
      </c>
      <c r="M2518" s="32" t="str">
        <f t="shared" si="155"/>
        <v/>
      </c>
      <c r="N2518" s="4">
        <v>1</v>
      </c>
      <c r="O2518" s="58">
        <v>0</v>
      </c>
      <c r="P2518" s="58">
        <v>0</v>
      </c>
      <c r="Q2518" s="58">
        <v>0</v>
      </c>
      <c r="R2518" s="58">
        <v>0</v>
      </c>
      <c r="S2518" s="58">
        <v>0</v>
      </c>
      <c r="T2518" s="58">
        <v>0</v>
      </c>
      <c r="U2518" s="58">
        <v>0</v>
      </c>
      <c r="V2518" s="58">
        <v>0</v>
      </c>
      <c r="AG2518" t="s">
        <v>2236</v>
      </c>
      <c r="AM2518" s="1" t="str">
        <f t="shared" si="156"/>
        <v>2516_C0013_0195.jpg</v>
      </c>
    </row>
    <row r="2519" spans="1:39" x14ac:dyDescent="0.35">
      <c r="A2519">
        <v>2515</v>
      </c>
      <c r="B2519">
        <v>2516</v>
      </c>
      <c r="F2519" s="64" t="s">
        <v>5555</v>
      </c>
      <c r="G2519" s="64"/>
      <c r="H2519" s="64"/>
      <c r="I2519" s="64">
        <v>1</v>
      </c>
      <c r="J2519" s="32" t="str">
        <f>IF(AND(E2519=1,OR(E2518=0,E2518="")),MAX(#REF!)+1,IF(AND(E2519=1,E2518=1),J2518,""))</f>
        <v/>
      </c>
      <c r="K2519" s="32" t="str">
        <f t="shared" si="153"/>
        <v/>
      </c>
      <c r="L2519" s="32" t="str">
        <f t="shared" si="154"/>
        <v/>
      </c>
      <c r="M2519" s="32" t="str">
        <f t="shared" si="155"/>
        <v/>
      </c>
      <c r="N2519" s="4">
        <v>1</v>
      </c>
      <c r="O2519" s="58">
        <v>0</v>
      </c>
      <c r="P2519" s="58">
        <v>0</v>
      </c>
      <c r="Q2519" s="58">
        <v>0</v>
      </c>
      <c r="R2519" s="58">
        <v>0</v>
      </c>
      <c r="S2519" s="58">
        <v>0</v>
      </c>
      <c r="T2519" s="58">
        <v>0</v>
      </c>
      <c r="U2519" s="58">
        <v>0</v>
      </c>
      <c r="V2519" s="58">
        <v>0</v>
      </c>
      <c r="AG2519" t="s">
        <v>2237</v>
      </c>
      <c r="AM2519" s="1" t="str">
        <f t="shared" si="156"/>
        <v>2517_C0013_0192.jpg</v>
      </c>
    </row>
    <row r="2520" spans="1:39" x14ac:dyDescent="0.35">
      <c r="A2520">
        <v>2516</v>
      </c>
      <c r="B2520">
        <v>2517</v>
      </c>
      <c r="F2520" s="64" t="s">
        <v>5556</v>
      </c>
      <c r="G2520" s="64"/>
      <c r="H2520" s="64"/>
      <c r="I2520" s="64">
        <v>1</v>
      </c>
      <c r="J2520" s="32" t="str">
        <f>IF(AND(E2520=1,OR(E2519=0,E2519="")),MAX(#REF!)+1,IF(AND(E2520=1,E2519=1),J2519,""))</f>
        <v/>
      </c>
      <c r="K2520" s="32" t="str">
        <f t="shared" si="153"/>
        <v/>
      </c>
      <c r="L2520" s="32" t="str">
        <f t="shared" si="154"/>
        <v/>
      </c>
      <c r="M2520" s="32" t="str">
        <f t="shared" si="155"/>
        <v/>
      </c>
      <c r="N2520" s="4">
        <v>1</v>
      </c>
      <c r="O2520" s="58">
        <v>0</v>
      </c>
      <c r="P2520" s="58">
        <v>0</v>
      </c>
      <c r="Q2520" s="58">
        <v>0</v>
      </c>
      <c r="R2520" s="58">
        <v>0</v>
      </c>
      <c r="S2520" s="58">
        <v>0</v>
      </c>
      <c r="T2520" s="58">
        <v>0</v>
      </c>
      <c r="U2520" s="58">
        <v>0</v>
      </c>
      <c r="V2520" s="58">
        <v>0</v>
      </c>
      <c r="AG2520" t="s">
        <v>2238</v>
      </c>
      <c r="AM2520" s="1" t="str">
        <f t="shared" si="156"/>
        <v>2518_C0013_0189.jpg</v>
      </c>
    </row>
    <row r="2521" spans="1:39" x14ac:dyDescent="0.35">
      <c r="A2521">
        <v>2517</v>
      </c>
      <c r="B2521">
        <v>2518</v>
      </c>
      <c r="F2521" s="64" t="s">
        <v>5557</v>
      </c>
      <c r="G2521" s="64"/>
      <c r="H2521" s="64"/>
      <c r="I2521" s="64">
        <v>1</v>
      </c>
      <c r="J2521" s="32" t="str">
        <f>IF(AND(E2521=1,OR(E2520=0,E2520="")),MAX(#REF!)+1,IF(AND(E2521=1,E2520=1),J2520,""))</f>
        <v/>
      </c>
      <c r="K2521" s="32" t="str">
        <f t="shared" si="153"/>
        <v/>
      </c>
      <c r="L2521" s="32" t="str">
        <f t="shared" si="154"/>
        <v/>
      </c>
      <c r="M2521" s="32" t="str">
        <f t="shared" si="155"/>
        <v/>
      </c>
      <c r="N2521" s="4">
        <v>1</v>
      </c>
      <c r="O2521" s="58">
        <v>0</v>
      </c>
      <c r="P2521" s="58">
        <v>0</v>
      </c>
      <c r="Q2521" s="58">
        <v>0</v>
      </c>
      <c r="R2521" s="58">
        <v>0</v>
      </c>
      <c r="S2521" s="58">
        <v>0</v>
      </c>
      <c r="T2521" s="58">
        <v>0</v>
      </c>
      <c r="U2521" s="58">
        <v>0</v>
      </c>
      <c r="V2521" s="58">
        <v>0</v>
      </c>
      <c r="AG2521" t="s">
        <v>2239</v>
      </c>
      <c r="AM2521" s="1" t="str">
        <f t="shared" si="156"/>
        <v>2519_C0013_0186.jpg</v>
      </c>
    </row>
    <row r="2522" spans="1:39" x14ac:dyDescent="0.35">
      <c r="A2522">
        <v>2518</v>
      </c>
      <c r="B2522">
        <v>2519</v>
      </c>
      <c r="F2522" s="64" t="s">
        <v>5558</v>
      </c>
      <c r="G2522" s="64"/>
      <c r="H2522" s="64"/>
      <c r="I2522" s="64">
        <v>0</v>
      </c>
      <c r="J2522" s="32" t="str">
        <f>IF(AND(E2522=1,OR(E2521=0,E2521="")),MAX(#REF!)+1,IF(AND(E2522=1,E2521=1),J2521,""))</f>
        <v/>
      </c>
      <c r="K2522" s="32" t="str">
        <f t="shared" si="153"/>
        <v/>
      </c>
      <c r="L2522" s="32" t="str">
        <f t="shared" si="154"/>
        <v/>
      </c>
      <c r="M2522" s="32" t="str">
        <f t="shared" si="155"/>
        <v/>
      </c>
      <c r="N2522" s="4">
        <v>2</v>
      </c>
      <c r="O2522" s="58">
        <v>0</v>
      </c>
      <c r="P2522" s="58">
        <v>0</v>
      </c>
      <c r="Q2522" s="58">
        <v>0</v>
      </c>
      <c r="R2522" s="58">
        <v>0</v>
      </c>
      <c r="S2522" s="58">
        <v>0</v>
      </c>
      <c r="T2522" s="58">
        <v>0</v>
      </c>
      <c r="U2522" s="58">
        <v>0</v>
      </c>
      <c r="V2522" s="58">
        <v>0</v>
      </c>
      <c r="AG2522" t="s">
        <v>2240</v>
      </c>
      <c r="AM2522" s="1" t="str">
        <f t="shared" si="156"/>
        <v>2520_C0013_0183.jpg</v>
      </c>
    </row>
    <row r="2523" spans="1:39" x14ac:dyDescent="0.35">
      <c r="A2523">
        <v>2519</v>
      </c>
      <c r="B2523">
        <v>2520</v>
      </c>
      <c r="F2523" s="64" t="s">
        <v>5559</v>
      </c>
      <c r="G2523" s="64"/>
      <c r="H2523" s="64"/>
      <c r="I2523" s="64">
        <v>0</v>
      </c>
      <c r="J2523" s="32" t="str">
        <f>IF(AND(E2523=1,OR(E2522=0,E2522="")),MAX(#REF!)+1,IF(AND(E2523=1,E2522=1),J2522,""))</f>
        <v/>
      </c>
      <c r="K2523" s="32" t="str">
        <f t="shared" si="153"/>
        <v/>
      </c>
      <c r="L2523" s="32" t="str">
        <f t="shared" si="154"/>
        <v/>
      </c>
      <c r="M2523" s="32" t="str">
        <f t="shared" si="155"/>
        <v/>
      </c>
      <c r="N2523" s="4">
        <v>2</v>
      </c>
      <c r="O2523" s="58">
        <v>0</v>
      </c>
      <c r="P2523" s="58">
        <v>0</v>
      </c>
      <c r="Q2523" s="58">
        <v>0</v>
      </c>
      <c r="R2523" s="58">
        <v>0</v>
      </c>
      <c r="S2523" s="58">
        <v>0</v>
      </c>
      <c r="T2523" s="58">
        <v>0</v>
      </c>
      <c r="U2523" s="58">
        <v>0</v>
      </c>
      <c r="V2523" s="58">
        <v>0</v>
      </c>
      <c r="AG2523" t="s">
        <v>2241</v>
      </c>
      <c r="AM2523" s="1" t="str">
        <f t="shared" si="156"/>
        <v>2521_C0013_0180.jpg</v>
      </c>
    </row>
    <row r="2524" spans="1:39" x14ac:dyDescent="0.35">
      <c r="A2524">
        <v>2520</v>
      </c>
      <c r="B2524">
        <v>2521</v>
      </c>
      <c r="F2524" s="64" t="s">
        <v>5560</v>
      </c>
      <c r="G2524" s="64"/>
      <c r="H2524" s="64"/>
      <c r="I2524" s="64">
        <v>0</v>
      </c>
      <c r="J2524" s="32" t="str">
        <f>IF(AND(E2524=1,OR(E2523=0,E2523="")),MAX(#REF!)+1,IF(AND(E2524=1,E2523=1),J2523,""))</f>
        <v/>
      </c>
      <c r="K2524" s="32" t="str">
        <f t="shared" si="153"/>
        <v/>
      </c>
      <c r="L2524" s="32" t="str">
        <f t="shared" si="154"/>
        <v/>
      </c>
      <c r="M2524" s="32" t="str">
        <f t="shared" si="155"/>
        <v/>
      </c>
      <c r="N2524" s="4">
        <v>2</v>
      </c>
      <c r="O2524" s="58">
        <v>0</v>
      </c>
      <c r="P2524" s="58">
        <v>0</v>
      </c>
      <c r="Q2524" s="58">
        <v>0</v>
      </c>
      <c r="R2524" s="58">
        <v>0</v>
      </c>
      <c r="S2524" s="58">
        <v>0</v>
      </c>
      <c r="T2524" s="58">
        <v>0</v>
      </c>
      <c r="U2524" s="58">
        <v>0</v>
      </c>
      <c r="V2524" s="58">
        <v>0</v>
      </c>
      <c r="AG2524" t="s">
        <v>2242</v>
      </c>
      <c r="AM2524" s="1" t="str">
        <f t="shared" si="156"/>
        <v>2522_C0013_0177.jpg</v>
      </c>
    </row>
    <row r="2525" spans="1:39" x14ac:dyDescent="0.35">
      <c r="A2525">
        <v>2521</v>
      </c>
      <c r="B2525">
        <v>2522</v>
      </c>
      <c r="F2525" s="64" t="s">
        <v>5561</v>
      </c>
      <c r="G2525" s="64"/>
      <c r="H2525" s="64"/>
      <c r="I2525" s="64">
        <v>0</v>
      </c>
      <c r="J2525" s="32" t="str">
        <f>IF(AND(E2525=1,OR(E2524=0,E2524="")),MAX(#REF!)+1,IF(AND(E2525=1,E2524=1),J2524,""))</f>
        <v/>
      </c>
      <c r="K2525" s="32" t="str">
        <f t="shared" si="153"/>
        <v/>
      </c>
      <c r="L2525" s="32" t="str">
        <f t="shared" si="154"/>
        <v/>
      </c>
      <c r="M2525" s="32" t="str">
        <f t="shared" si="155"/>
        <v/>
      </c>
      <c r="N2525" s="4">
        <v>2</v>
      </c>
      <c r="O2525" s="58">
        <v>0</v>
      </c>
      <c r="P2525" s="58">
        <v>0</v>
      </c>
      <c r="Q2525" s="58">
        <v>0</v>
      </c>
      <c r="R2525" s="58">
        <v>0</v>
      </c>
      <c r="S2525" s="58">
        <v>0</v>
      </c>
      <c r="T2525" s="58">
        <v>0</v>
      </c>
      <c r="U2525" s="58">
        <v>0</v>
      </c>
      <c r="V2525" s="58">
        <v>0</v>
      </c>
      <c r="AG2525" t="s">
        <v>2243</v>
      </c>
      <c r="AM2525" s="1" t="str">
        <f t="shared" si="156"/>
        <v>2523_C0013_0174.jpg</v>
      </c>
    </row>
    <row r="2526" spans="1:39" x14ac:dyDescent="0.35">
      <c r="A2526">
        <v>2522</v>
      </c>
      <c r="B2526">
        <v>2523</v>
      </c>
      <c r="F2526" s="64" t="s">
        <v>5562</v>
      </c>
      <c r="G2526" s="64"/>
      <c r="H2526" s="64"/>
      <c r="I2526" s="64">
        <v>0</v>
      </c>
      <c r="J2526" s="32" t="str">
        <f>IF(AND(E2526=1,OR(E2525=0,E2525="")),MAX(#REF!)+1,IF(AND(E2526=1,E2525=1),J2525,""))</f>
        <v/>
      </c>
      <c r="K2526" s="32" t="str">
        <f t="shared" si="153"/>
        <v/>
      </c>
      <c r="L2526" s="32" t="str">
        <f t="shared" si="154"/>
        <v/>
      </c>
      <c r="M2526" s="32" t="str">
        <f t="shared" si="155"/>
        <v/>
      </c>
      <c r="N2526" s="4">
        <v>2</v>
      </c>
      <c r="O2526" s="58">
        <v>0</v>
      </c>
      <c r="P2526" s="58">
        <v>0</v>
      </c>
      <c r="Q2526" s="58">
        <v>0</v>
      </c>
      <c r="R2526" s="58">
        <v>0</v>
      </c>
      <c r="S2526" s="58">
        <v>0</v>
      </c>
      <c r="T2526" s="58">
        <v>0</v>
      </c>
      <c r="U2526" s="58">
        <v>0</v>
      </c>
      <c r="V2526" s="58">
        <v>0</v>
      </c>
      <c r="AG2526" t="s">
        <v>2244</v>
      </c>
      <c r="AM2526" s="1" t="str">
        <f t="shared" si="156"/>
        <v>2524_C0013_0171.jpg</v>
      </c>
    </row>
    <row r="2527" spans="1:39" x14ac:dyDescent="0.35">
      <c r="A2527">
        <v>2523</v>
      </c>
      <c r="B2527">
        <v>2524</v>
      </c>
      <c r="F2527" s="64" t="s">
        <v>5563</v>
      </c>
      <c r="G2527" s="64"/>
      <c r="H2527" s="64"/>
      <c r="I2527" s="64">
        <v>0</v>
      </c>
      <c r="J2527" s="32">
        <v>209</v>
      </c>
      <c r="K2527" s="32">
        <f t="shared" ref="K2527:K2590" si="157">IF(J2527="","",COUNTIF(J:J,J2527)*10)</f>
        <v>10</v>
      </c>
      <c r="L2527" s="32" t="str">
        <f t="shared" si="154"/>
        <v/>
      </c>
      <c r="M2527" s="32">
        <f t="shared" si="155"/>
        <v>100</v>
      </c>
      <c r="N2527" s="4">
        <v>2</v>
      </c>
      <c r="O2527" s="58">
        <v>0</v>
      </c>
      <c r="P2527" s="58">
        <v>0</v>
      </c>
      <c r="Q2527" s="58">
        <v>0</v>
      </c>
      <c r="R2527" s="58">
        <v>0</v>
      </c>
      <c r="S2527" s="58">
        <v>0</v>
      </c>
      <c r="T2527" s="58">
        <v>0</v>
      </c>
      <c r="U2527" s="58">
        <v>0</v>
      </c>
      <c r="V2527" s="58">
        <v>0</v>
      </c>
      <c r="AG2527" t="s">
        <v>2245</v>
      </c>
      <c r="AM2527" s="1" t="str">
        <f t="shared" si="156"/>
        <v>2525_C0013_0168.jpg</v>
      </c>
    </row>
    <row r="2528" spans="1:39" x14ac:dyDescent="0.35">
      <c r="A2528">
        <v>2524</v>
      </c>
      <c r="B2528">
        <v>2525</v>
      </c>
      <c r="F2528" s="64" t="s">
        <v>5564</v>
      </c>
      <c r="G2528" s="64"/>
      <c r="H2528" s="64"/>
      <c r="I2528" s="64">
        <v>1</v>
      </c>
      <c r="J2528" s="32" t="str">
        <f>IF(AND(E2528=1,OR(E2527=0,E2527="")),MAX(#REF!)+1,IF(AND(E2528=1,E2527=1),J2527,""))</f>
        <v/>
      </c>
      <c r="K2528" s="32" t="str">
        <f t="shared" si="157"/>
        <v/>
      </c>
      <c r="L2528" s="32" t="str">
        <f t="shared" si="154"/>
        <v/>
      </c>
      <c r="M2528" s="32" t="str">
        <f t="shared" si="155"/>
        <v/>
      </c>
      <c r="N2528" s="4">
        <v>1</v>
      </c>
      <c r="O2528" s="58">
        <v>0</v>
      </c>
      <c r="P2528" s="58">
        <v>0</v>
      </c>
      <c r="Q2528" s="58">
        <v>0</v>
      </c>
      <c r="R2528" s="58">
        <v>0</v>
      </c>
      <c r="S2528" s="58">
        <v>0</v>
      </c>
      <c r="T2528" s="58">
        <v>0</v>
      </c>
      <c r="U2528" s="58">
        <v>0</v>
      </c>
      <c r="V2528" s="58">
        <v>0</v>
      </c>
      <c r="AG2528" t="s">
        <v>2246</v>
      </c>
      <c r="AM2528" s="1" t="str">
        <f t="shared" si="156"/>
        <v>2526_C0013_0165.jpg</v>
      </c>
    </row>
    <row r="2529" spans="1:39" x14ac:dyDescent="0.35">
      <c r="A2529">
        <v>2525</v>
      </c>
      <c r="B2529">
        <v>2526</v>
      </c>
      <c r="F2529" s="64" t="s">
        <v>5565</v>
      </c>
      <c r="G2529" s="64"/>
      <c r="H2529" s="64"/>
      <c r="I2529" s="64">
        <v>0</v>
      </c>
      <c r="J2529" s="32" t="str">
        <f>IF(AND(E2529=1,OR(E2528=0,E2528="")),MAX(#REF!)+1,IF(AND(E2529=1,E2528=1),J2528,""))</f>
        <v/>
      </c>
      <c r="K2529" s="32" t="str">
        <f t="shared" si="157"/>
        <v/>
      </c>
      <c r="L2529" s="32" t="str">
        <f t="shared" si="154"/>
        <v/>
      </c>
      <c r="M2529" s="32" t="str">
        <f t="shared" si="155"/>
        <v/>
      </c>
      <c r="N2529" s="4">
        <v>2</v>
      </c>
      <c r="O2529" s="58">
        <v>0</v>
      </c>
      <c r="P2529" s="58">
        <v>0</v>
      </c>
      <c r="Q2529" s="58">
        <v>0</v>
      </c>
      <c r="R2529" s="58">
        <v>0</v>
      </c>
      <c r="S2529" s="58">
        <v>0</v>
      </c>
      <c r="T2529" s="58">
        <v>0</v>
      </c>
      <c r="U2529" s="58">
        <v>0</v>
      </c>
      <c r="V2529" s="58">
        <v>0</v>
      </c>
      <c r="AG2529" t="s">
        <v>2247</v>
      </c>
      <c r="AM2529" s="1" t="str">
        <f t="shared" si="156"/>
        <v>2527_C0013_0162.jpg</v>
      </c>
    </row>
    <row r="2530" spans="1:39" x14ac:dyDescent="0.35">
      <c r="A2530">
        <v>2526</v>
      </c>
      <c r="B2530">
        <v>2527</v>
      </c>
      <c r="F2530" s="64" t="s">
        <v>5566</v>
      </c>
      <c r="G2530" s="64"/>
      <c r="H2530" s="64"/>
      <c r="I2530" s="64">
        <v>1</v>
      </c>
      <c r="J2530" s="32" t="str">
        <f>IF(AND(E2530=1,OR(E2529=0,E2529="")),MAX(#REF!)+1,IF(AND(E2530=1,E2529=1),J2529,""))</f>
        <v/>
      </c>
      <c r="K2530" s="32" t="str">
        <f t="shared" si="157"/>
        <v/>
      </c>
      <c r="L2530" s="32" t="str">
        <f t="shared" si="154"/>
        <v/>
      </c>
      <c r="M2530" s="32" t="str">
        <f t="shared" si="155"/>
        <v/>
      </c>
      <c r="N2530" s="4">
        <v>1</v>
      </c>
      <c r="O2530" s="58">
        <v>0</v>
      </c>
      <c r="P2530" s="58">
        <v>0</v>
      </c>
      <c r="Q2530" s="58">
        <v>0</v>
      </c>
      <c r="R2530" s="58">
        <v>0</v>
      </c>
      <c r="S2530" s="58">
        <v>0</v>
      </c>
      <c r="T2530" s="58">
        <v>0</v>
      </c>
      <c r="U2530" s="58">
        <v>0</v>
      </c>
      <c r="V2530" s="58">
        <v>0</v>
      </c>
      <c r="AG2530" t="s">
        <v>2248</v>
      </c>
      <c r="AM2530" s="1" t="str">
        <f t="shared" si="156"/>
        <v>2528_C0013_0159.jpg</v>
      </c>
    </row>
    <row r="2531" spans="1:39" x14ac:dyDescent="0.35">
      <c r="A2531">
        <v>2527</v>
      </c>
      <c r="B2531">
        <v>2528</v>
      </c>
      <c r="F2531" s="64" t="s">
        <v>5567</v>
      </c>
      <c r="G2531" s="64"/>
      <c r="H2531" s="64"/>
      <c r="I2531" s="64">
        <v>0</v>
      </c>
      <c r="J2531" s="32" t="str">
        <f>IF(AND(E2531=1,OR(E2530=0,E2530="")),MAX(#REF!)+1,IF(AND(E2531=1,E2530=1),J2530,""))</f>
        <v/>
      </c>
      <c r="K2531" s="32" t="str">
        <f t="shared" si="157"/>
        <v/>
      </c>
      <c r="L2531" s="32" t="str">
        <f t="shared" si="154"/>
        <v/>
      </c>
      <c r="M2531" s="32" t="str">
        <f t="shared" si="155"/>
        <v/>
      </c>
      <c r="N2531" s="4">
        <v>2</v>
      </c>
      <c r="O2531" s="58">
        <v>0</v>
      </c>
      <c r="P2531" s="58">
        <v>0</v>
      </c>
      <c r="Q2531" s="58">
        <v>0</v>
      </c>
      <c r="R2531" s="58">
        <v>0</v>
      </c>
      <c r="S2531" s="58">
        <v>0</v>
      </c>
      <c r="T2531" s="58">
        <v>0</v>
      </c>
      <c r="U2531" s="58">
        <v>0</v>
      </c>
      <c r="V2531" s="58">
        <v>0</v>
      </c>
      <c r="AG2531" t="s">
        <v>2249</v>
      </c>
      <c r="AM2531" s="1" t="str">
        <f t="shared" si="156"/>
        <v>2529_C0013_0156.jpg</v>
      </c>
    </row>
    <row r="2532" spans="1:39" x14ac:dyDescent="0.35">
      <c r="A2532">
        <v>2528</v>
      </c>
      <c r="B2532">
        <v>2529</v>
      </c>
      <c r="F2532" s="64" t="s">
        <v>5568</v>
      </c>
      <c r="G2532" s="64"/>
      <c r="H2532" s="64"/>
      <c r="I2532" s="64">
        <v>1</v>
      </c>
      <c r="J2532" s="32" t="str">
        <f>IF(AND(E2532=1,OR(E2531=0,E2531="")),MAX(#REF!)+1,IF(AND(E2532=1,E2531=1),J2531,""))</f>
        <v/>
      </c>
      <c r="K2532" s="32" t="str">
        <f t="shared" si="157"/>
        <v/>
      </c>
      <c r="L2532" s="32" t="str">
        <f t="shared" si="154"/>
        <v/>
      </c>
      <c r="M2532" s="32" t="str">
        <f t="shared" si="155"/>
        <v/>
      </c>
      <c r="N2532" s="4">
        <v>1</v>
      </c>
      <c r="O2532" s="58">
        <v>0</v>
      </c>
      <c r="P2532" s="58">
        <v>0</v>
      </c>
      <c r="Q2532" s="58">
        <v>0</v>
      </c>
      <c r="R2532" s="58">
        <v>0</v>
      </c>
      <c r="S2532" s="58">
        <v>0</v>
      </c>
      <c r="T2532" s="58">
        <v>0</v>
      </c>
      <c r="U2532" s="58">
        <v>0</v>
      </c>
      <c r="V2532" s="58">
        <v>0</v>
      </c>
      <c r="AG2532" t="s">
        <v>2250</v>
      </c>
      <c r="AM2532" s="1" t="str">
        <f t="shared" si="156"/>
        <v>2530_C0013_0153.jpg</v>
      </c>
    </row>
    <row r="2533" spans="1:39" x14ac:dyDescent="0.35">
      <c r="A2533">
        <v>2529</v>
      </c>
      <c r="B2533">
        <v>2530</v>
      </c>
      <c r="F2533" s="64" t="s">
        <v>5569</v>
      </c>
      <c r="G2533" s="64"/>
      <c r="H2533" s="64"/>
      <c r="I2533" s="64">
        <v>0</v>
      </c>
      <c r="J2533" s="32" t="str">
        <f>IF(AND(E2533=1,OR(E2532=0,E2532="")),MAX(#REF!)+1,IF(AND(E2533=1,E2532=1),J2532,""))</f>
        <v/>
      </c>
      <c r="K2533" s="32" t="str">
        <f t="shared" si="157"/>
        <v/>
      </c>
      <c r="L2533" s="32" t="str">
        <f t="shared" si="154"/>
        <v/>
      </c>
      <c r="M2533" s="32" t="str">
        <f t="shared" si="155"/>
        <v/>
      </c>
      <c r="N2533" s="4">
        <v>2</v>
      </c>
      <c r="O2533" s="58">
        <v>0</v>
      </c>
      <c r="P2533" s="58">
        <v>0</v>
      </c>
      <c r="Q2533" s="58">
        <v>0</v>
      </c>
      <c r="R2533" s="58">
        <v>0</v>
      </c>
      <c r="S2533" s="58">
        <v>0</v>
      </c>
      <c r="T2533" s="58">
        <v>0</v>
      </c>
      <c r="U2533" s="58">
        <v>0</v>
      </c>
      <c r="V2533" s="58">
        <v>0</v>
      </c>
      <c r="AG2533" t="s">
        <v>2251</v>
      </c>
      <c r="AM2533" s="1" t="str">
        <f t="shared" si="156"/>
        <v>2531_C0013_0151.jpg</v>
      </c>
    </row>
    <row r="2534" spans="1:39" x14ac:dyDescent="0.35">
      <c r="A2534">
        <v>2530</v>
      </c>
      <c r="B2534">
        <v>2531</v>
      </c>
      <c r="F2534" s="64" t="s">
        <v>5570</v>
      </c>
      <c r="G2534" s="64"/>
      <c r="H2534" s="64"/>
      <c r="I2534" s="64">
        <v>0</v>
      </c>
      <c r="J2534" s="32" t="str">
        <f>IF(AND(E2534=1,OR(E2533=0,E2533="")),MAX(#REF!)+1,IF(AND(E2534=1,E2533=1),J2533,""))</f>
        <v/>
      </c>
      <c r="K2534" s="32" t="str">
        <f t="shared" si="157"/>
        <v/>
      </c>
      <c r="L2534" s="32" t="str">
        <f t="shared" si="154"/>
        <v/>
      </c>
      <c r="M2534" s="32" t="str">
        <f t="shared" si="155"/>
        <v/>
      </c>
      <c r="N2534" s="4">
        <v>2</v>
      </c>
      <c r="O2534" s="58">
        <v>0</v>
      </c>
      <c r="P2534" s="58">
        <v>0</v>
      </c>
      <c r="Q2534" s="58">
        <v>0</v>
      </c>
      <c r="R2534" s="58">
        <v>0</v>
      </c>
      <c r="S2534" s="58">
        <v>0</v>
      </c>
      <c r="T2534" s="58">
        <v>0</v>
      </c>
      <c r="U2534" s="58">
        <v>0</v>
      </c>
      <c r="V2534" s="58">
        <v>0</v>
      </c>
      <c r="AG2534" t="s">
        <v>2252</v>
      </c>
      <c r="AM2534" s="1" t="str">
        <f t="shared" si="156"/>
        <v>2532_C0013_0147.jpg</v>
      </c>
    </row>
    <row r="2535" spans="1:39" x14ac:dyDescent="0.35">
      <c r="A2535">
        <v>2531</v>
      </c>
      <c r="B2535">
        <v>2532</v>
      </c>
      <c r="F2535" s="64" t="s">
        <v>5571</v>
      </c>
      <c r="G2535" s="64"/>
      <c r="H2535" s="64"/>
      <c r="I2535" s="64">
        <v>0</v>
      </c>
      <c r="J2535" s="32" t="str">
        <f>IF(AND(E2535=1,OR(E2534=0,E2534="")),MAX(#REF!)+1,IF(AND(E2535=1,E2534=1),J2534,""))</f>
        <v/>
      </c>
      <c r="K2535" s="32" t="str">
        <f t="shared" si="157"/>
        <v/>
      </c>
      <c r="L2535" s="32" t="str">
        <f t="shared" si="154"/>
        <v/>
      </c>
      <c r="M2535" s="32" t="str">
        <f t="shared" si="155"/>
        <v/>
      </c>
      <c r="N2535" s="4">
        <v>0</v>
      </c>
      <c r="O2535" s="58">
        <v>0</v>
      </c>
      <c r="P2535" s="58">
        <v>0</v>
      </c>
      <c r="Q2535" s="58">
        <v>0</v>
      </c>
      <c r="R2535" s="58">
        <v>0</v>
      </c>
      <c r="S2535" s="58">
        <v>0</v>
      </c>
      <c r="T2535" s="58">
        <v>0</v>
      </c>
      <c r="U2535" s="58">
        <v>0</v>
      </c>
      <c r="V2535" s="58">
        <v>0</v>
      </c>
      <c r="AG2535" t="s">
        <v>2253</v>
      </c>
      <c r="AM2535" s="1" t="str">
        <f t="shared" si="156"/>
        <v>2533_C0013_0144.jpg</v>
      </c>
    </row>
    <row r="2536" spans="1:39" x14ac:dyDescent="0.35">
      <c r="A2536">
        <v>2532</v>
      </c>
      <c r="B2536">
        <v>2533</v>
      </c>
      <c r="F2536" s="64" t="s">
        <v>5572</v>
      </c>
      <c r="G2536" s="64"/>
      <c r="H2536" s="64"/>
      <c r="I2536" s="64">
        <v>0</v>
      </c>
      <c r="J2536" s="32" t="str">
        <f>IF(AND(E2536=1,OR(E2535=0,E2535="")),MAX(#REF!)+1,IF(AND(E2536=1,E2535=1),J2535,""))</f>
        <v/>
      </c>
      <c r="K2536" s="32" t="str">
        <f t="shared" si="157"/>
        <v/>
      </c>
      <c r="L2536" s="32" t="str">
        <f t="shared" si="154"/>
        <v/>
      </c>
      <c r="M2536" s="32" t="str">
        <f t="shared" si="155"/>
        <v/>
      </c>
      <c r="N2536" s="4">
        <v>0</v>
      </c>
      <c r="O2536" s="58">
        <v>0</v>
      </c>
      <c r="P2536" s="58">
        <v>0</v>
      </c>
      <c r="Q2536" s="58">
        <v>0</v>
      </c>
      <c r="R2536" s="58">
        <v>1</v>
      </c>
      <c r="S2536" s="58">
        <v>0</v>
      </c>
      <c r="T2536" s="58">
        <v>0</v>
      </c>
      <c r="U2536" s="58">
        <v>0</v>
      </c>
      <c r="V2536" s="58">
        <v>0</v>
      </c>
      <c r="AG2536" t="s">
        <v>2254</v>
      </c>
      <c r="AM2536" s="1" t="str">
        <f t="shared" si="156"/>
        <v>2534_C0013_0141.jpg</v>
      </c>
    </row>
    <row r="2537" spans="1:39" x14ac:dyDescent="0.35">
      <c r="A2537">
        <v>2533</v>
      </c>
      <c r="B2537">
        <v>2534</v>
      </c>
      <c r="F2537" s="64" t="s">
        <v>5573</v>
      </c>
      <c r="G2537" s="64"/>
      <c r="H2537" s="64"/>
      <c r="I2537" s="64">
        <v>1</v>
      </c>
      <c r="J2537" s="32" t="str">
        <f>IF(AND(E2537=1,OR(E2536=0,E2536="")),MAX(#REF!)+1,IF(AND(E2537=1,E2536=1),J2536,""))</f>
        <v/>
      </c>
      <c r="K2537" s="32" t="str">
        <f t="shared" si="157"/>
        <v/>
      </c>
      <c r="L2537" s="32" t="str">
        <f t="shared" si="154"/>
        <v/>
      </c>
      <c r="M2537" s="32" t="str">
        <f t="shared" si="155"/>
        <v/>
      </c>
      <c r="N2537" s="4">
        <v>0</v>
      </c>
      <c r="O2537" s="58">
        <v>0</v>
      </c>
      <c r="P2537" s="58">
        <v>0</v>
      </c>
      <c r="Q2537" s="58">
        <v>0</v>
      </c>
      <c r="R2537" s="58">
        <v>0</v>
      </c>
      <c r="S2537" s="58">
        <v>0</v>
      </c>
      <c r="T2537" s="58">
        <v>0</v>
      </c>
      <c r="U2537" s="58">
        <v>0</v>
      </c>
      <c r="V2537" s="58">
        <v>0</v>
      </c>
      <c r="AG2537" t="s">
        <v>2255</v>
      </c>
      <c r="AM2537" s="1" t="str">
        <f t="shared" si="156"/>
        <v>2535_C0013_0138.jpg</v>
      </c>
    </row>
    <row r="2538" spans="1:39" x14ac:dyDescent="0.35">
      <c r="A2538">
        <v>2534</v>
      </c>
      <c r="B2538">
        <v>2535</v>
      </c>
      <c r="F2538" s="64" t="s">
        <v>5574</v>
      </c>
      <c r="G2538" s="64"/>
      <c r="H2538" s="64"/>
      <c r="I2538" s="64">
        <v>0</v>
      </c>
      <c r="J2538" s="32" t="str">
        <f>IF(AND(E2538=1,OR(E2537=0,E2537="")),MAX(#REF!)+1,IF(AND(E2538=1,E2537=1),J2537,""))</f>
        <v/>
      </c>
      <c r="K2538" s="32" t="str">
        <f t="shared" si="157"/>
        <v/>
      </c>
      <c r="L2538" s="32" t="str">
        <f t="shared" si="154"/>
        <v/>
      </c>
      <c r="M2538" s="32" t="str">
        <f t="shared" si="155"/>
        <v/>
      </c>
      <c r="N2538" s="4">
        <v>0</v>
      </c>
      <c r="O2538" s="58">
        <v>0</v>
      </c>
      <c r="P2538" s="58">
        <v>0</v>
      </c>
      <c r="Q2538" s="58">
        <v>0</v>
      </c>
      <c r="R2538" s="58">
        <v>0</v>
      </c>
      <c r="S2538" s="58">
        <v>0</v>
      </c>
      <c r="T2538" s="58">
        <v>0</v>
      </c>
      <c r="U2538" s="58">
        <v>0</v>
      </c>
      <c r="V2538" s="58">
        <v>0</v>
      </c>
      <c r="AG2538" t="s">
        <v>2256</v>
      </c>
      <c r="AM2538" s="1" t="str">
        <f t="shared" si="156"/>
        <v>2536_C0013_0135.jpg</v>
      </c>
    </row>
    <row r="2539" spans="1:39" x14ac:dyDescent="0.35">
      <c r="A2539">
        <v>2535</v>
      </c>
      <c r="B2539">
        <v>2536</v>
      </c>
      <c r="F2539" s="64" t="s">
        <v>5575</v>
      </c>
      <c r="G2539" s="64"/>
      <c r="H2539" s="64"/>
      <c r="I2539" s="64">
        <v>1</v>
      </c>
      <c r="J2539" s="32" t="str">
        <f>IF(AND(E2539=1,OR(E2538=0,E2538="")),MAX(#REF!)+1,IF(AND(E2539=1,E2538=1),J2538,""))</f>
        <v/>
      </c>
      <c r="K2539" s="32" t="str">
        <f t="shared" si="157"/>
        <v/>
      </c>
      <c r="L2539" s="32" t="str">
        <f t="shared" si="154"/>
        <v/>
      </c>
      <c r="M2539" s="32" t="str">
        <f t="shared" si="155"/>
        <v/>
      </c>
      <c r="N2539" s="4">
        <v>0</v>
      </c>
      <c r="O2539" s="58">
        <v>0</v>
      </c>
      <c r="P2539" s="58">
        <v>0</v>
      </c>
      <c r="Q2539" s="58">
        <v>0</v>
      </c>
      <c r="R2539" s="58">
        <v>1</v>
      </c>
      <c r="S2539" s="58">
        <v>0</v>
      </c>
      <c r="T2539" s="58">
        <v>0</v>
      </c>
      <c r="U2539" s="58">
        <v>0</v>
      </c>
      <c r="V2539" s="58">
        <v>0</v>
      </c>
      <c r="AG2539" t="s">
        <v>2257</v>
      </c>
      <c r="AM2539" s="1" t="str">
        <f t="shared" si="156"/>
        <v>2537_C0013_0132.jpg</v>
      </c>
    </row>
    <row r="2540" spans="1:39" x14ac:dyDescent="0.35">
      <c r="A2540">
        <v>2536</v>
      </c>
      <c r="B2540">
        <v>2537</v>
      </c>
      <c r="F2540" s="64" t="s">
        <v>5576</v>
      </c>
      <c r="G2540" s="64"/>
      <c r="H2540" s="64"/>
      <c r="I2540" s="64">
        <v>0</v>
      </c>
      <c r="J2540" s="32" t="str">
        <f>IF(AND(E2540=1,OR(E2539=0,E2539="")),MAX(#REF!)+1,IF(AND(E2540=1,E2539=1),J2539,""))</f>
        <v/>
      </c>
      <c r="K2540" s="32" t="str">
        <f t="shared" si="157"/>
        <v/>
      </c>
      <c r="L2540" s="32" t="str">
        <f t="shared" si="154"/>
        <v/>
      </c>
      <c r="M2540" s="32" t="str">
        <f t="shared" si="155"/>
        <v/>
      </c>
      <c r="N2540" s="4">
        <v>0</v>
      </c>
      <c r="O2540" s="58">
        <v>0</v>
      </c>
      <c r="P2540" s="58">
        <v>0</v>
      </c>
      <c r="Q2540" s="58">
        <v>0</v>
      </c>
      <c r="R2540" s="58">
        <v>0</v>
      </c>
      <c r="S2540" s="58">
        <v>0</v>
      </c>
      <c r="T2540" s="58">
        <v>0</v>
      </c>
      <c r="U2540" s="58">
        <v>0</v>
      </c>
      <c r="V2540" s="58">
        <v>0</v>
      </c>
      <c r="AG2540" t="s">
        <v>2258</v>
      </c>
      <c r="AM2540" s="1" t="str">
        <f t="shared" si="156"/>
        <v>2538_C0013_0129.jpg</v>
      </c>
    </row>
    <row r="2541" spans="1:39" x14ac:dyDescent="0.35">
      <c r="A2541">
        <v>2537</v>
      </c>
      <c r="B2541">
        <v>2538</v>
      </c>
      <c r="F2541" s="64" t="s">
        <v>5577</v>
      </c>
      <c r="G2541" s="64"/>
      <c r="H2541" s="64"/>
      <c r="I2541" s="64">
        <v>0</v>
      </c>
      <c r="J2541" s="32" t="str">
        <f>IF(AND(E2541=1,OR(E2540=0,E2540="")),MAX(#REF!)+1,IF(AND(E2541=1,E2540=1),J2540,""))</f>
        <v/>
      </c>
      <c r="K2541" s="32" t="str">
        <f t="shared" si="157"/>
        <v/>
      </c>
      <c r="L2541" s="32" t="str">
        <f t="shared" si="154"/>
        <v/>
      </c>
      <c r="M2541" s="32" t="str">
        <f t="shared" si="155"/>
        <v/>
      </c>
      <c r="N2541" s="4">
        <v>0</v>
      </c>
      <c r="O2541" s="58">
        <v>0</v>
      </c>
      <c r="P2541" s="58">
        <v>0</v>
      </c>
      <c r="Q2541" s="58">
        <v>0</v>
      </c>
      <c r="R2541" s="58">
        <v>0</v>
      </c>
      <c r="S2541" s="58">
        <v>0</v>
      </c>
      <c r="T2541" s="58">
        <v>0</v>
      </c>
      <c r="U2541" s="58">
        <v>0</v>
      </c>
      <c r="V2541" s="58">
        <v>0</v>
      </c>
      <c r="AG2541" t="s">
        <v>2259</v>
      </c>
      <c r="AM2541" s="1" t="str">
        <f t="shared" si="156"/>
        <v>2539_C0013_0126.jpg</v>
      </c>
    </row>
    <row r="2542" spans="1:39" x14ac:dyDescent="0.35">
      <c r="A2542">
        <v>2538</v>
      </c>
      <c r="B2542">
        <v>2539</v>
      </c>
      <c r="F2542" s="64" t="s">
        <v>5578</v>
      </c>
      <c r="G2542" s="64"/>
      <c r="H2542" s="64"/>
      <c r="I2542" s="64">
        <v>0</v>
      </c>
      <c r="J2542" s="32" t="str">
        <f>IF(AND(E2542=1,OR(E2541=0,E2541="")),MAX(#REF!)+1,IF(AND(E2542=1,E2541=1),J2541,""))</f>
        <v/>
      </c>
      <c r="K2542" s="32" t="str">
        <f t="shared" si="157"/>
        <v/>
      </c>
      <c r="L2542" s="32" t="str">
        <f t="shared" si="154"/>
        <v/>
      </c>
      <c r="M2542" s="32" t="str">
        <f t="shared" si="155"/>
        <v/>
      </c>
      <c r="N2542" s="4">
        <v>0</v>
      </c>
      <c r="O2542" s="58">
        <v>0</v>
      </c>
      <c r="P2542" s="58">
        <v>0</v>
      </c>
      <c r="Q2542" s="58">
        <v>0</v>
      </c>
      <c r="R2542" s="58">
        <v>0</v>
      </c>
      <c r="S2542" s="58">
        <v>0</v>
      </c>
      <c r="T2542" s="58">
        <v>0</v>
      </c>
      <c r="U2542" s="58">
        <v>0</v>
      </c>
      <c r="V2542" s="58">
        <v>0</v>
      </c>
      <c r="AG2542" t="s">
        <v>2260</v>
      </c>
      <c r="AM2542" s="1" t="str">
        <f t="shared" si="156"/>
        <v>2540_C0013_0123.jpg</v>
      </c>
    </row>
    <row r="2543" spans="1:39" x14ac:dyDescent="0.35">
      <c r="A2543">
        <v>2539</v>
      </c>
      <c r="B2543">
        <v>2540</v>
      </c>
      <c r="F2543" s="64" t="s">
        <v>5579</v>
      </c>
      <c r="G2543" s="64"/>
      <c r="H2543" s="64"/>
      <c r="I2543" s="64">
        <v>0</v>
      </c>
      <c r="J2543" s="32" t="str">
        <f>IF(AND(E2543=1,OR(E2542=0,E2542="")),MAX(#REF!)+1,IF(AND(E2543=1,E2542=1),J2542,""))</f>
        <v/>
      </c>
      <c r="K2543" s="32" t="str">
        <f t="shared" si="157"/>
        <v/>
      </c>
      <c r="L2543" s="32" t="str">
        <f t="shared" si="154"/>
        <v/>
      </c>
      <c r="M2543" s="32" t="str">
        <f t="shared" si="155"/>
        <v/>
      </c>
      <c r="N2543" s="4">
        <v>0</v>
      </c>
      <c r="O2543" s="58">
        <v>0</v>
      </c>
      <c r="P2543" s="58">
        <v>0</v>
      </c>
      <c r="Q2543" s="58">
        <v>0</v>
      </c>
      <c r="R2543" s="58">
        <v>0</v>
      </c>
      <c r="S2543" s="58">
        <v>0</v>
      </c>
      <c r="T2543" s="58">
        <v>0</v>
      </c>
      <c r="U2543" s="58">
        <v>0</v>
      </c>
      <c r="V2543" s="58">
        <v>0</v>
      </c>
      <c r="AG2543" t="s">
        <v>2261</v>
      </c>
      <c r="AM2543" s="1" t="str">
        <f t="shared" si="156"/>
        <v>2541_C0013_0120.jpg</v>
      </c>
    </row>
    <row r="2544" spans="1:39" x14ac:dyDescent="0.35">
      <c r="A2544">
        <v>2540</v>
      </c>
      <c r="B2544">
        <v>2541</v>
      </c>
      <c r="F2544" s="64" t="s">
        <v>5580</v>
      </c>
      <c r="G2544" s="64"/>
      <c r="H2544" s="64"/>
      <c r="I2544" s="64">
        <v>0</v>
      </c>
      <c r="J2544" s="32" t="str">
        <f>IF(AND(E2544=1,OR(E2543=0,E2543="")),MAX(#REF!)+1,IF(AND(E2544=1,E2543=1),J2543,""))</f>
        <v/>
      </c>
      <c r="K2544" s="32" t="str">
        <f t="shared" si="157"/>
        <v/>
      </c>
      <c r="L2544" s="32" t="str">
        <f t="shared" si="154"/>
        <v/>
      </c>
      <c r="M2544" s="32" t="str">
        <f t="shared" si="155"/>
        <v/>
      </c>
      <c r="N2544" s="4">
        <v>0</v>
      </c>
      <c r="O2544" s="58">
        <v>0</v>
      </c>
      <c r="P2544" s="58">
        <v>0</v>
      </c>
      <c r="Q2544" s="58">
        <v>0</v>
      </c>
      <c r="R2544" s="58">
        <v>0</v>
      </c>
      <c r="S2544" s="58">
        <v>0</v>
      </c>
      <c r="T2544" s="58">
        <v>0</v>
      </c>
      <c r="U2544" s="58">
        <v>0</v>
      </c>
      <c r="V2544" s="58">
        <v>0</v>
      </c>
      <c r="AG2544" t="s">
        <v>2262</v>
      </c>
      <c r="AM2544" s="1" t="str">
        <f t="shared" si="156"/>
        <v>2542_C0013_0117.jpg</v>
      </c>
    </row>
    <row r="2545" spans="1:39" x14ac:dyDescent="0.35">
      <c r="A2545">
        <v>2541</v>
      </c>
      <c r="B2545">
        <v>2542</v>
      </c>
      <c r="F2545" s="64" t="s">
        <v>5581</v>
      </c>
      <c r="G2545" s="64"/>
      <c r="H2545" s="64"/>
      <c r="I2545" s="64">
        <v>0</v>
      </c>
      <c r="J2545" s="32" t="str">
        <f>IF(AND(E2545=1,OR(E2544=0,E2544="")),MAX(#REF!)+1,IF(AND(E2545=1,E2544=1),J2544,""))</f>
        <v/>
      </c>
      <c r="K2545" s="32" t="str">
        <f t="shared" si="157"/>
        <v/>
      </c>
      <c r="L2545" s="32" t="str">
        <f t="shared" si="154"/>
        <v/>
      </c>
      <c r="M2545" s="32" t="str">
        <f t="shared" si="155"/>
        <v/>
      </c>
      <c r="N2545" s="4">
        <v>0</v>
      </c>
      <c r="O2545" s="58">
        <v>0</v>
      </c>
      <c r="P2545" s="58">
        <v>0</v>
      </c>
      <c r="Q2545" s="58">
        <v>0</v>
      </c>
      <c r="R2545" s="58">
        <v>0</v>
      </c>
      <c r="S2545" s="58">
        <v>0</v>
      </c>
      <c r="T2545" s="58">
        <v>0</v>
      </c>
      <c r="U2545" s="58">
        <v>0</v>
      </c>
      <c r="V2545" s="58">
        <v>0</v>
      </c>
      <c r="AG2545" t="s">
        <v>2263</v>
      </c>
      <c r="AM2545" s="1" t="str">
        <f t="shared" si="156"/>
        <v>2543_C0013_0113.jpg</v>
      </c>
    </row>
    <row r="2546" spans="1:39" x14ac:dyDescent="0.35">
      <c r="A2546">
        <v>2542</v>
      </c>
      <c r="B2546">
        <v>2543</v>
      </c>
      <c r="F2546" s="64" t="s">
        <v>5582</v>
      </c>
      <c r="G2546" s="64"/>
      <c r="H2546" s="64"/>
      <c r="I2546" s="64">
        <v>0</v>
      </c>
      <c r="J2546" s="32" t="str">
        <f>IF(AND(E2546=1,OR(E2545=0,E2545="")),MAX(#REF!)+1,IF(AND(E2546=1,E2545=1),J2545,""))</f>
        <v/>
      </c>
      <c r="K2546" s="32" t="str">
        <f t="shared" si="157"/>
        <v/>
      </c>
      <c r="L2546" s="32" t="str">
        <f t="shared" si="154"/>
        <v/>
      </c>
      <c r="M2546" s="32" t="str">
        <f t="shared" si="155"/>
        <v/>
      </c>
      <c r="N2546" s="4">
        <v>0</v>
      </c>
      <c r="O2546" s="58">
        <v>0</v>
      </c>
      <c r="P2546" s="58">
        <v>0</v>
      </c>
      <c r="Q2546" s="58">
        <v>0</v>
      </c>
      <c r="R2546" s="58">
        <v>0</v>
      </c>
      <c r="S2546" s="58">
        <v>0</v>
      </c>
      <c r="T2546" s="58">
        <v>0</v>
      </c>
      <c r="U2546" s="58">
        <v>0</v>
      </c>
      <c r="V2546" s="58">
        <v>0</v>
      </c>
      <c r="AG2546" t="s">
        <v>2264</v>
      </c>
      <c r="AM2546" s="1" t="str">
        <f t="shared" si="156"/>
        <v>2544_C0013_0110.jpg</v>
      </c>
    </row>
    <row r="2547" spans="1:39" x14ac:dyDescent="0.35">
      <c r="A2547">
        <v>2543</v>
      </c>
      <c r="B2547">
        <v>2544</v>
      </c>
      <c r="F2547" s="64" t="s">
        <v>5583</v>
      </c>
      <c r="G2547" s="64"/>
      <c r="H2547" s="64"/>
      <c r="I2547" s="64">
        <v>0</v>
      </c>
      <c r="J2547" s="32" t="str">
        <f>IF(AND(E2547=1,OR(E2546=0,E2546="")),MAX(#REF!)+1,IF(AND(E2547=1,E2546=1),J2546,""))</f>
        <v/>
      </c>
      <c r="K2547" s="32" t="str">
        <f t="shared" si="157"/>
        <v/>
      </c>
      <c r="L2547" s="32" t="str">
        <f t="shared" si="154"/>
        <v/>
      </c>
      <c r="M2547" s="32" t="str">
        <f t="shared" si="155"/>
        <v/>
      </c>
      <c r="N2547" s="4">
        <v>0</v>
      </c>
      <c r="O2547" s="58">
        <v>0</v>
      </c>
      <c r="P2547" s="58">
        <v>0</v>
      </c>
      <c r="Q2547" s="58">
        <v>0</v>
      </c>
      <c r="R2547" s="58">
        <v>0</v>
      </c>
      <c r="S2547" s="58">
        <v>0</v>
      </c>
      <c r="T2547" s="58">
        <v>0</v>
      </c>
      <c r="U2547" s="58">
        <v>0</v>
      </c>
      <c r="V2547" s="58">
        <v>0</v>
      </c>
      <c r="AG2547" t="s">
        <v>2265</v>
      </c>
      <c r="AM2547" s="1" t="str">
        <f t="shared" si="156"/>
        <v>2545_C0013_0107.jpg</v>
      </c>
    </row>
    <row r="2548" spans="1:39" x14ac:dyDescent="0.35">
      <c r="A2548">
        <v>2544</v>
      </c>
      <c r="B2548">
        <v>2545</v>
      </c>
      <c r="F2548" s="64" t="s">
        <v>5584</v>
      </c>
      <c r="G2548" s="64"/>
      <c r="H2548" s="64"/>
      <c r="I2548" s="64">
        <v>0</v>
      </c>
      <c r="J2548" s="32" t="str">
        <f>IF(AND(E2548=1,OR(E2547=0,E2547="")),MAX(#REF!)+1,IF(AND(E2548=1,E2547=1),J2547,""))</f>
        <v/>
      </c>
      <c r="K2548" s="32" t="str">
        <f t="shared" si="157"/>
        <v/>
      </c>
      <c r="L2548" s="32" t="str">
        <f t="shared" si="154"/>
        <v/>
      </c>
      <c r="M2548" s="32" t="str">
        <f t="shared" si="155"/>
        <v/>
      </c>
      <c r="N2548" s="4">
        <v>0</v>
      </c>
      <c r="O2548" s="58">
        <v>0</v>
      </c>
      <c r="P2548" s="58">
        <v>0</v>
      </c>
      <c r="Q2548" s="58">
        <v>0</v>
      </c>
      <c r="R2548" s="58">
        <v>0</v>
      </c>
      <c r="S2548" s="58">
        <v>0</v>
      </c>
      <c r="T2548" s="58">
        <v>0</v>
      </c>
      <c r="U2548" s="58">
        <v>0</v>
      </c>
      <c r="V2548" s="58">
        <v>0</v>
      </c>
      <c r="AG2548" t="s">
        <v>2266</v>
      </c>
      <c r="AM2548" s="1" t="str">
        <f t="shared" si="156"/>
        <v>2546_C0013_0104.jpg</v>
      </c>
    </row>
    <row r="2549" spans="1:39" x14ac:dyDescent="0.35">
      <c r="A2549">
        <v>2545</v>
      </c>
      <c r="B2549">
        <v>2546</v>
      </c>
      <c r="F2549" s="64" t="s">
        <v>5585</v>
      </c>
      <c r="G2549" s="64"/>
      <c r="H2549" s="64"/>
      <c r="I2549" s="64">
        <v>0</v>
      </c>
      <c r="J2549" s="32" t="str">
        <f>IF(AND(E2549=1,OR(E2548=0,E2548="")),MAX(#REF!)+1,IF(AND(E2549=1,E2548=1),J2548,""))</f>
        <v/>
      </c>
      <c r="K2549" s="32" t="str">
        <f t="shared" si="157"/>
        <v/>
      </c>
      <c r="L2549" s="32" t="str">
        <f t="shared" si="154"/>
        <v/>
      </c>
      <c r="M2549" s="32" t="str">
        <f t="shared" si="155"/>
        <v/>
      </c>
      <c r="N2549" s="4">
        <v>0</v>
      </c>
      <c r="O2549" s="58">
        <v>0</v>
      </c>
      <c r="P2549" s="58">
        <v>0</v>
      </c>
      <c r="Q2549" s="58">
        <v>0</v>
      </c>
      <c r="R2549" s="58">
        <v>0</v>
      </c>
      <c r="S2549" s="58">
        <v>0</v>
      </c>
      <c r="T2549" s="58">
        <v>0</v>
      </c>
      <c r="U2549" s="58">
        <v>0</v>
      </c>
      <c r="V2549" s="58">
        <v>0</v>
      </c>
      <c r="AG2549" t="s">
        <v>2267</v>
      </c>
      <c r="AM2549" s="1" t="str">
        <f t="shared" si="156"/>
        <v>2547_C0013_0101.jpg</v>
      </c>
    </row>
    <row r="2550" spans="1:39" x14ac:dyDescent="0.35">
      <c r="A2550">
        <v>2546</v>
      </c>
      <c r="B2550">
        <v>2547</v>
      </c>
      <c r="F2550" s="64" t="s">
        <v>5586</v>
      </c>
      <c r="G2550" s="64"/>
      <c r="H2550" s="64"/>
      <c r="I2550" s="64">
        <v>0</v>
      </c>
      <c r="J2550" s="32" t="str">
        <f>IF(AND(E2550=1,OR(E2549=0,E2549="")),MAX(#REF!)+1,IF(AND(E2550=1,E2549=1),J2549,""))</f>
        <v/>
      </c>
      <c r="K2550" s="32" t="str">
        <f t="shared" si="157"/>
        <v/>
      </c>
      <c r="L2550" s="32" t="str">
        <f t="shared" si="154"/>
        <v/>
      </c>
      <c r="M2550" s="32" t="str">
        <f t="shared" si="155"/>
        <v/>
      </c>
      <c r="N2550" s="4">
        <v>0</v>
      </c>
      <c r="O2550" s="58">
        <v>0</v>
      </c>
      <c r="P2550" s="58">
        <v>0</v>
      </c>
      <c r="Q2550" s="58">
        <v>0</v>
      </c>
      <c r="R2550" s="58">
        <v>0</v>
      </c>
      <c r="S2550" s="58">
        <v>0</v>
      </c>
      <c r="T2550" s="58">
        <v>0</v>
      </c>
      <c r="U2550" s="58">
        <v>0</v>
      </c>
      <c r="V2550" s="58">
        <v>0</v>
      </c>
      <c r="AG2550" t="s">
        <v>2268</v>
      </c>
      <c r="AM2550" s="1" t="str">
        <f t="shared" si="156"/>
        <v>2548_C0013_0097.jpg</v>
      </c>
    </row>
    <row r="2551" spans="1:39" x14ac:dyDescent="0.35">
      <c r="A2551">
        <v>2547</v>
      </c>
      <c r="B2551">
        <v>2548</v>
      </c>
      <c r="F2551" s="64" t="s">
        <v>5587</v>
      </c>
      <c r="G2551" s="64"/>
      <c r="H2551" s="64"/>
      <c r="I2551" s="64">
        <v>0</v>
      </c>
      <c r="J2551" s="32" t="str">
        <f>IF(AND(E2551=1,OR(E2550=0,E2550="")),MAX(#REF!)+1,IF(AND(E2551=1,E2550=1),J2550,""))</f>
        <v/>
      </c>
      <c r="K2551" s="32" t="str">
        <f t="shared" si="157"/>
        <v/>
      </c>
      <c r="L2551" s="32" t="str">
        <f t="shared" si="154"/>
        <v/>
      </c>
      <c r="M2551" s="32" t="str">
        <f t="shared" si="155"/>
        <v/>
      </c>
      <c r="N2551" s="4">
        <v>0</v>
      </c>
      <c r="O2551" s="58">
        <v>0</v>
      </c>
      <c r="P2551" s="58">
        <v>0</v>
      </c>
      <c r="Q2551" s="58">
        <v>0</v>
      </c>
      <c r="R2551" s="58">
        <v>0</v>
      </c>
      <c r="S2551" s="58">
        <v>0</v>
      </c>
      <c r="T2551" s="58">
        <v>0</v>
      </c>
      <c r="U2551" s="58">
        <v>0</v>
      </c>
      <c r="V2551" s="58">
        <v>0</v>
      </c>
      <c r="AG2551" t="s">
        <v>2269</v>
      </c>
      <c r="AM2551" s="1" t="str">
        <f t="shared" si="156"/>
        <v>2549_C0013_0094.jpg</v>
      </c>
    </row>
    <row r="2552" spans="1:39" x14ac:dyDescent="0.35">
      <c r="A2552">
        <v>2548</v>
      </c>
      <c r="B2552">
        <v>2549</v>
      </c>
      <c r="F2552" s="64" t="s">
        <v>5588</v>
      </c>
      <c r="G2552" s="64"/>
      <c r="H2552" s="64"/>
      <c r="I2552" s="64">
        <v>0</v>
      </c>
      <c r="J2552" s="32" t="str">
        <f>IF(AND(E2552=1,OR(E2551=0,E2551="")),MAX(#REF!)+1,IF(AND(E2552=1,E2551=1),J2551,""))</f>
        <v/>
      </c>
      <c r="K2552" s="32" t="str">
        <f t="shared" si="157"/>
        <v/>
      </c>
      <c r="L2552" s="32" t="str">
        <f t="shared" si="154"/>
        <v/>
      </c>
      <c r="M2552" s="32" t="str">
        <f t="shared" si="155"/>
        <v/>
      </c>
      <c r="N2552" s="4">
        <v>0</v>
      </c>
      <c r="O2552" s="58">
        <v>0</v>
      </c>
      <c r="P2552" s="58">
        <v>0</v>
      </c>
      <c r="Q2552" s="58">
        <v>0</v>
      </c>
      <c r="R2552" s="58">
        <v>0</v>
      </c>
      <c r="S2552" s="58">
        <v>0</v>
      </c>
      <c r="T2552" s="58">
        <v>0</v>
      </c>
      <c r="U2552" s="58">
        <v>0</v>
      </c>
      <c r="V2552" s="58">
        <v>0</v>
      </c>
      <c r="AG2552" t="s">
        <v>2270</v>
      </c>
      <c r="AM2552" s="1" t="str">
        <f t="shared" si="156"/>
        <v>2550_C0013_0090.jpg</v>
      </c>
    </row>
    <row r="2553" spans="1:39" x14ac:dyDescent="0.35">
      <c r="A2553">
        <v>2549</v>
      </c>
      <c r="B2553">
        <v>2550</v>
      </c>
      <c r="F2553" s="64" t="s">
        <v>5589</v>
      </c>
      <c r="G2553" s="64"/>
      <c r="H2553" s="64"/>
      <c r="I2553" s="64">
        <v>0</v>
      </c>
      <c r="J2553" s="32" t="str">
        <f>IF(AND(E2553=1,OR(E2552=0,E2552="")),MAX(#REF!)+1,IF(AND(E2553=1,E2552=1),J2552,""))</f>
        <v/>
      </c>
      <c r="K2553" s="32" t="str">
        <f t="shared" si="157"/>
        <v/>
      </c>
      <c r="L2553" s="32" t="str">
        <f t="shared" si="154"/>
        <v/>
      </c>
      <c r="M2553" s="32" t="str">
        <f t="shared" si="155"/>
        <v/>
      </c>
      <c r="N2553" s="4">
        <v>0</v>
      </c>
      <c r="O2553" s="58">
        <v>0</v>
      </c>
      <c r="P2553" s="58">
        <v>0</v>
      </c>
      <c r="Q2553" s="58">
        <v>0</v>
      </c>
      <c r="R2553" s="58">
        <v>0</v>
      </c>
      <c r="S2553" s="58">
        <v>0</v>
      </c>
      <c r="T2553" s="58">
        <v>0</v>
      </c>
      <c r="U2553" s="58">
        <v>0</v>
      </c>
      <c r="V2553" s="58">
        <v>0</v>
      </c>
      <c r="AG2553" t="s">
        <v>2271</v>
      </c>
      <c r="AM2553" s="1" t="str">
        <f t="shared" si="156"/>
        <v>2551_C0013_0087.jpg</v>
      </c>
    </row>
    <row r="2554" spans="1:39" x14ac:dyDescent="0.35">
      <c r="A2554">
        <v>2550</v>
      </c>
      <c r="B2554">
        <v>2551</v>
      </c>
      <c r="F2554" s="64" t="s">
        <v>5590</v>
      </c>
      <c r="G2554" s="64"/>
      <c r="H2554" s="64"/>
      <c r="I2554" s="64">
        <v>0</v>
      </c>
      <c r="J2554" s="32" t="str">
        <f>IF(AND(E2554=1,OR(E2553=0,E2553="")),MAX(#REF!)+1,IF(AND(E2554=1,E2553=1),J2553,""))</f>
        <v/>
      </c>
      <c r="K2554" s="32" t="str">
        <f t="shared" si="157"/>
        <v/>
      </c>
      <c r="L2554" s="32" t="str">
        <f t="shared" si="154"/>
        <v/>
      </c>
      <c r="M2554" s="32" t="str">
        <f t="shared" si="155"/>
        <v/>
      </c>
      <c r="N2554" s="4">
        <v>0</v>
      </c>
      <c r="O2554" s="58">
        <v>0</v>
      </c>
      <c r="P2554" s="58">
        <v>0</v>
      </c>
      <c r="Q2554" s="58">
        <v>0</v>
      </c>
      <c r="R2554" s="58">
        <v>0</v>
      </c>
      <c r="S2554" s="58">
        <v>0</v>
      </c>
      <c r="T2554" s="58">
        <v>0</v>
      </c>
      <c r="U2554" s="58">
        <v>0</v>
      </c>
      <c r="V2554" s="58">
        <v>0</v>
      </c>
      <c r="AG2554" t="s">
        <v>2272</v>
      </c>
      <c r="AM2554" s="1" t="str">
        <f t="shared" si="156"/>
        <v>2552_C0013_0084.jpg</v>
      </c>
    </row>
    <row r="2555" spans="1:39" x14ac:dyDescent="0.35">
      <c r="A2555">
        <v>2551</v>
      </c>
      <c r="B2555">
        <v>2552</v>
      </c>
      <c r="F2555" s="64" t="s">
        <v>5591</v>
      </c>
      <c r="G2555" s="64"/>
      <c r="H2555" s="64"/>
      <c r="I2555" s="64">
        <v>0</v>
      </c>
      <c r="J2555" s="32" t="str">
        <f>IF(AND(E2555=1,OR(E2554=0,E2554="")),MAX(#REF!)+1,IF(AND(E2555=1,E2554=1),J2554,""))</f>
        <v/>
      </c>
      <c r="K2555" s="32" t="str">
        <f t="shared" si="157"/>
        <v/>
      </c>
      <c r="L2555" s="32" t="str">
        <f t="shared" si="154"/>
        <v/>
      </c>
      <c r="M2555" s="32" t="str">
        <f t="shared" si="155"/>
        <v/>
      </c>
      <c r="N2555" s="4">
        <v>0</v>
      </c>
      <c r="O2555" s="58">
        <v>0</v>
      </c>
      <c r="P2555" s="58">
        <v>0</v>
      </c>
      <c r="Q2555" s="58">
        <v>0</v>
      </c>
      <c r="R2555" s="58">
        <v>0</v>
      </c>
      <c r="S2555" s="58">
        <v>0</v>
      </c>
      <c r="T2555" s="58">
        <v>0</v>
      </c>
      <c r="U2555" s="58">
        <v>0</v>
      </c>
      <c r="V2555" s="58">
        <v>0</v>
      </c>
      <c r="AG2555" t="s">
        <v>2273</v>
      </c>
      <c r="AM2555" s="1" t="str">
        <f t="shared" si="156"/>
        <v>2553_C0013_0080.jpg</v>
      </c>
    </row>
    <row r="2556" spans="1:39" x14ac:dyDescent="0.35">
      <c r="A2556">
        <v>2552</v>
      </c>
      <c r="B2556">
        <v>2553</v>
      </c>
      <c r="F2556" s="64" t="s">
        <v>5592</v>
      </c>
      <c r="G2556" s="64"/>
      <c r="H2556" s="64"/>
      <c r="I2556" s="64">
        <v>0</v>
      </c>
      <c r="J2556" s="32" t="str">
        <f>IF(AND(E2556=1,OR(E2555=0,E2555="")),MAX(#REF!)+1,IF(AND(E2556=1,E2555=1),J2555,""))</f>
        <v/>
      </c>
      <c r="K2556" s="32" t="str">
        <f t="shared" si="157"/>
        <v/>
      </c>
      <c r="L2556" s="32" t="str">
        <f t="shared" si="154"/>
        <v/>
      </c>
      <c r="M2556" s="32" t="str">
        <f t="shared" si="155"/>
        <v/>
      </c>
      <c r="N2556" s="4">
        <v>0</v>
      </c>
      <c r="O2556" s="58">
        <v>0</v>
      </c>
      <c r="P2556" s="58">
        <v>0</v>
      </c>
      <c r="Q2556" s="58">
        <v>0</v>
      </c>
      <c r="R2556" s="58">
        <v>0</v>
      </c>
      <c r="S2556" s="58">
        <v>0</v>
      </c>
      <c r="T2556" s="58">
        <v>0</v>
      </c>
      <c r="U2556" s="58">
        <v>0</v>
      </c>
      <c r="V2556" s="58">
        <v>0</v>
      </c>
      <c r="AG2556" t="s">
        <v>2274</v>
      </c>
      <c r="AM2556" s="1" t="str">
        <f t="shared" si="156"/>
        <v>2554_C0013_0077.jpg</v>
      </c>
    </row>
    <row r="2557" spans="1:39" x14ac:dyDescent="0.35">
      <c r="A2557">
        <v>2553</v>
      </c>
      <c r="B2557">
        <v>2554</v>
      </c>
      <c r="F2557" s="64" t="s">
        <v>5593</v>
      </c>
      <c r="G2557" s="64"/>
      <c r="H2557" s="64"/>
      <c r="I2557" s="64">
        <v>0</v>
      </c>
      <c r="J2557" s="32" t="str">
        <f>IF(AND(E2557=1,OR(E2556=0,E2556="")),MAX(#REF!)+1,IF(AND(E2557=1,E2556=1),J2556,""))</f>
        <v/>
      </c>
      <c r="K2557" s="32" t="str">
        <f t="shared" si="157"/>
        <v/>
      </c>
      <c r="L2557" s="32" t="str">
        <f t="shared" si="154"/>
        <v/>
      </c>
      <c r="M2557" s="32" t="str">
        <f t="shared" si="155"/>
        <v/>
      </c>
      <c r="N2557" s="4">
        <v>0</v>
      </c>
      <c r="O2557" s="58">
        <v>0</v>
      </c>
      <c r="P2557" s="58">
        <v>0</v>
      </c>
      <c r="Q2557" s="58">
        <v>0</v>
      </c>
      <c r="R2557" s="58">
        <v>0</v>
      </c>
      <c r="S2557" s="58">
        <v>0</v>
      </c>
      <c r="T2557" s="58">
        <v>0</v>
      </c>
      <c r="U2557" s="58">
        <v>0</v>
      </c>
      <c r="V2557" s="58">
        <v>0</v>
      </c>
      <c r="AG2557" t="s">
        <v>2275</v>
      </c>
      <c r="AM2557" s="1" t="str">
        <f t="shared" si="156"/>
        <v>2555_C0013_0073.jpg</v>
      </c>
    </row>
    <row r="2558" spans="1:39" x14ac:dyDescent="0.35">
      <c r="A2558">
        <v>2554</v>
      </c>
      <c r="B2558">
        <v>2555</v>
      </c>
      <c r="F2558" s="64" t="s">
        <v>5594</v>
      </c>
      <c r="G2558" s="64"/>
      <c r="H2558" s="64"/>
      <c r="I2558" s="64">
        <v>0</v>
      </c>
      <c r="J2558" s="32" t="str">
        <f>IF(AND(E2558=1,OR(E2557=0,E2557="")),MAX(#REF!)+1,IF(AND(E2558=1,E2557=1),J2557,""))</f>
        <v/>
      </c>
      <c r="K2558" s="32" t="str">
        <f t="shared" si="157"/>
        <v/>
      </c>
      <c r="L2558" s="32" t="str">
        <f t="shared" si="154"/>
        <v/>
      </c>
      <c r="M2558" s="32" t="str">
        <f t="shared" si="155"/>
        <v/>
      </c>
      <c r="N2558" s="4">
        <v>0</v>
      </c>
      <c r="O2558" s="58">
        <v>0</v>
      </c>
      <c r="P2558" s="58">
        <v>0</v>
      </c>
      <c r="Q2558" s="58">
        <v>0</v>
      </c>
      <c r="R2558" s="58">
        <v>0</v>
      </c>
      <c r="S2558" s="58">
        <v>0</v>
      </c>
      <c r="T2558" s="58">
        <v>0</v>
      </c>
      <c r="U2558" s="58">
        <v>0</v>
      </c>
      <c r="V2558" s="58">
        <v>0</v>
      </c>
      <c r="AG2558" t="s">
        <v>2276</v>
      </c>
      <c r="AM2558" s="1" t="str">
        <f t="shared" si="156"/>
        <v>2556_C0013_0070.jpg</v>
      </c>
    </row>
    <row r="2559" spans="1:39" x14ac:dyDescent="0.35">
      <c r="A2559">
        <v>2555</v>
      </c>
      <c r="B2559">
        <v>2556</v>
      </c>
      <c r="F2559" s="64" t="s">
        <v>5595</v>
      </c>
      <c r="G2559" s="64"/>
      <c r="H2559" s="64"/>
      <c r="I2559" s="64">
        <v>0</v>
      </c>
      <c r="J2559" s="32" t="str">
        <f>IF(AND(E2559=1,OR(E2558=0,E2558="")),MAX(#REF!)+1,IF(AND(E2559=1,E2558=1),J2558,""))</f>
        <v/>
      </c>
      <c r="K2559" s="32" t="str">
        <f t="shared" si="157"/>
        <v/>
      </c>
      <c r="L2559" s="32" t="str">
        <f t="shared" si="154"/>
        <v/>
      </c>
      <c r="M2559" s="32" t="str">
        <f t="shared" si="155"/>
        <v/>
      </c>
      <c r="N2559" s="4">
        <v>0</v>
      </c>
      <c r="O2559" s="58">
        <v>0</v>
      </c>
      <c r="P2559" s="58">
        <v>0</v>
      </c>
      <c r="Q2559" s="58">
        <v>0</v>
      </c>
      <c r="R2559" s="58">
        <v>0</v>
      </c>
      <c r="S2559" s="58">
        <v>0</v>
      </c>
      <c r="T2559" s="58">
        <v>0</v>
      </c>
      <c r="U2559" s="58">
        <v>0</v>
      </c>
      <c r="V2559" s="58">
        <v>0</v>
      </c>
      <c r="AG2559" t="s">
        <v>2277</v>
      </c>
      <c r="AM2559" s="1" t="str">
        <f t="shared" si="156"/>
        <v>2557_C0013_0066.jpg</v>
      </c>
    </row>
    <row r="2560" spans="1:39" x14ac:dyDescent="0.35">
      <c r="A2560">
        <v>2556</v>
      </c>
      <c r="B2560">
        <v>2557</v>
      </c>
      <c r="F2560" s="64" t="s">
        <v>5596</v>
      </c>
      <c r="G2560" s="64"/>
      <c r="H2560" s="64"/>
      <c r="I2560" s="64">
        <v>0</v>
      </c>
      <c r="J2560" s="32" t="str">
        <f>IF(AND(E2560=1,OR(E2559=0,E2559="")),MAX(#REF!)+1,IF(AND(E2560=1,E2559=1),J2559,""))</f>
        <v/>
      </c>
      <c r="K2560" s="32" t="str">
        <f t="shared" si="157"/>
        <v/>
      </c>
      <c r="L2560" s="32" t="str">
        <f t="shared" si="154"/>
        <v/>
      </c>
      <c r="M2560" s="32" t="str">
        <f t="shared" si="155"/>
        <v/>
      </c>
      <c r="N2560" s="4">
        <v>0</v>
      </c>
      <c r="O2560" s="58">
        <v>0</v>
      </c>
      <c r="P2560" s="58">
        <v>0</v>
      </c>
      <c r="Q2560" s="58">
        <v>0</v>
      </c>
      <c r="R2560" s="58">
        <v>0</v>
      </c>
      <c r="S2560" s="58">
        <v>0</v>
      </c>
      <c r="T2560" s="58">
        <v>0</v>
      </c>
      <c r="U2560" s="58">
        <v>0</v>
      </c>
      <c r="V2560" s="58">
        <v>0</v>
      </c>
      <c r="AG2560" t="s">
        <v>2278</v>
      </c>
      <c r="AM2560" s="1" t="str">
        <f t="shared" si="156"/>
        <v>2558_C0013_0063.jpg</v>
      </c>
    </row>
    <row r="2561" spans="1:39" x14ac:dyDescent="0.35">
      <c r="A2561">
        <v>2557</v>
      </c>
      <c r="B2561">
        <v>2558</v>
      </c>
      <c r="F2561" s="64" t="s">
        <v>5597</v>
      </c>
      <c r="G2561" s="64"/>
      <c r="H2561" s="64"/>
      <c r="I2561" s="64">
        <v>0</v>
      </c>
      <c r="J2561" s="32" t="str">
        <f>IF(AND(E2561=1,OR(E2560=0,E2560="")),MAX(#REF!)+1,IF(AND(E2561=1,E2560=1),J2560,""))</f>
        <v/>
      </c>
      <c r="K2561" s="32" t="str">
        <f t="shared" si="157"/>
        <v/>
      </c>
      <c r="L2561" s="32" t="str">
        <f t="shared" si="154"/>
        <v/>
      </c>
      <c r="M2561" s="32" t="str">
        <f t="shared" si="155"/>
        <v/>
      </c>
      <c r="N2561" s="4">
        <v>0</v>
      </c>
      <c r="O2561" s="58">
        <v>0</v>
      </c>
      <c r="P2561" s="58">
        <v>0</v>
      </c>
      <c r="Q2561" s="58">
        <v>0</v>
      </c>
      <c r="R2561" s="58">
        <v>0</v>
      </c>
      <c r="S2561" s="58">
        <v>0</v>
      </c>
      <c r="T2561" s="58">
        <v>0</v>
      </c>
      <c r="U2561" s="58">
        <v>0</v>
      </c>
      <c r="V2561" s="58">
        <v>0</v>
      </c>
      <c r="AG2561" t="s">
        <v>2279</v>
      </c>
      <c r="AM2561" s="1" t="str">
        <f t="shared" si="156"/>
        <v>2559_C0013_0060.jpg</v>
      </c>
    </row>
    <row r="2562" spans="1:39" x14ac:dyDescent="0.35">
      <c r="A2562">
        <v>2558</v>
      </c>
      <c r="B2562">
        <v>2559</v>
      </c>
      <c r="F2562" s="64" t="s">
        <v>5598</v>
      </c>
      <c r="G2562" s="64"/>
      <c r="H2562" s="64"/>
      <c r="I2562" s="64">
        <v>0</v>
      </c>
      <c r="J2562" s="32" t="str">
        <f>IF(AND(E2562=1,OR(E2561=0,E2561="")),MAX(#REF!)+1,IF(AND(E2562=1,E2561=1),J2561,""))</f>
        <v/>
      </c>
      <c r="K2562" s="32" t="str">
        <f t="shared" si="157"/>
        <v/>
      </c>
      <c r="L2562" s="32" t="str">
        <f t="shared" si="154"/>
        <v/>
      </c>
      <c r="M2562" s="32" t="str">
        <f t="shared" si="155"/>
        <v/>
      </c>
      <c r="N2562" s="4">
        <v>0</v>
      </c>
      <c r="O2562" s="58">
        <v>0</v>
      </c>
      <c r="P2562" s="58">
        <v>0</v>
      </c>
      <c r="Q2562" s="58">
        <v>0</v>
      </c>
      <c r="R2562" s="58">
        <v>0</v>
      </c>
      <c r="S2562" s="58">
        <v>0</v>
      </c>
      <c r="T2562" s="58">
        <v>0</v>
      </c>
      <c r="U2562" s="58">
        <v>0</v>
      </c>
      <c r="V2562" s="58">
        <v>0</v>
      </c>
      <c r="AG2562" t="s">
        <v>2280</v>
      </c>
      <c r="AM2562" s="1" t="str">
        <f t="shared" si="156"/>
        <v>2560_C0013_0057.jpg</v>
      </c>
    </row>
    <row r="2563" spans="1:39" x14ac:dyDescent="0.35">
      <c r="A2563">
        <v>2559</v>
      </c>
      <c r="B2563">
        <v>2560</v>
      </c>
      <c r="F2563" s="64" t="s">
        <v>5599</v>
      </c>
      <c r="G2563" s="64"/>
      <c r="H2563" s="64"/>
      <c r="I2563" s="64">
        <v>0</v>
      </c>
      <c r="J2563" s="32" t="str">
        <f>IF(AND(E2563=1,OR(E2562=0,E2562="")),MAX(#REF!)+1,IF(AND(E2563=1,E2562=1),J2562,""))</f>
        <v/>
      </c>
      <c r="K2563" s="32" t="str">
        <f t="shared" si="157"/>
        <v/>
      </c>
      <c r="L2563" s="32" t="str">
        <f t="shared" si="154"/>
        <v/>
      </c>
      <c r="M2563" s="32" t="str">
        <f t="shared" si="155"/>
        <v/>
      </c>
      <c r="N2563" s="4">
        <v>0</v>
      </c>
      <c r="O2563" s="58">
        <v>0</v>
      </c>
      <c r="P2563" s="58">
        <v>0</v>
      </c>
      <c r="Q2563" s="58">
        <v>0</v>
      </c>
      <c r="R2563" s="58">
        <v>0</v>
      </c>
      <c r="S2563" s="58">
        <v>0</v>
      </c>
      <c r="T2563" s="58">
        <v>0</v>
      </c>
      <c r="U2563" s="58">
        <v>0</v>
      </c>
      <c r="V2563" s="58">
        <v>0</v>
      </c>
      <c r="AG2563" t="s">
        <v>2281</v>
      </c>
      <c r="AM2563" s="1" t="str">
        <f t="shared" si="156"/>
        <v>2561_C0013_0053.jpg</v>
      </c>
    </row>
    <row r="2564" spans="1:39" x14ac:dyDescent="0.35">
      <c r="A2564">
        <v>2560</v>
      </c>
      <c r="B2564">
        <v>2561</v>
      </c>
      <c r="F2564" s="64" t="s">
        <v>5600</v>
      </c>
      <c r="G2564" s="64"/>
      <c r="H2564" s="64"/>
      <c r="I2564" s="64">
        <v>0</v>
      </c>
      <c r="J2564" s="32" t="str">
        <f>IF(AND(E2564=1,OR(E2563=0,E2563="")),MAX(#REF!)+1,IF(AND(E2564=1,E2563=1),J2563,""))</f>
        <v/>
      </c>
      <c r="K2564" s="32" t="str">
        <f t="shared" si="157"/>
        <v/>
      </c>
      <c r="L2564" s="32" t="str">
        <f t="shared" ref="L2564:L2627" si="158">IF(K2564="","",IF(K2564&gt;=100,"HV",""))</f>
        <v/>
      </c>
      <c r="M2564" s="32" t="str">
        <f t="shared" ref="M2564:M2627" si="159">IF(K2564&lt;&gt;"",K2564^2,"")</f>
        <v/>
      </c>
      <c r="N2564" s="4">
        <v>0</v>
      </c>
      <c r="O2564" s="58">
        <v>0</v>
      </c>
      <c r="P2564" s="58">
        <v>0</v>
      </c>
      <c r="Q2564" s="58">
        <v>0</v>
      </c>
      <c r="R2564" s="58">
        <v>0</v>
      </c>
      <c r="S2564" s="58">
        <v>0</v>
      </c>
      <c r="T2564" s="58">
        <v>0</v>
      </c>
      <c r="U2564" s="58">
        <v>0</v>
      </c>
      <c r="V2564" s="58">
        <v>0</v>
      </c>
      <c r="AG2564" t="s">
        <v>2282</v>
      </c>
      <c r="AM2564" s="1" t="str">
        <f t="shared" si="156"/>
        <v>2562_C0013_0050.jpg</v>
      </c>
    </row>
    <row r="2565" spans="1:39" x14ac:dyDescent="0.35">
      <c r="A2565">
        <v>2561</v>
      </c>
      <c r="B2565">
        <v>2562</v>
      </c>
      <c r="F2565" s="64" t="s">
        <v>5601</v>
      </c>
      <c r="G2565" s="64"/>
      <c r="H2565" s="64"/>
      <c r="I2565" s="64">
        <v>0</v>
      </c>
      <c r="J2565" s="32">
        <v>215</v>
      </c>
      <c r="K2565" s="32">
        <f t="shared" si="157"/>
        <v>10</v>
      </c>
      <c r="L2565" s="32" t="str">
        <f t="shared" si="158"/>
        <v/>
      </c>
      <c r="M2565" s="32">
        <f t="shared" si="159"/>
        <v>100</v>
      </c>
      <c r="N2565" s="4">
        <v>0</v>
      </c>
      <c r="O2565" s="58">
        <v>0</v>
      </c>
      <c r="P2565" s="58">
        <v>0</v>
      </c>
      <c r="Q2565" s="58">
        <v>0</v>
      </c>
      <c r="R2565" s="58">
        <v>0</v>
      </c>
      <c r="S2565" s="58">
        <v>0</v>
      </c>
      <c r="T2565" s="58">
        <v>0</v>
      </c>
      <c r="U2565" s="58">
        <v>0</v>
      </c>
      <c r="V2565" s="58">
        <v>0</v>
      </c>
      <c r="AG2565" t="s">
        <v>2283</v>
      </c>
      <c r="AM2565" s="1" t="str">
        <f t="shared" si="156"/>
        <v>2563_C0013_0046.jpg</v>
      </c>
    </row>
    <row r="2566" spans="1:39" x14ac:dyDescent="0.35">
      <c r="A2566">
        <v>2562</v>
      </c>
      <c r="B2566">
        <v>2563</v>
      </c>
      <c r="F2566" s="64" t="s">
        <v>5602</v>
      </c>
      <c r="G2566" s="64"/>
      <c r="H2566" s="64"/>
      <c r="I2566" s="64">
        <v>0</v>
      </c>
      <c r="J2566" s="32" t="str">
        <f>IF(AND(E2566=1,OR(E2565=0,E2565="")),MAX(#REF!)+1,IF(AND(E2566=1,E2565=1),J2565,""))</f>
        <v/>
      </c>
      <c r="K2566" s="32" t="str">
        <f t="shared" si="157"/>
        <v/>
      </c>
      <c r="L2566" s="32" t="str">
        <f t="shared" si="158"/>
        <v/>
      </c>
      <c r="M2566" s="32" t="str">
        <f t="shared" si="159"/>
        <v/>
      </c>
      <c r="N2566" s="4">
        <v>0</v>
      </c>
      <c r="O2566" s="58">
        <v>0</v>
      </c>
      <c r="P2566" s="58">
        <v>0</v>
      </c>
      <c r="Q2566" s="58">
        <v>0</v>
      </c>
      <c r="R2566" s="58">
        <v>0</v>
      </c>
      <c r="S2566" s="58">
        <v>0</v>
      </c>
      <c r="T2566" s="58">
        <v>0</v>
      </c>
      <c r="U2566" s="58">
        <v>0</v>
      </c>
      <c r="V2566" s="58">
        <v>0</v>
      </c>
      <c r="AG2566" t="s">
        <v>2284</v>
      </c>
      <c r="AM2566" s="1" t="str">
        <f t="shared" si="156"/>
        <v>2564_C0013_0043.jpg</v>
      </c>
    </row>
    <row r="2567" spans="1:39" x14ac:dyDescent="0.35">
      <c r="A2567">
        <v>2563</v>
      </c>
      <c r="B2567">
        <v>2564</v>
      </c>
      <c r="F2567" s="64" t="s">
        <v>5603</v>
      </c>
      <c r="G2567" s="64"/>
      <c r="H2567" s="64"/>
      <c r="I2567" s="64">
        <v>0</v>
      </c>
      <c r="J2567" s="32" t="str">
        <f>IF(AND(E2567=1,OR(E2566=0,E2566="")),MAX(#REF!)+1,IF(AND(E2567=1,E2566=1),J2566,""))</f>
        <v/>
      </c>
      <c r="K2567" s="32" t="str">
        <f t="shared" si="157"/>
        <v/>
      </c>
      <c r="L2567" s="32" t="str">
        <f t="shared" si="158"/>
        <v/>
      </c>
      <c r="M2567" s="32" t="str">
        <f t="shared" si="159"/>
        <v/>
      </c>
      <c r="N2567" s="4">
        <v>0</v>
      </c>
      <c r="O2567" s="58">
        <v>0</v>
      </c>
      <c r="P2567" s="58">
        <v>0</v>
      </c>
      <c r="Q2567" s="58">
        <v>0</v>
      </c>
      <c r="R2567" s="58">
        <v>0</v>
      </c>
      <c r="S2567" s="58">
        <v>0</v>
      </c>
      <c r="T2567" s="58">
        <v>0</v>
      </c>
      <c r="U2567" s="58">
        <v>0</v>
      </c>
      <c r="V2567" s="58">
        <v>0</v>
      </c>
      <c r="AG2567" t="s">
        <v>2285</v>
      </c>
      <c r="AM2567" s="1" t="str">
        <f t="shared" si="156"/>
        <v>2565_C0013_0040.jpg</v>
      </c>
    </row>
    <row r="2568" spans="1:39" x14ac:dyDescent="0.35">
      <c r="A2568">
        <v>2564</v>
      </c>
      <c r="B2568">
        <v>2565</v>
      </c>
      <c r="F2568" s="64" t="s">
        <v>5604</v>
      </c>
      <c r="G2568" s="64"/>
      <c r="H2568" s="64"/>
      <c r="I2568" s="64">
        <v>0</v>
      </c>
      <c r="J2568" s="32" t="str">
        <f>IF(AND(E2568=1,OR(E2567=0,E2567="")),MAX(#REF!)+1,IF(AND(E2568=1,E2567=1),J2567,""))</f>
        <v/>
      </c>
      <c r="K2568" s="32" t="str">
        <f t="shared" si="157"/>
        <v/>
      </c>
      <c r="L2568" s="32" t="str">
        <f t="shared" si="158"/>
        <v/>
      </c>
      <c r="M2568" s="32" t="str">
        <f t="shared" si="159"/>
        <v/>
      </c>
      <c r="N2568" s="4">
        <v>0</v>
      </c>
      <c r="O2568" s="58">
        <v>0</v>
      </c>
      <c r="P2568" s="58">
        <v>0</v>
      </c>
      <c r="Q2568" s="58">
        <v>0</v>
      </c>
      <c r="R2568" s="58">
        <v>0</v>
      </c>
      <c r="S2568" s="58">
        <v>0</v>
      </c>
      <c r="T2568" s="58">
        <v>0</v>
      </c>
      <c r="U2568" s="58">
        <v>0</v>
      </c>
      <c r="V2568" s="58">
        <v>0</v>
      </c>
      <c r="AG2568" t="s">
        <v>2286</v>
      </c>
      <c r="AM2568" s="1" t="str">
        <f t="shared" si="156"/>
        <v>2566_C0013_0037.jpg</v>
      </c>
    </row>
    <row r="2569" spans="1:39" x14ac:dyDescent="0.35">
      <c r="A2569">
        <v>2565</v>
      </c>
      <c r="B2569">
        <v>2566</v>
      </c>
      <c r="F2569" s="64" t="s">
        <v>5605</v>
      </c>
      <c r="G2569" s="64"/>
      <c r="H2569" s="64"/>
      <c r="I2569" s="64">
        <v>0</v>
      </c>
      <c r="J2569" s="32" t="str">
        <f>IF(AND(E2569=1,OR(E2568=0,E2568="")),MAX(#REF!)+1,IF(AND(E2569=1,E2568=1),J2568,""))</f>
        <v/>
      </c>
      <c r="K2569" s="32" t="str">
        <f t="shared" si="157"/>
        <v/>
      </c>
      <c r="L2569" s="32" t="str">
        <f t="shared" si="158"/>
        <v/>
      </c>
      <c r="M2569" s="32" t="str">
        <f t="shared" si="159"/>
        <v/>
      </c>
      <c r="N2569" s="4">
        <v>0</v>
      </c>
      <c r="O2569" s="58">
        <v>0</v>
      </c>
      <c r="P2569" s="58">
        <v>0</v>
      </c>
      <c r="Q2569" s="58">
        <v>0</v>
      </c>
      <c r="R2569" s="58">
        <v>0</v>
      </c>
      <c r="S2569" s="58">
        <v>0</v>
      </c>
      <c r="T2569" s="58">
        <v>0</v>
      </c>
      <c r="U2569" s="58">
        <v>0</v>
      </c>
      <c r="V2569" s="58">
        <v>0</v>
      </c>
      <c r="AG2569" t="s">
        <v>2287</v>
      </c>
      <c r="AM2569" s="1" t="str">
        <f t="shared" si="156"/>
        <v>2567_C0013_0033.jpg</v>
      </c>
    </row>
    <row r="2570" spans="1:39" x14ac:dyDescent="0.35">
      <c r="A2570">
        <v>2566</v>
      </c>
      <c r="B2570">
        <v>2567</v>
      </c>
      <c r="F2570" s="64" t="s">
        <v>5606</v>
      </c>
      <c r="G2570" s="64"/>
      <c r="H2570" s="64"/>
      <c r="I2570" s="64">
        <v>0</v>
      </c>
      <c r="J2570" s="32" t="str">
        <f>IF(AND(E2570=1,OR(E2569=0,E2569="")),MAX(#REF!)+1,IF(AND(E2570=1,E2569=1),J2569,""))</f>
        <v/>
      </c>
      <c r="K2570" s="32" t="str">
        <f t="shared" si="157"/>
        <v/>
      </c>
      <c r="L2570" s="32" t="str">
        <f t="shared" si="158"/>
        <v/>
      </c>
      <c r="M2570" s="32" t="str">
        <f t="shared" si="159"/>
        <v/>
      </c>
      <c r="N2570" s="4">
        <v>0</v>
      </c>
      <c r="O2570" s="58">
        <v>0</v>
      </c>
      <c r="P2570" s="58">
        <v>0</v>
      </c>
      <c r="Q2570" s="58">
        <v>0</v>
      </c>
      <c r="R2570" s="58">
        <v>0</v>
      </c>
      <c r="S2570" s="58">
        <v>0</v>
      </c>
      <c r="T2570" s="58">
        <v>0</v>
      </c>
      <c r="U2570" s="58">
        <v>0</v>
      </c>
      <c r="V2570" s="58">
        <v>0</v>
      </c>
      <c r="AG2570" t="s">
        <v>2288</v>
      </c>
      <c r="AM2570" s="1" t="str">
        <f t="shared" si="156"/>
        <v>2568_C0013_0030.jpg</v>
      </c>
    </row>
    <row r="2571" spans="1:39" x14ac:dyDescent="0.35">
      <c r="A2571">
        <v>2567</v>
      </c>
      <c r="B2571">
        <v>2568</v>
      </c>
      <c r="F2571" s="64" t="s">
        <v>5607</v>
      </c>
      <c r="G2571" s="64"/>
      <c r="H2571" s="64"/>
      <c r="I2571" s="64">
        <v>0</v>
      </c>
      <c r="J2571" s="32" t="str">
        <f>IF(AND(E2571=1,OR(E2570=0,E2570="")),MAX(#REF!)+1,IF(AND(E2571=1,E2570=1),J2570,""))</f>
        <v/>
      </c>
      <c r="K2571" s="32" t="str">
        <f t="shared" si="157"/>
        <v/>
      </c>
      <c r="L2571" s="32" t="str">
        <f t="shared" si="158"/>
        <v/>
      </c>
      <c r="M2571" s="32" t="str">
        <f t="shared" si="159"/>
        <v/>
      </c>
      <c r="N2571" s="4">
        <v>0</v>
      </c>
      <c r="O2571" s="58">
        <v>0</v>
      </c>
      <c r="P2571" s="58">
        <v>0</v>
      </c>
      <c r="Q2571" s="58">
        <v>0</v>
      </c>
      <c r="R2571" s="58">
        <v>0</v>
      </c>
      <c r="S2571" s="58">
        <v>0</v>
      </c>
      <c r="T2571" s="58">
        <v>0</v>
      </c>
      <c r="U2571" s="58">
        <v>0</v>
      </c>
      <c r="V2571" s="58">
        <v>0</v>
      </c>
      <c r="AG2571" t="s">
        <v>2289</v>
      </c>
      <c r="AM2571" s="1" t="str">
        <f t="shared" ref="AM2571:AM2629" si="160">HYPERLINK("E:\CAFNEC_GBRF\2023\JohnstoneRiver\Frames_for_Analysis\" &amp; F2572, F2572)</f>
        <v>2569_C0013_0027.jpg</v>
      </c>
    </row>
    <row r="2572" spans="1:39" x14ac:dyDescent="0.35">
      <c r="A2572">
        <v>2568</v>
      </c>
      <c r="B2572">
        <v>2569</v>
      </c>
      <c r="F2572" s="64" t="s">
        <v>5608</v>
      </c>
      <c r="G2572" s="64"/>
      <c r="H2572" s="64"/>
      <c r="I2572" s="64">
        <v>0</v>
      </c>
      <c r="J2572" s="32" t="str">
        <f>IF(AND(E2572=1,OR(E2571=0,E2571="")),MAX(#REF!)+1,IF(AND(E2572=1,E2571=1),J2571,""))</f>
        <v/>
      </c>
      <c r="K2572" s="32" t="str">
        <f t="shared" si="157"/>
        <v/>
      </c>
      <c r="L2572" s="32" t="str">
        <f t="shared" si="158"/>
        <v/>
      </c>
      <c r="M2572" s="32" t="str">
        <f t="shared" si="159"/>
        <v/>
      </c>
      <c r="N2572" s="4">
        <v>0</v>
      </c>
      <c r="O2572" s="58">
        <v>0</v>
      </c>
      <c r="P2572" s="58">
        <v>0</v>
      </c>
      <c r="Q2572" s="58">
        <v>0</v>
      </c>
      <c r="R2572" s="58">
        <v>0</v>
      </c>
      <c r="S2572" s="58">
        <v>0</v>
      </c>
      <c r="T2572" s="58">
        <v>0</v>
      </c>
      <c r="U2572" s="58">
        <v>0</v>
      </c>
      <c r="V2572" s="58">
        <v>0</v>
      </c>
      <c r="AG2572" t="s">
        <v>2290</v>
      </c>
      <c r="AM2572" s="1" t="str">
        <f t="shared" si="160"/>
        <v>2570_C0013_0023.jpg</v>
      </c>
    </row>
    <row r="2573" spans="1:39" x14ac:dyDescent="0.35">
      <c r="A2573">
        <v>2569</v>
      </c>
      <c r="B2573">
        <v>2570</v>
      </c>
      <c r="F2573" s="64" t="s">
        <v>5609</v>
      </c>
      <c r="G2573" s="64"/>
      <c r="H2573" s="64"/>
      <c r="I2573" s="64">
        <v>0</v>
      </c>
      <c r="J2573" s="32" t="str">
        <f>IF(AND(E2573=1,OR(E2572=0,E2572="")),MAX(#REF!)+1,IF(AND(E2573=1,E2572=1),J2572,""))</f>
        <v/>
      </c>
      <c r="K2573" s="32" t="str">
        <f t="shared" si="157"/>
        <v/>
      </c>
      <c r="L2573" s="32" t="str">
        <f t="shared" si="158"/>
        <v/>
      </c>
      <c r="M2573" s="32" t="str">
        <f t="shared" si="159"/>
        <v/>
      </c>
      <c r="N2573" s="4">
        <v>0</v>
      </c>
      <c r="O2573" s="58">
        <v>0</v>
      </c>
      <c r="P2573" s="58">
        <v>0</v>
      </c>
      <c r="Q2573" s="58">
        <v>0</v>
      </c>
      <c r="R2573" s="58">
        <v>0</v>
      </c>
      <c r="S2573" s="58">
        <v>0</v>
      </c>
      <c r="T2573" s="58">
        <v>0</v>
      </c>
      <c r="U2573" s="58">
        <v>0</v>
      </c>
      <c r="V2573" s="58">
        <v>0</v>
      </c>
      <c r="AG2573" t="s">
        <v>2291</v>
      </c>
      <c r="AM2573" s="1" t="str">
        <f t="shared" si="160"/>
        <v>2571_C0013_0020.jpg</v>
      </c>
    </row>
    <row r="2574" spans="1:39" x14ac:dyDescent="0.35">
      <c r="A2574">
        <v>2570</v>
      </c>
      <c r="B2574">
        <v>2571</v>
      </c>
      <c r="F2574" s="64" t="s">
        <v>5610</v>
      </c>
      <c r="G2574" s="64"/>
      <c r="H2574" s="64"/>
      <c r="I2574" s="64">
        <v>0</v>
      </c>
      <c r="J2574" s="32">
        <v>217</v>
      </c>
      <c r="K2574" s="32">
        <f t="shared" si="157"/>
        <v>10</v>
      </c>
      <c r="L2574" s="32" t="str">
        <f t="shared" si="158"/>
        <v/>
      </c>
      <c r="M2574" s="32">
        <f t="shared" si="159"/>
        <v>100</v>
      </c>
      <c r="N2574" s="4">
        <v>0</v>
      </c>
      <c r="O2574" s="58">
        <v>0</v>
      </c>
      <c r="P2574" s="58">
        <v>0</v>
      </c>
      <c r="Q2574" s="58">
        <v>0</v>
      </c>
      <c r="R2574" s="58">
        <v>0</v>
      </c>
      <c r="S2574" s="58">
        <v>0</v>
      </c>
      <c r="T2574" s="58">
        <v>0</v>
      </c>
      <c r="U2574" s="58">
        <v>0</v>
      </c>
      <c r="V2574" s="58">
        <v>0</v>
      </c>
      <c r="AG2574" t="s">
        <v>2292</v>
      </c>
      <c r="AM2574" s="1" t="str">
        <f t="shared" si="160"/>
        <v>2572_C0013_0015.jpg</v>
      </c>
    </row>
    <row r="2575" spans="1:39" x14ac:dyDescent="0.35">
      <c r="A2575">
        <v>2571</v>
      </c>
      <c r="B2575">
        <v>2572</v>
      </c>
      <c r="F2575" s="64" t="s">
        <v>5611</v>
      </c>
      <c r="G2575" s="64"/>
      <c r="H2575" s="64"/>
      <c r="I2575" s="64">
        <v>0</v>
      </c>
      <c r="J2575" s="32" t="str">
        <f>IF(AND(E2575=1,OR(E2574=0,E2574="")),MAX(#REF!)+1,IF(AND(E2575=1,E2574=1),J2574,""))</f>
        <v/>
      </c>
      <c r="K2575" s="32" t="str">
        <f t="shared" si="157"/>
        <v/>
      </c>
      <c r="L2575" s="32" t="str">
        <f t="shared" si="158"/>
        <v/>
      </c>
      <c r="M2575" s="32" t="str">
        <f t="shared" si="159"/>
        <v/>
      </c>
      <c r="N2575" s="4">
        <v>0</v>
      </c>
      <c r="O2575" s="58">
        <v>0</v>
      </c>
      <c r="P2575" s="58">
        <v>0</v>
      </c>
      <c r="Q2575" s="58">
        <v>0</v>
      </c>
      <c r="R2575" s="58">
        <v>0</v>
      </c>
      <c r="S2575" s="58">
        <v>0</v>
      </c>
      <c r="T2575" s="58">
        <v>0</v>
      </c>
      <c r="U2575" s="58">
        <v>0</v>
      </c>
      <c r="V2575" s="58">
        <v>0</v>
      </c>
      <c r="AG2575" t="s">
        <v>2293</v>
      </c>
      <c r="AM2575" s="1" t="str">
        <f t="shared" si="160"/>
        <v>2573_C0013_0010.jpg</v>
      </c>
    </row>
    <row r="2576" spans="1:39" x14ac:dyDescent="0.35">
      <c r="A2576">
        <v>2572</v>
      </c>
      <c r="B2576">
        <v>2573</v>
      </c>
      <c r="F2576" s="64" t="s">
        <v>5612</v>
      </c>
      <c r="G2576" s="64"/>
      <c r="H2576" s="64"/>
      <c r="I2576" s="64">
        <v>0</v>
      </c>
      <c r="J2576" s="32" t="str">
        <f>IF(AND(E2576=1,OR(E2575=0,E2575="")),MAX(#REF!)+1,IF(AND(E2576=1,E2575=1),J2575,""))</f>
        <v/>
      </c>
      <c r="K2576" s="32" t="str">
        <f t="shared" si="157"/>
        <v/>
      </c>
      <c r="L2576" s="32" t="str">
        <f t="shared" si="158"/>
        <v/>
      </c>
      <c r="M2576" s="32" t="str">
        <f t="shared" si="159"/>
        <v/>
      </c>
      <c r="N2576" s="4">
        <v>0</v>
      </c>
      <c r="O2576" s="58">
        <v>0</v>
      </c>
      <c r="P2576" s="58">
        <v>0</v>
      </c>
      <c r="Q2576" s="58">
        <v>0</v>
      </c>
      <c r="R2576" s="58">
        <v>0</v>
      </c>
      <c r="S2576" s="58">
        <v>0</v>
      </c>
      <c r="T2576" s="58">
        <v>0</v>
      </c>
      <c r="U2576" s="58">
        <v>0</v>
      </c>
      <c r="V2576" s="58">
        <v>0</v>
      </c>
      <c r="AG2576" t="s">
        <v>2294</v>
      </c>
      <c r="AM2576" s="1" t="str">
        <f t="shared" si="160"/>
        <v>2574_C0013_0005.jpg</v>
      </c>
    </row>
    <row r="2577" spans="1:39" x14ac:dyDescent="0.35">
      <c r="A2577">
        <v>2573</v>
      </c>
      <c r="B2577">
        <v>2574</v>
      </c>
      <c r="F2577" s="64" t="s">
        <v>5613</v>
      </c>
      <c r="G2577" s="64"/>
      <c r="H2577" s="64"/>
      <c r="I2577" s="64">
        <v>0</v>
      </c>
      <c r="J2577" s="32" t="str">
        <f>IF(AND(E2577=1,OR(E2576=0,E2576="")),MAX(#REF!)+1,IF(AND(E2577=1,E2576=1),J2576,""))</f>
        <v/>
      </c>
      <c r="K2577" s="32" t="str">
        <f t="shared" si="157"/>
        <v/>
      </c>
      <c r="L2577" s="32" t="str">
        <f t="shared" si="158"/>
        <v/>
      </c>
      <c r="M2577" s="32" t="str">
        <f t="shared" si="159"/>
        <v/>
      </c>
      <c r="N2577" s="4">
        <v>0</v>
      </c>
      <c r="O2577" s="58">
        <v>0</v>
      </c>
      <c r="P2577" s="58">
        <v>0</v>
      </c>
      <c r="Q2577" s="58">
        <v>0</v>
      </c>
      <c r="R2577" s="58">
        <v>0</v>
      </c>
      <c r="S2577" s="58">
        <v>0</v>
      </c>
      <c r="T2577" s="58">
        <v>0</v>
      </c>
      <c r="U2577" s="58">
        <v>0</v>
      </c>
      <c r="V2577" s="58">
        <v>0</v>
      </c>
      <c r="AG2577" t="s">
        <v>2295</v>
      </c>
      <c r="AM2577" s="1" t="str">
        <f t="shared" si="160"/>
        <v>2575_C0012_0268.jpg</v>
      </c>
    </row>
    <row r="2578" spans="1:39" x14ac:dyDescent="0.35">
      <c r="A2578">
        <v>2574</v>
      </c>
      <c r="B2578">
        <v>2575</v>
      </c>
      <c r="F2578" s="64" t="s">
        <v>5614</v>
      </c>
      <c r="G2578" s="64"/>
      <c r="H2578" s="64"/>
      <c r="I2578" s="64">
        <v>0</v>
      </c>
      <c r="J2578" s="32" t="str">
        <f>IF(AND(E2578=1,OR(E2577=0,E2577="")),MAX(#REF!)+1,IF(AND(E2578=1,E2577=1),J2577,""))</f>
        <v/>
      </c>
      <c r="K2578" s="32" t="str">
        <f t="shared" si="157"/>
        <v/>
      </c>
      <c r="L2578" s="32" t="str">
        <f t="shared" si="158"/>
        <v/>
      </c>
      <c r="M2578" s="32" t="str">
        <f t="shared" si="159"/>
        <v/>
      </c>
      <c r="N2578" s="4">
        <v>0</v>
      </c>
      <c r="O2578" s="58">
        <v>0</v>
      </c>
      <c r="P2578" s="58">
        <v>0</v>
      </c>
      <c r="Q2578" s="58">
        <v>0</v>
      </c>
      <c r="R2578" s="58">
        <v>0</v>
      </c>
      <c r="S2578" s="58">
        <v>0</v>
      </c>
      <c r="T2578" s="58">
        <v>0</v>
      </c>
      <c r="U2578" s="58">
        <v>0</v>
      </c>
      <c r="V2578" s="58">
        <v>0</v>
      </c>
      <c r="AG2578" t="s">
        <v>2296</v>
      </c>
      <c r="AM2578" s="1" t="str">
        <f t="shared" si="160"/>
        <v>2576_C0012_0263.jpg</v>
      </c>
    </row>
    <row r="2579" spans="1:39" x14ac:dyDescent="0.35">
      <c r="A2579">
        <v>2575</v>
      </c>
      <c r="B2579">
        <v>2576</v>
      </c>
      <c r="F2579" s="64" t="s">
        <v>5615</v>
      </c>
      <c r="G2579" s="64"/>
      <c r="H2579" s="64"/>
      <c r="I2579" s="64">
        <v>0</v>
      </c>
      <c r="J2579" s="32" t="str">
        <f>IF(AND(E2579=1,OR(E2578=0,E2578="")),MAX(#REF!)+1,IF(AND(E2579=1,E2578=1),J2578,""))</f>
        <v/>
      </c>
      <c r="K2579" s="32" t="str">
        <f t="shared" si="157"/>
        <v/>
      </c>
      <c r="L2579" s="32" t="str">
        <f t="shared" si="158"/>
        <v/>
      </c>
      <c r="M2579" s="32" t="str">
        <f t="shared" si="159"/>
        <v/>
      </c>
      <c r="N2579" s="4">
        <v>0</v>
      </c>
      <c r="O2579" s="58">
        <v>0</v>
      </c>
      <c r="P2579" s="58">
        <v>0</v>
      </c>
      <c r="Q2579" s="58">
        <v>0</v>
      </c>
      <c r="R2579" s="58">
        <v>0</v>
      </c>
      <c r="S2579" s="58">
        <v>0</v>
      </c>
      <c r="T2579" s="58">
        <v>0</v>
      </c>
      <c r="U2579" s="58">
        <v>0</v>
      </c>
      <c r="V2579" s="58">
        <v>0</v>
      </c>
      <c r="AG2579" t="s">
        <v>2297</v>
      </c>
      <c r="AM2579" s="1" t="str">
        <f t="shared" si="160"/>
        <v>2577_C0012_0259.jpg</v>
      </c>
    </row>
    <row r="2580" spans="1:39" x14ac:dyDescent="0.35">
      <c r="A2580">
        <v>2576</v>
      </c>
      <c r="B2580">
        <v>2577</v>
      </c>
      <c r="F2580" s="64" t="s">
        <v>5616</v>
      </c>
      <c r="G2580" s="64"/>
      <c r="H2580" s="64"/>
      <c r="I2580" s="64">
        <v>0</v>
      </c>
      <c r="J2580" s="32" t="str">
        <f>IF(AND(E2580=1,OR(E2579=0,E2579="")),MAX(#REF!)+1,IF(AND(E2580=1,E2579=1),J2579,""))</f>
        <v/>
      </c>
      <c r="K2580" s="32" t="str">
        <f t="shared" si="157"/>
        <v/>
      </c>
      <c r="L2580" s="32" t="str">
        <f t="shared" si="158"/>
        <v/>
      </c>
      <c r="M2580" s="32" t="str">
        <f t="shared" si="159"/>
        <v/>
      </c>
      <c r="N2580" s="4">
        <v>0</v>
      </c>
      <c r="O2580" s="58">
        <v>0</v>
      </c>
      <c r="P2580" s="58">
        <v>0</v>
      </c>
      <c r="Q2580" s="58">
        <v>0</v>
      </c>
      <c r="R2580" s="58">
        <v>0</v>
      </c>
      <c r="S2580" s="58">
        <v>0</v>
      </c>
      <c r="T2580" s="58">
        <v>0</v>
      </c>
      <c r="U2580" s="58">
        <v>0</v>
      </c>
      <c r="V2580" s="58">
        <v>0</v>
      </c>
      <c r="AG2580" t="s">
        <v>2298</v>
      </c>
      <c r="AM2580" s="1" t="str">
        <f t="shared" si="160"/>
        <v>2578_C0012_0253.jpg</v>
      </c>
    </row>
    <row r="2581" spans="1:39" x14ac:dyDescent="0.35">
      <c r="A2581">
        <v>2577</v>
      </c>
      <c r="B2581">
        <v>2578</v>
      </c>
      <c r="F2581" s="64" t="s">
        <v>5617</v>
      </c>
      <c r="G2581" s="64"/>
      <c r="H2581" s="64"/>
      <c r="I2581" s="64">
        <v>0</v>
      </c>
      <c r="J2581" s="32" t="str">
        <f>IF(AND(E2581=1,OR(E2580=0,E2580="")),MAX(#REF!)+1,IF(AND(E2581=1,E2580=1),J2580,""))</f>
        <v/>
      </c>
      <c r="K2581" s="32" t="str">
        <f t="shared" si="157"/>
        <v/>
      </c>
      <c r="L2581" s="32" t="str">
        <f t="shared" si="158"/>
        <v/>
      </c>
      <c r="M2581" s="32" t="str">
        <f t="shared" si="159"/>
        <v/>
      </c>
      <c r="N2581" s="4">
        <v>0</v>
      </c>
      <c r="O2581" s="58">
        <v>0</v>
      </c>
      <c r="P2581" s="58">
        <v>0</v>
      </c>
      <c r="Q2581" s="58">
        <v>0</v>
      </c>
      <c r="R2581" s="58">
        <v>0</v>
      </c>
      <c r="S2581" s="58">
        <v>0</v>
      </c>
      <c r="T2581" s="58">
        <v>0</v>
      </c>
      <c r="U2581" s="58">
        <v>0</v>
      </c>
      <c r="V2581" s="58">
        <v>0</v>
      </c>
      <c r="AG2581" t="s">
        <v>2299</v>
      </c>
      <c r="AM2581" s="1" t="str">
        <f t="shared" si="160"/>
        <v>2579_C0012_0247.jpg</v>
      </c>
    </row>
    <row r="2582" spans="1:39" x14ac:dyDescent="0.35">
      <c r="A2582">
        <v>2578</v>
      </c>
      <c r="B2582">
        <v>2579</v>
      </c>
      <c r="F2582" s="64" t="s">
        <v>5618</v>
      </c>
      <c r="G2582" s="64"/>
      <c r="H2582" s="64"/>
      <c r="I2582" s="64">
        <v>0</v>
      </c>
      <c r="J2582" s="32" t="str">
        <f>IF(AND(E2582=1,OR(E2581=0,E2581="")),MAX(#REF!)+1,IF(AND(E2582=1,E2581=1),J2581,""))</f>
        <v/>
      </c>
      <c r="K2582" s="32" t="str">
        <f t="shared" si="157"/>
        <v/>
      </c>
      <c r="L2582" s="32" t="str">
        <f t="shared" si="158"/>
        <v/>
      </c>
      <c r="M2582" s="32" t="str">
        <f t="shared" si="159"/>
        <v/>
      </c>
      <c r="N2582" s="4">
        <v>0</v>
      </c>
      <c r="O2582" s="58">
        <v>0</v>
      </c>
      <c r="P2582" s="58">
        <v>0</v>
      </c>
      <c r="Q2582" s="58">
        <v>0</v>
      </c>
      <c r="R2582" s="58">
        <v>0</v>
      </c>
      <c r="S2582" s="58">
        <v>0</v>
      </c>
      <c r="T2582" s="58">
        <v>0</v>
      </c>
      <c r="U2582" s="58">
        <v>0</v>
      </c>
      <c r="V2582" s="58">
        <v>0</v>
      </c>
      <c r="AG2582" t="s">
        <v>2300</v>
      </c>
      <c r="AM2582" s="1" t="str">
        <f t="shared" si="160"/>
        <v>2580_C0012_0241.jpg</v>
      </c>
    </row>
    <row r="2583" spans="1:39" x14ac:dyDescent="0.35">
      <c r="A2583">
        <v>2579</v>
      </c>
      <c r="B2583">
        <v>2580</v>
      </c>
      <c r="F2583" s="64" t="s">
        <v>5619</v>
      </c>
      <c r="G2583" s="64"/>
      <c r="H2583" s="64"/>
      <c r="I2583" s="64">
        <v>0</v>
      </c>
      <c r="J2583" s="32" t="str">
        <f>IF(AND(E2583=1,OR(E2582=0,E2582="")),MAX(#REF!)+1,IF(AND(E2583=1,E2582=1),J2582,""))</f>
        <v/>
      </c>
      <c r="K2583" s="32" t="str">
        <f t="shared" si="157"/>
        <v/>
      </c>
      <c r="L2583" s="32" t="str">
        <f t="shared" si="158"/>
        <v/>
      </c>
      <c r="M2583" s="32" t="str">
        <f t="shared" si="159"/>
        <v/>
      </c>
      <c r="N2583" s="4">
        <v>0</v>
      </c>
      <c r="O2583" s="58">
        <v>0</v>
      </c>
      <c r="P2583" s="58">
        <v>0</v>
      </c>
      <c r="Q2583" s="58">
        <v>0</v>
      </c>
      <c r="R2583" s="58">
        <v>0</v>
      </c>
      <c r="S2583" s="58">
        <v>0</v>
      </c>
      <c r="T2583" s="58">
        <v>0</v>
      </c>
      <c r="U2583" s="58">
        <v>0</v>
      </c>
      <c r="V2583" s="58">
        <v>0</v>
      </c>
      <c r="AG2583" t="s">
        <v>2301</v>
      </c>
      <c r="AM2583" s="1" t="str">
        <f t="shared" si="160"/>
        <v>2581_C0012_0220.jpg</v>
      </c>
    </row>
    <row r="2584" spans="1:39" x14ac:dyDescent="0.35">
      <c r="A2584">
        <v>2580</v>
      </c>
      <c r="B2584">
        <v>2581</v>
      </c>
      <c r="F2584" s="64" t="s">
        <v>5620</v>
      </c>
      <c r="G2584" s="64"/>
      <c r="H2584" s="64"/>
      <c r="I2584" s="64">
        <v>0</v>
      </c>
      <c r="J2584" s="32" t="str">
        <f>IF(AND(E2584=1,OR(E2583=0,E2583="")),MAX(#REF!)+1,IF(AND(E2584=1,E2583=1),J2583,""))</f>
        <v/>
      </c>
      <c r="K2584" s="32" t="str">
        <f t="shared" si="157"/>
        <v/>
      </c>
      <c r="L2584" s="32" t="str">
        <f t="shared" si="158"/>
        <v/>
      </c>
      <c r="M2584" s="32" t="str">
        <f t="shared" si="159"/>
        <v/>
      </c>
      <c r="N2584" s="4">
        <v>0</v>
      </c>
      <c r="O2584" s="58">
        <v>0</v>
      </c>
      <c r="P2584" s="58">
        <v>0</v>
      </c>
      <c r="Q2584" s="58">
        <v>0</v>
      </c>
      <c r="R2584" s="58">
        <v>0</v>
      </c>
      <c r="S2584" s="58">
        <v>0</v>
      </c>
      <c r="T2584" s="58">
        <v>0</v>
      </c>
      <c r="U2584" s="58">
        <v>0</v>
      </c>
      <c r="V2584" s="58">
        <v>0</v>
      </c>
      <c r="AG2584" t="s">
        <v>2302</v>
      </c>
      <c r="AM2584" s="1" t="str">
        <f t="shared" si="160"/>
        <v>2582_C0012_0218.jpg</v>
      </c>
    </row>
    <row r="2585" spans="1:39" x14ac:dyDescent="0.35">
      <c r="A2585">
        <v>2581</v>
      </c>
      <c r="B2585">
        <v>2582</v>
      </c>
      <c r="F2585" s="64" t="s">
        <v>5621</v>
      </c>
      <c r="G2585" s="64"/>
      <c r="H2585" s="64"/>
      <c r="I2585" s="64">
        <v>0</v>
      </c>
      <c r="J2585" s="32" t="str">
        <f>IF(AND(E2585=1,OR(E2584=0,E2584="")),MAX(#REF!)+1,IF(AND(E2585=1,E2584=1),J2584,""))</f>
        <v/>
      </c>
      <c r="K2585" s="32" t="str">
        <f t="shared" si="157"/>
        <v/>
      </c>
      <c r="L2585" s="32" t="str">
        <f t="shared" si="158"/>
        <v/>
      </c>
      <c r="M2585" s="32" t="str">
        <f t="shared" si="159"/>
        <v/>
      </c>
      <c r="N2585" s="4">
        <v>0</v>
      </c>
      <c r="O2585" s="58">
        <v>0</v>
      </c>
      <c r="P2585" s="58">
        <v>0</v>
      </c>
      <c r="Q2585" s="58">
        <v>0</v>
      </c>
      <c r="R2585" s="58">
        <v>0</v>
      </c>
      <c r="S2585" s="58">
        <v>0</v>
      </c>
      <c r="T2585" s="58">
        <v>0</v>
      </c>
      <c r="U2585" s="58">
        <v>0</v>
      </c>
      <c r="V2585" s="58">
        <v>0</v>
      </c>
      <c r="AG2585" t="s">
        <v>2303</v>
      </c>
      <c r="AM2585" s="1" t="str">
        <f t="shared" si="160"/>
        <v>2583_C0012_0212.jpg</v>
      </c>
    </row>
    <row r="2586" spans="1:39" x14ac:dyDescent="0.35">
      <c r="A2586">
        <v>2582</v>
      </c>
      <c r="B2586">
        <v>2583</v>
      </c>
      <c r="F2586" s="64" t="s">
        <v>5622</v>
      </c>
      <c r="G2586" s="64"/>
      <c r="H2586" s="64"/>
      <c r="I2586" s="64">
        <v>0</v>
      </c>
      <c r="J2586" s="32" t="str">
        <f>IF(AND(E2586=1,OR(E2585=0,E2585="")),MAX(#REF!)+1,IF(AND(E2586=1,E2585=1),J2585,""))</f>
        <v/>
      </c>
      <c r="K2586" s="32" t="str">
        <f t="shared" si="157"/>
        <v/>
      </c>
      <c r="L2586" s="32" t="str">
        <f t="shared" si="158"/>
        <v/>
      </c>
      <c r="M2586" s="32" t="str">
        <f t="shared" si="159"/>
        <v/>
      </c>
      <c r="N2586" s="4">
        <v>0</v>
      </c>
      <c r="O2586" s="58">
        <v>0</v>
      </c>
      <c r="P2586" s="58">
        <v>0</v>
      </c>
      <c r="Q2586" s="58">
        <v>0</v>
      </c>
      <c r="R2586" s="58">
        <v>0</v>
      </c>
      <c r="S2586" s="58">
        <v>0</v>
      </c>
      <c r="T2586" s="58">
        <v>0</v>
      </c>
      <c r="U2586" s="58">
        <v>0</v>
      </c>
      <c r="V2586" s="58">
        <v>0</v>
      </c>
      <c r="AG2586" t="s">
        <v>2304</v>
      </c>
      <c r="AM2586" s="1" t="str">
        <f t="shared" si="160"/>
        <v>2584_C0012_0209.jpg</v>
      </c>
    </row>
    <row r="2587" spans="1:39" x14ac:dyDescent="0.35">
      <c r="A2587">
        <v>2583</v>
      </c>
      <c r="B2587">
        <v>2584</v>
      </c>
      <c r="F2587" s="64" t="s">
        <v>5623</v>
      </c>
      <c r="G2587" s="64"/>
      <c r="H2587" s="64"/>
      <c r="I2587" s="64">
        <v>0</v>
      </c>
      <c r="J2587" s="32" t="str">
        <f>IF(AND(E2587=1,OR(E2586=0,E2586="")),MAX(#REF!)+1,IF(AND(E2587=1,E2586=1),J2586,""))</f>
        <v/>
      </c>
      <c r="K2587" s="32" t="str">
        <f t="shared" si="157"/>
        <v/>
      </c>
      <c r="L2587" s="32" t="str">
        <f t="shared" si="158"/>
        <v/>
      </c>
      <c r="M2587" s="32" t="str">
        <f t="shared" si="159"/>
        <v/>
      </c>
      <c r="N2587" s="4">
        <v>0</v>
      </c>
      <c r="O2587" s="58">
        <v>0</v>
      </c>
      <c r="P2587" s="58">
        <v>0</v>
      </c>
      <c r="Q2587" s="58">
        <v>0</v>
      </c>
      <c r="R2587" s="58">
        <v>0</v>
      </c>
      <c r="S2587" s="58">
        <v>0</v>
      </c>
      <c r="T2587" s="58">
        <v>0</v>
      </c>
      <c r="U2587" s="58">
        <v>0</v>
      </c>
      <c r="V2587" s="58">
        <v>0</v>
      </c>
      <c r="AG2587" t="s">
        <v>2305</v>
      </c>
      <c r="AM2587" s="1" t="str">
        <f t="shared" si="160"/>
        <v>2585_C0012_0205.jpg</v>
      </c>
    </row>
    <row r="2588" spans="1:39" x14ac:dyDescent="0.35">
      <c r="A2588">
        <v>2584</v>
      </c>
      <c r="B2588">
        <v>2585</v>
      </c>
      <c r="F2588" s="64" t="s">
        <v>5624</v>
      </c>
      <c r="G2588" s="64"/>
      <c r="H2588" s="64"/>
      <c r="I2588" s="64">
        <v>0</v>
      </c>
      <c r="J2588" s="32" t="str">
        <f>IF(AND(E2588=1,OR(E2587=0,E2587="")),MAX(#REF!)+1,IF(AND(E2588=1,E2587=1),J2587,""))</f>
        <v/>
      </c>
      <c r="K2588" s="32" t="str">
        <f t="shared" si="157"/>
        <v/>
      </c>
      <c r="L2588" s="32" t="str">
        <f t="shared" si="158"/>
        <v/>
      </c>
      <c r="M2588" s="32" t="str">
        <f t="shared" si="159"/>
        <v/>
      </c>
      <c r="N2588" s="4">
        <v>0</v>
      </c>
      <c r="O2588" s="58">
        <v>0</v>
      </c>
      <c r="P2588" s="58">
        <v>0</v>
      </c>
      <c r="Q2588" s="58">
        <v>0</v>
      </c>
      <c r="R2588" s="58">
        <v>0</v>
      </c>
      <c r="S2588" s="58">
        <v>0</v>
      </c>
      <c r="T2588" s="58">
        <v>0</v>
      </c>
      <c r="U2588" s="58">
        <v>0</v>
      </c>
      <c r="V2588" s="58">
        <v>0</v>
      </c>
      <c r="AG2588" t="s">
        <v>2306</v>
      </c>
      <c r="AM2588" s="1" t="str">
        <f t="shared" si="160"/>
        <v>2586_C0012_0202.jpg</v>
      </c>
    </row>
    <row r="2589" spans="1:39" x14ac:dyDescent="0.35">
      <c r="A2589">
        <v>2585</v>
      </c>
      <c r="B2589">
        <v>2586</v>
      </c>
      <c r="F2589" s="64" t="s">
        <v>5625</v>
      </c>
      <c r="G2589" s="64"/>
      <c r="H2589" s="64"/>
      <c r="I2589" s="64">
        <v>0</v>
      </c>
      <c r="J2589" s="32" t="str">
        <f>IF(AND(E2589=1,OR(E2588=0,E2588="")),MAX(#REF!)+1,IF(AND(E2589=1,E2588=1),J2588,""))</f>
        <v/>
      </c>
      <c r="K2589" s="32" t="str">
        <f t="shared" si="157"/>
        <v/>
      </c>
      <c r="L2589" s="32" t="str">
        <f t="shared" si="158"/>
        <v/>
      </c>
      <c r="M2589" s="32" t="str">
        <f t="shared" si="159"/>
        <v/>
      </c>
      <c r="N2589" s="4">
        <v>0</v>
      </c>
      <c r="O2589" s="58">
        <v>0</v>
      </c>
      <c r="P2589" s="58">
        <v>0</v>
      </c>
      <c r="Q2589" s="58">
        <v>0</v>
      </c>
      <c r="R2589" s="58">
        <v>0</v>
      </c>
      <c r="S2589" s="58">
        <v>0</v>
      </c>
      <c r="T2589" s="58">
        <v>0</v>
      </c>
      <c r="U2589" s="58">
        <v>0</v>
      </c>
      <c r="V2589" s="58">
        <v>0</v>
      </c>
      <c r="AG2589" t="s">
        <v>2307</v>
      </c>
      <c r="AM2589" s="1" t="str">
        <f t="shared" si="160"/>
        <v>2587_C0012_0177.jpg</v>
      </c>
    </row>
    <row r="2590" spans="1:39" x14ac:dyDescent="0.35">
      <c r="A2590">
        <v>2586</v>
      </c>
      <c r="B2590">
        <v>2587</v>
      </c>
      <c r="F2590" s="64" t="s">
        <v>5626</v>
      </c>
      <c r="G2590" s="64"/>
      <c r="H2590" s="64"/>
      <c r="I2590" s="64">
        <v>0</v>
      </c>
      <c r="J2590" s="32" t="str">
        <f>IF(AND(E2590=1,OR(E2589=0,E2589="")),MAX(#REF!)+1,IF(AND(E2590=1,E2589=1),J2589,""))</f>
        <v/>
      </c>
      <c r="K2590" s="32" t="str">
        <f t="shared" si="157"/>
        <v/>
      </c>
      <c r="L2590" s="32" t="str">
        <f t="shared" si="158"/>
        <v/>
      </c>
      <c r="M2590" s="32" t="str">
        <f t="shared" si="159"/>
        <v/>
      </c>
      <c r="N2590" s="4">
        <v>0</v>
      </c>
      <c r="O2590" s="58">
        <v>0</v>
      </c>
      <c r="P2590" s="58">
        <v>0</v>
      </c>
      <c r="Q2590" s="58">
        <v>0</v>
      </c>
      <c r="R2590" s="58">
        <v>0</v>
      </c>
      <c r="S2590" s="58">
        <v>0</v>
      </c>
      <c r="T2590" s="58">
        <v>0</v>
      </c>
      <c r="U2590" s="58">
        <v>0</v>
      </c>
      <c r="V2590" s="58">
        <v>0</v>
      </c>
      <c r="AG2590" t="s">
        <v>2308</v>
      </c>
      <c r="AM2590" s="1" t="str">
        <f t="shared" si="160"/>
        <v>2588_C0012_0162.jpg</v>
      </c>
    </row>
    <row r="2591" spans="1:39" x14ac:dyDescent="0.35">
      <c r="A2591">
        <v>2587</v>
      </c>
      <c r="B2591">
        <v>2588</v>
      </c>
      <c r="F2591" s="64" t="s">
        <v>5627</v>
      </c>
      <c r="G2591" s="64"/>
      <c r="H2591" s="64"/>
      <c r="I2591" s="64">
        <v>0</v>
      </c>
      <c r="J2591" s="32" t="str">
        <f>IF(AND(E2591=1,OR(E2590=0,E2590="")),MAX(#REF!)+1,IF(AND(E2591=1,E2590=1),J2590,""))</f>
        <v/>
      </c>
      <c r="K2591" s="32" t="str">
        <f t="shared" ref="K2591:K2654" si="161">IF(J2591="","",COUNTIF(J:J,J2591)*10)</f>
        <v/>
      </c>
      <c r="L2591" s="32" t="str">
        <f t="shared" si="158"/>
        <v/>
      </c>
      <c r="M2591" s="32" t="str">
        <f t="shared" si="159"/>
        <v/>
      </c>
      <c r="N2591" s="4">
        <v>0</v>
      </c>
      <c r="O2591" s="58">
        <v>0</v>
      </c>
      <c r="P2591" s="58">
        <v>0</v>
      </c>
      <c r="Q2591" s="58">
        <v>0</v>
      </c>
      <c r="R2591" s="58">
        <v>0</v>
      </c>
      <c r="S2591" s="58">
        <v>0</v>
      </c>
      <c r="T2591" s="58">
        <v>0</v>
      </c>
      <c r="U2591" s="58">
        <v>0</v>
      </c>
      <c r="V2591" s="58">
        <v>0</v>
      </c>
      <c r="AG2591" t="s">
        <v>2309</v>
      </c>
      <c r="AM2591" s="1" t="str">
        <f t="shared" si="160"/>
        <v>2589_C0012_0155.jpg</v>
      </c>
    </row>
    <row r="2592" spans="1:39" x14ac:dyDescent="0.35">
      <c r="A2592">
        <v>2588</v>
      </c>
      <c r="B2592">
        <v>2589</v>
      </c>
      <c r="F2592" s="64" t="s">
        <v>5628</v>
      </c>
      <c r="G2592" s="64"/>
      <c r="H2592" s="64"/>
      <c r="I2592" s="64">
        <v>0</v>
      </c>
      <c r="J2592" s="32" t="str">
        <f>IF(AND(E2592=1,OR(E2591=0,E2591="")),MAX(#REF!)+1,IF(AND(E2592=1,E2591=1),J2591,""))</f>
        <v/>
      </c>
      <c r="K2592" s="32" t="str">
        <f t="shared" si="161"/>
        <v/>
      </c>
      <c r="L2592" s="32" t="str">
        <f t="shared" si="158"/>
        <v/>
      </c>
      <c r="M2592" s="32" t="str">
        <f t="shared" si="159"/>
        <v/>
      </c>
      <c r="N2592" s="4">
        <v>0</v>
      </c>
      <c r="O2592" s="58">
        <v>0</v>
      </c>
      <c r="P2592" s="58">
        <v>0</v>
      </c>
      <c r="Q2592" s="58">
        <v>0</v>
      </c>
      <c r="R2592" s="58">
        <v>0</v>
      </c>
      <c r="S2592" s="58">
        <v>0</v>
      </c>
      <c r="T2592" s="58">
        <v>0</v>
      </c>
      <c r="U2592" s="58">
        <v>0</v>
      </c>
      <c r="V2592" s="58">
        <v>0</v>
      </c>
      <c r="AG2592" t="s">
        <v>2310</v>
      </c>
      <c r="AM2592" s="1" t="str">
        <f t="shared" si="160"/>
        <v>2590_C0012_0152.jpg</v>
      </c>
    </row>
    <row r="2593" spans="1:39" x14ac:dyDescent="0.35">
      <c r="A2593">
        <v>2589</v>
      </c>
      <c r="B2593">
        <v>2590</v>
      </c>
      <c r="F2593" s="64" t="s">
        <v>5629</v>
      </c>
      <c r="G2593" s="64"/>
      <c r="H2593" s="64"/>
      <c r="I2593" s="64">
        <v>0</v>
      </c>
      <c r="J2593" s="32" t="str">
        <f>IF(AND(E2593=1,OR(E2592=0,E2592="")),MAX(#REF!)+1,IF(AND(E2593=1,E2592=1),J2592,""))</f>
        <v/>
      </c>
      <c r="K2593" s="32" t="str">
        <f t="shared" si="161"/>
        <v/>
      </c>
      <c r="L2593" s="32" t="str">
        <f t="shared" si="158"/>
        <v/>
      </c>
      <c r="M2593" s="32" t="str">
        <f t="shared" si="159"/>
        <v/>
      </c>
      <c r="N2593" s="4">
        <v>0</v>
      </c>
      <c r="O2593" s="58">
        <v>0</v>
      </c>
      <c r="P2593" s="58">
        <v>0</v>
      </c>
      <c r="Q2593" s="58">
        <v>0</v>
      </c>
      <c r="R2593" s="58">
        <v>0</v>
      </c>
      <c r="S2593" s="58">
        <v>0</v>
      </c>
      <c r="T2593" s="58">
        <v>0</v>
      </c>
      <c r="U2593" s="58">
        <v>0</v>
      </c>
      <c r="V2593" s="58">
        <v>0</v>
      </c>
      <c r="AG2593" t="s">
        <v>2311</v>
      </c>
      <c r="AM2593" s="1" t="str">
        <f t="shared" si="160"/>
        <v>2591_C0012_0150.jpg</v>
      </c>
    </row>
    <row r="2594" spans="1:39" x14ac:dyDescent="0.35">
      <c r="A2594">
        <v>2590</v>
      </c>
      <c r="B2594">
        <v>2591</v>
      </c>
      <c r="F2594" s="64" t="s">
        <v>5630</v>
      </c>
      <c r="G2594" s="64"/>
      <c r="H2594" s="64"/>
      <c r="I2594" s="64">
        <v>0</v>
      </c>
      <c r="J2594" s="32" t="str">
        <f>IF(AND(E2594=1,OR(E2593=0,E2593="")),MAX(#REF!)+1,IF(AND(E2594=1,E2593=1),J2593,""))</f>
        <v/>
      </c>
      <c r="K2594" s="32" t="str">
        <f t="shared" si="161"/>
        <v/>
      </c>
      <c r="L2594" s="32" t="str">
        <f t="shared" si="158"/>
        <v/>
      </c>
      <c r="M2594" s="32" t="str">
        <f t="shared" si="159"/>
        <v/>
      </c>
      <c r="N2594" s="4">
        <v>0</v>
      </c>
      <c r="O2594" s="58">
        <v>0</v>
      </c>
      <c r="P2594" s="58">
        <v>0</v>
      </c>
      <c r="Q2594" s="58">
        <v>0</v>
      </c>
      <c r="R2594" s="58">
        <v>0</v>
      </c>
      <c r="S2594" s="58">
        <v>0</v>
      </c>
      <c r="T2594" s="58">
        <v>0</v>
      </c>
      <c r="U2594" s="58">
        <v>0</v>
      </c>
      <c r="V2594" s="58">
        <v>0</v>
      </c>
      <c r="AG2594" t="s">
        <v>2312</v>
      </c>
      <c r="AM2594" s="1" t="str">
        <f t="shared" si="160"/>
        <v>2592_C0012_0149.jpg</v>
      </c>
    </row>
    <row r="2595" spans="1:39" x14ac:dyDescent="0.35">
      <c r="A2595">
        <v>2591</v>
      </c>
      <c r="B2595">
        <v>2592</v>
      </c>
      <c r="F2595" s="64" t="s">
        <v>5631</v>
      </c>
      <c r="G2595" s="64"/>
      <c r="H2595" s="64"/>
      <c r="I2595" s="64">
        <v>0</v>
      </c>
      <c r="J2595" s="32" t="str">
        <f>IF(AND(E2595=1,OR(E2594=0,E2594="")),MAX(#REF!)+1,IF(AND(E2595=1,E2594=1),J2594,""))</f>
        <v/>
      </c>
      <c r="K2595" s="32" t="str">
        <f t="shared" si="161"/>
        <v/>
      </c>
      <c r="L2595" s="32" t="str">
        <f t="shared" si="158"/>
        <v/>
      </c>
      <c r="M2595" s="32" t="str">
        <f t="shared" si="159"/>
        <v/>
      </c>
      <c r="N2595" s="4">
        <v>0</v>
      </c>
      <c r="O2595" s="58">
        <v>0</v>
      </c>
      <c r="P2595" s="58">
        <v>0</v>
      </c>
      <c r="Q2595" s="58">
        <v>0</v>
      </c>
      <c r="R2595" s="58">
        <v>0</v>
      </c>
      <c r="S2595" s="58">
        <v>0</v>
      </c>
      <c r="T2595" s="58">
        <v>0</v>
      </c>
      <c r="U2595" s="58">
        <v>0</v>
      </c>
      <c r="V2595" s="58">
        <v>0</v>
      </c>
      <c r="AG2595" t="s">
        <v>2313</v>
      </c>
      <c r="AM2595" s="1" t="str">
        <f t="shared" si="160"/>
        <v>2593_C0012_0145.jpg</v>
      </c>
    </row>
    <row r="2596" spans="1:39" x14ac:dyDescent="0.35">
      <c r="A2596">
        <v>2592</v>
      </c>
      <c r="B2596">
        <v>2593</v>
      </c>
      <c r="F2596" s="64" t="s">
        <v>5632</v>
      </c>
      <c r="G2596" s="64"/>
      <c r="H2596" s="64"/>
      <c r="I2596" s="64">
        <v>0</v>
      </c>
      <c r="J2596" s="32" t="str">
        <f>IF(AND(E2596=1,OR(E2595=0,E2595="")),MAX(#REF!)+1,IF(AND(E2596=1,E2595=1),J2595,""))</f>
        <v/>
      </c>
      <c r="K2596" s="32" t="str">
        <f t="shared" si="161"/>
        <v/>
      </c>
      <c r="L2596" s="32" t="str">
        <f t="shared" si="158"/>
        <v/>
      </c>
      <c r="M2596" s="32" t="str">
        <f t="shared" si="159"/>
        <v/>
      </c>
      <c r="N2596" s="4">
        <v>0</v>
      </c>
      <c r="O2596" s="58">
        <v>0</v>
      </c>
      <c r="P2596" s="58">
        <v>0</v>
      </c>
      <c r="Q2596" s="58">
        <v>0</v>
      </c>
      <c r="R2596" s="58">
        <v>0</v>
      </c>
      <c r="S2596" s="58">
        <v>0</v>
      </c>
      <c r="T2596" s="58">
        <v>0</v>
      </c>
      <c r="U2596" s="58">
        <v>0</v>
      </c>
      <c r="V2596" s="58">
        <v>0</v>
      </c>
      <c r="AG2596" t="s">
        <v>2314</v>
      </c>
      <c r="AM2596" s="1" t="str">
        <f t="shared" si="160"/>
        <v>2594_C0012_0139.jpg</v>
      </c>
    </row>
    <row r="2597" spans="1:39" x14ac:dyDescent="0.35">
      <c r="A2597">
        <v>2593</v>
      </c>
      <c r="B2597">
        <v>2594</v>
      </c>
      <c r="F2597" s="64" t="s">
        <v>5633</v>
      </c>
      <c r="G2597" s="64"/>
      <c r="H2597" s="64"/>
      <c r="I2597" s="64">
        <v>0</v>
      </c>
      <c r="J2597" s="32" t="str">
        <f>IF(AND(E2597=1,OR(E2596=0,E2596="")),MAX(#REF!)+1,IF(AND(E2597=1,E2596=1),J2596,""))</f>
        <v/>
      </c>
      <c r="K2597" s="32" t="str">
        <f t="shared" si="161"/>
        <v/>
      </c>
      <c r="L2597" s="32" t="str">
        <f t="shared" si="158"/>
        <v/>
      </c>
      <c r="M2597" s="32" t="str">
        <f t="shared" si="159"/>
        <v/>
      </c>
      <c r="N2597" s="4">
        <v>0</v>
      </c>
      <c r="O2597" s="58">
        <v>0</v>
      </c>
      <c r="P2597" s="58">
        <v>0</v>
      </c>
      <c r="Q2597" s="58">
        <v>0</v>
      </c>
      <c r="R2597" s="58">
        <v>0</v>
      </c>
      <c r="S2597" s="58">
        <v>0</v>
      </c>
      <c r="T2597" s="58">
        <v>0</v>
      </c>
      <c r="U2597" s="58">
        <v>0</v>
      </c>
      <c r="V2597" s="58">
        <v>0</v>
      </c>
      <c r="AG2597" t="s">
        <v>2315</v>
      </c>
      <c r="AM2597" s="1" t="str">
        <f t="shared" si="160"/>
        <v>2595_C0012_0135.jpg</v>
      </c>
    </row>
    <row r="2598" spans="1:39" x14ac:dyDescent="0.35">
      <c r="A2598">
        <v>2594</v>
      </c>
      <c r="B2598">
        <v>2595</v>
      </c>
      <c r="F2598" s="64" t="s">
        <v>5634</v>
      </c>
      <c r="G2598" s="64"/>
      <c r="H2598" s="64"/>
      <c r="I2598" s="64">
        <v>0</v>
      </c>
      <c r="J2598" s="32" t="str">
        <f>IF(AND(E2598=1,OR(E2597=0,E2597="")),MAX(#REF!)+1,IF(AND(E2598=1,E2597=1),J2597,""))</f>
        <v/>
      </c>
      <c r="K2598" s="32" t="str">
        <f t="shared" si="161"/>
        <v/>
      </c>
      <c r="L2598" s="32" t="str">
        <f t="shared" si="158"/>
        <v/>
      </c>
      <c r="M2598" s="32" t="str">
        <f t="shared" si="159"/>
        <v/>
      </c>
      <c r="N2598" s="4">
        <v>0</v>
      </c>
      <c r="O2598" s="58">
        <v>0</v>
      </c>
      <c r="P2598" s="58">
        <v>0</v>
      </c>
      <c r="Q2598" s="58">
        <v>0</v>
      </c>
      <c r="R2598" s="58">
        <v>0</v>
      </c>
      <c r="S2598" s="58">
        <v>0</v>
      </c>
      <c r="T2598" s="58">
        <v>0</v>
      </c>
      <c r="U2598" s="58">
        <v>0</v>
      </c>
      <c r="V2598" s="58">
        <v>0</v>
      </c>
      <c r="AG2598" t="s">
        <v>2316</v>
      </c>
      <c r="AM2598" s="1" t="str">
        <f t="shared" si="160"/>
        <v>2596_C0012_0133.jpg</v>
      </c>
    </row>
    <row r="2599" spans="1:39" x14ac:dyDescent="0.35">
      <c r="A2599">
        <v>2595</v>
      </c>
      <c r="B2599">
        <v>2596</v>
      </c>
      <c r="F2599" s="64" t="s">
        <v>5635</v>
      </c>
      <c r="G2599" s="64"/>
      <c r="H2599" s="64"/>
      <c r="I2599" s="64">
        <v>0</v>
      </c>
      <c r="J2599" s="32" t="str">
        <f>IF(AND(E2599=1,OR(E2598=0,E2598="")),MAX(#REF!)+1,IF(AND(E2599=1,E2598=1),J2598,""))</f>
        <v/>
      </c>
      <c r="K2599" s="32" t="str">
        <f t="shared" si="161"/>
        <v/>
      </c>
      <c r="L2599" s="32" t="str">
        <f t="shared" si="158"/>
        <v/>
      </c>
      <c r="M2599" s="32" t="str">
        <f t="shared" si="159"/>
        <v/>
      </c>
      <c r="N2599" s="4">
        <v>0</v>
      </c>
      <c r="O2599" s="58">
        <v>0</v>
      </c>
      <c r="P2599" s="58">
        <v>0</v>
      </c>
      <c r="Q2599" s="58">
        <v>0</v>
      </c>
      <c r="R2599" s="58">
        <v>0</v>
      </c>
      <c r="S2599" s="58">
        <v>0</v>
      </c>
      <c r="T2599" s="58">
        <v>0</v>
      </c>
      <c r="U2599" s="58">
        <v>0</v>
      </c>
      <c r="V2599" s="58">
        <v>0</v>
      </c>
      <c r="AG2599" t="s">
        <v>2317</v>
      </c>
      <c r="AM2599" s="1" t="str">
        <f t="shared" si="160"/>
        <v>2597_C0012_0129.jpg</v>
      </c>
    </row>
    <row r="2600" spans="1:39" x14ac:dyDescent="0.35">
      <c r="A2600">
        <v>2596</v>
      </c>
      <c r="B2600">
        <v>2597</v>
      </c>
      <c r="F2600" s="64" t="s">
        <v>5636</v>
      </c>
      <c r="G2600" s="64"/>
      <c r="H2600" s="64"/>
      <c r="I2600" s="64">
        <v>0</v>
      </c>
      <c r="J2600" s="32" t="str">
        <f>IF(AND(E2600=1,OR(E2599=0,E2599="")),MAX(#REF!)+1,IF(AND(E2600=1,E2599=1),J2599,""))</f>
        <v/>
      </c>
      <c r="K2600" s="32" t="str">
        <f t="shared" si="161"/>
        <v/>
      </c>
      <c r="L2600" s="32" t="str">
        <f t="shared" si="158"/>
        <v/>
      </c>
      <c r="M2600" s="32" t="str">
        <f t="shared" si="159"/>
        <v/>
      </c>
      <c r="N2600" s="4">
        <v>0</v>
      </c>
      <c r="O2600" s="58">
        <v>0</v>
      </c>
      <c r="P2600" s="58">
        <v>0</v>
      </c>
      <c r="Q2600" s="58">
        <v>0</v>
      </c>
      <c r="R2600" s="58">
        <v>0</v>
      </c>
      <c r="S2600" s="58">
        <v>0</v>
      </c>
      <c r="T2600" s="58">
        <v>0</v>
      </c>
      <c r="U2600" s="58">
        <v>0</v>
      </c>
      <c r="V2600" s="58">
        <v>0</v>
      </c>
      <c r="AG2600" t="s">
        <v>2318</v>
      </c>
      <c r="AM2600" s="1" t="str">
        <f t="shared" si="160"/>
        <v>2598_C0012_0124.jpg</v>
      </c>
    </row>
    <row r="2601" spans="1:39" x14ac:dyDescent="0.35">
      <c r="A2601">
        <v>2597</v>
      </c>
      <c r="B2601">
        <v>2598</v>
      </c>
      <c r="F2601" s="64" t="s">
        <v>5637</v>
      </c>
      <c r="G2601" s="64"/>
      <c r="H2601" s="64"/>
      <c r="I2601" s="64">
        <v>0</v>
      </c>
      <c r="J2601" s="32" t="str">
        <f>IF(AND(E2601=1,OR(E2600=0,E2600="")),MAX(#REF!)+1,IF(AND(E2601=1,E2600=1),J2600,""))</f>
        <v/>
      </c>
      <c r="K2601" s="32" t="str">
        <f t="shared" si="161"/>
        <v/>
      </c>
      <c r="L2601" s="32" t="str">
        <f t="shared" si="158"/>
        <v/>
      </c>
      <c r="M2601" s="32" t="str">
        <f t="shared" si="159"/>
        <v/>
      </c>
      <c r="N2601" s="4">
        <v>0</v>
      </c>
      <c r="O2601" s="58">
        <v>0</v>
      </c>
      <c r="P2601" s="58">
        <v>0</v>
      </c>
      <c r="Q2601" s="58">
        <v>0</v>
      </c>
      <c r="R2601" s="58">
        <v>0</v>
      </c>
      <c r="S2601" s="58">
        <v>0</v>
      </c>
      <c r="T2601" s="58">
        <v>0</v>
      </c>
      <c r="U2601" s="58">
        <v>0</v>
      </c>
      <c r="V2601" s="58">
        <v>0</v>
      </c>
      <c r="AG2601" t="s">
        <v>2319</v>
      </c>
      <c r="AM2601" s="1" t="str">
        <f t="shared" si="160"/>
        <v>2599_C0012_0120.jpg</v>
      </c>
    </row>
    <row r="2602" spans="1:39" x14ac:dyDescent="0.35">
      <c r="A2602">
        <v>2598</v>
      </c>
      <c r="B2602">
        <v>2599</v>
      </c>
      <c r="F2602" s="64" t="s">
        <v>5638</v>
      </c>
      <c r="G2602" s="64"/>
      <c r="H2602" s="64"/>
      <c r="I2602" s="64">
        <v>0</v>
      </c>
      <c r="J2602" s="32" t="str">
        <f>IF(AND(E2602=1,OR(E2601=0,E2601="")),MAX(#REF!)+1,IF(AND(E2602=1,E2601=1),J2601,""))</f>
        <v/>
      </c>
      <c r="K2602" s="32" t="str">
        <f t="shared" si="161"/>
        <v/>
      </c>
      <c r="L2602" s="32" t="str">
        <f t="shared" si="158"/>
        <v/>
      </c>
      <c r="M2602" s="32" t="str">
        <f t="shared" si="159"/>
        <v/>
      </c>
      <c r="N2602" s="4">
        <v>0</v>
      </c>
      <c r="O2602" s="58">
        <v>0</v>
      </c>
      <c r="P2602" s="58">
        <v>0</v>
      </c>
      <c r="Q2602" s="58">
        <v>0</v>
      </c>
      <c r="R2602" s="58">
        <v>0</v>
      </c>
      <c r="S2602" s="58">
        <v>0</v>
      </c>
      <c r="T2602" s="58">
        <v>0</v>
      </c>
      <c r="U2602" s="58">
        <v>0</v>
      </c>
      <c r="V2602" s="58">
        <v>0</v>
      </c>
      <c r="AG2602" t="s">
        <v>2320</v>
      </c>
      <c r="AM2602" s="1" t="str">
        <f t="shared" si="160"/>
        <v>2600_C0012_0117.jpg</v>
      </c>
    </row>
    <row r="2603" spans="1:39" x14ac:dyDescent="0.35">
      <c r="A2603">
        <v>2599</v>
      </c>
      <c r="B2603">
        <v>2600</v>
      </c>
      <c r="F2603" s="64" t="s">
        <v>5639</v>
      </c>
      <c r="G2603" s="64"/>
      <c r="H2603" s="64"/>
      <c r="I2603" s="64">
        <v>0</v>
      </c>
      <c r="J2603" s="32" t="str">
        <f>IF(AND(E2603=1,OR(E2602=0,E2602="")),MAX(#REF!)+1,IF(AND(E2603=1,E2602=1),J2602,""))</f>
        <v/>
      </c>
      <c r="K2603" s="32" t="str">
        <f t="shared" si="161"/>
        <v/>
      </c>
      <c r="L2603" s="32" t="str">
        <f t="shared" si="158"/>
        <v/>
      </c>
      <c r="M2603" s="32" t="str">
        <f t="shared" si="159"/>
        <v/>
      </c>
      <c r="N2603" s="4">
        <v>0</v>
      </c>
      <c r="O2603" s="58">
        <v>0</v>
      </c>
      <c r="P2603" s="58">
        <v>0</v>
      </c>
      <c r="Q2603" s="58">
        <v>0</v>
      </c>
      <c r="R2603" s="58">
        <v>0</v>
      </c>
      <c r="S2603" s="58">
        <v>0</v>
      </c>
      <c r="T2603" s="58">
        <v>0</v>
      </c>
      <c r="U2603" s="58">
        <v>0</v>
      </c>
      <c r="V2603" s="58">
        <v>0</v>
      </c>
      <c r="AG2603" t="s">
        <v>2321</v>
      </c>
      <c r="AM2603" s="1" t="str">
        <f t="shared" si="160"/>
        <v>2601_C0012_0113.jpg</v>
      </c>
    </row>
    <row r="2604" spans="1:39" x14ac:dyDescent="0.35">
      <c r="A2604">
        <v>2600</v>
      </c>
      <c r="B2604">
        <v>2601</v>
      </c>
      <c r="F2604" s="64" t="s">
        <v>5640</v>
      </c>
      <c r="G2604" s="64"/>
      <c r="H2604" s="64"/>
      <c r="I2604" s="64">
        <v>0</v>
      </c>
      <c r="J2604" s="32" t="str">
        <f>IF(AND(E2604=1,OR(E2603=0,E2603="")),MAX(#REF!)+1,IF(AND(E2604=1,E2603=1),J2603,""))</f>
        <v/>
      </c>
      <c r="K2604" s="32" t="str">
        <f t="shared" si="161"/>
        <v/>
      </c>
      <c r="L2604" s="32" t="str">
        <f t="shared" si="158"/>
        <v/>
      </c>
      <c r="M2604" s="32" t="str">
        <f t="shared" si="159"/>
        <v/>
      </c>
      <c r="N2604" s="4">
        <v>0</v>
      </c>
      <c r="O2604" s="58">
        <v>0</v>
      </c>
      <c r="P2604" s="58">
        <v>0</v>
      </c>
      <c r="Q2604" s="58">
        <v>0</v>
      </c>
      <c r="R2604" s="58">
        <v>0</v>
      </c>
      <c r="S2604" s="58">
        <v>0</v>
      </c>
      <c r="T2604" s="58">
        <v>0</v>
      </c>
      <c r="U2604" s="58">
        <v>0</v>
      </c>
      <c r="V2604" s="58">
        <v>0</v>
      </c>
      <c r="AG2604" t="s">
        <v>2322</v>
      </c>
      <c r="AM2604" s="1" t="str">
        <f t="shared" si="160"/>
        <v>2602_C0012_0111.jpg</v>
      </c>
    </row>
    <row r="2605" spans="1:39" x14ac:dyDescent="0.35">
      <c r="A2605">
        <v>2601</v>
      </c>
      <c r="B2605">
        <v>2602</v>
      </c>
      <c r="F2605" s="64" t="s">
        <v>5641</v>
      </c>
      <c r="G2605" s="64"/>
      <c r="H2605" s="64"/>
      <c r="I2605" s="64">
        <v>0</v>
      </c>
      <c r="J2605" s="32" t="str">
        <f>IF(AND(E2605=1,OR(E2604=0,E2604="")),MAX(#REF!)+1,IF(AND(E2605=1,E2604=1),J2604,""))</f>
        <v/>
      </c>
      <c r="K2605" s="32" t="str">
        <f t="shared" si="161"/>
        <v/>
      </c>
      <c r="L2605" s="32" t="str">
        <f t="shared" si="158"/>
        <v/>
      </c>
      <c r="M2605" s="32" t="str">
        <f t="shared" si="159"/>
        <v/>
      </c>
      <c r="N2605" s="4">
        <v>0</v>
      </c>
      <c r="O2605" s="58">
        <v>0</v>
      </c>
      <c r="P2605" s="58">
        <v>0</v>
      </c>
      <c r="Q2605" s="58">
        <v>0</v>
      </c>
      <c r="R2605" s="58">
        <v>0</v>
      </c>
      <c r="S2605" s="58">
        <v>0</v>
      </c>
      <c r="T2605" s="58">
        <v>0</v>
      </c>
      <c r="U2605" s="58">
        <v>0</v>
      </c>
      <c r="V2605" s="58">
        <v>0</v>
      </c>
      <c r="AG2605" t="s">
        <v>2323</v>
      </c>
      <c r="AM2605" s="1" t="str">
        <f t="shared" si="160"/>
        <v>2603_C0012_0107.jpg</v>
      </c>
    </row>
    <row r="2606" spans="1:39" x14ac:dyDescent="0.35">
      <c r="A2606">
        <v>2602</v>
      </c>
      <c r="B2606">
        <v>2603</v>
      </c>
      <c r="F2606" s="64" t="s">
        <v>5642</v>
      </c>
      <c r="G2606" s="64"/>
      <c r="H2606" s="64"/>
      <c r="I2606" s="64">
        <v>0</v>
      </c>
      <c r="J2606" s="32" t="str">
        <f>IF(AND(E2606=1,OR(E2605=0,E2605="")),MAX(#REF!)+1,IF(AND(E2606=1,E2605=1),J2605,""))</f>
        <v/>
      </c>
      <c r="K2606" s="32" t="str">
        <f t="shared" si="161"/>
        <v/>
      </c>
      <c r="L2606" s="32" t="str">
        <f t="shared" si="158"/>
        <v/>
      </c>
      <c r="M2606" s="32" t="str">
        <f t="shared" si="159"/>
        <v/>
      </c>
      <c r="N2606" s="4">
        <v>0</v>
      </c>
      <c r="O2606" s="58">
        <v>0</v>
      </c>
      <c r="P2606" s="58">
        <v>0</v>
      </c>
      <c r="Q2606" s="58">
        <v>0</v>
      </c>
      <c r="R2606" s="58">
        <v>0</v>
      </c>
      <c r="S2606" s="58">
        <v>0</v>
      </c>
      <c r="T2606" s="58">
        <v>0</v>
      </c>
      <c r="U2606" s="58">
        <v>0</v>
      </c>
      <c r="V2606" s="58">
        <v>0</v>
      </c>
      <c r="AG2606" t="s">
        <v>2324</v>
      </c>
      <c r="AM2606" s="1" t="str">
        <f t="shared" si="160"/>
        <v>2604_C0012_0105.jpg</v>
      </c>
    </row>
    <row r="2607" spans="1:39" x14ac:dyDescent="0.35">
      <c r="A2607">
        <v>2603</v>
      </c>
      <c r="B2607">
        <v>2604</v>
      </c>
      <c r="F2607" s="64" t="s">
        <v>5643</v>
      </c>
      <c r="G2607" s="64"/>
      <c r="H2607" s="64"/>
      <c r="I2607" s="64">
        <v>0</v>
      </c>
      <c r="J2607" s="32" t="str">
        <f>IF(AND(E2607=1,OR(E2606=0,E2606="")),MAX(#REF!)+1,IF(AND(E2607=1,E2606=1),J2606,""))</f>
        <v/>
      </c>
      <c r="K2607" s="32" t="str">
        <f t="shared" si="161"/>
        <v/>
      </c>
      <c r="L2607" s="32" t="str">
        <f t="shared" si="158"/>
        <v/>
      </c>
      <c r="M2607" s="32" t="str">
        <f t="shared" si="159"/>
        <v/>
      </c>
      <c r="N2607" s="4">
        <v>0</v>
      </c>
      <c r="O2607" s="58">
        <v>0</v>
      </c>
      <c r="P2607" s="58">
        <v>0</v>
      </c>
      <c r="Q2607" s="58">
        <v>0</v>
      </c>
      <c r="R2607" s="58">
        <v>0</v>
      </c>
      <c r="S2607" s="58">
        <v>0</v>
      </c>
      <c r="T2607" s="58">
        <v>0</v>
      </c>
      <c r="U2607" s="58">
        <v>0</v>
      </c>
      <c r="V2607" s="58">
        <v>0</v>
      </c>
      <c r="AG2607" t="s">
        <v>2325</v>
      </c>
      <c r="AM2607" s="1" t="str">
        <f t="shared" si="160"/>
        <v>2605_C0012_0100.jpg</v>
      </c>
    </row>
    <row r="2608" spans="1:39" x14ac:dyDescent="0.35">
      <c r="A2608">
        <v>2604</v>
      </c>
      <c r="B2608">
        <v>2605</v>
      </c>
      <c r="F2608" s="64" t="s">
        <v>5644</v>
      </c>
      <c r="G2608" s="64"/>
      <c r="H2608" s="64"/>
      <c r="I2608" s="64">
        <v>0</v>
      </c>
      <c r="J2608" s="32" t="str">
        <f>IF(AND(E2608=1,OR(E2607=0,E2607="")),MAX(#REF!)+1,IF(AND(E2608=1,E2607=1),J2607,""))</f>
        <v/>
      </c>
      <c r="K2608" s="32" t="str">
        <f t="shared" si="161"/>
        <v/>
      </c>
      <c r="L2608" s="32" t="str">
        <f t="shared" si="158"/>
        <v/>
      </c>
      <c r="M2608" s="32" t="str">
        <f t="shared" si="159"/>
        <v/>
      </c>
      <c r="N2608" s="4">
        <v>0</v>
      </c>
      <c r="O2608" s="58">
        <v>0</v>
      </c>
      <c r="P2608" s="58">
        <v>0</v>
      </c>
      <c r="Q2608" s="58">
        <v>0</v>
      </c>
      <c r="R2608" s="58">
        <v>0</v>
      </c>
      <c r="S2608" s="58">
        <v>0</v>
      </c>
      <c r="T2608" s="58">
        <v>0</v>
      </c>
      <c r="U2608" s="58">
        <v>0</v>
      </c>
      <c r="V2608" s="58">
        <v>0</v>
      </c>
      <c r="AG2608" t="s">
        <v>2326</v>
      </c>
      <c r="AM2608" s="1" t="str">
        <f t="shared" si="160"/>
        <v>2606_C0012_0097.jpg</v>
      </c>
    </row>
    <row r="2609" spans="1:39" x14ac:dyDescent="0.35">
      <c r="A2609">
        <v>2605</v>
      </c>
      <c r="B2609">
        <v>2606</v>
      </c>
      <c r="F2609" s="64" t="s">
        <v>5645</v>
      </c>
      <c r="G2609" s="64"/>
      <c r="H2609" s="64"/>
      <c r="I2609" s="64">
        <v>0</v>
      </c>
      <c r="J2609" s="32" t="str">
        <f>IF(AND(E2609=1,OR(E2608=0,E2608="")),MAX(#REF!)+1,IF(AND(E2609=1,E2608=1),J2608,""))</f>
        <v/>
      </c>
      <c r="K2609" s="32" t="str">
        <f t="shared" si="161"/>
        <v/>
      </c>
      <c r="L2609" s="32" t="str">
        <f t="shared" si="158"/>
        <v/>
      </c>
      <c r="M2609" s="32" t="str">
        <f t="shared" si="159"/>
        <v/>
      </c>
      <c r="N2609" s="4">
        <v>0</v>
      </c>
      <c r="O2609" s="58">
        <v>0</v>
      </c>
      <c r="P2609" s="58">
        <v>0</v>
      </c>
      <c r="Q2609" s="58">
        <v>0</v>
      </c>
      <c r="R2609" s="58">
        <v>0</v>
      </c>
      <c r="S2609" s="58">
        <v>0</v>
      </c>
      <c r="T2609" s="58">
        <v>0</v>
      </c>
      <c r="U2609" s="58">
        <v>0</v>
      </c>
      <c r="V2609" s="58">
        <v>0</v>
      </c>
      <c r="AG2609" t="s">
        <v>2327</v>
      </c>
      <c r="AM2609" s="1" t="str">
        <f t="shared" si="160"/>
        <v>2607_C0012_0094.jpg</v>
      </c>
    </row>
    <row r="2610" spans="1:39" x14ac:dyDescent="0.35">
      <c r="A2610">
        <v>2606</v>
      </c>
      <c r="B2610">
        <v>2607</v>
      </c>
      <c r="F2610" s="64" t="s">
        <v>5646</v>
      </c>
      <c r="G2610" s="64"/>
      <c r="H2610" s="64"/>
      <c r="I2610" s="64">
        <v>0</v>
      </c>
      <c r="J2610" s="32" t="str">
        <f>IF(AND(E2610=1,OR(E2609=0,E2609="")),MAX(#REF!)+1,IF(AND(E2610=1,E2609=1),J2609,""))</f>
        <v/>
      </c>
      <c r="K2610" s="32" t="str">
        <f t="shared" si="161"/>
        <v/>
      </c>
      <c r="L2610" s="32" t="str">
        <f t="shared" si="158"/>
        <v/>
      </c>
      <c r="M2610" s="32" t="str">
        <f t="shared" si="159"/>
        <v/>
      </c>
      <c r="N2610" s="4">
        <v>0</v>
      </c>
      <c r="O2610" s="58">
        <v>0</v>
      </c>
      <c r="P2610" s="58">
        <v>0</v>
      </c>
      <c r="Q2610" s="58">
        <v>0</v>
      </c>
      <c r="R2610" s="58">
        <v>0</v>
      </c>
      <c r="S2610" s="58">
        <v>0</v>
      </c>
      <c r="T2610" s="58">
        <v>0</v>
      </c>
      <c r="U2610" s="58">
        <v>0</v>
      </c>
      <c r="V2610" s="58">
        <v>0</v>
      </c>
      <c r="AG2610" t="s">
        <v>2328</v>
      </c>
      <c r="AM2610" s="1" t="str">
        <f t="shared" si="160"/>
        <v>2608_C0012_0090.jpg</v>
      </c>
    </row>
    <row r="2611" spans="1:39" x14ac:dyDescent="0.35">
      <c r="A2611">
        <v>2607</v>
      </c>
      <c r="B2611">
        <v>2608</v>
      </c>
      <c r="F2611" s="64" t="s">
        <v>5647</v>
      </c>
      <c r="G2611" s="64"/>
      <c r="H2611" s="64"/>
      <c r="I2611" s="64">
        <v>0</v>
      </c>
      <c r="J2611" s="32" t="str">
        <f>IF(AND(E2611=1,OR(E2610=0,E2610="")),MAX(#REF!)+1,IF(AND(E2611=1,E2610=1),J2610,""))</f>
        <v/>
      </c>
      <c r="K2611" s="32" t="str">
        <f t="shared" si="161"/>
        <v/>
      </c>
      <c r="L2611" s="32" t="str">
        <f t="shared" si="158"/>
        <v/>
      </c>
      <c r="M2611" s="32" t="str">
        <f t="shared" si="159"/>
        <v/>
      </c>
      <c r="N2611" s="4">
        <v>0</v>
      </c>
      <c r="O2611" s="58">
        <v>0</v>
      </c>
      <c r="P2611" s="58">
        <v>0</v>
      </c>
      <c r="Q2611" s="58">
        <v>0</v>
      </c>
      <c r="R2611" s="58">
        <v>0</v>
      </c>
      <c r="S2611" s="58">
        <v>0</v>
      </c>
      <c r="T2611" s="58">
        <v>0</v>
      </c>
      <c r="U2611" s="58">
        <v>0</v>
      </c>
      <c r="V2611" s="58">
        <v>0</v>
      </c>
      <c r="AG2611" t="s">
        <v>2329</v>
      </c>
      <c r="AM2611" s="1" t="str">
        <f t="shared" si="160"/>
        <v>2609_C0012_0087.jpg</v>
      </c>
    </row>
    <row r="2612" spans="1:39" x14ac:dyDescent="0.35">
      <c r="A2612">
        <v>2608</v>
      </c>
      <c r="B2612">
        <v>2609</v>
      </c>
      <c r="F2612" s="64" t="s">
        <v>5648</v>
      </c>
      <c r="G2612" s="64"/>
      <c r="H2612" s="64"/>
      <c r="I2612" s="64">
        <v>0</v>
      </c>
      <c r="J2612" s="32" t="str">
        <f>IF(AND(E2612=1,OR(E2611=0,E2611="")),MAX(#REF!)+1,IF(AND(E2612=1,E2611=1),J2611,""))</f>
        <v/>
      </c>
      <c r="K2612" s="32" t="str">
        <f t="shared" si="161"/>
        <v/>
      </c>
      <c r="L2612" s="32" t="str">
        <f t="shared" si="158"/>
        <v/>
      </c>
      <c r="M2612" s="32" t="str">
        <f t="shared" si="159"/>
        <v/>
      </c>
      <c r="N2612" s="4">
        <v>0</v>
      </c>
      <c r="O2612" s="58">
        <v>0</v>
      </c>
      <c r="P2612" s="58">
        <v>0</v>
      </c>
      <c r="Q2612" s="58">
        <v>0</v>
      </c>
      <c r="R2612" s="58">
        <v>0</v>
      </c>
      <c r="S2612" s="58">
        <v>0</v>
      </c>
      <c r="T2612" s="58">
        <v>0</v>
      </c>
      <c r="U2612" s="58">
        <v>0</v>
      </c>
      <c r="V2612" s="58">
        <v>0</v>
      </c>
      <c r="AG2612" t="s">
        <v>2330</v>
      </c>
      <c r="AM2612" s="1" t="str">
        <f t="shared" si="160"/>
        <v>2610_C0012_0083.jpg</v>
      </c>
    </row>
    <row r="2613" spans="1:39" x14ac:dyDescent="0.35">
      <c r="A2613">
        <v>2609</v>
      </c>
      <c r="B2613">
        <v>2610</v>
      </c>
      <c r="F2613" s="64" t="s">
        <v>5649</v>
      </c>
      <c r="G2613" s="64"/>
      <c r="H2613" s="64"/>
      <c r="I2613" s="64">
        <v>0</v>
      </c>
      <c r="J2613" s="32" t="str">
        <f>IF(AND(E2613=1,OR(E2612=0,E2612="")),MAX(#REF!)+1,IF(AND(E2613=1,E2612=1),J2612,""))</f>
        <v/>
      </c>
      <c r="K2613" s="32" t="str">
        <f t="shared" si="161"/>
        <v/>
      </c>
      <c r="L2613" s="32" t="str">
        <f t="shared" si="158"/>
        <v/>
      </c>
      <c r="M2613" s="32" t="str">
        <f t="shared" si="159"/>
        <v/>
      </c>
      <c r="N2613" s="4">
        <v>0</v>
      </c>
      <c r="O2613" s="58">
        <v>0</v>
      </c>
      <c r="P2613" s="58">
        <v>0</v>
      </c>
      <c r="Q2613" s="58">
        <v>0</v>
      </c>
      <c r="R2613" s="58">
        <v>0</v>
      </c>
      <c r="S2613" s="58">
        <v>0</v>
      </c>
      <c r="T2613" s="58">
        <v>0</v>
      </c>
      <c r="U2613" s="58">
        <v>0</v>
      </c>
      <c r="V2613" s="58">
        <v>0</v>
      </c>
      <c r="AG2613" t="s">
        <v>2331</v>
      </c>
      <c r="AM2613" s="1" t="str">
        <f t="shared" si="160"/>
        <v>2611_C0012_0078.jpg</v>
      </c>
    </row>
    <row r="2614" spans="1:39" x14ac:dyDescent="0.35">
      <c r="A2614">
        <v>2610</v>
      </c>
      <c r="B2614">
        <v>2611</v>
      </c>
      <c r="F2614" s="64" t="s">
        <v>5650</v>
      </c>
      <c r="G2614" s="64"/>
      <c r="H2614" s="64"/>
      <c r="I2614" s="64">
        <v>0</v>
      </c>
      <c r="J2614" s="32" t="str">
        <f>IF(AND(E2614=1,OR(E2613=0,E2613="")),MAX(#REF!)+1,IF(AND(E2614=1,E2613=1),J2613,""))</f>
        <v/>
      </c>
      <c r="K2614" s="32" t="str">
        <f t="shared" si="161"/>
        <v/>
      </c>
      <c r="L2614" s="32" t="str">
        <f t="shared" si="158"/>
        <v/>
      </c>
      <c r="M2614" s="32" t="str">
        <f t="shared" si="159"/>
        <v/>
      </c>
      <c r="N2614" s="4">
        <v>0</v>
      </c>
      <c r="O2614" s="58">
        <v>0</v>
      </c>
      <c r="P2614" s="58">
        <v>0</v>
      </c>
      <c r="Q2614" s="58">
        <v>0</v>
      </c>
      <c r="R2614" s="58">
        <v>0</v>
      </c>
      <c r="S2614" s="58">
        <v>0</v>
      </c>
      <c r="T2614" s="58">
        <v>0</v>
      </c>
      <c r="U2614" s="58">
        <v>0</v>
      </c>
      <c r="V2614" s="58">
        <v>0</v>
      </c>
      <c r="AG2614" t="s">
        <v>2332</v>
      </c>
      <c r="AM2614" s="1" t="str">
        <f t="shared" si="160"/>
        <v>2612_C0012_0075.jpg</v>
      </c>
    </row>
    <row r="2615" spans="1:39" x14ac:dyDescent="0.35">
      <c r="A2615">
        <v>2611</v>
      </c>
      <c r="B2615">
        <v>2612</v>
      </c>
      <c r="F2615" s="64" t="s">
        <v>5651</v>
      </c>
      <c r="G2615" s="64"/>
      <c r="H2615" s="64"/>
      <c r="I2615" s="64">
        <v>0</v>
      </c>
      <c r="J2615" s="32" t="str">
        <f>IF(AND(E2615=1,OR(E2614=0,E2614="")),MAX(#REF!)+1,IF(AND(E2615=1,E2614=1),J2614,""))</f>
        <v/>
      </c>
      <c r="K2615" s="32" t="str">
        <f t="shared" si="161"/>
        <v/>
      </c>
      <c r="L2615" s="32" t="str">
        <f t="shared" si="158"/>
        <v/>
      </c>
      <c r="M2615" s="32" t="str">
        <f t="shared" si="159"/>
        <v/>
      </c>
      <c r="N2615" s="4">
        <v>0</v>
      </c>
      <c r="O2615" s="58">
        <v>0</v>
      </c>
      <c r="P2615" s="58">
        <v>0</v>
      </c>
      <c r="Q2615" s="58">
        <v>0</v>
      </c>
      <c r="R2615" s="58">
        <v>0</v>
      </c>
      <c r="S2615" s="58">
        <v>0</v>
      </c>
      <c r="T2615" s="58">
        <v>0</v>
      </c>
      <c r="U2615" s="58">
        <v>0</v>
      </c>
      <c r="V2615" s="58">
        <v>0</v>
      </c>
      <c r="AG2615" t="s">
        <v>2333</v>
      </c>
      <c r="AM2615" s="1" t="str">
        <f t="shared" si="160"/>
        <v>2613_C0012_0071.jpg</v>
      </c>
    </row>
    <row r="2616" spans="1:39" x14ac:dyDescent="0.35">
      <c r="A2616">
        <v>2612</v>
      </c>
      <c r="B2616">
        <v>2613</v>
      </c>
      <c r="F2616" s="64" t="s">
        <v>5652</v>
      </c>
      <c r="G2616" s="64"/>
      <c r="H2616" s="64"/>
      <c r="I2616" s="64">
        <v>0</v>
      </c>
      <c r="J2616" s="32" t="str">
        <f>IF(AND(E2616=1,OR(E2615=0,E2615="")),MAX(#REF!)+1,IF(AND(E2616=1,E2615=1),J2615,""))</f>
        <v/>
      </c>
      <c r="K2616" s="32" t="str">
        <f t="shared" si="161"/>
        <v/>
      </c>
      <c r="L2616" s="32" t="str">
        <f t="shared" si="158"/>
        <v/>
      </c>
      <c r="M2616" s="32" t="str">
        <f t="shared" si="159"/>
        <v/>
      </c>
      <c r="N2616" s="4">
        <v>0</v>
      </c>
      <c r="O2616" s="58">
        <v>0</v>
      </c>
      <c r="P2616" s="58">
        <v>0</v>
      </c>
      <c r="Q2616" s="58">
        <v>0</v>
      </c>
      <c r="R2616" s="58">
        <v>0</v>
      </c>
      <c r="S2616" s="58">
        <v>0</v>
      </c>
      <c r="T2616" s="58">
        <v>0</v>
      </c>
      <c r="U2616" s="58">
        <v>0</v>
      </c>
      <c r="V2616" s="58">
        <v>0</v>
      </c>
      <c r="AG2616" t="s">
        <v>2334</v>
      </c>
      <c r="AM2616" s="1" t="str">
        <f t="shared" si="160"/>
        <v>2614_C0012_0067.jpg</v>
      </c>
    </row>
    <row r="2617" spans="1:39" x14ac:dyDescent="0.35">
      <c r="A2617">
        <v>2613</v>
      </c>
      <c r="B2617">
        <v>2614</v>
      </c>
      <c r="F2617" s="64" t="s">
        <v>5653</v>
      </c>
      <c r="G2617" s="64"/>
      <c r="H2617" s="64"/>
      <c r="I2617" s="64">
        <v>0</v>
      </c>
      <c r="J2617" s="32" t="str">
        <f>IF(AND(E2617=1,OR(E2616=0,E2616="")),MAX(#REF!)+1,IF(AND(E2617=1,E2616=1),J2616,""))</f>
        <v/>
      </c>
      <c r="K2617" s="32" t="str">
        <f t="shared" si="161"/>
        <v/>
      </c>
      <c r="L2617" s="32" t="str">
        <f t="shared" si="158"/>
        <v/>
      </c>
      <c r="M2617" s="32" t="str">
        <f t="shared" si="159"/>
        <v/>
      </c>
      <c r="N2617" s="4">
        <v>0</v>
      </c>
      <c r="O2617" s="58">
        <v>0</v>
      </c>
      <c r="P2617" s="58">
        <v>0</v>
      </c>
      <c r="Q2617" s="58">
        <v>0</v>
      </c>
      <c r="R2617" s="58">
        <v>0</v>
      </c>
      <c r="S2617" s="58">
        <v>0</v>
      </c>
      <c r="T2617" s="58">
        <v>0</v>
      </c>
      <c r="U2617" s="58">
        <v>0</v>
      </c>
      <c r="V2617" s="58">
        <v>0</v>
      </c>
      <c r="AG2617" t="s">
        <v>2335</v>
      </c>
      <c r="AM2617" s="1" t="str">
        <f t="shared" si="160"/>
        <v>2615_C0012_0063.jpg</v>
      </c>
    </row>
    <row r="2618" spans="1:39" x14ac:dyDescent="0.35">
      <c r="A2618">
        <v>2614</v>
      </c>
      <c r="B2618">
        <v>2615</v>
      </c>
      <c r="F2618" s="64" t="s">
        <v>5654</v>
      </c>
      <c r="G2618" s="64"/>
      <c r="H2618" s="64"/>
      <c r="I2618" s="64">
        <v>0</v>
      </c>
      <c r="J2618" s="32">
        <v>218</v>
      </c>
      <c r="K2618" s="32">
        <f t="shared" si="161"/>
        <v>10</v>
      </c>
      <c r="L2618" s="32" t="str">
        <f t="shared" si="158"/>
        <v/>
      </c>
      <c r="M2618" s="32">
        <f t="shared" si="159"/>
        <v>100</v>
      </c>
      <c r="N2618" s="4">
        <v>0</v>
      </c>
      <c r="O2618" s="58">
        <v>0</v>
      </c>
      <c r="P2618" s="58">
        <v>0</v>
      </c>
      <c r="Q2618" s="58">
        <v>0</v>
      </c>
      <c r="R2618" s="58">
        <v>0</v>
      </c>
      <c r="S2618" s="58">
        <v>0</v>
      </c>
      <c r="T2618" s="58">
        <v>0</v>
      </c>
      <c r="U2618" s="58">
        <v>0</v>
      </c>
      <c r="V2618" s="58">
        <v>0</v>
      </c>
      <c r="AG2618" t="s">
        <v>2336</v>
      </c>
      <c r="AM2618" s="1" t="str">
        <f t="shared" si="160"/>
        <v>2616_C0012_0059.jpg</v>
      </c>
    </row>
    <row r="2619" spans="1:39" x14ac:dyDescent="0.35">
      <c r="A2619">
        <v>2615</v>
      </c>
      <c r="B2619">
        <v>2616</v>
      </c>
      <c r="F2619" s="64" t="s">
        <v>5655</v>
      </c>
      <c r="G2619" s="64"/>
      <c r="H2619" s="64"/>
      <c r="I2619" s="64">
        <v>0</v>
      </c>
      <c r="J2619" s="32" t="str">
        <f>IF(AND(E2619=1,OR(E2618=0,E2618="")),MAX(#REF!)+1,IF(AND(E2619=1,E2618=1),J2618,""))</f>
        <v/>
      </c>
      <c r="K2619" s="32" t="str">
        <f t="shared" si="161"/>
        <v/>
      </c>
      <c r="L2619" s="32" t="str">
        <f t="shared" si="158"/>
        <v/>
      </c>
      <c r="M2619" s="32" t="str">
        <f t="shared" si="159"/>
        <v/>
      </c>
      <c r="N2619" s="4">
        <v>0</v>
      </c>
      <c r="O2619" s="58">
        <v>0</v>
      </c>
      <c r="P2619" s="58">
        <v>0</v>
      </c>
      <c r="Q2619" s="58">
        <v>0</v>
      </c>
      <c r="R2619" s="58">
        <v>0</v>
      </c>
      <c r="S2619" s="58">
        <v>0</v>
      </c>
      <c r="T2619" s="58">
        <v>0</v>
      </c>
      <c r="U2619" s="58">
        <v>0</v>
      </c>
      <c r="V2619" s="58">
        <v>0</v>
      </c>
      <c r="AG2619" t="s">
        <v>2337</v>
      </c>
      <c r="AM2619" s="1" t="str">
        <f t="shared" si="160"/>
        <v>2617_C0012_0055.jpg</v>
      </c>
    </row>
    <row r="2620" spans="1:39" x14ac:dyDescent="0.35">
      <c r="A2620">
        <v>2616</v>
      </c>
      <c r="B2620">
        <v>2617</v>
      </c>
      <c r="F2620" s="64" t="s">
        <v>5656</v>
      </c>
      <c r="G2620" s="64"/>
      <c r="H2620" s="64"/>
      <c r="I2620" s="64">
        <v>0</v>
      </c>
      <c r="J2620" s="32" t="str">
        <f>IF(AND(E2620=1,OR(E2619=0,E2619="")),MAX(#REF!)+1,IF(AND(E2620=1,E2619=1),J2619,""))</f>
        <v/>
      </c>
      <c r="K2620" s="32" t="str">
        <f t="shared" si="161"/>
        <v/>
      </c>
      <c r="L2620" s="32" t="str">
        <f t="shared" si="158"/>
        <v/>
      </c>
      <c r="M2620" s="32" t="str">
        <f t="shared" si="159"/>
        <v/>
      </c>
      <c r="N2620" s="4">
        <v>0</v>
      </c>
      <c r="O2620" s="58">
        <v>0</v>
      </c>
      <c r="P2620" s="58">
        <v>0</v>
      </c>
      <c r="Q2620" s="58">
        <v>0</v>
      </c>
      <c r="R2620" s="58">
        <v>0</v>
      </c>
      <c r="S2620" s="58">
        <v>0</v>
      </c>
      <c r="T2620" s="58">
        <v>0</v>
      </c>
      <c r="U2620" s="58">
        <v>0</v>
      </c>
      <c r="V2620" s="58">
        <v>0</v>
      </c>
      <c r="AG2620" t="s">
        <v>2338</v>
      </c>
      <c r="AM2620" s="1" t="str">
        <f t="shared" si="160"/>
        <v>2618_C0012_0051.jpg</v>
      </c>
    </row>
    <row r="2621" spans="1:39" x14ac:dyDescent="0.35">
      <c r="A2621">
        <v>2617</v>
      </c>
      <c r="B2621">
        <v>2618</v>
      </c>
      <c r="F2621" s="64" t="s">
        <v>5657</v>
      </c>
      <c r="G2621" s="64"/>
      <c r="H2621" s="64"/>
      <c r="I2621" s="64">
        <v>0</v>
      </c>
      <c r="J2621" s="32" t="str">
        <f>IF(AND(E2621=1,OR(E2620=0,E2620="")),MAX(#REF!)+1,IF(AND(E2621=1,E2620=1),J2620,""))</f>
        <v/>
      </c>
      <c r="K2621" s="32" t="str">
        <f t="shared" si="161"/>
        <v/>
      </c>
      <c r="L2621" s="32" t="str">
        <f t="shared" si="158"/>
        <v/>
      </c>
      <c r="M2621" s="32" t="str">
        <f t="shared" si="159"/>
        <v/>
      </c>
      <c r="N2621" s="4">
        <v>0</v>
      </c>
      <c r="O2621" s="58">
        <v>0</v>
      </c>
      <c r="P2621" s="58">
        <v>0</v>
      </c>
      <c r="Q2621" s="58">
        <v>0</v>
      </c>
      <c r="R2621" s="58">
        <v>0</v>
      </c>
      <c r="S2621" s="58">
        <v>0</v>
      </c>
      <c r="T2621" s="58">
        <v>0</v>
      </c>
      <c r="U2621" s="58">
        <v>0</v>
      </c>
      <c r="V2621" s="58">
        <v>0</v>
      </c>
      <c r="AG2621" t="s">
        <v>2339</v>
      </c>
      <c r="AM2621" s="1" t="str">
        <f t="shared" si="160"/>
        <v>2619_C0012_0047.jpg</v>
      </c>
    </row>
    <row r="2622" spans="1:39" x14ac:dyDescent="0.35">
      <c r="A2622">
        <v>2618</v>
      </c>
      <c r="B2622">
        <v>2619</v>
      </c>
      <c r="F2622" s="64" t="s">
        <v>5658</v>
      </c>
      <c r="G2622" s="64"/>
      <c r="H2622" s="64"/>
      <c r="I2622" s="64">
        <v>0</v>
      </c>
      <c r="J2622" s="32" t="str">
        <f>IF(AND(E2622=1,OR(E2621=0,E2621="")),MAX(#REF!)+1,IF(AND(E2622=1,E2621=1),J2621,""))</f>
        <v/>
      </c>
      <c r="K2622" s="32" t="str">
        <f t="shared" si="161"/>
        <v/>
      </c>
      <c r="L2622" s="32" t="str">
        <f t="shared" si="158"/>
        <v/>
      </c>
      <c r="M2622" s="32" t="str">
        <f t="shared" si="159"/>
        <v/>
      </c>
      <c r="N2622" s="4">
        <v>0</v>
      </c>
      <c r="O2622" s="58">
        <v>0</v>
      </c>
      <c r="P2622" s="58">
        <v>0</v>
      </c>
      <c r="Q2622" s="58">
        <v>0</v>
      </c>
      <c r="R2622" s="58">
        <v>0</v>
      </c>
      <c r="S2622" s="58">
        <v>0</v>
      </c>
      <c r="T2622" s="58">
        <v>0</v>
      </c>
      <c r="U2622" s="58">
        <v>0</v>
      </c>
      <c r="V2622" s="58">
        <v>0</v>
      </c>
      <c r="AG2622" t="s">
        <v>2340</v>
      </c>
      <c r="AM2622" s="1" t="str">
        <f t="shared" si="160"/>
        <v>2620_C0012_0042.jpg</v>
      </c>
    </row>
    <row r="2623" spans="1:39" x14ac:dyDescent="0.35">
      <c r="A2623">
        <v>2619</v>
      </c>
      <c r="B2623">
        <v>2620</v>
      </c>
      <c r="F2623" s="64" t="s">
        <v>5659</v>
      </c>
      <c r="G2623" s="64"/>
      <c r="H2623" s="64"/>
      <c r="I2623" s="64">
        <v>0</v>
      </c>
      <c r="J2623" s="32" t="str">
        <f>IF(AND(E2623=1,OR(E2622=0,E2622="")),MAX(#REF!)+1,IF(AND(E2623=1,E2622=1),J2622,""))</f>
        <v/>
      </c>
      <c r="K2623" s="32" t="str">
        <f t="shared" si="161"/>
        <v/>
      </c>
      <c r="L2623" s="32" t="str">
        <f t="shared" si="158"/>
        <v/>
      </c>
      <c r="M2623" s="32" t="str">
        <f t="shared" si="159"/>
        <v/>
      </c>
      <c r="N2623" s="4">
        <v>0</v>
      </c>
      <c r="O2623" s="58">
        <v>0</v>
      </c>
      <c r="P2623" s="58">
        <v>0</v>
      </c>
      <c r="Q2623" s="58">
        <v>0</v>
      </c>
      <c r="R2623" s="58">
        <v>0</v>
      </c>
      <c r="S2623" s="58">
        <v>0</v>
      </c>
      <c r="T2623" s="58">
        <v>0</v>
      </c>
      <c r="U2623" s="58">
        <v>0</v>
      </c>
      <c r="V2623" s="58">
        <v>0</v>
      </c>
      <c r="AG2623" t="s">
        <v>2341</v>
      </c>
      <c r="AM2623" s="1" t="str">
        <f t="shared" si="160"/>
        <v>2621_C0012_0036.jpg</v>
      </c>
    </row>
    <row r="2624" spans="1:39" x14ac:dyDescent="0.35">
      <c r="A2624">
        <v>2620</v>
      </c>
      <c r="B2624">
        <v>2621</v>
      </c>
      <c r="F2624" s="64" t="s">
        <v>5660</v>
      </c>
      <c r="G2624" s="64"/>
      <c r="H2624" s="64"/>
      <c r="I2624" s="64">
        <v>0</v>
      </c>
      <c r="J2624" s="32" t="str">
        <f>IF(AND(E2624=1,OR(E2623=0,E2623="")),MAX(#REF!)+1,IF(AND(E2624=1,E2623=1),J2623,""))</f>
        <v/>
      </c>
      <c r="K2624" s="32" t="str">
        <f t="shared" si="161"/>
        <v/>
      </c>
      <c r="L2624" s="32" t="str">
        <f t="shared" si="158"/>
        <v/>
      </c>
      <c r="M2624" s="32" t="str">
        <f t="shared" si="159"/>
        <v/>
      </c>
      <c r="N2624" s="4">
        <v>0</v>
      </c>
      <c r="O2624" s="58">
        <v>0</v>
      </c>
      <c r="P2624" s="58">
        <v>0</v>
      </c>
      <c r="Q2624" s="58">
        <v>0</v>
      </c>
      <c r="R2624" s="58">
        <v>0</v>
      </c>
      <c r="S2624" s="58">
        <v>0</v>
      </c>
      <c r="T2624" s="58">
        <v>0</v>
      </c>
      <c r="U2624" s="58">
        <v>0</v>
      </c>
      <c r="V2624" s="58">
        <v>0</v>
      </c>
      <c r="AG2624" t="s">
        <v>2342</v>
      </c>
      <c r="AM2624" s="1" t="str">
        <f t="shared" si="160"/>
        <v>2622_C0012_0033.jpg</v>
      </c>
    </row>
    <row r="2625" spans="1:39" x14ac:dyDescent="0.35">
      <c r="A2625">
        <v>2621</v>
      </c>
      <c r="B2625">
        <v>2622</v>
      </c>
      <c r="F2625" s="64" t="s">
        <v>5661</v>
      </c>
      <c r="G2625" s="64"/>
      <c r="H2625" s="64"/>
      <c r="I2625" s="64">
        <v>0</v>
      </c>
      <c r="J2625" s="32" t="str">
        <f>IF(AND(E2625=1,OR(E2624=0,E2624="")),MAX(#REF!)+1,IF(AND(E2625=1,E2624=1),J2624,""))</f>
        <v/>
      </c>
      <c r="K2625" s="32" t="str">
        <f t="shared" si="161"/>
        <v/>
      </c>
      <c r="L2625" s="32" t="str">
        <f t="shared" si="158"/>
        <v/>
      </c>
      <c r="M2625" s="32" t="str">
        <f t="shared" si="159"/>
        <v/>
      </c>
      <c r="N2625" s="4">
        <v>0</v>
      </c>
      <c r="O2625" s="58">
        <v>0</v>
      </c>
      <c r="P2625" s="58">
        <v>0</v>
      </c>
      <c r="Q2625" s="58">
        <v>0</v>
      </c>
      <c r="R2625" s="58">
        <v>0</v>
      </c>
      <c r="S2625" s="58">
        <v>0</v>
      </c>
      <c r="T2625" s="58">
        <v>0</v>
      </c>
      <c r="U2625" s="58">
        <v>0</v>
      </c>
      <c r="V2625" s="58">
        <v>0</v>
      </c>
      <c r="AG2625" t="s">
        <v>2343</v>
      </c>
      <c r="AM2625" s="1" t="str">
        <f t="shared" si="160"/>
        <v>2623_C0012_0026.jpg</v>
      </c>
    </row>
    <row r="2626" spans="1:39" x14ac:dyDescent="0.35">
      <c r="A2626">
        <v>2622</v>
      </c>
      <c r="B2626">
        <v>2623</v>
      </c>
      <c r="F2626" s="64" t="s">
        <v>5662</v>
      </c>
      <c r="G2626" s="64"/>
      <c r="H2626" s="64"/>
      <c r="I2626" s="64">
        <v>0</v>
      </c>
      <c r="J2626" s="32" t="str">
        <f>IF(AND(E2626=1,OR(E2625=0,E2625="")),MAX(#REF!)+1,IF(AND(E2626=1,E2625=1),J2625,""))</f>
        <v/>
      </c>
      <c r="K2626" s="32" t="str">
        <f t="shared" si="161"/>
        <v/>
      </c>
      <c r="L2626" s="32" t="str">
        <f t="shared" si="158"/>
        <v/>
      </c>
      <c r="M2626" s="32" t="str">
        <f t="shared" si="159"/>
        <v/>
      </c>
      <c r="N2626" s="4">
        <v>0</v>
      </c>
      <c r="O2626" s="58">
        <v>0</v>
      </c>
      <c r="P2626" s="58">
        <v>0</v>
      </c>
      <c r="Q2626" s="58">
        <v>0</v>
      </c>
      <c r="R2626" s="58">
        <v>0</v>
      </c>
      <c r="S2626" s="58">
        <v>0</v>
      </c>
      <c r="T2626" s="58">
        <v>0</v>
      </c>
      <c r="U2626" s="58">
        <v>0</v>
      </c>
      <c r="V2626" s="58">
        <v>0</v>
      </c>
      <c r="AG2626" t="s">
        <v>2344</v>
      </c>
      <c r="AM2626" s="1" t="str">
        <f t="shared" si="160"/>
        <v>2624_C0012_0023.jpg</v>
      </c>
    </row>
    <row r="2627" spans="1:39" x14ac:dyDescent="0.35">
      <c r="A2627">
        <v>2623</v>
      </c>
      <c r="B2627">
        <v>2624</v>
      </c>
      <c r="F2627" s="64" t="s">
        <v>5663</v>
      </c>
      <c r="G2627" s="64"/>
      <c r="H2627" s="64"/>
      <c r="I2627" s="64">
        <v>0</v>
      </c>
      <c r="J2627" s="32" t="str">
        <f>IF(AND(E2627=1,OR(E2626=0,E2626="")),MAX(#REF!)+1,IF(AND(E2627=1,E2626=1),J2626,""))</f>
        <v/>
      </c>
      <c r="K2627" s="32" t="str">
        <f t="shared" si="161"/>
        <v/>
      </c>
      <c r="L2627" s="32" t="str">
        <f t="shared" si="158"/>
        <v/>
      </c>
      <c r="M2627" s="32" t="str">
        <f t="shared" si="159"/>
        <v/>
      </c>
      <c r="N2627" s="4">
        <v>0</v>
      </c>
      <c r="O2627" s="58">
        <v>0</v>
      </c>
      <c r="P2627" s="58">
        <v>0</v>
      </c>
      <c r="Q2627" s="58">
        <v>0</v>
      </c>
      <c r="R2627" s="58">
        <v>0</v>
      </c>
      <c r="S2627" s="58">
        <v>0</v>
      </c>
      <c r="T2627" s="58">
        <v>0</v>
      </c>
      <c r="U2627" s="58">
        <v>0</v>
      </c>
      <c r="V2627" s="58">
        <v>0</v>
      </c>
      <c r="AG2627" t="s">
        <v>2345</v>
      </c>
      <c r="AM2627" s="1" t="str">
        <f t="shared" si="160"/>
        <v>2625_C0012_0017.jpg</v>
      </c>
    </row>
    <row r="2628" spans="1:39" x14ac:dyDescent="0.35">
      <c r="A2628">
        <v>2624</v>
      </c>
      <c r="B2628">
        <v>2625</v>
      </c>
      <c r="F2628" s="64" t="s">
        <v>5664</v>
      </c>
      <c r="G2628" s="64"/>
      <c r="H2628" s="64"/>
      <c r="I2628" s="64">
        <v>0</v>
      </c>
      <c r="J2628" s="32" t="str">
        <f>IF(AND(E2628=1,OR(E2627=0,E2627="")),MAX(#REF!)+1,IF(AND(E2628=1,E2627=1),J2627,""))</f>
        <v/>
      </c>
      <c r="K2628" s="32" t="str">
        <f t="shared" si="161"/>
        <v/>
      </c>
      <c r="L2628" s="32" t="str">
        <f t="shared" ref="L2628:L2691" si="162">IF(K2628="","",IF(K2628&gt;=100,"HV",""))</f>
        <v/>
      </c>
      <c r="M2628" s="32" t="str">
        <f t="shared" ref="M2628:M2691" si="163">IF(K2628&lt;&gt;"",K2628^2,"")</f>
        <v/>
      </c>
      <c r="N2628" s="4">
        <v>0</v>
      </c>
      <c r="O2628" s="58">
        <v>0</v>
      </c>
      <c r="P2628" s="58">
        <v>0</v>
      </c>
      <c r="Q2628" s="58">
        <v>0</v>
      </c>
      <c r="R2628" s="58">
        <v>0</v>
      </c>
      <c r="S2628" s="58">
        <v>0</v>
      </c>
      <c r="T2628" s="58">
        <v>0</v>
      </c>
      <c r="U2628" s="58">
        <v>0</v>
      </c>
      <c r="V2628" s="58">
        <v>0</v>
      </c>
      <c r="AG2628" t="s">
        <v>2346</v>
      </c>
      <c r="AM2628" s="1" t="str">
        <f t="shared" si="160"/>
        <v>2626_C0012_0002.jpg</v>
      </c>
    </row>
    <row r="2629" spans="1:39" x14ac:dyDescent="0.35">
      <c r="A2629">
        <v>2625</v>
      </c>
      <c r="B2629">
        <v>2626</v>
      </c>
      <c r="F2629" s="64" t="s">
        <v>5665</v>
      </c>
      <c r="G2629" s="64"/>
      <c r="H2629" s="64"/>
      <c r="I2629" s="64">
        <v>0</v>
      </c>
      <c r="J2629" s="32" t="str">
        <f>IF(AND(E2629=1,OR(E2628=0,E2628="")),MAX(#REF!)+1,IF(AND(E2629=1,E2628=1),J2628,""))</f>
        <v/>
      </c>
      <c r="K2629" s="32" t="str">
        <f t="shared" si="161"/>
        <v/>
      </c>
      <c r="L2629" s="32" t="str">
        <f t="shared" si="162"/>
        <v/>
      </c>
      <c r="M2629" s="32" t="str">
        <f t="shared" si="163"/>
        <v/>
      </c>
      <c r="N2629" s="4">
        <v>0</v>
      </c>
      <c r="O2629" s="58">
        <v>0</v>
      </c>
      <c r="P2629" s="58">
        <v>0</v>
      </c>
      <c r="Q2629" s="58">
        <v>0</v>
      </c>
      <c r="R2629" s="58">
        <v>0</v>
      </c>
      <c r="S2629" s="58">
        <v>0</v>
      </c>
      <c r="T2629" s="58">
        <v>0</v>
      </c>
      <c r="U2629" s="58">
        <v>0</v>
      </c>
      <c r="V2629" s="58">
        <v>0</v>
      </c>
      <c r="AG2629" t="s">
        <v>2347</v>
      </c>
      <c r="AM2629" s="1" t="str">
        <f t="shared" si="160"/>
        <v>2627_C0012_0006.jpg</v>
      </c>
    </row>
    <row r="2630" spans="1:39" x14ac:dyDescent="0.35">
      <c r="A2630">
        <v>2626</v>
      </c>
      <c r="B2630">
        <v>2627</v>
      </c>
      <c r="F2630" s="64" t="s">
        <v>5666</v>
      </c>
      <c r="G2630" s="64"/>
      <c r="H2630" s="64"/>
      <c r="I2630" s="64">
        <v>0</v>
      </c>
      <c r="J2630" s="32" t="str">
        <f>IF(AND(E2630=1,OR(E2629=0,E2629="")),MAX(#REF!)+1,IF(AND(E2630=1,E2629=1),J2629,""))</f>
        <v/>
      </c>
      <c r="K2630" s="32" t="str">
        <f t="shared" si="161"/>
        <v/>
      </c>
      <c r="L2630" s="32" t="str">
        <f t="shared" si="162"/>
        <v/>
      </c>
      <c r="M2630" s="32" t="str">
        <f t="shared" si="163"/>
        <v/>
      </c>
      <c r="N2630" s="4">
        <v>0</v>
      </c>
      <c r="O2630" s="58">
        <v>0</v>
      </c>
      <c r="P2630" s="58">
        <v>0</v>
      </c>
      <c r="Q2630" s="58">
        <v>0</v>
      </c>
      <c r="R2630" s="58">
        <v>0</v>
      </c>
      <c r="S2630" s="58">
        <v>0</v>
      </c>
      <c r="T2630" s="58">
        <v>0</v>
      </c>
      <c r="U2630" s="58">
        <v>0</v>
      </c>
      <c r="V2630" s="58">
        <v>0</v>
      </c>
      <c r="AG2630" t="s">
        <v>2348</v>
      </c>
      <c r="AM2630" s="1"/>
    </row>
    <row r="2631" spans="1:39" x14ac:dyDescent="0.35">
      <c r="A2631">
        <v>2627</v>
      </c>
      <c r="B2631">
        <v>2628</v>
      </c>
      <c r="F2631" s="64"/>
      <c r="G2631" s="64"/>
      <c r="H2631" s="64" t="s">
        <v>26</v>
      </c>
      <c r="I2631" s="64"/>
      <c r="J2631" s="32" t="str">
        <f>IF(AND(E2631=1,OR(E2630=0,E2630="")),MAX(#REF!)+1,IF(AND(E2631=1,E2630=1),J2630,""))</f>
        <v/>
      </c>
      <c r="K2631" s="32" t="str">
        <f t="shared" si="161"/>
        <v/>
      </c>
      <c r="L2631" s="32" t="str">
        <f t="shared" si="162"/>
        <v/>
      </c>
      <c r="M2631" s="32" t="str">
        <f t="shared" si="163"/>
        <v/>
      </c>
      <c r="N2631" s="4"/>
      <c r="AG2631" t="s">
        <v>2349</v>
      </c>
      <c r="AM2631" s="1"/>
    </row>
    <row r="2632" spans="1:39" x14ac:dyDescent="0.35">
      <c r="A2632">
        <v>2628</v>
      </c>
      <c r="B2632">
        <v>2629</v>
      </c>
      <c r="F2632" s="64"/>
      <c r="G2632" s="64"/>
      <c r="H2632" s="64" t="s">
        <v>26</v>
      </c>
      <c r="I2632" s="64"/>
      <c r="J2632" s="32" t="str">
        <f>IF(AND(E2632=1,OR(E2631=0,E2631="")),MAX(#REF!)+1,IF(AND(E2632=1,E2631=1),J2631,""))</f>
        <v/>
      </c>
      <c r="K2632" s="32" t="str">
        <f t="shared" si="161"/>
        <v/>
      </c>
      <c r="L2632" s="32" t="str">
        <f t="shared" si="162"/>
        <v/>
      </c>
      <c r="M2632" s="32" t="str">
        <f t="shared" si="163"/>
        <v/>
      </c>
      <c r="N2632" s="4"/>
      <c r="AG2632" t="s">
        <v>2350</v>
      </c>
      <c r="AM2632" s="1"/>
    </row>
    <row r="2633" spans="1:39" x14ac:dyDescent="0.35">
      <c r="A2633">
        <v>2629</v>
      </c>
      <c r="B2633">
        <v>2630</v>
      </c>
      <c r="F2633" s="64"/>
      <c r="G2633" s="64"/>
      <c r="H2633" s="64" t="s">
        <v>26</v>
      </c>
      <c r="I2633" s="64"/>
      <c r="J2633" s="32" t="str">
        <f>IF(AND(E2633=1,OR(E2632=0,E2632="")),MAX(#REF!)+1,IF(AND(E2633=1,E2632=1),J2632,""))</f>
        <v/>
      </c>
      <c r="K2633" s="32" t="str">
        <f t="shared" si="161"/>
        <v/>
      </c>
      <c r="L2633" s="32" t="str">
        <f t="shared" si="162"/>
        <v/>
      </c>
      <c r="M2633" s="32" t="str">
        <f t="shared" si="163"/>
        <v/>
      </c>
      <c r="N2633" s="4"/>
      <c r="AG2633" t="s">
        <v>2351</v>
      </c>
      <c r="AM2633" s="1"/>
    </row>
    <row r="2634" spans="1:39" x14ac:dyDescent="0.35">
      <c r="A2634">
        <v>2630</v>
      </c>
      <c r="B2634">
        <v>2631</v>
      </c>
      <c r="F2634" s="64"/>
      <c r="G2634" s="64"/>
      <c r="H2634" s="64" t="s">
        <v>26</v>
      </c>
      <c r="I2634" s="64"/>
      <c r="J2634" s="32" t="str">
        <f>IF(AND(E2634=1,OR(E2633=0,E2633="")),MAX(#REF!)+1,IF(AND(E2634=1,E2633=1),J2633,""))</f>
        <v/>
      </c>
      <c r="K2634" s="32" t="str">
        <f t="shared" si="161"/>
        <v/>
      </c>
      <c r="L2634" s="32" t="str">
        <f t="shared" si="162"/>
        <v/>
      </c>
      <c r="M2634" s="32" t="str">
        <f t="shared" si="163"/>
        <v/>
      </c>
      <c r="N2634" s="4"/>
      <c r="AG2634" t="s">
        <v>2352</v>
      </c>
      <c r="AM2634" s="1"/>
    </row>
    <row r="2635" spans="1:39" x14ac:dyDescent="0.35">
      <c r="A2635">
        <v>2631</v>
      </c>
      <c r="B2635">
        <v>2632</v>
      </c>
      <c r="F2635" s="64"/>
      <c r="G2635" s="64"/>
      <c r="H2635" s="64" t="s">
        <v>26</v>
      </c>
      <c r="I2635" s="64"/>
      <c r="J2635" s="32" t="str">
        <f>IF(AND(E2635=1,OR(E2634=0,E2634="")),MAX(#REF!)+1,IF(AND(E2635=1,E2634=1),J2634,""))</f>
        <v/>
      </c>
      <c r="K2635" s="32" t="str">
        <f t="shared" si="161"/>
        <v/>
      </c>
      <c r="L2635" s="32" t="str">
        <f t="shared" si="162"/>
        <v/>
      </c>
      <c r="M2635" s="32" t="str">
        <f t="shared" si="163"/>
        <v/>
      </c>
      <c r="N2635" s="4"/>
      <c r="AG2635" t="s">
        <v>2353</v>
      </c>
      <c r="AM2635" s="1"/>
    </row>
    <row r="2636" spans="1:39" x14ac:dyDescent="0.35">
      <c r="A2636">
        <v>2632</v>
      </c>
      <c r="B2636">
        <v>2633</v>
      </c>
      <c r="F2636" s="64"/>
      <c r="G2636" s="64"/>
      <c r="H2636" s="64" t="s">
        <v>26</v>
      </c>
      <c r="I2636" s="64"/>
      <c r="J2636" s="32" t="str">
        <f>IF(AND(E2636=1,OR(E2635=0,E2635="")),MAX(#REF!)+1,IF(AND(E2636=1,E2635=1),J2635,""))</f>
        <v/>
      </c>
      <c r="K2636" s="32" t="str">
        <f t="shared" si="161"/>
        <v/>
      </c>
      <c r="L2636" s="32" t="str">
        <f t="shared" si="162"/>
        <v/>
      </c>
      <c r="M2636" s="32" t="str">
        <f t="shared" si="163"/>
        <v/>
      </c>
      <c r="N2636" s="4"/>
      <c r="AG2636" t="s">
        <v>2354</v>
      </c>
      <c r="AM2636" s="1"/>
    </row>
    <row r="2637" spans="1:39" x14ac:dyDescent="0.35">
      <c r="A2637">
        <v>2633</v>
      </c>
      <c r="B2637">
        <v>2634</v>
      </c>
      <c r="F2637" s="64"/>
      <c r="G2637" s="64"/>
      <c r="H2637" s="64" t="s">
        <v>26</v>
      </c>
      <c r="I2637" s="64"/>
      <c r="J2637" s="32" t="str">
        <f>IF(AND(E2637=1,OR(E2636=0,E2636="")),MAX(#REF!)+1,IF(AND(E2637=1,E2636=1),J2636,""))</f>
        <v/>
      </c>
      <c r="K2637" s="32" t="str">
        <f t="shared" si="161"/>
        <v/>
      </c>
      <c r="L2637" s="32" t="str">
        <f t="shared" si="162"/>
        <v/>
      </c>
      <c r="M2637" s="32" t="str">
        <f t="shared" si="163"/>
        <v/>
      </c>
      <c r="N2637" s="4"/>
      <c r="AG2637" t="s">
        <v>2355</v>
      </c>
      <c r="AM2637" s="1"/>
    </row>
    <row r="2638" spans="1:39" x14ac:dyDescent="0.35">
      <c r="A2638">
        <v>2634</v>
      </c>
      <c r="B2638">
        <v>2635</v>
      </c>
      <c r="F2638" s="64"/>
      <c r="G2638" s="64"/>
      <c r="H2638" s="64" t="s">
        <v>26</v>
      </c>
      <c r="I2638" s="64"/>
      <c r="J2638" s="32" t="str">
        <f>IF(AND(E2638=1,OR(E2637=0,E2637="")),MAX(#REF!)+1,IF(AND(E2638=1,E2637=1),J2637,""))</f>
        <v/>
      </c>
      <c r="K2638" s="32" t="str">
        <f t="shared" si="161"/>
        <v/>
      </c>
      <c r="L2638" s="32" t="str">
        <f t="shared" si="162"/>
        <v/>
      </c>
      <c r="M2638" s="32" t="str">
        <f t="shared" si="163"/>
        <v/>
      </c>
      <c r="N2638" s="4"/>
      <c r="AG2638" t="s">
        <v>2356</v>
      </c>
      <c r="AM2638" s="1"/>
    </row>
    <row r="2639" spans="1:39" x14ac:dyDescent="0.35">
      <c r="A2639">
        <v>2635</v>
      </c>
      <c r="B2639">
        <v>2636</v>
      </c>
      <c r="F2639" s="64"/>
      <c r="G2639" s="64"/>
      <c r="H2639" s="64" t="s">
        <v>26</v>
      </c>
      <c r="I2639" s="64"/>
      <c r="J2639" s="32" t="str">
        <f>IF(AND(E2639=1,OR(E2638=0,E2638="")),MAX(#REF!)+1,IF(AND(E2639=1,E2638=1),J2638,""))</f>
        <v/>
      </c>
      <c r="K2639" s="32" t="str">
        <f t="shared" si="161"/>
        <v/>
      </c>
      <c r="L2639" s="32" t="str">
        <f t="shared" si="162"/>
        <v/>
      </c>
      <c r="M2639" s="32" t="str">
        <f t="shared" si="163"/>
        <v/>
      </c>
      <c r="N2639" s="4"/>
      <c r="AG2639" t="s">
        <v>2357</v>
      </c>
      <c r="AM2639" s="1"/>
    </row>
    <row r="2640" spans="1:39" x14ac:dyDescent="0.35">
      <c r="A2640">
        <v>2636</v>
      </c>
      <c r="B2640">
        <v>2637</v>
      </c>
      <c r="F2640" s="64"/>
      <c r="G2640" s="64"/>
      <c r="H2640" s="64" t="s">
        <v>26</v>
      </c>
      <c r="I2640" s="64"/>
      <c r="J2640" s="32" t="str">
        <f>IF(AND(E2640=1,OR(E2639=0,E2639="")),MAX(#REF!)+1,IF(AND(E2640=1,E2639=1),J2639,""))</f>
        <v/>
      </c>
      <c r="K2640" s="32" t="str">
        <f t="shared" si="161"/>
        <v/>
      </c>
      <c r="L2640" s="32" t="str">
        <f t="shared" si="162"/>
        <v/>
      </c>
      <c r="M2640" s="32" t="str">
        <f t="shared" si="163"/>
        <v/>
      </c>
      <c r="N2640" s="4"/>
      <c r="AG2640" t="s">
        <v>2358</v>
      </c>
      <c r="AM2640" s="1"/>
    </row>
    <row r="2641" spans="1:39" x14ac:dyDescent="0.35">
      <c r="A2641">
        <v>2637</v>
      </c>
      <c r="B2641">
        <v>2638</v>
      </c>
      <c r="F2641" s="64"/>
      <c r="G2641" s="64"/>
      <c r="H2641" s="64" t="s">
        <v>26</v>
      </c>
      <c r="I2641" s="64"/>
      <c r="J2641" s="32" t="str">
        <f>IF(AND(E2641=1,OR(E2640=0,E2640="")),MAX(#REF!)+1,IF(AND(E2641=1,E2640=1),J2640,""))</f>
        <v/>
      </c>
      <c r="K2641" s="32" t="str">
        <f t="shared" si="161"/>
        <v/>
      </c>
      <c r="L2641" s="32" t="str">
        <f t="shared" si="162"/>
        <v/>
      </c>
      <c r="M2641" s="32" t="str">
        <f t="shared" si="163"/>
        <v/>
      </c>
      <c r="N2641" s="4"/>
      <c r="AG2641" t="s">
        <v>2359</v>
      </c>
      <c r="AM2641" s="1"/>
    </row>
    <row r="2642" spans="1:39" x14ac:dyDescent="0.35">
      <c r="A2642">
        <v>2638</v>
      </c>
      <c r="B2642">
        <v>2639</v>
      </c>
      <c r="F2642" s="64"/>
      <c r="G2642" s="64"/>
      <c r="H2642" s="64" t="s">
        <v>26</v>
      </c>
      <c r="I2642" s="64"/>
      <c r="J2642" s="32" t="str">
        <f>IF(AND(E2642=1,OR(E2641=0,E2641="")),MAX(#REF!)+1,IF(AND(E2642=1,E2641=1),J2641,""))</f>
        <v/>
      </c>
      <c r="K2642" s="32" t="str">
        <f t="shared" si="161"/>
        <v/>
      </c>
      <c r="L2642" s="32" t="str">
        <f t="shared" si="162"/>
        <v/>
      </c>
      <c r="M2642" s="32" t="str">
        <f t="shared" si="163"/>
        <v/>
      </c>
      <c r="N2642" s="4"/>
      <c r="AG2642" t="s">
        <v>2360</v>
      </c>
      <c r="AM2642" s="1"/>
    </row>
    <row r="2643" spans="1:39" x14ac:dyDescent="0.35">
      <c r="A2643">
        <v>2639</v>
      </c>
      <c r="B2643">
        <v>2640</v>
      </c>
      <c r="F2643" s="64"/>
      <c r="G2643" s="64"/>
      <c r="H2643" s="64" t="s">
        <v>26</v>
      </c>
      <c r="I2643" s="64"/>
      <c r="J2643" s="32" t="str">
        <f>IF(AND(E2643=1,OR(E2642=0,E2642="")),MAX(#REF!)+1,IF(AND(E2643=1,E2642=1),J2642,""))</f>
        <v/>
      </c>
      <c r="K2643" s="32" t="str">
        <f t="shared" si="161"/>
        <v/>
      </c>
      <c r="L2643" s="32" t="str">
        <f t="shared" si="162"/>
        <v/>
      </c>
      <c r="M2643" s="32" t="str">
        <f t="shared" si="163"/>
        <v/>
      </c>
      <c r="N2643" s="4"/>
      <c r="AG2643" t="s">
        <v>2361</v>
      </c>
      <c r="AM2643" s="1"/>
    </row>
    <row r="2644" spans="1:39" x14ac:dyDescent="0.35">
      <c r="A2644">
        <v>2640</v>
      </c>
      <c r="B2644">
        <v>2641</v>
      </c>
      <c r="F2644" s="64"/>
      <c r="G2644" s="64"/>
      <c r="H2644" s="64" t="s">
        <v>26</v>
      </c>
      <c r="I2644" s="64"/>
      <c r="J2644" s="32" t="str">
        <f>IF(AND(E2644=1,OR(E2643=0,E2643="")),MAX(#REF!)+1,IF(AND(E2644=1,E2643=1),J2643,""))</f>
        <v/>
      </c>
      <c r="K2644" s="32" t="str">
        <f t="shared" si="161"/>
        <v/>
      </c>
      <c r="L2644" s="32" t="str">
        <f t="shared" si="162"/>
        <v/>
      </c>
      <c r="M2644" s="32" t="str">
        <f t="shared" si="163"/>
        <v/>
      </c>
      <c r="N2644" s="4"/>
      <c r="AG2644" t="s">
        <v>2362</v>
      </c>
      <c r="AM2644" s="1"/>
    </row>
    <row r="2645" spans="1:39" x14ac:dyDescent="0.35">
      <c r="A2645">
        <v>2641</v>
      </c>
      <c r="B2645">
        <v>2642</v>
      </c>
      <c r="F2645" s="64"/>
      <c r="G2645" s="64"/>
      <c r="H2645" s="64" t="s">
        <v>26</v>
      </c>
      <c r="I2645" s="64"/>
      <c r="J2645" s="32" t="str">
        <f>IF(AND(E2645=1,OR(E2644=0,E2644="")),MAX(#REF!)+1,IF(AND(E2645=1,E2644=1),J2644,""))</f>
        <v/>
      </c>
      <c r="K2645" s="32" t="str">
        <f t="shared" si="161"/>
        <v/>
      </c>
      <c r="L2645" s="32" t="str">
        <f t="shared" si="162"/>
        <v/>
      </c>
      <c r="M2645" s="32" t="str">
        <f t="shared" si="163"/>
        <v/>
      </c>
      <c r="N2645" s="4"/>
      <c r="AG2645" t="s">
        <v>2363</v>
      </c>
      <c r="AM2645" s="1"/>
    </row>
    <row r="2646" spans="1:39" x14ac:dyDescent="0.35">
      <c r="A2646">
        <v>2642</v>
      </c>
      <c r="B2646">
        <v>2643</v>
      </c>
      <c r="F2646" s="64"/>
      <c r="G2646" s="64"/>
      <c r="H2646" s="64" t="s">
        <v>26</v>
      </c>
      <c r="I2646" s="64"/>
      <c r="J2646" s="32" t="str">
        <f>IF(AND(E2646=1,OR(E2645=0,E2645="")),MAX(#REF!)+1,IF(AND(E2646=1,E2645=1),J2645,""))</f>
        <v/>
      </c>
      <c r="K2646" s="32" t="str">
        <f t="shared" si="161"/>
        <v/>
      </c>
      <c r="L2646" s="32" t="str">
        <f t="shared" si="162"/>
        <v/>
      </c>
      <c r="M2646" s="32" t="str">
        <f t="shared" si="163"/>
        <v/>
      </c>
      <c r="N2646" s="4"/>
      <c r="AG2646" t="s">
        <v>2364</v>
      </c>
      <c r="AM2646" s="1"/>
    </row>
    <row r="2647" spans="1:39" x14ac:dyDescent="0.35">
      <c r="A2647">
        <v>2643</v>
      </c>
      <c r="B2647">
        <v>2644</v>
      </c>
      <c r="F2647" s="64"/>
      <c r="G2647" s="64"/>
      <c r="H2647" s="64" t="s">
        <v>26</v>
      </c>
      <c r="I2647" s="64"/>
      <c r="J2647" s="32">
        <v>223</v>
      </c>
      <c r="K2647" s="32">
        <f t="shared" si="161"/>
        <v>10</v>
      </c>
      <c r="L2647" s="32" t="str">
        <f t="shared" si="162"/>
        <v/>
      </c>
      <c r="M2647" s="32">
        <f t="shared" si="163"/>
        <v>100</v>
      </c>
      <c r="N2647" s="4"/>
      <c r="AG2647" t="s">
        <v>2365</v>
      </c>
      <c r="AM2647" s="1"/>
    </row>
    <row r="2648" spans="1:39" x14ac:dyDescent="0.35">
      <c r="A2648">
        <v>2644</v>
      </c>
      <c r="B2648">
        <v>2645</v>
      </c>
      <c r="F2648" s="64"/>
      <c r="G2648" s="64"/>
      <c r="H2648" s="64" t="s">
        <v>26</v>
      </c>
      <c r="I2648" s="64"/>
      <c r="J2648" s="32" t="str">
        <f>IF(AND(E2648=1,OR(E2647=0,E2647="")),MAX(#REF!)+1,IF(AND(E2648=1,E2647=1),J2647,""))</f>
        <v/>
      </c>
      <c r="K2648" s="32" t="str">
        <f t="shared" si="161"/>
        <v/>
      </c>
      <c r="L2648" s="32" t="str">
        <f t="shared" si="162"/>
        <v/>
      </c>
      <c r="M2648" s="32" t="str">
        <f t="shared" si="163"/>
        <v/>
      </c>
      <c r="N2648" s="4"/>
      <c r="AG2648" t="s">
        <v>2366</v>
      </c>
      <c r="AM2648" s="1"/>
    </row>
    <row r="2649" spans="1:39" x14ac:dyDescent="0.35">
      <c r="A2649">
        <v>2645</v>
      </c>
      <c r="B2649">
        <v>2646</v>
      </c>
      <c r="F2649" s="64"/>
      <c r="G2649" s="64"/>
      <c r="H2649" s="64" t="s">
        <v>26</v>
      </c>
      <c r="I2649" s="64"/>
      <c r="J2649" s="32" t="str">
        <f>IF(AND(E2649=1,OR(E2648=0,E2648="")),MAX(#REF!)+1,IF(AND(E2649=1,E2648=1),J2648,""))</f>
        <v/>
      </c>
      <c r="K2649" s="32" t="str">
        <f t="shared" si="161"/>
        <v/>
      </c>
      <c r="L2649" s="32" t="str">
        <f t="shared" si="162"/>
        <v/>
      </c>
      <c r="M2649" s="32" t="str">
        <f t="shared" si="163"/>
        <v/>
      </c>
      <c r="N2649" s="4"/>
      <c r="AG2649" t="s">
        <v>2367</v>
      </c>
      <c r="AM2649" s="1"/>
    </row>
    <row r="2650" spans="1:39" x14ac:dyDescent="0.35">
      <c r="A2650">
        <v>2646</v>
      </c>
      <c r="B2650">
        <v>2647</v>
      </c>
      <c r="F2650" s="64"/>
      <c r="G2650" s="64"/>
      <c r="H2650" s="64" t="s">
        <v>26</v>
      </c>
      <c r="I2650" s="64"/>
      <c r="J2650" s="32" t="str">
        <f>IF(AND(E2650=1,OR(E2649=0,E2649="")),MAX(#REF!)+1,IF(AND(E2650=1,E2649=1),J2649,""))</f>
        <v/>
      </c>
      <c r="K2650" s="32" t="str">
        <f t="shared" si="161"/>
        <v/>
      </c>
      <c r="L2650" s="32" t="str">
        <f t="shared" si="162"/>
        <v/>
      </c>
      <c r="M2650" s="32" t="str">
        <f t="shared" si="163"/>
        <v/>
      </c>
      <c r="N2650" s="4"/>
      <c r="AG2650" t="s">
        <v>2368</v>
      </c>
      <c r="AM2650" s="1"/>
    </row>
    <row r="2651" spans="1:39" x14ac:dyDescent="0.35">
      <c r="A2651">
        <v>2647</v>
      </c>
      <c r="B2651">
        <v>2648</v>
      </c>
      <c r="F2651" s="64"/>
      <c r="G2651" s="64"/>
      <c r="H2651" s="64" t="s">
        <v>26</v>
      </c>
      <c r="I2651" s="64"/>
      <c r="J2651" s="32" t="str">
        <f>IF(AND(E2651=1,OR(E2650=0,E2650="")),MAX(#REF!)+1,IF(AND(E2651=1,E2650=1),J2650,""))</f>
        <v/>
      </c>
      <c r="K2651" s="32" t="str">
        <f t="shared" si="161"/>
        <v/>
      </c>
      <c r="L2651" s="32" t="str">
        <f t="shared" si="162"/>
        <v/>
      </c>
      <c r="M2651" s="32" t="str">
        <f t="shared" si="163"/>
        <v/>
      </c>
      <c r="N2651" s="4"/>
      <c r="AG2651" t="s">
        <v>77</v>
      </c>
      <c r="AM2651" s="1"/>
    </row>
    <row r="2652" spans="1:39" x14ac:dyDescent="0.35">
      <c r="A2652">
        <v>2648</v>
      </c>
      <c r="B2652">
        <v>2649</v>
      </c>
      <c r="F2652" s="64"/>
      <c r="G2652" s="64"/>
      <c r="H2652" s="64" t="s">
        <v>26</v>
      </c>
      <c r="I2652" s="64"/>
      <c r="J2652" s="32" t="str">
        <f>IF(AND(E2652=1,OR(E2651=0,E2651="")),MAX(#REF!)+1,IF(AND(E2652=1,E2651=1),J2651,""))</f>
        <v/>
      </c>
      <c r="K2652" s="32" t="str">
        <f t="shared" si="161"/>
        <v/>
      </c>
      <c r="L2652" s="32" t="str">
        <f t="shared" si="162"/>
        <v/>
      </c>
      <c r="M2652" s="32" t="str">
        <f t="shared" si="163"/>
        <v/>
      </c>
      <c r="N2652" s="4"/>
      <c r="AG2652" t="s">
        <v>77</v>
      </c>
      <c r="AM2652" s="1"/>
    </row>
    <row r="2653" spans="1:39" x14ac:dyDescent="0.35">
      <c r="A2653">
        <v>2649</v>
      </c>
      <c r="B2653">
        <v>2650</v>
      </c>
      <c r="F2653" s="64"/>
      <c r="G2653" s="64"/>
      <c r="H2653" s="64" t="s">
        <v>26</v>
      </c>
      <c r="I2653" s="64"/>
      <c r="J2653" s="32" t="str">
        <f>IF(AND(E2653=1,OR(E2652=0,E2652="")),MAX(#REF!)+1,IF(AND(E2653=1,E2652=1),J2652,""))</f>
        <v/>
      </c>
      <c r="K2653" s="32" t="str">
        <f t="shared" si="161"/>
        <v/>
      </c>
      <c r="L2653" s="32" t="str">
        <f t="shared" si="162"/>
        <v/>
      </c>
      <c r="M2653" s="32" t="str">
        <f t="shared" si="163"/>
        <v/>
      </c>
      <c r="N2653" s="4"/>
      <c r="AG2653" t="s">
        <v>77</v>
      </c>
      <c r="AM2653" s="1"/>
    </row>
    <row r="2654" spans="1:39" x14ac:dyDescent="0.35">
      <c r="A2654">
        <v>2650</v>
      </c>
      <c r="B2654">
        <v>2651</v>
      </c>
      <c r="F2654" s="64"/>
      <c r="G2654" s="64"/>
      <c r="H2654" s="64" t="s">
        <v>26</v>
      </c>
      <c r="I2654" s="64"/>
      <c r="J2654" s="32" t="str">
        <f>IF(AND(E2654=1,OR(E2653=0,E2653="")),MAX(#REF!)+1,IF(AND(E2654=1,E2653=1),J2653,""))</f>
        <v/>
      </c>
      <c r="K2654" s="32" t="str">
        <f t="shared" si="161"/>
        <v/>
      </c>
      <c r="L2654" s="32" t="str">
        <f t="shared" si="162"/>
        <v/>
      </c>
      <c r="M2654" s="32" t="str">
        <f t="shared" si="163"/>
        <v/>
      </c>
      <c r="N2654" s="4"/>
      <c r="AG2654" t="s">
        <v>2369</v>
      </c>
      <c r="AM2654" s="1"/>
    </row>
    <row r="2655" spans="1:39" x14ac:dyDescent="0.35">
      <c r="A2655">
        <v>2651</v>
      </c>
      <c r="B2655">
        <v>2652</v>
      </c>
      <c r="F2655" s="64"/>
      <c r="G2655" s="64"/>
      <c r="H2655" s="64" t="s">
        <v>26</v>
      </c>
      <c r="I2655" s="64"/>
      <c r="J2655" s="32" t="str">
        <f>IF(AND(E2655=1,OR(E2654=0,E2654="")),MAX(#REF!)+1,IF(AND(E2655=1,E2654=1),J2654,""))</f>
        <v/>
      </c>
      <c r="K2655" s="32" t="str">
        <f t="shared" ref="K2655:K2718" si="164">IF(J2655="","",COUNTIF(J:J,J2655)*10)</f>
        <v/>
      </c>
      <c r="L2655" s="32" t="str">
        <f t="shared" si="162"/>
        <v/>
      </c>
      <c r="M2655" s="32" t="str">
        <f t="shared" si="163"/>
        <v/>
      </c>
      <c r="N2655" s="4"/>
      <c r="AG2655" t="s">
        <v>2370</v>
      </c>
      <c r="AM2655" s="1"/>
    </row>
    <row r="2656" spans="1:39" x14ac:dyDescent="0.35">
      <c r="A2656">
        <v>2652</v>
      </c>
      <c r="B2656">
        <v>2653</v>
      </c>
      <c r="F2656" s="64"/>
      <c r="G2656" s="64"/>
      <c r="H2656" s="64" t="s">
        <v>26</v>
      </c>
      <c r="I2656" s="64"/>
      <c r="J2656" s="32" t="str">
        <f>IF(AND(E2656=1,OR(E2655=0,E2655="")),MAX(#REF!)+1,IF(AND(E2656=1,E2655=1),J2655,""))</f>
        <v/>
      </c>
      <c r="K2656" s="32" t="str">
        <f t="shared" si="164"/>
        <v/>
      </c>
      <c r="L2656" s="32" t="str">
        <f t="shared" si="162"/>
        <v/>
      </c>
      <c r="M2656" s="32" t="str">
        <f t="shared" si="163"/>
        <v/>
      </c>
      <c r="N2656" s="4"/>
      <c r="AG2656" t="s">
        <v>2371</v>
      </c>
      <c r="AM2656" s="1"/>
    </row>
    <row r="2657" spans="1:39" x14ac:dyDescent="0.35">
      <c r="A2657">
        <v>2653</v>
      </c>
      <c r="B2657">
        <v>2654</v>
      </c>
      <c r="F2657" s="64"/>
      <c r="G2657" s="64"/>
      <c r="H2657" s="64" t="s">
        <v>26</v>
      </c>
      <c r="I2657" s="64"/>
      <c r="J2657" s="32" t="str">
        <f>IF(AND(E2657=1,OR(E2656=0,E2656="")),MAX(#REF!)+1,IF(AND(E2657=1,E2656=1),J2656,""))</f>
        <v/>
      </c>
      <c r="K2657" s="32" t="str">
        <f t="shared" si="164"/>
        <v/>
      </c>
      <c r="L2657" s="32" t="str">
        <f t="shared" si="162"/>
        <v/>
      </c>
      <c r="M2657" s="32" t="str">
        <f t="shared" si="163"/>
        <v/>
      </c>
      <c r="N2657" s="4"/>
      <c r="AG2657" t="s">
        <v>77</v>
      </c>
      <c r="AM2657" s="1"/>
    </row>
    <row r="2658" spans="1:39" x14ac:dyDescent="0.35">
      <c r="A2658">
        <v>2654</v>
      </c>
      <c r="B2658">
        <v>2655</v>
      </c>
      <c r="F2658" s="64"/>
      <c r="G2658" s="64"/>
      <c r="H2658" s="64" t="s">
        <v>26</v>
      </c>
      <c r="I2658" s="64"/>
      <c r="J2658" s="32" t="str">
        <f>IF(AND(E2658=1,OR(E2657=0,E2657="")),MAX(#REF!)+1,IF(AND(E2658=1,E2657=1),J2657,""))</f>
        <v/>
      </c>
      <c r="K2658" s="32" t="str">
        <f t="shared" si="164"/>
        <v/>
      </c>
      <c r="L2658" s="32" t="str">
        <f t="shared" si="162"/>
        <v/>
      </c>
      <c r="M2658" s="32" t="str">
        <f t="shared" si="163"/>
        <v/>
      </c>
      <c r="N2658" s="4"/>
      <c r="AG2658" t="s">
        <v>77</v>
      </c>
      <c r="AM2658" s="1"/>
    </row>
    <row r="2659" spans="1:39" x14ac:dyDescent="0.35">
      <c r="A2659">
        <v>2655</v>
      </c>
      <c r="B2659">
        <v>2656</v>
      </c>
      <c r="F2659" s="64"/>
      <c r="G2659" s="64"/>
      <c r="H2659" s="64" t="s">
        <v>26</v>
      </c>
      <c r="I2659" s="64"/>
      <c r="J2659" s="32" t="str">
        <f>IF(AND(E2659=1,OR(E2658=0,E2658="")),MAX(#REF!)+1,IF(AND(E2659=1,E2658=1),J2658,""))</f>
        <v/>
      </c>
      <c r="K2659" s="32" t="str">
        <f t="shared" si="164"/>
        <v/>
      </c>
      <c r="L2659" s="32" t="str">
        <f t="shared" si="162"/>
        <v/>
      </c>
      <c r="M2659" s="32" t="str">
        <f t="shared" si="163"/>
        <v/>
      </c>
      <c r="N2659" s="4"/>
      <c r="AG2659" t="s">
        <v>77</v>
      </c>
      <c r="AM2659" s="1"/>
    </row>
    <row r="2660" spans="1:39" x14ac:dyDescent="0.35">
      <c r="A2660">
        <v>2656</v>
      </c>
      <c r="B2660">
        <v>2657</v>
      </c>
      <c r="F2660" s="64"/>
      <c r="G2660" s="64"/>
      <c r="H2660" s="64" t="s">
        <v>26</v>
      </c>
      <c r="I2660" s="64"/>
      <c r="J2660" s="32" t="str">
        <f>IF(AND(E2660=1,OR(E2659=0,E2659="")),MAX(#REF!)+1,IF(AND(E2660=1,E2659=1),J2659,""))</f>
        <v/>
      </c>
      <c r="K2660" s="32" t="str">
        <f t="shared" si="164"/>
        <v/>
      </c>
      <c r="L2660" s="32" t="str">
        <f t="shared" si="162"/>
        <v/>
      </c>
      <c r="M2660" s="32" t="str">
        <f t="shared" si="163"/>
        <v/>
      </c>
      <c r="N2660" s="4"/>
      <c r="AG2660" t="s">
        <v>77</v>
      </c>
      <c r="AM2660" s="1"/>
    </row>
    <row r="2661" spans="1:39" x14ac:dyDescent="0.35">
      <c r="A2661">
        <v>2657</v>
      </c>
      <c r="B2661">
        <v>2658</v>
      </c>
      <c r="F2661" s="64"/>
      <c r="G2661" s="64"/>
      <c r="H2661" s="64" t="s">
        <v>26</v>
      </c>
      <c r="I2661" s="64"/>
      <c r="J2661" s="32" t="str">
        <f>IF(AND(E2661=1,OR(E2660=0,E2660="")),MAX(#REF!)+1,IF(AND(E2661=1,E2660=1),J2660,""))</f>
        <v/>
      </c>
      <c r="K2661" s="32" t="str">
        <f t="shared" si="164"/>
        <v/>
      </c>
      <c r="L2661" s="32" t="str">
        <f t="shared" si="162"/>
        <v/>
      </c>
      <c r="M2661" s="32" t="str">
        <f t="shared" si="163"/>
        <v/>
      </c>
      <c r="N2661" s="4"/>
      <c r="AG2661" t="s">
        <v>77</v>
      </c>
      <c r="AM2661" s="1"/>
    </row>
    <row r="2662" spans="1:39" x14ac:dyDescent="0.35">
      <c r="A2662">
        <v>2658</v>
      </c>
      <c r="B2662">
        <v>2659</v>
      </c>
      <c r="F2662" s="64"/>
      <c r="G2662" s="64"/>
      <c r="H2662" s="64" t="s">
        <v>26</v>
      </c>
      <c r="I2662" s="64"/>
      <c r="J2662" s="32" t="str">
        <f>IF(AND(E2662=1,OR(E2661=0,E2661="")),MAX(#REF!)+1,IF(AND(E2662=1,E2661=1),J2661,""))</f>
        <v/>
      </c>
      <c r="K2662" s="32" t="str">
        <f t="shared" si="164"/>
        <v/>
      </c>
      <c r="L2662" s="32" t="str">
        <f t="shared" si="162"/>
        <v/>
      </c>
      <c r="M2662" s="32" t="str">
        <f t="shared" si="163"/>
        <v/>
      </c>
      <c r="N2662" s="4"/>
      <c r="AG2662" t="s">
        <v>2372</v>
      </c>
      <c r="AM2662" s="1"/>
    </row>
    <row r="2663" spans="1:39" x14ac:dyDescent="0.35">
      <c r="A2663">
        <v>2659</v>
      </c>
      <c r="B2663">
        <v>2660</v>
      </c>
      <c r="F2663" s="64"/>
      <c r="G2663" s="64"/>
      <c r="H2663" s="64" t="s">
        <v>26</v>
      </c>
      <c r="I2663" s="64"/>
      <c r="J2663" s="32" t="str">
        <f>IF(AND(E2663=1,OR(E2662=0,E2662="")),MAX(#REF!)+1,IF(AND(E2663=1,E2662=1),J2662,""))</f>
        <v/>
      </c>
      <c r="K2663" s="32" t="str">
        <f t="shared" si="164"/>
        <v/>
      </c>
      <c r="L2663" s="32" t="str">
        <f t="shared" si="162"/>
        <v/>
      </c>
      <c r="M2663" s="32" t="str">
        <f t="shared" si="163"/>
        <v/>
      </c>
      <c r="N2663" s="4"/>
      <c r="AG2663" t="s">
        <v>2373</v>
      </c>
      <c r="AM2663" s="1"/>
    </row>
    <row r="2664" spans="1:39" x14ac:dyDescent="0.35">
      <c r="A2664">
        <v>2660</v>
      </c>
      <c r="B2664">
        <v>2661</v>
      </c>
      <c r="F2664" s="64"/>
      <c r="G2664" s="64"/>
      <c r="H2664" s="64" t="s">
        <v>26</v>
      </c>
      <c r="I2664" s="64"/>
      <c r="J2664" s="32" t="str">
        <f>IF(AND(E2664=1,OR(E2663=0,E2663="")),MAX(#REF!)+1,IF(AND(E2664=1,E2663=1),J2663,""))</f>
        <v/>
      </c>
      <c r="K2664" s="32" t="str">
        <f t="shared" si="164"/>
        <v/>
      </c>
      <c r="L2664" s="32" t="str">
        <f t="shared" si="162"/>
        <v/>
      </c>
      <c r="M2664" s="32" t="str">
        <f t="shared" si="163"/>
        <v/>
      </c>
      <c r="N2664" s="4"/>
      <c r="AG2664" t="s">
        <v>2374</v>
      </c>
      <c r="AM2664" s="1"/>
    </row>
    <row r="2665" spans="1:39" x14ac:dyDescent="0.35">
      <c r="A2665">
        <v>2661</v>
      </c>
      <c r="B2665">
        <v>2662</v>
      </c>
      <c r="F2665" s="64"/>
      <c r="G2665" s="64"/>
      <c r="H2665" s="64" t="s">
        <v>26</v>
      </c>
      <c r="I2665" s="64"/>
      <c r="J2665" s="32" t="str">
        <f>IF(AND(E2665=1,OR(E2664=0,E2664="")),MAX(#REF!)+1,IF(AND(E2665=1,E2664=1),J2664,""))</f>
        <v/>
      </c>
      <c r="K2665" s="32" t="str">
        <f t="shared" si="164"/>
        <v/>
      </c>
      <c r="L2665" s="32" t="str">
        <f t="shared" si="162"/>
        <v/>
      </c>
      <c r="M2665" s="32" t="str">
        <f t="shared" si="163"/>
        <v/>
      </c>
      <c r="N2665" s="4"/>
      <c r="AG2665" t="s">
        <v>2375</v>
      </c>
      <c r="AM2665" s="1"/>
    </row>
    <row r="2666" spans="1:39" x14ac:dyDescent="0.35">
      <c r="A2666">
        <v>2662</v>
      </c>
      <c r="B2666">
        <v>2663</v>
      </c>
      <c r="F2666" s="64"/>
      <c r="G2666" s="64"/>
      <c r="H2666" s="64" t="s">
        <v>26</v>
      </c>
      <c r="I2666" s="64"/>
      <c r="J2666" s="32" t="str">
        <f>IF(AND(E2666=1,OR(E2665=0,E2665="")),MAX(#REF!)+1,IF(AND(E2666=1,E2665=1),J2665,""))</f>
        <v/>
      </c>
      <c r="K2666" s="32" t="str">
        <f t="shared" si="164"/>
        <v/>
      </c>
      <c r="L2666" s="32" t="str">
        <f t="shared" si="162"/>
        <v/>
      </c>
      <c r="M2666" s="32" t="str">
        <f t="shared" si="163"/>
        <v/>
      </c>
      <c r="N2666" s="4"/>
      <c r="AG2666" t="s">
        <v>2376</v>
      </c>
      <c r="AM2666" s="1"/>
    </row>
    <row r="2667" spans="1:39" x14ac:dyDescent="0.35">
      <c r="A2667">
        <v>2663</v>
      </c>
      <c r="B2667">
        <v>2664</v>
      </c>
      <c r="F2667" s="64"/>
      <c r="G2667" s="64"/>
      <c r="H2667" s="64" t="s">
        <v>26</v>
      </c>
      <c r="I2667" s="64"/>
      <c r="J2667" s="32" t="str">
        <f>IF(AND(E2667=1,OR(E2666=0,E2666="")),MAX(#REF!)+1,IF(AND(E2667=1,E2666=1),J2666,""))</f>
        <v/>
      </c>
      <c r="K2667" s="32" t="str">
        <f t="shared" si="164"/>
        <v/>
      </c>
      <c r="L2667" s="32" t="str">
        <f t="shared" si="162"/>
        <v/>
      </c>
      <c r="M2667" s="32" t="str">
        <f t="shared" si="163"/>
        <v/>
      </c>
      <c r="N2667" s="4"/>
      <c r="AG2667" t="s">
        <v>2377</v>
      </c>
      <c r="AM2667" s="1"/>
    </row>
    <row r="2668" spans="1:39" x14ac:dyDescent="0.35">
      <c r="A2668">
        <v>2664</v>
      </c>
      <c r="B2668">
        <v>2665</v>
      </c>
      <c r="F2668" s="64"/>
      <c r="G2668" s="64"/>
      <c r="H2668" s="64" t="s">
        <v>26</v>
      </c>
      <c r="I2668" s="64"/>
      <c r="J2668" s="32" t="str">
        <f>IF(AND(E2668=1,OR(E2667=0,E2667="")),MAX(#REF!)+1,IF(AND(E2668=1,E2667=1),J2667,""))</f>
        <v/>
      </c>
      <c r="K2668" s="32" t="str">
        <f t="shared" si="164"/>
        <v/>
      </c>
      <c r="L2668" s="32" t="str">
        <f t="shared" si="162"/>
        <v/>
      </c>
      <c r="M2668" s="32" t="str">
        <f t="shared" si="163"/>
        <v/>
      </c>
      <c r="N2668" s="4"/>
      <c r="AG2668" t="s">
        <v>2378</v>
      </c>
      <c r="AM2668" s="1"/>
    </row>
    <row r="2669" spans="1:39" x14ac:dyDescent="0.35">
      <c r="A2669">
        <v>2665</v>
      </c>
      <c r="B2669">
        <v>2666</v>
      </c>
      <c r="F2669" s="64"/>
      <c r="G2669" s="64"/>
      <c r="H2669" s="64" t="s">
        <v>26</v>
      </c>
      <c r="I2669" s="64"/>
      <c r="J2669" s="32" t="str">
        <f>IF(AND(E2669=1,OR(E2668=0,E2668="")),MAX(#REF!)+1,IF(AND(E2669=1,E2668=1),J2668,""))</f>
        <v/>
      </c>
      <c r="K2669" s="32" t="str">
        <f t="shared" si="164"/>
        <v/>
      </c>
      <c r="L2669" s="32" t="str">
        <f t="shared" si="162"/>
        <v/>
      </c>
      <c r="M2669" s="32" t="str">
        <f t="shared" si="163"/>
        <v/>
      </c>
      <c r="N2669" s="4"/>
      <c r="AG2669" t="s">
        <v>2379</v>
      </c>
      <c r="AM2669" s="1"/>
    </row>
    <row r="2670" spans="1:39" x14ac:dyDescent="0.35">
      <c r="A2670">
        <v>2666</v>
      </c>
      <c r="B2670">
        <v>2667</v>
      </c>
      <c r="F2670" s="64"/>
      <c r="G2670" s="64"/>
      <c r="H2670" s="64" t="s">
        <v>26</v>
      </c>
      <c r="I2670" s="64"/>
      <c r="J2670" s="32" t="str">
        <f>IF(AND(E2670=1,OR(E2669=0,E2669="")),MAX(#REF!)+1,IF(AND(E2670=1,E2669=1),J2669,""))</f>
        <v/>
      </c>
      <c r="K2670" s="32" t="str">
        <f t="shared" si="164"/>
        <v/>
      </c>
      <c r="L2670" s="32" t="str">
        <f t="shared" si="162"/>
        <v/>
      </c>
      <c r="M2670" s="32" t="str">
        <f t="shared" si="163"/>
        <v/>
      </c>
      <c r="N2670" s="4"/>
      <c r="AG2670" t="s">
        <v>2380</v>
      </c>
      <c r="AM2670" s="1"/>
    </row>
    <row r="2671" spans="1:39" x14ac:dyDescent="0.35">
      <c r="A2671">
        <v>2667</v>
      </c>
      <c r="B2671">
        <v>2668</v>
      </c>
      <c r="F2671" s="64"/>
      <c r="G2671" s="64"/>
      <c r="H2671" s="64" t="s">
        <v>26</v>
      </c>
      <c r="I2671" s="64"/>
      <c r="J2671" s="32" t="str">
        <f>IF(AND(E2671=1,OR(E2670=0,E2670="")),MAX(#REF!)+1,IF(AND(E2671=1,E2670=1),J2670,""))</f>
        <v/>
      </c>
      <c r="K2671" s="32" t="str">
        <f t="shared" si="164"/>
        <v/>
      </c>
      <c r="L2671" s="32" t="str">
        <f t="shared" si="162"/>
        <v/>
      </c>
      <c r="M2671" s="32" t="str">
        <f t="shared" si="163"/>
        <v/>
      </c>
      <c r="N2671" s="4"/>
      <c r="AG2671" t="s">
        <v>2381</v>
      </c>
      <c r="AM2671" s="1"/>
    </row>
    <row r="2672" spans="1:39" x14ac:dyDescent="0.35">
      <c r="A2672">
        <v>2668</v>
      </c>
      <c r="B2672">
        <v>2669</v>
      </c>
      <c r="F2672" s="64"/>
      <c r="G2672" s="64"/>
      <c r="H2672" s="64" t="s">
        <v>26</v>
      </c>
      <c r="I2672" s="64"/>
      <c r="J2672" s="32" t="str">
        <f>IF(AND(E2672=1,OR(E2671=0,E2671="")),MAX(#REF!)+1,IF(AND(E2672=1,E2671=1),J2671,""))</f>
        <v/>
      </c>
      <c r="K2672" s="32" t="str">
        <f t="shared" si="164"/>
        <v/>
      </c>
      <c r="L2672" s="32" t="str">
        <f t="shared" si="162"/>
        <v/>
      </c>
      <c r="M2672" s="32" t="str">
        <f t="shared" si="163"/>
        <v/>
      </c>
      <c r="N2672" s="4"/>
      <c r="AG2672" t="s">
        <v>2382</v>
      </c>
      <c r="AM2672" s="1"/>
    </row>
    <row r="2673" spans="1:39" x14ac:dyDescent="0.35">
      <c r="A2673">
        <v>2669</v>
      </c>
      <c r="B2673">
        <v>2670</v>
      </c>
      <c r="F2673" s="64"/>
      <c r="G2673" s="64"/>
      <c r="H2673" s="64" t="s">
        <v>26</v>
      </c>
      <c r="I2673" s="64"/>
      <c r="J2673" s="32" t="str">
        <f>IF(AND(E2673=1,OR(E2672=0,E2672="")),MAX(#REF!)+1,IF(AND(E2673=1,E2672=1),J2672,""))</f>
        <v/>
      </c>
      <c r="K2673" s="32" t="str">
        <f t="shared" si="164"/>
        <v/>
      </c>
      <c r="L2673" s="32" t="str">
        <f t="shared" si="162"/>
        <v/>
      </c>
      <c r="M2673" s="32" t="str">
        <f t="shared" si="163"/>
        <v/>
      </c>
      <c r="N2673" s="4"/>
      <c r="AG2673" t="s">
        <v>2383</v>
      </c>
      <c r="AM2673" s="1"/>
    </row>
    <row r="2674" spans="1:39" x14ac:dyDescent="0.35">
      <c r="A2674">
        <v>2670</v>
      </c>
      <c r="B2674">
        <v>2671</v>
      </c>
      <c r="F2674" s="64"/>
      <c r="G2674" s="64"/>
      <c r="H2674" s="64" t="s">
        <v>26</v>
      </c>
      <c r="I2674" s="64"/>
      <c r="J2674" s="32" t="str">
        <f>IF(AND(E2674=1,OR(E2673=0,E2673="")),MAX(#REF!)+1,IF(AND(E2674=1,E2673=1),J2673,""))</f>
        <v/>
      </c>
      <c r="K2674" s="32" t="str">
        <f t="shared" si="164"/>
        <v/>
      </c>
      <c r="L2674" s="32" t="str">
        <f t="shared" si="162"/>
        <v/>
      </c>
      <c r="M2674" s="32" t="str">
        <f t="shared" si="163"/>
        <v/>
      </c>
      <c r="N2674" s="4"/>
      <c r="AG2674" t="s">
        <v>2384</v>
      </c>
      <c r="AM2674" s="1"/>
    </row>
    <row r="2675" spans="1:39" x14ac:dyDescent="0.35">
      <c r="A2675">
        <v>2671</v>
      </c>
      <c r="B2675">
        <v>2672</v>
      </c>
      <c r="F2675" s="64"/>
      <c r="G2675" s="64"/>
      <c r="H2675" s="64" t="s">
        <v>26</v>
      </c>
      <c r="I2675" s="64"/>
      <c r="J2675" s="32" t="str">
        <f>IF(AND(E2675=1,OR(E2674=0,E2674="")),MAX(#REF!)+1,IF(AND(E2675=1,E2674=1),J2674,""))</f>
        <v/>
      </c>
      <c r="K2675" s="32" t="str">
        <f t="shared" si="164"/>
        <v/>
      </c>
      <c r="L2675" s="32" t="str">
        <f t="shared" si="162"/>
        <v/>
      </c>
      <c r="M2675" s="32" t="str">
        <f t="shared" si="163"/>
        <v/>
      </c>
      <c r="N2675" s="4"/>
      <c r="AG2675" t="s">
        <v>2385</v>
      </c>
      <c r="AM2675" s="1"/>
    </row>
    <row r="2676" spans="1:39" x14ac:dyDescent="0.35">
      <c r="A2676">
        <v>2672</v>
      </c>
      <c r="B2676">
        <v>2673</v>
      </c>
      <c r="F2676" s="64"/>
      <c r="G2676" s="64"/>
      <c r="H2676" s="64" t="s">
        <v>26</v>
      </c>
      <c r="I2676" s="64"/>
      <c r="J2676" s="32" t="str">
        <f>IF(AND(E2676=1,OR(E2675=0,E2675="")),MAX(#REF!)+1,IF(AND(E2676=1,E2675=1),J2675,""))</f>
        <v/>
      </c>
      <c r="K2676" s="32" t="str">
        <f t="shared" si="164"/>
        <v/>
      </c>
      <c r="L2676" s="32" t="str">
        <f t="shared" si="162"/>
        <v/>
      </c>
      <c r="M2676" s="32" t="str">
        <f t="shared" si="163"/>
        <v/>
      </c>
      <c r="N2676" s="4"/>
      <c r="AG2676" t="s">
        <v>2386</v>
      </c>
      <c r="AM2676" s="1"/>
    </row>
    <row r="2677" spans="1:39" x14ac:dyDescent="0.35">
      <c r="A2677">
        <v>2673</v>
      </c>
      <c r="B2677">
        <v>2674</v>
      </c>
      <c r="F2677" s="64"/>
      <c r="G2677" s="64"/>
      <c r="H2677" s="64" t="s">
        <v>26</v>
      </c>
      <c r="I2677" s="64"/>
      <c r="J2677" s="32" t="str">
        <f>IF(AND(E2677=1,OR(E2676=0,E2676="")),MAX(#REF!)+1,IF(AND(E2677=1,E2676=1),J2676,""))</f>
        <v/>
      </c>
      <c r="K2677" s="32" t="str">
        <f t="shared" si="164"/>
        <v/>
      </c>
      <c r="L2677" s="32" t="str">
        <f t="shared" si="162"/>
        <v/>
      </c>
      <c r="M2677" s="32" t="str">
        <f t="shared" si="163"/>
        <v/>
      </c>
      <c r="N2677" s="4"/>
      <c r="AG2677" t="s">
        <v>2387</v>
      </c>
      <c r="AM2677" s="1"/>
    </row>
    <row r="2678" spans="1:39" x14ac:dyDescent="0.35">
      <c r="A2678">
        <v>2674</v>
      </c>
      <c r="B2678">
        <v>2675</v>
      </c>
      <c r="F2678" s="64"/>
      <c r="G2678" s="64"/>
      <c r="H2678" s="64" t="s">
        <v>26</v>
      </c>
      <c r="I2678" s="64"/>
      <c r="J2678" s="32" t="str">
        <f>IF(AND(E2678=1,OR(E2677=0,E2677="")),MAX(#REF!)+1,IF(AND(E2678=1,E2677=1),J2677,""))</f>
        <v/>
      </c>
      <c r="K2678" s="32" t="str">
        <f t="shared" si="164"/>
        <v/>
      </c>
      <c r="L2678" s="32" t="str">
        <f t="shared" si="162"/>
        <v/>
      </c>
      <c r="M2678" s="32" t="str">
        <f t="shared" si="163"/>
        <v/>
      </c>
      <c r="N2678" s="4"/>
      <c r="AG2678" t="s">
        <v>2388</v>
      </c>
      <c r="AM2678" s="1"/>
    </row>
    <row r="2679" spans="1:39" x14ac:dyDescent="0.35">
      <c r="A2679">
        <v>2675</v>
      </c>
      <c r="B2679">
        <v>2676</v>
      </c>
      <c r="F2679" s="64"/>
      <c r="G2679" s="64"/>
      <c r="H2679" s="64" t="s">
        <v>26</v>
      </c>
      <c r="I2679" s="64"/>
      <c r="J2679" s="32" t="str">
        <f>IF(AND(E2679=1,OR(E2678=0,E2678="")),MAX(#REF!)+1,IF(AND(E2679=1,E2678=1),J2678,""))</f>
        <v/>
      </c>
      <c r="K2679" s="32" t="str">
        <f t="shared" si="164"/>
        <v/>
      </c>
      <c r="L2679" s="32" t="str">
        <f t="shared" si="162"/>
        <v/>
      </c>
      <c r="M2679" s="32" t="str">
        <f t="shared" si="163"/>
        <v/>
      </c>
      <c r="N2679" s="4"/>
      <c r="AG2679" t="s">
        <v>2389</v>
      </c>
      <c r="AM2679" s="1"/>
    </row>
    <row r="2680" spans="1:39" x14ac:dyDescent="0.35">
      <c r="A2680">
        <v>2676</v>
      </c>
      <c r="B2680">
        <v>2677</v>
      </c>
      <c r="F2680" s="64"/>
      <c r="G2680" s="64"/>
      <c r="H2680" s="64" t="s">
        <v>26</v>
      </c>
      <c r="I2680" s="64"/>
      <c r="J2680" s="32" t="str">
        <f>IF(AND(E2680=1,OR(E2679=0,E2679="")),MAX(#REF!)+1,IF(AND(E2680=1,E2679=1),J2679,""))</f>
        <v/>
      </c>
      <c r="K2680" s="32" t="str">
        <f t="shared" si="164"/>
        <v/>
      </c>
      <c r="L2680" s="32" t="str">
        <f t="shared" si="162"/>
        <v/>
      </c>
      <c r="M2680" s="32" t="str">
        <f t="shared" si="163"/>
        <v/>
      </c>
      <c r="N2680" s="4"/>
      <c r="AG2680" t="s">
        <v>2390</v>
      </c>
      <c r="AM2680" s="1"/>
    </row>
    <row r="2681" spans="1:39" x14ac:dyDescent="0.35">
      <c r="A2681">
        <v>2677</v>
      </c>
      <c r="B2681">
        <v>2678</v>
      </c>
      <c r="F2681" s="64"/>
      <c r="G2681" s="64"/>
      <c r="H2681" s="64" t="s">
        <v>26</v>
      </c>
      <c r="I2681" s="64"/>
      <c r="J2681" s="32" t="str">
        <f>IF(AND(E2681=1,OR(E2680=0,E2680="")),MAX(#REF!)+1,IF(AND(E2681=1,E2680=1),J2680,""))</f>
        <v/>
      </c>
      <c r="K2681" s="32" t="str">
        <f t="shared" si="164"/>
        <v/>
      </c>
      <c r="L2681" s="32" t="str">
        <f t="shared" si="162"/>
        <v/>
      </c>
      <c r="M2681" s="32" t="str">
        <f t="shared" si="163"/>
        <v/>
      </c>
      <c r="N2681" s="4"/>
      <c r="AG2681" t="s">
        <v>2391</v>
      </c>
      <c r="AM2681" s="1"/>
    </row>
    <row r="2682" spans="1:39" x14ac:dyDescent="0.35">
      <c r="A2682">
        <v>2678</v>
      </c>
      <c r="B2682">
        <v>2679</v>
      </c>
      <c r="F2682" s="64"/>
      <c r="G2682" s="64"/>
      <c r="H2682" s="64" t="s">
        <v>26</v>
      </c>
      <c r="I2682" s="64"/>
      <c r="J2682" s="32" t="str">
        <f>IF(AND(E2682=1,OR(E2681=0,E2681="")),MAX(#REF!)+1,IF(AND(E2682=1,E2681=1),J2681,""))</f>
        <v/>
      </c>
      <c r="K2682" s="32" t="str">
        <f t="shared" si="164"/>
        <v/>
      </c>
      <c r="L2682" s="32" t="str">
        <f t="shared" si="162"/>
        <v/>
      </c>
      <c r="M2682" s="32" t="str">
        <f t="shared" si="163"/>
        <v/>
      </c>
      <c r="N2682" s="4"/>
      <c r="AG2682" t="s">
        <v>2392</v>
      </c>
      <c r="AM2682" s="1"/>
    </row>
    <row r="2683" spans="1:39" x14ac:dyDescent="0.35">
      <c r="A2683">
        <v>2679</v>
      </c>
      <c r="B2683">
        <v>2680</v>
      </c>
      <c r="F2683" s="64"/>
      <c r="G2683" s="64"/>
      <c r="H2683" s="64" t="s">
        <v>26</v>
      </c>
      <c r="I2683" s="64"/>
      <c r="J2683" s="32" t="str">
        <f>IF(AND(E2683=1,OR(E2682=0,E2682="")),MAX(#REF!)+1,IF(AND(E2683=1,E2682=1),J2682,""))</f>
        <v/>
      </c>
      <c r="K2683" s="32" t="str">
        <f t="shared" si="164"/>
        <v/>
      </c>
      <c r="L2683" s="32" t="str">
        <f t="shared" si="162"/>
        <v/>
      </c>
      <c r="M2683" s="32" t="str">
        <f t="shared" si="163"/>
        <v/>
      </c>
      <c r="N2683" s="4"/>
      <c r="AG2683" t="s">
        <v>2393</v>
      </c>
      <c r="AM2683" s="1"/>
    </row>
    <row r="2684" spans="1:39" x14ac:dyDescent="0.35">
      <c r="A2684">
        <v>2680</v>
      </c>
      <c r="B2684">
        <v>2681</v>
      </c>
      <c r="F2684" s="64"/>
      <c r="G2684" s="64"/>
      <c r="H2684" s="64" t="s">
        <v>26</v>
      </c>
      <c r="I2684" s="64"/>
      <c r="J2684" s="32" t="str">
        <f>IF(AND(E2684=1,OR(E2683=0,E2683="")),MAX(#REF!)+1,IF(AND(E2684=1,E2683=1),J2683,""))</f>
        <v/>
      </c>
      <c r="K2684" s="32" t="str">
        <f t="shared" si="164"/>
        <v/>
      </c>
      <c r="L2684" s="32" t="str">
        <f t="shared" si="162"/>
        <v/>
      </c>
      <c r="M2684" s="32" t="str">
        <f t="shared" si="163"/>
        <v/>
      </c>
      <c r="N2684" s="4"/>
      <c r="AG2684" t="s">
        <v>2394</v>
      </c>
      <c r="AM2684" s="1"/>
    </row>
    <row r="2685" spans="1:39" x14ac:dyDescent="0.35">
      <c r="A2685">
        <v>2681</v>
      </c>
      <c r="B2685">
        <v>2682</v>
      </c>
      <c r="F2685" s="64"/>
      <c r="G2685" s="64"/>
      <c r="H2685" s="64" t="s">
        <v>26</v>
      </c>
      <c r="I2685" s="64"/>
      <c r="J2685" s="32" t="str">
        <f>IF(AND(E2685=1,OR(E2684=0,E2684="")),MAX(#REF!)+1,IF(AND(E2685=1,E2684=1),J2684,""))</f>
        <v/>
      </c>
      <c r="K2685" s="32" t="str">
        <f t="shared" si="164"/>
        <v/>
      </c>
      <c r="L2685" s="32" t="str">
        <f t="shared" si="162"/>
        <v/>
      </c>
      <c r="M2685" s="32" t="str">
        <f t="shared" si="163"/>
        <v/>
      </c>
      <c r="N2685" s="4"/>
      <c r="AG2685" t="s">
        <v>2395</v>
      </c>
      <c r="AM2685" s="1"/>
    </row>
    <row r="2686" spans="1:39" x14ac:dyDescent="0.35">
      <c r="A2686">
        <v>2682</v>
      </c>
      <c r="B2686">
        <v>2683</v>
      </c>
      <c r="F2686" s="64"/>
      <c r="G2686" s="64"/>
      <c r="H2686" s="64" t="s">
        <v>26</v>
      </c>
      <c r="I2686" s="64"/>
      <c r="J2686" s="32" t="str">
        <f>IF(AND(E2686=1,OR(E2685=0,E2685="")),MAX(#REF!)+1,IF(AND(E2686=1,E2685=1),J2685,""))</f>
        <v/>
      </c>
      <c r="K2686" s="32" t="str">
        <f t="shared" si="164"/>
        <v/>
      </c>
      <c r="L2686" s="32" t="str">
        <f t="shared" si="162"/>
        <v/>
      </c>
      <c r="M2686" s="32" t="str">
        <f t="shared" si="163"/>
        <v/>
      </c>
      <c r="N2686" s="4"/>
      <c r="AG2686" t="s">
        <v>2396</v>
      </c>
      <c r="AM2686" s="1"/>
    </row>
    <row r="2687" spans="1:39" x14ac:dyDescent="0.35">
      <c r="A2687">
        <v>2683</v>
      </c>
      <c r="B2687">
        <v>2684</v>
      </c>
      <c r="F2687" s="64"/>
      <c r="G2687" s="64"/>
      <c r="H2687" s="64" t="s">
        <v>26</v>
      </c>
      <c r="I2687" s="64"/>
      <c r="J2687" s="32" t="str">
        <f>IF(AND(E2687=1,OR(E2686=0,E2686="")),MAX(#REF!)+1,IF(AND(E2687=1,E2686=1),J2686,""))</f>
        <v/>
      </c>
      <c r="K2687" s="32" t="str">
        <f t="shared" si="164"/>
        <v/>
      </c>
      <c r="L2687" s="32" t="str">
        <f t="shared" si="162"/>
        <v/>
      </c>
      <c r="M2687" s="32" t="str">
        <f t="shared" si="163"/>
        <v/>
      </c>
      <c r="N2687" s="4"/>
      <c r="AG2687" t="s">
        <v>2397</v>
      </c>
      <c r="AM2687" s="1"/>
    </row>
    <row r="2688" spans="1:39" x14ac:dyDescent="0.35">
      <c r="A2688">
        <v>2684</v>
      </c>
      <c r="B2688">
        <v>2685</v>
      </c>
      <c r="F2688" s="64"/>
      <c r="G2688" s="64"/>
      <c r="H2688" s="64" t="s">
        <v>26</v>
      </c>
      <c r="I2688" s="64"/>
      <c r="J2688" s="32" t="str">
        <f>IF(AND(E2688=1,OR(E2687=0,E2687="")),MAX(#REF!)+1,IF(AND(E2688=1,E2687=1),J2687,""))</f>
        <v/>
      </c>
      <c r="K2688" s="32" t="str">
        <f t="shared" si="164"/>
        <v/>
      </c>
      <c r="L2688" s="32" t="str">
        <f t="shared" si="162"/>
        <v/>
      </c>
      <c r="M2688" s="32" t="str">
        <f t="shared" si="163"/>
        <v/>
      </c>
      <c r="N2688" s="4"/>
      <c r="AG2688" t="s">
        <v>2398</v>
      </c>
      <c r="AM2688" s="1"/>
    </row>
    <row r="2689" spans="1:39" x14ac:dyDescent="0.35">
      <c r="A2689">
        <v>2685</v>
      </c>
      <c r="B2689">
        <v>2686</v>
      </c>
      <c r="F2689" s="64"/>
      <c r="G2689" s="64"/>
      <c r="H2689" s="64" t="s">
        <v>26</v>
      </c>
      <c r="I2689" s="64"/>
      <c r="J2689" s="32" t="str">
        <f>IF(AND(E2689=1,OR(E2688=0,E2688="")),MAX(#REF!)+1,IF(AND(E2689=1,E2688=1),J2688,""))</f>
        <v/>
      </c>
      <c r="K2689" s="32" t="str">
        <f t="shared" si="164"/>
        <v/>
      </c>
      <c r="L2689" s="32" t="str">
        <f t="shared" si="162"/>
        <v/>
      </c>
      <c r="M2689" s="32" t="str">
        <f t="shared" si="163"/>
        <v/>
      </c>
      <c r="N2689" s="4"/>
      <c r="AG2689" t="s">
        <v>2399</v>
      </c>
      <c r="AM2689" s="1"/>
    </row>
    <row r="2690" spans="1:39" x14ac:dyDescent="0.35">
      <c r="A2690">
        <v>2686</v>
      </c>
      <c r="B2690">
        <v>2687</v>
      </c>
      <c r="F2690" s="64"/>
      <c r="G2690" s="64"/>
      <c r="H2690" s="64" t="s">
        <v>26</v>
      </c>
      <c r="I2690" s="64"/>
      <c r="J2690" s="32" t="str">
        <f>IF(AND(E2690=1,OR(E2689=0,E2689="")),MAX(#REF!)+1,IF(AND(E2690=1,E2689=1),J2689,""))</f>
        <v/>
      </c>
      <c r="K2690" s="32" t="str">
        <f t="shared" si="164"/>
        <v/>
      </c>
      <c r="L2690" s="32" t="str">
        <f t="shared" si="162"/>
        <v/>
      </c>
      <c r="M2690" s="32" t="str">
        <f t="shared" si="163"/>
        <v/>
      </c>
      <c r="N2690" s="4"/>
      <c r="AG2690" t="s">
        <v>2400</v>
      </c>
      <c r="AM2690" s="1"/>
    </row>
    <row r="2691" spans="1:39" x14ac:dyDescent="0.35">
      <c r="A2691">
        <v>2687</v>
      </c>
      <c r="B2691">
        <v>2688</v>
      </c>
      <c r="F2691" s="64"/>
      <c r="G2691" s="64"/>
      <c r="H2691" s="64" t="s">
        <v>26</v>
      </c>
      <c r="I2691" s="64"/>
      <c r="J2691" s="32" t="str">
        <f>IF(AND(E2691=1,OR(E2690=0,E2690="")),MAX(#REF!)+1,IF(AND(E2691=1,E2690=1),J2690,""))</f>
        <v/>
      </c>
      <c r="K2691" s="32" t="str">
        <f t="shared" si="164"/>
        <v/>
      </c>
      <c r="L2691" s="32" t="str">
        <f t="shared" si="162"/>
        <v/>
      </c>
      <c r="M2691" s="32" t="str">
        <f t="shared" si="163"/>
        <v/>
      </c>
      <c r="N2691" s="4"/>
      <c r="AG2691" t="s">
        <v>2401</v>
      </c>
      <c r="AM2691" s="1"/>
    </row>
    <row r="2692" spans="1:39" x14ac:dyDescent="0.35">
      <c r="A2692">
        <v>2688</v>
      </c>
      <c r="B2692">
        <v>2689</v>
      </c>
      <c r="F2692" s="64"/>
      <c r="G2692" s="64"/>
      <c r="H2692" s="64" t="s">
        <v>26</v>
      </c>
      <c r="I2692" s="64"/>
      <c r="J2692" s="32" t="str">
        <f>IF(AND(E2692=1,OR(E2691=0,E2691="")),MAX(#REF!)+1,IF(AND(E2692=1,E2691=1),J2691,""))</f>
        <v/>
      </c>
      <c r="K2692" s="32" t="str">
        <f t="shared" si="164"/>
        <v/>
      </c>
      <c r="L2692" s="32" t="str">
        <f t="shared" ref="L2692:L2755" si="165">IF(K2692="","",IF(K2692&gt;=100,"HV",""))</f>
        <v/>
      </c>
      <c r="M2692" s="32" t="str">
        <f t="shared" ref="M2692:M2755" si="166">IF(K2692&lt;&gt;"",K2692^2,"")</f>
        <v/>
      </c>
      <c r="N2692" s="4"/>
      <c r="AG2692" t="s">
        <v>2402</v>
      </c>
      <c r="AM2692" s="1"/>
    </row>
    <row r="2693" spans="1:39" x14ac:dyDescent="0.35">
      <c r="A2693">
        <v>2689</v>
      </c>
      <c r="B2693">
        <v>2690</v>
      </c>
      <c r="F2693" s="64"/>
      <c r="G2693" s="64"/>
      <c r="H2693" s="64" t="s">
        <v>26</v>
      </c>
      <c r="I2693" s="64"/>
      <c r="J2693" s="32" t="str">
        <f>IF(AND(E2693=1,OR(E2692=0,E2692="")),MAX(#REF!)+1,IF(AND(E2693=1,E2692=1),J2692,""))</f>
        <v/>
      </c>
      <c r="K2693" s="32" t="str">
        <f t="shared" si="164"/>
        <v/>
      </c>
      <c r="L2693" s="32" t="str">
        <f t="shared" si="165"/>
        <v/>
      </c>
      <c r="M2693" s="32" t="str">
        <f t="shared" si="166"/>
        <v/>
      </c>
      <c r="N2693" s="4"/>
      <c r="AG2693" t="s">
        <v>2403</v>
      </c>
      <c r="AM2693" s="1"/>
    </row>
    <row r="2694" spans="1:39" x14ac:dyDescent="0.35">
      <c r="A2694">
        <v>2690</v>
      </c>
      <c r="B2694">
        <v>2691</v>
      </c>
      <c r="F2694" s="64"/>
      <c r="G2694" s="64"/>
      <c r="H2694" s="64" t="s">
        <v>26</v>
      </c>
      <c r="I2694" s="64"/>
      <c r="J2694" s="32" t="str">
        <f>IF(AND(E2694=1,OR(E2693=0,E2693="")),MAX(#REF!)+1,IF(AND(E2694=1,E2693=1),J2693,""))</f>
        <v/>
      </c>
      <c r="K2694" s="32" t="str">
        <f t="shared" si="164"/>
        <v/>
      </c>
      <c r="L2694" s="32" t="str">
        <f t="shared" si="165"/>
        <v/>
      </c>
      <c r="M2694" s="32" t="str">
        <f t="shared" si="166"/>
        <v/>
      </c>
      <c r="N2694" s="4"/>
      <c r="AG2694" t="s">
        <v>2404</v>
      </c>
      <c r="AM2694" s="1"/>
    </row>
    <row r="2695" spans="1:39" x14ac:dyDescent="0.35">
      <c r="A2695">
        <v>2691</v>
      </c>
      <c r="B2695">
        <v>2692</v>
      </c>
      <c r="F2695" s="64"/>
      <c r="G2695" s="64"/>
      <c r="H2695" s="64" t="s">
        <v>26</v>
      </c>
      <c r="I2695" s="64"/>
      <c r="J2695" s="32" t="str">
        <f>IF(AND(E2695=1,OR(E2694=0,E2694="")),MAX(#REF!)+1,IF(AND(E2695=1,E2694=1),J2694,""))</f>
        <v/>
      </c>
      <c r="K2695" s="32" t="str">
        <f t="shared" si="164"/>
        <v/>
      </c>
      <c r="L2695" s="32" t="str">
        <f t="shared" si="165"/>
        <v/>
      </c>
      <c r="M2695" s="32" t="str">
        <f t="shared" si="166"/>
        <v/>
      </c>
      <c r="N2695" s="4"/>
      <c r="AG2695" t="s">
        <v>2405</v>
      </c>
      <c r="AM2695" s="1"/>
    </row>
    <row r="2696" spans="1:39" x14ac:dyDescent="0.35">
      <c r="A2696">
        <v>2692</v>
      </c>
      <c r="B2696">
        <v>2693</v>
      </c>
      <c r="F2696" s="64"/>
      <c r="G2696" s="64"/>
      <c r="H2696" s="64" t="s">
        <v>26</v>
      </c>
      <c r="I2696" s="64"/>
      <c r="J2696" s="32" t="str">
        <f>IF(AND(E2696=1,OR(E2695=0,E2695="")),MAX(#REF!)+1,IF(AND(E2696=1,E2695=1),J2695,""))</f>
        <v/>
      </c>
      <c r="K2696" s="32" t="str">
        <f t="shared" si="164"/>
        <v/>
      </c>
      <c r="L2696" s="32" t="str">
        <f t="shared" si="165"/>
        <v/>
      </c>
      <c r="M2696" s="32" t="str">
        <f t="shared" si="166"/>
        <v/>
      </c>
      <c r="N2696" s="4"/>
      <c r="AG2696" t="s">
        <v>2406</v>
      </c>
      <c r="AM2696" s="1"/>
    </row>
    <row r="2697" spans="1:39" x14ac:dyDescent="0.35">
      <c r="A2697">
        <v>2693</v>
      </c>
      <c r="B2697">
        <v>2694</v>
      </c>
      <c r="F2697" s="64"/>
      <c r="G2697" s="64"/>
      <c r="H2697" s="64" t="s">
        <v>26</v>
      </c>
      <c r="I2697" s="64"/>
      <c r="J2697" s="32" t="str">
        <f>IF(AND(E2697=1,OR(E2696=0,E2696="")),MAX(#REF!)+1,IF(AND(E2697=1,E2696=1),J2696,""))</f>
        <v/>
      </c>
      <c r="K2697" s="32" t="str">
        <f t="shared" si="164"/>
        <v/>
      </c>
      <c r="L2697" s="32" t="str">
        <f t="shared" si="165"/>
        <v/>
      </c>
      <c r="M2697" s="32" t="str">
        <f t="shared" si="166"/>
        <v/>
      </c>
      <c r="N2697" s="4"/>
      <c r="AG2697" t="s">
        <v>2407</v>
      </c>
      <c r="AM2697" s="1"/>
    </row>
    <row r="2698" spans="1:39" x14ac:dyDescent="0.35">
      <c r="A2698">
        <v>2694</v>
      </c>
      <c r="B2698">
        <v>2695</v>
      </c>
      <c r="F2698" s="64"/>
      <c r="G2698" s="64"/>
      <c r="H2698" s="64" t="s">
        <v>26</v>
      </c>
      <c r="I2698" s="64"/>
      <c r="J2698" s="32" t="str">
        <f>IF(AND(E2698=1,OR(E2697=0,E2697="")),MAX(#REF!)+1,IF(AND(E2698=1,E2697=1),J2697,""))</f>
        <v/>
      </c>
      <c r="K2698" s="32" t="str">
        <f t="shared" si="164"/>
        <v/>
      </c>
      <c r="L2698" s="32" t="str">
        <f t="shared" si="165"/>
        <v/>
      </c>
      <c r="M2698" s="32" t="str">
        <f t="shared" si="166"/>
        <v/>
      </c>
      <c r="N2698" s="4"/>
      <c r="AG2698" t="s">
        <v>2408</v>
      </c>
      <c r="AM2698" s="1"/>
    </row>
    <row r="2699" spans="1:39" x14ac:dyDescent="0.35">
      <c r="A2699">
        <v>2695</v>
      </c>
      <c r="B2699">
        <v>2696</v>
      </c>
      <c r="F2699" s="64"/>
      <c r="G2699" s="64"/>
      <c r="H2699" s="64" t="s">
        <v>26</v>
      </c>
      <c r="I2699" s="64"/>
      <c r="J2699" s="32" t="str">
        <f>IF(AND(E2699=1,OR(E2698=0,E2698="")),MAX(#REF!)+1,IF(AND(E2699=1,E2698=1),J2698,""))</f>
        <v/>
      </c>
      <c r="K2699" s="32" t="str">
        <f t="shared" si="164"/>
        <v/>
      </c>
      <c r="L2699" s="32" t="str">
        <f t="shared" si="165"/>
        <v/>
      </c>
      <c r="M2699" s="32" t="str">
        <f t="shared" si="166"/>
        <v/>
      </c>
      <c r="N2699" s="4"/>
      <c r="AG2699" t="s">
        <v>2409</v>
      </c>
      <c r="AM2699" s="1"/>
    </row>
    <row r="2700" spans="1:39" x14ac:dyDescent="0.35">
      <c r="A2700">
        <v>2696</v>
      </c>
      <c r="B2700">
        <v>2697</v>
      </c>
      <c r="F2700" s="64"/>
      <c r="G2700" s="64"/>
      <c r="H2700" s="64" t="s">
        <v>26</v>
      </c>
      <c r="I2700" s="64"/>
      <c r="J2700" s="32" t="str">
        <f>IF(AND(E2700=1,OR(E2699=0,E2699="")),MAX(#REF!)+1,IF(AND(E2700=1,E2699=1),J2699,""))</f>
        <v/>
      </c>
      <c r="K2700" s="32" t="str">
        <f t="shared" si="164"/>
        <v/>
      </c>
      <c r="L2700" s="32" t="str">
        <f t="shared" si="165"/>
        <v/>
      </c>
      <c r="M2700" s="32" t="str">
        <f t="shared" si="166"/>
        <v/>
      </c>
      <c r="N2700" s="4"/>
      <c r="AG2700" t="s">
        <v>2410</v>
      </c>
      <c r="AM2700" s="1"/>
    </row>
    <row r="2701" spans="1:39" x14ac:dyDescent="0.35">
      <c r="A2701">
        <v>2697</v>
      </c>
      <c r="B2701">
        <v>2698</v>
      </c>
      <c r="F2701" s="64"/>
      <c r="G2701" s="64"/>
      <c r="H2701" s="64" t="s">
        <v>26</v>
      </c>
      <c r="I2701" s="64"/>
      <c r="J2701" s="32" t="str">
        <f>IF(AND(E2701=1,OR(E2700=0,E2700="")),MAX(#REF!)+1,IF(AND(E2701=1,E2700=1),J2700,""))</f>
        <v/>
      </c>
      <c r="K2701" s="32" t="str">
        <f t="shared" si="164"/>
        <v/>
      </c>
      <c r="L2701" s="32" t="str">
        <f t="shared" si="165"/>
        <v/>
      </c>
      <c r="M2701" s="32" t="str">
        <f t="shared" si="166"/>
        <v/>
      </c>
      <c r="N2701" s="4"/>
      <c r="AG2701" t="s">
        <v>2411</v>
      </c>
      <c r="AM2701" s="1"/>
    </row>
    <row r="2702" spans="1:39" x14ac:dyDescent="0.35">
      <c r="A2702">
        <v>2698</v>
      </c>
      <c r="B2702">
        <v>2699</v>
      </c>
      <c r="F2702" s="64"/>
      <c r="G2702" s="64"/>
      <c r="H2702" s="64" t="s">
        <v>26</v>
      </c>
      <c r="I2702" s="64"/>
      <c r="J2702" s="32" t="str">
        <f>IF(AND(E2702=1,OR(E2701=0,E2701="")),MAX(#REF!)+1,IF(AND(E2702=1,E2701=1),J2701,""))</f>
        <v/>
      </c>
      <c r="K2702" s="32" t="str">
        <f t="shared" si="164"/>
        <v/>
      </c>
      <c r="L2702" s="32" t="str">
        <f t="shared" si="165"/>
        <v/>
      </c>
      <c r="M2702" s="32" t="str">
        <f t="shared" si="166"/>
        <v/>
      </c>
      <c r="N2702" s="4"/>
      <c r="AG2702" t="s">
        <v>2412</v>
      </c>
      <c r="AM2702" s="1"/>
    </row>
    <row r="2703" spans="1:39" x14ac:dyDescent="0.35">
      <c r="A2703">
        <v>2699</v>
      </c>
      <c r="B2703">
        <v>2700</v>
      </c>
      <c r="F2703" s="64"/>
      <c r="G2703" s="64"/>
      <c r="H2703" s="64" t="s">
        <v>26</v>
      </c>
      <c r="I2703" s="64"/>
      <c r="J2703" s="32" t="str">
        <f>IF(AND(E2703=1,OR(E2702=0,E2702="")),MAX(#REF!)+1,IF(AND(E2703=1,E2702=1),J2702,""))</f>
        <v/>
      </c>
      <c r="K2703" s="32" t="str">
        <f t="shared" si="164"/>
        <v/>
      </c>
      <c r="L2703" s="32" t="str">
        <f t="shared" si="165"/>
        <v/>
      </c>
      <c r="M2703" s="32" t="str">
        <f t="shared" si="166"/>
        <v/>
      </c>
      <c r="N2703" s="4"/>
      <c r="AG2703" t="s">
        <v>2413</v>
      </c>
      <c r="AM2703" s="1"/>
    </row>
    <row r="2704" spans="1:39" x14ac:dyDescent="0.35">
      <c r="A2704">
        <v>2700</v>
      </c>
      <c r="B2704">
        <v>2701</v>
      </c>
      <c r="F2704" s="64"/>
      <c r="G2704" s="64"/>
      <c r="H2704" s="64" t="s">
        <v>26</v>
      </c>
      <c r="I2704" s="64"/>
      <c r="J2704" s="32" t="str">
        <f>IF(AND(E2704=1,OR(E2703=0,E2703="")),MAX(#REF!)+1,IF(AND(E2704=1,E2703=1),J2703,""))</f>
        <v/>
      </c>
      <c r="K2704" s="32" t="str">
        <f t="shared" si="164"/>
        <v/>
      </c>
      <c r="L2704" s="32" t="str">
        <f t="shared" si="165"/>
        <v/>
      </c>
      <c r="M2704" s="32" t="str">
        <f t="shared" si="166"/>
        <v/>
      </c>
      <c r="N2704" s="4"/>
      <c r="AG2704" t="s">
        <v>2414</v>
      </c>
      <c r="AM2704" s="1"/>
    </row>
    <row r="2705" spans="1:39" x14ac:dyDescent="0.35">
      <c r="A2705">
        <v>2701</v>
      </c>
      <c r="B2705">
        <v>2702</v>
      </c>
      <c r="F2705" s="64"/>
      <c r="G2705" s="64"/>
      <c r="H2705" s="64" t="s">
        <v>26</v>
      </c>
      <c r="I2705" s="64"/>
      <c r="J2705" s="32" t="str">
        <f>IF(AND(E2705=1,OR(E2704=0,E2704="")),MAX(#REF!)+1,IF(AND(E2705=1,E2704=1),J2704,""))</f>
        <v/>
      </c>
      <c r="K2705" s="32" t="str">
        <f t="shared" si="164"/>
        <v/>
      </c>
      <c r="L2705" s="32" t="str">
        <f t="shared" si="165"/>
        <v/>
      </c>
      <c r="M2705" s="32" t="str">
        <f t="shared" si="166"/>
        <v/>
      </c>
      <c r="N2705" s="4"/>
      <c r="AG2705" t="s">
        <v>2415</v>
      </c>
      <c r="AM2705" s="1"/>
    </row>
    <row r="2706" spans="1:39" x14ac:dyDescent="0.35">
      <c r="A2706">
        <v>2702</v>
      </c>
      <c r="B2706">
        <v>2703</v>
      </c>
      <c r="F2706" s="64"/>
      <c r="G2706" s="64"/>
      <c r="H2706" s="64" t="s">
        <v>26</v>
      </c>
      <c r="I2706" s="64"/>
      <c r="J2706" s="32" t="str">
        <f>IF(AND(E2706=1,OR(E2705=0,E2705="")),MAX(#REF!)+1,IF(AND(E2706=1,E2705=1),J2705,""))</f>
        <v/>
      </c>
      <c r="K2706" s="32" t="str">
        <f t="shared" si="164"/>
        <v/>
      </c>
      <c r="L2706" s="32" t="str">
        <f t="shared" si="165"/>
        <v/>
      </c>
      <c r="M2706" s="32" t="str">
        <f t="shared" si="166"/>
        <v/>
      </c>
      <c r="N2706" s="4"/>
      <c r="AG2706" t="s">
        <v>2416</v>
      </c>
      <c r="AM2706" s="1"/>
    </row>
    <row r="2707" spans="1:39" x14ac:dyDescent="0.35">
      <c r="A2707">
        <v>2703</v>
      </c>
      <c r="B2707">
        <v>2704</v>
      </c>
      <c r="F2707" s="64"/>
      <c r="G2707" s="64"/>
      <c r="H2707" s="64" t="s">
        <v>26</v>
      </c>
      <c r="I2707" s="64"/>
      <c r="J2707" s="32" t="str">
        <f>IF(AND(E2707=1,OR(E2706=0,E2706="")),MAX(#REF!)+1,IF(AND(E2707=1,E2706=1),J2706,""))</f>
        <v/>
      </c>
      <c r="K2707" s="32" t="str">
        <f t="shared" si="164"/>
        <v/>
      </c>
      <c r="L2707" s="32" t="str">
        <f t="shared" si="165"/>
        <v/>
      </c>
      <c r="M2707" s="32" t="str">
        <f t="shared" si="166"/>
        <v/>
      </c>
      <c r="N2707" s="4"/>
      <c r="AG2707" t="s">
        <v>2417</v>
      </c>
      <c r="AM2707" s="1"/>
    </row>
    <row r="2708" spans="1:39" x14ac:dyDescent="0.35">
      <c r="A2708">
        <v>2704</v>
      </c>
      <c r="B2708">
        <v>2705</v>
      </c>
      <c r="F2708" s="64"/>
      <c r="G2708" s="64"/>
      <c r="H2708" s="64" t="s">
        <v>26</v>
      </c>
      <c r="I2708" s="64"/>
      <c r="J2708" s="32" t="str">
        <f>IF(AND(E2708=1,OR(E2707=0,E2707="")),MAX(#REF!)+1,IF(AND(E2708=1,E2707=1),J2707,""))</f>
        <v/>
      </c>
      <c r="K2708" s="32" t="str">
        <f t="shared" si="164"/>
        <v/>
      </c>
      <c r="L2708" s="32" t="str">
        <f t="shared" si="165"/>
        <v/>
      </c>
      <c r="M2708" s="32" t="str">
        <f t="shared" si="166"/>
        <v/>
      </c>
      <c r="N2708" s="4"/>
      <c r="AG2708" t="s">
        <v>2418</v>
      </c>
      <c r="AM2708" s="1"/>
    </row>
    <row r="2709" spans="1:39" x14ac:dyDescent="0.35">
      <c r="A2709">
        <v>2705</v>
      </c>
      <c r="B2709">
        <v>2706</v>
      </c>
      <c r="F2709" s="64"/>
      <c r="G2709" s="64"/>
      <c r="H2709" s="64" t="s">
        <v>26</v>
      </c>
      <c r="I2709" s="64"/>
      <c r="J2709" s="32" t="str">
        <f>IF(AND(E2709=1,OR(E2708=0,E2708="")),MAX(#REF!)+1,IF(AND(E2709=1,E2708=1),J2708,""))</f>
        <v/>
      </c>
      <c r="K2709" s="32" t="str">
        <f t="shared" si="164"/>
        <v/>
      </c>
      <c r="L2709" s="32" t="str">
        <f t="shared" si="165"/>
        <v/>
      </c>
      <c r="M2709" s="32" t="str">
        <f t="shared" si="166"/>
        <v/>
      </c>
      <c r="N2709" s="4"/>
      <c r="AG2709" t="s">
        <v>2419</v>
      </c>
      <c r="AM2709" s="1"/>
    </row>
    <row r="2710" spans="1:39" x14ac:dyDescent="0.35">
      <c r="A2710">
        <v>2706</v>
      </c>
      <c r="B2710">
        <v>2707</v>
      </c>
      <c r="F2710" s="64"/>
      <c r="G2710" s="64"/>
      <c r="H2710" s="64" t="s">
        <v>26</v>
      </c>
      <c r="I2710" s="64"/>
      <c r="J2710" s="32" t="str">
        <f>IF(AND(E2710=1,OR(E2709=0,E2709="")),MAX(#REF!)+1,IF(AND(E2710=1,E2709=1),J2709,""))</f>
        <v/>
      </c>
      <c r="K2710" s="32" t="str">
        <f t="shared" si="164"/>
        <v/>
      </c>
      <c r="L2710" s="32" t="str">
        <f t="shared" si="165"/>
        <v/>
      </c>
      <c r="M2710" s="32" t="str">
        <f t="shared" si="166"/>
        <v/>
      </c>
      <c r="N2710" s="4"/>
      <c r="AG2710" t="s">
        <v>2420</v>
      </c>
      <c r="AM2710" s="1"/>
    </row>
    <row r="2711" spans="1:39" x14ac:dyDescent="0.35">
      <c r="A2711">
        <v>2707</v>
      </c>
      <c r="B2711">
        <v>2708</v>
      </c>
      <c r="F2711" s="64"/>
      <c r="G2711" s="64"/>
      <c r="H2711" s="64" t="s">
        <v>26</v>
      </c>
      <c r="I2711" s="64"/>
      <c r="J2711" s="32" t="str">
        <f>IF(AND(E2711=1,OR(E2710=0,E2710="")),MAX(#REF!)+1,IF(AND(E2711=1,E2710=1),J2710,""))</f>
        <v/>
      </c>
      <c r="K2711" s="32" t="str">
        <f t="shared" si="164"/>
        <v/>
      </c>
      <c r="L2711" s="32" t="str">
        <f t="shared" si="165"/>
        <v/>
      </c>
      <c r="M2711" s="32" t="str">
        <f t="shared" si="166"/>
        <v/>
      </c>
      <c r="N2711" s="4"/>
      <c r="AG2711" t="s">
        <v>2421</v>
      </c>
      <c r="AM2711" s="1"/>
    </row>
    <row r="2712" spans="1:39" x14ac:dyDescent="0.35">
      <c r="A2712">
        <v>2708</v>
      </c>
      <c r="B2712">
        <v>2709</v>
      </c>
      <c r="F2712" s="64"/>
      <c r="G2712" s="64"/>
      <c r="H2712" s="64" t="s">
        <v>26</v>
      </c>
      <c r="I2712" s="64"/>
      <c r="J2712" s="32" t="str">
        <f>IF(AND(E2712=1,OR(E2711=0,E2711="")),MAX(#REF!)+1,IF(AND(E2712=1,E2711=1),J2711,""))</f>
        <v/>
      </c>
      <c r="K2712" s="32" t="str">
        <f t="shared" si="164"/>
        <v/>
      </c>
      <c r="L2712" s="32" t="str">
        <f t="shared" si="165"/>
        <v/>
      </c>
      <c r="M2712" s="32" t="str">
        <f t="shared" si="166"/>
        <v/>
      </c>
      <c r="N2712" s="4"/>
      <c r="AG2712" t="s">
        <v>2422</v>
      </c>
      <c r="AM2712" s="1"/>
    </row>
    <row r="2713" spans="1:39" x14ac:dyDescent="0.35">
      <c r="A2713">
        <v>2709</v>
      </c>
      <c r="B2713">
        <v>2710</v>
      </c>
      <c r="F2713" s="64"/>
      <c r="G2713" s="64"/>
      <c r="H2713" s="64" t="s">
        <v>26</v>
      </c>
      <c r="I2713" s="64"/>
      <c r="J2713" s="32" t="str">
        <f>IF(AND(E2713=1,OR(E2712=0,E2712="")),MAX(#REF!)+1,IF(AND(E2713=1,E2712=1),J2712,""))</f>
        <v/>
      </c>
      <c r="K2713" s="32" t="str">
        <f t="shared" si="164"/>
        <v/>
      </c>
      <c r="L2713" s="32" t="str">
        <f t="shared" si="165"/>
        <v/>
      </c>
      <c r="M2713" s="32" t="str">
        <f t="shared" si="166"/>
        <v/>
      </c>
      <c r="N2713" s="4"/>
      <c r="AG2713" t="s">
        <v>2423</v>
      </c>
      <c r="AM2713" s="1"/>
    </row>
    <row r="2714" spans="1:39" x14ac:dyDescent="0.35">
      <c r="A2714">
        <v>2710</v>
      </c>
      <c r="B2714">
        <v>2711</v>
      </c>
      <c r="F2714" s="64"/>
      <c r="G2714" s="64"/>
      <c r="H2714" s="64" t="s">
        <v>26</v>
      </c>
      <c r="I2714" s="64"/>
      <c r="J2714" s="32" t="str">
        <f>IF(AND(E2714=1,OR(E2713=0,E2713="")),MAX(#REF!)+1,IF(AND(E2714=1,E2713=1),J2713,""))</f>
        <v/>
      </c>
      <c r="K2714" s="32" t="str">
        <f t="shared" si="164"/>
        <v/>
      </c>
      <c r="L2714" s="32" t="str">
        <f t="shared" si="165"/>
        <v/>
      </c>
      <c r="M2714" s="32" t="str">
        <f t="shared" si="166"/>
        <v/>
      </c>
      <c r="N2714" s="4"/>
      <c r="AG2714" t="s">
        <v>2424</v>
      </c>
      <c r="AM2714" s="1"/>
    </row>
    <row r="2715" spans="1:39" x14ac:dyDescent="0.35">
      <c r="A2715">
        <v>2711</v>
      </c>
      <c r="B2715">
        <v>2712</v>
      </c>
      <c r="F2715" s="64"/>
      <c r="G2715" s="64"/>
      <c r="H2715" s="64" t="s">
        <v>26</v>
      </c>
      <c r="I2715" s="64"/>
      <c r="J2715" s="32" t="str">
        <f>IF(AND(E2715=1,OR(E2714=0,E2714="")),MAX(#REF!)+1,IF(AND(E2715=1,E2714=1),J2714,""))</f>
        <v/>
      </c>
      <c r="K2715" s="32" t="str">
        <f t="shared" si="164"/>
        <v/>
      </c>
      <c r="L2715" s="32" t="str">
        <f t="shared" si="165"/>
        <v/>
      </c>
      <c r="M2715" s="32" t="str">
        <f t="shared" si="166"/>
        <v/>
      </c>
      <c r="N2715" s="4"/>
      <c r="AG2715" t="s">
        <v>2425</v>
      </c>
      <c r="AM2715" s="1"/>
    </row>
    <row r="2716" spans="1:39" x14ac:dyDescent="0.35">
      <c r="A2716">
        <v>2712</v>
      </c>
      <c r="B2716">
        <v>2713</v>
      </c>
      <c r="F2716" s="64"/>
      <c r="G2716" s="64"/>
      <c r="H2716" s="64" t="s">
        <v>26</v>
      </c>
      <c r="I2716" s="64"/>
      <c r="J2716" s="32" t="str">
        <f>IF(AND(E2716=1,OR(E2715=0,E2715="")),MAX(#REF!)+1,IF(AND(E2716=1,E2715=1),J2715,""))</f>
        <v/>
      </c>
      <c r="K2716" s="32" t="str">
        <f t="shared" si="164"/>
        <v/>
      </c>
      <c r="L2716" s="32" t="str">
        <f t="shared" si="165"/>
        <v/>
      </c>
      <c r="M2716" s="32" t="str">
        <f t="shared" si="166"/>
        <v/>
      </c>
      <c r="N2716" s="4"/>
      <c r="AG2716" t="s">
        <v>2426</v>
      </c>
      <c r="AM2716" s="1"/>
    </row>
    <row r="2717" spans="1:39" x14ac:dyDescent="0.35">
      <c r="A2717">
        <v>2713</v>
      </c>
      <c r="B2717">
        <v>2714</v>
      </c>
      <c r="F2717" s="64"/>
      <c r="G2717" s="64"/>
      <c r="H2717" s="64" t="s">
        <v>26</v>
      </c>
      <c r="I2717" s="64"/>
      <c r="J2717" s="32" t="str">
        <f>IF(AND(E2717=1,OR(E2716=0,E2716="")),MAX(#REF!)+1,IF(AND(E2717=1,E2716=1),J2716,""))</f>
        <v/>
      </c>
      <c r="K2717" s="32" t="str">
        <f t="shared" si="164"/>
        <v/>
      </c>
      <c r="L2717" s="32" t="str">
        <f t="shared" si="165"/>
        <v/>
      </c>
      <c r="M2717" s="32" t="str">
        <f t="shared" si="166"/>
        <v/>
      </c>
      <c r="N2717" s="4"/>
      <c r="AG2717" t="s">
        <v>2427</v>
      </c>
      <c r="AM2717" s="1"/>
    </row>
    <row r="2718" spans="1:39" x14ac:dyDescent="0.35">
      <c r="A2718">
        <v>2714</v>
      </c>
      <c r="B2718">
        <v>2715</v>
      </c>
      <c r="F2718" s="64"/>
      <c r="G2718" s="64"/>
      <c r="H2718" s="64" t="s">
        <v>26</v>
      </c>
      <c r="I2718" s="64"/>
      <c r="J2718" s="32" t="str">
        <f>IF(AND(E2718=1,OR(E2717=0,E2717="")),MAX(#REF!)+1,IF(AND(E2718=1,E2717=1),J2717,""))</f>
        <v/>
      </c>
      <c r="K2718" s="32" t="str">
        <f t="shared" si="164"/>
        <v/>
      </c>
      <c r="L2718" s="32" t="str">
        <f t="shared" si="165"/>
        <v/>
      </c>
      <c r="M2718" s="32" t="str">
        <f t="shared" si="166"/>
        <v/>
      </c>
      <c r="N2718" s="4"/>
      <c r="AG2718" t="s">
        <v>2428</v>
      </c>
      <c r="AM2718" s="1"/>
    </row>
    <row r="2719" spans="1:39" x14ac:dyDescent="0.35">
      <c r="A2719">
        <v>2715</v>
      </c>
      <c r="B2719">
        <v>2716</v>
      </c>
      <c r="F2719" s="64"/>
      <c r="G2719" s="64"/>
      <c r="H2719" s="64" t="s">
        <v>26</v>
      </c>
      <c r="I2719" s="64"/>
      <c r="J2719" s="32" t="str">
        <f>IF(AND(E2719=1,OR(E2718=0,E2718="")),MAX(#REF!)+1,IF(AND(E2719=1,E2718=1),J2718,""))</f>
        <v/>
      </c>
      <c r="K2719" s="32" t="str">
        <f t="shared" ref="K2719:K2782" si="167">IF(J2719="","",COUNTIF(J:J,J2719)*10)</f>
        <v/>
      </c>
      <c r="L2719" s="32" t="str">
        <f t="shared" si="165"/>
        <v/>
      </c>
      <c r="M2719" s="32" t="str">
        <f t="shared" si="166"/>
        <v/>
      </c>
      <c r="N2719" s="4"/>
      <c r="AG2719" t="s">
        <v>2429</v>
      </c>
      <c r="AM2719" s="1"/>
    </row>
    <row r="2720" spans="1:39" x14ac:dyDescent="0.35">
      <c r="A2720">
        <v>2716</v>
      </c>
      <c r="B2720">
        <v>2717</v>
      </c>
      <c r="F2720" s="64"/>
      <c r="G2720" s="64"/>
      <c r="H2720" s="64" t="s">
        <v>26</v>
      </c>
      <c r="I2720" s="64"/>
      <c r="J2720" s="32" t="str">
        <f>IF(AND(E2720=1,OR(E2719=0,E2719="")),MAX(#REF!)+1,IF(AND(E2720=1,E2719=1),J2719,""))</f>
        <v/>
      </c>
      <c r="K2720" s="32" t="str">
        <f t="shared" si="167"/>
        <v/>
      </c>
      <c r="L2720" s="32" t="str">
        <f t="shared" si="165"/>
        <v/>
      </c>
      <c r="M2720" s="32" t="str">
        <f t="shared" si="166"/>
        <v/>
      </c>
      <c r="N2720" s="4"/>
      <c r="AG2720" t="s">
        <v>2430</v>
      </c>
      <c r="AM2720" s="1"/>
    </row>
    <row r="2721" spans="1:39" x14ac:dyDescent="0.35">
      <c r="A2721">
        <v>2717</v>
      </c>
      <c r="B2721">
        <v>2718</v>
      </c>
      <c r="F2721" s="64"/>
      <c r="G2721" s="64"/>
      <c r="H2721" s="64" t="s">
        <v>26</v>
      </c>
      <c r="I2721" s="64"/>
      <c r="J2721" s="32" t="str">
        <f>IF(AND(E2721=1,OR(E2720=0,E2720="")),MAX(#REF!)+1,IF(AND(E2721=1,E2720=1),J2720,""))</f>
        <v/>
      </c>
      <c r="K2721" s="32" t="str">
        <f t="shared" si="167"/>
        <v/>
      </c>
      <c r="L2721" s="32" t="str">
        <f t="shared" si="165"/>
        <v/>
      </c>
      <c r="M2721" s="32" t="str">
        <f t="shared" si="166"/>
        <v/>
      </c>
      <c r="N2721" s="4"/>
      <c r="AG2721" t="s">
        <v>2431</v>
      </c>
      <c r="AM2721" s="1"/>
    </row>
    <row r="2722" spans="1:39" x14ac:dyDescent="0.35">
      <c r="A2722">
        <v>2718</v>
      </c>
      <c r="B2722">
        <v>2719</v>
      </c>
      <c r="F2722" s="64"/>
      <c r="G2722" s="64"/>
      <c r="H2722" s="64" t="s">
        <v>26</v>
      </c>
      <c r="I2722" s="64"/>
      <c r="J2722" s="32" t="str">
        <f>IF(AND(E2722=1,OR(E2721=0,E2721="")),MAX(#REF!)+1,IF(AND(E2722=1,E2721=1),J2721,""))</f>
        <v/>
      </c>
      <c r="K2722" s="32" t="str">
        <f t="shared" si="167"/>
        <v/>
      </c>
      <c r="L2722" s="32" t="str">
        <f t="shared" si="165"/>
        <v/>
      </c>
      <c r="M2722" s="32" t="str">
        <f t="shared" si="166"/>
        <v/>
      </c>
      <c r="N2722" s="4"/>
      <c r="AG2722" t="s">
        <v>2432</v>
      </c>
      <c r="AM2722" s="1"/>
    </row>
    <row r="2723" spans="1:39" x14ac:dyDescent="0.35">
      <c r="A2723">
        <v>2719</v>
      </c>
      <c r="B2723">
        <v>2720</v>
      </c>
      <c r="F2723" s="64"/>
      <c r="G2723" s="64"/>
      <c r="H2723" s="64" t="s">
        <v>26</v>
      </c>
      <c r="I2723" s="64"/>
      <c r="J2723" s="32" t="str">
        <f>IF(AND(E2723=1,OR(E2722=0,E2722="")),MAX(#REF!)+1,IF(AND(E2723=1,E2722=1),J2722,""))</f>
        <v/>
      </c>
      <c r="K2723" s="32" t="str">
        <f t="shared" si="167"/>
        <v/>
      </c>
      <c r="L2723" s="32" t="str">
        <f t="shared" si="165"/>
        <v/>
      </c>
      <c r="M2723" s="32" t="str">
        <f t="shared" si="166"/>
        <v/>
      </c>
      <c r="N2723" s="4"/>
      <c r="AG2723" t="s">
        <v>2433</v>
      </c>
      <c r="AM2723" s="1"/>
    </row>
    <row r="2724" spans="1:39" x14ac:dyDescent="0.35">
      <c r="A2724">
        <v>2720</v>
      </c>
      <c r="B2724">
        <v>2721</v>
      </c>
      <c r="F2724" s="64"/>
      <c r="G2724" s="64"/>
      <c r="H2724" s="64" t="s">
        <v>26</v>
      </c>
      <c r="I2724" s="64"/>
      <c r="J2724" s="32" t="str">
        <f>IF(AND(E2724=1,OR(E2723=0,E2723="")),MAX(#REF!)+1,IF(AND(E2724=1,E2723=1),J2723,""))</f>
        <v/>
      </c>
      <c r="K2724" s="32" t="str">
        <f t="shared" si="167"/>
        <v/>
      </c>
      <c r="L2724" s="32" t="str">
        <f t="shared" si="165"/>
        <v/>
      </c>
      <c r="M2724" s="32" t="str">
        <f t="shared" si="166"/>
        <v/>
      </c>
      <c r="N2724" s="4"/>
      <c r="AG2724" t="s">
        <v>2434</v>
      </c>
      <c r="AM2724" s="1"/>
    </row>
    <row r="2725" spans="1:39" x14ac:dyDescent="0.35">
      <c r="A2725">
        <v>2721</v>
      </c>
      <c r="B2725">
        <v>2722</v>
      </c>
      <c r="F2725" s="64"/>
      <c r="G2725" s="64"/>
      <c r="H2725" s="64" t="s">
        <v>26</v>
      </c>
      <c r="I2725" s="64"/>
      <c r="J2725" s="32" t="str">
        <f>IF(AND(E2725=1,OR(E2724=0,E2724="")),MAX(#REF!)+1,IF(AND(E2725=1,E2724=1),J2724,""))</f>
        <v/>
      </c>
      <c r="K2725" s="32" t="str">
        <f t="shared" si="167"/>
        <v/>
      </c>
      <c r="L2725" s="32" t="str">
        <f t="shared" si="165"/>
        <v/>
      </c>
      <c r="M2725" s="32" t="str">
        <f t="shared" si="166"/>
        <v/>
      </c>
      <c r="N2725" s="4"/>
      <c r="AG2725" t="s">
        <v>2435</v>
      </c>
      <c r="AM2725" s="1"/>
    </row>
    <row r="2726" spans="1:39" x14ac:dyDescent="0.35">
      <c r="A2726">
        <v>2722</v>
      </c>
      <c r="B2726">
        <v>2723</v>
      </c>
      <c r="F2726" s="64"/>
      <c r="G2726" s="64"/>
      <c r="H2726" s="64" t="s">
        <v>26</v>
      </c>
      <c r="I2726" s="64"/>
      <c r="J2726" s="32" t="str">
        <f>IF(AND(E2726=1,OR(E2725=0,E2725="")),MAX(#REF!)+1,IF(AND(E2726=1,E2725=1),J2725,""))</f>
        <v/>
      </c>
      <c r="K2726" s="32" t="str">
        <f t="shared" si="167"/>
        <v/>
      </c>
      <c r="L2726" s="32" t="str">
        <f t="shared" si="165"/>
        <v/>
      </c>
      <c r="M2726" s="32" t="str">
        <f t="shared" si="166"/>
        <v/>
      </c>
      <c r="N2726" s="4"/>
      <c r="AG2726" t="s">
        <v>2436</v>
      </c>
      <c r="AM2726" s="1"/>
    </row>
    <row r="2727" spans="1:39" x14ac:dyDescent="0.35">
      <c r="A2727">
        <v>2723</v>
      </c>
      <c r="B2727">
        <v>2724</v>
      </c>
      <c r="F2727" s="64"/>
      <c r="G2727" s="64"/>
      <c r="H2727" s="64" t="s">
        <v>26</v>
      </c>
      <c r="I2727" s="64"/>
      <c r="J2727" s="32" t="str">
        <f>IF(AND(E2727=1,OR(E2726=0,E2726="")),MAX(#REF!)+1,IF(AND(E2727=1,E2726=1),J2726,""))</f>
        <v/>
      </c>
      <c r="K2727" s="32" t="str">
        <f t="shared" si="167"/>
        <v/>
      </c>
      <c r="L2727" s="32" t="str">
        <f t="shared" si="165"/>
        <v/>
      </c>
      <c r="M2727" s="32" t="str">
        <f t="shared" si="166"/>
        <v/>
      </c>
      <c r="N2727" s="4"/>
      <c r="AG2727" t="s">
        <v>2437</v>
      </c>
      <c r="AM2727" s="1"/>
    </row>
    <row r="2728" spans="1:39" x14ac:dyDescent="0.35">
      <c r="A2728">
        <v>2724</v>
      </c>
      <c r="B2728">
        <v>2725</v>
      </c>
      <c r="F2728" s="64"/>
      <c r="G2728" s="64"/>
      <c r="H2728" s="64" t="s">
        <v>26</v>
      </c>
      <c r="I2728" s="64"/>
      <c r="J2728" s="32" t="str">
        <f>IF(AND(E2728=1,OR(E2727=0,E2727="")),MAX(#REF!)+1,IF(AND(E2728=1,E2727=1),J2727,""))</f>
        <v/>
      </c>
      <c r="K2728" s="32" t="str">
        <f t="shared" si="167"/>
        <v/>
      </c>
      <c r="L2728" s="32" t="str">
        <f t="shared" si="165"/>
        <v/>
      </c>
      <c r="M2728" s="32" t="str">
        <f t="shared" si="166"/>
        <v/>
      </c>
      <c r="N2728" s="4"/>
      <c r="AG2728" t="s">
        <v>2438</v>
      </c>
      <c r="AM2728" s="1"/>
    </row>
    <row r="2729" spans="1:39" x14ac:dyDescent="0.35">
      <c r="A2729">
        <v>2725</v>
      </c>
      <c r="B2729">
        <v>2726</v>
      </c>
      <c r="F2729" s="64"/>
      <c r="G2729" s="64"/>
      <c r="H2729" s="64" t="s">
        <v>26</v>
      </c>
      <c r="I2729" s="64"/>
      <c r="J2729" s="32" t="str">
        <f>IF(AND(E2729=1,OR(E2728=0,E2728="")),MAX(#REF!)+1,IF(AND(E2729=1,E2728=1),J2728,""))</f>
        <v/>
      </c>
      <c r="K2729" s="32" t="str">
        <f t="shared" si="167"/>
        <v/>
      </c>
      <c r="L2729" s="32" t="str">
        <f t="shared" si="165"/>
        <v/>
      </c>
      <c r="M2729" s="32" t="str">
        <f t="shared" si="166"/>
        <v/>
      </c>
      <c r="N2729" s="4"/>
      <c r="AG2729" t="s">
        <v>2439</v>
      </c>
      <c r="AM2729" s="1"/>
    </row>
    <row r="2730" spans="1:39" x14ac:dyDescent="0.35">
      <c r="A2730">
        <v>2726</v>
      </c>
      <c r="B2730">
        <v>2727</v>
      </c>
      <c r="F2730" s="64"/>
      <c r="G2730" s="64"/>
      <c r="H2730" s="64" t="s">
        <v>26</v>
      </c>
      <c r="I2730" s="64"/>
      <c r="J2730" s="32" t="str">
        <f>IF(AND(E2730=1,OR(E2729=0,E2729="")),MAX(#REF!)+1,IF(AND(E2730=1,E2729=1),J2729,""))</f>
        <v/>
      </c>
      <c r="K2730" s="32" t="str">
        <f t="shared" si="167"/>
        <v/>
      </c>
      <c r="L2730" s="32" t="str">
        <f t="shared" si="165"/>
        <v/>
      </c>
      <c r="M2730" s="32" t="str">
        <f t="shared" si="166"/>
        <v/>
      </c>
      <c r="N2730" s="4"/>
      <c r="AG2730" t="s">
        <v>2440</v>
      </c>
      <c r="AM2730" s="1"/>
    </row>
    <row r="2731" spans="1:39" x14ac:dyDescent="0.35">
      <c r="A2731">
        <v>2727</v>
      </c>
      <c r="B2731">
        <v>2728</v>
      </c>
      <c r="F2731" s="64"/>
      <c r="G2731" s="64"/>
      <c r="H2731" s="64" t="s">
        <v>26</v>
      </c>
      <c r="I2731" s="64"/>
      <c r="J2731" s="32" t="str">
        <f>IF(AND(E2731=1,OR(E2730=0,E2730="")),MAX(#REF!)+1,IF(AND(E2731=1,E2730=1),J2730,""))</f>
        <v/>
      </c>
      <c r="K2731" s="32" t="str">
        <f t="shared" si="167"/>
        <v/>
      </c>
      <c r="L2731" s="32" t="str">
        <f t="shared" si="165"/>
        <v/>
      </c>
      <c r="M2731" s="32" t="str">
        <f t="shared" si="166"/>
        <v/>
      </c>
      <c r="N2731" s="4"/>
      <c r="AG2731" t="s">
        <v>2441</v>
      </c>
      <c r="AM2731" s="1"/>
    </row>
    <row r="2732" spans="1:39" x14ac:dyDescent="0.35">
      <c r="A2732">
        <v>2728</v>
      </c>
      <c r="B2732">
        <v>2729</v>
      </c>
      <c r="F2732" s="64"/>
      <c r="G2732" s="64"/>
      <c r="H2732" s="64" t="s">
        <v>26</v>
      </c>
      <c r="I2732" s="64"/>
      <c r="J2732" s="32" t="str">
        <f>IF(AND(E2732=1,OR(E2731=0,E2731="")),MAX(#REF!)+1,IF(AND(E2732=1,E2731=1),J2731,""))</f>
        <v/>
      </c>
      <c r="K2732" s="32" t="str">
        <f t="shared" si="167"/>
        <v/>
      </c>
      <c r="L2732" s="32" t="str">
        <f t="shared" si="165"/>
        <v/>
      </c>
      <c r="M2732" s="32" t="str">
        <f t="shared" si="166"/>
        <v/>
      </c>
      <c r="N2732" s="4"/>
      <c r="AG2732" t="s">
        <v>2442</v>
      </c>
      <c r="AM2732" s="1"/>
    </row>
    <row r="2733" spans="1:39" x14ac:dyDescent="0.35">
      <c r="A2733">
        <v>2729</v>
      </c>
      <c r="B2733">
        <v>2730</v>
      </c>
      <c r="F2733" s="64"/>
      <c r="G2733" s="64"/>
      <c r="H2733" s="64" t="s">
        <v>26</v>
      </c>
      <c r="I2733" s="64"/>
      <c r="J2733" s="32" t="str">
        <f>IF(AND(E2733=1,OR(E2732=0,E2732="")),MAX(#REF!)+1,IF(AND(E2733=1,E2732=1),J2732,""))</f>
        <v/>
      </c>
      <c r="K2733" s="32" t="str">
        <f t="shared" si="167"/>
        <v/>
      </c>
      <c r="L2733" s="32" t="str">
        <f t="shared" si="165"/>
        <v/>
      </c>
      <c r="M2733" s="32" t="str">
        <f t="shared" si="166"/>
        <v/>
      </c>
      <c r="N2733" s="4"/>
      <c r="AG2733" t="s">
        <v>2443</v>
      </c>
      <c r="AM2733" s="1"/>
    </row>
    <row r="2734" spans="1:39" x14ac:dyDescent="0.35">
      <c r="A2734">
        <v>2730</v>
      </c>
      <c r="B2734">
        <v>2731</v>
      </c>
      <c r="F2734" s="64"/>
      <c r="G2734" s="64"/>
      <c r="H2734" s="64" t="s">
        <v>26</v>
      </c>
      <c r="I2734" s="64"/>
      <c r="J2734" s="32" t="str">
        <f>IF(AND(E2734=1,OR(E2733=0,E2733="")),MAX(#REF!)+1,IF(AND(E2734=1,E2733=1),J2733,""))</f>
        <v/>
      </c>
      <c r="K2734" s="32" t="str">
        <f t="shared" si="167"/>
        <v/>
      </c>
      <c r="L2734" s="32" t="str">
        <f t="shared" si="165"/>
        <v/>
      </c>
      <c r="M2734" s="32" t="str">
        <f t="shared" si="166"/>
        <v/>
      </c>
      <c r="N2734" s="4"/>
      <c r="AG2734" t="s">
        <v>2444</v>
      </c>
      <c r="AM2734" s="1"/>
    </row>
    <row r="2735" spans="1:39" x14ac:dyDescent="0.35">
      <c r="A2735">
        <v>2731</v>
      </c>
      <c r="B2735">
        <v>2732</v>
      </c>
      <c r="F2735" s="64"/>
      <c r="G2735" s="64"/>
      <c r="H2735" s="64" t="s">
        <v>26</v>
      </c>
      <c r="I2735" s="64"/>
      <c r="J2735" s="32" t="str">
        <f>IF(AND(E2735=1,OR(E2734=0,E2734="")),MAX(#REF!)+1,IF(AND(E2735=1,E2734=1),J2734,""))</f>
        <v/>
      </c>
      <c r="K2735" s="32" t="str">
        <f t="shared" si="167"/>
        <v/>
      </c>
      <c r="L2735" s="32" t="str">
        <f t="shared" si="165"/>
        <v/>
      </c>
      <c r="M2735" s="32" t="str">
        <f t="shared" si="166"/>
        <v/>
      </c>
      <c r="N2735" s="4"/>
      <c r="AG2735" t="s">
        <v>2445</v>
      </c>
      <c r="AM2735" s="1"/>
    </row>
    <row r="2736" spans="1:39" x14ac:dyDescent="0.35">
      <c r="A2736">
        <v>2732</v>
      </c>
      <c r="B2736">
        <v>2733</v>
      </c>
      <c r="F2736" s="64"/>
      <c r="G2736" s="64"/>
      <c r="H2736" s="64" t="s">
        <v>26</v>
      </c>
      <c r="I2736" s="64"/>
      <c r="J2736" s="32" t="str">
        <f>IF(AND(E2736=1,OR(E2735=0,E2735="")),MAX(#REF!)+1,IF(AND(E2736=1,E2735=1),J2735,""))</f>
        <v/>
      </c>
      <c r="K2736" s="32" t="str">
        <f t="shared" si="167"/>
        <v/>
      </c>
      <c r="L2736" s="32" t="str">
        <f t="shared" si="165"/>
        <v/>
      </c>
      <c r="M2736" s="32" t="str">
        <f t="shared" si="166"/>
        <v/>
      </c>
      <c r="N2736" s="4"/>
      <c r="AG2736" t="s">
        <v>2446</v>
      </c>
      <c r="AM2736" s="1"/>
    </row>
    <row r="2737" spans="1:39" x14ac:dyDescent="0.35">
      <c r="A2737">
        <v>2733</v>
      </c>
      <c r="B2737">
        <v>2734</v>
      </c>
      <c r="F2737" s="64"/>
      <c r="G2737" s="64"/>
      <c r="H2737" s="64" t="s">
        <v>26</v>
      </c>
      <c r="I2737" s="64"/>
      <c r="J2737" s="32" t="str">
        <f>IF(AND(E2737=1,OR(E2736=0,E2736="")),MAX(#REF!)+1,IF(AND(E2737=1,E2736=1),J2736,""))</f>
        <v/>
      </c>
      <c r="K2737" s="32" t="str">
        <f t="shared" si="167"/>
        <v/>
      </c>
      <c r="L2737" s="32" t="str">
        <f t="shared" si="165"/>
        <v/>
      </c>
      <c r="M2737" s="32" t="str">
        <f t="shared" si="166"/>
        <v/>
      </c>
      <c r="N2737" s="4"/>
      <c r="AG2737" t="s">
        <v>2447</v>
      </c>
      <c r="AM2737" s="1"/>
    </row>
    <row r="2738" spans="1:39" x14ac:dyDescent="0.35">
      <c r="A2738">
        <v>2734</v>
      </c>
      <c r="B2738">
        <v>2735</v>
      </c>
      <c r="F2738" s="64"/>
      <c r="G2738" s="64"/>
      <c r="H2738" s="64" t="s">
        <v>26</v>
      </c>
      <c r="I2738" s="64"/>
      <c r="J2738" s="32" t="str">
        <f>IF(AND(E2738=1,OR(E2737=0,E2737="")),MAX(#REF!)+1,IF(AND(E2738=1,E2737=1),J2737,""))</f>
        <v/>
      </c>
      <c r="K2738" s="32" t="str">
        <f t="shared" si="167"/>
        <v/>
      </c>
      <c r="L2738" s="32" t="str">
        <f t="shared" si="165"/>
        <v/>
      </c>
      <c r="M2738" s="32" t="str">
        <f t="shared" si="166"/>
        <v/>
      </c>
      <c r="N2738" s="4"/>
      <c r="AG2738" t="s">
        <v>2448</v>
      </c>
      <c r="AM2738" s="1"/>
    </row>
    <row r="2739" spans="1:39" x14ac:dyDescent="0.35">
      <c r="A2739">
        <v>2735</v>
      </c>
      <c r="B2739">
        <v>2736</v>
      </c>
      <c r="F2739" s="64"/>
      <c r="G2739" s="64"/>
      <c r="H2739" s="64" t="s">
        <v>26</v>
      </c>
      <c r="I2739" s="64"/>
      <c r="J2739" s="32" t="str">
        <f>IF(AND(E2739=1,OR(E2738=0,E2738="")),MAX(#REF!)+1,IF(AND(E2739=1,E2738=1),J2738,""))</f>
        <v/>
      </c>
      <c r="K2739" s="32" t="str">
        <f t="shared" si="167"/>
        <v/>
      </c>
      <c r="L2739" s="32" t="str">
        <f t="shared" si="165"/>
        <v/>
      </c>
      <c r="M2739" s="32" t="str">
        <f t="shared" si="166"/>
        <v/>
      </c>
      <c r="N2739" s="4"/>
      <c r="AG2739" t="s">
        <v>2449</v>
      </c>
      <c r="AM2739" s="1"/>
    </row>
    <row r="2740" spans="1:39" x14ac:dyDescent="0.35">
      <c r="A2740">
        <v>2736</v>
      </c>
      <c r="B2740">
        <v>2737</v>
      </c>
      <c r="F2740" s="64"/>
      <c r="G2740" s="64"/>
      <c r="H2740" s="64" t="s">
        <v>26</v>
      </c>
      <c r="I2740" s="64"/>
      <c r="J2740" s="32" t="str">
        <f>IF(AND(E2740=1,OR(E2739=0,E2739="")),MAX(#REF!)+1,IF(AND(E2740=1,E2739=1),J2739,""))</f>
        <v/>
      </c>
      <c r="K2740" s="32" t="str">
        <f t="shared" si="167"/>
        <v/>
      </c>
      <c r="L2740" s="32" t="str">
        <f t="shared" si="165"/>
        <v/>
      </c>
      <c r="M2740" s="32" t="str">
        <f t="shared" si="166"/>
        <v/>
      </c>
      <c r="N2740" s="4"/>
      <c r="AG2740" t="s">
        <v>2450</v>
      </c>
      <c r="AM2740" s="1"/>
    </row>
    <row r="2741" spans="1:39" x14ac:dyDescent="0.35">
      <c r="A2741">
        <v>2737</v>
      </c>
      <c r="B2741">
        <v>2738</v>
      </c>
      <c r="F2741" s="64"/>
      <c r="G2741" s="64"/>
      <c r="H2741" s="64" t="s">
        <v>26</v>
      </c>
      <c r="I2741" s="64"/>
      <c r="J2741" s="32" t="str">
        <f>IF(AND(E2741=1,OR(E2740=0,E2740="")),MAX(#REF!)+1,IF(AND(E2741=1,E2740=1),J2740,""))</f>
        <v/>
      </c>
      <c r="K2741" s="32" t="str">
        <f t="shared" si="167"/>
        <v/>
      </c>
      <c r="L2741" s="32" t="str">
        <f t="shared" si="165"/>
        <v/>
      </c>
      <c r="M2741" s="32" t="str">
        <f t="shared" si="166"/>
        <v/>
      </c>
      <c r="N2741" s="4"/>
      <c r="AG2741" t="s">
        <v>2451</v>
      </c>
      <c r="AM2741" s="1"/>
    </row>
    <row r="2742" spans="1:39" x14ac:dyDescent="0.35">
      <c r="A2742">
        <v>2738</v>
      </c>
      <c r="B2742">
        <v>2739</v>
      </c>
      <c r="F2742" s="64"/>
      <c r="G2742" s="64"/>
      <c r="H2742" s="64" t="s">
        <v>26</v>
      </c>
      <c r="I2742" s="64"/>
      <c r="J2742" s="32" t="str">
        <f>IF(AND(E2742=1,OR(E2741=0,E2741="")),MAX(#REF!)+1,IF(AND(E2742=1,E2741=1),J2741,""))</f>
        <v/>
      </c>
      <c r="K2742" s="32" t="str">
        <f t="shared" si="167"/>
        <v/>
      </c>
      <c r="L2742" s="32" t="str">
        <f t="shared" si="165"/>
        <v/>
      </c>
      <c r="M2742" s="32" t="str">
        <f t="shared" si="166"/>
        <v/>
      </c>
      <c r="N2742" s="4"/>
      <c r="AG2742" t="s">
        <v>2452</v>
      </c>
      <c r="AM2742" s="1"/>
    </row>
    <row r="2743" spans="1:39" x14ac:dyDescent="0.35">
      <c r="A2743">
        <v>2739</v>
      </c>
      <c r="B2743">
        <v>2740</v>
      </c>
      <c r="F2743" s="64"/>
      <c r="G2743" s="64"/>
      <c r="H2743" s="64" t="s">
        <v>26</v>
      </c>
      <c r="I2743" s="64"/>
      <c r="J2743" s="32" t="str">
        <f>IF(AND(E2743=1,OR(E2742=0,E2742="")),MAX(#REF!)+1,IF(AND(E2743=1,E2742=1),J2742,""))</f>
        <v/>
      </c>
      <c r="K2743" s="32" t="str">
        <f t="shared" si="167"/>
        <v/>
      </c>
      <c r="L2743" s="32" t="str">
        <f t="shared" si="165"/>
        <v/>
      </c>
      <c r="M2743" s="32" t="str">
        <f t="shared" si="166"/>
        <v/>
      </c>
      <c r="N2743" s="4"/>
      <c r="AG2743" t="s">
        <v>2453</v>
      </c>
      <c r="AM2743" s="1"/>
    </row>
    <row r="2744" spans="1:39" x14ac:dyDescent="0.35">
      <c r="A2744">
        <v>2740</v>
      </c>
      <c r="B2744">
        <v>2741</v>
      </c>
      <c r="F2744" s="64"/>
      <c r="G2744" s="64"/>
      <c r="H2744" s="64" t="s">
        <v>26</v>
      </c>
      <c r="I2744" s="64"/>
      <c r="J2744" s="32" t="str">
        <f>IF(AND(E2744=1,OR(E2743=0,E2743="")),MAX(#REF!)+1,IF(AND(E2744=1,E2743=1),J2743,""))</f>
        <v/>
      </c>
      <c r="K2744" s="32" t="str">
        <f t="shared" si="167"/>
        <v/>
      </c>
      <c r="L2744" s="32" t="str">
        <f t="shared" si="165"/>
        <v/>
      </c>
      <c r="M2744" s="32" t="str">
        <f t="shared" si="166"/>
        <v/>
      </c>
      <c r="N2744" s="4"/>
      <c r="AG2744" t="s">
        <v>2454</v>
      </c>
      <c r="AM2744" s="1"/>
    </row>
    <row r="2745" spans="1:39" x14ac:dyDescent="0.35">
      <c r="A2745">
        <v>2741</v>
      </c>
      <c r="B2745">
        <v>2742</v>
      </c>
      <c r="F2745" s="64"/>
      <c r="G2745" s="64"/>
      <c r="H2745" s="64" t="s">
        <v>26</v>
      </c>
      <c r="I2745" s="64"/>
      <c r="J2745" s="32" t="str">
        <f>IF(AND(E2745=1,OR(E2744=0,E2744="")),MAX(#REF!)+1,IF(AND(E2745=1,E2744=1),J2744,""))</f>
        <v/>
      </c>
      <c r="K2745" s="32" t="str">
        <f t="shared" si="167"/>
        <v/>
      </c>
      <c r="L2745" s="32" t="str">
        <f t="shared" si="165"/>
        <v/>
      </c>
      <c r="M2745" s="32" t="str">
        <f t="shared" si="166"/>
        <v/>
      </c>
      <c r="N2745" s="4"/>
      <c r="AG2745" t="s">
        <v>2455</v>
      </c>
      <c r="AM2745" s="1"/>
    </row>
    <row r="2746" spans="1:39" x14ac:dyDescent="0.35">
      <c r="A2746">
        <v>2742</v>
      </c>
      <c r="B2746">
        <v>2743</v>
      </c>
      <c r="F2746" s="64"/>
      <c r="G2746" s="64"/>
      <c r="H2746" s="64" t="s">
        <v>26</v>
      </c>
      <c r="I2746" s="64"/>
      <c r="J2746" s="32" t="str">
        <f>IF(AND(E2746=1,OR(E2745=0,E2745="")),MAX(#REF!)+1,IF(AND(E2746=1,E2745=1),J2745,""))</f>
        <v/>
      </c>
      <c r="K2746" s="32" t="str">
        <f t="shared" si="167"/>
        <v/>
      </c>
      <c r="L2746" s="32" t="str">
        <f t="shared" si="165"/>
        <v/>
      </c>
      <c r="M2746" s="32" t="str">
        <f t="shared" si="166"/>
        <v/>
      </c>
      <c r="N2746" s="4"/>
      <c r="AG2746" t="s">
        <v>2456</v>
      </c>
      <c r="AM2746" s="1"/>
    </row>
    <row r="2747" spans="1:39" x14ac:dyDescent="0.35">
      <c r="A2747">
        <v>2743</v>
      </c>
      <c r="B2747">
        <v>2744</v>
      </c>
      <c r="F2747" s="64"/>
      <c r="G2747" s="64"/>
      <c r="H2747" s="64" t="s">
        <v>26</v>
      </c>
      <c r="I2747" s="64"/>
      <c r="J2747" s="32" t="str">
        <f>IF(AND(E2747=1,OR(E2746=0,E2746="")),MAX(#REF!)+1,IF(AND(E2747=1,E2746=1),J2746,""))</f>
        <v/>
      </c>
      <c r="K2747" s="32" t="str">
        <f t="shared" si="167"/>
        <v/>
      </c>
      <c r="L2747" s="32" t="str">
        <f t="shared" si="165"/>
        <v/>
      </c>
      <c r="M2747" s="32" t="str">
        <f t="shared" si="166"/>
        <v/>
      </c>
      <c r="N2747" s="4"/>
      <c r="AG2747" t="s">
        <v>2457</v>
      </c>
      <c r="AM2747" s="1"/>
    </row>
    <row r="2748" spans="1:39" x14ac:dyDescent="0.35">
      <c r="A2748">
        <v>2744</v>
      </c>
      <c r="B2748">
        <v>2745</v>
      </c>
      <c r="F2748" s="64"/>
      <c r="G2748" s="64"/>
      <c r="H2748" s="64" t="s">
        <v>26</v>
      </c>
      <c r="I2748" s="64"/>
      <c r="J2748" s="32" t="str">
        <f>IF(AND(E2748=1,OR(E2747=0,E2747="")),MAX(#REF!)+1,IF(AND(E2748=1,E2747=1),J2747,""))</f>
        <v/>
      </c>
      <c r="K2748" s="32" t="str">
        <f t="shared" si="167"/>
        <v/>
      </c>
      <c r="L2748" s="32" t="str">
        <f t="shared" si="165"/>
        <v/>
      </c>
      <c r="M2748" s="32" t="str">
        <f t="shared" si="166"/>
        <v/>
      </c>
      <c r="N2748" s="4"/>
      <c r="AG2748" t="s">
        <v>2458</v>
      </c>
      <c r="AM2748" s="1"/>
    </row>
    <row r="2749" spans="1:39" x14ac:dyDescent="0.35">
      <c r="A2749">
        <v>2745</v>
      </c>
      <c r="B2749">
        <v>2746</v>
      </c>
      <c r="F2749" s="64"/>
      <c r="G2749" s="64"/>
      <c r="H2749" s="64" t="s">
        <v>26</v>
      </c>
      <c r="I2749" s="64"/>
      <c r="J2749" s="32" t="str">
        <f>IF(AND(E2749=1,OR(E2748=0,E2748="")),MAX(#REF!)+1,IF(AND(E2749=1,E2748=1),J2748,""))</f>
        <v/>
      </c>
      <c r="K2749" s="32" t="str">
        <f t="shared" si="167"/>
        <v/>
      </c>
      <c r="L2749" s="32" t="str">
        <f t="shared" si="165"/>
        <v/>
      </c>
      <c r="M2749" s="32" t="str">
        <f t="shared" si="166"/>
        <v/>
      </c>
      <c r="N2749" s="4"/>
      <c r="AG2749" t="s">
        <v>2459</v>
      </c>
      <c r="AM2749" s="1"/>
    </row>
    <row r="2750" spans="1:39" x14ac:dyDescent="0.35">
      <c r="A2750">
        <v>2746</v>
      </c>
      <c r="B2750">
        <v>2747</v>
      </c>
      <c r="F2750" s="64"/>
      <c r="G2750" s="64"/>
      <c r="H2750" s="64" t="s">
        <v>26</v>
      </c>
      <c r="I2750" s="64"/>
      <c r="J2750" s="32" t="str">
        <f>IF(AND(E2750=1,OR(E2749=0,E2749="")),MAX(#REF!)+1,IF(AND(E2750=1,E2749=1),J2749,""))</f>
        <v/>
      </c>
      <c r="K2750" s="32" t="str">
        <f t="shared" si="167"/>
        <v/>
      </c>
      <c r="L2750" s="32" t="str">
        <f t="shared" si="165"/>
        <v/>
      </c>
      <c r="M2750" s="32" t="str">
        <f t="shared" si="166"/>
        <v/>
      </c>
      <c r="N2750" s="4"/>
      <c r="AG2750" t="s">
        <v>2460</v>
      </c>
      <c r="AM2750" s="1"/>
    </row>
    <row r="2751" spans="1:39" x14ac:dyDescent="0.35">
      <c r="A2751">
        <v>2747</v>
      </c>
      <c r="B2751">
        <v>2748</v>
      </c>
      <c r="F2751" s="64"/>
      <c r="G2751" s="64"/>
      <c r="H2751" s="64" t="s">
        <v>26</v>
      </c>
      <c r="I2751" s="64"/>
      <c r="J2751" s="32" t="str">
        <f>IF(AND(E2751=1,OR(E2750=0,E2750="")),MAX(#REF!)+1,IF(AND(E2751=1,E2750=1),J2750,""))</f>
        <v/>
      </c>
      <c r="K2751" s="32" t="str">
        <f t="shared" si="167"/>
        <v/>
      </c>
      <c r="L2751" s="32" t="str">
        <f t="shared" si="165"/>
        <v/>
      </c>
      <c r="M2751" s="32" t="str">
        <f t="shared" si="166"/>
        <v/>
      </c>
      <c r="N2751" s="4"/>
      <c r="AG2751" t="s">
        <v>2461</v>
      </c>
      <c r="AM2751" s="1"/>
    </row>
    <row r="2752" spans="1:39" x14ac:dyDescent="0.35">
      <c r="A2752">
        <v>2748</v>
      </c>
      <c r="B2752">
        <v>2749</v>
      </c>
      <c r="F2752" s="64"/>
      <c r="G2752" s="64"/>
      <c r="H2752" s="64" t="s">
        <v>26</v>
      </c>
      <c r="I2752" s="64"/>
      <c r="J2752" s="32" t="str">
        <f>IF(AND(E2752=1,OR(E2751=0,E2751="")),MAX(#REF!)+1,IF(AND(E2752=1,E2751=1),J2751,""))</f>
        <v/>
      </c>
      <c r="K2752" s="32" t="str">
        <f t="shared" si="167"/>
        <v/>
      </c>
      <c r="L2752" s="32" t="str">
        <f t="shared" si="165"/>
        <v/>
      </c>
      <c r="M2752" s="32" t="str">
        <f t="shared" si="166"/>
        <v/>
      </c>
      <c r="N2752" s="4"/>
      <c r="AG2752" t="s">
        <v>2462</v>
      </c>
      <c r="AM2752" s="1"/>
    </row>
    <row r="2753" spans="1:39" x14ac:dyDescent="0.35">
      <c r="A2753">
        <v>2749</v>
      </c>
      <c r="B2753">
        <v>2750</v>
      </c>
      <c r="F2753" s="64"/>
      <c r="G2753" s="64"/>
      <c r="H2753" s="64" t="s">
        <v>26</v>
      </c>
      <c r="I2753" s="64"/>
      <c r="J2753" s="32" t="str">
        <f>IF(AND(E2753=1,OR(E2752=0,E2752="")),MAX(#REF!)+1,IF(AND(E2753=1,E2752=1),J2752,""))</f>
        <v/>
      </c>
      <c r="K2753" s="32" t="str">
        <f t="shared" si="167"/>
        <v/>
      </c>
      <c r="L2753" s="32" t="str">
        <f t="shared" si="165"/>
        <v/>
      </c>
      <c r="M2753" s="32" t="str">
        <f t="shared" si="166"/>
        <v/>
      </c>
      <c r="N2753" s="4"/>
      <c r="AG2753" t="s">
        <v>2463</v>
      </c>
      <c r="AM2753" s="1"/>
    </row>
    <row r="2754" spans="1:39" x14ac:dyDescent="0.35">
      <c r="A2754">
        <v>2750</v>
      </c>
      <c r="B2754">
        <v>2751</v>
      </c>
      <c r="F2754" s="64"/>
      <c r="G2754" s="64"/>
      <c r="H2754" s="64" t="s">
        <v>26</v>
      </c>
      <c r="I2754" s="64"/>
      <c r="J2754" s="32" t="str">
        <f>IF(AND(E2754=1,OR(E2753=0,E2753="")),MAX(#REF!)+1,IF(AND(E2754=1,E2753=1),J2753,""))</f>
        <v/>
      </c>
      <c r="K2754" s="32" t="str">
        <f t="shared" si="167"/>
        <v/>
      </c>
      <c r="L2754" s="32" t="str">
        <f t="shared" si="165"/>
        <v/>
      </c>
      <c r="M2754" s="32" t="str">
        <f t="shared" si="166"/>
        <v/>
      </c>
      <c r="N2754" s="4"/>
      <c r="AG2754" t="s">
        <v>2464</v>
      </c>
      <c r="AM2754" s="1"/>
    </row>
    <row r="2755" spans="1:39" x14ac:dyDescent="0.35">
      <c r="A2755">
        <v>2751</v>
      </c>
      <c r="B2755">
        <v>2752</v>
      </c>
      <c r="F2755" s="64"/>
      <c r="G2755" s="64"/>
      <c r="H2755" s="64" t="s">
        <v>26</v>
      </c>
      <c r="I2755" s="64"/>
      <c r="J2755" s="32" t="str">
        <f>IF(AND(E2755=1,OR(E2754=0,E2754="")),MAX(#REF!)+1,IF(AND(E2755=1,E2754=1),J2754,""))</f>
        <v/>
      </c>
      <c r="K2755" s="32" t="str">
        <f t="shared" si="167"/>
        <v/>
      </c>
      <c r="L2755" s="32" t="str">
        <f t="shared" si="165"/>
        <v/>
      </c>
      <c r="M2755" s="32" t="str">
        <f t="shared" si="166"/>
        <v/>
      </c>
      <c r="N2755" s="4"/>
      <c r="AG2755" t="s">
        <v>2465</v>
      </c>
      <c r="AM2755" s="1"/>
    </row>
    <row r="2756" spans="1:39" x14ac:dyDescent="0.35">
      <c r="A2756">
        <v>2752</v>
      </c>
      <c r="B2756">
        <v>2753</v>
      </c>
      <c r="F2756" s="64"/>
      <c r="G2756" s="64"/>
      <c r="H2756" s="64" t="s">
        <v>26</v>
      </c>
      <c r="I2756" s="64"/>
      <c r="J2756" s="32" t="str">
        <f>IF(AND(E2756=1,OR(E2755=0,E2755="")),MAX(#REF!)+1,IF(AND(E2756=1,E2755=1),J2755,""))</f>
        <v/>
      </c>
      <c r="K2756" s="32" t="str">
        <f t="shared" si="167"/>
        <v/>
      </c>
      <c r="L2756" s="32" t="str">
        <f t="shared" ref="L2756:L2819" si="168">IF(K2756="","",IF(K2756&gt;=100,"HV",""))</f>
        <v/>
      </c>
      <c r="M2756" s="32" t="str">
        <f t="shared" ref="M2756:M2819" si="169">IF(K2756&lt;&gt;"",K2756^2,"")</f>
        <v/>
      </c>
      <c r="N2756" s="4"/>
      <c r="AG2756" t="s">
        <v>2466</v>
      </c>
      <c r="AM2756" s="1"/>
    </row>
    <row r="2757" spans="1:39" x14ac:dyDescent="0.35">
      <c r="A2757">
        <v>2753</v>
      </c>
      <c r="B2757">
        <v>2754</v>
      </c>
      <c r="F2757" s="64"/>
      <c r="G2757" s="64"/>
      <c r="H2757" s="64" t="s">
        <v>26</v>
      </c>
      <c r="I2757" s="64"/>
      <c r="J2757" s="32" t="str">
        <f>IF(AND(E2757=1,OR(E2756=0,E2756="")),MAX(#REF!)+1,IF(AND(E2757=1,E2756=1),J2756,""))</f>
        <v/>
      </c>
      <c r="K2757" s="32" t="str">
        <f t="shared" si="167"/>
        <v/>
      </c>
      <c r="L2757" s="32" t="str">
        <f t="shared" si="168"/>
        <v/>
      </c>
      <c r="M2757" s="32" t="str">
        <f t="shared" si="169"/>
        <v/>
      </c>
      <c r="N2757" s="4"/>
      <c r="AG2757" t="s">
        <v>2467</v>
      </c>
      <c r="AM2757" s="1"/>
    </row>
    <row r="2758" spans="1:39" x14ac:dyDescent="0.35">
      <c r="A2758">
        <v>2754</v>
      </c>
      <c r="B2758">
        <v>2755</v>
      </c>
      <c r="F2758" s="64"/>
      <c r="G2758" s="64"/>
      <c r="H2758" s="64" t="s">
        <v>26</v>
      </c>
      <c r="I2758" s="64"/>
      <c r="J2758" s="32" t="str">
        <f>IF(AND(E2758=1,OR(E2757=0,E2757="")),MAX(#REF!)+1,IF(AND(E2758=1,E2757=1),J2757,""))</f>
        <v/>
      </c>
      <c r="K2758" s="32" t="str">
        <f t="shared" si="167"/>
        <v/>
      </c>
      <c r="L2758" s="32" t="str">
        <f t="shared" si="168"/>
        <v/>
      </c>
      <c r="M2758" s="32" t="str">
        <f t="shared" si="169"/>
        <v/>
      </c>
      <c r="N2758" s="4"/>
      <c r="AG2758" t="s">
        <v>2468</v>
      </c>
      <c r="AM2758" s="1"/>
    </row>
    <row r="2759" spans="1:39" x14ac:dyDescent="0.35">
      <c r="A2759">
        <v>2755</v>
      </c>
      <c r="B2759">
        <v>2756</v>
      </c>
      <c r="F2759" s="64"/>
      <c r="G2759" s="64"/>
      <c r="H2759" s="64" t="s">
        <v>26</v>
      </c>
      <c r="I2759" s="64"/>
      <c r="J2759" s="32" t="str">
        <f>IF(AND(E2759=1,OR(E2758=0,E2758="")),MAX(#REF!)+1,IF(AND(E2759=1,E2758=1),J2758,""))</f>
        <v/>
      </c>
      <c r="K2759" s="32" t="str">
        <f t="shared" si="167"/>
        <v/>
      </c>
      <c r="L2759" s="32" t="str">
        <f t="shared" si="168"/>
        <v/>
      </c>
      <c r="M2759" s="32" t="str">
        <f t="shared" si="169"/>
        <v/>
      </c>
      <c r="N2759" s="4"/>
      <c r="AG2759" t="s">
        <v>2469</v>
      </c>
      <c r="AM2759" s="1"/>
    </row>
    <row r="2760" spans="1:39" x14ac:dyDescent="0.35">
      <c r="A2760">
        <v>2756</v>
      </c>
      <c r="B2760">
        <v>2757</v>
      </c>
      <c r="F2760" s="64"/>
      <c r="G2760" s="64"/>
      <c r="H2760" s="64" t="s">
        <v>26</v>
      </c>
      <c r="I2760" s="64"/>
      <c r="J2760" s="32" t="str">
        <f>IF(AND(E2760=1,OR(E2759=0,E2759="")),MAX(#REF!)+1,IF(AND(E2760=1,E2759=1),J2759,""))</f>
        <v/>
      </c>
      <c r="K2760" s="32" t="str">
        <f t="shared" si="167"/>
        <v/>
      </c>
      <c r="L2760" s="32" t="str">
        <f t="shared" si="168"/>
        <v/>
      </c>
      <c r="M2760" s="32" t="str">
        <f t="shared" si="169"/>
        <v/>
      </c>
      <c r="N2760" s="4"/>
      <c r="AG2760" t="s">
        <v>2470</v>
      </c>
      <c r="AM2760" s="1"/>
    </row>
    <row r="2761" spans="1:39" x14ac:dyDescent="0.35">
      <c r="A2761">
        <v>2757</v>
      </c>
      <c r="B2761">
        <v>2758</v>
      </c>
      <c r="F2761" s="64"/>
      <c r="G2761" s="64"/>
      <c r="H2761" s="64" t="s">
        <v>26</v>
      </c>
      <c r="I2761" s="64"/>
      <c r="J2761" s="32" t="str">
        <f>IF(AND(E2761=1,OR(E2760=0,E2760="")),MAX(#REF!)+1,IF(AND(E2761=1,E2760=1),J2760,""))</f>
        <v/>
      </c>
      <c r="K2761" s="32" t="str">
        <f t="shared" si="167"/>
        <v/>
      </c>
      <c r="L2761" s="32" t="str">
        <f t="shared" si="168"/>
        <v/>
      </c>
      <c r="M2761" s="32" t="str">
        <f t="shared" si="169"/>
        <v/>
      </c>
      <c r="N2761" s="4"/>
      <c r="AG2761" t="s">
        <v>2471</v>
      </c>
      <c r="AM2761" s="1"/>
    </row>
    <row r="2762" spans="1:39" x14ac:dyDescent="0.35">
      <c r="A2762">
        <v>2758</v>
      </c>
      <c r="B2762">
        <v>2759</v>
      </c>
      <c r="F2762" s="64"/>
      <c r="G2762" s="64"/>
      <c r="H2762" s="64" t="s">
        <v>26</v>
      </c>
      <c r="I2762" s="64"/>
      <c r="J2762" s="32" t="str">
        <f>IF(AND(E2762=1,OR(E2761=0,E2761="")),MAX(#REF!)+1,IF(AND(E2762=1,E2761=1),J2761,""))</f>
        <v/>
      </c>
      <c r="K2762" s="32" t="str">
        <f t="shared" si="167"/>
        <v/>
      </c>
      <c r="L2762" s="32" t="str">
        <f t="shared" si="168"/>
        <v/>
      </c>
      <c r="M2762" s="32" t="str">
        <f t="shared" si="169"/>
        <v/>
      </c>
      <c r="N2762" s="4"/>
      <c r="AG2762" t="s">
        <v>2472</v>
      </c>
      <c r="AM2762" s="1"/>
    </row>
    <row r="2763" spans="1:39" x14ac:dyDescent="0.35">
      <c r="A2763">
        <v>2759</v>
      </c>
      <c r="B2763">
        <v>2760</v>
      </c>
      <c r="F2763" s="64"/>
      <c r="G2763" s="64"/>
      <c r="H2763" s="64" t="s">
        <v>26</v>
      </c>
      <c r="I2763" s="64"/>
      <c r="J2763" s="32" t="str">
        <f>IF(AND(E2763=1,OR(E2762=0,E2762="")),MAX(#REF!)+1,IF(AND(E2763=1,E2762=1),J2762,""))</f>
        <v/>
      </c>
      <c r="K2763" s="32" t="str">
        <f t="shared" si="167"/>
        <v/>
      </c>
      <c r="L2763" s="32" t="str">
        <f t="shared" si="168"/>
        <v/>
      </c>
      <c r="M2763" s="32" t="str">
        <f t="shared" si="169"/>
        <v/>
      </c>
      <c r="N2763" s="4"/>
      <c r="AG2763" t="s">
        <v>2473</v>
      </c>
      <c r="AM2763" s="1"/>
    </row>
    <row r="2764" spans="1:39" x14ac:dyDescent="0.35">
      <c r="A2764">
        <v>2760</v>
      </c>
      <c r="B2764">
        <v>2761</v>
      </c>
      <c r="F2764" s="64"/>
      <c r="G2764" s="64"/>
      <c r="H2764" s="64" t="s">
        <v>26</v>
      </c>
      <c r="I2764" s="64"/>
      <c r="J2764" s="32" t="str">
        <f>IF(AND(E2764=1,OR(E2763=0,E2763="")),MAX(#REF!)+1,IF(AND(E2764=1,E2763=1),J2763,""))</f>
        <v/>
      </c>
      <c r="K2764" s="32" t="str">
        <f t="shared" si="167"/>
        <v/>
      </c>
      <c r="L2764" s="32" t="str">
        <f t="shared" si="168"/>
        <v/>
      </c>
      <c r="M2764" s="32" t="str">
        <f t="shared" si="169"/>
        <v/>
      </c>
      <c r="N2764" s="4"/>
      <c r="AG2764" t="s">
        <v>2474</v>
      </c>
      <c r="AM2764" s="1"/>
    </row>
    <row r="2765" spans="1:39" x14ac:dyDescent="0.35">
      <c r="A2765">
        <v>2761</v>
      </c>
      <c r="B2765">
        <v>2762</v>
      </c>
      <c r="F2765" s="64"/>
      <c r="G2765" s="64"/>
      <c r="H2765" s="64" t="s">
        <v>26</v>
      </c>
      <c r="I2765" s="64"/>
      <c r="J2765" s="32" t="str">
        <f>IF(AND(E2765=1,OR(E2764=0,E2764="")),MAX(#REF!)+1,IF(AND(E2765=1,E2764=1),J2764,""))</f>
        <v/>
      </c>
      <c r="K2765" s="32" t="str">
        <f t="shared" si="167"/>
        <v/>
      </c>
      <c r="L2765" s="32" t="str">
        <f t="shared" si="168"/>
        <v/>
      </c>
      <c r="M2765" s="32" t="str">
        <f t="shared" si="169"/>
        <v/>
      </c>
      <c r="N2765" s="4"/>
      <c r="AG2765" t="s">
        <v>2475</v>
      </c>
      <c r="AM2765" s="1"/>
    </row>
    <row r="2766" spans="1:39" x14ac:dyDescent="0.35">
      <c r="A2766">
        <v>2762</v>
      </c>
      <c r="B2766">
        <v>2763</v>
      </c>
      <c r="F2766" s="64"/>
      <c r="G2766" s="64"/>
      <c r="H2766" s="64" t="s">
        <v>26</v>
      </c>
      <c r="I2766" s="64"/>
      <c r="J2766" s="32" t="str">
        <f>IF(AND(E2766=1,OR(E2765=0,E2765="")),MAX(#REF!)+1,IF(AND(E2766=1,E2765=1),J2765,""))</f>
        <v/>
      </c>
      <c r="K2766" s="32" t="str">
        <f t="shared" si="167"/>
        <v/>
      </c>
      <c r="L2766" s="32" t="str">
        <f t="shared" si="168"/>
        <v/>
      </c>
      <c r="M2766" s="32" t="str">
        <f t="shared" si="169"/>
        <v/>
      </c>
      <c r="N2766" s="4"/>
      <c r="AG2766" t="s">
        <v>2476</v>
      </c>
      <c r="AM2766" s="1"/>
    </row>
    <row r="2767" spans="1:39" x14ac:dyDescent="0.35">
      <c r="A2767">
        <v>2763</v>
      </c>
      <c r="B2767">
        <v>2764</v>
      </c>
      <c r="F2767" s="64"/>
      <c r="G2767" s="64"/>
      <c r="H2767" s="64" t="s">
        <v>26</v>
      </c>
      <c r="I2767" s="64"/>
      <c r="J2767" s="32" t="str">
        <f>IF(AND(E2767=1,OR(E2766=0,E2766="")),MAX(#REF!)+1,IF(AND(E2767=1,E2766=1),J2766,""))</f>
        <v/>
      </c>
      <c r="K2767" s="32" t="str">
        <f t="shared" si="167"/>
        <v/>
      </c>
      <c r="L2767" s="32" t="str">
        <f t="shared" si="168"/>
        <v/>
      </c>
      <c r="M2767" s="32" t="str">
        <f t="shared" si="169"/>
        <v/>
      </c>
      <c r="N2767" s="4"/>
      <c r="AG2767" t="s">
        <v>2477</v>
      </c>
      <c r="AM2767" s="1"/>
    </row>
    <row r="2768" spans="1:39" x14ac:dyDescent="0.35">
      <c r="A2768">
        <v>2764</v>
      </c>
      <c r="B2768">
        <v>2765</v>
      </c>
      <c r="F2768" s="64"/>
      <c r="G2768" s="64"/>
      <c r="H2768" s="64" t="s">
        <v>26</v>
      </c>
      <c r="I2768" s="64"/>
      <c r="J2768" s="32" t="str">
        <f>IF(AND(E2768=1,OR(E2767=0,E2767="")),MAX(#REF!)+1,IF(AND(E2768=1,E2767=1),J2767,""))</f>
        <v/>
      </c>
      <c r="K2768" s="32" t="str">
        <f t="shared" si="167"/>
        <v/>
      </c>
      <c r="L2768" s="32" t="str">
        <f t="shared" si="168"/>
        <v/>
      </c>
      <c r="M2768" s="32" t="str">
        <f t="shared" si="169"/>
        <v/>
      </c>
      <c r="N2768" s="4"/>
      <c r="AG2768" t="s">
        <v>2478</v>
      </c>
      <c r="AM2768" s="1"/>
    </row>
    <row r="2769" spans="1:39" x14ac:dyDescent="0.35">
      <c r="A2769">
        <v>2765</v>
      </c>
      <c r="B2769">
        <v>2766</v>
      </c>
      <c r="F2769" s="64"/>
      <c r="G2769" s="64"/>
      <c r="H2769" s="64" t="s">
        <v>26</v>
      </c>
      <c r="I2769" s="64"/>
      <c r="J2769" s="32" t="str">
        <f>IF(AND(E2769=1,OR(E2768=0,E2768="")),MAX(#REF!)+1,IF(AND(E2769=1,E2768=1),J2768,""))</f>
        <v/>
      </c>
      <c r="K2769" s="32" t="str">
        <f t="shared" si="167"/>
        <v/>
      </c>
      <c r="L2769" s="32" t="str">
        <f t="shared" si="168"/>
        <v/>
      </c>
      <c r="M2769" s="32" t="str">
        <f t="shared" si="169"/>
        <v/>
      </c>
      <c r="N2769" s="4"/>
      <c r="AG2769" t="s">
        <v>2479</v>
      </c>
      <c r="AM2769" s="1"/>
    </row>
    <row r="2770" spans="1:39" x14ac:dyDescent="0.35">
      <c r="A2770">
        <v>2766</v>
      </c>
      <c r="B2770">
        <v>2767</v>
      </c>
      <c r="F2770" s="64"/>
      <c r="G2770" s="64"/>
      <c r="H2770" s="64" t="s">
        <v>26</v>
      </c>
      <c r="I2770" s="64"/>
      <c r="J2770" s="32" t="str">
        <f>IF(AND(E2770=1,OR(E2769=0,E2769="")),MAX(#REF!)+1,IF(AND(E2770=1,E2769=1),J2769,""))</f>
        <v/>
      </c>
      <c r="K2770" s="32" t="str">
        <f t="shared" si="167"/>
        <v/>
      </c>
      <c r="L2770" s="32" t="str">
        <f t="shared" si="168"/>
        <v/>
      </c>
      <c r="M2770" s="32" t="str">
        <f t="shared" si="169"/>
        <v/>
      </c>
      <c r="N2770" s="4"/>
      <c r="AG2770" t="s">
        <v>2480</v>
      </c>
      <c r="AM2770" s="1"/>
    </row>
    <row r="2771" spans="1:39" x14ac:dyDescent="0.35">
      <c r="A2771">
        <v>2767</v>
      </c>
      <c r="B2771">
        <v>2768</v>
      </c>
      <c r="F2771" s="64"/>
      <c r="G2771" s="64"/>
      <c r="H2771" s="64" t="s">
        <v>26</v>
      </c>
      <c r="I2771" s="64"/>
      <c r="J2771" s="32" t="str">
        <f>IF(AND(E2771=1,OR(E2770=0,E2770="")),MAX(#REF!)+1,IF(AND(E2771=1,E2770=1),J2770,""))</f>
        <v/>
      </c>
      <c r="K2771" s="32" t="str">
        <f t="shared" si="167"/>
        <v/>
      </c>
      <c r="L2771" s="32" t="str">
        <f t="shared" si="168"/>
        <v/>
      </c>
      <c r="M2771" s="32" t="str">
        <f t="shared" si="169"/>
        <v/>
      </c>
      <c r="N2771" s="4"/>
      <c r="AG2771" t="s">
        <v>2481</v>
      </c>
      <c r="AM2771" s="1"/>
    </row>
    <row r="2772" spans="1:39" x14ac:dyDescent="0.35">
      <c r="A2772">
        <v>2768</v>
      </c>
      <c r="B2772">
        <v>2769</v>
      </c>
      <c r="F2772" s="64"/>
      <c r="G2772" s="64"/>
      <c r="H2772" s="64" t="s">
        <v>26</v>
      </c>
      <c r="I2772" s="64"/>
      <c r="J2772" s="32" t="str">
        <f>IF(AND(E2772=1,OR(E2771=0,E2771="")),MAX(#REF!)+1,IF(AND(E2772=1,E2771=1),J2771,""))</f>
        <v/>
      </c>
      <c r="K2772" s="32" t="str">
        <f t="shared" si="167"/>
        <v/>
      </c>
      <c r="L2772" s="32" t="str">
        <f t="shared" si="168"/>
        <v/>
      </c>
      <c r="M2772" s="32" t="str">
        <f t="shared" si="169"/>
        <v/>
      </c>
      <c r="N2772" s="4"/>
      <c r="AG2772" t="s">
        <v>2482</v>
      </c>
      <c r="AM2772" s="1"/>
    </row>
    <row r="2773" spans="1:39" x14ac:dyDescent="0.35">
      <c r="A2773">
        <v>2769</v>
      </c>
      <c r="B2773">
        <v>2770</v>
      </c>
      <c r="F2773" s="64"/>
      <c r="G2773" s="64"/>
      <c r="H2773" s="64" t="s">
        <v>26</v>
      </c>
      <c r="I2773" s="64"/>
      <c r="J2773" s="32" t="str">
        <f>IF(AND(E2773=1,OR(E2772=0,E2772="")),MAX(#REF!)+1,IF(AND(E2773=1,E2772=1),J2772,""))</f>
        <v/>
      </c>
      <c r="K2773" s="32" t="str">
        <f t="shared" si="167"/>
        <v/>
      </c>
      <c r="L2773" s="32" t="str">
        <f t="shared" si="168"/>
        <v/>
      </c>
      <c r="M2773" s="32" t="str">
        <f t="shared" si="169"/>
        <v/>
      </c>
      <c r="N2773" s="4"/>
      <c r="AG2773" t="s">
        <v>2483</v>
      </c>
      <c r="AM2773" s="1"/>
    </row>
    <row r="2774" spans="1:39" x14ac:dyDescent="0.35">
      <c r="A2774">
        <v>2770</v>
      </c>
      <c r="B2774">
        <v>2771</v>
      </c>
      <c r="F2774" s="64"/>
      <c r="G2774" s="64"/>
      <c r="H2774" s="64" t="s">
        <v>26</v>
      </c>
      <c r="I2774" s="64"/>
      <c r="J2774" s="32" t="str">
        <f>IF(AND(E2774=1,OR(E2773=0,E2773="")),MAX(#REF!)+1,IF(AND(E2774=1,E2773=1),J2773,""))</f>
        <v/>
      </c>
      <c r="K2774" s="32" t="str">
        <f t="shared" si="167"/>
        <v/>
      </c>
      <c r="L2774" s="32" t="str">
        <f t="shared" si="168"/>
        <v/>
      </c>
      <c r="M2774" s="32" t="str">
        <f t="shared" si="169"/>
        <v/>
      </c>
      <c r="N2774" s="4"/>
      <c r="AG2774" t="s">
        <v>2484</v>
      </c>
      <c r="AM2774" s="1"/>
    </row>
    <row r="2775" spans="1:39" x14ac:dyDescent="0.35">
      <c r="A2775">
        <v>2771</v>
      </c>
      <c r="B2775">
        <v>2772</v>
      </c>
      <c r="F2775" s="64"/>
      <c r="G2775" s="64"/>
      <c r="H2775" s="64" t="s">
        <v>26</v>
      </c>
      <c r="I2775" s="64"/>
      <c r="J2775" s="32" t="str">
        <f>IF(AND(E2775=1,OR(E2774=0,E2774="")),MAX(#REF!)+1,IF(AND(E2775=1,E2774=1),J2774,""))</f>
        <v/>
      </c>
      <c r="K2775" s="32" t="str">
        <f t="shared" si="167"/>
        <v/>
      </c>
      <c r="L2775" s="32" t="str">
        <f t="shared" si="168"/>
        <v/>
      </c>
      <c r="M2775" s="32" t="str">
        <f t="shared" si="169"/>
        <v/>
      </c>
      <c r="N2775" s="4"/>
      <c r="AG2775" t="s">
        <v>2485</v>
      </c>
      <c r="AM2775" s="1"/>
    </row>
    <row r="2776" spans="1:39" x14ac:dyDescent="0.35">
      <c r="A2776">
        <v>2772</v>
      </c>
      <c r="B2776">
        <v>2773</v>
      </c>
      <c r="F2776" s="64"/>
      <c r="G2776" s="64"/>
      <c r="H2776" s="64" t="s">
        <v>26</v>
      </c>
      <c r="I2776" s="64"/>
      <c r="J2776" s="32" t="str">
        <f>IF(AND(E2776=1,OR(E2775=0,E2775="")),MAX(#REF!)+1,IF(AND(E2776=1,E2775=1),J2775,""))</f>
        <v/>
      </c>
      <c r="K2776" s="32" t="str">
        <f t="shared" si="167"/>
        <v/>
      </c>
      <c r="L2776" s="32" t="str">
        <f t="shared" si="168"/>
        <v/>
      </c>
      <c r="M2776" s="32" t="str">
        <f t="shared" si="169"/>
        <v/>
      </c>
      <c r="N2776" s="4"/>
      <c r="AG2776" t="s">
        <v>2486</v>
      </c>
      <c r="AM2776" s="1"/>
    </row>
    <row r="2777" spans="1:39" x14ac:dyDescent="0.35">
      <c r="A2777">
        <v>2773</v>
      </c>
      <c r="B2777">
        <v>2774</v>
      </c>
      <c r="F2777" s="64"/>
      <c r="G2777" s="64"/>
      <c r="H2777" s="64" t="s">
        <v>26</v>
      </c>
      <c r="I2777" s="64"/>
      <c r="J2777" s="32" t="str">
        <f>IF(AND(E2777=1,OR(E2776=0,E2776="")),MAX(#REF!)+1,IF(AND(E2777=1,E2776=1),J2776,""))</f>
        <v/>
      </c>
      <c r="K2777" s="32" t="str">
        <f t="shared" si="167"/>
        <v/>
      </c>
      <c r="L2777" s="32" t="str">
        <f t="shared" si="168"/>
        <v/>
      </c>
      <c r="M2777" s="32" t="str">
        <f t="shared" si="169"/>
        <v/>
      </c>
      <c r="N2777" s="4"/>
      <c r="AG2777" t="s">
        <v>2487</v>
      </c>
      <c r="AM2777" s="1"/>
    </row>
    <row r="2778" spans="1:39" x14ac:dyDescent="0.35">
      <c r="A2778">
        <v>2774</v>
      </c>
      <c r="B2778">
        <v>2775</v>
      </c>
      <c r="F2778" s="64"/>
      <c r="G2778" s="64"/>
      <c r="H2778" s="64" t="s">
        <v>26</v>
      </c>
      <c r="I2778" s="64"/>
      <c r="J2778" s="32" t="str">
        <f>IF(AND(E2778=1,OR(E2777=0,E2777="")),MAX(#REF!)+1,IF(AND(E2778=1,E2777=1),J2777,""))</f>
        <v/>
      </c>
      <c r="K2778" s="32" t="str">
        <f t="shared" si="167"/>
        <v/>
      </c>
      <c r="L2778" s="32" t="str">
        <f t="shared" si="168"/>
        <v/>
      </c>
      <c r="M2778" s="32" t="str">
        <f t="shared" si="169"/>
        <v/>
      </c>
      <c r="N2778" s="4"/>
      <c r="AG2778" t="s">
        <v>2488</v>
      </c>
      <c r="AM2778" s="1"/>
    </row>
    <row r="2779" spans="1:39" x14ac:dyDescent="0.35">
      <c r="A2779">
        <v>2775</v>
      </c>
      <c r="B2779">
        <v>2776</v>
      </c>
      <c r="F2779" s="64"/>
      <c r="G2779" s="64"/>
      <c r="H2779" s="64" t="s">
        <v>26</v>
      </c>
      <c r="I2779" s="64"/>
      <c r="J2779" s="32" t="str">
        <f>IF(AND(E2779=1,OR(E2778=0,E2778="")),MAX(#REF!)+1,IF(AND(E2779=1,E2778=1),J2778,""))</f>
        <v/>
      </c>
      <c r="K2779" s="32" t="str">
        <f t="shared" si="167"/>
        <v/>
      </c>
      <c r="L2779" s="32" t="str">
        <f t="shared" si="168"/>
        <v/>
      </c>
      <c r="M2779" s="32" t="str">
        <f t="shared" si="169"/>
        <v/>
      </c>
      <c r="N2779" s="4"/>
      <c r="AG2779" t="s">
        <v>2489</v>
      </c>
      <c r="AM2779" s="1"/>
    </row>
    <row r="2780" spans="1:39" x14ac:dyDescent="0.35">
      <c r="A2780">
        <v>2776</v>
      </c>
      <c r="B2780">
        <v>2777</v>
      </c>
      <c r="F2780" s="64"/>
      <c r="G2780" s="64"/>
      <c r="H2780" s="64" t="s">
        <v>26</v>
      </c>
      <c r="I2780" s="64"/>
      <c r="J2780" s="32" t="str">
        <f>IF(AND(E2780=1,OR(E2779=0,E2779="")),MAX(#REF!)+1,IF(AND(E2780=1,E2779=1),J2779,""))</f>
        <v/>
      </c>
      <c r="K2780" s="32" t="str">
        <f t="shared" si="167"/>
        <v/>
      </c>
      <c r="L2780" s="32" t="str">
        <f t="shared" si="168"/>
        <v/>
      </c>
      <c r="M2780" s="32" t="str">
        <f t="shared" si="169"/>
        <v/>
      </c>
      <c r="N2780" s="4"/>
      <c r="AG2780" t="s">
        <v>2490</v>
      </c>
      <c r="AM2780" s="1"/>
    </row>
    <row r="2781" spans="1:39" x14ac:dyDescent="0.35">
      <c r="A2781">
        <v>2777</v>
      </c>
      <c r="B2781">
        <v>2778</v>
      </c>
      <c r="F2781" s="64"/>
      <c r="G2781" s="64"/>
      <c r="H2781" s="64" t="s">
        <v>26</v>
      </c>
      <c r="I2781" s="64"/>
      <c r="J2781" s="32" t="str">
        <f>IF(AND(E2781=1,OR(E2780=0,E2780="")),MAX(#REF!)+1,IF(AND(E2781=1,E2780=1),J2780,""))</f>
        <v/>
      </c>
      <c r="K2781" s="32" t="str">
        <f t="shared" si="167"/>
        <v/>
      </c>
      <c r="L2781" s="32" t="str">
        <f t="shared" si="168"/>
        <v/>
      </c>
      <c r="M2781" s="32" t="str">
        <f t="shared" si="169"/>
        <v/>
      </c>
      <c r="N2781" s="4"/>
      <c r="AG2781" t="s">
        <v>2491</v>
      </c>
      <c r="AM2781" s="1"/>
    </row>
    <row r="2782" spans="1:39" x14ac:dyDescent="0.35">
      <c r="A2782">
        <v>2778</v>
      </c>
      <c r="B2782">
        <v>2779</v>
      </c>
      <c r="F2782" s="64"/>
      <c r="G2782" s="64"/>
      <c r="H2782" s="64" t="s">
        <v>26</v>
      </c>
      <c r="I2782" s="64"/>
      <c r="J2782" s="32" t="str">
        <f>IF(AND(E2782=1,OR(E2781=0,E2781="")),MAX(#REF!)+1,IF(AND(E2782=1,E2781=1),J2781,""))</f>
        <v/>
      </c>
      <c r="K2782" s="32" t="str">
        <f t="shared" si="167"/>
        <v/>
      </c>
      <c r="L2782" s="32" t="str">
        <f t="shared" si="168"/>
        <v/>
      </c>
      <c r="M2782" s="32" t="str">
        <f t="shared" si="169"/>
        <v/>
      </c>
      <c r="N2782" s="4"/>
      <c r="AG2782" t="s">
        <v>2492</v>
      </c>
      <c r="AM2782" s="1"/>
    </row>
    <row r="2783" spans="1:39" x14ac:dyDescent="0.35">
      <c r="A2783">
        <v>2779</v>
      </c>
      <c r="B2783">
        <v>2780</v>
      </c>
      <c r="F2783" s="64"/>
      <c r="G2783" s="64"/>
      <c r="H2783" s="64" t="s">
        <v>26</v>
      </c>
      <c r="I2783" s="64"/>
      <c r="J2783" s="32" t="str">
        <f>IF(AND(E2783=1,OR(E2782=0,E2782="")),MAX(#REF!)+1,IF(AND(E2783=1,E2782=1),J2782,""))</f>
        <v/>
      </c>
      <c r="K2783" s="32" t="str">
        <f t="shared" ref="K2783:K2846" si="170">IF(J2783="","",COUNTIF(J:J,J2783)*10)</f>
        <v/>
      </c>
      <c r="L2783" s="32" t="str">
        <f t="shared" si="168"/>
        <v/>
      </c>
      <c r="M2783" s="32" t="str">
        <f t="shared" si="169"/>
        <v/>
      </c>
      <c r="N2783" s="4"/>
      <c r="AG2783" t="s">
        <v>2493</v>
      </c>
      <c r="AM2783" s="1"/>
    </row>
    <row r="2784" spans="1:39" x14ac:dyDescent="0.35">
      <c r="A2784">
        <v>2780</v>
      </c>
      <c r="B2784">
        <v>2781</v>
      </c>
      <c r="F2784" s="64"/>
      <c r="G2784" s="64"/>
      <c r="H2784" s="64" t="s">
        <v>26</v>
      </c>
      <c r="I2784" s="64"/>
      <c r="J2784" s="32" t="str">
        <f>IF(AND(E2784=1,OR(E2783=0,E2783="")),MAX(#REF!)+1,IF(AND(E2784=1,E2783=1),J2783,""))</f>
        <v/>
      </c>
      <c r="K2784" s="32" t="str">
        <f t="shared" si="170"/>
        <v/>
      </c>
      <c r="L2784" s="32" t="str">
        <f t="shared" si="168"/>
        <v/>
      </c>
      <c r="M2784" s="32" t="str">
        <f t="shared" si="169"/>
        <v/>
      </c>
      <c r="N2784" s="4"/>
      <c r="AG2784" t="s">
        <v>2494</v>
      </c>
      <c r="AM2784" s="1"/>
    </row>
    <row r="2785" spans="1:39" x14ac:dyDescent="0.35">
      <c r="A2785">
        <v>2781</v>
      </c>
      <c r="B2785">
        <v>2782</v>
      </c>
      <c r="F2785" s="64"/>
      <c r="G2785" s="64"/>
      <c r="H2785" s="64" t="s">
        <v>26</v>
      </c>
      <c r="I2785" s="64"/>
      <c r="J2785" s="32" t="str">
        <f>IF(AND(E2785=1,OR(E2784=0,E2784="")),MAX(#REF!)+1,IF(AND(E2785=1,E2784=1),J2784,""))</f>
        <v/>
      </c>
      <c r="K2785" s="32" t="str">
        <f t="shared" si="170"/>
        <v/>
      </c>
      <c r="L2785" s="32" t="str">
        <f t="shared" si="168"/>
        <v/>
      </c>
      <c r="M2785" s="32" t="str">
        <f t="shared" si="169"/>
        <v/>
      </c>
      <c r="N2785" s="4"/>
      <c r="AG2785" t="s">
        <v>2495</v>
      </c>
      <c r="AM2785" s="1"/>
    </row>
    <row r="2786" spans="1:39" x14ac:dyDescent="0.35">
      <c r="A2786">
        <v>2782</v>
      </c>
      <c r="B2786">
        <v>2783</v>
      </c>
      <c r="F2786" s="64"/>
      <c r="G2786" s="64"/>
      <c r="H2786" s="64" t="s">
        <v>26</v>
      </c>
      <c r="I2786" s="64"/>
      <c r="J2786" s="32" t="str">
        <f>IF(AND(E2786=1,OR(E2785=0,E2785="")),MAX(#REF!)+1,IF(AND(E2786=1,E2785=1),J2785,""))</f>
        <v/>
      </c>
      <c r="K2786" s="32" t="str">
        <f t="shared" si="170"/>
        <v/>
      </c>
      <c r="L2786" s="32" t="str">
        <f t="shared" si="168"/>
        <v/>
      </c>
      <c r="M2786" s="32" t="str">
        <f t="shared" si="169"/>
        <v/>
      </c>
      <c r="N2786" s="4"/>
      <c r="AG2786" t="s">
        <v>2496</v>
      </c>
      <c r="AM2786" s="1"/>
    </row>
    <row r="2787" spans="1:39" x14ac:dyDescent="0.35">
      <c r="A2787">
        <v>2783</v>
      </c>
      <c r="B2787">
        <v>2784</v>
      </c>
      <c r="F2787" s="64"/>
      <c r="G2787" s="64"/>
      <c r="H2787" s="64" t="s">
        <v>26</v>
      </c>
      <c r="I2787" s="64"/>
      <c r="J2787" s="32" t="str">
        <f>IF(AND(E2787=1,OR(E2786=0,E2786="")),MAX(#REF!)+1,IF(AND(E2787=1,E2786=1),J2786,""))</f>
        <v/>
      </c>
      <c r="K2787" s="32" t="str">
        <f t="shared" si="170"/>
        <v/>
      </c>
      <c r="L2787" s="32" t="str">
        <f t="shared" si="168"/>
        <v/>
      </c>
      <c r="M2787" s="32" t="str">
        <f t="shared" si="169"/>
        <v/>
      </c>
      <c r="N2787" s="4"/>
      <c r="AG2787" t="s">
        <v>2497</v>
      </c>
      <c r="AM2787" s="1"/>
    </row>
    <row r="2788" spans="1:39" x14ac:dyDescent="0.35">
      <c r="A2788">
        <v>2784</v>
      </c>
      <c r="B2788">
        <v>2785</v>
      </c>
      <c r="F2788" s="64"/>
      <c r="G2788" s="64"/>
      <c r="H2788" s="64" t="s">
        <v>26</v>
      </c>
      <c r="I2788" s="64"/>
      <c r="J2788" s="32" t="str">
        <f>IF(AND(E2788=1,OR(E2787=0,E2787="")),MAX(#REF!)+1,IF(AND(E2788=1,E2787=1),J2787,""))</f>
        <v/>
      </c>
      <c r="K2788" s="32" t="str">
        <f t="shared" si="170"/>
        <v/>
      </c>
      <c r="L2788" s="32" t="str">
        <f t="shared" si="168"/>
        <v/>
      </c>
      <c r="M2788" s="32" t="str">
        <f t="shared" si="169"/>
        <v/>
      </c>
      <c r="N2788" s="4"/>
      <c r="AG2788" t="s">
        <v>2498</v>
      </c>
      <c r="AM2788" s="1"/>
    </row>
    <row r="2789" spans="1:39" x14ac:dyDescent="0.35">
      <c r="A2789">
        <v>2785</v>
      </c>
      <c r="B2789">
        <v>2786</v>
      </c>
      <c r="F2789" s="64"/>
      <c r="G2789" s="64"/>
      <c r="H2789" s="64" t="s">
        <v>26</v>
      </c>
      <c r="I2789" s="64"/>
      <c r="J2789" s="32" t="str">
        <f>IF(AND(E2789=1,OR(E2788=0,E2788="")),MAX(#REF!)+1,IF(AND(E2789=1,E2788=1),J2788,""))</f>
        <v/>
      </c>
      <c r="K2789" s="32" t="str">
        <f t="shared" si="170"/>
        <v/>
      </c>
      <c r="L2789" s="32" t="str">
        <f t="shared" si="168"/>
        <v/>
      </c>
      <c r="M2789" s="32" t="str">
        <f t="shared" si="169"/>
        <v/>
      </c>
      <c r="N2789" s="4"/>
      <c r="AG2789" t="s">
        <v>2499</v>
      </c>
      <c r="AM2789" s="1"/>
    </row>
    <row r="2790" spans="1:39" x14ac:dyDescent="0.35">
      <c r="A2790">
        <v>2786</v>
      </c>
      <c r="B2790">
        <v>2787</v>
      </c>
      <c r="F2790" s="64"/>
      <c r="G2790" s="64"/>
      <c r="H2790" s="64" t="s">
        <v>26</v>
      </c>
      <c r="I2790" s="64"/>
      <c r="J2790" s="32" t="str">
        <f>IF(AND(E2790=1,OR(E2789=0,E2789="")),MAX(#REF!)+1,IF(AND(E2790=1,E2789=1),J2789,""))</f>
        <v/>
      </c>
      <c r="K2790" s="32" t="str">
        <f t="shared" si="170"/>
        <v/>
      </c>
      <c r="L2790" s="32" t="str">
        <f t="shared" si="168"/>
        <v/>
      </c>
      <c r="M2790" s="32" t="str">
        <f t="shared" si="169"/>
        <v/>
      </c>
      <c r="N2790" s="4"/>
      <c r="AG2790" t="s">
        <v>2500</v>
      </c>
      <c r="AM2790" s="1"/>
    </row>
    <row r="2791" spans="1:39" x14ac:dyDescent="0.35">
      <c r="A2791">
        <v>2787</v>
      </c>
      <c r="B2791">
        <v>2788</v>
      </c>
      <c r="F2791" s="64"/>
      <c r="G2791" s="64"/>
      <c r="H2791" s="64" t="s">
        <v>26</v>
      </c>
      <c r="I2791" s="64"/>
      <c r="J2791" s="32" t="str">
        <f>IF(AND(E2791=1,OR(E2790=0,E2790="")),MAX(#REF!)+1,IF(AND(E2791=1,E2790=1),J2790,""))</f>
        <v/>
      </c>
      <c r="K2791" s="32" t="str">
        <f t="shared" si="170"/>
        <v/>
      </c>
      <c r="L2791" s="32" t="str">
        <f t="shared" si="168"/>
        <v/>
      </c>
      <c r="M2791" s="32" t="str">
        <f t="shared" si="169"/>
        <v/>
      </c>
      <c r="N2791" s="4"/>
      <c r="AG2791" t="s">
        <v>2501</v>
      </c>
      <c r="AM2791" s="1"/>
    </row>
    <row r="2792" spans="1:39" x14ac:dyDescent="0.35">
      <c r="A2792">
        <v>2788</v>
      </c>
      <c r="B2792">
        <v>2789</v>
      </c>
      <c r="F2792" s="64"/>
      <c r="G2792" s="64"/>
      <c r="H2792" s="64" t="s">
        <v>26</v>
      </c>
      <c r="I2792" s="64"/>
      <c r="J2792" s="32" t="str">
        <f>IF(AND(E2792=1,OR(E2791=0,E2791="")),MAX(#REF!)+1,IF(AND(E2792=1,E2791=1),J2791,""))</f>
        <v/>
      </c>
      <c r="K2792" s="32" t="str">
        <f t="shared" si="170"/>
        <v/>
      </c>
      <c r="L2792" s="32" t="str">
        <f t="shared" si="168"/>
        <v/>
      </c>
      <c r="M2792" s="32" t="str">
        <f t="shared" si="169"/>
        <v/>
      </c>
      <c r="N2792" s="4"/>
      <c r="AG2792" t="s">
        <v>2502</v>
      </c>
      <c r="AM2792" s="1"/>
    </row>
    <row r="2793" spans="1:39" x14ac:dyDescent="0.35">
      <c r="A2793">
        <v>2789</v>
      </c>
      <c r="B2793">
        <v>2790</v>
      </c>
      <c r="F2793" s="64"/>
      <c r="G2793" s="64"/>
      <c r="H2793" s="64" t="s">
        <v>26</v>
      </c>
      <c r="I2793" s="64"/>
      <c r="J2793" s="32" t="str">
        <f>IF(AND(E2793=1,OR(E2792=0,E2792="")),MAX(#REF!)+1,IF(AND(E2793=1,E2792=1),J2792,""))</f>
        <v/>
      </c>
      <c r="K2793" s="32" t="str">
        <f t="shared" si="170"/>
        <v/>
      </c>
      <c r="L2793" s="32" t="str">
        <f t="shared" si="168"/>
        <v/>
      </c>
      <c r="M2793" s="32" t="str">
        <f t="shared" si="169"/>
        <v/>
      </c>
      <c r="N2793" s="4"/>
      <c r="AG2793" t="s">
        <v>2503</v>
      </c>
      <c r="AM2793" s="1"/>
    </row>
    <row r="2794" spans="1:39" x14ac:dyDescent="0.35">
      <c r="A2794">
        <v>2790</v>
      </c>
      <c r="B2794">
        <v>2791</v>
      </c>
      <c r="F2794" s="64"/>
      <c r="G2794" s="64"/>
      <c r="H2794" s="64" t="s">
        <v>26</v>
      </c>
      <c r="I2794" s="64"/>
      <c r="J2794" s="32" t="str">
        <f>IF(AND(E2794=1,OR(E2793=0,E2793="")),MAX(#REF!)+1,IF(AND(E2794=1,E2793=1),J2793,""))</f>
        <v/>
      </c>
      <c r="K2794" s="32" t="str">
        <f t="shared" si="170"/>
        <v/>
      </c>
      <c r="L2794" s="32" t="str">
        <f t="shared" si="168"/>
        <v/>
      </c>
      <c r="M2794" s="32" t="str">
        <f t="shared" si="169"/>
        <v/>
      </c>
      <c r="N2794" s="4"/>
      <c r="AG2794" t="s">
        <v>2504</v>
      </c>
      <c r="AM2794" s="1"/>
    </row>
    <row r="2795" spans="1:39" x14ac:dyDescent="0.35">
      <c r="A2795">
        <v>2791</v>
      </c>
      <c r="B2795">
        <v>2792</v>
      </c>
      <c r="F2795" s="64"/>
      <c r="G2795" s="64"/>
      <c r="H2795" s="64" t="s">
        <v>26</v>
      </c>
      <c r="I2795" s="64"/>
      <c r="J2795" s="32" t="str">
        <f>IF(AND(E2795=1,OR(E2794=0,E2794="")),MAX(#REF!)+1,IF(AND(E2795=1,E2794=1),J2794,""))</f>
        <v/>
      </c>
      <c r="K2795" s="32" t="str">
        <f t="shared" si="170"/>
        <v/>
      </c>
      <c r="L2795" s="32" t="str">
        <f t="shared" si="168"/>
        <v/>
      </c>
      <c r="M2795" s="32" t="str">
        <f t="shared" si="169"/>
        <v/>
      </c>
      <c r="N2795" s="4"/>
      <c r="AG2795" t="s">
        <v>2505</v>
      </c>
      <c r="AM2795" s="1"/>
    </row>
    <row r="2796" spans="1:39" x14ac:dyDescent="0.35">
      <c r="A2796">
        <v>2792</v>
      </c>
      <c r="B2796">
        <v>2793</v>
      </c>
      <c r="F2796" s="64"/>
      <c r="G2796" s="64"/>
      <c r="H2796" s="64" t="s">
        <v>26</v>
      </c>
      <c r="I2796" s="64"/>
      <c r="J2796" s="32" t="str">
        <f>IF(AND(E2796=1,OR(E2795=0,E2795="")),MAX(#REF!)+1,IF(AND(E2796=1,E2795=1),J2795,""))</f>
        <v/>
      </c>
      <c r="K2796" s="32" t="str">
        <f t="shared" si="170"/>
        <v/>
      </c>
      <c r="L2796" s="32" t="str">
        <f t="shared" si="168"/>
        <v/>
      </c>
      <c r="M2796" s="32" t="str">
        <f t="shared" si="169"/>
        <v/>
      </c>
      <c r="N2796" s="4"/>
      <c r="AG2796" t="s">
        <v>2506</v>
      </c>
      <c r="AM2796" s="1"/>
    </row>
    <row r="2797" spans="1:39" x14ac:dyDescent="0.35">
      <c r="A2797">
        <v>2793</v>
      </c>
      <c r="B2797">
        <v>2794</v>
      </c>
      <c r="F2797" s="64"/>
      <c r="G2797" s="64"/>
      <c r="H2797" s="64" t="s">
        <v>26</v>
      </c>
      <c r="I2797" s="64"/>
      <c r="J2797" s="32" t="str">
        <f>IF(AND(E2797=1,OR(E2796=0,E2796="")),MAX(#REF!)+1,IF(AND(E2797=1,E2796=1),J2796,""))</f>
        <v/>
      </c>
      <c r="K2797" s="32" t="str">
        <f t="shared" si="170"/>
        <v/>
      </c>
      <c r="L2797" s="32" t="str">
        <f t="shared" si="168"/>
        <v/>
      </c>
      <c r="M2797" s="32" t="str">
        <f t="shared" si="169"/>
        <v/>
      </c>
      <c r="N2797" s="4"/>
      <c r="AG2797" t="s">
        <v>2507</v>
      </c>
      <c r="AM2797" s="1"/>
    </row>
    <row r="2798" spans="1:39" x14ac:dyDescent="0.35">
      <c r="A2798">
        <v>2794</v>
      </c>
      <c r="B2798">
        <v>2795</v>
      </c>
      <c r="F2798" s="64"/>
      <c r="G2798" s="64"/>
      <c r="H2798" s="64" t="s">
        <v>26</v>
      </c>
      <c r="I2798" s="64"/>
      <c r="J2798" s="32" t="str">
        <f>IF(AND(E2798=1,OR(E2797=0,E2797="")),MAX(#REF!)+1,IF(AND(E2798=1,E2797=1),J2797,""))</f>
        <v/>
      </c>
      <c r="K2798" s="32" t="str">
        <f t="shared" si="170"/>
        <v/>
      </c>
      <c r="L2798" s="32" t="str">
        <f t="shared" si="168"/>
        <v/>
      </c>
      <c r="M2798" s="32" t="str">
        <f t="shared" si="169"/>
        <v/>
      </c>
      <c r="N2798" s="4"/>
      <c r="AG2798" t="s">
        <v>2508</v>
      </c>
      <c r="AM2798" s="1"/>
    </row>
    <row r="2799" spans="1:39" x14ac:dyDescent="0.35">
      <c r="A2799">
        <v>2795</v>
      </c>
      <c r="B2799">
        <v>2796</v>
      </c>
      <c r="F2799" s="64"/>
      <c r="G2799" s="64"/>
      <c r="H2799" s="64" t="s">
        <v>26</v>
      </c>
      <c r="I2799" s="64"/>
      <c r="J2799" s="32" t="str">
        <f>IF(AND(E2799=1,OR(E2798=0,E2798="")),MAX(#REF!)+1,IF(AND(E2799=1,E2798=1),J2798,""))</f>
        <v/>
      </c>
      <c r="K2799" s="32" t="str">
        <f t="shared" si="170"/>
        <v/>
      </c>
      <c r="L2799" s="32" t="str">
        <f t="shared" si="168"/>
        <v/>
      </c>
      <c r="M2799" s="32" t="str">
        <f t="shared" si="169"/>
        <v/>
      </c>
      <c r="N2799" s="4"/>
      <c r="AG2799" t="s">
        <v>2509</v>
      </c>
      <c r="AM2799" s="1"/>
    </row>
    <row r="2800" spans="1:39" x14ac:dyDescent="0.35">
      <c r="A2800">
        <v>2796</v>
      </c>
      <c r="B2800">
        <v>2797</v>
      </c>
      <c r="F2800" s="64"/>
      <c r="G2800" s="64"/>
      <c r="H2800" s="64" t="s">
        <v>26</v>
      </c>
      <c r="I2800" s="64"/>
      <c r="J2800" s="32" t="str">
        <f>IF(AND(E2800=1,OR(E2799=0,E2799="")),MAX(#REF!)+1,IF(AND(E2800=1,E2799=1),J2799,""))</f>
        <v/>
      </c>
      <c r="K2800" s="32" t="str">
        <f t="shared" si="170"/>
        <v/>
      </c>
      <c r="L2800" s="32" t="str">
        <f t="shared" si="168"/>
        <v/>
      </c>
      <c r="M2800" s="32" t="str">
        <f t="shared" si="169"/>
        <v/>
      </c>
      <c r="N2800" s="4"/>
      <c r="AG2800" t="s">
        <v>2510</v>
      </c>
      <c r="AM2800" s="1"/>
    </row>
    <row r="2801" spans="1:39" x14ac:dyDescent="0.35">
      <c r="A2801">
        <v>2797</v>
      </c>
      <c r="B2801">
        <v>2798</v>
      </c>
      <c r="F2801" s="64"/>
      <c r="G2801" s="64"/>
      <c r="H2801" s="64" t="s">
        <v>26</v>
      </c>
      <c r="I2801" s="64"/>
      <c r="J2801" s="32" t="str">
        <f>IF(AND(E2801=1,OR(E2800=0,E2800="")),MAX(#REF!)+1,IF(AND(E2801=1,E2800=1),J2800,""))</f>
        <v/>
      </c>
      <c r="K2801" s="32" t="str">
        <f t="shared" si="170"/>
        <v/>
      </c>
      <c r="L2801" s="32" t="str">
        <f t="shared" si="168"/>
        <v/>
      </c>
      <c r="M2801" s="32" t="str">
        <f t="shared" si="169"/>
        <v/>
      </c>
      <c r="N2801" s="4"/>
      <c r="AG2801" t="s">
        <v>2511</v>
      </c>
      <c r="AM2801" s="1"/>
    </row>
    <row r="2802" spans="1:39" x14ac:dyDescent="0.35">
      <c r="A2802">
        <v>2798</v>
      </c>
      <c r="B2802">
        <v>2799</v>
      </c>
      <c r="F2802" s="64"/>
      <c r="G2802" s="64"/>
      <c r="H2802" s="64" t="s">
        <v>26</v>
      </c>
      <c r="I2802" s="64"/>
      <c r="J2802" s="32" t="str">
        <f>IF(AND(E2802=1,OR(E2801=0,E2801="")),MAX(#REF!)+1,IF(AND(E2802=1,E2801=1),J2801,""))</f>
        <v/>
      </c>
      <c r="K2802" s="32" t="str">
        <f t="shared" si="170"/>
        <v/>
      </c>
      <c r="L2802" s="32" t="str">
        <f t="shared" si="168"/>
        <v/>
      </c>
      <c r="M2802" s="32" t="str">
        <f t="shared" si="169"/>
        <v/>
      </c>
      <c r="N2802" s="4"/>
      <c r="AG2802" t="s">
        <v>2512</v>
      </c>
      <c r="AM2802" s="1"/>
    </row>
    <row r="2803" spans="1:39" x14ac:dyDescent="0.35">
      <c r="A2803">
        <v>2799</v>
      </c>
      <c r="B2803">
        <v>2800</v>
      </c>
      <c r="F2803" s="64"/>
      <c r="G2803" s="64"/>
      <c r="H2803" s="64" t="s">
        <v>26</v>
      </c>
      <c r="I2803" s="64"/>
      <c r="J2803" s="32" t="str">
        <f>IF(AND(E2803=1,OR(E2802=0,E2802="")),MAX(#REF!)+1,IF(AND(E2803=1,E2802=1),J2802,""))</f>
        <v/>
      </c>
      <c r="K2803" s="32" t="str">
        <f t="shared" si="170"/>
        <v/>
      </c>
      <c r="L2803" s="32" t="str">
        <f t="shared" si="168"/>
        <v/>
      </c>
      <c r="M2803" s="32" t="str">
        <f t="shared" si="169"/>
        <v/>
      </c>
      <c r="N2803" s="4"/>
      <c r="AG2803" t="s">
        <v>2513</v>
      </c>
      <c r="AM2803" s="1"/>
    </row>
    <row r="2804" spans="1:39" x14ac:dyDescent="0.35">
      <c r="A2804">
        <v>2800</v>
      </c>
      <c r="B2804">
        <v>2801</v>
      </c>
      <c r="F2804" s="64"/>
      <c r="G2804" s="64"/>
      <c r="H2804" s="64" t="s">
        <v>26</v>
      </c>
      <c r="I2804" s="64"/>
      <c r="J2804" s="32" t="str">
        <f>IF(AND(E2804=1,OR(E2803=0,E2803="")),MAX(#REF!)+1,IF(AND(E2804=1,E2803=1),J2803,""))</f>
        <v/>
      </c>
      <c r="K2804" s="32" t="str">
        <f t="shared" si="170"/>
        <v/>
      </c>
      <c r="L2804" s="32" t="str">
        <f t="shared" si="168"/>
        <v/>
      </c>
      <c r="M2804" s="32" t="str">
        <f t="shared" si="169"/>
        <v/>
      </c>
      <c r="N2804" s="4"/>
      <c r="AG2804" t="s">
        <v>2514</v>
      </c>
      <c r="AM2804" s="1"/>
    </row>
    <row r="2805" spans="1:39" x14ac:dyDescent="0.35">
      <c r="A2805">
        <v>2801</v>
      </c>
      <c r="B2805">
        <v>2802</v>
      </c>
      <c r="F2805" s="64"/>
      <c r="G2805" s="64"/>
      <c r="H2805" s="64" t="s">
        <v>26</v>
      </c>
      <c r="I2805" s="64"/>
      <c r="J2805" s="32" t="str">
        <f>IF(AND(E2805=1,OR(E2804=0,E2804="")),MAX(#REF!)+1,IF(AND(E2805=1,E2804=1),J2804,""))</f>
        <v/>
      </c>
      <c r="K2805" s="32" t="str">
        <f t="shared" si="170"/>
        <v/>
      </c>
      <c r="L2805" s="32" t="str">
        <f t="shared" si="168"/>
        <v/>
      </c>
      <c r="M2805" s="32" t="str">
        <f t="shared" si="169"/>
        <v/>
      </c>
      <c r="N2805" s="4"/>
      <c r="AG2805" t="s">
        <v>2515</v>
      </c>
      <c r="AM2805" s="1"/>
    </row>
    <row r="2806" spans="1:39" x14ac:dyDescent="0.35">
      <c r="A2806">
        <v>2802</v>
      </c>
      <c r="B2806">
        <v>2803</v>
      </c>
      <c r="F2806" s="64"/>
      <c r="G2806" s="64"/>
      <c r="H2806" s="64" t="s">
        <v>26</v>
      </c>
      <c r="I2806" s="64"/>
      <c r="J2806" s="32" t="str">
        <f>IF(AND(E2806=1,OR(E2805=0,E2805="")),MAX(#REF!)+1,IF(AND(E2806=1,E2805=1),J2805,""))</f>
        <v/>
      </c>
      <c r="K2806" s="32" t="str">
        <f t="shared" si="170"/>
        <v/>
      </c>
      <c r="L2806" s="32" t="str">
        <f t="shared" si="168"/>
        <v/>
      </c>
      <c r="M2806" s="32" t="str">
        <f t="shared" si="169"/>
        <v/>
      </c>
      <c r="N2806" s="4"/>
      <c r="AG2806" t="s">
        <v>2516</v>
      </c>
      <c r="AM2806" s="1"/>
    </row>
    <row r="2807" spans="1:39" x14ac:dyDescent="0.35">
      <c r="A2807">
        <v>2803</v>
      </c>
      <c r="B2807">
        <v>2804</v>
      </c>
      <c r="F2807" s="64"/>
      <c r="G2807" s="64"/>
      <c r="H2807" s="64" t="s">
        <v>26</v>
      </c>
      <c r="I2807" s="64"/>
      <c r="J2807" s="32" t="str">
        <f>IF(AND(E2807=1,OR(E2806=0,E2806="")),MAX(#REF!)+1,IF(AND(E2807=1,E2806=1),J2806,""))</f>
        <v/>
      </c>
      <c r="K2807" s="32" t="str">
        <f t="shared" si="170"/>
        <v/>
      </c>
      <c r="L2807" s="32" t="str">
        <f t="shared" si="168"/>
        <v/>
      </c>
      <c r="M2807" s="32" t="str">
        <f t="shared" si="169"/>
        <v/>
      </c>
      <c r="N2807" s="4"/>
      <c r="AG2807" t="s">
        <v>2517</v>
      </c>
      <c r="AM2807" s="1"/>
    </row>
    <row r="2808" spans="1:39" x14ac:dyDescent="0.35">
      <c r="A2808">
        <v>2804</v>
      </c>
      <c r="B2808">
        <v>2805</v>
      </c>
      <c r="F2808" s="64"/>
      <c r="G2808" s="64"/>
      <c r="H2808" s="64" t="s">
        <v>26</v>
      </c>
      <c r="I2808" s="64"/>
      <c r="J2808" s="32" t="str">
        <f>IF(AND(E2808=1,OR(E2807=0,E2807="")),MAX(#REF!)+1,IF(AND(E2808=1,E2807=1),J2807,""))</f>
        <v/>
      </c>
      <c r="K2808" s="32" t="str">
        <f t="shared" si="170"/>
        <v/>
      </c>
      <c r="L2808" s="32" t="str">
        <f t="shared" si="168"/>
        <v/>
      </c>
      <c r="M2808" s="32" t="str">
        <f t="shared" si="169"/>
        <v/>
      </c>
      <c r="N2808" s="4"/>
      <c r="AG2808" t="s">
        <v>2518</v>
      </c>
      <c r="AM2808" s="1"/>
    </row>
    <row r="2809" spans="1:39" x14ac:dyDescent="0.35">
      <c r="A2809">
        <v>2805</v>
      </c>
      <c r="B2809">
        <v>2806</v>
      </c>
      <c r="F2809" s="64"/>
      <c r="G2809" s="64"/>
      <c r="H2809" s="64" t="s">
        <v>26</v>
      </c>
      <c r="I2809" s="64"/>
      <c r="J2809" s="32" t="str">
        <f>IF(AND(E2809=1,OR(E2808=0,E2808="")),MAX(#REF!)+1,IF(AND(E2809=1,E2808=1),J2808,""))</f>
        <v/>
      </c>
      <c r="K2809" s="32" t="str">
        <f t="shared" si="170"/>
        <v/>
      </c>
      <c r="L2809" s="32" t="str">
        <f t="shared" si="168"/>
        <v/>
      </c>
      <c r="M2809" s="32" t="str">
        <f t="shared" si="169"/>
        <v/>
      </c>
      <c r="N2809" s="4"/>
      <c r="AG2809" t="s">
        <v>2519</v>
      </c>
      <c r="AM2809" s="1"/>
    </row>
    <row r="2810" spans="1:39" x14ac:dyDescent="0.35">
      <c r="A2810">
        <v>2806</v>
      </c>
      <c r="B2810">
        <v>2807</v>
      </c>
      <c r="F2810" s="64"/>
      <c r="G2810" s="64"/>
      <c r="H2810" s="64" t="s">
        <v>26</v>
      </c>
      <c r="I2810" s="64"/>
      <c r="J2810" s="32" t="str">
        <f>IF(AND(E2810=1,OR(E2809=0,E2809="")),MAX(#REF!)+1,IF(AND(E2810=1,E2809=1),J2809,""))</f>
        <v/>
      </c>
      <c r="K2810" s="32" t="str">
        <f t="shared" si="170"/>
        <v/>
      </c>
      <c r="L2810" s="32" t="str">
        <f t="shared" si="168"/>
        <v/>
      </c>
      <c r="M2810" s="32" t="str">
        <f t="shared" si="169"/>
        <v/>
      </c>
      <c r="N2810" s="4"/>
      <c r="AG2810" t="s">
        <v>2520</v>
      </c>
      <c r="AM2810" s="1"/>
    </row>
    <row r="2811" spans="1:39" x14ac:dyDescent="0.35">
      <c r="A2811">
        <v>2807</v>
      </c>
      <c r="B2811">
        <v>2808</v>
      </c>
      <c r="F2811" s="64"/>
      <c r="G2811" s="64"/>
      <c r="H2811" s="64" t="s">
        <v>26</v>
      </c>
      <c r="I2811" s="64"/>
      <c r="J2811" s="32" t="str">
        <f>IF(AND(E2811=1,OR(E2810=0,E2810="")),MAX(#REF!)+1,IF(AND(E2811=1,E2810=1),J2810,""))</f>
        <v/>
      </c>
      <c r="K2811" s="32" t="str">
        <f t="shared" si="170"/>
        <v/>
      </c>
      <c r="L2811" s="32" t="str">
        <f t="shared" si="168"/>
        <v/>
      </c>
      <c r="M2811" s="32" t="str">
        <f t="shared" si="169"/>
        <v/>
      </c>
      <c r="N2811" s="4"/>
      <c r="AG2811" t="s">
        <v>2521</v>
      </c>
      <c r="AM2811" s="1"/>
    </row>
    <row r="2812" spans="1:39" x14ac:dyDescent="0.35">
      <c r="A2812">
        <v>2808</v>
      </c>
      <c r="B2812">
        <v>2809</v>
      </c>
      <c r="F2812" s="64"/>
      <c r="G2812" s="64"/>
      <c r="H2812" s="64" t="s">
        <v>26</v>
      </c>
      <c r="I2812" s="64"/>
      <c r="J2812" s="32" t="str">
        <f>IF(AND(E2812=1,OR(E2811=0,E2811="")),MAX(#REF!)+1,IF(AND(E2812=1,E2811=1),J2811,""))</f>
        <v/>
      </c>
      <c r="K2812" s="32" t="str">
        <f t="shared" si="170"/>
        <v/>
      </c>
      <c r="L2812" s="32" t="str">
        <f t="shared" si="168"/>
        <v/>
      </c>
      <c r="M2812" s="32" t="str">
        <f t="shared" si="169"/>
        <v/>
      </c>
      <c r="N2812" s="4"/>
      <c r="AG2812" t="s">
        <v>2522</v>
      </c>
      <c r="AM2812" s="1"/>
    </row>
    <row r="2813" spans="1:39" x14ac:dyDescent="0.35">
      <c r="A2813">
        <v>2809</v>
      </c>
      <c r="B2813">
        <v>2810</v>
      </c>
      <c r="F2813" s="64"/>
      <c r="G2813" s="64"/>
      <c r="H2813" s="64" t="s">
        <v>26</v>
      </c>
      <c r="I2813" s="64"/>
      <c r="J2813" s="32" t="str">
        <f>IF(AND(E2813=1,OR(E2812=0,E2812="")),MAX(#REF!)+1,IF(AND(E2813=1,E2812=1),J2812,""))</f>
        <v/>
      </c>
      <c r="K2813" s="32" t="str">
        <f t="shared" si="170"/>
        <v/>
      </c>
      <c r="L2813" s="32" t="str">
        <f t="shared" si="168"/>
        <v/>
      </c>
      <c r="M2813" s="32" t="str">
        <f t="shared" si="169"/>
        <v/>
      </c>
      <c r="N2813" s="4"/>
      <c r="AG2813" t="s">
        <v>2523</v>
      </c>
      <c r="AM2813" s="1"/>
    </row>
    <row r="2814" spans="1:39" x14ac:dyDescent="0.35">
      <c r="A2814">
        <v>2810</v>
      </c>
      <c r="B2814">
        <v>2811</v>
      </c>
      <c r="F2814" s="64"/>
      <c r="G2814" s="64"/>
      <c r="H2814" s="64" t="s">
        <v>26</v>
      </c>
      <c r="I2814" s="64"/>
      <c r="J2814" s="32" t="str">
        <f>IF(AND(E2814=1,OR(E2813=0,E2813="")),MAX(#REF!)+1,IF(AND(E2814=1,E2813=1),J2813,""))</f>
        <v/>
      </c>
      <c r="K2814" s="32" t="str">
        <f t="shared" si="170"/>
        <v/>
      </c>
      <c r="L2814" s="32" t="str">
        <f t="shared" si="168"/>
        <v/>
      </c>
      <c r="M2814" s="32" t="str">
        <f t="shared" si="169"/>
        <v/>
      </c>
      <c r="N2814" s="4"/>
      <c r="AG2814" t="s">
        <v>2524</v>
      </c>
      <c r="AM2814" s="1"/>
    </row>
    <row r="2815" spans="1:39" x14ac:dyDescent="0.35">
      <c r="A2815">
        <v>2811</v>
      </c>
      <c r="B2815">
        <v>2812</v>
      </c>
      <c r="F2815" s="64"/>
      <c r="G2815" s="64"/>
      <c r="H2815" s="64" t="s">
        <v>26</v>
      </c>
      <c r="I2815" s="64"/>
      <c r="J2815" s="32" t="str">
        <f>IF(AND(E2815=1,OR(E2814=0,E2814="")),MAX(#REF!)+1,IF(AND(E2815=1,E2814=1),J2814,""))</f>
        <v/>
      </c>
      <c r="K2815" s="32" t="str">
        <f t="shared" si="170"/>
        <v/>
      </c>
      <c r="L2815" s="32" t="str">
        <f t="shared" si="168"/>
        <v/>
      </c>
      <c r="M2815" s="32" t="str">
        <f t="shared" si="169"/>
        <v/>
      </c>
      <c r="N2815" s="4"/>
      <c r="AG2815" t="s">
        <v>2525</v>
      </c>
      <c r="AM2815" s="1"/>
    </row>
    <row r="2816" spans="1:39" x14ac:dyDescent="0.35">
      <c r="A2816">
        <v>2812</v>
      </c>
      <c r="B2816">
        <v>2813</v>
      </c>
      <c r="F2816" s="64"/>
      <c r="G2816" s="64"/>
      <c r="H2816" s="64" t="s">
        <v>26</v>
      </c>
      <c r="I2816" s="64"/>
      <c r="J2816" s="32" t="str">
        <f>IF(AND(E2816=1,OR(E2815=0,E2815="")),MAX(#REF!)+1,IF(AND(E2816=1,E2815=1),J2815,""))</f>
        <v/>
      </c>
      <c r="K2816" s="32" t="str">
        <f t="shared" si="170"/>
        <v/>
      </c>
      <c r="L2816" s="32" t="str">
        <f t="shared" si="168"/>
        <v/>
      </c>
      <c r="M2816" s="32" t="str">
        <f t="shared" si="169"/>
        <v/>
      </c>
      <c r="N2816" s="4"/>
      <c r="AG2816" t="s">
        <v>2526</v>
      </c>
      <c r="AM2816" s="1"/>
    </row>
    <row r="2817" spans="1:39" x14ac:dyDescent="0.35">
      <c r="A2817">
        <v>2813</v>
      </c>
      <c r="B2817">
        <v>2814</v>
      </c>
      <c r="F2817" s="64"/>
      <c r="G2817" s="64"/>
      <c r="H2817" s="64" t="s">
        <v>26</v>
      </c>
      <c r="I2817" s="64"/>
      <c r="J2817" s="32" t="str">
        <f>IF(AND(E2817=1,OR(E2816=0,E2816="")),MAX(#REF!)+1,IF(AND(E2817=1,E2816=1),J2816,""))</f>
        <v/>
      </c>
      <c r="K2817" s="32" t="str">
        <f t="shared" si="170"/>
        <v/>
      </c>
      <c r="L2817" s="32" t="str">
        <f t="shared" si="168"/>
        <v/>
      </c>
      <c r="M2817" s="32" t="str">
        <f t="shared" si="169"/>
        <v/>
      </c>
      <c r="N2817" s="4"/>
      <c r="AG2817" t="s">
        <v>2527</v>
      </c>
      <c r="AM2817" s="1"/>
    </row>
    <row r="2818" spans="1:39" x14ac:dyDescent="0.35">
      <c r="A2818">
        <v>2814</v>
      </c>
      <c r="B2818">
        <v>2815</v>
      </c>
      <c r="F2818" s="64"/>
      <c r="G2818" s="64"/>
      <c r="H2818" s="64" t="s">
        <v>26</v>
      </c>
      <c r="I2818" s="64"/>
      <c r="J2818" s="32" t="str">
        <f>IF(AND(E2818=1,OR(E2817=0,E2817="")),MAX(#REF!)+1,IF(AND(E2818=1,E2817=1),J2817,""))</f>
        <v/>
      </c>
      <c r="K2818" s="32" t="str">
        <f t="shared" si="170"/>
        <v/>
      </c>
      <c r="L2818" s="32" t="str">
        <f t="shared" si="168"/>
        <v/>
      </c>
      <c r="M2818" s="32" t="str">
        <f t="shared" si="169"/>
        <v/>
      </c>
      <c r="N2818" s="4"/>
      <c r="AG2818" t="s">
        <v>2528</v>
      </c>
      <c r="AM2818" s="1"/>
    </row>
    <row r="2819" spans="1:39" x14ac:dyDescent="0.35">
      <c r="A2819">
        <v>2815</v>
      </c>
      <c r="B2819">
        <v>2816</v>
      </c>
      <c r="F2819" s="64"/>
      <c r="G2819" s="64"/>
      <c r="H2819" s="64" t="s">
        <v>26</v>
      </c>
      <c r="I2819" s="64"/>
      <c r="J2819" s="32" t="str">
        <f>IF(AND(E2819=1,OR(E2818=0,E2818="")),MAX(#REF!)+1,IF(AND(E2819=1,E2818=1),J2818,""))</f>
        <v/>
      </c>
      <c r="K2819" s="32" t="str">
        <f t="shared" si="170"/>
        <v/>
      </c>
      <c r="L2819" s="32" t="str">
        <f t="shared" si="168"/>
        <v/>
      </c>
      <c r="M2819" s="32" t="str">
        <f t="shared" si="169"/>
        <v/>
      </c>
      <c r="N2819" s="4"/>
      <c r="AG2819" t="s">
        <v>2529</v>
      </c>
      <c r="AM2819" s="1"/>
    </row>
    <row r="2820" spans="1:39" x14ac:dyDescent="0.35">
      <c r="A2820">
        <v>2816</v>
      </c>
      <c r="B2820">
        <v>2817</v>
      </c>
      <c r="F2820" s="64"/>
      <c r="G2820" s="64"/>
      <c r="H2820" s="64" t="s">
        <v>26</v>
      </c>
      <c r="I2820" s="64"/>
      <c r="J2820" s="32" t="str">
        <f>IF(AND(E2820=1,OR(E2819=0,E2819="")),MAX(#REF!)+1,IF(AND(E2820=1,E2819=1),J2819,""))</f>
        <v/>
      </c>
      <c r="K2820" s="32" t="str">
        <f t="shared" si="170"/>
        <v/>
      </c>
      <c r="L2820" s="32" t="str">
        <f t="shared" ref="L2820:L2883" si="171">IF(K2820="","",IF(K2820&gt;=100,"HV",""))</f>
        <v/>
      </c>
      <c r="M2820" s="32" t="str">
        <f t="shared" ref="M2820:M2883" si="172">IF(K2820&lt;&gt;"",K2820^2,"")</f>
        <v/>
      </c>
      <c r="N2820" s="4"/>
      <c r="AG2820" t="s">
        <v>2530</v>
      </c>
      <c r="AM2820" s="1"/>
    </row>
    <row r="2821" spans="1:39" x14ac:dyDescent="0.35">
      <c r="A2821">
        <v>2817</v>
      </c>
      <c r="B2821">
        <v>2818</v>
      </c>
      <c r="F2821" s="64"/>
      <c r="G2821" s="64"/>
      <c r="H2821" s="64" t="s">
        <v>26</v>
      </c>
      <c r="I2821" s="64"/>
      <c r="J2821" s="32" t="str">
        <f>IF(AND(E2821=1,OR(E2820=0,E2820="")),MAX(#REF!)+1,IF(AND(E2821=1,E2820=1),J2820,""))</f>
        <v/>
      </c>
      <c r="K2821" s="32" t="str">
        <f t="shared" si="170"/>
        <v/>
      </c>
      <c r="L2821" s="32" t="str">
        <f t="shared" si="171"/>
        <v/>
      </c>
      <c r="M2821" s="32" t="str">
        <f t="shared" si="172"/>
        <v/>
      </c>
      <c r="N2821" s="4"/>
      <c r="AG2821" t="s">
        <v>2531</v>
      </c>
      <c r="AM2821" s="1"/>
    </row>
    <row r="2822" spans="1:39" x14ac:dyDescent="0.35">
      <c r="A2822">
        <v>2818</v>
      </c>
      <c r="B2822">
        <v>2819</v>
      </c>
      <c r="F2822" s="64"/>
      <c r="G2822" s="64"/>
      <c r="H2822" s="64" t="s">
        <v>26</v>
      </c>
      <c r="I2822" s="64"/>
      <c r="J2822" s="32" t="str">
        <f>IF(AND(E2822=1,OR(E2821=0,E2821="")),MAX(#REF!)+1,IF(AND(E2822=1,E2821=1),J2821,""))</f>
        <v/>
      </c>
      <c r="K2822" s="32" t="str">
        <f t="shared" si="170"/>
        <v/>
      </c>
      <c r="L2822" s="32" t="str">
        <f t="shared" si="171"/>
        <v/>
      </c>
      <c r="M2822" s="32" t="str">
        <f t="shared" si="172"/>
        <v/>
      </c>
      <c r="N2822" s="4"/>
      <c r="AG2822" t="s">
        <v>2532</v>
      </c>
      <c r="AM2822" s="1"/>
    </row>
    <row r="2823" spans="1:39" x14ac:dyDescent="0.35">
      <c r="A2823">
        <v>2819</v>
      </c>
      <c r="B2823">
        <v>2820</v>
      </c>
      <c r="F2823" s="64"/>
      <c r="G2823" s="64"/>
      <c r="H2823" s="64" t="s">
        <v>26</v>
      </c>
      <c r="I2823" s="64"/>
      <c r="J2823" s="32" t="str">
        <f>IF(AND(E2823=1,OR(E2822=0,E2822="")),MAX(#REF!)+1,IF(AND(E2823=1,E2822=1),J2822,""))</f>
        <v/>
      </c>
      <c r="K2823" s="32" t="str">
        <f t="shared" si="170"/>
        <v/>
      </c>
      <c r="L2823" s="32" t="str">
        <f t="shared" si="171"/>
        <v/>
      </c>
      <c r="M2823" s="32" t="str">
        <f t="shared" si="172"/>
        <v/>
      </c>
      <c r="N2823" s="4"/>
      <c r="AG2823" t="s">
        <v>2533</v>
      </c>
      <c r="AM2823" s="1"/>
    </row>
    <row r="2824" spans="1:39" x14ac:dyDescent="0.35">
      <c r="A2824">
        <v>2820</v>
      </c>
      <c r="B2824">
        <v>2821</v>
      </c>
      <c r="F2824" s="64"/>
      <c r="G2824" s="64"/>
      <c r="H2824" s="64" t="s">
        <v>26</v>
      </c>
      <c r="I2824" s="64"/>
      <c r="J2824" s="32" t="str">
        <f>IF(AND(E2824=1,OR(E2823=0,E2823="")),MAX(#REF!)+1,IF(AND(E2824=1,E2823=1),J2823,""))</f>
        <v/>
      </c>
      <c r="K2824" s="32" t="str">
        <f t="shared" si="170"/>
        <v/>
      </c>
      <c r="L2824" s="32" t="str">
        <f t="shared" si="171"/>
        <v/>
      </c>
      <c r="M2824" s="32" t="str">
        <f t="shared" si="172"/>
        <v/>
      </c>
      <c r="N2824" s="4"/>
      <c r="AG2824" t="s">
        <v>2534</v>
      </c>
      <c r="AM2824" s="1"/>
    </row>
    <row r="2825" spans="1:39" x14ac:dyDescent="0.35">
      <c r="A2825">
        <v>2821</v>
      </c>
      <c r="B2825">
        <v>2822</v>
      </c>
      <c r="F2825" s="64"/>
      <c r="G2825" s="64"/>
      <c r="H2825" s="64" t="s">
        <v>26</v>
      </c>
      <c r="I2825" s="64"/>
      <c r="J2825" s="32" t="str">
        <f>IF(AND(E2825=1,OR(E2824=0,E2824="")),MAX(#REF!)+1,IF(AND(E2825=1,E2824=1),J2824,""))</f>
        <v/>
      </c>
      <c r="K2825" s="32" t="str">
        <f t="shared" si="170"/>
        <v/>
      </c>
      <c r="L2825" s="32" t="str">
        <f t="shared" si="171"/>
        <v/>
      </c>
      <c r="M2825" s="32" t="str">
        <f t="shared" si="172"/>
        <v/>
      </c>
      <c r="N2825" s="4"/>
      <c r="AG2825" t="s">
        <v>2535</v>
      </c>
      <c r="AM2825" s="1"/>
    </row>
    <row r="2826" spans="1:39" x14ac:dyDescent="0.35">
      <c r="A2826">
        <v>2822</v>
      </c>
      <c r="B2826">
        <v>2823</v>
      </c>
      <c r="F2826" s="64"/>
      <c r="G2826" s="64"/>
      <c r="H2826" s="64" t="s">
        <v>26</v>
      </c>
      <c r="I2826" s="64"/>
      <c r="J2826" s="32" t="str">
        <f>IF(AND(E2826=1,OR(E2825=0,E2825="")),MAX(#REF!)+1,IF(AND(E2826=1,E2825=1),J2825,""))</f>
        <v/>
      </c>
      <c r="K2826" s="32" t="str">
        <f t="shared" si="170"/>
        <v/>
      </c>
      <c r="L2826" s="32" t="str">
        <f t="shared" si="171"/>
        <v/>
      </c>
      <c r="M2826" s="32" t="str">
        <f t="shared" si="172"/>
        <v/>
      </c>
      <c r="N2826" s="4"/>
      <c r="AG2826" t="s">
        <v>2536</v>
      </c>
      <c r="AM2826" s="1"/>
    </row>
    <row r="2827" spans="1:39" x14ac:dyDescent="0.35">
      <c r="A2827">
        <v>2823</v>
      </c>
      <c r="B2827">
        <v>2824</v>
      </c>
      <c r="F2827" s="64"/>
      <c r="G2827" s="64"/>
      <c r="H2827" s="64" t="s">
        <v>26</v>
      </c>
      <c r="I2827" s="64"/>
      <c r="J2827" s="32" t="str">
        <f>IF(AND(E2827=1,OR(E2826=0,E2826="")),MAX(#REF!)+1,IF(AND(E2827=1,E2826=1),J2826,""))</f>
        <v/>
      </c>
      <c r="K2827" s="32" t="str">
        <f t="shared" si="170"/>
        <v/>
      </c>
      <c r="L2827" s="32" t="str">
        <f t="shared" si="171"/>
        <v/>
      </c>
      <c r="M2827" s="32" t="str">
        <f t="shared" si="172"/>
        <v/>
      </c>
      <c r="N2827" s="4"/>
      <c r="AG2827" t="s">
        <v>2537</v>
      </c>
      <c r="AM2827" s="1"/>
    </row>
    <row r="2828" spans="1:39" x14ac:dyDescent="0.35">
      <c r="A2828">
        <v>2824</v>
      </c>
      <c r="B2828">
        <v>2825</v>
      </c>
      <c r="F2828" s="64"/>
      <c r="G2828" s="64"/>
      <c r="H2828" s="64" t="s">
        <v>26</v>
      </c>
      <c r="I2828" s="64"/>
      <c r="J2828" s="32" t="str">
        <f>IF(AND(E2828=1,OR(E2827=0,E2827="")),MAX(#REF!)+1,IF(AND(E2828=1,E2827=1),J2827,""))</f>
        <v/>
      </c>
      <c r="K2828" s="32" t="str">
        <f t="shared" si="170"/>
        <v/>
      </c>
      <c r="L2828" s="32" t="str">
        <f t="shared" si="171"/>
        <v/>
      </c>
      <c r="M2828" s="32" t="str">
        <f t="shared" si="172"/>
        <v/>
      </c>
      <c r="N2828" s="4"/>
      <c r="AG2828" t="s">
        <v>2538</v>
      </c>
      <c r="AM2828" s="1"/>
    </row>
    <row r="2829" spans="1:39" x14ac:dyDescent="0.35">
      <c r="A2829">
        <v>2825</v>
      </c>
      <c r="B2829">
        <v>2826</v>
      </c>
      <c r="F2829" s="64"/>
      <c r="G2829" s="64"/>
      <c r="H2829" s="64" t="s">
        <v>26</v>
      </c>
      <c r="I2829" s="64"/>
      <c r="J2829" s="32" t="str">
        <f>IF(AND(E2829=1,OR(E2828=0,E2828="")),MAX(#REF!)+1,IF(AND(E2829=1,E2828=1),J2828,""))</f>
        <v/>
      </c>
      <c r="K2829" s="32" t="str">
        <f t="shared" si="170"/>
        <v/>
      </c>
      <c r="L2829" s="32" t="str">
        <f t="shared" si="171"/>
        <v/>
      </c>
      <c r="M2829" s="32" t="str">
        <f t="shared" si="172"/>
        <v/>
      </c>
      <c r="N2829" s="4"/>
      <c r="AG2829" t="s">
        <v>2539</v>
      </c>
      <c r="AM2829" s="1"/>
    </row>
    <row r="2830" spans="1:39" x14ac:dyDescent="0.35">
      <c r="A2830">
        <v>2826</v>
      </c>
      <c r="B2830">
        <v>2827</v>
      </c>
      <c r="F2830" s="64"/>
      <c r="G2830" s="64"/>
      <c r="H2830" s="64" t="s">
        <v>26</v>
      </c>
      <c r="I2830" s="64"/>
      <c r="J2830" s="32"/>
      <c r="K2830" s="32" t="str">
        <f t="shared" si="170"/>
        <v/>
      </c>
      <c r="L2830" s="32" t="str">
        <f t="shared" si="171"/>
        <v/>
      </c>
      <c r="M2830" s="32" t="str">
        <f t="shared" si="172"/>
        <v/>
      </c>
      <c r="N2830" s="4"/>
      <c r="AG2830" t="s">
        <v>2540</v>
      </c>
      <c r="AM2830" s="1"/>
    </row>
    <row r="2831" spans="1:39" x14ac:dyDescent="0.35">
      <c r="A2831">
        <v>2827</v>
      </c>
      <c r="B2831">
        <v>2828</v>
      </c>
      <c r="F2831" s="64"/>
      <c r="G2831" s="64"/>
      <c r="H2831" s="64" t="s">
        <v>26</v>
      </c>
      <c r="I2831" s="64"/>
      <c r="J2831" s="32" t="str">
        <f>IF(AND(E2831=1,OR(E2830=0,E2830="")),MAX(#REF!)+1,IF(AND(E2831=1,E2830=1),J2830,""))</f>
        <v/>
      </c>
      <c r="K2831" s="32" t="str">
        <f t="shared" si="170"/>
        <v/>
      </c>
      <c r="L2831" s="32" t="str">
        <f t="shared" si="171"/>
        <v/>
      </c>
      <c r="M2831" s="32" t="str">
        <f t="shared" si="172"/>
        <v/>
      </c>
      <c r="N2831" s="4"/>
      <c r="AG2831" t="s">
        <v>2541</v>
      </c>
      <c r="AM2831" s="1"/>
    </row>
    <row r="2832" spans="1:39" x14ac:dyDescent="0.35">
      <c r="A2832">
        <v>2828</v>
      </c>
      <c r="B2832">
        <v>2829</v>
      </c>
      <c r="F2832" s="64"/>
      <c r="G2832" s="64"/>
      <c r="H2832" s="64" t="s">
        <v>26</v>
      </c>
      <c r="I2832" s="64"/>
      <c r="J2832" s="32" t="str">
        <f>IF(AND(E2832=1,OR(E2831=0,E2831="")),MAX(#REF!)+1,IF(AND(E2832=1,E2831=1),J2831,""))</f>
        <v/>
      </c>
      <c r="K2832" s="32" t="str">
        <f t="shared" si="170"/>
        <v/>
      </c>
      <c r="L2832" s="32" t="str">
        <f t="shared" si="171"/>
        <v/>
      </c>
      <c r="M2832" s="32" t="str">
        <f t="shared" si="172"/>
        <v/>
      </c>
      <c r="N2832" s="4"/>
      <c r="AG2832" t="s">
        <v>2542</v>
      </c>
      <c r="AM2832" s="1"/>
    </row>
    <row r="2833" spans="1:39" x14ac:dyDescent="0.35">
      <c r="A2833">
        <v>2829</v>
      </c>
      <c r="B2833">
        <v>2830</v>
      </c>
      <c r="F2833" s="64"/>
      <c r="G2833" s="64"/>
      <c r="H2833" s="64" t="s">
        <v>26</v>
      </c>
      <c r="I2833" s="64"/>
      <c r="J2833" s="32" t="str">
        <f>IF(AND(E2833=1,OR(E2832=0,E2832="")),MAX(#REF!)+1,IF(AND(E2833=1,E2832=1),J2832,""))</f>
        <v/>
      </c>
      <c r="K2833" s="32" t="str">
        <f t="shared" si="170"/>
        <v/>
      </c>
      <c r="L2833" s="32" t="str">
        <f t="shared" si="171"/>
        <v/>
      </c>
      <c r="M2833" s="32" t="str">
        <f t="shared" si="172"/>
        <v/>
      </c>
      <c r="N2833" s="4"/>
      <c r="AG2833" t="s">
        <v>2543</v>
      </c>
      <c r="AM2833" s="1"/>
    </row>
    <row r="2834" spans="1:39" x14ac:dyDescent="0.35">
      <c r="A2834">
        <v>2830</v>
      </c>
      <c r="B2834">
        <v>2831</v>
      </c>
      <c r="F2834" s="64"/>
      <c r="G2834" s="64"/>
      <c r="H2834" s="64" t="s">
        <v>26</v>
      </c>
      <c r="I2834" s="64"/>
      <c r="J2834" s="32" t="str">
        <f>IF(AND(E2834=1,OR(E2833=0,E2833="")),MAX(#REF!)+1,IF(AND(E2834=1,E2833=1),J2833,""))</f>
        <v/>
      </c>
      <c r="K2834" s="32" t="str">
        <f t="shared" si="170"/>
        <v/>
      </c>
      <c r="L2834" s="32" t="str">
        <f t="shared" si="171"/>
        <v/>
      </c>
      <c r="M2834" s="32" t="str">
        <f t="shared" si="172"/>
        <v/>
      </c>
      <c r="N2834" s="4"/>
      <c r="AG2834" t="s">
        <v>2544</v>
      </c>
      <c r="AM2834" s="1"/>
    </row>
    <row r="2835" spans="1:39" x14ac:dyDescent="0.35">
      <c r="A2835">
        <v>2831</v>
      </c>
      <c r="B2835">
        <v>2832</v>
      </c>
      <c r="F2835" s="64"/>
      <c r="G2835" s="64"/>
      <c r="H2835" s="64" t="s">
        <v>26</v>
      </c>
      <c r="I2835" s="64"/>
      <c r="J2835" s="32" t="str">
        <f>IF(AND(E2835=1,OR(E2834=0,E2834="")),MAX(#REF!)+1,IF(AND(E2835=1,E2834=1),J2834,""))</f>
        <v/>
      </c>
      <c r="K2835" s="32" t="str">
        <f t="shared" si="170"/>
        <v/>
      </c>
      <c r="L2835" s="32" t="str">
        <f t="shared" si="171"/>
        <v/>
      </c>
      <c r="M2835" s="32" t="str">
        <f t="shared" si="172"/>
        <v/>
      </c>
      <c r="N2835" s="4"/>
      <c r="AG2835" t="s">
        <v>2545</v>
      </c>
      <c r="AM2835" s="1"/>
    </row>
    <row r="2836" spans="1:39" x14ac:dyDescent="0.35">
      <c r="A2836">
        <v>2832</v>
      </c>
      <c r="B2836">
        <v>2833</v>
      </c>
      <c r="F2836" s="64"/>
      <c r="G2836" s="64"/>
      <c r="H2836" s="64" t="s">
        <v>26</v>
      </c>
      <c r="I2836" s="64"/>
      <c r="J2836" s="32" t="str">
        <f>IF(AND(E2836=1,OR(E2835=0,E2835="")),MAX(#REF!)+1,IF(AND(E2836=1,E2835=1),J2835,""))</f>
        <v/>
      </c>
      <c r="K2836" s="32" t="str">
        <f t="shared" si="170"/>
        <v/>
      </c>
      <c r="L2836" s="32" t="str">
        <f t="shared" si="171"/>
        <v/>
      </c>
      <c r="M2836" s="32" t="str">
        <f t="shared" si="172"/>
        <v/>
      </c>
      <c r="N2836" s="4"/>
      <c r="AG2836" t="s">
        <v>2546</v>
      </c>
      <c r="AM2836" s="1"/>
    </row>
    <row r="2837" spans="1:39" x14ac:dyDescent="0.35">
      <c r="A2837">
        <v>2833</v>
      </c>
      <c r="B2837">
        <v>2834</v>
      </c>
      <c r="F2837" s="64"/>
      <c r="G2837" s="64"/>
      <c r="H2837" s="64" t="s">
        <v>26</v>
      </c>
      <c r="I2837" s="64"/>
      <c r="J2837" s="32" t="str">
        <f>IF(AND(E2837=1,OR(E2836=0,E2836="")),MAX(#REF!)+1,IF(AND(E2837=1,E2836=1),J2836,""))</f>
        <v/>
      </c>
      <c r="K2837" s="32" t="str">
        <f t="shared" si="170"/>
        <v/>
      </c>
      <c r="L2837" s="32" t="str">
        <f t="shared" si="171"/>
        <v/>
      </c>
      <c r="M2837" s="32" t="str">
        <f t="shared" si="172"/>
        <v/>
      </c>
      <c r="N2837" s="4"/>
      <c r="AG2837" t="s">
        <v>2547</v>
      </c>
      <c r="AM2837" s="1"/>
    </row>
    <row r="2838" spans="1:39" x14ac:dyDescent="0.35">
      <c r="A2838">
        <v>2834</v>
      </c>
      <c r="B2838">
        <v>2835</v>
      </c>
      <c r="F2838" s="64"/>
      <c r="G2838" s="64"/>
      <c r="H2838" s="64" t="s">
        <v>26</v>
      </c>
      <c r="I2838" s="64"/>
      <c r="J2838" s="32" t="str">
        <f>IF(AND(E2838=1,OR(E2837=0,E2837="")),MAX(#REF!)+1,IF(AND(E2838=1,E2837=1),J2837,""))</f>
        <v/>
      </c>
      <c r="K2838" s="32" t="str">
        <f t="shared" si="170"/>
        <v/>
      </c>
      <c r="L2838" s="32" t="str">
        <f t="shared" si="171"/>
        <v/>
      </c>
      <c r="M2838" s="32" t="str">
        <f t="shared" si="172"/>
        <v/>
      </c>
      <c r="N2838" s="4"/>
      <c r="AG2838" t="s">
        <v>2548</v>
      </c>
      <c r="AM2838" s="1"/>
    </row>
    <row r="2839" spans="1:39" x14ac:dyDescent="0.35">
      <c r="A2839">
        <v>2835</v>
      </c>
      <c r="B2839">
        <v>2836</v>
      </c>
      <c r="F2839" s="64"/>
      <c r="G2839" s="64"/>
      <c r="H2839" s="64" t="s">
        <v>26</v>
      </c>
      <c r="I2839" s="64"/>
      <c r="J2839" s="32" t="str">
        <f>IF(AND(E2839=1,OR(E2838=0,E2838="")),MAX(#REF!)+1,IF(AND(E2839=1,E2838=1),J2838,""))</f>
        <v/>
      </c>
      <c r="K2839" s="32" t="str">
        <f t="shared" si="170"/>
        <v/>
      </c>
      <c r="L2839" s="32" t="str">
        <f t="shared" si="171"/>
        <v/>
      </c>
      <c r="M2839" s="32" t="str">
        <f t="shared" si="172"/>
        <v/>
      </c>
      <c r="N2839" s="4"/>
      <c r="AG2839" t="s">
        <v>2549</v>
      </c>
      <c r="AM2839" s="1"/>
    </row>
    <row r="2840" spans="1:39" x14ac:dyDescent="0.35">
      <c r="A2840">
        <v>2836</v>
      </c>
      <c r="B2840">
        <v>2837</v>
      </c>
      <c r="F2840" s="64"/>
      <c r="G2840" s="64"/>
      <c r="H2840" s="64" t="s">
        <v>26</v>
      </c>
      <c r="I2840" s="64"/>
      <c r="J2840" s="32" t="str">
        <f>IF(AND(E2840=1,OR(E2839=0,E2839="")),MAX(#REF!)+1,IF(AND(E2840=1,E2839=1),J2839,""))</f>
        <v/>
      </c>
      <c r="K2840" s="32" t="str">
        <f t="shared" si="170"/>
        <v/>
      </c>
      <c r="L2840" s="32" t="str">
        <f t="shared" si="171"/>
        <v/>
      </c>
      <c r="M2840" s="32" t="str">
        <f t="shared" si="172"/>
        <v/>
      </c>
      <c r="N2840" s="4"/>
      <c r="AG2840" t="s">
        <v>2550</v>
      </c>
      <c r="AM2840" s="1"/>
    </row>
    <row r="2841" spans="1:39" x14ac:dyDescent="0.35">
      <c r="A2841">
        <v>2837</v>
      </c>
      <c r="B2841">
        <v>2838</v>
      </c>
      <c r="F2841" s="64"/>
      <c r="G2841" s="64"/>
      <c r="H2841" s="64" t="s">
        <v>26</v>
      </c>
      <c r="I2841" s="64"/>
      <c r="J2841" s="32" t="str">
        <f>IF(AND(E2841=1,OR(E2840=0,E2840="")),MAX(#REF!)+1,IF(AND(E2841=1,E2840=1),J2840,""))</f>
        <v/>
      </c>
      <c r="K2841" s="32" t="str">
        <f t="shared" si="170"/>
        <v/>
      </c>
      <c r="L2841" s="32" t="str">
        <f t="shared" si="171"/>
        <v/>
      </c>
      <c r="M2841" s="32" t="str">
        <f t="shared" si="172"/>
        <v/>
      </c>
      <c r="N2841" s="4"/>
      <c r="AG2841" t="s">
        <v>2551</v>
      </c>
      <c r="AM2841" s="1"/>
    </row>
    <row r="2842" spans="1:39" x14ac:dyDescent="0.35">
      <c r="A2842">
        <v>2838</v>
      </c>
      <c r="B2842">
        <v>2839</v>
      </c>
      <c r="F2842" s="64"/>
      <c r="G2842" s="64"/>
      <c r="H2842" s="64" t="s">
        <v>26</v>
      </c>
      <c r="I2842" s="64"/>
      <c r="J2842" s="32" t="str">
        <f>IF(AND(E2842=1,OR(E2841=0,E2841="")),MAX(#REF!)+1,IF(AND(E2842=1,E2841=1),J2841,""))</f>
        <v/>
      </c>
      <c r="K2842" s="32" t="str">
        <f t="shared" si="170"/>
        <v/>
      </c>
      <c r="L2842" s="32" t="str">
        <f t="shared" si="171"/>
        <v/>
      </c>
      <c r="M2842" s="32" t="str">
        <f t="shared" si="172"/>
        <v/>
      </c>
      <c r="N2842" s="4"/>
      <c r="AG2842" t="s">
        <v>2552</v>
      </c>
      <c r="AM2842" s="1"/>
    </row>
    <row r="2843" spans="1:39" x14ac:dyDescent="0.35">
      <c r="A2843">
        <v>2839</v>
      </c>
      <c r="B2843">
        <v>2840</v>
      </c>
      <c r="F2843" s="64"/>
      <c r="G2843" s="64"/>
      <c r="H2843" s="64" t="s">
        <v>26</v>
      </c>
      <c r="I2843" s="64"/>
      <c r="J2843" s="32" t="str">
        <f>IF(AND(E2843=1,OR(E2842=0,E2842="")),MAX(#REF!)+1,IF(AND(E2843=1,E2842=1),J2842,""))</f>
        <v/>
      </c>
      <c r="K2843" s="32" t="str">
        <f t="shared" si="170"/>
        <v/>
      </c>
      <c r="L2843" s="32" t="str">
        <f t="shared" si="171"/>
        <v/>
      </c>
      <c r="M2843" s="32" t="str">
        <f t="shared" si="172"/>
        <v/>
      </c>
      <c r="N2843" s="4"/>
      <c r="AG2843" t="s">
        <v>2553</v>
      </c>
      <c r="AM2843" s="1"/>
    </row>
    <row r="2844" spans="1:39" x14ac:dyDescent="0.35">
      <c r="A2844">
        <v>2840</v>
      </c>
      <c r="B2844">
        <v>2841</v>
      </c>
      <c r="F2844" s="64"/>
      <c r="G2844" s="64"/>
      <c r="H2844" s="64" t="s">
        <v>26</v>
      </c>
      <c r="I2844" s="64"/>
      <c r="J2844" s="32" t="str">
        <f>IF(AND(E2844=1,OR(E2843=0,E2843="")),MAX(#REF!)+1,IF(AND(E2844=1,E2843=1),J2843,""))</f>
        <v/>
      </c>
      <c r="K2844" s="32" t="str">
        <f t="shared" si="170"/>
        <v/>
      </c>
      <c r="L2844" s="32" t="str">
        <f t="shared" si="171"/>
        <v/>
      </c>
      <c r="M2844" s="32" t="str">
        <f t="shared" si="172"/>
        <v/>
      </c>
      <c r="N2844" s="4"/>
      <c r="AG2844" t="s">
        <v>2554</v>
      </c>
      <c r="AM2844" s="1"/>
    </row>
    <row r="2845" spans="1:39" x14ac:dyDescent="0.35">
      <c r="A2845">
        <v>2841</v>
      </c>
      <c r="B2845">
        <v>2842</v>
      </c>
      <c r="F2845" s="64"/>
      <c r="G2845" s="64"/>
      <c r="H2845" s="64" t="s">
        <v>26</v>
      </c>
      <c r="I2845" s="64"/>
      <c r="J2845" s="32" t="str">
        <f>IF(AND(E2845=1,OR(E2844=0,E2844="")),MAX(#REF!)+1,IF(AND(E2845=1,E2844=1),J2844,""))</f>
        <v/>
      </c>
      <c r="K2845" s="32" t="str">
        <f t="shared" si="170"/>
        <v/>
      </c>
      <c r="L2845" s="32" t="str">
        <f t="shared" si="171"/>
        <v/>
      </c>
      <c r="M2845" s="32" t="str">
        <f t="shared" si="172"/>
        <v/>
      </c>
      <c r="N2845" s="4"/>
      <c r="AG2845" t="s">
        <v>2555</v>
      </c>
      <c r="AM2845" s="1"/>
    </row>
    <row r="2846" spans="1:39" x14ac:dyDescent="0.35">
      <c r="A2846">
        <v>2842</v>
      </c>
      <c r="B2846">
        <v>2843</v>
      </c>
      <c r="F2846" s="64"/>
      <c r="G2846" s="64"/>
      <c r="H2846" s="64" t="s">
        <v>26</v>
      </c>
      <c r="I2846" s="64"/>
      <c r="J2846" s="32" t="str">
        <f>IF(AND(E2846=1,OR(E2845=0,E2845="")),MAX(#REF!)+1,IF(AND(E2846=1,E2845=1),J2845,""))</f>
        <v/>
      </c>
      <c r="K2846" s="32" t="str">
        <f t="shared" si="170"/>
        <v/>
      </c>
      <c r="L2846" s="32" t="str">
        <f t="shared" si="171"/>
        <v/>
      </c>
      <c r="M2846" s="32" t="str">
        <f t="shared" si="172"/>
        <v/>
      </c>
      <c r="N2846" s="4"/>
      <c r="AG2846" t="s">
        <v>2556</v>
      </c>
      <c r="AM2846" s="1"/>
    </row>
    <row r="2847" spans="1:39" x14ac:dyDescent="0.35">
      <c r="A2847">
        <v>2843</v>
      </c>
      <c r="B2847">
        <v>2844</v>
      </c>
      <c r="F2847" s="64"/>
      <c r="G2847" s="64"/>
      <c r="H2847" s="64" t="s">
        <v>26</v>
      </c>
      <c r="I2847" s="64"/>
      <c r="J2847" s="32" t="str">
        <f>IF(AND(E2847=1,OR(E2846=0,E2846="")),MAX(#REF!)+1,IF(AND(E2847=1,E2846=1),J2846,""))</f>
        <v/>
      </c>
      <c r="K2847" s="32" t="str">
        <f t="shared" ref="K2847:K2910" si="173">IF(J2847="","",COUNTIF(J:J,J2847)*10)</f>
        <v/>
      </c>
      <c r="L2847" s="32" t="str">
        <f t="shared" si="171"/>
        <v/>
      </c>
      <c r="M2847" s="32" t="str">
        <f t="shared" si="172"/>
        <v/>
      </c>
      <c r="N2847" s="4"/>
      <c r="AG2847" t="s">
        <v>2557</v>
      </c>
      <c r="AM2847" s="1"/>
    </row>
    <row r="2848" spans="1:39" x14ac:dyDescent="0.35">
      <c r="A2848">
        <v>2844</v>
      </c>
      <c r="B2848">
        <v>2845</v>
      </c>
      <c r="F2848" s="64"/>
      <c r="G2848" s="64"/>
      <c r="H2848" s="64" t="s">
        <v>26</v>
      </c>
      <c r="I2848" s="64"/>
      <c r="J2848" s="32" t="str">
        <f>IF(AND(E2848=1,OR(E2847=0,E2847="")),MAX(#REF!)+1,IF(AND(E2848=1,E2847=1),J2847,""))</f>
        <v/>
      </c>
      <c r="K2848" s="32" t="str">
        <f t="shared" si="173"/>
        <v/>
      </c>
      <c r="L2848" s="32" t="str">
        <f t="shared" si="171"/>
        <v/>
      </c>
      <c r="M2848" s="32" t="str">
        <f t="shared" si="172"/>
        <v/>
      </c>
      <c r="N2848" s="4"/>
      <c r="AG2848" t="s">
        <v>2558</v>
      </c>
      <c r="AM2848" s="1"/>
    </row>
    <row r="2849" spans="1:39" x14ac:dyDescent="0.35">
      <c r="A2849">
        <v>2845</v>
      </c>
      <c r="B2849">
        <v>2846</v>
      </c>
      <c r="F2849" s="64"/>
      <c r="G2849" s="64"/>
      <c r="H2849" s="64" t="s">
        <v>26</v>
      </c>
      <c r="I2849" s="64"/>
      <c r="J2849" s="32" t="str">
        <f>IF(AND(E2849=1,OR(E2848=0,E2848="")),MAX(#REF!)+1,IF(AND(E2849=1,E2848=1),J2848,""))</f>
        <v/>
      </c>
      <c r="K2849" s="32" t="str">
        <f t="shared" si="173"/>
        <v/>
      </c>
      <c r="L2849" s="32" t="str">
        <f t="shared" si="171"/>
        <v/>
      </c>
      <c r="M2849" s="32" t="str">
        <f t="shared" si="172"/>
        <v/>
      </c>
      <c r="N2849" s="4"/>
      <c r="AG2849" t="s">
        <v>2559</v>
      </c>
      <c r="AM2849" s="1"/>
    </row>
    <row r="2850" spans="1:39" x14ac:dyDescent="0.35">
      <c r="A2850">
        <v>2846</v>
      </c>
      <c r="B2850">
        <v>2847</v>
      </c>
      <c r="F2850" s="64"/>
      <c r="G2850" s="64"/>
      <c r="H2850" s="64" t="s">
        <v>26</v>
      </c>
      <c r="I2850" s="64"/>
      <c r="J2850" s="32" t="str">
        <f>IF(AND(E2850=1,OR(E2849=0,E2849="")),MAX(#REF!)+1,IF(AND(E2850=1,E2849=1),J2849,""))</f>
        <v/>
      </c>
      <c r="K2850" s="32" t="str">
        <f t="shared" si="173"/>
        <v/>
      </c>
      <c r="L2850" s="32" t="str">
        <f t="shared" si="171"/>
        <v/>
      </c>
      <c r="M2850" s="32" t="str">
        <f t="shared" si="172"/>
        <v/>
      </c>
      <c r="N2850" s="4"/>
      <c r="AG2850" t="s">
        <v>2560</v>
      </c>
      <c r="AM2850" s="1"/>
    </row>
    <row r="2851" spans="1:39" x14ac:dyDescent="0.35">
      <c r="A2851">
        <v>2847</v>
      </c>
      <c r="B2851">
        <v>2848</v>
      </c>
      <c r="F2851" s="64"/>
      <c r="G2851" s="64"/>
      <c r="H2851" s="64" t="s">
        <v>26</v>
      </c>
      <c r="I2851" s="64"/>
      <c r="J2851" s="32" t="str">
        <f>IF(AND(E2851=1,OR(E2850=0,E2850="")),MAX(#REF!)+1,IF(AND(E2851=1,E2850=1),J2850,""))</f>
        <v/>
      </c>
      <c r="K2851" s="32" t="str">
        <f t="shared" si="173"/>
        <v/>
      </c>
      <c r="L2851" s="32" t="str">
        <f t="shared" si="171"/>
        <v/>
      </c>
      <c r="M2851" s="32" t="str">
        <f t="shared" si="172"/>
        <v/>
      </c>
      <c r="N2851" s="4"/>
      <c r="AG2851" t="s">
        <v>2561</v>
      </c>
      <c r="AM2851" s="1"/>
    </row>
    <row r="2852" spans="1:39" x14ac:dyDescent="0.35">
      <c r="A2852">
        <v>2848</v>
      </c>
      <c r="B2852">
        <v>2849</v>
      </c>
      <c r="F2852" s="64"/>
      <c r="G2852" s="64"/>
      <c r="H2852" s="64" t="s">
        <v>26</v>
      </c>
      <c r="I2852" s="64"/>
      <c r="J2852" s="32" t="str">
        <f>IF(AND(E2852=1,OR(E2851=0,E2851="")),MAX(#REF!)+1,IF(AND(E2852=1,E2851=1),J2851,""))</f>
        <v/>
      </c>
      <c r="K2852" s="32" t="str">
        <f t="shared" si="173"/>
        <v/>
      </c>
      <c r="L2852" s="32" t="str">
        <f t="shared" si="171"/>
        <v/>
      </c>
      <c r="M2852" s="32" t="str">
        <f t="shared" si="172"/>
        <v/>
      </c>
      <c r="N2852" s="4"/>
      <c r="AG2852" t="s">
        <v>2562</v>
      </c>
      <c r="AM2852" s="1"/>
    </row>
    <row r="2853" spans="1:39" x14ac:dyDescent="0.35">
      <c r="A2853">
        <v>2849</v>
      </c>
      <c r="B2853">
        <v>2850</v>
      </c>
      <c r="F2853" s="64"/>
      <c r="G2853" s="64"/>
      <c r="H2853" s="64" t="s">
        <v>26</v>
      </c>
      <c r="I2853" s="64"/>
      <c r="J2853" s="32" t="str">
        <f>IF(AND(E2853=1,OR(E2852=0,E2852="")),MAX(#REF!)+1,IF(AND(E2853=1,E2852=1),J2852,""))</f>
        <v/>
      </c>
      <c r="K2853" s="32" t="str">
        <f t="shared" si="173"/>
        <v/>
      </c>
      <c r="L2853" s="32" t="str">
        <f t="shared" si="171"/>
        <v/>
      </c>
      <c r="M2853" s="32" t="str">
        <f t="shared" si="172"/>
        <v/>
      </c>
      <c r="N2853" s="4"/>
      <c r="AG2853" t="s">
        <v>2563</v>
      </c>
      <c r="AM2853" s="1"/>
    </row>
    <row r="2854" spans="1:39" x14ac:dyDescent="0.35">
      <c r="A2854">
        <v>2850</v>
      </c>
      <c r="B2854">
        <v>2851</v>
      </c>
      <c r="F2854" s="64"/>
      <c r="G2854" s="64"/>
      <c r="H2854" s="64" t="s">
        <v>26</v>
      </c>
      <c r="I2854" s="64"/>
      <c r="J2854" s="32" t="str">
        <f>IF(AND(E2854=1,OR(E2853=0,E2853="")),MAX(#REF!)+1,IF(AND(E2854=1,E2853=1),J2853,""))</f>
        <v/>
      </c>
      <c r="K2854" s="32" t="str">
        <f t="shared" si="173"/>
        <v/>
      </c>
      <c r="L2854" s="32" t="str">
        <f t="shared" si="171"/>
        <v/>
      </c>
      <c r="M2854" s="32" t="str">
        <f t="shared" si="172"/>
        <v/>
      </c>
      <c r="N2854" s="4"/>
      <c r="AG2854" t="s">
        <v>2564</v>
      </c>
      <c r="AM2854" s="1"/>
    </row>
    <row r="2855" spans="1:39" x14ac:dyDescent="0.35">
      <c r="A2855">
        <v>2851</v>
      </c>
      <c r="B2855">
        <v>2852</v>
      </c>
      <c r="F2855" s="64"/>
      <c r="G2855" s="64"/>
      <c r="H2855" s="64" t="s">
        <v>26</v>
      </c>
      <c r="I2855" s="64"/>
      <c r="J2855" s="32" t="str">
        <f>IF(AND(E2855=1,OR(E2854=0,E2854="")),MAX(#REF!)+1,IF(AND(E2855=1,E2854=1),J2854,""))</f>
        <v/>
      </c>
      <c r="K2855" s="32" t="str">
        <f t="shared" si="173"/>
        <v/>
      </c>
      <c r="L2855" s="32" t="str">
        <f t="shared" si="171"/>
        <v/>
      </c>
      <c r="M2855" s="32" t="str">
        <f t="shared" si="172"/>
        <v/>
      </c>
      <c r="N2855" s="4"/>
      <c r="AG2855" t="s">
        <v>2565</v>
      </c>
      <c r="AM2855" s="1"/>
    </row>
    <row r="2856" spans="1:39" x14ac:dyDescent="0.35">
      <c r="A2856">
        <v>2852</v>
      </c>
      <c r="B2856">
        <v>2853</v>
      </c>
      <c r="F2856" s="64"/>
      <c r="G2856" s="64"/>
      <c r="H2856" s="64" t="s">
        <v>26</v>
      </c>
      <c r="I2856" s="64"/>
      <c r="J2856" s="32" t="str">
        <f>IF(AND(E2856=1,OR(E2855=0,E2855="")),MAX(#REF!)+1,IF(AND(E2856=1,E2855=1),J2855,""))</f>
        <v/>
      </c>
      <c r="K2856" s="32" t="str">
        <f t="shared" si="173"/>
        <v/>
      </c>
      <c r="L2856" s="32" t="str">
        <f t="shared" si="171"/>
        <v/>
      </c>
      <c r="M2856" s="32" t="str">
        <f t="shared" si="172"/>
        <v/>
      </c>
      <c r="N2856" s="4"/>
      <c r="AG2856" t="s">
        <v>2566</v>
      </c>
      <c r="AM2856" s="1"/>
    </row>
    <row r="2857" spans="1:39" x14ac:dyDescent="0.35">
      <c r="A2857">
        <v>2853</v>
      </c>
      <c r="B2857">
        <v>2854</v>
      </c>
      <c r="F2857" s="64"/>
      <c r="G2857" s="64"/>
      <c r="H2857" s="64" t="s">
        <v>26</v>
      </c>
      <c r="I2857" s="64"/>
      <c r="J2857" s="32" t="str">
        <f>IF(AND(E2857=1,OR(E2856=0,E2856="")),MAX(#REF!)+1,IF(AND(E2857=1,E2856=1),J2856,""))</f>
        <v/>
      </c>
      <c r="K2857" s="32" t="str">
        <f t="shared" si="173"/>
        <v/>
      </c>
      <c r="L2857" s="32" t="str">
        <f t="shared" si="171"/>
        <v/>
      </c>
      <c r="M2857" s="32" t="str">
        <f t="shared" si="172"/>
        <v/>
      </c>
      <c r="N2857" s="4"/>
      <c r="AG2857" t="s">
        <v>2567</v>
      </c>
      <c r="AM2857" s="1"/>
    </row>
    <row r="2858" spans="1:39" x14ac:dyDescent="0.35">
      <c r="A2858">
        <v>2854</v>
      </c>
      <c r="B2858">
        <v>2855</v>
      </c>
      <c r="F2858" s="64"/>
      <c r="G2858" s="64"/>
      <c r="H2858" s="64" t="s">
        <v>26</v>
      </c>
      <c r="I2858" s="64"/>
      <c r="J2858" s="32" t="str">
        <f>IF(AND(E2858=1,OR(E2857=0,E2857="")),MAX(#REF!)+1,IF(AND(E2858=1,E2857=1),J2857,""))</f>
        <v/>
      </c>
      <c r="K2858" s="32" t="str">
        <f t="shared" si="173"/>
        <v/>
      </c>
      <c r="L2858" s="32" t="str">
        <f t="shared" si="171"/>
        <v/>
      </c>
      <c r="M2858" s="32" t="str">
        <f t="shared" si="172"/>
        <v/>
      </c>
      <c r="N2858" s="4"/>
      <c r="AG2858" t="s">
        <v>2568</v>
      </c>
      <c r="AM2858" s="1"/>
    </row>
    <row r="2859" spans="1:39" x14ac:dyDescent="0.35">
      <c r="A2859">
        <v>2855</v>
      </c>
      <c r="B2859">
        <v>2856</v>
      </c>
      <c r="F2859" s="64"/>
      <c r="G2859" s="64"/>
      <c r="H2859" s="64" t="s">
        <v>26</v>
      </c>
      <c r="I2859" s="64"/>
      <c r="J2859" s="32" t="str">
        <f>IF(AND(E2859=1,OR(E2858=0,E2858="")),MAX(#REF!)+1,IF(AND(E2859=1,E2858=1),J2858,""))</f>
        <v/>
      </c>
      <c r="K2859" s="32" t="str">
        <f t="shared" si="173"/>
        <v/>
      </c>
      <c r="L2859" s="32" t="str">
        <f t="shared" si="171"/>
        <v/>
      </c>
      <c r="M2859" s="32" t="str">
        <f t="shared" si="172"/>
        <v/>
      </c>
      <c r="N2859" s="4"/>
      <c r="AG2859" t="s">
        <v>2569</v>
      </c>
      <c r="AM2859" s="1"/>
    </row>
    <row r="2860" spans="1:39" x14ac:dyDescent="0.35">
      <c r="A2860">
        <v>2856</v>
      </c>
      <c r="B2860">
        <v>2857</v>
      </c>
      <c r="F2860" s="64"/>
      <c r="G2860" s="64"/>
      <c r="H2860" s="64" t="s">
        <v>26</v>
      </c>
      <c r="I2860" s="64"/>
      <c r="J2860" s="32" t="str">
        <f>IF(AND(E2860=1,OR(E2859=0,E2859="")),MAX(#REF!)+1,IF(AND(E2860=1,E2859=1),J2859,""))</f>
        <v/>
      </c>
      <c r="K2860" s="32" t="str">
        <f t="shared" si="173"/>
        <v/>
      </c>
      <c r="L2860" s="32" t="str">
        <f t="shared" si="171"/>
        <v/>
      </c>
      <c r="M2860" s="32" t="str">
        <f t="shared" si="172"/>
        <v/>
      </c>
      <c r="N2860" s="4"/>
      <c r="AG2860" t="s">
        <v>2570</v>
      </c>
      <c r="AM2860" s="1"/>
    </row>
    <row r="2861" spans="1:39" x14ac:dyDescent="0.35">
      <c r="A2861">
        <v>2857</v>
      </c>
      <c r="B2861">
        <v>2858</v>
      </c>
      <c r="F2861" s="64"/>
      <c r="G2861" s="64"/>
      <c r="H2861" s="64" t="s">
        <v>26</v>
      </c>
      <c r="I2861" s="64"/>
      <c r="J2861" s="32" t="str">
        <f>IF(AND(E2861=1,OR(E2860=0,E2860="")),MAX(#REF!)+1,IF(AND(E2861=1,E2860=1),J2860,""))</f>
        <v/>
      </c>
      <c r="K2861" s="32" t="str">
        <f t="shared" si="173"/>
        <v/>
      </c>
      <c r="L2861" s="32" t="str">
        <f t="shared" si="171"/>
        <v/>
      </c>
      <c r="M2861" s="32" t="str">
        <f t="shared" si="172"/>
        <v/>
      </c>
      <c r="N2861" s="4"/>
      <c r="AG2861" t="s">
        <v>2571</v>
      </c>
      <c r="AM2861" s="1"/>
    </row>
    <row r="2862" spans="1:39" x14ac:dyDescent="0.35">
      <c r="A2862">
        <v>2858</v>
      </c>
      <c r="B2862">
        <v>2859</v>
      </c>
      <c r="F2862" s="64"/>
      <c r="G2862" s="64"/>
      <c r="H2862" s="64" t="s">
        <v>26</v>
      </c>
      <c r="I2862" s="64"/>
      <c r="J2862" s="32" t="str">
        <f>IF(AND(E2862=1,OR(E2861=0,E2861="")),MAX(#REF!)+1,IF(AND(E2862=1,E2861=1),J2861,""))</f>
        <v/>
      </c>
      <c r="K2862" s="32" t="str">
        <f t="shared" si="173"/>
        <v/>
      </c>
      <c r="L2862" s="32" t="str">
        <f t="shared" si="171"/>
        <v/>
      </c>
      <c r="M2862" s="32" t="str">
        <f t="shared" si="172"/>
        <v/>
      </c>
      <c r="N2862" s="4"/>
      <c r="AG2862" t="s">
        <v>2572</v>
      </c>
      <c r="AM2862" s="1"/>
    </row>
    <row r="2863" spans="1:39" x14ac:dyDescent="0.35">
      <c r="A2863">
        <v>2859</v>
      </c>
      <c r="B2863">
        <v>2860</v>
      </c>
      <c r="F2863" s="64"/>
      <c r="G2863" s="64"/>
      <c r="H2863" s="64" t="s">
        <v>26</v>
      </c>
      <c r="I2863" s="64"/>
      <c r="J2863" s="32" t="str">
        <f>IF(AND(E2863=1,OR(E2862=0,E2862="")),MAX(#REF!)+1,IF(AND(E2863=1,E2862=1),J2862,""))</f>
        <v/>
      </c>
      <c r="K2863" s="32" t="str">
        <f t="shared" si="173"/>
        <v/>
      </c>
      <c r="L2863" s="32" t="str">
        <f t="shared" si="171"/>
        <v/>
      </c>
      <c r="M2863" s="32" t="str">
        <f t="shared" si="172"/>
        <v/>
      </c>
      <c r="N2863" s="4"/>
      <c r="AG2863" t="s">
        <v>2573</v>
      </c>
      <c r="AM2863" s="1"/>
    </row>
    <row r="2864" spans="1:39" x14ac:dyDescent="0.35">
      <c r="A2864">
        <v>2860</v>
      </c>
      <c r="B2864">
        <v>2861</v>
      </c>
      <c r="F2864" s="64"/>
      <c r="G2864" s="64"/>
      <c r="H2864" s="64" t="s">
        <v>26</v>
      </c>
      <c r="I2864" s="64"/>
      <c r="J2864" s="32" t="str">
        <f>IF(AND(E2864=1,OR(E2863=0,E2863="")),MAX(#REF!)+1,IF(AND(E2864=1,E2863=1),J2863,""))</f>
        <v/>
      </c>
      <c r="K2864" s="32" t="str">
        <f t="shared" si="173"/>
        <v/>
      </c>
      <c r="L2864" s="32" t="str">
        <f t="shared" si="171"/>
        <v/>
      </c>
      <c r="M2864" s="32" t="str">
        <f t="shared" si="172"/>
        <v/>
      </c>
      <c r="N2864" s="4"/>
      <c r="AG2864" t="s">
        <v>2574</v>
      </c>
      <c r="AM2864" s="1"/>
    </row>
    <row r="2865" spans="1:39" x14ac:dyDescent="0.35">
      <c r="A2865">
        <v>2861</v>
      </c>
      <c r="B2865">
        <v>2862</v>
      </c>
      <c r="F2865" s="64"/>
      <c r="G2865" s="64"/>
      <c r="H2865" s="64" t="s">
        <v>26</v>
      </c>
      <c r="I2865" s="64"/>
      <c r="J2865" s="32" t="str">
        <f>IF(AND(E2865=1,OR(E2864=0,E2864="")),MAX(#REF!)+1,IF(AND(E2865=1,E2864=1),J2864,""))</f>
        <v/>
      </c>
      <c r="K2865" s="32" t="str">
        <f t="shared" si="173"/>
        <v/>
      </c>
      <c r="L2865" s="32" t="str">
        <f t="shared" si="171"/>
        <v/>
      </c>
      <c r="M2865" s="32" t="str">
        <f t="shared" si="172"/>
        <v/>
      </c>
      <c r="N2865" s="4"/>
      <c r="AG2865" t="s">
        <v>2575</v>
      </c>
      <c r="AM2865" s="1"/>
    </row>
    <row r="2866" spans="1:39" x14ac:dyDescent="0.35">
      <c r="A2866">
        <v>2862</v>
      </c>
      <c r="B2866">
        <v>2863</v>
      </c>
      <c r="F2866" s="64"/>
      <c r="G2866" s="64"/>
      <c r="H2866" s="64" t="s">
        <v>26</v>
      </c>
      <c r="I2866" s="64"/>
      <c r="J2866" s="32" t="str">
        <f>IF(AND(E2866=1,OR(E2865=0,E2865="")),MAX(#REF!)+1,IF(AND(E2866=1,E2865=1),J2865,""))</f>
        <v/>
      </c>
      <c r="K2866" s="32" t="str">
        <f t="shared" si="173"/>
        <v/>
      </c>
      <c r="L2866" s="32" t="str">
        <f t="shared" si="171"/>
        <v/>
      </c>
      <c r="M2866" s="32" t="str">
        <f t="shared" si="172"/>
        <v/>
      </c>
      <c r="N2866" s="4"/>
      <c r="AG2866" t="s">
        <v>2576</v>
      </c>
      <c r="AM2866" s="1"/>
    </row>
    <row r="2867" spans="1:39" x14ac:dyDescent="0.35">
      <c r="A2867">
        <v>2863</v>
      </c>
      <c r="B2867">
        <v>2864</v>
      </c>
      <c r="F2867" s="64"/>
      <c r="G2867" s="64"/>
      <c r="H2867" s="64" t="s">
        <v>26</v>
      </c>
      <c r="I2867" s="64"/>
      <c r="J2867" s="32" t="str">
        <f>IF(AND(E2867=1,OR(E2866=0,E2866="")),MAX(#REF!)+1,IF(AND(E2867=1,E2866=1),J2866,""))</f>
        <v/>
      </c>
      <c r="K2867" s="32" t="str">
        <f t="shared" si="173"/>
        <v/>
      </c>
      <c r="L2867" s="32" t="str">
        <f t="shared" si="171"/>
        <v/>
      </c>
      <c r="M2867" s="32" t="str">
        <f t="shared" si="172"/>
        <v/>
      </c>
      <c r="N2867" s="4"/>
      <c r="AG2867" t="s">
        <v>2577</v>
      </c>
      <c r="AM2867" s="1"/>
    </row>
    <row r="2868" spans="1:39" x14ac:dyDescent="0.35">
      <c r="A2868">
        <v>2864</v>
      </c>
      <c r="B2868">
        <v>2865</v>
      </c>
      <c r="F2868" s="64"/>
      <c r="G2868" s="64"/>
      <c r="H2868" s="64" t="s">
        <v>26</v>
      </c>
      <c r="I2868" s="64"/>
      <c r="J2868" s="32" t="str">
        <f>IF(AND(E2868=1,OR(E2867=0,E2867="")),MAX(#REF!)+1,IF(AND(E2868=1,E2867=1),J2867,""))</f>
        <v/>
      </c>
      <c r="K2868" s="32" t="str">
        <f t="shared" si="173"/>
        <v/>
      </c>
      <c r="L2868" s="32" t="str">
        <f t="shared" si="171"/>
        <v/>
      </c>
      <c r="M2868" s="32" t="str">
        <f t="shared" si="172"/>
        <v/>
      </c>
      <c r="N2868" s="4"/>
      <c r="AG2868" t="s">
        <v>2578</v>
      </c>
      <c r="AM2868" s="1"/>
    </row>
    <row r="2869" spans="1:39" x14ac:dyDescent="0.35">
      <c r="A2869">
        <v>2865</v>
      </c>
      <c r="B2869">
        <v>2866</v>
      </c>
      <c r="F2869" s="64"/>
      <c r="G2869" s="64"/>
      <c r="H2869" s="64" t="s">
        <v>26</v>
      </c>
      <c r="I2869" s="64"/>
      <c r="J2869" s="32" t="str">
        <f>IF(AND(E2869=1,OR(E2868=0,E2868="")),MAX(#REF!)+1,IF(AND(E2869=1,E2868=1),J2868,""))</f>
        <v/>
      </c>
      <c r="K2869" s="32" t="str">
        <f t="shared" si="173"/>
        <v/>
      </c>
      <c r="L2869" s="32" t="str">
        <f t="shared" si="171"/>
        <v/>
      </c>
      <c r="M2869" s="32" t="str">
        <f t="shared" si="172"/>
        <v/>
      </c>
      <c r="N2869" s="4"/>
      <c r="AG2869" t="s">
        <v>2579</v>
      </c>
      <c r="AM2869" s="1"/>
    </row>
    <row r="2870" spans="1:39" x14ac:dyDescent="0.35">
      <c r="A2870">
        <v>2866</v>
      </c>
      <c r="B2870">
        <v>2867</v>
      </c>
      <c r="F2870" s="64"/>
      <c r="G2870" s="64"/>
      <c r="H2870" s="64" t="s">
        <v>26</v>
      </c>
      <c r="I2870" s="64"/>
      <c r="J2870" s="32">
        <v>236</v>
      </c>
      <c r="K2870" s="32">
        <f t="shared" si="173"/>
        <v>20</v>
      </c>
      <c r="L2870" s="32" t="str">
        <f t="shared" si="171"/>
        <v/>
      </c>
      <c r="M2870" s="32">
        <f t="shared" si="172"/>
        <v>400</v>
      </c>
      <c r="N2870" s="4"/>
      <c r="AG2870" t="s">
        <v>2580</v>
      </c>
      <c r="AM2870" s="1"/>
    </row>
    <row r="2871" spans="1:39" x14ac:dyDescent="0.35">
      <c r="A2871">
        <v>2867</v>
      </c>
      <c r="B2871">
        <v>2868</v>
      </c>
      <c r="F2871" s="64"/>
      <c r="G2871" s="64"/>
      <c r="H2871" s="64" t="s">
        <v>26</v>
      </c>
      <c r="I2871" s="64"/>
      <c r="J2871" s="32" t="str">
        <f>IF(AND(E2871=1,OR(E2870=0,E2870="")),MAX(#REF!)+1,IF(AND(E2871=1,E2870=1),J2870,""))</f>
        <v/>
      </c>
      <c r="K2871" s="32" t="str">
        <f t="shared" si="173"/>
        <v/>
      </c>
      <c r="L2871" s="32" t="str">
        <f t="shared" si="171"/>
        <v/>
      </c>
      <c r="M2871" s="32" t="str">
        <f t="shared" si="172"/>
        <v/>
      </c>
      <c r="N2871" s="4"/>
      <c r="AG2871" t="s">
        <v>2581</v>
      </c>
      <c r="AM2871" s="1"/>
    </row>
    <row r="2872" spans="1:39" x14ac:dyDescent="0.35">
      <c r="A2872">
        <v>2868</v>
      </c>
      <c r="B2872">
        <v>2869</v>
      </c>
      <c r="F2872" s="64"/>
      <c r="G2872" s="64"/>
      <c r="H2872" s="64" t="s">
        <v>26</v>
      </c>
      <c r="I2872" s="64"/>
      <c r="J2872" s="32" t="str">
        <f>IF(AND(E2872=1,OR(E2871=0,E2871="")),MAX(#REF!)+1,IF(AND(E2872=1,E2871=1),J2871,""))</f>
        <v/>
      </c>
      <c r="K2872" s="32" t="str">
        <f t="shared" si="173"/>
        <v/>
      </c>
      <c r="L2872" s="32" t="str">
        <f t="shared" si="171"/>
        <v/>
      </c>
      <c r="M2872" s="32" t="str">
        <f t="shared" si="172"/>
        <v/>
      </c>
      <c r="N2872" s="4"/>
      <c r="AG2872" t="s">
        <v>2582</v>
      </c>
      <c r="AM2872" s="1"/>
    </row>
    <row r="2873" spans="1:39" x14ac:dyDescent="0.35">
      <c r="A2873">
        <v>2869</v>
      </c>
      <c r="B2873">
        <v>2870</v>
      </c>
      <c r="F2873" s="64"/>
      <c r="G2873" s="64"/>
      <c r="H2873" s="64" t="s">
        <v>26</v>
      </c>
      <c r="I2873" s="64"/>
      <c r="J2873" s="32" t="str">
        <f>IF(AND(E2873=1,OR(E2872=0,E2872="")),MAX(#REF!)+1,IF(AND(E2873=1,E2872=1),J2872,""))</f>
        <v/>
      </c>
      <c r="K2873" s="32" t="str">
        <f t="shared" si="173"/>
        <v/>
      </c>
      <c r="L2873" s="32" t="str">
        <f t="shared" si="171"/>
        <v/>
      </c>
      <c r="M2873" s="32" t="str">
        <f t="shared" si="172"/>
        <v/>
      </c>
      <c r="N2873" s="4"/>
      <c r="AG2873" t="s">
        <v>2583</v>
      </c>
      <c r="AM2873" s="1"/>
    </row>
    <row r="2874" spans="1:39" x14ac:dyDescent="0.35">
      <c r="A2874">
        <v>2870</v>
      </c>
      <c r="B2874">
        <v>2871</v>
      </c>
      <c r="F2874" s="64"/>
      <c r="G2874" s="64"/>
      <c r="H2874" s="64" t="s">
        <v>26</v>
      </c>
      <c r="I2874" s="64"/>
      <c r="J2874" s="32" t="str">
        <f>IF(AND(E2874=1,OR(E2873=0,E2873="")),MAX(#REF!)+1,IF(AND(E2874=1,E2873=1),J2873,""))</f>
        <v/>
      </c>
      <c r="K2874" s="32" t="str">
        <f t="shared" si="173"/>
        <v/>
      </c>
      <c r="L2874" s="32" t="str">
        <f t="shared" si="171"/>
        <v/>
      </c>
      <c r="M2874" s="32" t="str">
        <f t="shared" si="172"/>
        <v/>
      </c>
      <c r="N2874" s="4"/>
      <c r="AG2874" t="s">
        <v>2584</v>
      </c>
      <c r="AM2874" s="1"/>
    </row>
    <row r="2875" spans="1:39" x14ac:dyDescent="0.35">
      <c r="A2875">
        <v>2871</v>
      </c>
      <c r="B2875">
        <v>2872</v>
      </c>
      <c r="F2875" s="64"/>
      <c r="G2875" s="64"/>
      <c r="H2875" s="64" t="s">
        <v>26</v>
      </c>
      <c r="I2875" s="64"/>
      <c r="J2875" s="32" t="str">
        <f>IF(AND(E2875=1,OR(E2874=0,E2874="")),MAX(#REF!)+1,IF(AND(E2875=1,E2874=1),J2874,""))</f>
        <v/>
      </c>
      <c r="K2875" s="32" t="str">
        <f t="shared" si="173"/>
        <v/>
      </c>
      <c r="L2875" s="32" t="str">
        <f t="shared" si="171"/>
        <v/>
      </c>
      <c r="M2875" s="32" t="str">
        <f t="shared" si="172"/>
        <v/>
      </c>
      <c r="N2875" s="4"/>
      <c r="AG2875" t="s">
        <v>2585</v>
      </c>
      <c r="AM2875" s="1"/>
    </row>
    <row r="2876" spans="1:39" x14ac:dyDescent="0.35">
      <c r="A2876">
        <v>2872</v>
      </c>
      <c r="B2876">
        <v>2873</v>
      </c>
      <c r="F2876" s="64"/>
      <c r="G2876" s="64"/>
      <c r="H2876" s="64" t="s">
        <v>26</v>
      </c>
      <c r="I2876" s="64"/>
      <c r="J2876" s="32" t="str">
        <f>IF(AND(E2876=1,OR(E2875=0,E2875="")),MAX(#REF!)+1,IF(AND(E2876=1,E2875=1),J2875,""))</f>
        <v/>
      </c>
      <c r="K2876" s="32" t="str">
        <f t="shared" si="173"/>
        <v/>
      </c>
      <c r="L2876" s="32" t="str">
        <f t="shared" si="171"/>
        <v/>
      </c>
      <c r="M2876" s="32" t="str">
        <f t="shared" si="172"/>
        <v/>
      </c>
      <c r="N2876" s="4"/>
      <c r="AG2876" t="s">
        <v>2586</v>
      </c>
      <c r="AM2876" s="1"/>
    </row>
    <row r="2877" spans="1:39" x14ac:dyDescent="0.35">
      <c r="A2877">
        <v>2873</v>
      </c>
      <c r="B2877">
        <v>2874</v>
      </c>
      <c r="F2877" s="64"/>
      <c r="G2877" s="64"/>
      <c r="H2877" s="64" t="s">
        <v>26</v>
      </c>
      <c r="I2877" s="64"/>
      <c r="J2877" s="32" t="str">
        <f>IF(AND(E2877=1,OR(E2876=0,E2876="")),MAX(#REF!)+1,IF(AND(E2877=1,E2876=1),J2876,""))</f>
        <v/>
      </c>
      <c r="K2877" s="32" t="str">
        <f t="shared" si="173"/>
        <v/>
      </c>
      <c r="L2877" s="32" t="str">
        <f t="shared" si="171"/>
        <v/>
      </c>
      <c r="M2877" s="32" t="str">
        <f t="shared" si="172"/>
        <v/>
      </c>
      <c r="N2877" s="4"/>
      <c r="AG2877" t="s">
        <v>2587</v>
      </c>
      <c r="AM2877" s="1"/>
    </row>
    <row r="2878" spans="1:39" x14ac:dyDescent="0.35">
      <c r="A2878">
        <v>2874</v>
      </c>
      <c r="B2878">
        <v>2875</v>
      </c>
      <c r="F2878" s="64"/>
      <c r="G2878" s="64"/>
      <c r="H2878" s="64" t="s">
        <v>26</v>
      </c>
      <c r="I2878" s="64"/>
      <c r="J2878" s="32" t="str">
        <f>IF(AND(E2878=1,OR(E2877=0,E2877="")),MAX(#REF!)+1,IF(AND(E2878=1,E2877=1),J2877,""))</f>
        <v/>
      </c>
      <c r="K2878" s="32" t="str">
        <f t="shared" si="173"/>
        <v/>
      </c>
      <c r="L2878" s="32" t="str">
        <f t="shared" si="171"/>
        <v/>
      </c>
      <c r="M2878" s="32" t="str">
        <f t="shared" si="172"/>
        <v/>
      </c>
      <c r="N2878" s="4"/>
      <c r="AG2878" t="s">
        <v>2588</v>
      </c>
      <c r="AM2878" s="1"/>
    </row>
    <row r="2879" spans="1:39" x14ac:dyDescent="0.35">
      <c r="A2879">
        <v>2875</v>
      </c>
      <c r="B2879">
        <v>2876</v>
      </c>
      <c r="F2879" s="64"/>
      <c r="G2879" s="64"/>
      <c r="H2879" s="64" t="s">
        <v>26</v>
      </c>
      <c r="I2879" s="64"/>
      <c r="J2879" s="32" t="str">
        <f>IF(AND(E2879=1,OR(E2878=0,E2878="")),MAX(#REF!)+1,IF(AND(E2879=1,E2878=1),J2878,""))</f>
        <v/>
      </c>
      <c r="K2879" s="32" t="str">
        <f t="shared" si="173"/>
        <v/>
      </c>
      <c r="L2879" s="32" t="str">
        <f t="shared" si="171"/>
        <v/>
      </c>
      <c r="M2879" s="32" t="str">
        <f t="shared" si="172"/>
        <v/>
      </c>
      <c r="N2879" s="4"/>
      <c r="AG2879" t="s">
        <v>2589</v>
      </c>
      <c r="AM2879" s="1"/>
    </row>
    <row r="2880" spans="1:39" x14ac:dyDescent="0.35">
      <c r="A2880">
        <v>2876</v>
      </c>
      <c r="B2880">
        <v>2877</v>
      </c>
      <c r="F2880" s="64"/>
      <c r="G2880" s="64"/>
      <c r="H2880" s="64" t="s">
        <v>26</v>
      </c>
      <c r="I2880" s="64"/>
      <c r="J2880" s="32" t="str">
        <f>IF(AND(E2880=1,OR(E2879=0,E2879="")),MAX(#REF!)+1,IF(AND(E2880=1,E2879=1),J2879,""))</f>
        <v/>
      </c>
      <c r="K2880" s="32" t="str">
        <f t="shared" si="173"/>
        <v/>
      </c>
      <c r="L2880" s="32" t="str">
        <f t="shared" si="171"/>
        <v/>
      </c>
      <c r="M2880" s="32" t="str">
        <f t="shared" si="172"/>
        <v/>
      </c>
      <c r="N2880" s="4"/>
      <c r="AG2880" t="s">
        <v>2590</v>
      </c>
      <c r="AM2880" s="1"/>
    </row>
    <row r="2881" spans="1:39" x14ac:dyDescent="0.35">
      <c r="A2881">
        <v>2877</v>
      </c>
      <c r="B2881">
        <v>2878</v>
      </c>
      <c r="F2881" s="64"/>
      <c r="G2881" s="64"/>
      <c r="H2881" s="64" t="s">
        <v>26</v>
      </c>
      <c r="I2881" s="64"/>
      <c r="J2881" s="32" t="str">
        <f>IF(AND(E2881=1,OR(E2880=0,E2880="")),MAX(#REF!)+1,IF(AND(E2881=1,E2880=1),J2880,""))</f>
        <v/>
      </c>
      <c r="K2881" s="32" t="str">
        <f t="shared" si="173"/>
        <v/>
      </c>
      <c r="L2881" s="32" t="str">
        <f t="shared" si="171"/>
        <v/>
      </c>
      <c r="M2881" s="32" t="str">
        <f t="shared" si="172"/>
        <v/>
      </c>
      <c r="N2881" s="4"/>
      <c r="AG2881" t="s">
        <v>2591</v>
      </c>
      <c r="AM2881" s="1"/>
    </row>
    <row r="2882" spans="1:39" x14ac:dyDescent="0.35">
      <c r="A2882">
        <v>2878</v>
      </c>
      <c r="B2882">
        <v>2879</v>
      </c>
      <c r="F2882" s="64"/>
      <c r="G2882" s="64"/>
      <c r="H2882" s="64" t="s">
        <v>26</v>
      </c>
      <c r="I2882" s="64"/>
      <c r="J2882" s="32" t="str">
        <f>IF(AND(E2882=1,OR(E2881=0,E2881="")),MAX(#REF!)+1,IF(AND(E2882=1,E2881=1),J2881,""))</f>
        <v/>
      </c>
      <c r="K2882" s="32" t="str">
        <f t="shared" si="173"/>
        <v/>
      </c>
      <c r="L2882" s="32" t="str">
        <f t="shared" si="171"/>
        <v/>
      </c>
      <c r="M2882" s="32" t="str">
        <f t="shared" si="172"/>
        <v/>
      </c>
      <c r="N2882" s="4"/>
      <c r="AG2882" t="s">
        <v>2592</v>
      </c>
      <c r="AM2882" s="1"/>
    </row>
    <row r="2883" spans="1:39" x14ac:dyDescent="0.35">
      <c r="A2883">
        <v>2879</v>
      </c>
      <c r="B2883">
        <v>2880</v>
      </c>
      <c r="F2883" s="64"/>
      <c r="G2883" s="64"/>
      <c r="H2883" s="64" t="s">
        <v>26</v>
      </c>
      <c r="I2883" s="64"/>
      <c r="J2883" s="32" t="str">
        <f>IF(AND(E2883=1,OR(E2882=0,E2882="")),MAX(#REF!)+1,IF(AND(E2883=1,E2882=1),J2882,""))</f>
        <v/>
      </c>
      <c r="K2883" s="32" t="str">
        <f t="shared" si="173"/>
        <v/>
      </c>
      <c r="L2883" s="32" t="str">
        <f t="shared" si="171"/>
        <v/>
      </c>
      <c r="M2883" s="32" t="str">
        <f t="shared" si="172"/>
        <v/>
      </c>
      <c r="N2883" s="4"/>
      <c r="AG2883" t="s">
        <v>2593</v>
      </c>
      <c r="AM2883" s="1"/>
    </row>
    <row r="2884" spans="1:39" x14ac:dyDescent="0.35">
      <c r="A2884">
        <v>2880</v>
      </c>
      <c r="B2884">
        <v>2881</v>
      </c>
      <c r="F2884" s="64"/>
      <c r="G2884" s="64"/>
      <c r="H2884" s="64" t="s">
        <v>26</v>
      </c>
      <c r="I2884" s="64"/>
      <c r="J2884" s="32" t="str">
        <f>IF(AND(E2884=1,OR(E2883=0,E2883="")),MAX(#REF!)+1,IF(AND(E2884=1,E2883=1),J2883,""))</f>
        <v/>
      </c>
      <c r="K2884" s="32" t="str">
        <f t="shared" si="173"/>
        <v/>
      </c>
      <c r="L2884" s="32" t="str">
        <f t="shared" ref="L2884:L2947" si="174">IF(K2884="","",IF(K2884&gt;=100,"HV",""))</f>
        <v/>
      </c>
      <c r="M2884" s="32" t="str">
        <f t="shared" ref="M2884:M2947" si="175">IF(K2884&lt;&gt;"",K2884^2,"")</f>
        <v/>
      </c>
      <c r="N2884" s="4"/>
      <c r="AG2884" t="s">
        <v>2594</v>
      </c>
      <c r="AM2884" s="1"/>
    </row>
    <row r="2885" spans="1:39" x14ac:dyDescent="0.35">
      <c r="A2885">
        <v>2881</v>
      </c>
      <c r="B2885">
        <v>2882</v>
      </c>
      <c r="F2885" s="64"/>
      <c r="G2885" s="64"/>
      <c r="H2885" s="64" t="s">
        <v>26</v>
      </c>
      <c r="I2885" s="64"/>
      <c r="J2885" s="32" t="str">
        <f>IF(AND(E2885=1,OR(E2884=0,E2884="")),MAX(#REF!)+1,IF(AND(E2885=1,E2884=1),J2884,""))</f>
        <v/>
      </c>
      <c r="K2885" s="32" t="str">
        <f t="shared" si="173"/>
        <v/>
      </c>
      <c r="L2885" s="32" t="str">
        <f t="shared" si="174"/>
        <v/>
      </c>
      <c r="M2885" s="32" t="str">
        <f t="shared" si="175"/>
        <v/>
      </c>
      <c r="N2885" s="4"/>
      <c r="AG2885" t="s">
        <v>2595</v>
      </c>
      <c r="AM2885" s="1"/>
    </row>
    <row r="2886" spans="1:39" x14ac:dyDescent="0.35">
      <c r="A2886">
        <v>2882</v>
      </c>
      <c r="B2886">
        <v>2883</v>
      </c>
      <c r="F2886" s="64"/>
      <c r="G2886" s="64"/>
      <c r="H2886" s="64" t="s">
        <v>26</v>
      </c>
      <c r="I2886" s="64"/>
      <c r="J2886" s="32" t="str">
        <f>IF(AND(E2886=1,OR(E2885=0,E2885="")),MAX(#REF!)+1,IF(AND(E2886=1,E2885=1),J2885,""))</f>
        <v/>
      </c>
      <c r="K2886" s="32" t="str">
        <f t="shared" si="173"/>
        <v/>
      </c>
      <c r="L2886" s="32" t="str">
        <f t="shared" si="174"/>
        <v/>
      </c>
      <c r="M2886" s="32" t="str">
        <f t="shared" si="175"/>
        <v/>
      </c>
      <c r="N2886" s="4"/>
      <c r="AG2886" t="s">
        <v>2596</v>
      </c>
      <c r="AM2886" s="1"/>
    </row>
    <row r="2887" spans="1:39" x14ac:dyDescent="0.35">
      <c r="A2887">
        <v>2883</v>
      </c>
      <c r="B2887">
        <v>2884</v>
      </c>
      <c r="F2887" s="64"/>
      <c r="G2887" s="64"/>
      <c r="H2887" s="64" t="s">
        <v>26</v>
      </c>
      <c r="I2887" s="64"/>
      <c r="J2887" s="32" t="str">
        <f>IF(AND(E2887=1,OR(E2886=0,E2886="")),MAX(#REF!)+1,IF(AND(E2887=1,E2886=1),J2886,""))</f>
        <v/>
      </c>
      <c r="K2887" s="32" t="str">
        <f t="shared" si="173"/>
        <v/>
      </c>
      <c r="L2887" s="32" t="str">
        <f t="shared" si="174"/>
        <v/>
      </c>
      <c r="M2887" s="32" t="str">
        <f t="shared" si="175"/>
        <v/>
      </c>
      <c r="N2887" s="4"/>
      <c r="AG2887" t="s">
        <v>2597</v>
      </c>
      <c r="AM2887" s="1"/>
    </row>
    <row r="2888" spans="1:39" x14ac:dyDescent="0.35">
      <c r="A2888">
        <v>2884</v>
      </c>
      <c r="B2888">
        <v>2885</v>
      </c>
      <c r="F2888" s="64"/>
      <c r="G2888" s="64"/>
      <c r="H2888" s="64" t="s">
        <v>26</v>
      </c>
      <c r="I2888" s="64"/>
      <c r="J2888" s="32" t="str">
        <f>IF(AND(E2888=1,OR(E2887=0,E2887="")),MAX(#REF!)+1,IF(AND(E2888=1,E2887=1),J2887,""))</f>
        <v/>
      </c>
      <c r="K2888" s="32" t="str">
        <f t="shared" si="173"/>
        <v/>
      </c>
      <c r="L2888" s="32" t="str">
        <f t="shared" si="174"/>
        <v/>
      </c>
      <c r="M2888" s="32" t="str">
        <f t="shared" si="175"/>
        <v/>
      </c>
      <c r="N2888" s="4"/>
      <c r="AG2888" t="s">
        <v>2598</v>
      </c>
      <c r="AM2888" s="1"/>
    </row>
    <row r="2889" spans="1:39" x14ac:dyDescent="0.35">
      <c r="A2889">
        <v>2885</v>
      </c>
      <c r="B2889">
        <v>2886</v>
      </c>
      <c r="F2889" s="64"/>
      <c r="G2889" s="64"/>
      <c r="H2889" s="64" t="s">
        <v>26</v>
      </c>
      <c r="I2889" s="64"/>
      <c r="J2889" s="32" t="str">
        <f>IF(AND(E2889=1,OR(E2888=0,E2888="")),MAX(#REF!)+1,IF(AND(E2889=1,E2888=1),J2888,""))</f>
        <v/>
      </c>
      <c r="K2889" s="32" t="str">
        <f t="shared" si="173"/>
        <v/>
      </c>
      <c r="L2889" s="32" t="str">
        <f t="shared" si="174"/>
        <v/>
      </c>
      <c r="M2889" s="32" t="str">
        <f t="shared" si="175"/>
        <v/>
      </c>
      <c r="N2889" s="4"/>
      <c r="AG2889" t="s">
        <v>2599</v>
      </c>
      <c r="AM2889" s="1"/>
    </row>
    <row r="2890" spans="1:39" x14ac:dyDescent="0.35">
      <c r="A2890">
        <v>2886</v>
      </c>
      <c r="B2890">
        <v>2887</v>
      </c>
      <c r="F2890" s="64"/>
      <c r="G2890" s="64"/>
      <c r="H2890" s="64" t="s">
        <v>26</v>
      </c>
      <c r="I2890" s="64"/>
      <c r="J2890" s="32" t="str">
        <f>IF(AND(E2890=1,OR(E2889=0,E2889="")),MAX(#REF!)+1,IF(AND(E2890=1,E2889=1),J2889,""))</f>
        <v/>
      </c>
      <c r="K2890" s="32" t="str">
        <f t="shared" si="173"/>
        <v/>
      </c>
      <c r="L2890" s="32" t="str">
        <f t="shared" si="174"/>
        <v/>
      </c>
      <c r="M2890" s="32" t="str">
        <f t="shared" si="175"/>
        <v/>
      </c>
      <c r="N2890" s="4"/>
      <c r="AG2890" t="s">
        <v>2600</v>
      </c>
      <c r="AM2890" s="1"/>
    </row>
    <row r="2891" spans="1:39" x14ac:dyDescent="0.35">
      <c r="A2891">
        <v>2887</v>
      </c>
      <c r="B2891">
        <v>2888</v>
      </c>
      <c r="F2891" s="64"/>
      <c r="G2891" s="64"/>
      <c r="H2891" s="64" t="s">
        <v>26</v>
      </c>
      <c r="I2891" s="64"/>
      <c r="J2891" s="32" t="str">
        <f>IF(AND(E2891=1,OR(E2890=0,E2890="")),MAX(#REF!)+1,IF(AND(E2891=1,E2890=1),J2890,""))</f>
        <v/>
      </c>
      <c r="K2891" s="32" t="str">
        <f t="shared" si="173"/>
        <v/>
      </c>
      <c r="L2891" s="32" t="str">
        <f t="shared" si="174"/>
        <v/>
      </c>
      <c r="M2891" s="32" t="str">
        <f t="shared" si="175"/>
        <v/>
      </c>
      <c r="N2891" s="4"/>
      <c r="AG2891" t="s">
        <v>2601</v>
      </c>
      <c r="AM2891" s="1"/>
    </row>
    <row r="2892" spans="1:39" x14ac:dyDescent="0.35">
      <c r="A2892">
        <v>2888</v>
      </c>
      <c r="B2892">
        <v>2889</v>
      </c>
      <c r="F2892" s="64"/>
      <c r="G2892" s="64"/>
      <c r="H2892" s="64" t="s">
        <v>26</v>
      </c>
      <c r="I2892" s="64"/>
      <c r="J2892" s="32" t="str">
        <f>IF(AND(E2892=1,OR(E2891=0,E2891="")),MAX(#REF!)+1,IF(AND(E2892=1,E2891=1),J2891,""))</f>
        <v/>
      </c>
      <c r="K2892" s="32" t="str">
        <f t="shared" si="173"/>
        <v/>
      </c>
      <c r="L2892" s="32" t="str">
        <f t="shared" si="174"/>
        <v/>
      </c>
      <c r="M2892" s="32" t="str">
        <f t="shared" si="175"/>
        <v/>
      </c>
      <c r="N2892" s="4"/>
      <c r="AG2892" t="s">
        <v>2602</v>
      </c>
      <c r="AM2892" s="1"/>
    </row>
    <row r="2893" spans="1:39" x14ac:dyDescent="0.35">
      <c r="A2893">
        <v>2889</v>
      </c>
      <c r="B2893">
        <v>2890</v>
      </c>
      <c r="F2893" s="64"/>
      <c r="G2893" s="64"/>
      <c r="H2893" s="64" t="s">
        <v>26</v>
      </c>
      <c r="I2893" s="64"/>
      <c r="J2893" s="32" t="str">
        <f>IF(AND(E2893=1,OR(E2892=0,E2892="")),MAX(#REF!)+1,IF(AND(E2893=1,E2892=1),J2892,""))</f>
        <v/>
      </c>
      <c r="K2893" s="32" t="str">
        <f t="shared" si="173"/>
        <v/>
      </c>
      <c r="L2893" s="32" t="str">
        <f t="shared" si="174"/>
        <v/>
      </c>
      <c r="M2893" s="32" t="str">
        <f t="shared" si="175"/>
        <v/>
      </c>
      <c r="N2893" s="4"/>
      <c r="AG2893" t="s">
        <v>2603</v>
      </c>
      <c r="AM2893" s="1"/>
    </row>
    <row r="2894" spans="1:39" x14ac:dyDescent="0.35">
      <c r="A2894">
        <v>2890</v>
      </c>
      <c r="B2894">
        <v>2891</v>
      </c>
      <c r="F2894" s="64"/>
      <c r="G2894" s="64"/>
      <c r="H2894" s="64" t="s">
        <v>26</v>
      </c>
      <c r="I2894" s="64"/>
      <c r="J2894" s="32" t="str">
        <f>IF(AND(E2894=1,OR(E2893=0,E2893="")),MAX(#REF!)+1,IF(AND(E2894=1,E2893=1),J2893,""))</f>
        <v/>
      </c>
      <c r="K2894" s="32" t="str">
        <f t="shared" si="173"/>
        <v/>
      </c>
      <c r="L2894" s="32" t="str">
        <f t="shared" si="174"/>
        <v/>
      </c>
      <c r="M2894" s="32" t="str">
        <f t="shared" si="175"/>
        <v/>
      </c>
      <c r="N2894" s="4"/>
      <c r="AG2894" t="s">
        <v>2604</v>
      </c>
      <c r="AM2894" s="1"/>
    </row>
    <row r="2895" spans="1:39" x14ac:dyDescent="0.35">
      <c r="A2895">
        <v>2891</v>
      </c>
      <c r="B2895">
        <v>2892</v>
      </c>
      <c r="F2895" s="64"/>
      <c r="G2895" s="64"/>
      <c r="H2895" s="64" t="s">
        <v>26</v>
      </c>
      <c r="I2895" s="64"/>
      <c r="J2895" s="32" t="str">
        <f>IF(AND(E2895=1,OR(E2894=0,E2894="")),MAX(#REF!)+1,IF(AND(E2895=1,E2894=1),J2894,""))</f>
        <v/>
      </c>
      <c r="K2895" s="32" t="str">
        <f t="shared" si="173"/>
        <v/>
      </c>
      <c r="L2895" s="32" t="str">
        <f t="shared" si="174"/>
        <v/>
      </c>
      <c r="M2895" s="32" t="str">
        <f t="shared" si="175"/>
        <v/>
      </c>
      <c r="N2895" s="4"/>
      <c r="AG2895" t="s">
        <v>2605</v>
      </c>
      <c r="AM2895" s="1"/>
    </row>
    <row r="2896" spans="1:39" x14ac:dyDescent="0.35">
      <c r="A2896">
        <v>2892</v>
      </c>
      <c r="B2896">
        <v>2893</v>
      </c>
      <c r="F2896" s="64"/>
      <c r="G2896" s="64"/>
      <c r="H2896" s="64" t="s">
        <v>26</v>
      </c>
      <c r="I2896" s="64"/>
      <c r="J2896" s="32" t="str">
        <f>IF(AND(E2896=1,OR(E2895=0,E2895="")),MAX(#REF!)+1,IF(AND(E2896=1,E2895=1),J2895,""))</f>
        <v/>
      </c>
      <c r="K2896" s="32" t="str">
        <f t="shared" si="173"/>
        <v/>
      </c>
      <c r="L2896" s="32" t="str">
        <f t="shared" si="174"/>
        <v/>
      </c>
      <c r="M2896" s="32" t="str">
        <f t="shared" si="175"/>
        <v/>
      </c>
      <c r="N2896" s="4"/>
      <c r="AG2896" t="s">
        <v>2606</v>
      </c>
      <c r="AM2896" s="1"/>
    </row>
    <row r="2897" spans="1:39" x14ac:dyDescent="0.35">
      <c r="A2897">
        <v>2893</v>
      </c>
      <c r="B2897">
        <v>2894</v>
      </c>
      <c r="F2897" s="64"/>
      <c r="G2897" s="64"/>
      <c r="H2897" s="64" t="s">
        <v>26</v>
      </c>
      <c r="I2897" s="64"/>
      <c r="J2897" s="32" t="str">
        <f>IF(AND(E2897=1,OR(E2896=0,E2896="")),MAX(#REF!)+1,IF(AND(E2897=1,E2896=1),J2896,""))</f>
        <v/>
      </c>
      <c r="K2897" s="32" t="str">
        <f t="shared" si="173"/>
        <v/>
      </c>
      <c r="L2897" s="32" t="str">
        <f t="shared" si="174"/>
        <v/>
      </c>
      <c r="M2897" s="32" t="str">
        <f t="shared" si="175"/>
        <v/>
      </c>
      <c r="N2897" s="4"/>
      <c r="AG2897" t="s">
        <v>2607</v>
      </c>
      <c r="AM2897" s="1"/>
    </row>
    <row r="2898" spans="1:39" x14ac:dyDescent="0.35">
      <c r="A2898">
        <v>2894</v>
      </c>
      <c r="B2898">
        <v>2895</v>
      </c>
      <c r="F2898" s="64"/>
      <c r="G2898" s="64"/>
      <c r="H2898" s="64" t="s">
        <v>26</v>
      </c>
      <c r="I2898" s="64"/>
      <c r="J2898" s="32" t="str">
        <f>IF(AND(E2898=1,OR(E2897=0,E2897="")),MAX(#REF!)+1,IF(AND(E2898=1,E2897=1),J2897,""))</f>
        <v/>
      </c>
      <c r="K2898" s="32" t="str">
        <f t="shared" si="173"/>
        <v/>
      </c>
      <c r="L2898" s="32" t="str">
        <f t="shared" si="174"/>
        <v/>
      </c>
      <c r="M2898" s="32" t="str">
        <f t="shared" si="175"/>
        <v/>
      </c>
      <c r="N2898" s="4"/>
      <c r="AG2898" t="s">
        <v>2608</v>
      </c>
      <c r="AM2898" s="1"/>
    </row>
    <row r="2899" spans="1:39" x14ac:dyDescent="0.35">
      <c r="A2899">
        <v>2895</v>
      </c>
      <c r="B2899">
        <v>2896</v>
      </c>
      <c r="F2899" s="64"/>
      <c r="G2899" s="64"/>
      <c r="H2899" s="64" t="s">
        <v>26</v>
      </c>
      <c r="I2899" s="64"/>
      <c r="J2899" s="32" t="str">
        <f>IF(AND(E2899=1,OR(E2898=0,E2898="")),MAX(#REF!)+1,IF(AND(E2899=1,E2898=1),J2898,""))</f>
        <v/>
      </c>
      <c r="K2899" s="32" t="str">
        <f t="shared" si="173"/>
        <v/>
      </c>
      <c r="L2899" s="32" t="str">
        <f t="shared" si="174"/>
        <v/>
      </c>
      <c r="M2899" s="32" t="str">
        <f t="shared" si="175"/>
        <v/>
      </c>
      <c r="N2899" s="4"/>
      <c r="AG2899" t="s">
        <v>2609</v>
      </c>
      <c r="AM2899" s="1"/>
    </row>
    <row r="2900" spans="1:39" x14ac:dyDescent="0.35">
      <c r="A2900">
        <v>2896</v>
      </c>
      <c r="B2900">
        <v>2897</v>
      </c>
      <c r="F2900" s="64"/>
      <c r="G2900" s="64"/>
      <c r="H2900" s="64" t="s">
        <v>26</v>
      </c>
      <c r="I2900" s="64"/>
      <c r="J2900" s="32" t="str">
        <f>IF(AND(E2900=1,OR(E2899=0,E2899="")),MAX(#REF!)+1,IF(AND(E2900=1,E2899=1),J2899,""))</f>
        <v/>
      </c>
      <c r="K2900" s="32" t="str">
        <f t="shared" si="173"/>
        <v/>
      </c>
      <c r="L2900" s="32" t="str">
        <f t="shared" si="174"/>
        <v/>
      </c>
      <c r="M2900" s="32" t="str">
        <f t="shared" si="175"/>
        <v/>
      </c>
      <c r="N2900" s="4"/>
      <c r="AG2900" t="s">
        <v>2610</v>
      </c>
      <c r="AM2900" s="1"/>
    </row>
    <row r="2901" spans="1:39" x14ac:dyDescent="0.35">
      <c r="A2901">
        <v>2897</v>
      </c>
      <c r="B2901">
        <v>2898</v>
      </c>
      <c r="F2901" s="64"/>
      <c r="G2901" s="64"/>
      <c r="H2901" s="64" t="s">
        <v>26</v>
      </c>
      <c r="I2901" s="64"/>
      <c r="J2901" s="32" t="str">
        <f>IF(AND(E2901=1,OR(E2900=0,E2900="")),MAX(#REF!)+1,IF(AND(E2901=1,E2900=1),J2900,""))</f>
        <v/>
      </c>
      <c r="K2901" s="32" t="str">
        <f t="shared" si="173"/>
        <v/>
      </c>
      <c r="L2901" s="32" t="str">
        <f t="shared" si="174"/>
        <v/>
      </c>
      <c r="M2901" s="32" t="str">
        <f t="shared" si="175"/>
        <v/>
      </c>
      <c r="N2901" s="4"/>
      <c r="AG2901" t="s">
        <v>2611</v>
      </c>
      <c r="AM2901" s="1"/>
    </row>
    <row r="2902" spans="1:39" x14ac:dyDescent="0.35">
      <c r="A2902">
        <v>2898</v>
      </c>
      <c r="B2902">
        <v>2899</v>
      </c>
      <c r="F2902" s="64"/>
      <c r="G2902" s="64"/>
      <c r="H2902" s="64" t="s">
        <v>26</v>
      </c>
      <c r="I2902" s="64"/>
      <c r="J2902" s="32" t="str">
        <f>IF(AND(E2902=1,OR(E2901=0,E2901="")),MAX(#REF!)+1,IF(AND(E2902=1,E2901=1),J2901,""))</f>
        <v/>
      </c>
      <c r="K2902" s="32" t="str">
        <f t="shared" si="173"/>
        <v/>
      </c>
      <c r="L2902" s="32" t="str">
        <f t="shared" si="174"/>
        <v/>
      </c>
      <c r="M2902" s="32" t="str">
        <f t="shared" si="175"/>
        <v/>
      </c>
      <c r="N2902" s="4"/>
      <c r="AG2902" t="s">
        <v>2612</v>
      </c>
      <c r="AM2902" s="1"/>
    </row>
    <row r="2903" spans="1:39" x14ac:dyDescent="0.35">
      <c r="A2903">
        <v>2899</v>
      </c>
      <c r="B2903">
        <v>2900</v>
      </c>
      <c r="F2903" s="64"/>
      <c r="G2903" s="64"/>
      <c r="H2903" s="64" t="s">
        <v>26</v>
      </c>
      <c r="I2903" s="64"/>
      <c r="J2903" s="32" t="str">
        <f>IF(AND(E2903=1,OR(E2902=0,E2902="")),MAX(#REF!)+1,IF(AND(E2903=1,E2902=1),J2902,""))</f>
        <v/>
      </c>
      <c r="K2903" s="32" t="str">
        <f t="shared" si="173"/>
        <v/>
      </c>
      <c r="L2903" s="32" t="str">
        <f t="shared" si="174"/>
        <v/>
      </c>
      <c r="M2903" s="32" t="str">
        <f t="shared" si="175"/>
        <v/>
      </c>
      <c r="N2903" s="4"/>
      <c r="AG2903" t="s">
        <v>2613</v>
      </c>
      <c r="AM2903" s="1"/>
    </row>
    <row r="2904" spans="1:39" x14ac:dyDescent="0.35">
      <c r="A2904">
        <v>2900</v>
      </c>
      <c r="B2904">
        <v>2901</v>
      </c>
      <c r="F2904" s="64"/>
      <c r="G2904" s="64"/>
      <c r="H2904" s="64" t="s">
        <v>26</v>
      </c>
      <c r="I2904" s="64"/>
      <c r="J2904" s="32" t="str">
        <f>IF(AND(E2904=1,OR(E2903=0,E2903="")),MAX(#REF!)+1,IF(AND(E2904=1,E2903=1),J2903,""))</f>
        <v/>
      </c>
      <c r="K2904" s="32" t="str">
        <f t="shared" si="173"/>
        <v/>
      </c>
      <c r="L2904" s="32" t="str">
        <f t="shared" si="174"/>
        <v/>
      </c>
      <c r="M2904" s="32" t="str">
        <f t="shared" si="175"/>
        <v/>
      </c>
      <c r="N2904" s="4"/>
      <c r="AG2904" t="s">
        <v>2614</v>
      </c>
      <c r="AM2904" s="1"/>
    </row>
    <row r="2905" spans="1:39" x14ac:dyDescent="0.35">
      <c r="A2905">
        <v>2901</v>
      </c>
      <c r="B2905">
        <v>2902</v>
      </c>
      <c r="F2905" s="64"/>
      <c r="G2905" s="64"/>
      <c r="H2905" s="64" t="s">
        <v>26</v>
      </c>
      <c r="I2905" s="64"/>
      <c r="J2905" s="32" t="str">
        <f>IF(AND(E2905=1,OR(E2904=0,E2904="")),MAX(#REF!)+1,IF(AND(E2905=1,E2904=1),J2904,""))</f>
        <v/>
      </c>
      <c r="K2905" s="32" t="str">
        <f t="shared" si="173"/>
        <v/>
      </c>
      <c r="L2905" s="32" t="str">
        <f t="shared" si="174"/>
        <v/>
      </c>
      <c r="M2905" s="32" t="str">
        <f t="shared" si="175"/>
        <v/>
      </c>
      <c r="N2905" s="4"/>
      <c r="AG2905" t="s">
        <v>2615</v>
      </c>
      <c r="AM2905" s="1"/>
    </row>
    <row r="2906" spans="1:39" x14ac:dyDescent="0.35">
      <c r="A2906">
        <v>2902</v>
      </c>
      <c r="B2906">
        <v>2903</v>
      </c>
      <c r="F2906" s="64"/>
      <c r="G2906" s="64"/>
      <c r="H2906" s="64" t="s">
        <v>26</v>
      </c>
      <c r="I2906" s="64"/>
      <c r="J2906" s="32" t="str">
        <f>IF(AND(E2906=1,OR(E2905=0,E2905="")),MAX(#REF!)+1,IF(AND(E2906=1,E2905=1),J2905,""))</f>
        <v/>
      </c>
      <c r="K2906" s="32" t="str">
        <f t="shared" si="173"/>
        <v/>
      </c>
      <c r="L2906" s="32" t="str">
        <f t="shared" si="174"/>
        <v/>
      </c>
      <c r="M2906" s="32" t="str">
        <f t="shared" si="175"/>
        <v/>
      </c>
      <c r="N2906" s="4"/>
      <c r="AG2906" t="s">
        <v>2616</v>
      </c>
      <c r="AM2906" s="1"/>
    </row>
    <row r="2907" spans="1:39" x14ac:dyDescent="0.35">
      <c r="A2907">
        <v>2903</v>
      </c>
      <c r="B2907">
        <v>2904</v>
      </c>
      <c r="F2907" s="64"/>
      <c r="G2907" s="64"/>
      <c r="H2907" s="64" t="s">
        <v>26</v>
      </c>
      <c r="I2907" s="64"/>
      <c r="J2907" s="32" t="str">
        <f>IF(AND(E2907=1,OR(E2906=0,E2906="")),MAX(#REF!)+1,IF(AND(E2907=1,E2906=1),J2906,""))</f>
        <v/>
      </c>
      <c r="K2907" s="32" t="str">
        <f t="shared" si="173"/>
        <v/>
      </c>
      <c r="L2907" s="32" t="str">
        <f t="shared" si="174"/>
        <v/>
      </c>
      <c r="M2907" s="32" t="str">
        <f t="shared" si="175"/>
        <v/>
      </c>
      <c r="N2907" s="4"/>
      <c r="AG2907" t="s">
        <v>2617</v>
      </c>
      <c r="AM2907" s="1"/>
    </row>
    <row r="2908" spans="1:39" x14ac:dyDescent="0.35">
      <c r="A2908">
        <v>2904</v>
      </c>
      <c r="B2908">
        <v>2905</v>
      </c>
      <c r="F2908" s="64"/>
      <c r="G2908" s="64"/>
      <c r="H2908" s="64" t="s">
        <v>26</v>
      </c>
      <c r="I2908" s="64"/>
      <c r="J2908" s="32" t="str">
        <f>IF(AND(E2908=1,OR(E2907=0,E2907="")),MAX(#REF!)+1,IF(AND(E2908=1,E2907=1),J2907,""))</f>
        <v/>
      </c>
      <c r="K2908" s="32" t="str">
        <f t="shared" si="173"/>
        <v/>
      </c>
      <c r="L2908" s="32" t="str">
        <f t="shared" si="174"/>
        <v/>
      </c>
      <c r="M2908" s="32" t="str">
        <f t="shared" si="175"/>
        <v/>
      </c>
      <c r="N2908" s="4"/>
      <c r="AG2908" t="s">
        <v>2618</v>
      </c>
      <c r="AM2908" s="1"/>
    </row>
    <row r="2909" spans="1:39" x14ac:dyDescent="0.35">
      <c r="A2909">
        <v>2905</v>
      </c>
      <c r="B2909">
        <v>2906</v>
      </c>
      <c r="F2909" s="64"/>
      <c r="G2909" s="64"/>
      <c r="H2909" s="64" t="s">
        <v>26</v>
      </c>
      <c r="I2909" s="64"/>
      <c r="J2909" s="32" t="str">
        <f>IF(AND(E2909=1,OR(E2908=0,E2908="")),MAX(#REF!)+1,IF(AND(E2909=1,E2908=1),J2908,""))</f>
        <v/>
      </c>
      <c r="K2909" s="32" t="str">
        <f t="shared" si="173"/>
        <v/>
      </c>
      <c r="L2909" s="32" t="str">
        <f t="shared" si="174"/>
        <v/>
      </c>
      <c r="M2909" s="32" t="str">
        <f t="shared" si="175"/>
        <v/>
      </c>
      <c r="N2909" s="4"/>
      <c r="AG2909" t="s">
        <v>2619</v>
      </c>
      <c r="AM2909" s="1"/>
    </row>
    <row r="2910" spans="1:39" x14ac:dyDescent="0.35">
      <c r="A2910">
        <v>2906</v>
      </c>
      <c r="B2910">
        <v>2907</v>
      </c>
      <c r="F2910" s="64"/>
      <c r="G2910" s="64"/>
      <c r="H2910" s="64" t="s">
        <v>26</v>
      </c>
      <c r="I2910" s="64"/>
      <c r="J2910" s="32" t="str">
        <f>IF(AND(E2910=1,OR(E2909=0,E2909="")),MAX(#REF!)+1,IF(AND(E2910=1,E2909=1),J2909,""))</f>
        <v/>
      </c>
      <c r="K2910" s="32" t="str">
        <f t="shared" si="173"/>
        <v/>
      </c>
      <c r="L2910" s="32" t="str">
        <f t="shared" si="174"/>
        <v/>
      </c>
      <c r="M2910" s="32" t="str">
        <f t="shared" si="175"/>
        <v/>
      </c>
      <c r="N2910" s="4"/>
      <c r="AG2910" t="s">
        <v>2620</v>
      </c>
      <c r="AM2910" s="1"/>
    </row>
    <row r="2911" spans="1:39" x14ac:dyDescent="0.35">
      <c r="A2911">
        <v>2907</v>
      </c>
      <c r="B2911">
        <v>2908</v>
      </c>
      <c r="F2911" s="64"/>
      <c r="G2911" s="64"/>
      <c r="H2911" s="64" t="s">
        <v>26</v>
      </c>
      <c r="I2911" s="64"/>
      <c r="J2911" s="32" t="str">
        <f>IF(AND(E2911=1,OR(E2910=0,E2910="")),MAX(#REF!)+1,IF(AND(E2911=1,E2910=1),J2910,""))</f>
        <v/>
      </c>
      <c r="K2911" s="32" t="str">
        <f t="shared" ref="K2911:K2974" si="176">IF(J2911="","",COUNTIF(J:J,J2911)*10)</f>
        <v/>
      </c>
      <c r="L2911" s="32" t="str">
        <f t="shared" si="174"/>
        <v/>
      </c>
      <c r="M2911" s="32" t="str">
        <f t="shared" si="175"/>
        <v/>
      </c>
      <c r="N2911" s="4"/>
      <c r="AG2911" t="s">
        <v>2621</v>
      </c>
      <c r="AM2911" s="1"/>
    </row>
    <row r="2912" spans="1:39" x14ac:dyDescent="0.35">
      <c r="A2912">
        <v>2908</v>
      </c>
      <c r="B2912">
        <v>2909</v>
      </c>
      <c r="F2912" s="64"/>
      <c r="G2912" s="64"/>
      <c r="H2912" s="64" t="s">
        <v>26</v>
      </c>
      <c r="I2912" s="64"/>
      <c r="J2912" s="32" t="str">
        <f>IF(AND(E2912=1,OR(E2911=0,E2911="")),MAX(#REF!)+1,IF(AND(E2912=1,E2911=1),J2911,""))</f>
        <v/>
      </c>
      <c r="K2912" s="32" t="str">
        <f t="shared" si="176"/>
        <v/>
      </c>
      <c r="L2912" s="32" t="str">
        <f t="shared" si="174"/>
        <v/>
      </c>
      <c r="M2912" s="32" t="str">
        <f t="shared" si="175"/>
        <v/>
      </c>
      <c r="N2912" s="4"/>
      <c r="AG2912" t="s">
        <v>2622</v>
      </c>
      <c r="AM2912" s="1"/>
    </row>
    <row r="2913" spans="1:39" x14ac:dyDescent="0.35">
      <c r="A2913">
        <v>2909</v>
      </c>
      <c r="B2913">
        <v>2910</v>
      </c>
      <c r="F2913" s="64"/>
      <c r="G2913" s="64"/>
      <c r="H2913" s="64" t="s">
        <v>26</v>
      </c>
      <c r="I2913" s="64"/>
      <c r="J2913" s="32" t="str">
        <f>IF(AND(E2913=1,OR(E2912=0,E2912="")),MAX(#REF!)+1,IF(AND(E2913=1,E2912=1),J2912,""))</f>
        <v/>
      </c>
      <c r="K2913" s="32" t="str">
        <f t="shared" si="176"/>
        <v/>
      </c>
      <c r="L2913" s="32" t="str">
        <f t="shared" si="174"/>
        <v/>
      </c>
      <c r="M2913" s="32" t="str">
        <f t="shared" si="175"/>
        <v/>
      </c>
      <c r="N2913" s="4"/>
      <c r="AG2913" t="s">
        <v>2623</v>
      </c>
      <c r="AM2913" s="1"/>
    </row>
    <row r="2914" spans="1:39" x14ac:dyDescent="0.35">
      <c r="A2914">
        <v>2910</v>
      </c>
      <c r="B2914">
        <v>2911</v>
      </c>
      <c r="F2914" s="64"/>
      <c r="G2914" s="64"/>
      <c r="H2914" s="64" t="s">
        <v>26</v>
      </c>
      <c r="I2914" s="64"/>
      <c r="J2914" s="32" t="str">
        <f>IF(AND(E2914=1,OR(E2913=0,E2913="")),MAX(#REF!)+1,IF(AND(E2914=1,E2913=1),J2913,""))</f>
        <v/>
      </c>
      <c r="K2914" s="32" t="str">
        <f t="shared" si="176"/>
        <v/>
      </c>
      <c r="L2914" s="32" t="str">
        <f t="shared" si="174"/>
        <v/>
      </c>
      <c r="M2914" s="32" t="str">
        <f t="shared" si="175"/>
        <v/>
      </c>
      <c r="N2914" s="4"/>
      <c r="AG2914" t="s">
        <v>2624</v>
      </c>
      <c r="AM2914" s="1"/>
    </row>
    <row r="2915" spans="1:39" x14ac:dyDescent="0.35">
      <c r="A2915">
        <v>2911</v>
      </c>
      <c r="B2915">
        <v>2912</v>
      </c>
      <c r="F2915" s="64"/>
      <c r="G2915" s="64"/>
      <c r="H2915" s="64" t="s">
        <v>26</v>
      </c>
      <c r="I2915" s="64"/>
      <c r="J2915" s="32" t="str">
        <f>IF(AND(E2915=1,OR(E2914=0,E2914="")),MAX(#REF!)+1,IF(AND(E2915=1,E2914=1),J2914,""))</f>
        <v/>
      </c>
      <c r="K2915" s="32" t="str">
        <f t="shared" si="176"/>
        <v/>
      </c>
      <c r="L2915" s="32" t="str">
        <f t="shared" si="174"/>
        <v/>
      </c>
      <c r="M2915" s="32" t="str">
        <f t="shared" si="175"/>
        <v/>
      </c>
      <c r="N2915" s="4"/>
      <c r="AG2915" t="s">
        <v>2625</v>
      </c>
      <c r="AM2915" s="1"/>
    </row>
    <row r="2916" spans="1:39" x14ac:dyDescent="0.35">
      <c r="A2916">
        <v>2912</v>
      </c>
      <c r="B2916">
        <v>2913</v>
      </c>
      <c r="F2916" s="64"/>
      <c r="G2916" s="64"/>
      <c r="H2916" s="64" t="s">
        <v>26</v>
      </c>
      <c r="I2916" s="64"/>
      <c r="J2916" s="32" t="str">
        <f>IF(AND(E2916=1,OR(E2915=0,E2915="")),MAX(#REF!)+1,IF(AND(E2916=1,E2915=1),J2915,""))</f>
        <v/>
      </c>
      <c r="K2916" s="32" t="str">
        <f t="shared" si="176"/>
        <v/>
      </c>
      <c r="L2916" s="32" t="str">
        <f t="shared" si="174"/>
        <v/>
      </c>
      <c r="M2916" s="32" t="str">
        <f t="shared" si="175"/>
        <v/>
      </c>
      <c r="N2916" s="4"/>
      <c r="AG2916" t="s">
        <v>2626</v>
      </c>
      <c r="AM2916" s="1"/>
    </row>
    <row r="2917" spans="1:39" x14ac:dyDescent="0.35">
      <c r="A2917">
        <v>2913</v>
      </c>
      <c r="B2917">
        <v>2914</v>
      </c>
      <c r="F2917" s="64"/>
      <c r="G2917" s="64"/>
      <c r="H2917" s="64" t="s">
        <v>26</v>
      </c>
      <c r="I2917" s="64"/>
      <c r="J2917" s="32" t="str">
        <f>IF(AND(E2917=1,OR(E2916=0,E2916="")),MAX(#REF!)+1,IF(AND(E2917=1,E2916=1),J2916,""))</f>
        <v/>
      </c>
      <c r="K2917" s="32" t="str">
        <f t="shared" si="176"/>
        <v/>
      </c>
      <c r="L2917" s="32" t="str">
        <f t="shared" si="174"/>
        <v/>
      </c>
      <c r="M2917" s="32" t="str">
        <f t="shared" si="175"/>
        <v/>
      </c>
      <c r="N2917" s="4"/>
      <c r="AG2917" t="s">
        <v>2627</v>
      </c>
      <c r="AM2917" s="1"/>
    </row>
    <row r="2918" spans="1:39" x14ac:dyDescent="0.35">
      <c r="A2918">
        <v>2914</v>
      </c>
      <c r="B2918">
        <v>2915</v>
      </c>
      <c r="F2918" s="64"/>
      <c r="G2918" s="64"/>
      <c r="H2918" s="64" t="s">
        <v>26</v>
      </c>
      <c r="I2918" s="64"/>
      <c r="J2918" s="32" t="str">
        <f>IF(AND(E2918=1,OR(E2917=0,E2917="")),MAX(#REF!)+1,IF(AND(E2918=1,E2917=1),J2917,""))</f>
        <v/>
      </c>
      <c r="K2918" s="32" t="str">
        <f t="shared" si="176"/>
        <v/>
      </c>
      <c r="L2918" s="32" t="str">
        <f t="shared" si="174"/>
        <v/>
      </c>
      <c r="M2918" s="32" t="str">
        <f t="shared" si="175"/>
        <v/>
      </c>
      <c r="N2918" s="4"/>
      <c r="AG2918" t="s">
        <v>2628</v>
      </c>
      <c r="AM2918" s="1"/>
    </row>
    <row r="2919" spans="1:39" x14ac:dyDescent="0.35">
      <c r="A2919">
        <v>2915</v>
      </c>
      <c r="B2919">
        <v>2916</v>
      </c>
      <c r="F2919" s="64"/>
      <c r="G2919" s="64"/>
      <c r="H2919" s="64" t="s">
        <v>26</v>
      </c>
      <c r="I2919" s="64"/>
      <c r="J2919" s="32" t="str">
        <f>IF(AND(E2919=1,OR(E2918=0,E2918="")),MAX(#REF!)+1,IF(AND(E2919=1,E2918=1),J2918,""))</f>
        <v/>
      </c>
      <c r="K2919" s="32" t="str">
        <f t="shared" si="176"/>
        <v/>
      </c>
      <c r="L2919" s="32" t="str">
        <f t="shared" si="174"/>
        <v/>
      </c>
      <c r="M2919" s="32" t="str">
        <f t="shared" si="175"/>
        <v/>
      </c>
      <c r="N2919" s="4"/>
      <c r="AG2919" t="s">
        <v>2629</v>
      </c>
      <c r="AM2919" s="1"/>
    </row>
    <row r="2920" spans="1:39" x14ac:dyDescent="0.35">
      <c r="A2920">
        <v>2916</v>
      </c>
      <c r="B2920">
        <v>2917</v>
      </c>
      <c r="F2920" s="64"/>
      <c r="G2920" s="64"/>
      <c r="H2920" s="64" t="s">
        <v>26</v>
      </c>
      <c r="I2920" s="64"/>
      <c r="J2920" s="32" t="str">
        <f>IF(AND(E2920=1,OR(E2919=0,E2919="")),MAX(#REF!)+1,IF(AND(E2920=1,E2919=1),J2919,""))</f>
        <v/>
      </c>
      <c r="K2920" s="32" t="str">
        <f t="shared" si="176"/>
        <v/>
      </c>
      <c r="L2920" s="32" t="str">
        <f t="shared" si="174"/>
        <v/>
      </c>
      <c r="M2920" s="32" t="str">
        <f t="shared" si="175"/>
        <v/>
      </c>
      <c r="N2920" s="4"/>
      <c r="AG2920" t="s">
        <v>2630</v>
      </c>
      <c r="AM2920" s="1"/>
    </row>
    <row r="2921" spans="1:39" x14ac:dyDescent="0.35">
      <c r="A2921">
        <v>2917</v>
      </c>
      <c r="B2921">
        <v>2918</v>
      </c>
      <c r="F2921" s="64"/>
      <c r="G2921" s="64"/>
      <c r="H2921" s="64" t="s">
        <v>26</v>
      </c>
      <c r="I2921" s="64"/>
      <c r="J2921" s="32" t="str">
        <f>IF(AND(E2921=1,OR(E2920=0,E2920="")),MAX(#REF!)+1,IF(AND(E2921=1,E2920=1),J2920,""))</f>
        <v/>
      </c>
      <c r="K2921" s="32" t="str">
        <f t="shared" si="176"/>
        <v/>
      </c>
      <c r="L2921" s="32" t="str">
        <f t="shared" si="174"/>
        <v/>
      </c>
      <c r="M2921" s="32" t="str">
        <f t="shared" si="175"/>
        <v/>
      </c>
      <c r="N2921" s="4"/>
      <c r="AG2921" t="s">
        <v>2631</v>
      </c>
      <c r="AM2921" s="1"/>
    </row>
    <row r="2922" spans="1:39" x14ac:dyDescent="0.35">
      <c r="A2922">
        <v>2918</v>
      </c>
      <c r="B2922">
        <v>2919</v>
      </c>
      <c r="F2922" s="64"/>
      <c r="G2922" s="64"/>
      <c r="H2922" s="64" t="s">
        <v>26</v>
      </c>
      <c r="I2922" s="64"/>
      <c r="J2922" s="32" t="str">
        <f>IF(AND(E2922=1,OR(E2921=0,E2921="")),MAX(#REF!)+1,IF(AND(E2922=1,E2921=1),J2921,""))</f>
        <v/>
      </c>
      <c r="K2922" s="32" t="str">
        <f t="shared" si="176"/>
        <v/>
      </c>
      <c r="L2922" s="32" t="str">
        <f t="shared" si="174"/>
        <v/>
      </c>
      <c r="M2922" s="32" t="str">
        <f t="shared" si="175"/>
        <v/>
      </c>
      <c r="N2922" s="4"/>
      <c r="AG2922" t="s">
        <v>2632</v>
      </c>
      <c r="AM2922" s="1"/>
    </row>
    <row r="2923" spans="1:39" x14ac:dyDescent="0.35">
      <c r="A2923">
        <v>2919</v>
      </c>
      <c r="B2923">
        <v>2920</v>
      </c>
      <c r="F2923" s="64"/>
      <c r="G2923" s="64"/>
      <c r="H2923" s="64" t="s">
        <v>26</v>
      </c>
      <c r="I2923" s="64"/>
      <c r="J2923" s="32" t="str">
        <f>IF(AND(E2923=1,OR(E2922=0,E2922="")),MAX(#REF!)+1,IF(AND(E2923=1,E2922=1),J2922,""))</f>
        <v/>
      </c>
      <c r="K2923" s="32" t="str">
        <f t="shared" si="176"/>
        <v/>
      </c>
      <c r="L2923" s="32" t="str">
        <f t="shared" si="174"/>
        <v/>
      </c>
      <c r="M2923" s="32" t="str">
        <f t="shared" si="175"/>
        <v/>
      </c>
      <c r="N2923" s="4"/>
      <c r="AG2923" t="s">
        <v>2633</v>
      </c>
      <c r="AM2923" s="1"/>
    </row>
    <row r="2924" spans="1:39" x14ac:dyDescent="0.35">
      <c r="A2924">
        <v>2920</v>
      </c>
      <c r="B2924">
        <v>2921</v>
      </c>
      <c r="F2924" s="64"/>
      <c r="G2924" s="64"/>
      <c r="H2924" s="64" t="s">
        <v>26</v>
      </c>
      <c r="I2924" s="64"/>
      <c r="J2924" s="32" t="str">
        <f>IF(AND(E2924=1,OR(E2923=0,E2923="")),MAX(#REF!)+1,IF(AND(E2924=1,E2923=1),J2923,""))</f>
        <v/>
      </c>
      <c r="K2924" s="32" t="str">
        <f t="shared" si="176"/>
        <v/>
      </c>
      <c r="L2924" s="32" t="str">
        <f t="shared" si="174"/>
        <v/>
      </c>
      <c r="M2924" s="32" t="str">
        <f t="shared" si="175"/>
        <v/>
      </c>
      <c r="N2924" s="4"/>
      <c r="AG2924" t="s">
        <v>2634</v>
      </c>
      <c r="AM2924" s="1"/>
    </row>
    <row r="2925" spans="1:39" x14ac:dyDescent="0.35">
      <c r="A2925">
        <v>2921</v>
      </c>
      <c r="B2925">
        <v>2922</v>
      </c>
      <c r="F2925" s="64"/>
      <c r="G2925" s="64"/>
      <c r="H2925" s="64" t="s">
        <v>26</v>
      </c>
      <c r="I2925" s="64"/>
      <c r="J2925" s="32" t="str">
        <f>IF(AND(E2925=1,OR(E2924=0,E2924="")),MAX(#REF!)+1,IF(AND(E2925=1,E2924=1),J2924,""))</f>
        <v/>
      </c>
      <c r="K2925" s="32" t="str">
        <f t="shared" si="176"/>
        <v/>
      </c>
      <c r="L2925" s="32" t="str">
        <f t="shared" si="174"/>
        <v/>
      </c>
      <c r="M2925" s="32" t="str">
        <f t="shared" si="175"/>
        <v/>
      </c>
      <c r="N2925" s="4"/>
      <c r="AG2925" t="s">
        <v>2635</v>
      </c>
      <c r="AM2925" s="1"/>
    </row>
    <row r="2926" spans="1:39" x14ac:dyDescent="0.35">
      <c r="A2926">
        <v>2922</v>
      </c>
      <c r="B2926">
        <v>2923</v>
      </c>
      <c r="F2926" s="64"/>
      <c r="G2926" s="64"/>
      <c r="H2926" s="64" t="s">
        <v>26</v>
      </c>
      <c r="I2926" s="64"/>
      <c r="J2926" s="32" t="str">
        <f>IF(AND(E2926=1,OR(E2925=0,E2925="")),MAX(#REF!)+1,IF(AND(E2926=1,E2925=1),J2925,""))</f>
        <v/>
      </c>
      <c r="K2926" s="32" t="str">
        <f t="shared" si="176"/>
        <v/>
      </c>
      <c r="L2926" s="32" t="str">
        <f t="shared" si="174"/>
        <v/>
      </c>
      <c r="M2926" s="32" t="str">
        <f t="shared" si="175"/>
        <v/>
      </c>
      <c r="N2926" s="4"/>
      <c r="AG2926" t="s">
        <v>2636</v>
      </c>
      <c r="AM2926" s="1"/>
    </row>
    <row r="2927" spans="1:39" x14ac:dyDescent="0.35">
      <c r="A2927">
        <v>2923</v>
      </c>
      <c r="B2927">
        <v>2924</v>
      </c>
      <c r="F2927" s="64"/>
      <c r="G2927" s="64"/>
      <c r="H2927" s="64" t="s">
        <v>26</v>
      </c>
      <c r="I2927" s="64"/>
      <c r="J2927" s="32">
        <v>236</v>
      </c>
      <c r="K2927" s="32">
        <f t="shared" si="176"/>
        <v>20</v>
      </c>
      <c r="L2927" s="32" t="str">
        <f t="shared" si="174"/>
        <v/>
      </c>
      <c r="M2927" s="32">
        <f t="shared" si="175"/>
        <v>400</v>
      </c>
      <c r="N2927" s="4"/>
      <c r="AG2927" t="s">
        <v>2637</v>
      </c>
      <c r="AM2927" s="1"/>
    </row>
    <row r="2928" spans="1:39" x14ac:dyDescent="0.35">
      <c r="A2928">
        <v>2924</v>
      </c>
      <c r="B2928">
        <v>2925</v>
      </c>
      <c r="F2928" s="64"/>
      <c r="G2928" s="64"/>
      <c r="H2928" s="64" t="s">
        <v>26</v>
      </c>
      <c r="I2928" s="64"/>
      <c r="J2928" s="32" t="str">
        <f>IF(AND(E2928=1,OR(E2927=0,E2927="")),MAX(#REF!)+1,IF(AND(E2928=1,E2927=1),J2927,""))</f>
        <v/>
      </c>
      <c r="K2928" s="32" t="str">
        <f t="shared" si="176"/>
        <v/>
      </c>
      <c r="L2928" s="32" t="str">
        <f t="shared" si="174"/>
        <v/>
      </c>
      <c r="M2928" s="32" t="str">
        <f t="shared" si="175"/>
        <v/>
      </c>
      <c r="N2928" s="4"/>
      <c r="AG2928" t="s">
        <v>2638</v>
      </c>
      <c r="AM2928" s="1"/>
    </row>
    <row r="2929" spans="1:39" x14ac:dyDescent="0.35">
      <c r="A2929">
        <v>2925</v>
      </c>
      <c r="B2929">
        <v>2926</v>
      </c>
      <c r="F2929" s="64"/>
      <c r="G2929" s="64"/>
      <c r="H2929" s="64" t="s">
        <v>26</v>
      </c>
      <c r="I2929" s="64"/>
      <c r="J2929" s="32" t="str">
        <f>IF(AND(E2929=1,OR(E2928=0,E2928="")),MAX(#REF!)+1,IF(AND(E2929=1,E2928=1),J2928,""))</f>
        <v/>
      </c>
      <c r="K2929" s="32" t="str">
        <f t="shared" si="176"/>
        <v/>
      </c>
      <c r="L2929" s="32" t="str">
        <f t="shared" si="174"/>
        <v/>
      </c>
      <c r="M2929" s="32" t="str">
        <f t="shared" si="175"/>
        <v/>
      </c>
      <c r="N2929" s="4"/>
      <c r="AG2929" t="s">
        <v>2639</v>
      </c>
      <c r="AM2929" s="1"/>
    </row>
    <row r="2930" spans="1:39" x14ac:dyDescent="0.35">
      <c r="A2930">
        <v>2926</v>
      </c>
      <c r="B2930">
        <v>2927</v>
      </c>
      <c r="F2930" s="64"/>
      <c r="G2930" s="64"/>
      <c r="H2930" s="64" t="s">
        <v>26</v>
      </c>
      <c r="I2930" s="64"/>
      <c r="J2930" s="32" t="str">
        <f>IF(AND(E2930=1,OR(E2929=0,E2929="")),MAX(#REF!)+1,IF(AND(E2930=1,E2929=1),J2929,""))</f>
        <v/>
      </c>
      <c r="K2930" s="32" t="str">
        <f t="shared" si="176"/>
        <v/>
      </c>
      <c r="L2930" s="32" t="str">
        <f t="shared" si="174"/>
        <v/>
      </c>
      <c r="M2930" s="32" t="str">
        <f t="shared" si="175"/>
        <v/>
      </c>
      <c r="N2930" s="4"/>
      <c r="AG2930" t="s">
        <v>2640</v>
      </c>
      <c r="AM2930" s="1"/>
    </row>
    <row r="2931" spans="1:39" x14ac:dyDescent="0.35">
      <c r="A2931">
        <v>2927</v>
      </c>
      <c r="B2931">
        <v>2928</v>
      </c>
      <c r="F2931" s="64"/>
      <c r="G2931" s="64"/>
      <c r="H2931" s="64" t="s">
        <v>26</v>
      </c>
      <c r="I2931" s="64"/>
      <c r="J2931" s="32" t="str">
        <f>IF(AND(E2931=1,OR(E2930=0,E2930="")),MAX(#REF!)+1,IF(AND(E2931=1,E2930=1),J2930,""))</f>
        <v/>
      </c>
      <c r="K2931" s="32" t="str">
        <f t="shared" si="176"/>
        <v/>
      </c>
      <c r="L2931" s="32" t="str">
        <f t="shared" si="174"/>
        <v/>
      </c>
      <c r="M2931" s="32" t="str">
        <f t="shared" si="175"/>
        <v/>
      </c>
      <c r="N2931" s="4"/>
      <c r="AG2931" t="s">
        <v>2641</v>
      </c>
      <c r="AM2931" s="1"/>
    </row>
    <row r="2932" spans="1:39" x14ac:dyDescent="0.35">
      <c r="A2932">
        <v>2928</v>
      </c>
      <c r="B2932">
        <v>2929</v>
      </c>
      <c r="F2932" s="64"/>
      <c r="G2932" s="64"/>
      <c r="H2932" s="64" t="s">
        <v>26</v>
      </c>
      <c r="I2932" s="64"/>
      <c r="J2932" s="32" t="str">
        <f>IF(AND(E2932=1,OR(E2931=0,E2931="")),MAX(#REF!)+1,IF(AND(E2932=1,E2931=1),J2931,""))</f>
        <v/>
      </c>
      <c r="K2932" s="32" t="str">
        <f t="shared" si="176"/>
        <v/>
      </c>
      <c r="L2932" s="32" t="str">
        <f t="shared" si="174"/>
        <v/>
      </c>
      <c r="M2932" s="32" t="str">
        <f t="shared" si="175"/>
        <v/>
      </c>
      <c r="N2932" s="4"/>
      <c r="AG2932" t="s">
        <v>2642</v>
      </c>
      <c r="AM2932" s="1"/>
    </row>
    <row r="2933" spans="1:39" x14ac:dyDescent="0.35">
      <c r="A2933">
        <v>2929</v>
      </c>
      <c r="B2933">
        <v>2930</v>
      </c>
      <c r="F2933" s="64"/>
      <c r="G2933" s="64"/>
      <c r="H2933" s="64" t="s">
        <v>26</v>
      </c>
      <c r="I2933" s="64"/>
      <c r="J2933" s="32" t="str">
        <f>IF(AND(E2933=1,OR(E2932=0,E2932="")),MAX(#REF!)+1,IF(AND(E2933=1,E2932=1),J2932,""))</f>
        <v/>
      </c>
      <c r="K2933" s="32" t="str">
        <f t="shared" si="176"/>
        <v/>
      </c>
      <c r="L2933" s="32" t="str">
        <f t="shared" si="174"/>
        <v/>
      </c>
      <c r="M2933" s="32" t="str">
        <f t="shared" si="175"/>
        <v/>
      </c>
      <c r="N2933" s="4"/>
      <c r="AG2933" t="s">
        <v>2643</v>
      </c>
      <c r="AM2933" s="1"/>
    </row>
    <row r="2934" spans="1:39" x14ac:dyDescent="0.35">
      <c r="A2934">
        <v>2930</v>
      </c>
      <c r="B2934">
        <v>2931</v>
      </c>
      <c r="F2934" s="64"/>
      <c r="G2934" s="64"/>
      <c r="H2934" s="64" t="s">
        <v>26</v>
      </c>
      <c r="I2934" s="64"/>
      <c r="J2934" s="32" t="str">
        <f>IF(AND(E2934=1,OR(E2933=0,E2933="")),MAX(#REF!)+1,IF(AND(E2934=1,E2933=1),J2933,""))</f>
        <v/>
      </c>
      <c r="K2934" s="32" t="str">
        <f t="shared" si="176"/>
        <v/>
      </c>
      <c r="L2934" s="32" t="str">
        <f t="shared" si="174"/>
        <v/>
      </c>
      <c r="M2934" s="32" t="str">
        <f t="shared" si="175"/>
        <v/>
      </c>
      <c r="N2934" s="4"/>
      <c r="AG2934" t="s">
        <v>2644</v>
      </c>
      <c r="AM2934" s="1"/>
    </row>
    <row r="2935" spans="1:39" x14ac:dyDescent="0.35">
      <c r="A2935">
        <v>2931</v>
      </c>
      <c r="B2935">
        <v>2932</v>
      </c>
      <c r="F2935" s="64"/>
      <c r="G2935" s="64"/>
      <c r="H2935" s="64" t="s">
        <v>26</v>
      </c>
      <c r="I2935" s="64"/>
      <c r="J2935" s="32" t="str">
        <f>IF(AND(E2935=1,OR(E2934=0,E2934="")),MAX(#REF!)+1,IF(AND(E2935=1,E2934=1),J2934,""))</f>
        <v/>
      </c>
      <c r="K2935" s="32" t="str">
        <f t="shared" si="176"/>
        <v/>
      </c>
      <c r="L2935" s="32" t="str">
        <f t="shared" si="174"/>
        <v/>
      </c>
      <c r="M2935" s="32" t="str">
        <f t="shared" si="175"/>
        <v/>
      </c>
      <c r="N2935" s="4"/>
      <c r="AG2935" t="s">
        <v>2645</v>
      </c>
      <c r="AM2935" s="1"/>
    </row>
    <row r="2936" spans="1:39" x14ac:dyDescent="0.35">
      <c r="A2936">
        <v>2932</v>
      </c>
      <c r="B2936">
        <v>2933</v>
      </c>
      <c r="F2936" s="64"/>
      <c r="G2936" s="64"/>
      <c r="H2936" s="64" t="s">
        <v>26</v>
      </c>
      <c r="I2936" s="64"/>
      <c r="J2936" s="32" t="str">
        <f>IF(AND(E2936=1,OR(E2935=0,E2935="")),MAX(#REF!)+1,IF(AND(E2936=1,E2935=1),J2935,""))</f>
        <v/>
      </c>
      <c r="K2936" s="32" t="str">
        <f t="shared" si="176"/>
        <v/>
      </c>
      <c r="L2936" s="32" t="str">
        <f t="shared" si="174"/>
        <v/>
      </c>
      <c r="M2936" s="32" t="str">
        <f t="shared" si="175"/>
        <v/>
      </c>
      <c r="N2936" s="4"/>
      <c r="AG2936" t="s">
        <v>2646</v>
      </c>
      <c r="AM2936" s="1"/>
    </row>
    <row r="2937" spans="1:39" x14ac:dyDescent="0.35">
      <c r="A2937">
        <v>2933</v>
      </c>
      <c r="B2937">
        <v>2934</v>
      </c>
      <c r="F2937" s="64"/>
      <c r="G2937" s="64"/>
      <c r="H2937" s="64" t="s">
        <v>26</v>
      </c>
      <c r="I2937" s="64"/>
      <c r="J2937" s="32" t="str">
        <f>IF(AND(E2937=1,OR(E2936=0,E2936="")),MAX(#REF!)+1,IF(AND(E2937=1,E2936=1),J2936,""))</f>
        <v/>
      </c>
      <c r="K2937" s="32" t="str">
        <f t="shared" si="176"/>
        <v/>
      </c>
      <c r="L2937" s="32" t="str">
        <f t="shared" si="174"/>
        <v/>
      </c>
      <c r="M2937" s="32" t="str">
        <f t="shared" si="175"/>
        <v/>
      </c>
      <c r="N2937" s="4"/>
      <c r="AG2937" t="s">
        <v>2647</v>
      </c>
      <c r="AM2937" s="1"/>
    </row>
    <row r="2938" spans="1:39" x14ac:dyDescent="0.35">
      <c r="A2938">
        <v>2934</v>
      </c>
      <c r="B2938">
        <v>2935</v>
      </c>
      <c r="F2938" s="64"/>
      <c r="G2938" s="64"/>
      <c r="H2938" s="64" t="s">
        <v>26</v>
      </c>
      <c r="I2938" s="64"/>
      <c r="J2938" s="32" t="str">
        <f>IF(AND(E2938=1,OR(E2937=0,E2937="")),MAX(#REF!)+1,IF(AND(E2938=1,E2937=1),J2937,""))</f>
        <v/>
      </c>
      <c r="K2938" s="32" t="str">
        <f t="shared" si="176"/>
        <v/>
      </c>
      <c r="L2938" s="32" t="str">
        <f t="shared" si="174"/>
        <v/>
      </c>
      <c r="M2938" s="32" t="str">
        <f t="shared" si="175"/>
        <v/>
      </c>
      <c r="N2938" s="4"/>
      <c r="AG2938" t="s">
        <v>2648</v>
      </c>
      <c r="AM2938" s="1"/>
    </row>
    <row r="2939" spans="1:39" x14ac:dyDescent="0.35">
      <c r="A2939">
        <v>2935</v>
      </c>
      <c r="B2939">
        <v>2936</v>
      </c>
      <c r="F2939" s="64"/>
      <c r="G2939" s="64"/>
      <c r="H2939" s="64" t="s">
        <v>26</v>
      </c>
      <c r="I2939" s="64"/>
      <c r="J2939" s="32" t="str">
        <f>IF(AND(E2939=1,OR(E2938=0,E2938="")),MAX(#REF!)+1,IF(AND(E2939=1,E2938=1),J2938,""))</f>
        <v/>
      </c>
      <c r="K2939" s="32" t="str">
        <f t="shared" si="176"/>
        <v/>
      </c>
      <c r="L2939" s="32" t="str">
        <f t="shared" si="174"/>
        <v/>
      </c>
      <c r="M2939" s="32" t="str">
        <f t="shared" si="175"/>
        <v/>
      </c>
      <c r="N2939" s="4"/>
      <c r="AG2939" t="s">
        <v>2649</v>
      </c>
      <c r="AM2939" s="1"/>
    </row>
    <row r="2940" spans="1:39" x14ac:dyDescent="0.35">
      <c r="A2940">
        <v>2936</v>
      </c>
      <c r="B2940">
        <v>2937</v>
      </c>
      <c r="F2940" s="64"/>
      <c r="G2940" s="64"/>
      <c r="H2940" s="64" t="s">
        <v>26</v>
      </c>
      <c r="I2940" s="64"/>
      <c r="J2940" s="32" t="str">
        <f>IF(AND(E2940=1,OR(E2939=0,E2939="")),MAX(#REF!)+1,IF(AND(E2940=1,E2939=1),J2939,""))</f>
        <v/>
      </c>
      <c r="K2940" s="32" t="str">
        <f t="shared" si="176"/>
        <v/>
      </c>
      <c r="L2940" s="32" t="str">
        <f t="shared" si="174"/>
        <v/>
      </c>
      <c r="M2940" s="32" t="str">
        <f t="shared" si="175"/>
        <v/>
      </c>
      <c r="N2940" s="4"/>
      <c r="AG2940" t="s">
        <v>2650</v>
      </c>
      <c r="AM2940" s="1"/>
    </row>
    <row r="2941" spans="1:39" x14ac:dyDescent="0.35">
      <c r="A2941">
        <v>2937</v>
      </c>
      <c r="B2941">
        <v>2938</v>
      </c>
      <c r="F2941" s="64"/>
      <c r="G2941" s="64"/>
      <c r="H2941" s="64" t="s">
        <v>26</v>
      </c>
      <c r="I2941" s="64"/>
      <c r="J2941" s="32" t="str">
        <f>IF(AND(E2941=1,OR(E2940=0,E2940="")),MAX(#REF!)+1,IF(AND(E2941=1,E2940=1),J2940,""))</f>
        <v/>
      </c>
      <c r="K2941" s="32" t="str">
        <f t="shared" si="176"/>
        <v/>
      </c>
      <c r="L2941" s="32" t="str">
        <f t="shared" si="174"/>
        <v/>
      </c>
      <c r="M2941" s="32" t="str">
        <f t="shared" si="175"/>
        <v/>
      </c>
      <c r="N2941" s="4"/>
      <c r="AG2941" t="s">
        <v>2651</v>
      </c>
      <c r="AM2941" s="1"/>
    </row>
    <row r="2942" spans="1:39" x14ac:dyDescent="0.35">
      <c r="A2942">
        <v>2938</v>
      </c>
      <c r="B2942">
        <v>2939</v>
      </c>
      <c r="F2942" s="64"/>
      <c r="G2942" s="64"/>
      <c r="H2942" s="64" t="s">
        <v>26</v>
      </c>
      <c r="I2942" s="64"/>
      <c r="J2942" s="32" t="str">
        <f>IF(AND(E2942=1,OR(E2941=0,E2941="")),MAX(#REF!)+1,IF(AND(E2942=1,E2941=1),J2941,""))</f>
        <v/>
      </c>
      <c r="K2942" s="32" t="str">
        <f t="shared" si="176"/>
        <v/>
      </c>
      <c r="L2942" s="32" t="str">
        <f t="shared" si="174"/>
        <v/>
      </c>
      <c r="M2942" s="32" t="str">
        <f t="shared" si="175"/>
        <v/>
      </c>
      <c r="N2942" s="4"/>
      <c r="AG2942" t="s">
        <v>2652</v>
      </c>
      <c r="AM2942" s="1"/>
    </row>
    <row r="2943" spans="1:39" x14ac:dyDescent="0.35">
      <c r="A2943">
        <v>2939</v>
      </c>
      <c r="B2943">
        <v>2940</v>
      </c>
      <c r="F2943" s="64"/>
      <c r="G2943" s="64"/>
      <c r="H2943" s="64" t="s">
        <v>26</v>
      </c>
      <c r="I2943" s="64"/>
      <c r="J2943" s="32" t="str">
        <f>IF(AND(E2943=1,OR(E2942=0,E2942="")),MAX(#REF!)+1,IF(AND(E2943=1,E2942=1),J2942,""))</f>
        <v/>
      </c>
      <c r="K2943" s="32" t="str">
        <f t="shared" si="176"/>
        <v/>
      </c>
      <c r="L2943" s="32" t="str">
        <f t="shared" si="174"/>
        <v/>
      </c>
      <c r="M2943" s="32" t="str">
        <f t="shared" si="175"/>
        <v/>
      </c>
      <c r="N2943" s="4"/>
      <c r="AG2943" t="s">
        <v>2653</v>
      </c>
      <c r="AM2943" s="1"/>
    </row>
    <row r="2944" spans="1:39" x14ac:dyDescent="0.35">
      <c r="A2944">
        <v>2940</v>
      </c>
      <c r="B2944">
        <v>2941</v>
      </c>
      <c r="F2944" s="64"/>
      <c r="G2944" s="64"/>
      <c r="H2944" s="64" t="s">
        <v>26</v>
      </c>
      <c r="I2944" s="64"/>
      <c r="J2944" s="32" t="str">
        <f>IF(AND(E2944=1,OR(E2943=0,E2943="")),MAX(#REF!)+1,IF(AND(E2944=1,E2943=1),J2943,""))</f>
        <v/>
      </c>
      <c r="K2944" s="32" t="str">
        <f t="shared" si="176"/>
        <v/>
      </c>
      <c r="L2944" s="32" t="str">
        <f t="shared" si="174"/>
        <v/>
      </c>
      <c r="M2944" s="32" t="str">
        <f t="shared" si="175"/>
        <v/>
      </c>
      <c r="N2944" s="4"/>
      <c r="AG2944" t="s">
        <v>2654</v>
      </c>
      <c r="AM2944" s="1"/>
    </row>
    <row r="2945" spans="1:39" x14ac:dyDescent="0.35">
      <c r="A2945">
        <v>2941</v>
      </c>
      <c r="B2945">
        <v>2942</v>
      </c>
      <c r="F2945" s="64"/>
      <c r="G2945" s="64"/>
      <c r="H2945" s="64" t="s">
        <v>26</v>
      </c>
      <c r="I2945" s="64"/>
      <c r="J2945" s="32">
        <v>238</v>
      </c>
      <c r="K2945" s="32">
        <f t="shared" si="176"/>
        <v>10</v>
      </c>
      <c r="L2945" s="32" t="str">
        <f t="shared" si="174"/>
        <v/>
      </c>
      <c r="M2945" s="32">
        <f t="shared" si="175"/>
        <v>100</v>
      </c>
      <c r="N2945" s="4"/>
      <c r="AG2945" t="s">
        <v>2655</v>
      </c>
      <c r="AM2945" s="1"/>
    </row>
    <row r="2946" spans="1:39" x14ac:dyDescent="0.35">
      <c r="A2946">
        <v>2942</v>
      </c>
      <c r="B2946">
        <v>2943</v>
      </c>
      <c r="F2946" s="64"/>
      <c r="G2946" s="64"/>
      <c r="H2946" s="64" t="s">
        <v>26</v>
      </c>
      <c r="I2946" s="64"/>
      <c r="J2946" s="32" t="str">
        <f>IF(AND(E2946=1,OR(E2945=0,E2945="")),MAX(#REF!)+1,IF(AND(E2946=1,E2945=1),J2945,""))</f>
        <v/>
      </c>
      <c r="K2946" s="32" t="str">
        <f t="shared" si="176"/>
        <v/>
      </c>
      <c r="L2946" s="32" t="str">
        <f t="shared" si="174"/>
        <v/>
      </c>
      <c r="M2946" s="32" t="str">
        <f t="shared" si="175"/>
        <v/>
      </c>
      <c r="N2946" s="4"/>
      <c r="AG2946" t="s">
        <v>2656</v>
      </c>
      <c r="AM2946" s="1"/>
    </row>
    <row r="2947" spans="1:39" x14ac:dyDescent="0.35">
      <c r="A2947">
        <v>2943</v>
      </c>
      <c r="B2947">
        <v>2944</v>
      </c>
      <c r="F2947" s="64"/>
      <c r="G2947" s="64"/>
      <c r="H2947" s="64" t="s">
        <v>26</v>
      </c>
      <c r="I2947" s="64"/>
      <c r="J2947" s="32" t="str">
        <f>IF(AND(E2947=1,OR(E2946=0,E2946="")),MAX(#REF!)+1,IF(AND(E2947=1,E2946=1),J2946,""))</f>
        <v/>
      </c>
      <c r="K2947" s="32" t="str">
        <f t="shared" si="176"/>
        <v/>
      </c>
      <c r="L2947" s="32" t="str">
        <f t="shared" si="174"/>
        <v/>
      </c>
      <c r="M2947" s="32" t="str">
        <f t="shared" si="175"/>
        <v/>
      </c>
      <c r="N2947" s="4"/>
      <c r="AG2947" t="s">
        <v>2657</v>
      </c>
      <c r="AM2947" s="1"/>
    </row>
    <row r="2948" spans="1:39" x14ac:dyDescent="0.35">
      <c r="A2948">
        <v>2944</v>
      </c>
      <c r="B2948">
        <v>2945</v>
      </c>
      <c r="F2948" s="64"/>
      <c r="G2948" s="64"/>
      <c r="H2948" s="64" t="s">
        <v>26</v>
      </c>
      <c r="I2948" s="64"/>
      <c r="J2948" s="32" t="str">
        <f>IF(AND(E2948=1,OR(E2947=0,E2947="")),MAX(#REF!)+1,IF(AND(E2948=1,E2947=1),J2947,""))</f>
        <v/>
      </c>
      <c r="K2948" s="32" t="str">
        <f t="shared" si="176"/>
        <v/>
      </c>
      <c r="L2948" s="32" t="str">
        <f t="shared" ref="L2948:L3011" si="177">IF(K2948="","",IF(K2948&gt;=100,"HV",""))</f>
        <v/>
      </c>
      <c r="M2948" s="32" t="str">
        <f t="shared" ref="M2948:M3011" si="178">IF(K2948&lt;&gt;"",K2948^2,"")</f>
        <v/>
      </c>
      <c r="N2948" s="4"/>
      <c r="AG2948" t="s">
        <v>2658</v>
      </c>
      <c r="AM2948" s="1"/>
    </row>
    <row r="2949" spans="1:39" x14ac:dyDescent="0.35">
      <c r="A2949">
        <v>2945</v>
      </c>
      <c r="B2949">
        <v>2946</v>
      </c>
      <c r="F2949" s="64"/>
      <c r="G2949" s="64"/>
      <c r="H2949" s="64" t="s">
        <v>26</v>
      </c>
      <c r="I2949" s="64"/>
      <c r="J2949" s="32" t="str">
        <f>IF(AND(E2949=1,OR(E2948=0,E2948="")),MAX(#REF!)+1,IF(AND(E2949=1,E2948=1),J2948,""))</f>
        <v/>
      </c>
      <c r="K2949" s="32" t="str">
        <f t="shared" si="176"/>
        <v/>
      </c>
      <c r="L2949" s="32" t="str">
        <f t="shared" si="177"/>
        <v/>
      </c>
      <c r="M2949" s="32" t="str">
        <f t="shared" si="178"/>
        <v/>
      </c>
      <c r="N2949" s="4"/>
      <c r="AG2949" t="s">
        <v>2659</v>
      </c>
      <c r="AM2949" s="1"/>
    </row>
    <row r="2950" spans="1:39" x14ac:dyDescent="0.35">
      <c r="A2950">
        <v>2946</v>
      </c>
      <c r="B2950">
        <v>2947</v>
      </c>
      <c r="F2950" s="64"/>
      <c r="G2950" s="64"/>
      <c r="H2950" s="64" t="s">
        <v>26</v>
      </c>
      <c r="I2950" s="64"/>
      <c r="J2950" s="32" t="str">
        <f>IF(AND(E2950=1,OR(E2949=0,E2949="")),MAX(#REF!)+1,IF(AND(E2950=1,E2949=1),J2949,""))</f>
        <v/>
      </c>
      <c r="K2950" s="32" t="str">
        <f t="shared" si="176"/>
        <v/>
      </c>
      <c r="L2950" s="32" t="str">
        <f t="shared" si="177"/>
        <v/>
      </c>
      <c r="M2950" s="32" t="str">
        <f t="shared" si="178"/>
        <v/>
      </c>
      <c r="N2950" s="4"/>
      <c r="AG2950" t="s">
        <v>2660</v>
      </c>
      <c r="AM2950" s="1"/>
    </row>
    <row r="2951" spans="1:39" x14ac:dyDescent="0.35">
      <c r="A2951">
        <v>2947</v>
      </c>
      <c r="B2951">
        <v>2948</v>
      </c>
      <c r="F2951" s="64"/>
      <c r="G2951" s="64"/>
      <c r="H2951" s="64" t="s">
        <v>26</v>
      </c>
      <c r="I2951" s="64"/>
      <c r="J2951" s="32" t="str">
        <f>IF(AND(E2951=1,OR(E2950=0,E2950="")),MAX(#REF!)+1,IF(AND(E2951=1,E2950=1),J2950,""))</f>
        <v/>
      </c>
      <c r="K2951" s="32" t="str">
        <f t="shared" si="176"/>
        <v/>
      </c>
      <c r="L2951" s="32" t="str">
        <f t="shared" si="177"/>
        <v/>
      </c>
      <c r="M2951" s="32" t="str">
        <f t="shared" si="178"/>
        <v/>
      </c>
      <c r="N2951" s="4"/>
      <c r="AG2951" t="s">
        <v>2661</v>
      </c>
      <c r="AM2951" s="1"/>
    </row>
    <row r="2952" spans="1:39" x14ac:dyDescent="0.35">
      <c r="A2952">
        <v>2948</v>
      </c>
      <c r="B2952">
        <v>2949</v>
      </c>
      <c r="F2952" s="64"/>
      <c r="G2952" s="64"/>
      <c r="H2952" s="64" t="s">
        <v>26</v>
      </c>
      <c r="I2952" s="64"/>
      <c r="J2952" s="32" t="str">
        <f>IF(AND(E2952=1,OR(E2951=0,E2951="")),MAX(#REF!)+1,IF(AND(E2952=1,E2951=1),J2951,""))</f>
        <v/>
      </c>
      <c r="K2952" s="32" t="str">
        <f t="shared" si="176"/>
        <v/>
      </c>
      <c r="L2952" s="32" t="str">
        <f t="shared" si="177"/>
        <v/>
      </c>
      <c r="M2952" s="32" t="str">
        <f t="shared" si="178"/>
        <v/>
      </c>
      <c r="N2952" s="4"/>
      <c r="AG2952" t="s">
        <v>2662</v>
      </c>
      <c r="AM2952" s="1"/>
    </row>
    <row r="2953" spans="1:39" x14ac:dyDescent="0.35">
      <c r="A2953">
        <v>2949</v>
      </c>
      <c r="B2953">
        <v>2950</v>
      </c>
      <c r="F2953" s="64"/>
      <c r="G2953" s="64"/>
      <c r="H2953" s="64" t="s">
        <v>26</v>
      </c>
      <c r="I2953" s="64"/>
      <c r="J2953" s="32" t="str">
        <f>IF(AND(E2953=1,OR(E2952=0,E2952="")),MAX(#REF!)+1,IF(AND(E2953=1,E2952=1),J2952,""))</f>
        <v/>
      </c>
      <c r="K2953" s="32" t="str">
        <f t="shared" si="176"/>
        <v/>
      </c>
      <c r="L2953" s="32" t="str">
        <f t="shared" si="177"/>
        <v/>
      </c>
      <c r="M2953" s="32" t="str">
        <f t="shared" si="178"/>
        <v/>
      </c>
      <c r="N2953" s="4"/>
      <c r="AG2953" t="s">
        <v>2663</v>
      </c>
      <c r="AM2953" s="1"/>
    </row>
    <row r="2954" spans="1:39" x14ac:dyDescent="0.35">
      <c r="A2954">
        <v>2950</v>
      </c>
      <c r="B2954">
        <v>2951</v>
      </c>
      <c r="F2954" s="64"/>
      <c r="G2954" s="64"/>
      <c r="H2954" s="64" t="s">
        <v>26</v>
      </c>
      <c r="I2954" s="64"/>
      <c r="J2954" s="32" t="str">
        <f>IF(AND(E2954=1,OR(E2953=0,E2953="")),MAX(#REF!)+1,IF(AND(E2954=1,E2953=1),J2953,""))</f>
        <v/>
      </c>
      <c r="K2954" s="32" t="str">
        <f t="shared" si="176"/>
        <v/>
      </c>
      <c r="L2954" s="32" t="str">
        <f t="shared" si="177"/>
        <v/>
      </c>
      <c r="M2954" s="32" t="str">
        <f t="shared" si="178"/>
        <v/>
      </c>
      <c r="N2954" s="4"/>
      <c r="AG2954" t="s">
        <v>2664</v>
      </c>
      <c r="AM2954" s="1"/>
    </row>
    <row r="2955" spans="1:39" x14ac:dyDescent="0.35">
      <c r="A2955">
        <v>2951</v>
      </c>
      <c r="B2955">
        <v>2952</v>
      </c>
      <c r="F2955" s="64"/>
      <c r="G2955" s="64"/>
      <c r="H2955" s="64" t="s">
        <v>26</v>
      </c>
      <c r="I2955" s="64"/>
      <c r="J2955" s="32" t="str">
        <f>IF(AND(E2955=1,OR(E2954=0,E2954="")),MAX(#REF!)+1,IF(AND(E2955=1,E2954=1),J2954,""))</f>
        <v/>
      </c>
      <c r="K2955" s="32" t="str">
        <f t="shared" si="176"/>
        <v/>
      </c>
      <c r="L2955" s="32" t="str">
        <f t="shared" si="177"/>
        <v/>
      </c>
      <c r="M2955" s="32" t="str">
        <f t="shared" si="178"/>
        <v/>
      </c>
      <c r="N2955" s="4"/>
      <c r="AG2955" t="s">
        <v>2665</v>
      </c>
      <c r="AM2955" s="1"/>
    </row>
    <row r="2956" spans="1:39" x14ac:dyDescent="0.35">
      <c r="A2956">
        <v>2952</v>
      </c>
      <c r="B2956">
        <v>2953</v>
      </c>
      <c r="F2956" s="64"/>
      <c r="G2956" s="64"/>
      <c r="H2956" s="64" t="s">
        <v>26</v>
      </c>
      <c r="I2956" s="64"/>
      <c r="J2956" s="32" t="str">
        <f>IF(AND(E2956=1,OR(E2955=0,E2955="")),MAX(#REF!)+1,IF(AND(E2956=1,E2955=1),J2955,""))</f>
        <v/>
      </c>
      <c r="K2956" s="32" t="str">
        <f t="shared" si="176"/>
        <v/>
      </c>
      <c r="L2956" s="32" t="str">
        <f t="shared" si="177"/>
        <v/>
      </c>
      <c r="M2956" s="32" t="str">
        <f t="shared" si="178"/>
        <v/>
      </c>
      <c r="N2956" s="4"/>
      <c r="AG2956" t="s">
        <v>2666</v>
      </c>
      <c r="AM2956" s="1"/>
    </row>
    <row r="2957" spans="1:39" x14ac:dyDescent="0.35">
      <c r="A2957">
        <v>2953</v>
      </c>
      <c r="B2957">
        <v>2954</v>
      </c>
      <c r="F2957" s="64"/>
      <c r="G2957" s="64"/>
      <c r="H2957" s="64" t="s">
        <v>26</v>
      </c>
      <c r="I2957" s="64"/>
      <c r="J2957" s="32" t="str">
        <f>IF(AND(E2957=1,OR(E2956=0,E2956="")),MAX(#REF!)+1,IF(AND(E2957=1,E2956=1),J2956,""))</f>
        <v/>
      </c>
      <c r="K2957" s="32" t="str">
        <f t="shared" si="176"/>
        <v/>
      </c>
      <c r="L2957" s="32" t="str">
        <f t="shared" si="177"/>
        <v/>
      </c>
      <c r="M2957" s="32" t="str">
        <f t="shared" si="178"/>
        <v/>
      </c>
      <c r="N2957" s="4"/>
      <c r="AG2957" t="s">
        <v>2667</v>
      </c>
      <c r="AM2957" s="1"/>
    </row>
    <row r="2958" spans="1:39" x14ac:dyDescent="0.35">
      <c r="A2958">
        <v>2954</v>
      </c>
      <c r="B2958">
        <v>2955</v>
      </c>
      <c r="F2958" s="64"/>
      <c r="G2958" s="64"/>
      <c r="H2958" s="64" t="s">
        <v>26</v>
      </c>
      <c r="I2958" s="64"/>
      <c r="J2958" s="32" t="str">
        <f>IF(AND(E2958=1,OR(E2957=0,E2957="")),MAX(#REF!)+1,IF(AND(E2958=1,E2957=1),J2957,""))</f>
        <v/>
      </c>
      <c r="K2958" s="32" t="str">
        <f t="shared" si="176"/>
        <v/>
      </c>
      <c r="L2958" s="32" t="str">
        <f t="shared" si="177"/>
        <v/>
      </c>
      <c r="M2958" s="32" t="str">
        <f t="shared" si="178"/>
        <v/>
      </c>
      <c r="N2958" s="4"/>
      <c r="AG2958" t="s">
        <v>2668</v>
      </c>
      <c r="AM2958" s="1"/>
    </row>
    <row r="2959" spans="1:39" x14ac:dyDescent="0.35">
      <c r="A2959">
        <v>2955</v>
      </c>
      <c r="B2959">
        <v>2956</v>
      </c>
      <c r="F2959" s="64"/>
      <c r="G2959" s="64"/>
      <c r="H2959" s="64" t="s">
        <v>26</v>
      </c>
      <c r="I2959" s="64"/>
      <c r="J2959" s="32" t="str">
        <f>IF(AND(E2959=1,OR(E2958=0,E2958="")),MAX(#REF!)+1,IF(AND(E2959=1,E2958=1),J2958,""))</f>
        <v/>
      </c>
      <c r="K2959" s="32" t="str">
        <f t="shared" si="176"/>
        <v/>
      </c>
      <c r="L2959" s="32" t="str">
        <f t="shared" si="177"/>
        <v/>
      </c>
      <c r="M2959" s="32" t="str">
        <f t="shared" si="178"/>
        <v/>
      </c>
      <c r="N2959" s="4"/>
      <c r="AG2959" t="s">
        <v>2669</v>
      </c>
      <c r="AM2959" s="1"/>
    </row>
    <row r="2960" spans="1:39" x14ac:dyDescent="0.35">
      <c r="A2960">
        <v>2956</v>
      </c>
      <c r="B2960">
        <v>2957</v>
      </c>
      <c r="F2960" s="64"/>
      <c r="G2960" s="64"/>
      <c r="H2960" s="64" t="s">
        <v>26</v>
      </c>
      <c r="I2960" s="64"/>
      <c r="J2960" s="32" t="str">
        <f>IF(AND(E2960=1,OR(E2959=0,E2959="")),MAX(#REF!)+1,IF(AND(E2960=1,E2959=1),J2959,""))</f>
        <v/>
      </c>
      <c r="K2960" s="32" t="str">
        <f t="shared" si="176"/>
        <v/>
      </c>
      <c r="L2960" s="32" t="str">
        <f t="shared" si="177"/>
        <v/>
      </c>
      <c r="M2960" s="32" t="str">
        <f t="shared" si="178"/>
        <v/>
      </c>
      <c r="N2960" s="4"/>
      <c r="AG2960" t="s">
        <v>2670</v>
      </c>
      <c r="AM2960" s="1"/>
    </row>
    <row r="2961" spans="1:39" x14ac:dyDescent="0.35">
      <c r="A2961">
        <v>2957</v>
      </c>
      <c r="B2961">
        <v>2958</v>
      </c>
      <c r="F2961" s="64"/>
      <c r="G2961" s="64"/>
      <c r="H2961" s="64" t="s">
        <v>26</v>
      </c>
      <c r="I2961" s="64"/>
      <c r="J2961" s="32" t="str">
        <f>IF(AND(E2961=1,OR(E2960=0,E2960="")),MAX(#REF!)+1,IF(AND(E2961=1,E2960=1),J2960,""))</f>
        <v/>
      </c>
      <c r="K2961" s="32" t="str">
        <f t="shared" si="176"/>
        <v/>
      </c>
      <c r="L2961" s="32" t="str">
        <f t="shared" si="177"/>
        <v/>
      </c>
      <c r="M2961" s="32" t="str">
        <f t="shared" si="178"/>
        <v/>
      </c>
      <c r="N2961" s="4"/>
      <c r="AG2961" t="s">
        <v>2671</v>
      </c>
      <c r="AM2961" s="1"/>
    </row>
    <row r="2962" spans="1:39" x14ac:dyDescent="0.35">
      <c r="A2962">
        <v>2958</v>
      </c>
      <c r="B2962">
        <v>2959</v>
      </c>
      <c r="F2962" s="64"/>
      <c r="G2962" s="64"/>
      <c r="H2962" s="64" t="s">
        <v>26</v>
      </c>
      <c r="I2962" s="64"/>
      <c r="J2962" s="32" t="str">
        <f>IF(AND(E2962=1,OR(E2961=0,E2961="")),MAX(#REF!)+1,IF(AND(E2962=1,E2961=1),J2961,""))</f>
        <v/>
      </c>
      <c r="K2962" s="32" t="str">
        <f t="shared" si="176"/>
        <v/>
      </c>
      <c r="L2962" s="32" t="str">
        <f t="shared" si="177"/>
        <v/>
      </c>
      <c r="M2962" s="32" t="str">
        <f t="shared" si="178"/>
        <v/>
      </c>
      <c r="N2962" s="4"/>
      <c r="AG2962" t="s">
        <v>2672</v>
      </c>
      <c r="AM2962" s="1"/>
    </row>
    <row r="2963" spans="1:39" x14ac:dyDescent="0.35">
      <c r="A2963">
        <v>2959</v>
      </c>
      <c r="B2963">
        <v>2960</v>
      </c>
      <c r="F2963" s="64"/>
      <c r="G2963" s="64"/>
      <c r="H2963" s="64" t="s">
        <v>26</v>
      </c>
      <c r="I2963" s="64"/>
      <c r="J2963" s="32" t="str">
        <f>IF(AND(E2963=1,OR(E2962=0,E2962="")),MAX(#REF!)+1,IF(AND(E2963=1,E2962=1),J2962,""))</f>
        <v/>
      </c>
      <c r="K2963" s="32" t="str">
        <f t="shared" si="176"/>
        <v/>
      </c>
      <c r="L2963" s="32" t="str">
        <f t="shared" si="177"/>
        <v/>
      </c>
      <c r="M2963" s="32" t="str">
        <f t="shared" si="178"/>
        <v/>
      </c>
      <c r="N2963" s="4"/>
      <c r="AG2963" t="s">
        <v>2673</v>
      </c>
      <c r="AM2963" s="1"/>
    </row>
    <row r="2964" spans="1:39" x14ac:dyDescent="0.35">
      <c r="A2964">
        <v>2960</v>
      </c>
      <c r="B2964">
        <v>2961</v>
      </c>
      <c r="F2964" s="64"/>
      <c r="G2964" s="64"/>
      <c r="H2964" s="64" t="s">
        <v>26</v>
      </c>
      <c r="I2964" s="64"/>
      <c r="J2964" s="32" t="str">
        <f>IF(AND(E2964=1,OR(E2963=0,E2963="")),MAX(#REF!)+1,IF(AND(E2964=1,E2963=1),J2963,""))</f>
        <v/>
      </c>
      <c r="K2964" s="32" t="str">
        <f t="shared" si="176"/>
        <v/>
      </c>
      <c r="L2964" s="32" t="str">
        <f t="shared" si="177"/>
        <v/>
      </c>
      <c r="M2964" s="32" t="str">
        <f t="shared" si="178"/>
        <v/>
      </c>
      <c r="N2964" s="4"/>
      <c r="AG2964" t="s">
        <v>2674</v>
      </c>
      <c r="AM2964" s="1"/>
    </row>
    <row r="2965" spans="1:39" x14ac:dyDescent="0.35">
      <c r="A2965">
        <v>2961</v>
      </c>
      <c r="B2965">
        <v>2962</v>
      </c>
      <c r="F2965" s="64"/>
      <c r="G2965" s="64"/>
      <c r="H2965" s="64" t="s">
        <v>26</v>
      </c>
      <c r="I2965" s="64"/>
      <c r="J2965" s="32" t="str">
        <f>IF(AND(E2965=1,OR(E2964=0,E2964="")),MAX(#REF!)+1,IF(AND(E2965=1,E2964=1),J2964,""))</f>
        <v/>
      </c>
      <c r="K2965" s="32" t="str">
        <f t="shared" si="176"/>
        <v/>
      </c>
      <c r="L2965" s="32" t="str">
        <f t="shared" si="177"/>
        <v/>
      </c>
      <c r="M2965" s="32" t="str">
        <f t="shared" si="178"/>
        <v/>
      </c>
      <c r="N2965" s="4"/>
      <c r="AG2965" t="s">
        <v>2675</v>
      </c>
      <c r="AM2965" s="1"/>
    </row>
    <row r="2966" spans="1:39" x14ac:dyDescent="0.35">
      <c r="A2966">
        <v>2962</v>
      </c>
      <c r="B2966">
        <v>2963</v>
      </c>
      <c r="F2966" s="64"/>
      <c r="G2966" s="64"/>
      <c r="H2966" s="64" t="s">
        <v>26</v>
      </c>
      <c r="I2966" s="64"/>
      <c r="J2966" s="32" t="str">
        <f>IF(AND(E2966=1,OR(E2965=0,E2965="")),MAX(#REF!)+1,IF(AND(E2966=1,E2965=1),J2965,""))</f>
        <v/>
      </c>
      <c r="K2966" s="32" t="str">
        <f t="shared" si="176"/>
        <v/>
      </c>
      <c r="L2966" s="32" t="str">
        <f t="shared" si="177"/>
        <v/>
      </c>
      <c r="M2966" s="32" t="str">
        <f t="shared" si="178"/>
        <v/>
      </c>
      <c r="N2966" s="4"/>
      <c r="AG2966" t="s">
        <v>2676</v>
      </c>
      <c r="AM2966" s="1"/>
    </row>
    <row r="2967" spans="1:39" x14ac:dyDescent="0.35">
      <c r="A2967">
        <v>2963</v>
      </c>
      <c r="B2967">
        <v>2964</v>
      </c>
      <c r="F2967" s="64"/>
      <c r="G2967" s="64"/>
      <c r="H2967" s="64" t="s">
        <v>26</v>
      </c>
      <c r="I2967" s="64"/>
      <c r="J2967" s="32" t="str">
        <f>IF(AND(E2967=1,OR(E2966=0,E2966="")),MAX(#REF!)+1,IF(AND(E2967=1,E2966=1),J2966,""))</f>
        <v/>
      </c>
      <c r="K2967" s="32" t="str">
        <f t="shared" si="176"/>
        <v/>
      </c>
      <c r="L2967" s="32" t="str">
        <f t="shared" si="177"/>
        <v/>
      </c>
      <c r="M2967" s="32" t="str">
        <f t="shared" si="178"/>
        <v/>
      </c>
      <c r="N2967" s="4"/>
      <c r="AG2967" t="s">
        <v>2677</v>
      </c>
      <c r="AM2967" s="1"/>
    </row>
    <row r="2968" spans="1:39" x14ac:dyDescent="0.35">
      <c r="A2968">
        <v>2964</v>
      </c>
      <c r="B2968">
        <v>2965</v>
      </c>
      <c r="F2968" s="64"/>
      <c r="G2968" s="64"/>
      <c r="H2968" s="64" t="s">
        <v>26</v>
      </c>
      <c r="I2968" s="64"/>
      <c r="J2968" s="32" t="str">
        <f>IF(AND(E2968=1,OR(E2967=0,E2967="")),MAX(#REF!)+1,IF(AND(E2968=1,E2967=1),J2967,""))</f>
        <v/>
      </c>
      <c r="K2968" s="32" t="str">
        <f t="shared" si="176"/>
        <v/>
      </c>
      <c r="L2968" s="32" t="str">
        <f t="shared" si="177"/>
        <v/>
      </c>
      <c r="M2968" s="32" t="str">
        <f t="shared" si="178"/>
        <v/>
      </c>
      <c r="N2968" s="4"/>
      <c r="AG2968" t="s">
        <v>2678</v>
      </c>
      <c r="AM2968" s="1"/>
    </row>
    <row r="2969" spans="1:39" x14ac:dyDescent="0.35">
      <c r="A2969">
        <v>2965</v>
      </c>
      <c r="B2969">
        <v>2966</v>
      </c>
      <c r="F2969" s="64"/>
      <c r="G2969" s="64"/>
      <c r="H2969" s="64" t="s">
        <v>26</v>
      </c>
      <c r="I2969" s="64"/>
      <c r="J2969" s="32" t="str">
        <f>IF(AND(E2969=1,OR(E2968=0,E2968="")),MAX(#REF!)+1,IF(AND(E2969=1,E2968=1),J2968,""))</f>
        <v/>
      </c>
      <c r="K2969" s="32" t="str">
        <f t="shared" si="176"/>
        <v/>
      </c>
      <c r="L2969" s="32" t="str">
        <f t="shared" si="177"/>
        <v/>
      </c>
      <c r="M2969" s="32" t="str">
        <f t="shared" si="178"/>
        <v/>
      </c>
      <c r="N2969" s="4"/>
      <c r="AG2969" t="s">
        <v>2679</v>
      </c>
      <c r="AM2969" s="1"/>
    </row>
    <row r="2970" spans="1:39" x14ac:dyDescent="0.35">
      <c r="A2970">
        <v>2966</v>
      </c>
      <c r="B2970">
        <v>2967</v>
      </c>
      <c r="F2970" s="64"/>
      <c r="G2970" s="64"/>
      <c r="H2970" s="64" t="s">
        <v>26</v>
      </c>
      <c r="I2970" s="64"/>
      <c r="J2970" s="32" t="str">
        <f>IF(AND(E2970=1,OR(E2969=0,E2969="")),MAX(#REF!)+1,IF(AND(E2970=1,E2969=1),J2969,""))</f>
        <v/>
      </c>
      <c r="K2970" s="32" t="str">
        <f t="shared" si="176"/>
        <v/>
      </c>
      <c r="L2970" s="32" t="str">
        <f t="shared" si="177"/>
        <v/>
      </c>
      <c r="M2970" s="32" t="str">
        <f t="shared" si="178"/>
        <v/>
      </c>
      <c r="N2970" s="4"/>
      <c r="AG2970" t="s">
        <v>2680</v>
      </c>
      <c r="AM2970" s="1"/>
    </row>
    <row r="2971" spans="1:39" x14ac:dyDescent="0.35">
      <c r="A2971">
        <v>2967</v>
      </c>
      <c r="B2971">
        <v>2968</v>
      </c>
      <c r="F2971" s="64"/>
      <c r="G2971" s="64"/>
      <c r="H2971" s="64" t="s">
        <v>26</v>
      </c>
      <c r="I2971" s="64"/>
      <c r="J2971" s="32" t="str">
        <f>IF(AND(E2971=1,OR(E2970=0,E2970="")),MAX(#REF!)+1,IF(AND(E2971=1,E2970=1),J2970,""))</f>
        <v/>
      </c>
      <c r="K2971" s="32" t="str">
        <f t="shared" si="176"/>
        <v/>
      </c>
      <c r="L2971" s="32" t="str">
        <f t="shared" si="177"/>
        <v/>
      </c>
      <c r="M2971" s="32" t="str">
        <f t="shared" si="178"/>
        <v/>
      </c>
      <c r="N2971" s="4"/>
      <c r="AG2971" t="s">
        <v>2681</v>
      </c>
      <c r="AM2971" s="1"/>
    </row>
    <row r="2972" spans="1:39" x14ac:dyDescent="0.35">
      <c r="A2972">
        <v>2968</v>
      </c>
      <c r="B2972">
        <v>2969</v>
      </c>
      <c r="F2972" s="64"/>
      <c r="G2972" s="64"/>
      <c r="H2972" s="64" t="s">
        <v>26</v>
      </c>
      <c r="I2972" s="64"/>
      <c r="J2972" s="32" t="str">
        <f>IF(AND(E2972=1,OR(E2971=0,E2971="")),MAX(#REF!)+1,IF(AND(E2972=1,E2971=1),J2971,""))</f>
        <v/>
      </c>
      <c r="K2972" s="32" t="str">
        <f t="shared" si="176"/>
        <v/>
      </c>
      <c r="L2972" s="32" t="str">
        <f t="shared" si="177"/>
        <v/>
      </c>
      <c r="M2972" s="32" t="str">
        <f t="shared" si="178"/>
        <v/>
      </c>
      <c r="N2972" s="4"/>
      <c r="AG2972" t="s">
        <v>2682</v>
      </c>
      <c r="AM2972" s="1"/>
    </row>
    <row r="2973" spans="1:39" x14ac:dyDescent="0.35">
      <c r="A2973">
        <v>2969</v>
      </c>
      <c r="B2973">
        <v>2970</v>
      </c>
      <c r="F2973" s="64"/>
      <c r="G2973" s="64"/>
      <c r="H2973" s="64" t="s">
        <v>26</v>
      </c>
      <c r="I2973" s="64"/>
      <c r="J2973" s="32" t="str">
        <f>IF(AND(E2973=1,OR(E2972=0,E2972="")),MAX(#REF!)+1,IF(AND(E2973=1,E2972=1),J2972,""))</f>
        <v/>
      </c>
      <c r="K2973" s="32" t="str">
        <f t="shared" si="176"/>
        <v/>
      </c>
      <c r="L2973" s="32" t="str">
        <f t="shared" si="177"/>
        <v/>
      </c>
      <c r="M2973" s="32" t="str">
        <f t="shared" si="178"/>
        <v/>
      </c>
      <c r="N2973" s="4"/>
      <c r="AG2973" t="s">
        <v>2683</v>
      </c>
      <c r="AM2973" s="1"/>
    </row>
    <row r="2974" spans="1:39" x14ac:dyDescent="0.35">
      <c r="A2974">
        <v>2970</v>
      </c>
      <c r="B2974">
        <v>2971</v>
      </c>
      <c r="F2974" s="64"/>
      <c r="G2974" s="64"/>
      <c r="H2974" s="64" t="s">
        <v>26</v>
      </c>
      <c r="I2974" s="64"/>
      <c r="J2974" s="32" t="str">
        <f>IF(AND(E2974=1,OR(E2973=0,E2973="")),MAX(#REF!)+1,IF(AND(E2974=1,E2973=1),J2973,""))</f>
        <v/>
      </c>
      <c r="K2974" s="32" t="str">
        <f t="shared" si="176"/>
        <v/>
      </c>
      <c r="L2974" s="32" t="str">
        <f t="shared" si="177"/>
        <v/>
      </c>
      <c r="M2974" s="32" t="str">
        <f t="shared" si="178"/>
        <v/>
      </c>
      <c r="N2974" s="4"/>
      <c r="AG2974" t="s">
        <v>2684</v>
      </c>
      <c r="AM2974" s="1"/>
    </row>
    <row r="2975" spans="1:39" x14ac:dyDescent="0.35">
      <c r="A2975">
        <v>2971</v>
      </c>
      <c r="B2975">
        <v>2972</v>
      </c>
      <c r="F2975" s="64"/>
      <c r="G2975" s="64"/>
      <c r="H2975" s="64" t="s">
        <v>26</v>
      </c>
      <c r="I2975" s="64"/>
      <c r="J2975" s="32" t="str">
        <f>IF(AND(E2975=1,OR(E2974=0,E2974="")),MAX(#REF!)+1,IF(AND(E2975=1,E2974=1),J2974,""))</f>
        <v/>
      </c>
      <c r="K2975" s="32" t="str">
        <f t="shared" ref="K2975:K3038" si="179">IF(J2975="","",COUNTIF(J:J,J2975)*10)</f>
        <v/>
      </c>
      <c r="L2975" s="32" t="str">
        <f t="shared" si="177"/>
        <v/>
      </c>
      <c r="M2975" s="32" t="str">
        <f t="shared" si="178"/>
        <v/>
      </c>
      <c r="N2975" s="4"/>
      <c r="AG2975" t="s">
        <v>2685</v>
      </c>
      <c r="AM2975" s="1"/>
    </row>
    <row r="2976" spans="1:39" x14ac:dyDescent="0.35">
      <c r="A2976">
        <v>2972</v>
      </c>
      <c r="B2976">
        <v>2973</v>
      </c>
      <c r="F2976" s="64"/>
      <c r="G2976" s="64"/>
      <c r="H2976" s="64" t="s">
        <v>26</v>
      </c>
      <c r="I2976" s="64"/>
      <c r="J2976" s="32" t="str">
        <f>IF(AND(E2976=1,OR(E2975=0,E2975="")),MAX(#REF!)+1,IF(AND(E2976=1,E2975=1),J2975,""))</f>
        <v/>
      </c>
      <c r="K2976" s="32" t="str">
        <f t="shared" si="179"/>
        <v/>
      </c>
      <c r="L2976" s="32" t="str">
        <f t="shared" si="177"/>
        <v/>
      </c>
      <c r="M2976" s="32" t="str">
        <f t="shared" si="178"/>
        <v/>
      </c>
      <c r="N2976" s="4"/>
      <c r="AG2976" t="s">
        <v>2686</v>
      </c>
      <c r="AM2976" s="1"/>
    </row>
    <row r="2977" spans="1:39" x14ac:dyDescent="0.35">
      <c r="A2977">
        <v>2973</v>
      </c>
      <c r="B2977">
        <v>2974</v>
      </c>
      <c r="F2977" s="64"/>
      <c r="G2977" s="64"/>
      <c r="H2977" s="64" t="s">
        <v>26</v>
      </c>
      <c r="I2977" s="64"/>
      <c r="J2977" s="32" t="str">
        <f>IF(AND(E2977=1,OR(E2976=0,E2976="")),MAX(#REF!)+1,IF(AND(E2977=1,E2976=1),J2976,""))</f>
        <v/>
      </c>
      <c r="K2977" s="32" t="str">
        <f t="shared" si="179"/>
        <v/>
      </c>
      <c r="L2977" s="32" t="str">
        <f t="shared" si="177"/>
        <v/>
      </c>
      <c r="M2977" s="32" t="str">
        <f t="shared" si="178"/>
        <v/>
      </c>
      <c r="N2977" s="4"/>
      <c r="AG2977" t="s">
        <v>2687</v>
      </c>
      <c r="AM2977" s="1"/>
    </row>
    <row r="2978" spans="1:39" x14ac:dyDescent="0.35">
      <c r="A2978">
        <v>2974</v>
      </c>
      <c r="B2978">
        <v>2975</v>
      </c>
      <c r="F2978" s="64"/>
      <c r="G2978" s="64"/>
      <c r="H2978" s="64" t="s">
        <v>26</v>
      </c>
      <c r="I2978" s="64"/>
      <c r="J2978" s="32" t="str">
        <f>IF(AND(E2978=1,OR(E2977=0,E2977="")),MAX(#REF!)+1,IF(AND(E2978=1,E2977=1),J2977,""))</f>
        <v/>
      </c>
      <c r="K2978" s="32" t="str">
        <f t="shared" si="179"/>
        <v/>
      </c>
      <c r="L2978" s="32" t="str">
        <f t="shared" si="177"/>
        <v/>
      </c>
      <c r="M2978" s="32" t="str">
        <f t="shared" si="178"/>
        <v/>
      </c>
      <c r="N2978" s="4"/>
      <c r="AG2978" t="s">
        <v>2688</v>
      </c>
      <c r="AM2978" s="1"/>
    </row>
    <row r="2979" spans="1:39" x14ac:dyDescent="0.35">
      <c r="A2979">
        <v>2975</v>
      </c>
      <c r="B2979">
        <v>2976</v>
      </c>
      <c r="F2979" s="64"/>
      <c r="G2979" s="64"/>
      <c r="H2979" s="64" t="s">
        <v>26</v>
      </c>
      <c r="I2979" s="64"/>
      <c r="J2979" s="32" t="str">
        <f>IF(AND(E2979=1,OR(E2978=0,E2978="")),MAX(#REF!)+1,IF(AND(E2979=1,E2978=1),J2978,""))</f>
        <v/>
      </c>
      <c r="K2979" s="32" t="str">
        <f t="shared" si="179"/>
        <v/>
      </c>
      <c r="L2979" s="32" t="str">
        <f t="shared" si="177"/>
        <v/>
      </c>
      <c r="M2979" s="32" t="str">
        <f t="shared" si="178"/>
        <v/>
      </c>
      <c r="N2979" s="4"/>
      <c r="AG2979" t="s">
        <v>2689</v>
      </c>
      <c r="AM2979" s="1"/>
    </row>
    <row r="2980" spans="1:39" x14ac:dyDescent="0.35">
      <c r="A2980">
        <v>2976</v>
      </c>
      <c r="B2980">
        <v>2977</v>
      </c>
      <c r="F2980" s="64"/>
      <c r="G2980" s="64"/>
      <c r="H2980" s="64" t="s">
        <v>26</v>
      </c>
      <c r="I2980" s="64"/>
      <c r="J2980" s="32" t="str">
        <f>IF(AND(E2980=1,OR(E2979=0,E2979="")),MAX(#REF!)+1,IF(AND(E2980=1,E2979=1),J2979,""))</f>
        <v/>
      </c>
      <c r="K2980" s="32" t="str">
        <f t="shared" si="179"/>
        <v/>
      </c>
      <c r="L2980" s="32" t="str">
        <f t="shared" si="177"/>
        <v/>
      </c>
      <c r="M2980" s="32" t="str">
        <f t="shared" si="178"/>
        <v/>
      </c>
      <c r="N2980" s="4"/>
      <c r="AG2980" t="s">
        <v>2690</v>
      </c>
      <c r="AM2980" s="1"/>
    </row>
    <row r="2981" spans="1:39" x14ac:dyDescent="0.35">
      <c r="A2981">
        <v>2977</v>
      </c>
      <c r="B2981">
        <v>2978</v>
      </c>
      <c r="F2981" s="64"/>
      <c r="G2981" s="64"/>
      <c r="H2981" s="64" t="s">
        <v>26</v>
      </c>
      <c r="I2981" s="64"/>
      <c r="J2981" s="32" t="str">
        <f>IF(AND(E2981=1,OR(E2980=0,E2980="")),MAX(#REF!)+1,IF(AND(E2981=1,E2980=1),J2980,""))</f>
        <v/>
      </c>
      <c r="K2981" s="32" t="str">
        <f t="shared" si="179"/>
        <v/>
      </c>
      <c r="L2981" s="32" t="str">
        <f t="shared" si="177"/>
        <v/>
      </c>
      <c r="M2981" s="32" t="str">
        <f t="shared" si="178"/>
        <v/>
      </c>
      <c r="N2981" s="4"/>
      <c r="AG2981" t="s">
        <v>2691</v>
      </c>
      <c r="AM2981" s="1"/>
    </row>
    <row r="2982" spans="1:39" x14ac:dyDescent="0.35">
      <c r="A2982">
        <v>2978</v>
      </c>
      <c r="B2982">
        <v>2979</v>
      </c>
      <c r="F2982" s="64"/>
      <c r="G2982" s="64"/>
      <c r="H2982" s="64" t="s">
        <v>26</v>
      </c>
      <c r="I2982" s="64"/>
      <c r="J2982" s="32" t="str">
        <f>IF(AND(E2982=1,OR(E2981=0,E2981="")),MAX(#REF!)+1,IF(AND(E2982=1,E2981=1),J2981,""))</f>
        <v/>
      </c>
      <c r="K2982" s="32" t="str">
        <f t="shared" si="179"/>
        <v/>
      </c>
      <c r="L2982" s="32" t="str">
        <f t="shared" si="177"/>
        <v/>
      </c>
      <c r="M2982" s="32" t="str">
        <f t="shared" si="178"/>
        <v/>
      </c>
      <c r="N2982" s="4"/>
      <c r="AG2982" t="s">
        <v>2692</v>
      </c>
      <c r="AM2982" s="1"/>
    </row>
    <row r="2983" spans="1:39" x14ac:dyDescent="0.35">
      <c r="A2983">
        <v>2979</v>
      </c>
      <c r="B2983">
        <v>2980</v>
      </c>
      <c r="F2983" s="64"/>
      <c r="G2983" s="64"/>
      <c r="H2983" s="64" t="s">
        <v>26</v>
      </c>
      <c r="I2983" s="64"/>
      <c r="J2983" s="32" t="str">
        <f>IF(AND(E2983=1,OR(E2982=0,E2982="")),MAX(#REF!)+1,IF(AND(E2983=1,E2982=1),J2982,""))</f>
        <v/>
      </c>
      <c r="K2983" s="32" t="str">
        <f t="shared" si="179"/>
        <v/>
      </c>
      <c r="L2983" s="32" t="str">
        <f t="shared" si="177"/>
        <v/>
      </c>
      <c r="M2983" s="32" t="str">
        <f t="shared" si="178"/>
        <v/>
      </c>
      <c r="N2983" s="4"/>
      <c r="AG2983" t="s">
        <v>2693</v>
      </c>
      <c r="AM2983" s="1"/>
    </row>
    <row r="2984" spans="1:39" x14ac:dyDescent="0.35">
      <c r="A2984">
        <v>2980</v>
      </c>
      <c r="B2984">
        <v>2981</v>
      </c>
      <c r="F2984" s="64"/>
      <c r="G2984" s="64"/>
      <c r="H2984" s="64" t="s">
        <v>26</v>
      </c>
      <c r="I2984" s="64"/>
      <c r="J2984" s="32" t="str">
        <f>IF(AND(E2984=1,OR(E2983=0,E2983="")),MAX(#REF!)+1,IF(AND(E2984=1,E2983=1),J2983,""))</f>
        <v/>
      </c>
      <c r="K2984" s="32" t="str">
        <f t="shared" si="179"/>
        <v/>
      </c>
      <c r="L2984" s="32" t="str">
        <f t="shared" si="177"/>
        <v/>
      </c>
      <c r="M2984" s="32" t="str">
        <f t="shared" si="178"/>
        <v/>
      </c>
      <c r="N2984" s="4"/>
      <c r="AG2984" t="s">
        <v>2694</v>
      </c>
      <c r="AM2984" s="1"/>
    </row>
    <row r="2985" spans="1:39" x14ac:dyDescent="0.35">
      <c r="A2985">
        <v>2981</v>
      </c>
      <c r="B2985">
        <v>2982</v>
      </c>
      <c r="F2985" s="64"/>
      <c r="G2985" s="64"/>
      <c r="H2985" s="64" t="s">
        <v>26</v>
      </c>
      <c r="I2985" s="64"/>
      <c r="J2985" s="32" t="str">
        <f>IF(AND(E2985=1,OR(E2984=0,E2984="")),MAX(#REF!)+1,IF(AND(E2985=1,E2984=1),J2984,""))</f>
        <v/>
      </c>
      <c r="K2985" s="32" t="str">
        <f t="shared" si="179"/>
        <v/>
      </c>
      <c r="L2985" s="32" t="str">
        <f t="shared" si="177"/>
        <v/>
      </c>
      <c r="M2985" s="32" t="str">
        <f t="shared" si="178"/>
        <v/>
      </c>
      <c r="N2985" s="4"/>
      <c r="AG2985" t="s">
        <v>2695</v>
      </c>
      <c r="AM2985" s="1"/>
    </row>
    <row r="2986" spans="1:39" x14ac:dyDescent="0.35">
      <c r="A2986">
        <v>2982</v>
      </c>
      <c r="B2986">
        <v>2983</v>
      </c>
      <c r="F2986" s="64"/>
      <c r="G2986" s="64"/>
      <c r="H2986" s="64" t="s">
        <v>26</v>
      </c>
      <c r="I2986" s="64"/>
      <c r="J2986" s="32" t="str">
        <f>IF(AND(E2986=1,OR(E2985=0,E2985="")),MAX(#REF!)+1,IF(AND(E2986=1,E2985=1),J2985,""))</f>
        <v/>
      </c>
      <c r="K2986" s="32" t="str">
        <f t="shared" si="179"/>
        <v/>
      </c>
      <c r="L2986" s="32" t="str">
        <f t="shared" si="177"/>
        <v/>
      </c>
      <c r="M2986" s="32" t="str">
        <f t="shared" si="178"/>
        <v/>
      </c>
      <c r="N2986" s="4"/>
      <c r="AG2986" t="s">
        <v>2696</v>
      </c>
      <c r="AM2986" s="1"/>
    </row>
    <row r="2987" spans="1:39" x14ac:dyDescent="0.35">
      <c r="A2987">
        <v>2983</v>
      </c>
      <c r="B2987">
        <v>2984</v>
      </c>
      <c r="F2987" s="64"/>
      <c r="G2987" s="64"/>
      <c r="H2987" s="64" t="s">
        <v>26</v>
      </c>
      <c r="I2987" s="64"/>
      <c r="J2987" s="32" t="str">
        <f>IF(AND(E2987=1,OR(E2986=0,E2986="")),MAX(#REF!)+1,IF(AND(E2987=1,E2986=1),J2986,""))</f>
        <v/>
      </c>
      <c r="K2987" s="32" t="str">
        <f t="shared" si="179"/>
        <v/>
      </c>
      <c r="L2987" s="32" t="str">
        <f t="shared" si="177"/>
        <v/>
      </c>
      <c r="M2987" s="32" t="str">
        <f t="shared" si="178"/>
        <v/>
      </c>
      <c r="N2987" s="4"/>
      <c r="AG2987" t="s">
        <v>2697</v>
      </c>
      <c r="AM2987" s="1"/>
    </row>
    <row r="2988" spans="1:39" x14ac:dyDescent="0.35">
      <c r="A2988">
        <v>2984</v>
      </c>
      <c r="B2988">
        <v>2985</v>
      </c>
      <c r="F2988" s="64"/>
      <c r="G2988" s="64"/>
      <c r="H2988" s="64" t="s">
        <v>26</v>
      </c>
      <c r="I2988" s="64"/>
      <c r="J2988" s="32" t="str">
        <f>IF(AND(E2988=1,OR(E2987=0,E2987="")),MAX(#REF!)+1,IF(AND(E2988=1,E2987=1),J2987,""))</f>
        <v/>
      </c>
      <c r="K2988" s="32" t="str">
        <f t="shared" si="179"/>
        <v/>
      </c>
      <c r="L2988" s="32" t="str">
        <f t="shared" si="177"/>
        <v/>
      </c>
      <c r="M2988" s="32" t="str">
        <f t="shared" si="178"/>
        <v/>
      </c>
      <c r="N2988" s="4"/>
      <c r="AG2988" t="s">
        <v>2698</v>
      </c>
      <c r="AM2988" s="1"/>
    </row>
    <row r="2989" spans="1:39" x14ac:dyDescent="0.35">
      <c r="A2989">
        <v>2985</v>
      </c>
      <c r="B2989">
        <v>2986</v>
      </c>
      <c r="F2989" s="64"/>
      <c r="G2989" s="64"/>
      <c r="H2989" s="64" t="s">
        <v>26</v>
      </c>
      <c r="I2989" s="64"/>
      <c r="J2989" s="32" t="str">
        <f>IF(AND(E2989=1,OR(E2988=0,E2988="")),MAX(#REF!)+1,IF(AND(E2989=1,E2988=1),J2988,""))</f>
        <v/>
      </c>
      <c r="K2989" s="32" t="str">
        <f t="shared" si="179"/>
        <v/>
      </c>
      <c r="L2989" s="32" t="str">
        <f t="shared" si="177"/>
        <v/>
      </c>
      <c r="M2989" s="32" t="str">
        <f t="shared" si="178"/>
        <v/>
      </c>
      <c r="N2989" s="4"/>
      <c r="AG2989" t="s">
        <v>2699</v>
      </c>
      <c r="AM2989" s="1"/>
    </row>
    <row r="2990" spans="1:39" x14ac:dyDescent="0.35">
      <c r="A2990">
        <v>2986</v>
      </c>
      <c r="B2990">
        <v>2987</v>
      </c>
      <c r="F2990" s="64"/>
      <c r="G2990" s="64"/>
      <c r="H2990" s="64" t="s">
        <v>26</v>
      </c>
      <c r="I2990" s="64"/>
      <c r="J2990" s="32" t="str">
        <f>IF(AND(E2990=1,OR(E2989=0,E2989="")),MAX(#REF!)+1,IF(AND(E2990=1,E2989=1),J2989,""))</f>
        <v/>
      </c>
      <c r="K2990" s="32" t="str">
        <f t="shared" si="179"/>
        <v/>
      </c>
      <c r="L2990" s="32" t="str">
        <f t="shared" si="177"/>
        <v/>
      </c>
      <c r="M2990" s="32" t="str">
        <f t="shared" si="178"/>
        <v/>
      </c>
      <c r="N2990" s="4"/>
      <c r="AG2990" t="s">
        <v>2700</v>
      </c>
      <c r="AM2990" s="1"/>
    </row>
    <row r="2991" spans="1:39" x14ac:dyDescent="0.35">
      <c r="A2991">
        <v>2987</v>
      </c>
      <c r="B2991">
        <v>2988</v>
      </c>
      <c r="F2991" s="64"/>
      <c r="G2991" s="64"/>
      <c r="H2991" s="64" t="s">
        <v>26</v>
      </c>
      <c r="I2991" s="64"/>
      <c r="J2991" s="32" t="str">
        <f>IF(AND(E2991=1,OR(E2990=0,E2990="")),MAX(#REF!)+1,IF(AND(E2991=1,E2990=1),J2990,""))</f>
        <v/>
      </c>
      <c r="K2991" s="32" t="str">
        <f t="shared" si="179"/>
        <v/>
      </c>
      <c r="L2991" s="32" t="str">
        <f t="shared" si="177"/>
        <v/>
      </c>
      <c r="M2991" s="32" t="str">
        <f t="shared" si="178"/>
        <v/>
      </c>
      <c r="N2991" s="4"/>
      <c r="AG2991" t="s">
        <v>2701</v>
      </c>
      <c r="AM2991" s="1"/>
    </row>
    <row r="2992" spans="1:39" x14ac:dyDescent="0.35">
      <c r="A2992">
        <v>2988</v>
      </c>
      <c r="B2992">
        <v>2989</v>
      </c>
      <c r="F2992" s="64"/>
      <c r="G2992" s="64"/>
      <c r="H2992" s="64" t="s">
        <v>26</v>
      </c>
      <c r="I2992" s="64"/>
      <c r="J2992" s="32" t="str">
        <f>IF(AND(E2992=1,OR(E2991=0,E2991="")),MAX(#REF!)+1,IF(AND(E2992=1,E2991=1),J2991,""))</f>
        <v/>
      </c>
      <c r="K2992" s="32" t="str">
        <f t="shared" si="179"/>
        <v/>
      </c>
      <c r="L2992" s="32" t="str">
        <f t="shared" si="177"/>
        <v/>
      </c>
      <c r="M2992" s="32" t="str">
        <f t="shared" si="178"/>
        <v/>
      </c>
      <c r="N2992" s="4"/>
      <c r="AG2992" t="s">
        <v>2702</v>
      </c>
      <c r="AM2992" s="1"/>
    </row>
    <row r="2993" spans="1:39" x14ac:dyDescent="0.35">
      <c r="A2993">
        <v>2989</v>
      </c>
      <c r="B2993">
        <v>2990</v>
      </c>
      <c r="F2993" s="64"/>
      <c r="G2993" s="64"/>
      <c r="H2993" s="64" t="s">
        <v>26</v>
      </c>
      <c r="I2993" s="64"/>
      <c r="J2993" s="32" t="str">
        <f>IF(AND(E2993=1,OR(E2992=0,E2992="")),MAX(#REF!)+1,IF(AND(E2993=1,E2992=1),J2992,""))</f>
        <v/>
      </c>
      <c r="K2993" s="32" t="str">
        <f t="shared" si="179"/>
        <v/>
      </c>
      <c r="L2993" s="32" t="str">
        <f t="shared" si="177"/>
        <v/>
      </c>
      <c r="M2993" s="32" t="str">
        <f t="shared" si="178"/>
        <v/>
      </c>
      <c r="N2993" s="4"/>
      <c r="AG2993" t="s">
        <v>2703</v>
      </c>
      <c r="AM2993" s="1"/>
    </row>
    <row r="2994" spans="1:39" x14ac:dyDescent="0.35">
      <c r="A2994">
        <v>2990</v>
      </c>
      <c r="B2994">
        <v>2991</v>
      </c>
      <c r="F2994" s="64"/>
      <c r="G2994" s="64"/>
      <c r="H2994" s="64" t="s">
        <v>26</v>
      </c>
      <c r="I2994" s="64"/>
      <c r="J2994" s="32" t="str">
        <f>IF(AND(E2994=1,OR(E2993=0,E2993="")),MAX(#REF!)+1,IF(AND(E2994=1,E2993=1),J2993,""))</f>
        <v/>
      </c>
      <c r="K2994" s="32" t="str">
        <f t="shared" si="179"/>
        <v/>
      </c>
      <c r="L2994" s="32" t="str">
        <f t="shared" si="177"/>
        <v/>
      </c>
      <c r="M2994" s="32" t="str">
        <f t="shared" si="178"/>
        <v/>
      </c>
      <c r="N2994" s="4"/>
      <c r="AG2994" t="s">
        <v>2704</v>
      </c>
      <c r="AM2994" s="1"/>
    </row>
    <row r="2995" spans="1:39" x14ac:dyDescent="0.35">
      <c r="A2995">
        <v>2991</v>
      </c>
      <c r="B2995">
        <v>2992</v>
      </c>
      <c r="F2995" s="64"/>
      <c r="G2995" s="64"/>
      <c r="H2995" s="64" t="s">
        <v>26</v>
      </c>
      <c r="I2995" s="64"/>
      <c r="J2995" s="32" t="str">
        <f>IF(AND(E2995=1,OR(E2994=0,E2994="")),MAX(#REF!)+1,IF(AND(E2995=1,E2994=1),J2994,""))</f>
        <v/>
      </c>
      <c r="K2995" s="32" t="str">
        <f t="shared" si="179"/>
        <v/>
      </c>
      <c r="L2995" s="32" t="str">
        <f t="shared" si="177"/>
        <v/>
      </c>
      <c r="M2995" s="32" t="str">
        <f t="shared" si="178"/>
        <v/>
      </c>
      <c r="N2995" s="4"/>
      <c r="AG2995" t="s">
        <v>2705</v>
      </c>
      <c r="AM2995" s="1"/>
    </row>
    <row r="2996" spans="1:39" x14ac:dyDescent="0.35">
      <c r="A2996">
        <v>2992</v>
      </c>
      <c r="B2996">
        <v>2993</v>
      </c>
      <c r="F2996" s="64"/>
      <c r="G2996" s="64"/>
      <c r="H2996" s="64" t="s">
        <v>26</v>
      </c>
      <c r="I2996" s="64"/>
      <c r="J2996" s="32" t="str">
        <f>IF(AND(E2996=1,OR(E2995=0,E2995="")),MAX(#REF!)+1,IF(AND(E2996=1,E2995=1),J2995,""))</f>
        <v/>
      </c>
      <c r="K2996" s="32" t="str">
        <f t="shared" si="179"/>
        <v/>
      </c>
      <c r="L2996" s="32" t="str">
        <f t="shared" si="177"/>
        <v/>
      </c>
      <c r="M2996" s="32" t="str">
        <f t="shared" si="178"/>
        <v/>
      </c>
      <c r="N2996" s="4"/>
      <c r="AG2996" t="s">
        <v>2706</v>
      </c>
      <c r="AM2996" s="1"/>
    </row>
    <row r="2997" spans="1:39" x14ac:dyDescent="0.35">
      <c r="A2997">
        <v>2993</v>
      </c>
      <c r="B2997">
        <v>2994</v>
      </c>
      <c r="F2997" s="64"/>
      <c r="G2997" s="64"/>
      <c r="H2997" s="64" t="s">
        <v>26</v>
      </c>
      <c r="I2997" s="64"/>
      <c r="J2997" s="32" t="str">
        <f>IF(AND(E2997=1,OR(E2996=0,E2996="")),MAX(#REF!)+1,IF(AND(E2997=1,E2996=1),J2996,""))</f>
        <v/>
      </c>
      <c r="K2997" s="32" t="str">
        <f t="shared" si="179"/>
        <v/>
      </c>
      <c r="L2997" s="32" t="str">
        <f t="shared" si="177"/>
        <v/>
      </c>
      <c r="M2997" s="32" t="str">
        <f t="shared" si="178"/>
        <v/>
      </c>
      <c r="N2997" s="4"/>
      <c r="AG2997" t="s">
        <v>2707</v>
      </c>
      <c r="AM2997" s="1"/>
    </row>
    <row r="2998" spans="1:39" x14ac:dyDescent="0.35">
      <c r="A2998">
        <v>2994</v>
      </c>
      <c r="B2998">
        <v>2995</v>
      </c>
      <c r="F2998" s="64"/>
      <c r="G2998" s="64"/>
      <c r="H2998" s="64" t="s">
        <v>26</v>
      </c>
      <c r="I2998" s="64"/>
      <c r="J2998" s="32" t="str">
        <f>IF(AND(E2998=1,OR(E2997=0,E2997="")),MAX(#REF!)+1,IF(AND(E2998=1,E2997=1),J2997,""))</f>
        <v/>
      </c>
      <c r="K2998" s="32" t="str">
        <f t="shared" si="179"/>
        <v/>
      </c>
      <c r="L2998" s="32" t="str">
        <f t="shared" si="177"/>
        <v/>
      </c>
      <c r="M2998" s="32" t="str">
        <f t="shared" si="178"/>
        <v/>
      </c>
      <c r="N2998" s="4"/>
      <c r="AG2998" t="s">
        <v>2708</v>
      </c>
      <c r="AM2998" s="1"/>
    </row>
    <row r="2999" spans="1:39" x14ac:dyDescent="0.35">
      <c r="A2999">
        <v>2995</v>
      </c>
      <c r="B2999">
        <v>2996</v>
      </c>
      <c r="F2999" s="64"/>
      <c r="G2999" s="64"/>
      <c r="H2999" s="64" t="s">
        <v>26</v>
      </c>
      <c r="I2999" s="64"/>
      <c r="J2999" s="32" t="str">
        <f>IF(AND(E2999=1,OR(E2998=0,E2998="")),MAX(#REF!)+1,IF(AND(E2999=1,E2998=1),J2998,""))</f>
        <v/>
      </c>
      <c r="K2999" s="32" t="str">
        <f t="shared" si="179"/>
        <v/>
      </c>
      <c r="L2999" s="32" t="str">
        <f t="shared" si="177"/>
        <v/>
      </c>
      <c r="M2999" s="32" t="str">
        <f t="shared" si="178"/>
        <v/>
      </c>
      <c r="N2999" s="4"/>
      <c r="AG2999" t="s">
        <v>2709</v>
      </c>
      <c r="AM2999" s="1"/>
    </row>
    <row r="3000" spans="1:39" x14ac:dyDescent="0.35">
      <c r="A3000">
        <v>2996</v>
      </c>
      <c r="B3000">
        <v>2997</v>
      </c>
      <c r="F3000" s="64"/>
      <c r="G3000" s="64"/>
      <c r="H3000" s="64" t="s">
        <v>26</v>
      </c>
      <c r="I3000" s="64"/>
      <c r="J3000" s="32" t="str">
        <f>IF(AND(E3000=1,OR(E2999=0,E2999="")),MAX(#REF!)+1,IF(AND(E3000=1,E2999=1),J2999,""))</f>
        <v/>
      </c>
      <c r="K3000" s="32" t="str">
        <f t="shared" si="179"/>
        <v/>
      </c>
      <c r="L3000" s="32" t="str">
        <f t="shared" si="177"/>
        <v/>
      </c>
      <c r="M3000" s="32" t="str">
        <f t="shared" si="178"/>
        <v/>
      </c>
      <c r="N3000" s="4"/>
      <c r="AG3000" t="s">
        <v>2710</v>
      </c>
      <c r="AM3000" s="1"/>
    </row>
    <row r="3001" spans="1:39" x14ac:dyDescent="0.35">
      <c r="A3001">
        <v>2997</v>
      </c>
      <c r="B3001">
        <v>2998</v>
      </c>
      <c r="F3001" s="64"/>
      <c r="G3001" s="64"/>
      <c r="H3001" s="64" t="s">
        <v>26</v>
      </c>
      <c r="I3001" s="64"/>
      <c r="J3001" s="32" t="str">
        <f>IF(AND(E3001=1,OR(E3000=0,E3000="")),MAX(#REF!)+1,IF(AND(E3001=1,E3000=1),J3000,""))</f>
        <v/>
      </c>
      <c r="K3001" s="32" t="str">
        <f t="shared" si="179"/>
        <v/>
      </c>
      <c r="L3001" s="32" t="str">
        <f t="shared" si="177"/>
        <v/>
      </c>
      <c r="M3001" s="32" t="str">
        <f t="shared" si="178"/>
        <v/>
      </c>
      <c r="N3001" s="4"/>
      <c r="AG3001" t="s">
        <v>2711</v>
      </c>
      <c r="AM3001" s="1"/>
    </row>
    <row r="3002" spans="1:39" x14ac:dyDescent="0.35">
      <c r="A3002">
        <v>2998</v>
      </c>
      <c r="B3002">
        <v>2999</v>
      </c>
      <c r="F3002" s="64"/>
      <c r="G3002" s="64"/>
      <c r="H3002" s="64" t="s">
        <v>26</v>
      </c>
      <c r="I3002" s="64"/>
      <c r="J3002" s="32" t="str">
        <f>IF(AND(E3002=1,OR(E3001=0,E3001="")),MAX(#REF!)+1,IF(AND(E3002=1,E3001=1),J3001,""))</f>
        <v/>
      </c>
      <c r="K3002" s="32" t="str">
        <f t="shared" si="179"/>
        <v/>
      </c>
      <c r="L3002" s="32" t="str">
        <f t="shared" si="177"/>
        <v/>
      </c>
      <c r="M3002" s="32" t="str">
        <f t="shared" si="178"/>
        <v/>
      </c>
      <c r="N3002" s="4"/>
      <c r="AG3002" t="s">
        <v>2712</v>
      </c>
      <c r="AM3002" s="1"/>
    </row>
    <row r="3003" spans="1:39" x14ac:dyDescent="0.35">
      <c r="A3003">
        <v>2999</v>
      </c>
      <c r="B3003">
        <v>3000</v>
      </c>
      <c r="F3003" s="64"/>
      <c r="G3003" s="64"/>
      <c r="H3003" s="64" t="s">
        <v>26</v>
      </c>
      <c r="I3003" s="64"/>
      <c r="J3003" s="32" t="str">
        <f>IF(AND(E3003=1,OR(E3002=0,E3002="")),MAX(#REF!)+1,IF(AND(E3003=1,E3002=1),J3002,""))</f>
        <v/>
      </c>
      <c r="K3003" s="32" t="str">
        <f t="shared" si="179"/>
        <v/>
      </c>
      <c r="L3003" s="32" t="str">
        <f t="shared" si="177"/>
        <v/>
      </c>
      <c r="M3003" s="32" t="str">
        <f t="shared" si="178"/>
        <v/>
      </c>
      <c r="N3003" s="4"/>
      <c r="AG3003" t="s">
        <v>2713</v>
      </c>
      <c r="AM3003" s="1"/>
    </row>
    <row r="3004" spans="1:39" x14ac:dyDescent="0.35">
      <c r="A3004">
        <v>3000</v>
      </c>
      <c r="B3004">
        <v>3001</v>
      </c>
      <c r="F3004" s="64"/>
      <c r="G3004" s="64"/>
      <c r="H3004" s="64" t="s">
        <v>26</v>
      </c>
      <c r="I3004" s="64"/>
      <c r="J3004" s="32" t="str">
        <f>IF(AND(E3004=1,OR(E3003=0,E3003="")),MAX(#REF!)+1,IF(AND(E3004=1,E3003=1),J3003,""))</f>
        <v/>
      </c>
      <c r="K3004" s="32" t="str">
        <f t="shared" si="179"/>
        <v/>
      </c>
      <c r="L3004" s="32" t="str">
        <f t="shared" si="177"/>
        <v/>
      </c>
      <c r="M3004" s="32" t="str">
        <f t="shared" si="178"/>
        <v/>
      </c>
      <c r="N3004" s="4"/>
      <c r="AG3004" t="s">
        <v>2714</v>
      </c>
      <c r="AM3004" s="1"/>
    </row>
    <row r="3005" spans="1:39" x14ac:dyDescent="0.35">
      <c r="A3005">
        <v>3001</v>
      </c>
      <c r="B3005">
        <v>3002</v>
      </c>
      <c r="F3005" s="64"/>
      <c r="G3005" s="64"/>
      <c r="H3005" s="64" t="s">
        <v>26</v>
      </c>
      <c r="I3005" s="64"/>
      <c r="J3005" s="32" t="str">
        <f>IF(AND(E3005=1,OR(E3004=0,E3004="")),MAX(#REF!)+1,IF(AND(E3005=1,E3004=1),J3004,""))</f>
        <v/>
      </c>
      <c r="K3005" s="32" t="str">
        <f t="shared" si="179"/>
        <v/>
      </c>
      <c r="L3005" s="32" t="str">
        <f t="shared" si="177"/>
        <v/>
      </c>
      <c r="M3005" s="32" t="str">
        <f t="shared" si="178"/>
        <v/>
      </c>
      <c r="N3005" s="4"/>
      <c r="AG3005" t="s">
        <v>2715</v>
      </c>
      <c r="AM3005" s="1"/>
    </row>
    <row r="3006" spans="1:39" x14ac:dyDescent="0.35">
      <c r="A3006">
        <v>3002</v>
      </c>
      <c r="B3006">
        <v>3003</v>
      </c>
      <c r="F3006" s="64"/>
      <c r="G3006" s="64"/>
      <c r="H3006" s="64" t="s">
        <v>26</v>
      </c>
      <c r="I3006" s="64"/>
      <c r="J3006" s="32" t="str">
        <f>IF(AND(E3006=1,OR(E3005=0,E3005="")),MAX(#REF!)+1,IF(AND(E3006=1,E3005=1),J3005,""))</f>
        <v/>
      </c>
      <c r="K3006" s="32" t="str">
        <f t="shared" si="179"/>
        <v/>
      </c>
      <c r="L3006" s="32" t="str">
        <f t="shared" si="177"/>
        <v/>
      </c>
      <c r="M3006" s="32" t="str">
        <f t="shared" si="178"/>
        <v/>
      </c>
      <c r="N3006" s="4"/>
      <c r="AG3006" t="s">
        <v>2716</v>
      </c>
      <c r="AM3006" s="1"/>
    </row>
    <row r="3007" spans="1:39" x14ac:dyDescent="0.35">
      <c r="A3007">
        <v>3003</v>
      </c>
      <c r="B3007">
        <v>3004</v>
      </c>
      <c r="F3007" s="64"/>
      <c r="G3007" s="64"/>
      <c r="H3007" s="64" t="s">
        <v>26</v>
      </c>
      <c r="I3007" s="64"/>
      <c r="J3007" s="32" t="str">
        <f>IF(AND(E3007=1,OR(E3006=0,E3006="")),MAX(#REF!)+1,IF(AND(E3007=1,E3006=1),J3006,""))</f>
        <v/>
      </c>
      <c r="K3007" s="32" t="str">
        <f t="shared" si="179"/>
        <v/>
      </c>
      <c r="L3007" s="32" t="str">
        <f t="shared" si="177"/>
        <v/>
      </c>
      <c r="M3007" s="32" t="str">
        <f t="shared" si="178"/>
        <v/>
      </c>
      <c r="N3007" s="4"/>
      <c r="AG3007" t="s">
        <v>2717</v>
      </c>
      <c r="AM3007" s="1"/>
    </row>
    <row r="3008" spans="1:39" x14ac:dyDescent="0.35">
      <c r="A3008">
        <v>3004</v>
      </c>
      <c r="B3008">
        <v>3005</v>
      </c>
      <c r="F3008" s="64"/>
      <c r="G3008" s="64"/>
      <c r="H3008" s="64" t="s">
        <v>26</v>
      </c>
      <c r="I3008" s="64"/>
      <c r="J3008" s="32" t="str">
        <f>IF(AND(E3008=1,OR(E3007=0,E3007="")),MAX(#REF!)+1,IF(AND(E3008=1,E3007=1),J3007,""))</f>
        <v/>
      </c>
      <c r="K3008" s="32" t="str">
        <f t="shared" si="179"/>
        <v/>
      </c>
      <c r="L3008" s="32" t="str">
        <f t="shared" si="177"/>
        <v/>
      </c>
      <c r="M3008" s="32" t="str">
        <f t="shared" si="178"/>
        <v/>
      </c>
      <c r="N3008" s="4"/>
      <c r="AG3008" t="s">
        <v>2718</v>
      </c>
      <c r="AM3008" s="1"/>
    </row>
    <row r="3009" spans="1:39" x14ac:dyDescent="0.35">
      <c r="A3009">
        <v>3005</v>
      </c>
      <c r="B3009">
        <v>3006</v>
      </c>
      <c r="F3009" s="64"/>
      <c r="G3009" s="64"/>
      <c r="H3009" s="64" t="s">
        <v>26</v>
      </c>
      <c r="I3009" s="64"/>
      <c r="J3009" s="32" t="str">
        <f>IF(AND(E3009=1,OR(E3008=0,E3008="")),MAX(#REF!)+1,IF(AND(E3009=1,E3008=1),J3008,""))</f>
        <v/>
      </c>
      <c r="K3009" s="32" t="str">
        <f t="shared" si="179"/>
        <v/>
      </c>
      <c r="L3009" s="32" t="str">
        <f t="shared" si="177"/>
        <v/>
      </c>
      <c r="M3009" s="32" t="str">
        <f t="shared" si="178"/>
        <v/>
      </c>
      <c r="N3009" s="4"/>
      <c r="AG3009" t="s">
        <v>2719</v>
      </c>
      <c r="AM3009" s="1"/>
    </row>
    <row r="3010" spans="1:39" x14ac:dyDescent="0.35">
      <c r="A3010">
        <v>3006</v>
      </c>
      <c r="B3010">
        <v>3007</v>
      </c>
      <c r="F3010" s="64"/>
      <c r="G3010" s="64"/>
      <c r="H3010" s="64" t="s">
        <v>26</v>
      </c>
      <c r="I3010" s="64"/>
      <c r="J3010" s="32" t="str">
        <f>IF(AND(E3010=1,OR(E3009=0,E3009="")),MAX(#REF!)+1,IF(AND(E3010=1,E3009=1),J3009,""))</f>
        <v/>
      </c>
      <c r="K3010" s="32" t="str">
        <f t="shared" si="179"/>
        <v/>
      </c>
      <c r="L3010" s="32" t="str">
        <f t="shared" si="177"/>
        <v/>
      </c>
      <c r="M3010" s="32" t="str">
        <f t="shared" si="178"/>
        <v/>
      </c>
      <c r="N3010" s="4"/>
      <c r="AG3010" t="s">
        <v>2720</v>
      </c>
      <c r="AM3010" s="1"/>
    </row>
    <row r="3011" spans="1:39" x14ac:dyDescent="0.35">
      <c r="A3011">
        <v>3007</v>
      </c>
      <c r="B3011">
        <v>3008</v>
      </c>
      <c r="F3011" s="64"/>
      <c r="G3011" s="64"/>
      <c r="H3011" s="64" t="s">
        <v>26</v>
      </c>
      <c r="I3011" s="64"/>
      <c r="J3011" s="32" t="str">
        <f>IF(AND(E3011=1,OR(E3010=0,E3010="")),MAX(#REF!)+1,IF(AND(E3011=1,E3010=1),J3010,""))</f>
        <v/>
      </c>
      <c r="K3011" s="32" t="str">
        <f t="shared" si="179"/>
        <v/>
      </c>
      <c r="L3011" s="32" t="str">
        <f t="shared" si="177"/>
        <v/>
      </c>
      <c r="M3011" s="32" t="str">
        <f t="shared" si="178"/>
        <v/>
      </c>
      <c r="N3011" s="4"/>
      <c r="AG3011" t="s">
        <v>2721</v>
      </c>
      <c r="AM3011" s="1"/>
    </row>
    <row r="3012" spans="1:39" x14ac:dyDescent="0.35">
      <c r="A3012">
        <v>3008</v>
      </c>
      <c r="B3012">
        <v>3009</v>
      </c>
      <c r="F3012" s="64"/>
      <c r="G3012" s="64"/>
      <c r="H3012" s="64" t="s">
        <v>26</v>
      </c>
      <c r="I3012" s="64"/>
      <c r="J3012" s="32" t="str">
        <f>IF(AND(E3012=1,OR(E3011=0,E3011="")),MAX(#REF!)+1,IF(AND(E3012=1,E3011=1),J3011,""))</f>
        <v/>
      </c>
      <c r="K3012" s="32" t="str">
        <f t="shared" si="179"/>
        <v/>
      </c>
      <c r="L3012" s="32" t="str">
        <f t="shared" ref="L3012:L3075" si="180">IF(K3012="","",IF(K3012&gt;=100,"HV",""))</f>
        <v/>
      </c>
      <c r="M3012" s="32" t="str">
        <f t="shared" ref="M3012:M3075" si="181">IF(K3012&lt;&gt;"",K3012^2,"")</f>
        <v/>
      </c>
      <c r="N3012" s="4"/>
      <c r="AG3012" t="s">
        <v>2722</v>
      </c>
      <c r="AM3012" s="1"/>
    </row>
    <row r="3013" spans="1:39" x14ac:dyDescent="0.35">
      <c r="A3013">
        <v>3009</v>
      </c>
      <c r="B3013">
        <v>3010</v>
      </c>
      <c r="F3013" s="64"/>
      <c r="G3013" s="64"/>
      <c r="H3013" s="64" t="s">
        <v>26</v>
      </c>
      <c r="I3013" s="64"/>
      <c r="J3013" s="32" t="str">
        <f>IF(AND(E3013=1,OR(E3012=0,E3012="")),MAX(#REF!)+1,IF(AND(E3013=1,E3012=1),J3012,""))</f>
        <v/>
      </c>
      <c r="K3013" s="32" t="str">
        <f t="shared" si="179"/>
        <v/>
      </c>
      <c r="L3013" s="32" t="str">
        <f t="shared" si="180"/>
        <v/>
      </c>
      <c r="M3013" s="32" t="str">
        <f t="shared" si="181"/>
        <v/>
      </c>
      <c r="N3013" s="4"/>
      <c r="AG3013" t="s">
        <v>2723</v>
      </c>
      <c r="AM3013" s="1"/>
    </row>
    <row r="3014" spans="1:39" x14ac:dyDescent="0.35">
      <c r="A3014">
        <v>3010</v>
      </c>
      <c r="B3014">
        <v>3011</v>
      </c>
      <c r="F3014" s="64"/>
      <c r="G3014" s="64"/>
      <c r="H3014" s="64" t="s">
        <v>26</v>
      </c>
      <c r="I3014" s="64"/>
      <c r="J3014" s="32" t="str">
        <f>IF(AND(E3014=1,OR(E3013=0,E3013="")),MAX(#REF!)+1,IF(AND(E3014=1,E3013=1),J3013,""))</f>
        <v/>
      </c>
      <c r="K3014" s="32" t="str">
        <f t="shared" si="179"/>
        <v/>
      </c>
      <c r="L3014" s="32" t="str">
        <f t="shared" si="180"/>
        <v/>
      </c>
      <c r="M3014" s="32" t="str">
        <f t="shared" si="181"/>
        <v/>
      </c>
      <c r="N3014" s="4"/>
      <c r="AG3014" t="s">
        <v>2724</v>
      </c>
      <c r="AM3014" s="1"/>
    </row>
    <row r="3015" spans="1:39" x14ac:dyDescent="0.35">
      <c r="A3015">
        <v>3011</v>
      </c>
      <c r="B3015">
        <v>3012</v>
      </c>
      <c r="F3015" s="64"/>
      <c r="G3015" s="64"/>
      <c r="H3015" s="64" t="s">
        <v>26</v>
      </c>
      <c r="I3015" s="64"/>
      <c r="J3015" s="32" t="str">
        <f>IF(AND(E3015=1,OR(E3014=0,E3014="")),MAX(#REF!)+1,IF(AND(E3015=1,E3014=1),J3014,""))</f>
        <v/>
      </c>
      <c r="K3015" s="32" t="str">
        <f t="shared" si="179"/>
        <v/>
      </c>
      <c r="L3015" s="32" t="str">
        <f t="shared" si="180"/>
        <v/>
      </c>
      <c r="M3015" s="32" t="str">
        <f t="shared" si="181"/>
        <v/>
      </c>
      <c r="N3015" s="4"/>
      <c r="AG3015" t="s">
        <v>2725</v>
      </c>
      <c r="AM3015" s="1"/>
    </row>
    <row r="3016" spans="1:39" x14ac:dyDescent="0.35">
      <c r="A3016">
        <v>3012</v>
      </c>
      <c r="B3016">
        <v>3013</v>
      </c>
      <c r="F3016" s="64"/>
      <c r="G3016" s="64"/>
      <c r="H3016" s="64" t="s">
        <v>26</v>
      </c>
      <c r="I3016" s="64"/>
      <c r="J3016" s="32" t="str">
        <f>IF(AND(E3016=1,OR(E3015=0,E3015="")),MAX(#REF!)+1,IF(AND(E3016=1,E3015=1),J3015,""))</f>
        <v/>
      </c>
      <c r="K3016" s="32" t="str">
        <f t="shared" si="179"/>
        <v/>
      </c>
      <c r="L3016" s="32" t="str">
        <f t="shared" si="180"/>
        <v/>
      </c>
      <c r="M3016" s="32" t="str">
        <f t="shared" si="181"/>
        <v/>
      </c>
      <c r="N3016" s="4"/>
      <c r="AG3016" t="s">
        <v>2726</v>
      </c>
      <c r="AM3016" s="1"/>
    </row>
    <row r="3017" spans="1:39" x14ac:dyDescent="0.35">
      <c r="A3017">
        <v>3013</v>
      </c>
      <c r="B3017">
        <v>3014</v>
      </c>
      <c r="F3017" s="64"/>
      <c r="G3017" s="64"/>
      <c r="H3017" s="64" t="s">
        <v>26</v>
      </c>
      <c r="I3017" s="64"/>
      <c r="J3017" s="32" t="str">
        <f>IF(AND(E3017=1,OR(E3016=0,E3016="")),MAX(#REF!)+1,IF(AND(E3017=1,E3016=1),J3016,""))</f>
        <v/>
      </c>
      <c r="K3017" s="32" t="str">
        <f t="shared" si="179"/>
        <v/>
      </c>
      <c r="L3017" s="32" t="str">
        <f t="shared" si="180"/>
        <v/>
      </c>
      <c r="M3017" s="32" t="str">
        <f t="shared" si="181"/>
        <v/>
      </c>
      <c r="N3017" s="4"/>
      <c r="AG3017" t="s">
        <v>2727</v>
      </c>
      <c r="AM3017" s="1"/>
    </row>
    <row r="3018" spans="1:39" x14ac:dyDescent="0.35">
      <c r="A3018">
        <v>3014</v>
      </c>
      <c r="B3018">
        <v>3015</v>
      </c>
      <c r="F3018" s="64"/>
      <c r="G3018" s="64"/>
      <c r="H3018" s="64" t="s">
        <v>26</v>
      </c>
      <c r="I3018" s="64"/>
      <c r="J3018" s="32" t="str">
        <f>IF(AND(E3018=1,OR(E3017=0,E3017="")),MAX(#REF!)+1,IF(AND(E3018=1,E3017=1),J3017,""))</f>
        <v/>
      </c>
      <c r="K3018" s="32" t="str">
        <f t="shared" si="179"/>
        <v/>
      </c>
      <c r="L3018" s="32" t="str">
        <f t="shared" si="180"/>
        <v/>
      </c>
      <c r="M3018" s="32" t="str">
        <f t="shared" si="181"/>
        <v/>
      </c>
      <c r="N3018" s="4"/>
      <c r="AG3018" t="s">
        <v>2728</v>
      </c>
      <c r="AM3018" s="1"/>
    </row>
    <row r="3019" spans="1:39" x14ac:dyDescent="0.35">
      <c r="A3019">
        <v>3015</v>
      </c>
      <c r="B3019">
        <v>3016</v>
      </c>
      <c r="F3019" s="64"/>
      <c r="G3019" s="64"/>
      <c r="H3019" s="64" t="s">
        <v>26</v>
      </c>
      <c r="I3019" s="64"/>
      <c r="J3019" s="32" t="str">
        <f>IF(AND(E3019=1,OR(E3018=0,E3018="")),MAX(#REF!)+1,IF(AND(E3019=1,E3018=1),J3018,""))</f>
        <v/>
      </c>
      <c r="K3019" s="32" t="str">
        <f t="shared" si="179"/>
        <v/>
      </c>
      <c r="L3019" s="32" t="str">
        <f t="shared" si="180"/>
        <v/>
      </c>
      <c r="M3019" s="32" t="str">
        <f t="shared" si="181"/>
        <v/>
      </c>
      <c r="N3019" s="4"/>
      <c r="AG3019" t="s">
        <v>2729</v>
      </c>
      <c r="AM3019" s="1"/>
    </row>
    <row r="3020" spans="1:39" x14ac:dyDescent="0.35">
      <c r="A3020">
        <v>3016</v>
      </c>
      <c r="B3020">
        <v>3017</v>
      </c>
      <c r="F3020" s="64"/>
      <c r="G3020" s="64"/>
      <c r="H3020" s="64" t="s">
        <v>26</v>
      </c>
      <c r="I3020" s="64"/>
      <c r="J3020" s="32" t="str">
        <f>IF(AND(E3020=1,OR(E3019=0,E3019="")),MAX(#REF!)+1,IF(AND(E3020=1,E3019=1),J3019,""))</f>
        <v/>
      </c>
      <c r="K3020" s="32" t="str">
        <f t="shared" si="179"/>
        <v/>
      </c>
      <c r="L3020" s="32" t="str">
        <f t="shared" si="180"/>
        <v/>
      </c>
      <c r="M3020" s="32" t="str">
        <f t="shared" si="181"/>
        <v/>
      </c>
      <c r="N3020" s="4"/>
      <c r="AG3020" t="s">
        <v>2730</v>
      </c>
      <c r="AM3020" s="1"/>
    </row>
    <row r="3021" spans="1:39" x14ac:dyDescent="0.35">
      <c r="A3021">
        <v>3017</v>
      </c>
      <c r="B3021">
        <v>3018</v>
      </c>
      <c r="F3021" s="64"/>
      <c r="G3021" s="64"/>
      <c r="H3021" s="64" t="s">
        <v>26</v>
      </c>
      <c r="I3021" s="64"/>
      <c r="J3021" s="32" t="str">
        <f>IF(AND(E3021=1,OR(E3020=0,E3020="")),MAX(#REF!)+1,IF(AND(E3021=1,E3020=1),J3020,""))</f>
        <v/>
      </c>
      <c r="K3021" s="32" t="str">
        <f t="shared" si="179"/>
        <v/>
      </c>
      <c r="L3021" s="32" t="str">
        <f t="shared" si="180"/>
        <v/>
      </c>
      <c r="M3021" s="32" t="str">
        <f t="shared" si="181"/>
        <v/>
      </c>
      <c r="N3021" s="4"/>
      <c r="AG3021" t="s">
        <v>2731</v>
      </c>
      <c r="AM3021" s="1"/>
    </row>
    <row r="3022" spans="1:39" x14ac:dyDescent="0.35">
      <c r="A3022">
        <v>3018</v>
      </c>
      <c r="B3022">
        <v>3019</v>
      </c>
      <c r="F3022" s="64"/>
      <c r="G3022" s="64"/>
      <c r="H3022" s="64" t="s">
        <v>26</v>
      </c>
      <c r="I3022" s="64"/>
      <c r="J3022" s="32" t="str">
        <f>IF(AND(E3022=1,OR(E3021=0,E3021="")),MAX(#REF!)+1,IF(AND(E3022=1,E3021=1),J3021,""))</f>
        <v/>
      </c>
      <c r="K3022" s="32" t="str">
        <f t="shared" si="179"/>
        <v/>
      </c>
      <c r="L3022" s="32" t="str">
        <f t="shared" si="180"/>
        <v/>
      </c>
      <c r="M3022" s="32" t="str">
        <f t="shared" si="181"/>
        <v/>
      </c>
      <c r="N3022" s="4"/>
      <c r="AG3022" t="s">
        <v>2732</v>
      </c>
      <c r="AM3022" s="1"/>
    </row>
    <row r="3023" spans="1:39" x14ac:dyDescent="0.35">
      <c r="A3023">
        <v>3019</v>
      </c>
      <c r="B3023">
        <v>3020</v>
      </c>
      <c r="F3023" s="64"/>
      <c r="G3023" s="64"/>
      <c r="H3023" s="64" t="s">
        <v>26</v>
      </c>
      <c r="I3023" s="64"/>
      <c r="J3023" s="32">
        <v>353</v>
      </c>
      <c r="K3023" s="32">
        <f t="shared" si="179"/>
        <v>10</v>
      </c>
      <c r="L3023" s="32" t="str">
        <f t="shared" si="180"/>
        <v/>
      </c>
      <c r="M3023" s="32">
        <f t="shared" si="181"/>
        <v>100</v>
      </c>
      <c r="N3023" s="4"/>
      <c r="AG3023" t="s">
        <v>2733</v>
      </c>
      <c r="AM3023" s="1"/>
    </row>
    <row r="3024" spans="1:39" x14ac:dyDescent="0.35">
      <c r="A3024">
        <v>3020</v>
      </c>
      <c r="B3024">
        <v>3021</v>
      </c>
      <c r="F3024" s="64"/>
      <c r="G3024" s="64"/>
      <c r="H3024" s="64" t="s">
        <v>26</v>
      </c>
      <c r="I3024" s="64"/>
      <c r="J3024" s="32" t="str">
        <f>IF(AND(E3024=1,OR(E3023=0,E3023="")),MAX(#REF!)+1,IF(AND(E3024=1,E3023=1),J3023,""))</f>
        <v/>
      </c>
      <c r="K3024" s="32" t="str">
        <f t="shared" si="179"/>
        <v/>
      </c>
      <c r="L3024" s="32" t="str">
        <f t="shared" si="180"/>
        <v/>
      </c>
      <c r="M3024" s="32" t="str">
        <f t="shared" si="181"/>
        <v/>
      </c>
      <c r="N3024" s="4"/>
      <c r="AG3024" t="s">
        <v>2734</v>
      </c>
      <c r="AM3024" s="1"/>
    </row>
    <row r="3025" spans="1:39" x14ac:dyDescent="0.35">
      <c r="A3025">
        <v>3021</v>
      </c>
      <c r="B3025">
        <v>3022</v>
      </c>
      <c r="F3025" s="64"/>
      <c r="G3025" s="64"/>
      <c r="H3025" s="64" t="s">
        <v>26</v>
      </c>
      <c r="I3025" s="64"/>
      <c r="J3025" s="32" t="str">
        <f>IF(AND(E3025=1,OR(E3024=0,E3024="")),MAX(#REF!)+1,IF(AND(E3025=1,E3024=1),J3024,""))</f>
        <v/>
      </c>
      <c r="K3025" s="32" t="str">
        <f t="shared" si="179"/>
        <v/>
      </c>
      <c r="L3025" s="32" t="str">
        <f t="shared" si="180"/>
        <v/>
      </c>
      <c r="M3025" s="32" t="str">
        <f t="shared" si="181"/>
        <v/>
      </c>
      <c r="N3025" s="4"/>
      <c r="AG3025" t="s">
        <v>2735</v>
      </c>
      <c r="AM3025" s="1"/>
    </row>
    <row r="3026" spans="1:39" x14ac:dyDescent="0.35">
      <c r="A3026">
        <v>3022</v>
      </c>
      <c r="B3026">
        <v>3023</v>
      </c>
      <c r="F3026" s="64"/>
      <c r="G3026" s="64"/>
      <c r="H3026" s="64" t="s">
        <v>26</v>
      </c>
      <c r="I3026" s="64"/>
      <c r="J3026" s="32" t="str">
        <f>IF(AND(E3026=1,OR(E3025=0,E3025="")),MAX(#REF!)+1,IF(AND(E3026=1,E3025=1),J3025,""))</f>
        <v/>
      </c>
      <c r="K3026" s="32" t="str">
        <f t="shared" si="179"/>
        <v/>
      </c>
      <c r="L3026" s="32" t="str">
        <f t="shared" si="180"/>
        <v/>
      </c>
      <c r="M3026" s="32" t="str">
        <f t="shared" si="181"/>
        <v/>
      </c>
      <c r="N3026" s="4"/>
      <c r="AG3026" t="s">
        <v>2736</v>
      </c>
      <c r="AM3026" s="1"/>
    </row>
    <row r="3027" spans="1:39" x14ac:dyDescent="0.35">
      <c r="A3027">
        <v>3023</v>
      </c>
      <c r="B3027">
        <v>3024</v>
      </c>
      <c r="F3027" s="64"/>
      <c r="G3027" s="64"/>
      <c r="H3027" s="64" t="s">
        <v>26</v>
      </c>
      <c r="I3027" s="64"/>
      <c r="J3027" s="32" t="str">
        <f>IF(AND(E3027=1,OR(E3026=0,E3026="")),MAX(#REF!)+1,IF(AND(E3027=1,E3026=1),J3026,""))</f>
        <v/>
      </c>
      <c r="K3027" s="32" t="str">
        <f t="shared" si="179"/>
        <v/>
      </c>
      <c r="L3027" s="32" t="str">
        <f t="shared" si="180"/>
        <v/>
      </c>
      <c r="M3027" s="32" t="str">
        <f t="shared" si="181"/>
        <v/>
      </c>
      <c r="N3027" s="4"/>
      <c r="AG3027" t="s">
        <v>2737</v>
      </c>
      <c r="AM3027" s="1"/>
    </row>
    <row r="3028" spans="1:39" x14ac:dyDescent="0.35">
      <c r="A3028">
        <v>3024</v>
      </c>
      <c r="B3028">
        <v>3025</v>
      </c>
      <c r="F3028" s="64"/>
      <c r="G3028" s="64"/>
      <c r="H3028" s="64" t="s">
        <v>26</v>
      </c>
      <c r="I3028" s="64"/>
      <c r="J3028" s="32" t="str">
        <f>IF(AND(E3028=1,OR(E3027=0,E3027="")),MAX(#REF!)+1,IF(AND(E3028=1,E3027=1),J3027,""))</f>
        <v/>
      </c>
      <c r="K3028" s="32" t="str">
        <f t="shared" si="179"/>
        <v/>
      </c>
      <c r="L3028" s="32" t="str">
        <f t="shared" si="180"/>
        <v/>
      </c>
      <c r="M3028" s="32" t="str">
        <f t="shared" si="181"/>
        <v/>
      </c>
      <c r="N3028" s="4"/>
      <c r="AG3028" t="s">
        <v>2738</v>
      </c>
      <c r="AM3028" s="1"/>
    </row>
    <row r="3029" spans="1:39" x14ac:dyDescent="0.35">
      <c r="A3029">
        <v>3025</v>
      </c>
      <c r="B3029">
        <v>3026</v>
      </c>
      <c r="F3029" s="64"/>
      <c r="G3029" s="64"/>
      <c r="H3029" s="64" t="s">
        <v>26</v>
      </c>
      <c r="I3029" s="64"/>
      <c r="J3029" s="32" t="str">
        <f>IF(AND(E3029=1,OR(E3028=0,E3028="")),MAX(#REF!)+1,IF(AND(E3029=1,E3028=1),J3028,""))</f>
        <v/>
      </c>
      <c r="K3029" s="32" t="str">
        <f t="shared" si="179"/>
        <v/>
      </c>
      <c r="L3029" s="32" t="str">
        <f t="shared" si="180"/>
        <v/>
      </c>
      <c r="M3029" s="32" t="str">
        <f t="shared" si="181"/>
        <v/>
      </c>
      <c r="N3029" s="4"/>
      <c r="AG3029" t="s">
        <v>2739</v>
      </c>
      <c r="AM3029" s="1"/>
    </row>
    <row r="3030" spans="1:39" x14ac:dyDescent="0.35">
      <c r="A3030">
        <v>3026</v>
      </c>
      <c r="B3030">
        <v>3027</v>
      </c>
      <c r="F3030" s="64"/>
      <c r="G3030" s="64"/>
      <c r="H3030" s="64" t="s">
        <v>26</v>
      </c>
      <c r="I3030" s="64"/>
      <c r="J3030" s="32" t="str">
        <f>IF(AND(E3030=1,OR(E3029=0,E3029="")),MAX(#REF!)+1,IF(AND(E3030=1,E3029=1),J3029,""))</f>
        <v/>
      </c>
      <c r="K3030" s="32" t="str">
        <f t="shared" si="179"/>
        <v/>
      </c>
      <c r="L3030" s="32" t="str">
        <f t="shared" si="180"/>
        <v/>
      </c>
      <c r="M3030" s="32" t="str">
        <f t="shared" si="181"/>
        <v/>
      </c>
      <c r="N3030" s="4"/>
      <c r="AG3030" t="s">
        <v>2740</v>
      </c>
      <c r="AM3030" s="1"/>
    </row>
    <row r="3031" spans="1:39" x14ac:dyDescent="0.35">
      <c r="A3031">
        <v>3027</v>
      </c>
      <c r="B3031">
        <v>3028</v>
      </c>
      <c r="F3031" s="64"/>
      <c r="G3031" s="64"/>
      <c r="H3031" s="64" t="s">
        <v>26</v>
      </c>
      <c r="I3031" s="64"/>
      <c r="J3031" s="32" t="str">
        <f>IF(AND(E3031=1,OR(E3030=0,E3030="")),MAX(#REF!)+1,IF(AND(E3031=1,E3030=1),J3030,""))</f>
        <v/>
      </c>
      <c r="K3031" s="32" t="str">
        <f t="shared" si="179"/>
        <v/>
      </c>
      <c r="L3031" s="32" t="str">
        <f t="shared" si="180"/>
        <v/>
      </c>
      <c r="M3031" s="32" t="str">
        <f t="shared" si="181"/>
        <v/>
      </c>
      <c r="N3031" s="4"/>
      <c r="AG3031" t="s">
        <v>2741</v>
      </c>
      <c r="AM3031" s="1"/>
    </row>
    <row r="3032" spans="1:39" x14ac:dyDescent="0.35">
      <c r="A3032">
        <v>3028</v>
      </c>
      <c r="B3032">
        <v>3029</v>
      </c>
      <c r="F3032" s="64"/>
      <c r="G3032" s="64"/>
      <c r="H3032" s="64" t="s">
        <v>26</v>
      </c>
      <c r="I3032" s="64"/>
      <c r="J3032" s="32" t="str">
        <f>IF(AND(E3032=1,OR(E3031=0,E3031="")),MAX(#REF!)+1,IF(AND(E3032=1,E3031=1),J3031,""))</f>
        <v/>
      </c>
      <c r="K3032" s="32" t="str">
        <f t="shared" si="179"/>
        <v/>
      </c>
      <c r="L3032" s="32" t="str">
        <f t="shared" si="180"/>
        <v/>
      </c>
      <c r="M3032" s="32" t="str">
        <f t="shared" si="181"/>
        <v/>
      </c>
      <c r="N3032" s="4"/>
      <c r="AG3032" t="s">
        <v>2742</v>
      </c>
      <c r="AM3032" s="1"/>
    </row>
    <row r="3033" spans="1:39" x14ac:dyDescent="0.35">
      <c r="A3033">
        <v>3029</v>
      </c>
      <c r="B3033">
        <v>3030</v>
      </c>
      <c r="F3033" s="64"/>
      <c r="G3033" s="64"/>
      <c r="H3033" s="64" t="s">
        <v>26</v>
      </c>
      <c r="I3033" s="64"/>
      <c r="J3033" s="32" t="str">
        <f>IF(AND(E3033=1,OR(E3032=0,E3032="")),MAX(#REF!)+1,IF(AND(E3033=1,E3032=1),J3032,""))</f>
        <v/>
      </c>
      <c r="K3033" s="32" t="str">
        <f t="shared" si="179"/>
        <v/>
      </c>
      <c r="L3033" s="32" t="str">
        <f t="shared" si="180"/>
        <v/>
      </c>
      <c r="M3033" s="32" t="str">
        <f t="shared" si="181"/>
        <v/>
      </c>
      <c r="N3033" s="4"/>
      <c r="AG3033" t="s">
        <v>2743</v>
      </c>
      <c r="AM3033" s="1"/>
    </row>
    <row r="3034" spans="1:39" x14ac:dyDescent="0.35">
      <c r="A3034">
        <v>3030</v>
      </c>
      <c r="B3034">
        <v>3031</v>
      </c>
      <c r="F3034" s="64"/>
      <c r="G3034" s="64"/>
      <c r="H3034" s="64" t="s">
        <v>26</v>
      </c>
      <c r="I3034" s="64"/>
      <c r="J3034" s="32" t="str">
        <f>IF(AND(E3034=1,OR(E3033=0,E3033="")),MAX(#REF!)+1,IF(AND(E3034=1,E3033=1),J3033,""))</f>
        <v/>
      </c>
      <c r="K3034" s="32" t="str">
        <f t="shared" si="179"/>
        <v/>
      </c>
      <c r="L3034" s="32" t="str">
        <f t="shared" si="180"/>
        <v/>
      </c>
      <c r="M3034" s="32" t="str">
        <f t="shared" si="181"/>
        <v/>
      </c>
      <c r="N3034" s="4"/>
      <c r="AG3034" t="s">
        <v>2744</v>
      </c>
      <c r="AM3034" s="1"/>
    </row>
    <row r="3035" spans="1:39" x14ac:dyDescent="0.35">
      <c r="A3035">
        <v>3031</v>
      </c>
      <c r="B3035">
        <v>3032</v>
      </c>
      <c r="F3035" s="64"/>
      <c r="G3035" s="64"/>
      <c r="H3035" s="64" t="s">
        <v>26</v>
      </c>
      <c r="I3035" s="64"/>
      <c r="J3035" s="32" t="str">
        <f>IF(AND(E3035=1,OR(E3034=0,E3034="")),MAX(#REF!)+1,IF(AND(E3035=1,E3034=1),J3034,""))</f>
        <v/>
      </c>
      <c r="K3035" s="32" t="str">
        <f t="shared" si="179"/>
        <v/>
      </c>
      <c r="L3035" s="32" t="str">
        <f t="shared" si="180"/>
        <v/>
      </c>
      <c r="M3035" s="32" t="str">
        <f t="shared" si="181"/>
        <v/>
      </c>
      <c r="N3035" s="4"/>
      <c r="AG3035" t="s">
        <v>2745</v>
      </c>
      <c r="AM3035" s="1"/>
    </row>
    <row r="3036" spans="1:39" x14ac:dyDescent="0.35">
      <c r="A3036">
        <v>3032</v>
      </c>
      <c r="B3036">
        <v>3033</v>
      </c>
      <c r="F3036" s="64"/>
      <c r="G3036" s="64"/>
      <c r="H3036" s="64" t="s">
        <v>26</v>
      </c>
      <c r="I3036" s="64"/>
      <c r="J3036" s="32" t="str">
        <f>IF(AND(E3036=1,OR(E3035=0,E3035="")),MAX(#REF!)+1,IF(AND(E3036=1,E3035=1),J3035,""))</f>
        <v/>
      </c>
      <c r="K3036" s="32" t="str">
        <f t="shared" si="179"/>
        <v/>
      </c>
      <c r="L3036" s="32" t="str">
        <f t="shared" si="180"/>
        <v/>
      </c>
      <c r="M3036" s="32" t="str">
        <f t="shared" si="181"/>
        <v/>
      </c>
      <c r="N3036" s="4"/>
      <c r="AG3036" t="s">
        <v>2746</v>
      </c>
      <c r="AM3036" s="1"/>
    </row>
    <row r="3037" spans="1:39" x14ac:dyDescent="0.35">
      <c r="A3037">
        <v>3033</v>
      </c>
      <c r="B3037">
        <v>3034</v>
      </c>
      <c r="F3037" s="64"/>
      <c r="G3037" s="64"/>
      <c r="H3037" s="64" t="s">
        <v>26</v>
      </c>
      <c r="I3037" s="64"/>
      <c r="J3037" s="32" t="str">
        <f>IF(AND(E3037=1,OR(E3036=0,E3036="")),MAX(#REF!)+1,IF(AND(E3037=1,E3036=1),J3036,""))</f>
        <v/>
      </c>
      <c r="K3037" s="32" t="str">
        <f t="shared" si="179"/>
        <v/>
      </c>
      <c r="L3037" s="32" t="str">
        <f t="shared" si="180"/>
        <v/>
      </c>
      <c r="M3037" s="32" t="str">
        <f t="shared" si="181"/>
        <v/>
      </c>
      <c r="N3037" s="4"/>
      <c r="AG3037" t="s">
        <v>2747</v>
      </c>
      <c r="AM3037" s="1"/>
    </row>
    <row r="3038" spans="1:39" x14ac:dyDescent="0.35">
      <c r="A3038">
        <v>3034</v>
      </c>
      <c r="B3038">
        <v>3035</v>
      </c>
      <c r="F3038" s="64"/>
      <c r="G3038" s="64"/>
      <c r="H3038" s="64" t="s">
        <v>26</v>
      </c>
      <c r="I3038" s="64"/>
      <c r="J3038" s="32" t="str">
        <f>IF(AND(E3038=1,OR(E3037=0,E3037="")),MAX(#REF!)+1,IF(AND(E3038=1,E3037=1),J3037,""))</f>
        <v/>
      </c>
      <c r="K3038" s="32" t="str">
        <f t="shared" si="179"/>
        <v/>
      </c>
      <c r="L3038" s="32" t="str">
        <f t="shared" si="180"/>
        <v/>
      </c>
      <c r="M3038" s="32" t="str">
        <f t="shared" si="181"/>
        <v/>
      </c>
      <c r="N3038" s="4"/>
      <c r="AG3038" t="s">
        <v>2748</v>
      </c>
      <c r="AM3038" s="1"/>
    </row>
    <row r="3039" spans="1:39" x14ac:dyDescent="0.35">
      <c r="A3039">
        <v>3035</v>
      </c>
      <c r="B3039">
        <v>3036</v>
      </c>
      <c r="F3039" s="64"/>
      <c r="G3039" s="64"/>
      <c r="H3039" s="64" t="s">
        <v>26</v>
      </c>
      <c r="I3039" s="64"/>
      <c r="J3039" s="32" t="str">
        <f>IF(AND(E3039=1,OR(E3038=0,E3038="")),MAX(#REF!)+1,IF(AND(E3039=1,E3038=1),J3038,""))</f>
        <v/>
      </c>
      <c r="K3039" s="32" t="str">
        <f t="shared" ref="K3039:K3102" si="182">IF(J3039="","",COUNTIF(J:J,J3039)*10)</f>
        <v/>
      </c>
      <c r="L3039" s="32" t="str">
        <f t="shared" si="180"/>
        <v/>
      </c>
      <c r="M3039" s="32" t="str">
        <f t="shared" si="181"/>
        <v/>
      </c>
      <c r="N3039" s="4"/>
      <c r="AG3039" t="s">
        <v>2749</v>
      </c>
      <c r="AM3039" s="1"/>
    </row>
    <row r="3040" spans="1:39" x14ac:dyDescent="0.35">
      <c r="A3040">
        <v>3036</v>
      </c>
      <c r="B3040">
        <v>3037</v>
      </c>
      <c r="F3040" s="64"/>
      <c r="G3040" s="64"/>
      <c r="H3040" s="64" t="s">
        <v>26</v>
      </c>
      <c r="I3040" s="64"/>
      <c r="J3040" s="32" t="str">
        <f>IF(AND(E3040=1,OR(E3039=0,E3039="")),MAX(#REF!)+1,IF(AND(E3040=1,E3039=1),J3039,""))</f>
        <v/>
      </c>
      <c r="K3040" s="32" t="str">
        <f t="shared" si="182"/>
        <v/>
      </c>
      <c r="L3040" s="32" t="str">
        <f t="shared" si="180"/>
        <v/>
      </c>
      <c r="M3040" s="32" t="str">
        <f t="shared" si="181"/>
        <v/>
      </c>
      <c r="N3040" s="4"/>
      <c r="AG3040" t="s">
        <v>2750</v>
      </c>
      <c r="AM3040" s="1"/>
    </row>
    <row r="3041" spans="1:39" x14ac:dyDescent="0.35">
      <c r="A3041">
        <v>3037</v>
      </c>
      <c r="B3041">
        <v>3038</v>
      </c>
      <c r="F3041" s="64"/>
      <c r="G3041" s="64"/>
      <c r="H3041" s="64" t="s">
        <v>26</v>
      </c>
      <c r="I3041" s="64"/>
      <c r="J3041" s="32" t="str">
        <f>IF(AND(E3041=1,OR(E3040=0,E3040="")),MAX(#REF!)+1,IF(AND(E3041=1,E3040=1),J3040,""))</f>
        <v/>
      </c>
      <c r="K3041" s="32" t="str">
        <f t="shared" si="182"/>
        <v/>
      </c>
      <c r="L3041" s="32" t="str">
        <f t="shared" si="180"/>
        <v/>
      </c>
      <c r="M3041" s="32" t="str">
        <f t="shared" si="181"/>
        <v/>
      </c>
      <c r="N3041" s="4"/>
      <c r="AG3041" t="s">
        <v>2751</v>
      </c>
      <c r="AM3041" s="1"/>
    </row>
    <row r="3042" spans="1:39" x14ac:dyDescent="0.35">
      <c r="A3042">
        <v>3038</v>
      </c>
      <c r="B3042">
        <v>3039</v>
      </c>
      <c r="F3042" s="64"/>
      <c r="G3042" s="64"/>
      <c r="H3042" s="64" t="s">
        <v>26</v>
      </c>
      <c r="I3042" s="64"/>
      <c r="J3042" s="32" t="str">
        <f>IF(AND(E3042=1,OR(E3041=0,E3041="")),MAX(#REF!)+1,IF(AND(E3042=1,E3041=1),J3041,""))</f>
        <v/>
      </c>
      <c r="K3042" s="32" t="str">
        <f t="shared" si="182"/>
        <v/>
      </c>
      <c r="L3042" s="32" t="str">
        <f t="shared" si="180"/>
        <v/>
      </c>
      <c r="M3042" s="32" t="str">
        <f t="shared" si="181"/>
        <v/>
      </c>
      <c r="N3042" s="4"/>
      <c r="AG3042" t="s">
        <v>2752</v>
      </c>
      <c r="AM3042" s="1"/>
    </row>
    <row r="3043" spans="1:39" x14ac:dyDescent="0.35">
      <c r="A3043">
        <v>3039</v>
      </c>
      <c r="B3043">
        <v>3040</v>
      </c>
      <c r="F3043" s="64"/>
      <c r="G3043" s="64"/>
      <c r="H3043" s="64" t="s">
        <v>26</v>
      </c>
      <c r="I3043" s="64"/>
      <c r="J3043" s="32" t="str">
        <f>IF(AND(E3043=1,OR(E3042=0,E3042="")),MAX(#REF!)+1,IF(AND(E3043=1,E3042=1),J3042,""))</f>
        <v/>
      </c>
      <c r="K3043" s="32" t="str">
        <f t="shared" si="182"/>
        <v/>
      </c>
      <c r="L3043" s="32" t="str">
        <f t="shared" si="180"/>
        <v/>
      </c>
      <c r="M3043" s="32" t="str">
        <f t="shared" si="181"/>
        <v/>
      </c>
      <c r="N3043" s="4"/>
      <c r="AG3043" t="s">
        <v>2753</v>
      </c>
      <c r="AM3043" s="1"/>
    </row>
    <row r="3044" spans="1:39" x14ac:dyDescent="0.35">
      <c r="A3044">
        <v>3040</v>
      </c>
      <c r="B3044">
        <v>3041</v>
      </c>
      <c r="F3044" s="64"/>
      <c r="G3044" s="64"/>
      <c r="H3044" s="64" t="s">
        <v>26</v>
      </c>
      <c r="I3044" s="64"/>
      <c r="J3044" s="32" t="str">
        <f>IF(AND(E3044=1,OR(E3043=0,E3043="")),MAX(#REF!)+1,IF(AND(E3044=1,E3043=1),J3043,""))</f>
        <v/>
      </c>
      <c r="K3044" s="32" t="str">
        <f t="shared" si="182"/>
        <v/>
      </c>
      <c r="L3044" s="32" t="str">
        <f t="shared" si="180"/>
        <v/>
      </c>
      <c r="M3044" s="32" t="str">
        <f t="shared" si="181"/>
        <v/>
      </c>
      <c r="N3044" s="4"/>
      <c r="AG3044" t="s">
        <v>2754</v>
      </c>
      <c r="AM3044" s="1"/>
    </row>
    <row r="3045" spans="1:39" x14ac:dyDescent="0.35">
      <c r="A3045">
        <v>3041</v>
      </c>
      <c r="B3045">
        <v>3042</v>
      </c>
      <c r="F3045" s="64"/>
      <c r="G3045" s="64"/>
      <c r="H3045" s="64" t="s">
        <v>26</v>
      </c>
      <c r="I3045" s="64"/>
      <c r="J3045" s="32" t="str">
        <f>IF(AND(E3045=1,OR(E3044=0,E3044="")),MAX(#REF!)+1,IF(AND(E3045=1,E3044=1),J3044,""))</f>
        <v/>
      </c>
      <c r="K3045" s="32" t="str">
        <f t="shared" si="182"/>
        <v/>
      </c>
      <c r="L3045" s="32" t="str">
        <f t="shared" si="180"/>
        <v/>
      </c>
      <c r="M3045" s="32" t="str">
        <f t="shared" si="181"/>
        <v/>
      </c>
      <c r="N3045" s="4"/>
      <c r="AG3045" t="s">
        <v>2755</v>
      </c>
      <c r="AM3045" s="1"/>
    </row>
    <row r="3046" spans="1:39" x14ac:dyDescent="0.35">
      <c r="A3046">
        <v>3042</v>
      </c>
      <c r="B3046">
        <v>3043</v>
      </c>
      <c r="F3046" s="64"/>
      <c r="G3046" s="64"/>
      <c r="H3046" s="64" t="s">
        <v>26</v>
      </c>
      <c r="I3046" s="64"/>
      <c r="J3046" s="32" t="str">
        <f>IF(AND(E3046=1,OR(E3045=0,E3045="")),MAX(#REF!)+1,IF(AND(E3046=1,E3045=1),J3045,""))</f>
        <v/>
      </c>
      <c r="K3046" s="32" t="str">
        <f t="shared" si="182"/>
        <v/>
      </c>
      <c r="L3046" s="32" t="str">
        <f t="shared" si="180"/>
        <v/>
      </c>
      <c r="M3046" s="32" t="str">
        <f t="shared" si="181"/>
        <v/>
      </c>
      <c r="N3046" s="4"/>
      <c r="AG3046" t="s">
        <v>2756</v>
      </c>
      <c r="AM3046" s="1"/>
    </row>
    <row r="3047" spans="1:39" x14ac:dyDescent="0.35">
      <c r="A3047">
        <v>3043</v>
      </c>
      <c r="B3047">
        <v>3044</v>
      </c>
      <c r="F3047" s="64"/>
      <c r="G3047" s="64"/>
      <c r="H3047" s="64" t="s">
        <v>26</v>
      </c>
      <c r="I3047" s="64"/>
      <c r="J3047" s="32" t="str">
        <f>IF(AND(E3047=1,OR(E3046=0,E3046="")),MAX(#REF!)+1,IF(AND(E3047=1,E3046=1),J3046,""))</f>
        <v/>
      </c>
      <c r="K3047" s="32" t="str">
        <f t="shared" si="182"/>
        <v/>
      </c>
      <c r="L3047" s="32" t="str">
        <f t="shared" si="180"/>
        <v/>
      </c>
      <c r="M3047" s="32" t="str">
        <f t="shared" si="181"/>
        <v/>
      </c>
      <c r="N3047" s="4"/>
      <c r="AG3047" t="s">
        <v>2757</v>
      </c>
      <c r="AM3047" s="1"/>
    </row>
    <row r="3048" spans="1:39" x14ac:dyDescent="0.35">
      <c r="A3048">
        <v>3044</v>
      </c>
      <c r="B3048">
        <v>3045</v>
      </c>
      <c r="F3048" s="64"/>
      <c r="G3048" s="64"/>
      <c r="H3048" s="64" t="s">
        <v>26</v>
      </c>
      <c r="I3048" s="64"/>
      <c r="J3048" s="32" t="str">
        <f>IF(AND(E3048=1,OR(E3047=0,E3047="")),MAX(#REF!)+1,IF(AND(E3048=1,E3047=1),J3047,""))</f>
        <v/>
      </c>
      <c r="K3048" s="32" t="str">
        <f t="shared" si="182"/>
        <v/>
      </c>
      <c r="L3048" s="32" t="str">
        <f t="shared" si="180"/>
        <v/>
      </c>
      <c r="M3048" s="32" t="str">
        <f t="shared" si="181"/>
        <v/>
      </c>
      <c r="N3048" s="4"/>
      <c r="AG3048" t="s">
        <v>2758</v>
      </c>
      <c r="AM3048" s="1"/>
    </row>
    <row r="3049" spans="1:39" x14ac:dyDescent="0.35">
      <c r="A3049">
        <v>3045</v>
      </c>
      <c r="B3049">
        <v>3046</v>
      </c>
      <c r="F3049" s="64"/>
      <c r="G3049" s="64"/>
      <c r="H3049" s="64" t="s">
        <v>26</v>
      </c>
      <c r="I3049" s="64"/>
      <c r="J3049" s="32" t="str">
        <f>IF(AND(E3049=1,OR(E3048=0,E3048="")),MAX(#REF!)+1,IF(AND(E3049=1,E3048=1),J3048,""))</f>
        <v/>
      </c>
      <c r="K3049" s="32" t="str">
        <f t="shared" si="182"/>
        <v/>
      </c>
      <c r="L3049" s="32" t="str">
        <f t="shared" si="180"/>
        <v/>
      </c>
      <c r="M3049" s="32" t="str">
        <f t="shared" si="181"/>
        <v/>
      </c>
      <c r="N3049" s="4"/>
      <c r="AG3049" t="s">
        <v>2759</v>
      </c>
      <c r="AM3049" s="1"/>
    </row>
    <row r="3050" spans="1:39" x14ac:dyDescent="0.35">
      <c r="A3050">
        <v>3046</v>
      </c>
      <c r="B3050">
        <v>3047</v>
      </c>
      <c r="F3050" s="64"/>
      <c r="G3050" s="64"/>
      <c r="H3050" s="64" t="s">
        <v>26</v>
      </c>
      <c r="I3050" s="64"/>
      <c r="J3050" s="32" t="str">
        <f>IF(AND(E3050=1,OR(E3049=0,E3049="")),MAX(#REF!)+1,IF(AND(E3050=1,E3049=1),J3049,""))</f>
        <v/>
      </c>
      <c r="K3050" s="32" t="str">
        <f t="shared" si="182"/>
        <v/>
      </c>
      <c r="L3050" s="32" t="str">
        <f t="shared" si="180"/>
        <v/>
      </c>
      <c r="M3050" s="32" t="str">
        <f t="shared" si="181"/>
        <v/>
      </c>
      <c r="N3050" s="4"/>
      <c r="AG3050" t="s">
        <v>2760</v>
      </c>
      <c r="AM3050" s="1"/>
    </row>
    <row r="3051" spans="1:39" x14ac:dyDescent="0.35">
      <c r="A3051">
        <v>3047</v>
      </c>
      <c r="B3051">
        <v>3048</v>
      </c>
      <c r="F3051" s="64"/>
      <c r="G3051" s="64"/>
      <c r="H3051" s="64" t="s">
        <v>26</v>
      </c>
      <c r="I3051" s="64"/>
      <c r="J3051" s="32" t="str">
        <f>IF(AND(E3051=1,OR(E3050=0,E3050="")),MAX(#REF!)+1,IF(AND(E3051=1,E3050=1),J3050,""))</f>
        <v/>
      </c>
      <c r="K3051" s="32" t="str">
        <f t="shared" si="182"/>
        <v/>
      </c>
      <c r="L3051" s="32" t="str">
        <f t="shared" si="180"/>
        <v/>
      </c>
      <c r="M3051" s="32" t="str">
        <f t="shared" si="181"/>
        <v/>
      </c>
      <c r="N3051" s="4"/>
      <c r="AG3051" t="s">
        <v>2761</v>
      </c>
      <c r="AM3051" s="1"/>
    </row>
    <row r="3052" spans="1:39" x14ac:dyDescent="0.35">
      <c r="A3052">
        <v>3048</v>
      </c>
      <c r="B3052">
        <v>3049</v>
      </c>
      <c r="F3052" s="64"/>
      <c r="G3052" s="64"/>
      <c r="H3052" s="64" t="s">
        <v>26</v>
      </c>
      <c r="I3052" s="64"/>
      <c r="J3052" s="32" t="str">
        <f>IF(AND(E3052=1,OR(E3051=0,E3051="")),MAX(#REF!)+1,IF(AND(E3052=1,E3051=1),J3051,""))</f>
        <v/>
      </c>
      <c r="K3052" s="32" t="str">
        <f t="shared" si="182"/>
        <v/>
      </c>
      <c r="L3052" s="32" t="str">
        <f t="shared" si="180"/>
        <v/>
      </c>
      <c r="M3052" s="32" t="str">
        <f t="shared" si="181"/>
        <v/>
      </c>
      <c r="N3052" s="4"/>
      <c r="AG3052" t="s">
        <v>2762</v>
      </c>
      <c r="AM3052" s="1"/>
    </row>
    <row r="3053" spans="1:39" x14ac:dyDescent="0.35">
      <c r="A3053">
        <v>3049</v>
      </c>
      <c r="B3053">
        <v>3050</v>
      </c>
      <c r="F3053" s="64"/>
      <c r="G3053" s="64"/>
      <c r="H3053" s="64" t="s">
        <v>26</v>
      </c>
      <c r="I3053" s="64"/>
      <c r="J3053" s="32" t="str">
        <f>IF(AND(E3053=1,OR(E3052=0,E3052="")),MAX(#REF!)+1,IF(AND(E3053=1,E3052=1),J3052,""))</f>
        <v/>
      </c>
      <c r="K3053" s="32" t="str">
        <f t="shared" si="182"/>
        <v/>
      </c>
      <c r="L3053" s="32" t="str">
        <f t="shared" si="180"/>
        <v/>
      </c>
      <c r="M3053" s="32" t="str">
        <f t="shared" si="181"/>
        <v/>
      </c>
      <c r="N3053" s="4"/>
      <c r="AG3053" t="s">
        <v>2763</v>
      </c>
      <c r="AM3053" s="1"/>
    </row>
    <row r="3054" spans="1:39" x14ac:dyDescent="0.35">
      <c r="A3054">
        <v>3050</v>
      </c>
      <c r="B3054">
        <v>3051</v>
      </c>
      <c r="F3054" s="64"/>
      <c r="G3054" s="64"/>
      <c r="H3054" s="64" t="s">
        <v>26</v>
      </c>
      <c r="I3054" s="64"/>
      <c r="J3054" s="32" t="str">
        <f>IF(AND(E3054=1,OR(E3053=0,E3053="")),MAX(#REF!)+1,IF(AND(E3054=1,E3053=1),J3053,""))</f>
        <v/>
      </c>
      <c r="K3054" s="32" t="str">
        <f t="shared" si="182"/>
        <v/>
      </c>
      <c r="L3054" s="32" t="str">
        <f t="shared" si="180"/>
        <v/>
      </c>
      <c r="M3054" s="32" t="str">
        <f t="shared" si="181"/>
        <v/>
      </c>
      <c r="N3054" s="4"/>
      <c r="AG3054" t="s">
        <v>2764</v>
      </c>
      <c r="AM3054" s="1"/>
    </row>
    <row r="3055" spans="1:39" x14ac:dyDescent="0.35">
      <c r="A3055">
        <v>3051</v>
      </c>
      <c r="B3055">
        <v>3052</v>
      </c>
      <c r="F3055" s="64"/>
      <c r="G3055" s="64"/>
      <c r="H3055" s="64" t="s">
        <v>26</v>
      </c>
      <c r="I3055" s="64"/>
      <c r="J3055" s="32" t="str">
        <f>IF(AND(E3055=1,OR(E3054=0,E3054="")),MAX(#REF!)+1,IF(AND(E3055=1,E3054=1),J3054,""))</f>
        <v/>
      </c>
      <c r="K3055" s="32" t="str">
        <f t="shared" si="182"/>
        <v/>
      </c>
      <c r="L3055" s="32" t="str">
        <f t="shared" si="180"/>
        <v/>
      </c>
      <c r="M3055" s="32" t="str">
        <f t="shared" si="181"/>
        <v/>
      </c>
      <c r="N3055" s="4"/>
      <c r="AG3055" t="s">
        <v>2765</v>
      </c>
      <c r="AM3055" s="1"/>
    </row>
    <row r="3056" spans="1:39" x14ac:dyDescent="0.35">
      <c r="A3056">
        <v>3052</v>
      </c>
      <c r="B3056">
        <v>3053</v>
      </c>
      <c r="F3056" s="64"/>
      <c r="G3056" s="64"/>
      <c r="H3056" s="64" t="s">
        <v>26</v>
      </c>
      <c r="I3056" s="64"/>
      <c r="J3056" s="32" t="str">
        <f>IF(AND(E3056=1,OR(E3055=0,E3055="")),MAX(#REF!)+1,IF(AND(E3056=1,E3055=1),J3055,""))</f>
        <v/>
      </c>
      <c r="K3056" s="32" t="str">
        <f t="shared" si="182"/>
        <v/>
      </c>
      <c r="L3056" s="32" t="str">
        <f t="shared" si="180"/>
        <v/>
      </c>
      <c r="M3056" s="32" t="str">
        <f t="shared" si="181"/>
        <v/>
      </c>
      <c r="N3056" s="4"/>
      <c r="AG3056" t="s">
        <v>2766</v>
      </c>
      <c r="AM3056" s="1"/>
    </row>
    <row r="3057" spans="1:39" x14ac:dyDescent="0.35">
      <c r="A3057">
        <v>3053</v>
      </c>
      <c r="B3057">
        <v>3054</v>
      </c>
      <c r="F3057" s="64"/>
      <c r="G3057" s="64"/>
      <c r="H3057" s="64" t="s">
        <v>26</v>
      </c>
      <c r="I3057" s="64"/>
      <c r="J3057" s="32" t="str">
        <f>IF(AND(E3057=1,OR(E3056=0,E3056="")),MAX(#REF!)+1,IF(AND(E3057=1,E3056=1),J3056,""))</f>
        <v/>
      </c>
      <c r="K3057" s="32" t="str">
        <f t="shared" si="182"/>
        <v/>
      </c>
      <c r="L3057" s="32" t="str">
        <f t="shared" si="180"/>
        <v/>
      </c>
      <c r="M3057" s="32" t="str">
        <f t="shared" si="181"/>
        <v/>
      </c>
      <c r="N3057" s="4"/>
      <c r="AG3057" t="s">
        <v>2767</v>
      </c>
      <c r="AM3057" s="1"/>
    </row>
    <row r="3058" spans="1:39" x14ac:dyDescent="0.35">
      <c r="A3058">
        <v>3054</v>
      </c>
      <c r="B3058">
        <v>3055</v>
      </c>
      <c r="F3058" s="64"/>
      <c r="G3058" s="64"/>
      <c r="H3058" s="64" t="s">
        <v>26</v>
      </c>
      <c r="I3058" s="64"/>
      <c r="J3058" s="32" t="str">
        <f>IF(AND(E3058=1,OR(E3057=0,E3057="")),MAX(#REF!)+1,IF(AND(E3058=1,E3057=1),J3057,""))</f>
        <v/>
      </c>
      <c r="K3058" s="32" t="str">
        <f t="shared" si="182"/>
        <v/>
      </c>
      <c r="L3058" s="32" t="str">
        <f t="shared" si="180"/>
        <v/>
      </c>
      <c r="M3058" s="32" t="str">
        <f t="shared" si="181"/>
        <v/>
      </c>
      <c r="N3058" s="4"/>
      <c r="AG3058" t="s">
        <v>2768</v>
      </c>
      <c r="AM3058" s="1"/>
    </row>
    <row r="3059" spans="1:39" x14ac:dyDescent="0.35">
      <c r="A3059">
        <v>3055</v>
      </c>
      <c r="B3059">
        <v>3056</v>
      </c>
      <c r="F3059" s="64"/>
      <c r="G3059" s="64"/>
      <c r="H3059" s="64" t="s">
        <v>26</v>
      </c>
      <c r="I3059" s="64"/>
      <c r="J3059" s="32" t="str">
        <f>IF(AND(E3059=1,OR(E3058=0,E3058="")),MAX(#REF!)+1,IF(AND(E3059=1,E3058=1),J3058,""))</f>
        <v/>
      </c>
      <c r="K3059" s="32" t="str">
        <f t="shared" si="182"/>
        <v/>
      </c>
      <c r="L3059" s="32" t="str">
        <f t="shared" si="180"/>
        <v/>
      </c>
      <c r="M3059" s="32" t="str">
        <f t="shared" si="181"/>
        <v/>
      </c>
      <c r="N3059" s="4"/>
      <c r="AG3059" t="s">
        <v>2769</v>
      </c>
      <c r="AM3059" s="1"/>
    </row>
    <row r="3060" spans="1:39" x14ac:dyDescent="0.35">
      <c r="A3060">
        <v>3056</v>
      </c>
      <c r="B3060">
        <v>3057</v>
      </c>
      <c r="F3060" s="64"/>
      <c r="G3060" s="64"/>
      <c r="H3060" s="64" t="s">
        <v>26</v>
      </c>
      <c r="I3060" s="64"/>
      <c r="J3060" s="32" t="str">
        <f>IF(AND(E3060=1,OR(E3059=0,E3059="")),MAX(#REF!)+1,IF(AND(E3060=1,E3059=1),J3059,""))</f>
        <v/>
      </c>
      <c r="K3060" s="32" t="str">
        <f t="shared" si="182"/>
        <v/>
      </c>
      <c r="L3060" s="32" t="str">
        <f t="shared" si="180"/>
        <v/>
      </c>
      <c r="M3060" s="32" t="str">
        <f t="shared" si="181"/>
        <v/>
      </c>
      <c r="N3060" s="4"/>
      <c r="AG3060" t="s">
        <v>2770</v>
      </c>
      <c r="AM3060" s="1"/>
    </row>
    <row r="3061" spans="1:39" x14ac:dyDescent="0.35">
      <c r="A3061">
        <v>3057</v>
      </c>
      <c r="B3061">
        <v>3058</v>
      </c>
      <c r="F3061" s="64"/>
      <c r="G3061" s="64"/>
      <c r="H3061" s="64" t="s">
        <v>26</v>
      </c>
      <c r="I3061" s="64"/>
      <c r="J3061" s="32" t="str">
        <f>IF(AND(E3061=1,OR(E3060=0,E3060="")),MAX(#REF!)+1,IF(AND(E3061=1,E3060=1),J3060,""))</f>
        <v/>
      </c>
      <c r="K3061" s="32" t="str">
        <f t="shared" si="182"/>
        <v/>
      </c>
      <c r="L3061" s="32" t="str">
        <f t="shared" si="180"/>
        <v/>
      </c>
      <c r="M3061" s="32" t="str">
        <f t="shared" si="181"/>
        <v/>
      </c>
      <c r="N3061" s="4"/>
      <c r="AG3061" t="s">
        <v>2771</v>
      </c>
      <c r="AM3061" s="1"/>
    </row>
    <row r="3062" spans="1:39" x14ac:dyDescent="0.35">
      <c r="A3062">
        <v>3058</v>
      </c>
      <c r="B3062">
        <v>3059</v>
      </c>
      <c r="F3062" s="64"/>
      <c r="G3062" s="64"/>
      <c r="H3062" s="64" t="s">
        <v>26</v>
      </c>
      <c r="I3062" s="64"/>
      <c r="J3062" s="32" t="str">
        <f>IF(AND(E3062=1,OR(E3061=0,E3061="")),MAX(#REF!)+1,IF(AND(E3062=1,E3061=1),J3061,""))</f>
        <v/>
      </c>
      <c r="K3062" s="32" t="str">
        <f t="shared" si="182"/>
        <v/>
      </c>
      <c r="L3062" s="32" t="str">
        <f t="shared" si="180"/>
        <v/>
      </c>
      <c r="M3062" s="32" t="str">
        <f t="shared" si="181"/>
        <v/>
      </c>
      <c r="N3062" s="4"/>
      <c r="AG3062" t="s">
        <v>2772</v>
      </c>
      <c r="AM3062" s="1"/>
    </row>
    <row r="3063" spans="1:39" x14ac:dyDescent="0.35">
      <c r="A3063">
        <v>3059</v>
      </c>
      <c r="B3063">
        <v>3060</v>
      </c>
      <c r="F3063" s="64"/>
      <c r="G3063" s="64"/>
      <c r="H3063" s="64" t="s">
        <v>26</v>
      </c>
      <c r="I3063" s="64"/>
      <c r="J3063" s="32" t="str">
        <f>IF(AND(E3063=1,OR(E3062=0,E3062="")),MAX(#REF!)+1,IF(AND(E3063=1,E3062=1),J3062,""))</f>
        <v/>
      </c>
      <c r="K3063" s="32" t="str">
        <f t="shared" si="182"/>
        <v/>
      </c>
      <c r="L3063" s="32" t="str">
        <f t="shared" si="180"/>
        <v/>
      </c>
      <c r="M3063" s="32" t="str">
        <f t="shared" si="181"/>
        <v/>
      </c>
      <c r="N3063" s="4"/>
      <c r="AG3063" t="s">
        <v>2773</v>
      </c>
      <c r="AM3063" s="1"/>
    </row>
    <row r="3064" spans="1:39" x14ac:dyDescent="0.35">
      <c r="A3064">
        <v>3060</v>
      </c>
      <c r="B3064">
        <v>3061</v>
      </c>
      <c r="F3064" s="64"/>
      <c r="G3064" s="64"/>
      <c r="H3064" s="64" t="s">
        <v>26</v>
      </c>
      <c r="I3064" s="64"/>
      <c r="J3064" s="32" t="str">
        <f>IF(AND(E3064=1,OR(E3063=0,E3063="")),MAX(#REF!)+1,IF(AND(E3064=1,E3063=1),J3063,""))</f>
        <v/>
      </c>
      <c r="K3064" s="32" t="str">
        <f t="shared" si="182"/>
        <v/>
      </c>
      <c r="L3064" s="32" t="str">
        <f t="shared" si="180"/>
        <v/>
      </c>
      <c r="M3064" s="32" t="str">
        <f t="shared" si="181"/>
        <v/>
      </c>
      <c r="N3064" s="4"/>
      <c r="AG3064" t="s">
        <v>2774</v>
      </c>
      <c r="AM3064" s="1"/>
    </row>
    <row r="3065" spans="1:39" x14ac:dyDescent="0.35">
      <c r="A3065">
        <v>3061</v>
      </c>
      <c r="B3065">
        <v>3062</v>
      </c>
      <c r="F3065" s="64"/>
      <c r="G3065" s="64"/>
      <c r="H3065" s="64" t="s">
        <v>26</v>
      </c>
      <c r="I3065" s="64"/>
      <c r="J3065" s="32" t="str">
        <f>IF(AND(E3065=1,OR(E3064=0,E3064="")),MAX(#REF!)+1,IF(AND(E3065=1,E3064=1),J3064,""))</f>
        <v/>
      </c>
      <c r="K3065" s="32" t="str">
        <f t="shared" si="182"/>
        <v/>
      </c>
      <c r="L3065" s="32" t="str">
        <f t="shared" si="180"/>
        <v/>
      </c>
      <c r="M3065" s="32" t="str">
        <f t="shared" si="181"/>
        <v/>
      </c>
      <c r="N3065" s="4"/>
      <c r="AG3065" t="s">
        <v>2775</v>
      </c>
      <c r="AM3065" s="1"/>
    </row>
    <row r="3066" spans="1:39" x14ac:dyDescent="0.35">
      <c r="A3066">
        <v>3062</v>
      </c>
      <c r="B3066">
        <v>3063</v>
      </c>
      <c r="F3066" s="64"/>
      <c r="G3066" s="64"/>
      <c r="H3066" s="64" t="s">
        <v>26</v>
      </c>
      <c r="I3066" s="64"/>
      <c r="J3066" s="32" t="str">
        <f>IF(AND(E3066=1,OR(E3065=0,E3065="")),MAX(#REF!)+1,IF(AND(E3066=1,E3065=1),J3065,""))</f>
        <v/>
      </c>
      <c r="K3066" s="32" t="str">
        <f t="shared" si="182"/>
        <v/>
      </c>
      <c r="L3066" s="32" t="str">
        <f t="shared" si="180"/>
        <v/>
      </c>
      <c r="M3066" s="32" t="str">
        <f t="shared" si="181"/>
        <v/>
      </c>
      <c r="N3066" s="4"/>
      <c r="AG3066" t="s">
        <v>2776</v>
      </c>
      <c r="AM3066" s="1"/>
    </row>
    <row r="3067" spans="1:39" x14ac:dyDescent="0.35">
      <c r="A3067">
        <v>3063</v>
      </c>
      <c r="B3067">
        <v>3064</v>
      </c>
      <c r="F3067" s="64"/>
      <c r="G3067" s="64"/>
      <c r="H3067" s="64" t="s">
        <v>26</v>
      </c>
      <c r="I3067" s="64"/>
      <c r="J3067" s="32" t="str">
        <f>IF(AND(E3067=1,OR(E3066=0,E3066="")),MAX(#REF!)+1,IF(AND(E3067=1,E3066=1),J3066,""))</f>
        <v/>
      </c>
      <c r="K3067" s="32" t="str">
        <f t="shared" si="182"/>
        <v/>
      </c>
      <c r="L3067" s="32" t="str">
        <f t="shared" si="180"/>
        <v/>
      </c>
      <c r="M3067" s="32" t="str">
        <f t="shared" si="181"/>
        <v/>
      </c>
      <c r="N3067" s="4"/>
      <c r="AG3067" t="s">
        <v>2777</v>
      </c>
      <c r="AM3067" s="1"/>
    </row>
    <row r="3068" spans="1:39" x14ac:dyDescent="0.35">
      <c r="A3068">
        <v>3064</v>
      </c>
      <c r="B3068">
        <v>3065</v>
      </c>
      <c r="F3068" s="64"/>
      <c r="G3068" s="64"/>
      <c r="H3068" s="64" t="s">
        <v>26</v>
      </c>
      <c r="I3068" s="64"/>
      <c r="J3068" s="32" t="str">
        <f>IF(AND(E3068=1,OR(E3067=0,E3067="")),MAX(#REF!)+1,IF(AND(E3068=1,E3067=1),J3067,""))</f>
        <v/>
      </c>
      <c r="K3068" s="32" t="str">
        <f t="shared" si="182"/>
        <v/>
      </c>
      <c r="L3068" s="32" t="str">
        <f t="shared" si="180"/>
        <v/>
      </c>
      <c r="M3068" s="32" t="str">
        <f t="shared" si="181"/>
        <v/>
      </c>
      <c r="N3068" s="4"/>
      <c r="AG3068" t="s">
        <v>2778</v>
      </c>
      <c r="AM3068" s="1"/>
    </row>
    <row r="3069" spans="1:39" x14ac:dyDescent="0.35">
      <c r="A3069">
        <v>3065</v>
      </c>
      <c r="B3069">
        <v>3066</v>
      </c>
      <c r="F3069" s="64"/>
      <c r="G3069" s="64"/>
      <c r="H3069" s="64" t="s">
        <v>26</v>
      </c>
      <c r="I3069" s="64"/>
      <c r="J3069" s="32" t="str">
        <f>IF(AND(E3069=1,OR(E3068=0,E3068="")),MAX(#REF!)+1,IF(AND(E3069=1,E3068=1),J3068,""))</f>
        <v/>
      </c>
      <c r="K3069" s="32" t="str">
        <f t="shared" si="182"/>
        <v/>
      </c>
      <c r="L3069" s="32" t="str">
        <f t="shared" si="180"/>
        <v/>
      </c>
      <c r="M3069" s="32" t="str">
        <f t="shared" si="181"/>
        <v/>
      </c>
      <c r="N3069" s="4"/>
      <c r="AG3069" t="s">
        <v>2779</v>
      </c>
      <c r="AM3069" s="1"/>
    </row>
    <row r="3070" spans="1:39" x14ac:dyDescent="0.35">
      <c r="A3070">
        <v>3066</v>
      </c>
      <c r="B3070">
        <v>3067</v>
      </c>
      <c r="F3070" s="64"/>
      <c r="G3070" s="64"/>
      <c r="H3070" s="64" t="s">
        <v>26</v>
      </c>
      <c r="I3070" s="64"/>
      <c r="J3070" s="32" t="str">
        <f>IF(AND(E3070=1,OR(E3069=0,E3069="")),MAX(#REF!)+1,IF(AND(E3070=1,E3069=1),J3069,""))</f>
        <v/>
      </c>
      <c r="K3070" s="32" t="str">
        <f t="shared" si="182"/>
        <v/>
      </c>
      <c r="L3070" s="32" t="str">
        <f t="shared" si="180"/>
        <v/>
      </c>
      <c r="M3070" s="32" t="str">
        <f t="shared" si="181"/>
        <v/>
      </c>
      <c r="N3070" s="4"/>
      <c r="AG3070" t="s">
        <v>2780</v>
      </c>
      <c r="AM3070" s="1"/>
    </row>
    <row r="3071" spans="1:39" x14ac:dyDescent="0.35">
      <c r="A3071">
        <v>3067</v>
      </c>
      <c r="B3071">
        <v>3068</v>
      </c>
      <c r="F3071" s="64"/>
      <c r="G3071" s="64"/>
      <c r="H3071" s="64" t="s">
        <v>26</v>
      </c>
      <c r="I3071" s="64"/>
      <c r="J3071" s="32" t="str">
        <f>IF(AND(E3071=1,OR(E3070=0,E3070="")),MAX(#REF!)+1,IF(AND(E3071=1,E3070=1),J3070,""))</f>
        <v/>
      </c>
      <c r="K3071" s="32" t="str">
        <f t="shared" si="182"/>
        <v/>
      </c>
      <c r="L3071" s="32" t="str">
        <f t="shared" si="180"/>
        <v/>
      </c>
      <c r="M3071" s="32" t="str">
        <f t="shared" si="181"/>
        <v/>
      </c>
      <c r="N3071" s="4"/>
      <c r="AG3071" t="s">
        <v>2781</v>
      </c>
      <c r="AM3071" s="1"/>
    </row>
    <row r="3072" spans="1:39" x14ac:dyDescent="0.35">
      <c r="A3072">
        <v>3068</v>
      </c>
      <c r="B3072">
        <v>3069</v>
      </c>
      <c r="F3072" s="64"/>
      <c r="G3072" s="64"/>
      <c r="H3072" s="64" t="s">
        <v>26</v>
      </c>
      <c r="I3072" s="64"/>
      <c r="J3072" s="32" t="str">
        <f>IF(AND(E3072=1,OR(E3071=0,E3071="")),MAX(#REF!)+1,IF(AND(E3072=1,E3071=1),J3071,""))</f>
        <v/>
      </c>
      <c r="K3072" s="32" t="str">
        <f t="shared" si="182"/>
        <v/>
      </c>
      <c r="L3072" s="32" t="str">
        <f t="shared" si="180"/>
        <v/>
      </c>
      <c r="M3072" s="32" t="str">
        <f t="shared" si="181"/>
        <v/>
      </c>
      <c r="N3072" s="4"/>
      <c r="AG3072" t="s">
        <v>2782</v>
      </c>
      <c r="AM3072" s="1"/>
    </row>
    <row r="3073" spans="1:39" x14ac:dyDescent="0.35">
      <c r="A3073">
        <v>3069</v>
      </c>
      <c r="B3073">
        <v>3070</v>
      </c>
      <c r="F3073" s="64"/>
      <c r="G3073" s="64"/>
      <c r="H3073" s="64" t="s">
        <v>26</v>
      </c>
      <c r="I3073" s="64"/>
      <c r="J3073" s="32" t="str">
        <f>IF(AND(E3073=1,OR(E3072=0,E3072="")),MAX(#REF!)+1,IF(AND(E3073=1,E3072=1),J3072,""))</f>
        <v/>
      </c>
      <c r="K3073" s="32" t="str">
        <f t="shared" si="182"/>
        <v/>
      </c>
      <c r="L3073" s="32" t="str">
        <f t="shared" si="180"/>
        <v/>
      </c>
      <c r="M3073" s="32" t="str">
        <f t="shared" si="181"/>
        <v/>
      </c>
      <c r="N3073" s="4"/>
      <c r="AG3073" t="s">
        <v>2783</v>
      </c>
      <c r="AM3073" s="1"/>
    </row>
    <row r="3074" spans="1:39" x14ac:dyDescent="0.35">
      <c r="A3074">
        <v>3070</v>
      </c>
      <c r="B3074">
        <v>3071</v>
      </c>
      <c r="F3074" s="64"/>
      <c r="G3074" s="64"/>
      <c r="H3074" s="64" t="s">
        <v>26</v>
      </c>
      <c r="I3074" s="64"/>
      <c r="J3074" s="32" t="str">
        <f>IF(AND(E3074=1,OR(E3073=0,E3073="")),MAX(#REF!)+1,IF(AND(E3074=1,E3073=1),J3073,""))</f>
        <v/>
      </c>
      <c r="K3074" s="32" t="str">
        <f t="shared" si="182"/>
        <v/>
      </c>
      <c r="L3074" s="32" t="str">
        <f t="shared" si="180"/>
        <v/>
      </c>
      <c r="M3074" s="32" t="str">
        <f t="shared" si="181"/>
        <v/>
      </c>
      <c r="N3074" s="4"/>
      <c r="AG3074" t="s">
        <v>2784</v>
      </c>
      <c r="AM3074" s="1"/>
    </row>
    <row r="3075" spans="1:39" x14ac:dyDescent="0.35">
      <c r="A3075">
        <v>3071</v>
      </c>
      <c r="B3075">
        <v>3072</v>
      </c>
      <c r="F3075" s="64"/>
      <c r="G3075" s="64"/>
      <c r="H3075" s="64" t="s">
        <v>26</v>
      </c>
      <c r="I3075" s="64"/>
      <c r="J3075" s="32" t="str">
        <f>IF(AND(E3075=1,OR(E3074=0,E3074="")),MAX(#REF!)+1,IF(AND(E3075=1,E3074=1),J3074,""))</f>
        <v/>
      </c>
      <c r="K3075" s="32" t="str">
        <f t="shared" si="182"/>
        <v/>
      </c>
      <c r="L3075" s="32" t="str">
        <f t="shared" si="180"/>
        <v/>
      </c>
      <c r="M3075" s="32" t="str">
        <f t="shared" si="181"/>
        <v/>
      </c>
      <c r="N3075" s="4"/>
      <c r="AG3075" t="s">
        <v>2785</v>
      </c>
      <c r="AM3075" s="1"/>
    </row>
    <row r="3076" spans="1:39" x14ac:dyDescent="0.35">
      <c r="A3076">
        <v>3072</v>
      </c>
      <c r="B3076">
        <v>3073</v>
      </c>
      <c r="F3076" s="64"/>
      <c r="G3076" s="64"/>
      <c r="H3076" s="64" t="s">
        <v>26</v>
      </c>
      <c r="I3076" s="64"/>
      <c r="J3076" s="32" t="str">
        <f>IF(AND(E3076=1,OR(E3075=0,E3075="")),MAX(#REF!)+1,IF(AND(E3076=1,E3075=1),J3075,""))</f>
        <v/>
      </c>
      <c r="K3076" s="32" t="str">
        <f t="shared" si="182"/>
        <v/>
      </c>
      <c r="L3076" s="32" t="str">
        <f t="shared" ref="L3076:L3139" si="183">IF(K3076="","",IF(K3076&gt;=100,"HV",""))</f>
        <v/>
      </c>
      <c r="M3076" s="32" t="str">
        <f t="shared" ref="M3076:M3139" si="184">IF(K3076&lt;&gt;"",K3076^2,"")</f>
        <v/>
      </c>
      <c r="N3076" s="4"/>
      <c r="AG3076" t="s">
        <v>2786</v>
      </c>
      <c r="AM3076" s="1"/>
    </row>
    <row r="3077" spans="1:39" x14ac:dyDescent="0.35">
      <c r="A3077">
        <v>3073</v>
      </c>
      <c r="B3077">
        <v>3074</v>
      </c>
      <c r="F3077" s="64"/>
      <c r="G3077" s="64"/>
      <c r="H3077" s="64" t="s">
        <v>26</v>
      </c>
      <c r="I3077" s="64"/>
      <c r="J3077" s="32" t="str">
        <f>IF(AND(E3077=1,OR(E3076=0,E3076="")),MAX(#REF!)+1,IF(AND(E3077=1,E3076=1),J3076,""))</f>
        <v/>
      </c>
      <c r="K3077" s="32" t="str">
        <f t="shared" si="182"/>
        <v/>
      </c>
      <c r="L3077" s="32" t="str">
        <f t="shared" si="183"/>
        <v/>
      </c>
      <c r="M3077" s="32" t="str">
        <f t="shared" si="184"/>
        <v/>
      </c>
      <c r="N3077" s="4"/>
      <c r="AG3077" t="s">
        <v>2787</v>
      </c>
      <c r="AM3077" s="1"/>
    </row>
    <row r="3078" spans="1:39" x14ac:dyDescent="0.35">
      <c r="A3078">
        <v>3074</v>
      </c>
      <c r="B3078">
        <v>3075</v>
      </c>
      <c r="F3078" s="64"/>
      <c r="G3078" s="64"/>
      <c r="H3078" s="64" t="s">
        <v>26</v>
      </c>
      <c r="I3078" s="64"/>
      <c r="J3078" s="32" t="str">
        <f>IF(AND(E3078=1,OR(E3077=0,E3077="")),MAX(#REF!)+1,IF(AND(E3078=1,E3077=1),J3077,""))</f>
        <v/>
      </c>
      <c r="K3078" s="32" t="str">
        <f t="shared" si="182"/>
        <v/>
      </c>
      <c r="L3078" s="32" t="str">
        <f t="shared" si="183"/>
        <v/>
      </c>
      <c r="M3078" s="32" t="str">
        <f t="shared" si="184"/>
        <v/>
      </c>
      <c r="N3078" s="4"/>
      <c r="AG3078" t="s">
        <v>2788</v>
      </c>
      <c r="AM3078" s="1"/>
    </row>
    <row r="3079" spans="1:39" x14ac:dyDescent="0.35">
      <c r="A3079">
        <v>3075</v>
      </c>
      <c r="B3079">
        <v>3076</v>
      </c>
      <c r="F3079" s="64"/>
      <c r="G3079" s="64"/>
      <c r="H3079" s="64" t="s">
        <v>26</v>
      </c>
      <c r="I3079" s="64"/>
      <c r="J3079" s="32" t="str">
        <f>IF(AND(E3079=1,OR(E3078=0,E3078="")),MAX(#REF!)+1,IF(AND(E3079=1,E3078=1),J3078,""))</f>
        <v/>
      </c>
      <c r="K3079" s="32" t="str">
        <f t="shared" si="182"/>
        <v/>
      </c>
      <c r="L3079" s="32" t="str">
        <f t="shared" si="183"/>
        <v/>
      </c>
      <c r="M3079" s="32" t="str">
        <f t="shared" si="184"/>
        <v/>
      </c>
      <c r="N3079" s="4"/>
      <c r="AG3079" t="s">
        <v>2789</v>
      </c>
      <c r="AM3079" s="1"/>
    </row>
    <row r="3080" spans="1:39" x14ac:dyDescent="0.35">
      <c r="A3080">
        <v>3076</v>
      </c>
      <c r="B3080">
        <v>3077</v>
      </c>
      <c r="F3080" s="64"/>
      <c r="G3080" s="64"/>
      <c r="H3080" s="64" t="s">
        <v>26</v>
      </c>
      <c r="I3080" s="64"/>
      <c r="J3080" s="32" t="str">
        <f>IF(AND(E3080=1,OR(E3079=0,E3079="")),MAX(#REF!)+1,IF(AND(E3080=1,E3079=1),J3079,""))</f>
        <v/>
      </c>
      <c r="K3080" s="32" t="str">
        <f t="shared" si="182"/>
        <v/>
      </c>
      <c r="L3080" s="32" t="str">
        <f t="shared" si="183"/>
        <v/>
      </c>
      <c r="M3080" s="32" t="str">
        <f t="shared" si="184"/>
        <v/>
      </c>
      <c r="N3080" s="4"/>
      <c r="AG3080" t="s">
        <v>2790</v>
      </c>
      <c r="AM3080" s="1"/>
    </row>
    <row r="3081" spans="1:39" x14ac:dyDescent="0.35">
      <c r="A3081">
        <v>3077</v>
      </c>
      <c r="B3081">
        <v>3078</v>
      </c>
      <c r="F3081" s="64"/>
      <c r="G3081" s="64"/>
      <c r="H3081" s="64" t="s">
        <v>26</v>
      </c>
      <c r="I3081" s="64"/>
      <c r="J3081" s="32" t="str">
        <f>IF(AND(E3081=1,OR(E3080=0,E3080="")),MAX(#REF!)+1,IF(AND(E3081=1,E3080=1),J3080,""))</f>
        <v/>
      </c>
      <c r="K3081" s="32" t="str">
        <f t="shared" si="182"/>
        <v/>
      </c>
      <c r="L3081" s="32" t="str">
        <f t="shared" si="183"/>
        <v/>
      </c>
      <c r="M3081" s="32" t="str">
        <f t="shared" si="184"/>
        <v/>
      </c>
      <c r="N3081" s="4"/>
      <c r="AG3081" t="s">
        <v>2791</v>
      </c>
      <c r="AM3081" s="1"/>
    </row>
    <row r="3082" spans="1:39" x14ac:dyDescent="0.35">
      <c r="A3082">
        <v>3078</v>
      </c>
      <c r="B3082">
        <v>3079</v>
      </c>
      <c r="F3082" s="64"/>
      <c r="G3082" s="64"/>
      <c r="H3082" s="64" t="s">
        <v>26</v>
      </c>
      <c r="I3082" s="64"/>
      <c r="J3082" s="32" t="str">
        <f>IF(AND(E3082=1,OR(E3081=0,E3081="")),MAX(#REF!)+1,IF(AND(E3082=1,E3081=1),J3081,""))</f>
        <v/>
      </c>
      <c r="K3082" s="32" t="str">
        <f t="shared" si="182"/>
        <v/>
      </c>
      <c r="L3082" s="32" t="str">
        <f t="shared" si="183"/>
        <v/>
      </c>
      <c r="M3082" s="32" t="str">
        <f t="shared" si="184"/>
        <v/>
      </c>
      <c r="N3082" s="4"/>
      <c r="AG3082" t="s">
        <v>2792</v>
      </c>
      <c r="AM3082" s="1"/>
    </row>
    <row r="3083" spans="1:39" x14ac:dyDescent="0.35">
      <c r="A3083">
        <v>3079</v>
      </c>
      <c r="B3083">
        <v>3080</v>
      </c>
      <c r="F3083" s="64"/>
      <c r="G3083" s="64"/>
      <c r="H3083" s="64" t="s">
        <v>26</v>
      </c>
      <c r="I3083" s="64"/>
      <c r="J3083" s="32" t="str">
        <f>IF(AND(E3083=1,OR(E3082=0,E3082="")),MAX(#REF!)+1,IF(AND(E3083=1,E3082=1),J3082,""))</f>
        <v/>
      </c>
      <c r="K3083" s="32" t="str">
        <f t="shared" si="182"/>
        <v/>
      </c>
      <c r="L3083" s="32" t="str">
        <f t="shared" si="183"/>
        <v/>
      </c>
      <c r="M3083" s="32" t="str">
        <f t="shared" si="184"/>
        <v/>
      </c>
      <c r="N3083" s="4"/>
      <c r="AG3083" t="s">
        <v>2793</v>
      </c>
      <c r="AM3083" s="1"/>
    </row>
    <row r="3084" spans="1:39" x14ac:dyDescent="0.35">
      <c r="A3084">
        <v>3080</v>
      </c>
      <c r="B3084">
        <v>3081</v>
      </c>
      <c r="F3084" s="64"/>
      <c r="G3084" s="64"/>
      <c r="H3084" s="64" t="s">
        <v>26</v>
      </c>
      <c r="I3084" s="64"/>
      <c r="J3084" s="32" t="str">
        <f>IF(AND(E3084=1,OR(E3083=0,E3083="")),MAX(#REF!)+1,IF(AND(E3084=1,E3083=1),J3083,""))</f>
        <v/>
      </c>
      <c r="K3084" s="32" t="str">
        <f t="shared" si="182"/>
        <v/>
      </c>
      <c r="L3084" s="32" t="str">
        <f t="shared" si="183"/>
        <v/>
      </c>
      <c r="M3084" s="32" t="str">
        <f t="shared" si="184"/>
        <v/>
      </c>
      <c r="N3084" s="4"/>
      <c r="AG3084" t="s">
        <v>2794</v>
      </c>
      <c r="AM3084" s="1"/>
    </row>
    <row r="3085" spans="1:39" x14ac:dyDescent="0.35">
      <c r="A3085">
        <v>3081</v>
      </c>
      <c r="B3085">
        <v>3082</v>
      </c>
      <c r="F3085" s="64"/>
      <c r="G3085" s="64"/>
      <c r="H3085" s="64" t="s">
        <v>26</v>
      </c>
      <c r="I3085" s="64"/>
      <c r="J3085" s="32" t="str">
        <f>IF(AND(E3085=1,OR(E3084=0,E3084="")),MAX(#REF!)+1,IF(AND(E3085=1,E3084=1),J3084,""))</f>
        <v/>
      </c>
      <c r="K3085" s="32" t="str">
        <f t="shared" si="182"/>
        <v/>
      </c>
      <c r="L3085" s="32" t="str">
        <f t="shared" si="183"/>
        <v/>
      </c>
      <c r="M3085" s="32" t="str">
        <f t="shared" si="184"/>
        <v/>
      </c>
      <c r="N3085" s="4"/>
      <c r="AG3085" t="s">
        <v>2795</v>
      </c>
      <c r="AM3085" s="1"/>
    </row>
    <row r="3086" spans="1:39" x14ac:dyDescent="0.35">
      <c r="A3086">
        <v>3082</v>
      </c>
      <c r="B3086">
        <v>3083</v>
      </c>
      <c r="F3086" s="64"/>
      <c r="G3086" s="64"/>
      <c r="H3086" s="64" t="s">
        <v>26</v>
      </c>
      <c r="I3086" s="64"/>
      <c r="J3086" s="32" t="str">
        <f>IF(AND(E3086=1,OR(E3085=0,E3085="")),MAX(#REF!)+1,IF(AND(E3086=1,E3085=1),J3085,""))</f>
        <v/>
      </c>
      <c r="K3086" s="32" t="str">
        <f t="shared" si="182"/>
        <v/>
      </c>
      <c r="L3086" s="32" t="str">
        <f t="shared" si="183"/>
        <v/>
      </c>
      <c r="M3086" s="32" t="str">
        <f t="shared" si="184"/>
        <v/>
      </c>
      <c r="N3086" s="4"/>
      <c r="AG3086" t="s">
        <v>2796</v>
      </c>
      <c r="AM3086" s="1"/>
    </row>
    <row r="3087" spans="1:39" x14ac:dyDescent="0.35">
      <c r="A3087">
        <v>3083</v>
      </c>
      <c r="B3087">
        <v>3084</v>
      </c>
      <c r="F3087" s="64"/>
      <c r="G3087" s="64"/>
      <c r="H3087" s="64" t="s">
        <v>26</v>
      </c>
      <c r="I3087" s="64"/>
      <c r="J3087" s="32" t="str">
        <f>IF(AND(E3087=1,OR(E3086=0,E3086="")),MAX(#REF!)+1,IF(AND(E3087=1,E3086=1),J3086,""))</f>
        <v/>
      </c>
      <c r="K3087" s="32" t="str">
        <f t="shared" si="182"/>
        <v/>
      </c>
      <c r="L3087" s="32" t="str">
        <f t="shared" si="183"/>
        <v/>
      </c>
      <c r="M3087" s="32" t="str">
        <f t="shared" si="184"/>
        <v/>
      </c>
      <c r="N3087" s="4"/>
      <c r="AG3087" t="s">
        <v>2797</v>
      </c>
      <c r="AM3087" s="1"/>
    </row>
    <row r="3088" spans="1:39" x14ac:dyDescent="0.35">
      <c r="A3088">
        <v>3084</v>
      </c>
      <c r="B3088">
        <v>3085</v>
      </c>
      <c r="F3088" s="64"/>
      <c r="G3088" s="64"/>
      <c r="H3088" s="64" t="s">
        <v>26</v>
      </c>
      <c r="I3088" s="64"/>
      <c r="J3088" s="32" t="str">
        <f>IF(AND(E3088=1,OR(E3087=0,E3087="")),MAX(#REF!)+1,IF(AND(E3088=1,E3087=1),J3087,""))</f>
        <v/>
      </c>
      <c r="K3088" s="32" t="str">
        <f t="shared" si="182"/>
        <v/>
      </c>
      <c r="L3088" s="32" t="str">
        <f t="shared" si="183"/>
        <v/>
      </c>
      <c r="M3088" s="32" t="str">
        <f t="shared" si="184"/>
        <v/>
      </c>
      <c r="N3088" s="4"/>
      <c r="AG3088" t="s">
        <v>2798</v>
      </c>
      <c r="AM3088" s="1"/>
    </row>
    <row r="3089" spans="1:39" x14ac:dyDescent="0.35">
      <c r="A3089">
        <v>3085</v>
      </c>
      <c r="B3089">
        <v>3086</v>
      </c>
      <c r="F3089" s="64"/>
      <c r="G3089" s="64"/>
      <c r="H3089" s="64" t="s">
        <v>26</v>
      </c>
      <c r="I3089" s="64"/>
      <c r="J3089" s="32" t="str">
        <f>IF(AND(E3089=1,OR(E3088=0,E3088="")),MAX(#REF!)+1,IF(AND(E3089=1,E3088=1),J3088,""))</f>
        <v/>
      </c>
      <c r="K3089" s="32" t="str">
        <f t="shared" si="182"/>
        <v/>
      </c>
      <c r="L3089" s="32" t="str">
        <f t="shared" si="183"/>
        <v/>
      </c>
      <c r="M3089" s="32" t="str">
        <f t="shared" si="184"/>
        <v/>
      </c>
      <c r="N3089" s="4"/>
      <c r="AG3089" t="s">
        <v>2799</v>
      </c>
      <c r="AM3089" s="1"/>
    </row>
    <row r="3090" spans="1:39" x14ac:dyDescent="0.35">
      <c r="A3090">
        <v>3086</v>
      </c>
      <c r="B3090">
        <v>3087</v>
      </c>
      <c r="F3090" s="64"/>
      <c r="G3090" s="64"/>
      <c r="H3090" s="64" t="s">
        <v>26</v>
      </c>
      <c r="I3090" s="64"/>
      <c r="J3090" s="32" t="str">
        <f>IF(AND(E3090=1,OR(E3089=0,E3089="")),MAX(#REF!)+1,IF(AND(E3090=1,E3089=1),J3089,""))</f>
        <v/>
      </c>
      <c r="K3090" s="32" t="str">
        <f t="shared" si="182"/>
        <v/>
      </c>
      <c r="L3090" s="32" t="str">
        <f t="shared" si="183"/>
        <v/>
      </c>
      <c r="M3090" s="32" t="str">
        <f t="shared" si="184"/>
        <v/>
      </c>
      <c r="N3090" s="4"/>
      <c r="AG3090" t="s">
        <v>2800</v>
      </c>
      <c r="AM3090" s="1"/>
    </row>
    <row r="3091" spans="1:39" x14ac:dyDescent="0.35">
      <c r="A3091">
        <v>3087</v>
      </c>
      <c r="B3091">
        <v>3088</v>
      </c>
      <c r="F3091" s="64"/>
      <c r="G3091" s="64"/>
      <c r="H3091" s="64" t="s">
        <v>26</v>
      </c>
      <c r="I3091" s="64"/>
      <c r="J3091" s="32" t="str">
        <f>IF(AND(E3091=1,OR(E3090=0,E3090="")),MAX(#REF!)+1,IF(AND(E3091=1,E3090=1),J3090,""))</f>
        <v/>
      </c>
      <c r="K3091" s="32" t="str">
        <f t="shared" si="182"/>
        <v/>
      </c>
      <c r="L3091" s="32" t="str">
        <f t="shared" si="183"/>
        <v/>
      </c>
      <c r="M3091" s="32" t="str">
        <f t="shared" si="184"/>
        <v/>
      </c>
      <c r="N3091" s="4"/>
      <c r="AG3091" t="s">
        <v>2801</v>
      </c>
      <c r="AM3091" s="1"/>
    </row>
    <row r="3092" spans="1:39" x14ac:dyDescent="0.35">
      <c r="A3092">
        <v>3088</v>
      </c>
      <c r="B3092">
        <v>3089</v>
      </c>
      <c r="F3092" s="64"/>
      <c r="G3092" s="64"/>
      <c r="H3092" s="64" t="s">
        <v>26</v>
      </c>
      <c r="I3092" s="64"/>
      <c r="J3092" s="32" t="str">
        <f>IF(AND(E3092=1,OR(E3091=0,E3091="")),MAX(#REF!)+1,IF(AND(E3092=1,E3091=1),J3091,""))</f>
        <v/>
      </c>
      <c r="K3092" s="32" t="str">
        <f t="shared" si="182"/>
        <v/>
      </c>
      <c r="L3092" s="32" t="str">
        <f t="shared" si="183"/>
        <v/>
      </c>
      <c r="M3092" s="32" t="str">
        <f t="shared" si="184"/>
        <v/>
      </c>
      <c r="N3092" s="4"/>
      <c r="AG3092" t="s">
        <v>2802</v>
      </c>
      <c r="AM3092" s="1"/>
    </row>
    <row r="3093" spans="1:39" x14ac:dyDescent="0.35">
      <c r="A3093">
        <v>3089</v>
      </c>
      <c r="B3093">
        <v>3090</v>
      </c>
      <c r="F3093" s="64"/>
      <c r="G3093" s="64"/>
      <c r="H3093" s="64" t="s">
        <v>26</v>
      </c>
      <c r="I3093" s="64"/>
      <c r="J3093" s="32" t="str">
        <f>IF(AND(E3093=1,OR(E3092=0,E3092="")),MAX(#REF!)+1,IF(AND(E3093=1,E3092=1),J3092,""))</f>
        <v/>
      </c>
      <c r="K3093" s="32" t="str">
        <f t="shared" si="182"/>
        <v/>
      </c>
      <c r="L3093" s="32" t="str">
        <f t="shared" si="183"/>
        <v/>
      </c>
      <c r="M3093" s="32" t="str">
        <f t="shared" si="184"/>
        <v/>
      </c>
      <c r="N3093" s="4"/>
      <c r="AG3093" t="s">
        <v>2803</v>
      </c>
      <c r="AM3093" s="1"/>
    </row>
    <row r="3094" spans="1:39" x14ac:dyDescent="0.35">
      <c r="A3094">
        <v>3090</v>
      </c>
      <c r="B3094">
        <v>3091</v>
      </c>
      <c r="F3094" s="64"/>
      <c r="G3094" s="64"/>
      <c r="H3094" s="64" t="s">
        <v>26</v>
      </c>
      <c r="I3094" s="64"/>
      <c r="J3094" s="32" t="str">
        <f>IF(AND(E3094=1,OR(E3093=0,E3093="")),MAX(#REF!)+1,IF(AND(E3094=1,E3093=1),J3093,""))</f>
        <v/>
      </c>
      <c r="K3094" s="32" t="str">
        <f t="shared" si="182"/>
        <v/>
      </c>
      <c r="L3094" s="32" t="str">
        <f t="shared" si="183"/>
        <v/>
      </c>
      <c r="M3094" s="32" t="str">
        <f t="shared" si="184"/>
        <v/>
      </c>
      <c r="N3094" s="4"/>
      <c r="AG3094" t="s">
        <v>2804</v>
      </c>
      <c r="AM3094" s="1"/>
    </row>
    <row r="3095" spans="1:39" x14ac:dyDescent="0.35">
      <c r="A3095">
        <v>3091</v>
      </c>
      <c r="B3095">
        <v>3092</v>
      </c>
      <c r="F3095" s="64"/>
      <c r="G3095" s="64"/>
      <c r="H3095" s="64" t="s">
        <v>26</v>
      </c>
      <c r="I3095" s="64"/>
      <c r="J3095" s="32" t="str">
        <f>IF(AND(E3095=1,OR(E3094=0,E3094="")),MAX(#REF!)+1,IF(AND(E3095=1,E3094=1),J3094,""))</f>
        <v/>
      </c>
      <c r="K3095" s="32" t="str">
        <f t="shared" si="182"/>
        <v/>
      </c>
      <c r="L3095" s="32" t="str">
        <f t="shared" si="183"/>
        <v/>
      </c>
      <c r="M3095" s="32" t="str">
        <f t="shared" si="184"/>
        <v/>
      </c>
      <c r="N3095" s="4"/>
      <c r="AG3095" t="s">
        <v>2805</v>
      </c>
      <c r="AM3095" s="1"/>
    </row>
    <row r="3096" spans="1:39" x14ac:dyDescent="0.35">
      <c r="A3096">
        <v>3092</v>
      </c>
      <c r="B3096">
        <v>3093</v>
      </c>
      <c r="F3096" s="64"/>
      <c r="G3096" s="64"/>
      <c r="H3096" s="64" t="s">
        <v>26</v>
      </c>
      <c r="I3096" s="64"/>
      <c r="J3096" s="32" t="str">
        <f>IF(AND(E3096=1,OR(E3095=0,E3095="")),MAX(#REF!)+1,IF(AND(E3096=1,E3095=1),J3095,""))</f>
        <v/>
      </c>
      <c r="K3096" s="32" t="str">
        <f t="shared" si="182"/>
        <v/>
      </c>
      <c r="L3096" s="32" t="str">
        <f t="shared" si="183"/>
        <v/>
      </c>
      <c r="M3096" s="32" t="str">
        <f t="shared" si="184"/>
        <v/>
      </c>
      <c r="N3096" s="4"/>
      <c r="AG3096" t="s">
        <v>2806</v>
      </c>
      <c r="AM3096" s="1"/>
    </row>
    <row r="3097" spans="1:39" x14ac:dyDescent="0.35">
      <c r="A3097">
        <v>3093</v>
      </c>
      <c r="B3097">
        <v>3094</v>
      </c>
      <c r="F3097" s="64"/>
      <c r="G3097" s="64"/>
      <c r="H3097" s="64" t="s">
        <v>26</v>
      </c>
      <c r="I3097" s="64"/>
      <c r="J3097" s="32" t="str">
        <f>IF(AND(E3097=1,OR(E3096=0,E3096="")),MAX(#REF!)+1,IF(AND(E3097=1,E3096=1),J3096,""))</f>
        <v/>
      </c>
      <c r="K3097" s="32" t="str">
        <f t="shared" si="182"/>
        <v/>
      </c>
      <c r="L3097" s="32" t="str">
        <f t="shared" si="183"/>
        <v/>
      </c>
      <c r="M3097" s="32" t="str">
        <f t="shared" si="184"/>
        <v/>
      </c>
      <c r="N3097" s="4"/>
      <c r="AG3097" t="s">
        <v>2807</v>
      </c>
      <c r="AM3097" s="1"/>
    </row>
    <row r="3098" spans="1:39" x14ac:dyDescent="0.35">
      <c r="A3098">
        <v>3094</v>
      </c>
      <c r="B3098">
        <v>3095</v>
      </c>
      <c r="F3098" s="64"/>
      <c r="G3098" s="64"/>
      <c r="H3098" s="64" t="s">
        <v>26</v>
      </c>
      <c r="I3098" s="64"/>
      <c r="J3098" s="32" t="str">
        <f>IF(AND(E3098=1,OR(E3097=0,E3097="")),MAX(#REF!)+1,IF(AND(E3098=1,E3097=1),J3097,""))</f>
        <v/>
      </c>
      <c r="K3098" s="32" t="str">
        <f t="shared" si="182"/>
        <v/>
      </c>
      <c r="L3098" s="32" t="str">
        <f t="shared" si="183"/>
        <v/>
      </c>
      <c r="M3098" s="32" t="str">
        <f t="shared" si="184"/>
        <v/>
      </c>
      <c r="N3098" s="4"/>
      <c r="AG3098" t="s">
        <v>2808</v>
      </c>
      <c r="AM3098" s="1"/>
    </row>
    <row r="3099" spans="1:39" x14ac:dyDescent="0.35">
      <c r="A3099">
        <v>3095</v>
      </c>
      <c r="B3099">
        <v>3096</v>
      </c>
      <c r="F3099" s="64"/>
      <c r="G3099" s="64"/>
      <c r="H3099" s="64" t="s">
        <v>26</v>
      </c>
      <c r="I3099" s="64"/>
      <c r="J3099" s="32" t="str">
        <f>IF(AND(E3099=1,OR(E3098=0,E3098="")),MAX(#REF!)+1,IF(AND(E3099=1,E3098=1),J3098,""))</f>
        <v/>
      </c>
      <c r="K3099" s="32" t="str">
        <f t="shared" si="182"/>
        <v/>
      </c>
      <c r="L3099" s="32" t="str">
        <f t="shared" si="183"/>
        <v/>
      </c>
      <c r="M3099" s="32" t="str">
        <f t="shared" si="184"/>
        <v/>
      </c>
      <c r="N3099" s="4"/>
      <c r="AG3099" t="s">
        <v>2809</v>
      </c>
      <c r="AM3099" s="1"/>
    </row>
    <row r="3100" spans="1:39" x14ac:dyDescent="0.35">
      <c r="A3100">
        <v>3096</v>
      </c>
      <c r="B3100">
        <v>3097</v>
      </c>
      <c r="F3100" s="64"/>
      <c r="G3100" s="64"/>
      <c r="H3100" s="64" t="s">
        <v>26</v>
      </c>
      <c r="I3100" s="64"/>
      <c r="J3100" s="32" t="str">
        <f>IF(AND(E3100=1,OR(E3099=0,E3099="")),MAX(#REF!)+1,IF(AND(E3100=1,E3099=1),J3099,""))</f>
        <v/>
      </c>
      <c r="K3100" s="32" t="str">
        <f t="shared" si="182"/>
        <v/>
      </c>
      <c r="L3100" s="32" t="str">
        <f t="shared" si="183"/>
        <v/>
      </c>
      <c r="M3100" s="32" t="str">
        <f t="shared" si="184"/>
        <v/>
      </c>
      <c r="N3100" s="4"/>
      <c r="AG3100" t="s">
        <v>2810</v>
      </c>
      <c r="AM3100" s="1"/>
    </row>
    <row r="3101" spans="1:39" x14ac:dyDescent="0.35">
      <c r="A3101">
        <v>3097</v>
      </c>
      <c r="B3101">
        <v>3098</v>
      </c>
      <c r="F3101" s="64"/>
      <c r="G3101" s="64"/>
      <c r="H3101" s="64" t="s">
        <v>26</v>
      </c>
      <c r="I3101" s="64"/>
      <c r="J3101" s="32" t="str">
        <f>IF(AND(E3101=1,OR(E3100=0,E3100="")),MAX(#REF!)+1,IF(AND(E3101=1,E3100=1),J3100,""))</f>
        <v/>
      </c>
      <c r="K3101" s="32" t="str">
        <f t="shared" si="182"/>
        <v/>
      </c>
      <c r="L3101" s="32" t="str">
        <f t="shared" si="183"/>
        <v/>
      </c>
      <c r="M3101" s="32" t="str">
        <f t="shared" si="184"/>
        <v/>
      </c>
      <c r="N3101" s="4"/>
      <c r="AG3101" t="s">
        <v>2811</v>
      </c>
      <c r="AM3101" s="1"/>
    </row>
    <row r="3102" spans="1:39" x14ac:dyDescent="0.35">
      <c r="A3102">
        <v>3098</v>
      </c>
      <c r="B3102">
        <v>3099</v>
      </c>
      <c r="F3102" s="64"/>
      <c r="G3102" s="64"/>
      <c r="H3102" s="64" t="s">
        <v>26</v>
      </c>
      <c r="I3102" s="64"/>
      <c r="J3102" s="32" t="str">
        <f>IF(AND(E3102=1,OR(E3101=0,E3101="")),MAX(#REF!)+1,IF(AND(E3102=1,E3101=1),J3101,""))</f>
        <v/>
      </c>
      <c r="K3102" s="32" t="str">
        <f t="shared" si="182"/>
        <v/>
      </c>
      <c r="L3102" s="32" t="str">
        <f t="shared" si="183"/>
        <v/>
      </c>
      <c r="M3102" s="32" t="str">
        <f t="shared" si="184"/>
        <v/>
      </c>
      <c r="N3102" s="4"/>
      <c r="AG3102" t="s">
        <v>2812</v>
      </c>
      <c r="AM3102" s="1"/>
    </row>
    <row r="3103" spans="1:39" x14ac:dyDescent="0.35">
      <c r="A3103">
        <v>3099</v>
      </c>
      <c r="B3103">
        <v>3100</v>
      </c>
      <c r="F3103" s="64"/>
      <c r="G3103" s="64"/>
      <c r="H3103" s="64" t="s">
        <v>26</v>
      </c>
      <c r="I3103" s="64"/>
      <c r="J3103" s="32" t="str">
        <f>IF(AND(E3103=1,OR(E3102=0,E3102="")),MAX(#REF!)+1,IF(AND(E3103=1,E3102=1),J3102,""))</f>
        <v/>
      </c>
      <c r="K3103" s="32" t="str">
        <f t="shared" ref="K3103:K3166" si="185">IF(J3103="","",COUNTIF(J:J,J3103)*10)</f>
        <v/>
      </c>
      <c r="L3103" s="32" t="str">
        <f t="shared" si="183"/>
        <v/>
      </c>
      <c r="M3103" s="32" t="str">
        <f t="shared" si="184"/>
        <v/>
      </c>
      <c r="N3103" s="4"/>
      <c r="AG3103" t="s">
        <v>2813</v>
      </c>
      <c r="AM3103" s="1"/>
    </row>
    <row r="3104" spans="1:39" x14ac:dyDescent="0.35">
      <c r="A3104">
        <v>3100</v>
      </c>
      <c r="B3104">
        <v>3101</v>
      </c>
      <c r="F3104" s="64"/>
      <c r="G3104" s="64"/>
      <c r="H3104" s="64" t="s">
        <v>26</v>
      </c>
      <c r="I3104" s="64"/>
      <c r="J3104" s="32" t="str">
        <f>IF(AND(E3104=1,OR(E3103=0,E3103="")),MAX(#REF!)+1,IF(AND(E3104=1,E3103=1),J3103,""))</f>
        <v/>
      </c>
      <c r="K3104" s="32" t="str">
        <f t="shared" si="185"/>
        <v/>
      </c>
      <c r="L3104" s="32" t="str">
        <f t="shared" si="183"/>
        <v/>
      </c>
      <c r="M3104" s="32" t="str">
        <f t="shared" si="184"/>
        <v/>
      </c>
      <c r="N3104" s="4"/>
      <c r="AG3104" t="s">
        <v>2814</v>
      </c>
      <c r="AM3104" s="1"/>
    </row>
    <row r="3105" spans="1:39" x14ac:dyDescent="0.35">
      <c r="A3105">
        <v>3101</v>
      </c>
      <c r="B3105">
        <v>3102</v>
      </c>
      <c r="F3105" s="64"/>
      <c r="G3105" s="64"/>
      <c r="H3105" s="64" t="s">
        <v>26</v>
      </c>
      <c r="I3105" s="64"/>
      <c r="J3105" s="32" t="str">
        <f>IF(AND(E3105=1,OR(E3104=0,E3104="")),MAX(#REF!)+1,IF(AND(E3105=1,E3104=1),J3104,""))</f>
        <v/>
      </c>
      <c r="K3105" s="32" t="str">
        <f t="shared" si="185"/>
        <v/>
      </c>
      <c r="L3105" s="32" t="str">
        <f t="shared" si="183"/>
        <v/>
      </c>
      <c r="M3105" s="32" t="str">
        <f t="shared" si="184"/>
        <v/>
      </c>
      <c r="N3105" s="4"/>
      <c r="AG3105" t="s">
        <v>2815</v>
      </c>
      <c r="AM3105" s="1"/>
    </row>
    <row r="3106" spans="1:39" x14ac:dyDescent="0.35">
      <c r="A3106">
        <v>3102</v>
      </c>
      <c r="B3106">
        <v>3103</v>
      </c>
      <c r="F3106" s="64"/>
      <c r="G3106" s="64"/>
      <c r="H3106" s="64" t="s">
        <v>26</v>
      </c>
      <c r="I3106" s="64"/>
      <c r="J3106" s="32" t="str">
        <f>IF(AND(E3106=1,OR(E3105=0,E3105="")),MAX(#REF!)+1,IF(AND(E3106=1,E3105=1),J3105,""))</f>
        <v/>
      </c>
      <c r="K3106" s="32" t="str">
        <f t="shared" si="185"/>
        <v/>
      </c>
      <c r="L3106" s="32" t="str">
        <f t="shared" si="183"/>
        <v/>
      </c>
      <c r="M3106" s="32" t="str">
        <f t="shared" si="184"/>
        <v/>
      </c>
      <c r="N3106" s="4"/>
      <c r="AG3106" t="s">
        <v>2816</v>
      </c>
      <c r="AM3106" s="1"/>
    </row>
    <row r="3107" spans="1:39" x14ac:dyDescent="0.35">
      <c r="A3107">
        <v>3103</v>
      </c>
      <c r="B3107">
        <v>3104</v>
      </c>
      <c r="F3107" s="64"/>
      <c r="G3107" s="64"/>
      <c r="H3107" s="64" t="s">
        <v>26</v>
      </c>
      <c r="I3107" s="64"/>
      <c r="J3107" s="32" t="str">
        <f>IF(AND(E3107=1,OR(E3106=0,E3106="")),MAX(#REF!)+1,IF(AND(E3107=1,E3106=1),J3106,""))</f>
        <v/>
      </c>
      <c r="K3107" s="32" t="str">
        <f t="shared" si="185"/>
        <v/>
      </c>
      <c r="L3107" s="32" t="str">
        <f t="shared" si="183"/>
        <v/>
      </c>
      <c r="M3107" s="32" t="str">
        <f t="shared" si="184"/>
        <v/>
      </c>
      <c r="N3107" s="4"/>
      <c r="AG3107" t="s">
        <v>2817</v>
      </c>
      <c r="AM3107" s="1"/>
    </row>
    <row r="3108" spans="1:39" x14ac:dyDescent="0.35">
      <c r="A3108">
        <v>3104</v>
      </c>
      <c r="B3108">
        <v>3105</v>
      </c>
      <c r="F3108" s="64"/>
      <c r="G3108" s="64"/>
      <c r="H3108" s="64" t="s">
        <v>26</v>
      </c>
      <c r="I3108" s="64"/>
      <c r="J3108" s="32" t="str">
        <f>IF(AND(E3108=1,OR(E3107=0,E3107="")),MAX(#REF!)+1,IF(AND(E3108=1,E3107=1),J3107,""))</f>
        <v/>
      </c>
      <c r="K3108" s="32" t="str">
        <f t="shared" si="185"/>
        <v/>
      </c>
      <c r="L3108" s="32" t="str">
        <f t="shared" si="183"/>
        <v/>
      </c>
      <c r="M3108" s="32" t="str">
        <f t="shared" si="184"/>
        <v/>
      </c>
      <c r="N3108" s="4"/>
      <c r="AG3108" t="s">
        <v>2818</v>
      </c>
      <c r="AM3108" s="1"/>
    </row>
    <row r="3109" spans="1:39" x14ac:dyDescent="0.35">
      <c r="A3109">
        <v>3105</v>
      </c>
      <c r="B3109">
        <v>3106</v>
      </c>
      <c r="F3109" s="64"/>
      <c r="G3109" s="64"/>
      <c r="H3109" s="64" t="s">
        <v>26</v>
      </c>
      <c r="I3109" s="64"/>
      <c r="J3109" s="32" t="str">
        <f>IF(AND(E3109=1,OR(E3108=0,E3108="")),MAX(#REF!)+1,IF(AND(E3109=1,E3108=1),J3108,""))</f>
        <v/>
      </c>
      <c r="K3109" s="32" t="str">
        <f t="shared" si="185"/>
        <v/>
      </c>
      <c r="L3109" s="32" t="str">
        <f t="shared" si="183"/>
        <v/>
      </c>
      <c r="M3109" s="32" t="str">
        <f t="shared" si="184"/>
        <v/>
      </c>
      <c r="N3109" s="4"/>
      <c r="AG3109" t="s">
        <v>2819</v>
      </c>
      <c r="AM3109" s="1"/>
    </row>
    <row r="3110" spans="1:39" x14ac:dyDescent="0.35">
      <c r="A3110">
        <v>3106</v>
      </c>
      <c r="B3110">
        <v>3107</v>
      </c>
      <c r="F3110" s="64"/>
      <c r="G3110" s="64"/>
      <c r="H3110" s="64" t="s">
        <v>26</v>
      </c>
      <c r="I3110" s="64"/>
      <c r="J3110" s="32" t="str">
        <f>IF(AND(E3110=1,OR(E3109=0,E3109="")),MAX(#REF!)+1,IF(AND(E3110=1,E3109=1),J3109,""))</f>
        <v/>
      </c>
      <c r="K3110" s="32" t="str">
        <f t="shared" si="185"/>
        <v/>
      </c>
      <c r="L3110" s="32" t="str">
        <f t="shared" si="183"/>
        <v/>
      </c>
      <c r="M3110" s="32" t="str">
        <f t="shared" si="184"/>
        <v/>
      </c>
      <c r="N3110" s="4"/>
      <c r="AG3110" t="s">
        <v>2820</v>
      </c>
      <c r="AM3110" s="1"/>
    </row>
    <row r="3111" spans="1:39" x14ac:dyDescent="0.35">
      <c r="A3111">
        <v>3107</v>
      </c>
      <c r="B3111">
        <v>3108</v>
      </c>
      <c r="F3111" s="64"/>
      <c r="G3111" s="64"/>
      <c r="H3111" s="64" t="s">
        <v>26</v>
      </c>
      <c r="I3111" s="64"/>
      <c r="J3111" s="32" t="str">
        <f>IF(AND(E3111=1,OR(E3110=0,E3110="")),MAX(#REF!)+1,IF(AND(E3111=1,E3110=1),J3110,""))</f>
        <v/>
      </c>
      <c r="K3111" s="32" t="str">
        <f t="shared" si="185"/>
        <v/>
      </c>
      <c r="L3111" s="32" t="str">
        <f t="shared" si="183"/>
        <v/>
      </c>
      <c r="M3111" s="32" t="str">
        <f t="shared" si="184"/>
        <v/>
      </c>
      <c r="N3111" s="4"/>
      <c r="AG3111" t="s">
        <v>2821</v>
      </c>
      <c r="AM3111" s="1"/>
    </row>
    <row r="3112" spans="1:39" x14ac:dyDescent="0.35">
      <c r="A3112">
        <v>3108</v>
      </c>
      <c r="B3112">
        <v>3109</v>
      </c>
      <c r="F3112" s="64"/>
      <c r="G3112" s="64"/>
      <c r="H3112" s="64" t="s">
        <v>26</v>
      </c>
      <c r="I3112" s="64"/>
      <c r="J3112" s="32" t="str">
        <f>IF(AND(E3112=1,OR(E3111=0,E3111="")),MAX(#REF!)+1,IF(AND(E3112=1,E3111=1),J3111,""))</f>
        <v/>
      </c>
      <c r="K3112" s="32" t="str">
        <f t="shared" si="185"/>
        <v/>
      </c>
      <c r="L3112" s="32" t="str">
        <f t="shared" si="183"/>
        <v/>
      </c>
      <c r="M3112" s="32" t="str">
        <f t="shared" si="184"/>
        <v/>
      </c>
      <c r="N3112" s="4"/>
      <c r="AG3112" t="s">
        <v>2822</v>
      </c>
      <c r="AM3112" s="1"/>
    </row>
    <row r="3113" spans="1:39" x14ac:dyDescent="0.35">
      <c r="A3113">
        <v>3109</v>
      </c>
      <c r="B3113">
        <v>3110</v>
      </c>
      <c r="F3113" s="64"/>
      <c r="G3113" s="64"/>
      <c r="H3113" s="64" t="s">
        <v>26</v>
      </c>
      <c r="I3113" s="64"/>
      <c r="J3113" s="32" t="str">
        <f>IF(AND(E3113=1,OR(E3112=0,E3112="")),MAX(#REF!)+1,IF(AND(E3113=1,E3112=1),J3112,""))</f>
        <v/>
      </c>
      <c r="K3113" s="32" t="str">
        <f t="shared" si="185"/>
        <v/>
      </c>
      <c r="L3113" s="32" t="str">
        <f t="shared" si="183"/>
        <v/>
      </c>
      <c r="M3113" s="32" t="str">
        <f t="shared" si="184"/>
        <v/>
      </c>
      <c r="N3113" s="4"/>
      <c r="AG3113" t="s">
        <v>2823</v>
      </c>
      <c r="AM3113" s="1"/>
    </row>
    <row r="3114" spans="1:39" x14ac:dyDescent="0.35">
      <c r="A3114">
        <v>3110</v>
      </c>
      <c r="B3114">
        <v>3111</v>
      </c>
      <c r="F3114" s="64"/>
      <c r="G3114" s="64"/>
      <c r="H3114" s="64" t="s">
        <v>26</v>
      </c>
      <c r="I3114" s="64"/>
      <c r="J3114" s="32" t="str">
        <f>IF(AND(E3114=1,OR(E3113=0,E3113="")),MAX(#REF!)+1,IF(AND(E3114=1,E3113=1),J3113,""))</f>
        <v/>
      </c>
      <c r="K3114" s="32" t="str">
        <f t="shared" si="185"/>
        <v/>
      </c>
      <c r="L3114" s="32" t="str">
        <f t="shared" si="183"/>
        <v/>
      </c>
      <c r="M3114" s="32" t="str">
        <f t="shared" si="184"/>
        <v/>
      </c>
      <c r="N3114" s="4"/>
      <c r="AG3114" t="s">
        <v>2824</v>
      </c>
      <c r="AM3114" s="1"/>
    </row>
    <row r="3115" spans="1:39" x14ac:dyDescent="0.35">
      <c r="A3115">
        <v>3111</v>
      </c>
      <c r="B3115">
        <v>3112</v>
      </c>
      <c r="F3115" s="64"/>
      <c r="G3115" s="64"/>
      <c r="H3115" s="64" t="s">
        <v>26</v>
      </c>
      <c r="I3115" s="64"/>
      <c r="J3115" s="32" t="str">
        <f>IF(AND(E3115=1,OR(E3114=0,E3114="")),MAX(#REF!)+1,IF(AND(E3115=1,E3114=1),J3114,""))</f>
        <v/>
      </c>
      <c r="K3115" s="32" t="str">
        <f t="shared" si="185"/>
        <v/>
      </c>
      <c r="L3115" s="32" t="str">
        <f t="shared" si="183"/>
        <v/>
      </c>
      <c r="M3115" s="32" t="str">
        <f t="shared" si="184"/>
        <v/>
      </c>
      <c r="N3115" s="4"/>
      <c r="AG3115" t="s">
        <v>2825</v>
      </c>
      <c r="AM3115" s="1"/>
    </row>
    <row r="3116" spans="1:39" x14ac:dyDescent="0.35">
      <c r="A3116">
        <v>3112</v>
      </c>
      <c r="B3116">
        <v>3113</v>
      </c>
      <c r="F3116" s="64"/>
      <c r="G3116" s="64"/>
      <c r="H3116" s="64" t="s">
        <v>26</v>
      </c>
      <c r="I3116" s="64"/>
      <c r="J3116" s="32" t="str">
        <f>IF(AND(E3116=1,OR(E3115=0,E3115="")),MAX(#REF!)+1,IF(AND(E3116=1,E3115=1),J3115,""))</f>
        <v/>
      </c>
      <c r="K3116" s="32" t="str">
        <f t="shared" si="185"/>
        <v/>
      </c>
      <c r="L3116" s="32" t="str">
        <f t="shared" si="183"/>
        <v/>
      </c>
      <c r="M3116" s="32" t="str">
        <f t="shared" si="184"/>
        <v/>
      </c>
      <c r="N3116" s="4"/>
      <c r="AG3116" t="s">
        <v>2826</v>
      </c>
      <c r="AM3116" s="1" t="str">
        <f t="shared" ref="AM3116:AM3147" si="186">HYPERLINK("E:\CAFNEC_GBRF\2023\JohnstoneRiver\Frames_for_Analysis\" &amp; F3117, F3117)</f>
        <v>3114_C0008_1545.jpg</v>
      </c>
    </row>
    <row r="3117" spans="1:39" x14ac:dyDescent="0.35">
      <c r="A3117">
        <v>3113</v>
      </c>
      <c r="B3117">
        <v>3114</v>
      </c>
      <c r="F3117" s="64" t="s">
        <v>5667</v>
      </c>
      <c r="G3117" s="64"/>
      <c r="H3117" s="64"/>
      <c r="I3117" s="64">
        <v>0</v>
      </c>
      <c r="J3117" s="32" t="str">
        <f>IF(AND(E3117=1,OR(E3116=0,E3116="")),MAX(#REF!)+1,IF(AND(E3117=1,E3116=1),J3116,""))</f>
        <v/>
      </c>
      <c r="K3117" s="32" t="str">
        <f t="shared" si="185"/>
        <v/>
      </c>
      <c r="L3117" s="32" t="str">
        <f t="shared" si="183"/>
        <v/>
      </c>
      <c r="M3117" s="32" t="str">
        <f t="shared" si="184"/>
        <v/>
      </c>
      <c r="N3117" s="4">
        <v>0</v>
      </c>
      <c r="O3117" s="58">
        <v>0</v>
      </c>
      <c r="P3117" s="58">
        <v>0</v>
      </c>
      <c r="Q3117" s="58">
        <v>0</v>
      </c>
      <c r="R3117" s="58">
        <v>0</v>
      </c>
      <c r="S3117" s="58">
        <v>0</v>
      </c>
      <c r="T3117" s="58">
        <v>0</v>
      </c>
      <c r="U3117" s="58">
        <v>0</v>
      </c>
      <c r="V3117" s="58">
        <v>0</v>
      </c>
      <c r="AG3117" t="s">
        <v>2827</v>
      </c>
      <c r="AM3117" s="1" t="str">
        <f t="shared" si="186"/>
        <v>3115_C0008_1541.jpg</v>
      </c>
    </row>
    <row r="3118" spans="1:39" x14ac:dyDescent="0.35">
      <c r="A3118">
        <v>3114</v>
      </c>
      <c r="B3118">
        <v>3115</v>
      </c>
      <c r="F3118" s="64" t="s">
        <v>5668</v>
      </c>
      <c r="G3118" s="64"/>
      <c r="H3118" s="64"/>
      <c r="I3118" s="64">
        <v>0</v>
      </c>
      <c r="J3118" s="32" t="str">
        <f>IF(AND(E3118=1,OR(E3117=0,E3117="")),MAX(#REF!)+1,IF(AND(E3118=1,E3117=1),J3117,""))</f>
        <v/>
      </c>
      <c r="K3118" s="32" t="str">
        <f t="shared" si="185"/>
        <v/>
      </c>
      <c r="L3118" s="32" t="str">
        <f t="shared" si="183"/>
        <v/>
      </c>
      <c r="M3118" s="32" t="str">
        <f t="shared" si="184"/>
        <v/>
      </c>
      <c r="N3118" s="4">
        <v>0</v>
      </c>
      <c r="O3118" s="58">
        <v>0</v>
      </c>
      <c r="P3118" s="58">
        <v>0</v>
      </c>
      <c r="Q3118" s="58">
        <v>0</v>
      </c>
      <c r="R3118" s="58">
        <v>0</v>
      </c>
      <c r="S3118" s="58">
        <v>0</v>
      </c>
      <c r="T3118" s="58">
        <v>0</v>
      </c>
      <c r="U3118" s="58">
        <v>0</v>
      </c>
      <c r="V3118" s="58">
        <v>0</v>
      </c>
      <c r="AG3118" t="s">
        <v>2828</v>
      </c>
      <c r="AM3118" s="1" t="str">
        <f t="shared" si="186"/>
        <v>3116_C0008_1538.jpg</v>
      </c>
    </row>
    <row r="3119" spans="1:39" x14ac:dyDescent="0.35">
      <c r="A3119">
        <v>3115</v>
      </c>
      <c r="B3119">
        <v>3116</v>
      </c>
      <c r="F3119" s="64" t="s">
        <v>5669</v>
      </c>
      <c r="G3119" s="64"/>
      <c r="H3119" s="64"/>
      <c r="I3119" s="64">
        <v>0</v>
      </c>
      <c r="J3119" s="32" t="str">
        <f>IF(AND(E3119=1,OR(E3118=0,E3118="")),MAX(#REF!)+1,IF(AND(E3119=1,E3118=1),J3118,""))</f>
        <v/>
      </c>
      <c r="K3119" s="32" t="str">
        <f t="shared" si="185"/>
        <v/>
      </c>
      <c r="L3119" s="32" t="str">
        <f t="shared" si="183"/>
        <v/>
      </c>
      <c r="M3119" s="32" t="str">
        <f t="shared" si="184"/>
        <v/>
      </c>
      <c r="N3119" s="4">
        <v>0</v>
      </c>
      <c r="O3119" s="58">
        <v>0</v>
      </c>
      <c r="P3119" s="58">
        <v>0</v>
      </c>
      <c r="Q3119" s="58">
        <v>0</v>
      </c>
      <c r="R3119" s="58">
        <v>0</v>
      </c>
      <c r="S3119" s="58">
        <v>0</v>
      </c>
      <c r="T3119" s="58">
        <v>0</v>
      </c>
      <c r="U3119" s="58">
        <v>0</v>
      </c>
      <c r="V3119" s="58">
        <v>0</v>
      </c>
      <c r="AG3119" t="s">
        <v>2829</v>
      </c>
      <c r="AM3119" s="1" t="str">
        <f t="shared" si="186"/>
        <v>3117_C0008_1534.jpg</v>
      </c>
    </row>
    <row r="3120" spans="1:39" x14ac:dyDescent="0.35">
      <c r="A3120">
        <v>3116</v>
      </c>
      <c r="B3120">
        <v>3117</v>
      </c>
      <c r="F3120" s="64" t="s">
        <v>5670</v>
      </c>
      <c r="G3120" s="64"/>
      <c r="H3120" s="64"/>
      <c r="I3120" s="64">
        <v>0</v>
      </c>
      <c r="J3120" s="32" t="str">
        <f>IF(AND(E3120=1,OR(E3119=0,E3119="")),MAX(#REF!)+1,IF(AND(E3120=1,E3119=1),J3119,""))</f>
        <v/>
      </c>
      <c r="K3120" s="32" t="str">
        <f t="shared" si="185"/>
        <v/>
      </c>
      <c r="L3120" s="32" t="str">
        <f t="shared" si="183"/>
        <v/>
      </c>
      <c r="M3120" s="32" t="str">
        <f t="shared" si="184"/>
        <v/>
      </c>
      <c r="N3120" s="4">
        <v>0</v>
      </c>
      <c r="O3120" s="58">
        <v>0</v>
      </c>
      <c r="P3120" s="58">
        <v>0</v>
      </c>
      <c r="Q3120" s="58">
        <v>0</v>
      </c>
      <c r="R3120" s="58">
        <v>0</v>
      </c>
      <c r="S3120" s="58">
        <v>0</v>
      </c>
      <c r="T3120" s="58">
        <v>0</v>
      </c>
      <c r="U3120" s="58">
        <v>0</v>
      </c>
      <c r="V3120" s="58">
        <v>0</v>
      </c>
      <c r="AG3120" t="s">
        <v>2830</v>
      </c>
      <c r="AM3120" s="1" t="str">
        <f t="shared" si="186"/>
        <v>3118_C0008_1530.jpg</v>
      </c>
    </row>
    <row r="3121" spans="1:39" x14ac:dyDescent="0.35">
      <c r="A3121">
        <v>3117</v>
      </c>
      <c r="B3121">
        <v>3118</v>
      </c>
      <c r="F3121" s="64" t="s">
        <v>5671</v>
      </c>
      <c r="G3121" s="64"/>
      <c r="H3121" s="64"/>
      <c r="I3121" s="64">
        <v>0</v>
      </c>
      <c r="J3121" s="32" t="str">
        <f>IF(AND(E3121=1,OR(E3120=0,E3120="")),MAX(#REF!)+1,IF(AND(E3121=1,E3120=1),J3120,""))</f>
        <v/>
      </c>
      <c r="K3121" s="32" t="str">
        <f t="shared" si="185"/>
        <v/>
      </c>
      <c r="L3121" s="32" t="str">
        <f t="shared" si="183"/>
        <v/>
      </c>
      <c r="M3121" s="32" t="str">
        <f t="shared" si="184"/>
        <v/>
      </c>
      <c r="N3121" s="4">
        <v>0</v>
      </c>
      <c r="O3121" s="58">
        <v>0</v>
      </c>
      <c r="P3121" s="58">
        <v>0</v>
      </c>
      <c r="Q3121" s="58">
        <v>0</v>
      </c>
      <c r="R3121" s="58">
        <v>0</v>
      </c>
      <c r="S3121" s="58">
        <v>0</v>
      </c>
      <c r="T3121" s="58">
        <v>0</v>
      </c>
      <c r="U3121" s="58">
        <v>0</v>
      </c>
      <c r="V3121" s="58">
        <v>0</v>
      </c>
      <c r="AG3121" t="s">
        <v>2831</v>
      </c>
      <c r="AM3121" s="1" t="str">
        <f t="shared" si="186"/>
        <v>3119_C0008_1527.jpg</v>
      </c>
    </row>
    <row r="3122" spans="1:39" x14ac:dyDescent="0.35">
      <c r="A3122">
        <v>3118</v>
      </c>
      <c r="B3122">
        <v>3119</v>
      </c>
      <c r="F3122" s="64" t="s">
        <v>5672</v>
      </c>
      <c r="G3122" s="64"/>
      <c r="H3122" s="64"/>
      <c r="I3122" s="64">
        <v>0</v>
      </c>
      <c r="J3122" s="32" t="str">
        <f>IF(AND(E3122=1,OR(E3121=0,E3121="")),MAX(#REF!)+1,IF(AND(E3122=1,E3121=1),J3121,""))</f>
        <v/>
      </c>
      <c r="K3122" s="32" t="str">
        <f t="shared" si="185"/>
        <v/>
      </c>
      <c r="L3122" s="32" t="str">
        <f t="shared" si="183"/>
        <v/>
      </c>
      <c r="M3122" s="32" t="str">
        <f t="shared" si="184"/>
        <v/>
      </c>
      <c r="N3122" s="4">
        <v>0</v>
      </c>
      <c r="O3122" s="58">
        <v>0</v>
      </c>
      <c r="P3122" s="58">
        <v>0</v>
      </c>
      <c r="Q3122" s="58">
        <v>0</v>
      </c>
      <c r="R3122" s="58">
        <v>0</v>
      </c>
      <c r="S3122" s="58">
        <v>0</v>
      </c>
      <c r="T3122" s="58">
        <v>0</v>
      </c>
      <c r="U3122" s="58">
        <v>0</v>
      </c>
      <c r="V3122" s="58">
        <v>0</v>
      </c>
      <c r="AG3122" t="s">
        <v>2832</v>
      </c>
      <c r="AM3122" s="1" t="str">
        <f t="shared" si="186"/>
        <v>3120_C0008_1523.jpg</v>
      </c>
    </row>
    <row r="3123" spans="1:39" x14ac:dyDescent="0.35">
      <c r="A3123">
        <v>3119</v>
      </c>
      <c r="B3123">
        <v>3120</v>
      </c>
      <c r="F3123" s="64" t="s">
        <v>5673</v>
      </c>
      <c r="G3123" s="64"/>
      <c r="H3123" s="64"/>
      <c r="I3123" s="64">
        <v>0</v>
      </c>
      <c r="J3123" s="32" t="str">
        <f>IF(AND(E3123=1,OR(E3122=0,E3122="")),MAX(#REF!)+1,IF(AND(E3123=1,E3122=1),J3122,""))</f>
        <v/>
      </c>
      <c r="K3123" s="32" t="str">
        <f t="shared" si="185"/>
        <v/>
      </c>
      <c r="L3123" s="32" t="str">
        <f t="shared" si="183"/>
        <v/>
      </c>
      <c r="M3123" s="32" t="str">
        <f t="shared" si="184"/>
        <v/>
      </c>
      <c r="N3123" s="4">
        <v>0</v>
      </c>
      <c r="O3123" s="58">
        <v>0</v>
      </c>
      <c r="P3123" s="58">
        <v>0</v>
      </c>
      <c r="Q3123" s="58">
        <v>0</v>
      </c>
      <c r="R3123" s="58">
        <v>0</v>
      </c>
      <c r="S3123" s="58">
        <v>0</v>
      </c>
      <c r="T3123" s="58">
        <v>0</v>
      </c>
      <c r="U3123" s="58">
        <v>0</v>
      </c>
      <c r="V3123" s="58">
        <v>0</v>
      </c>
      <c r="AG3123" t="s">
        <v>2833</v>
      </c>
      <c r="AM3123" s="1" t="str">
        <f t="shared" si="186"/>
        <v>3121_C0008_1520.jpg</v>
      </c>
    </row>
    <row r="3124" spans="1:39" x14ac:dyDescent="0.35">
      <c r="A3124">
        <v>3120</v>
      </c>
      <c r="B3124">
        <v>3121</v>
      </c>
      <c r="F3124" s="64" t="s">
        <v>5674</v>
      </c>
      <c r="G3124" s="64"/>
      <c r="H3124" s="64"/>
      <c r="I3124" s="64">
        <v>0</v>
      </c>
      <c r="J3124" s="32" t="str">
        <f>IF(AND(E3124=1,OR(E3123=0,E3123="")),MAX(#REF!)+1,IF(AND(E3124=1,E3123=1),J3123,""))</f>
        <v/>
      </c>
      <c r="K3124" s="32" t="str">
        <f t="shared" si="185"/>
        <v/>
      </c>
      <c r="L3124" s="32" t="str">
        <f t="shared" si="183"/>
        <v/>
      </c>
      <c r="M3124" s="32" t="str">
        <f t="shared" si="184"/>
        <v/>
      </c>
      <c r="N3124" s="4">
        <v>0</v>
      </c>
      <c r="O3124" s="58">
        <v>0</v>
      </c>
      <c r="P3124" s="58">
        <v>0</v>
      </c>
      <c r="Q3124" s="58">
        <v>0</v>
      </c>
      <c r="R3124" s="58">
        <v>0</v>
      </c>
      <c r="S3124" s="58">
        <v>0</v>
      </c>
      <c r="T3124" s="58">
        <v>0</v>
      </c>
      <c r="U3124" s="58">
        <v>0</v>
      </c>
      <c r="V3124" s="58">
        <v>0</v>
      </c>
      <c r="AG3124" t="s">
        <v>2834</v>
      </c>
      <c r="AM3124" s="1" t="str">
        <f t="shared" si="186"/>
        <v>3122_C0008_1516.jpg</v>
      </c>
    </row>
    <row r="3125" spans="1:39" x14ac:dyDescent="0.35">
      <c r="A3125">
        <v>3121</v>
      </c>
      <c r="B3125">
        <v>3122</v>
      </c>
      <c r="F3125" s="64" t="s">
        <v>5675</v>
      </c>
      <c r="G3125" s="64"/>
      <c r="H3125" s="64"/>
      <c r="I3125" s="64">
        <v>0</v>
      </c>
      <c r="J3125" s="32" t="str">
        <f>IF(AND(E3125=1,OR(E3124=0,E3124="")),MAX(#REF!)+1,IF(AND(E3125=1,E3124=1),J3124,""))</f>
        <v/>
      </c>
      <c r="K3125" s="32" t="str">
        <f t="shared" si="185"/>
        <v/>
      </c>
      <c r="L3125" s="32" t="str">
        <f t="shared" si="183"/>
        <v/>
      </c>
      <c r="M3125" s="32" t="str">
        <f t="shared" si="184"/>
        <v/>
      </c>
      <c r="N3125" s="4">
        <v>0</v>
      </c>
      <c r="O3125" s="58">
        <v>0</v>
      </c>
      <c r="P3125" s="58">
        <v>0</v>
      </c>
      <c r="Q3125" s="58">
        <v>0</v>
      </c>
      <c r="R3125" s="58">
        <v>0</v>
      </c>
      <c r="S3125" s="58">
        <v>0</v>
      </c>
      <c r="T3125" s="58">
        <v>0</v>
      </c>
      <c r="U3125" s="58">
        <v>0</v>
      </c>
      <c r="V3125" s="58">
        <v>0</v>
      </c>
      <c r="AG3125" t="s">
        <v>2835</v>
      </c>
      <c r="AM3125" s="1" t="str">
        <f t="shared" si="186"/>
        <v>3123_C0008_1512.jpg</v>
      </c>
    </row>
    <row r="3126" spans="1:39" x14ac:dyDescent="0.35">
      <c r="A3126">
        <v>3122</v>
      </c>
      <c r="B3126">
        <v>3123</v>
      </c>
      <c r="F3126" s="64" t="s">
        <v>5676</v>
      </c>
      <c r="G3126" s="64"/>
      <c r="H3126" s="64"/>
      <c r="I3126" s="64">
        <v>0</v>
      </c>
      <c r="J3126" s="32" t="str">
        <f>IF(AND(E3126=1,OR(E3125=0,E3125="")),MAX(#REF!)+1,IF(AND(E3126=1,E3125=1),J3125,""))</f>
        <v/>
      </c>
      <c r="K3126" s="32" t="str">
        <f t="shared" si="185"/>
        <v/>
      </c>
      <c r="L3126" s="32" t="str">
        <f t="shared" si="183"/>
        <v/>
      </c>
      <c r="M3126" s="32" t="str">
        <f t="shared" si="184"/>
        <v/>
      </c>
      <c r="N3126" s="4">
        <v>0</v>
      </c>
      <c r="O3126" s="58">
        <v>0</v>
      </c>
      <c r="P3126" s="58">
        <v>0</v>
      </c>
      <c r="Q3126" s="58">
        <v>0</v>
      </c>
      <c r="R3126" s="58">
        <v>0</v>
      </c>
      <c r="S3126" s="58">
        <v>0</v>
      </c>
      <c r="T3126" s="58">
        <v>0</v>
      </c>
      <c r="U3126" s="58">
        <v>0</v>
      </c>
      <c r="V3126" s="58">
        <v>0</v>
      </c>
      <c r="AG3126" t="s">
        <v>2836</v>
      </c>
      <c r="AM3126" s="1" t="str">
        <f t="shared" si="186"/>
        <v>3124_C0008_1509.jpg</v>
      </c>
    </row>
    <row r="3127" spans="1:39" x14ac:dyDescent="0.35">
      <c r="A3127">
        <v>3123</v>
      </c>
      <c r="B3127">
        <v>3124</v>
      </c>
      <c r="F3127" s="64" t="s">
        <v>5677</v>
      </c>
      <c r="G3127" s="64"/>
      <c r="H3127" s="64"/>
      <c r="I3127" s="64">
        <v>0</v>
      </c>
      <c r="J3127" s="32" t="str">
        <f>IF(AND(E3127=1,OR(E3126=0,E3126="")),MAX(#REF!)+1,IF(AND(E3127=1,E3126=1),J3126,""))</f>
        <v/>
      </c>
      <c r="K3127" s="32" t="str">
        <f t="shared" si="185"/>
        <v/>
      </c>
      <c r="L3127" s="32" t="str">
        <f t="shared" si="183"/>
        <v/>
      </c>
      <c r="M3127" s="32" t="str">
        <f t="shared" si="184"/>
        <v/>
      </c>
      <c r="N3127" s="4">
        <v>0</v>
      </c>
      <c r="O3127" s="58">
        <v>0</v>
      </c>
      <c r="P3127" s="58">
        <v>0</v>
      </c>
      <c r="Q3127" s="58">
        <v>0</v>
      </c>
      <c r="R3127" s="58">
        <v>0</v>
      </c>
      <c r="S3127" s="58">
        <v>0</v>
      </c>
      <c r="T3127" s="58">
        <v>0</v>
      </c>
      <c r="U3127" s="58">
        <v>0</v>
      </c>
      <c r="V3127" s="58">
        <v>0</v>
      </c>
      <c r="AG3127" t="s">
        <v>2837</v>
      </c>
      <c r="AM3127" s="1" t="str">
        <f t="shared" si="186"/>
        <v>3125_C0008_1506.jpg</v>
      </c>
    </row>
    <row r="3128" spans="1:39" x14ac:dyDescent="0.35">
      <c r="A3128">
        <v>3124</v>
      </c>
      <c r="B3128">
        <v>3125</v>
      </c>
      <c r="F3128" s="64" t="s">
        <v>5678</v>
      </c>
      <c r="G3128" s="64"/>
      <c r="H3128" s="64"/>
      <c r="I3128" s="64">
        <v>0</v>
      </c>
      <c r="J3128" s="32" t="str">
        <f>IF(AND(E3128=1,OR(E3127=0,E3127="")),MAX(#REF!)+1,IF(AND(E3128=1,E3127=1),J3127,""))</f>
        <v/>
      </c>
      <c r="K3128" s="32" t="str">
        <f t="shared" si="185"/>
        <v/>
      </c>
      <c r="L3128" s="32" t="str">
        <f t="shared" si="183"/>
        <v/>
      </c>
      <c r="M3128" s="32" t="str">
        <f t="shared" si="184"/>
        <v/>
      </c>
      <c r="N3128" s="4">
        <v>0</v>
      </c>
      <c r="O3128" s="58">
        <v>0</v>
      </c>
      <c r="P3128" s="58">
        <v>0</v>
      </c>
      <c r="Q3128" s="58">
        <v>0</v>
      </c>
      <c r="R3128" s="58">
        <v>0</v>
      </c>
      <c r="S3128" s="58">
        <v>0</v>
      </c>
      <c r="T3128" s="58">
        <v>0</v>
      </c>
      <c r="U3128" s="58">
        <v>0</v>
      </c>
      <c r="V3128" s="58">
        <v>0</v>
      </c>
      <c r="AG3128" t="s">
        <v>2838</v>
      </c>
      <c r="AM3128" s="1" t="str">
        <f t="shared" si="186"/>
        <v>3126_C0008_1503.jpg</v>
      </c>
    </row>
    <row r="3129" spans="1:39" x14ac:dyDescent="0.35">
      <c r="A3129">
        <v>3125</v>
      </c>
      <c r="B3129">
        <v>3126</v>
      </c>
      <c r="F3129" s="64" t="s">
        <v>5679</v>
      </c>
      <c r="G3129" s="64"/>
      <c r="H3129" s="64"/>
      <c r="I3129" s="64">
        <v>0</v>
      </c>
      <c r="J3129" s="32" t="str">
        <f>IF(AND(E3129=1,OR(E3128=0,E3128="")),MAX(#REF!)+1,IF(AND(E3129=1,E3128=1),J3128,""))</f>
        <v/>
      </c>
      <c r="K3129" s="32" t="str">
        <f t="shared" si="185"/>
        <v/>
      </c>
      <c r="L3129" s="32" t="str">
        <f t="shared" si="183"/>
        <v/>
      </c>
      <c r="M3129" s="32" t="str">
        <f t="shared" si="184"/>
        <v/>
      </c>
      <c r="N3129" s="4">
        <v>0</v>
      </c>
      <c r="O3129" s="58">
        <v>0</v>
      </c>
      <c r="P3129" s="58">
        <v>0</v>
      </c>
      <c r="Q3129" s="58">
        <v>0</v>
      </c>
      <c r="R3129" s="58">
        <v>0</v>
      </c>
      <c r="S3129" s="58">
        <v>0</v>
      </c>
      <c r="T3129" s="58">
        <v>0</v>
      </c>
      <c r="U3129" s="58">
        <v>0</v>
      </c>
      <c r="V3129" s="58">
        <v>0</v>
      </c>
      <c r="AG3129" t="s">
        <v>2839</v>
      </c>
      <c r="AM3129" s="1" t="str">
        <f t="shared" si="186"/>
        <v>3127_C0008_1501.jpg</v>
      </c>
    </row>
    <row r="3130" spans="1:39" x14ac:dyDescent="0.35">
      <c r="A3130">
        <v>3126</v>
      </c>
      <c r="B3130">
        <v>3127</v>
      </c>
      <c r="F3130" s="64" t="s">
        <v>5680</v>
      </c>
      <c r="G3130" s="64"/>
      <c r="H3130" s="64"/>
      <c r="I3130" s="64">
        <v>0</v>
      </c>
      <c r="J3130" s="32" t="str">
        <f>IF(AND(E3130=1,OR(E3129=0,E3129="")),MAX(#REF!)+1,IF(AND(E3130=1,E3129=1),J3129,""))</f>
        <v/>
      </c>
      <c r="K3130" s="32" t="str">
        <f t="shared" si="185"/>
        <v/>
      </c>
      <c r="L3130" s="32" t="str">
        <f t="shared" si="183"/>
        <v/>
      </c>
      <c r="M3130" s="32" t="str">
        <f t="shared" si="184"/>
        <v/>
      </c>
      <c r="N3130" s="4">
        <v>0</v>
      </c>
      <c r="O3130" s="58">
        <v>0</v>
      </c>
      <c r="P3130" s="58">
        <v>0</v>
      </c>
      <c r="Q3130" s="58">
        <v>0</v>
      </c>
      <c r="R3130" s="58">
        <v>0</v>
      </c>
      <c r="S3130" s="58">
        <v>0</v>
      </c>
      <c r="T3130" s="58">
        <v>0</v>
      </c>
      <c r="U3130" s="58">
        <v>0</v>
      </c>
      <c r="V3130" s="58">
        <v>0</v>
      </c>
      <c r="AG3130" t="s">
        <v>2840</v>
      </c>
      <c r="AM3130" s="1" t="str">
        <f t="shared" si="186"/>
        <v>3128_C0008_1497.jpg</v>
      </c>
    </row>
    <row r="3131" spans="1:39" x14ac:dyDescent="0.35">
      <c r="A3131">
        <v>3127</v>
      </c>
      <c r="B3131">
        <v>3128</v>
      </c>
      <c r="F3131" s="64" t="s">
        <v>5681</v>
      </c>
      <c r="G3131" s="64"/>
      <c r="H3131" s="64"/>
      <c r="I3131" s="64">
        <v>0</v>
      </c>
      <c r="J3131" s="32" t="str">
        <f>IF(AND(E3131=1,OR(E3130=0,E3130="")),MAX(#REF!)+1,IF(AND(E3131=1,E3130=1),J3130,""))</f>
        <v/>
      </c>
      <c r="K3131" s="32" t="str">
        <f t="shared" si="185"/>
        <v/>
      </c>
      <c r="L3131" s="32" t="str">
        <f t="shared" si="183"/>
        <v/>
      </c>
      <c r="M3131" s="32" t="str">
        <f t="shared" si="184"/>
        <v/>
      </c>
      <c r="N3131" s="4">
        <v>0</v>
      </c>
      <c r="O3131" s="58">
        <v>0</v>
      </c>
      <c r="P3131" s="58">
        <v>0</v>
      </c>
      <c r="Q3131" s="58">
        <v>0</v>
      </c>
      <c r="R3131" s="58">
        <v>0</v>
      </c>
      <c r="S3131" s="58">
        <v>0</v>
      </c>
      <c r="T3131" s="58">
        <v>0</v>
      </c>
      <c r="U3131" s="58">
        <v>0</v>
      </c>
      <c r="V3131" s="58">
        <v>0</v>
      </c>
      <c r="AG3131" t="s">
        <v>2841</v>
      </c>
      <c r="AM3131" s="1" t="str">
        <f t="shared" si="186"/>
        <v>3129_C0008_1493.jpg</v>
      </c>
    </row>
    <row r="3132" spans="1:39" x14ac:dyDescent="0.35">
      <c r="A3132">
        <v>3128</v>
      </c>
      <c r="B3132">
        <v>3129</v>
      </c>
      <c r="F3132" s="64" t="s">
        <v>5682</v>
      </c>
      <c r="G3132" s="64"/>
      <c r="H3132" s="64"/>
      <c r="I3132" s="64">
        <v>0</v>
      </c>
      <c r="J3132" s="32" t="str">
        <f>IF(AND(E3132=1,OR(E3131=0,E3131="")),MAX(#REF!)+1,IF(AND(E3132=1,E3131=1),J3131,""))</f>
        <v/>
      </c>
      <c r="K3132" s="32" t="str">
        <f t="shared" si="185"/>
        <v/>
      </c>
      <c r="L3132" s="32" t="str">
        <f t="shared" si="183"/>
        <v/>
      </c>
      <c r="M3132" s="32" t="str">
        <f t="shared" si="184"/>
        <v/>
      </c>
      <c r="N3132" s="4">
        <v>0</v>
      </c>
      <c r="O3132" s="58">
        <v>0</v>
      </c>
      <c r="P3132" s="58">
        <v>0</v>
      </c>
      <c r="Q3132" s="58">
        <v>0</v>
      </c>
      <c r="R3132" s="58">
        <v>0</v>
      </c>
      <c r="S3132" s="58">
        <v>0</v>
      </c>
      <c r="T3132" s="58">
        <v>0</v>
      </c>
      <c r="U3132" s="58">
        <v>0</v>
      </c>
      <c r="V3132" s="58">
        <v>0</v>
      </c>
      <c r="AG3132" t="s">
        <v>2842</v>
      </c>
      <c r="AM3132" s="1" t="str">
        <f t="shared" si="186"/>
        <v>3130_C0008_1490.jpg</v>
      </c>
    </row>
    <row r="3133" spans="1:39" x14ac:dyDescent="0.35">
      <c r="A3133">
        <v>3129</v>
      </c>
      <c r="B3133">
        <v>3130</v>
      </c>
      <c r="F3133" s="64" t="s">
        <v>5683</v>
      </c>
      <c r="G3133" s="64"/>
      <c r="H3133" s="64"/>
      <c r="I3133" s="64">
        <v>0</v>
      </c>
      <c r="J3133" s="32" t="str">
        <f>IF(AND(E3133=1,OR(E3132=0,E3132="")),MAX(#REF!)+1,IF(AND(E3133=1,E3132=1),J3132,""))</f>
        <v/>
      </c>
      <c r="K3133" s="32" t="str">
        <f t="shared" si="185"/>
        <v/>
      </c>
      <c r="L3133" s="32" t="str">
        <f t="shared" si="183"/>
        <v/>
      </c>
      <c r="M3133" s="32" t="str">
        <f t="shared" si="184"/>
        <v/>
      </c>
      <c r="N3133" s="4">
        <v>0</v>
      </c>
      <c r="O3133" s="58">
        <v>0</v>
      </c>
      <c r="P3133" s="58">
        <v>0</v>
      </c>
      <c r="Q3133" s="58">
        <v>0</v>
      </c>
      <c r="R3133" s="58">
        <v>0</v>
      </c>
      <c r="S3133" s="58">
        <v>0</v>
      </c>
      <c r="T3133" s="58">
        <v>0</v>
      </c>
      <c r="U3133" s="58">
        <v>0</v>
      </c>
      <c r="V3133" s="58">
        <v>0</v>
      </c>
      <c r="AG3133" t="s">
        <v>2843</v>
      </c>
      <c r="AM3133" s="1" t="str">
        <f t="shared" si="186"/>
        <v>3131_C0008_1486.jpg</v>
      </c>
    </row>
    <row r="3134" spans="1:39" x14ac:dyDescent="0.35">
      <c r="A3134">
        <v>3130</v>
      </c>
      <c r="B3134">
        <v>3131</v>
      </c>
      <c r="F3134" s="64" t="s">
        <v>5684</v>
      </c>
      <c r="G3134" s="64"/>
      <c r="H3134" s="64"/>
      <c r="I3134" s="64">
        <v>0</v>
      </c>
      <c r="J3134" s="32" t="str">
        <f>IF(AND(E3134=1,OR(E3133=0,E3133="")),MAX(#REF!)+1,IF(AND(E3134=1,E3133=1),J3133,""))</f>
        <v/>
      </c>
      <c r="K3134" s="32" t="str">
        <f t="shared" si="185"/>
        <v/>
      </c>
      <c r="L3134" s="32" t="str">
        <f t="shared" si="183"/>
        <v/>
      </c>
      <c r="M3134" s="32" t="str">
        <f t="shared" si="184"/>
        <v/>
      </c>
      <c r="N3134" s="4">
        <v>0</v>
      </c>
      <c r="O3134" s="58">
        <v>0</v>
      </c>
      <c r="P3134" s="58">
        <v>0</v>
      </c>
      <c r="Q3134" s="58">
        <v>0</v>
      </c>
      <c r="R3134" s="58">
        <v>0</v>
      </c>
      <c r="S3134" s="58">
        <v>0</v>
      </c>
      <c r="T3134" s="58">
        <v>0</v>
      </c>
      <c r="U3134" s="58">
        <v>0</v>
      </c>
      <c r="V3134" s="58">
        <v>0</v>
      </c>
      <c r="AG3134" t="s">
        <v>2844</v>
      </c>
      <c r="AM3134" s="1" t="str">
        <f t="shared" si="186"/>
        <v>3132_C0008_1483.jpg</v>
      </c>
    </row>
    <row r="3135" spans="1:39" x14ac:dyDescent="0.35">
      <c r="A3135">
        <v>3131</v>
      </c>
      <c r="B3135">
        <v>3132</v>
      </c>
      <c r="F3135" s="64" t="s">
        <v>5685</v>
      </c>
      <c r="G3135" s="64"/>
      <c r="H3135" s="64"/>
      <c r="I3135" s="64">
        <v>0</v>
      </c>
      <c r="J3135" s="32" t="str">
        <f>IF(AND(E3135=1,OR(E3134=0,E3134="")),MAX(#REF!)+1,IF(AND(E3135=1,E3134=1),J3134,""))</f>
        <v/>
      </c>
      <c r="K3135" s="32" t="str">
        <f t="shared" si="185"/>
        <v/>
      </c>
      <c r="L3135" s="32" t="str">
        <f t="shared" si="183"/>
        <v/>
      </c>
      <c r="M3135" s="32" t="str">
        <f t="shared" si="184"/>
        <v/>
      </c>
      <c r="N3135" s="4">
        <v>0</v>
      </c>
      <c r="O3135" s="58">
        <v>0</v>
      </c>
      <c r="P3135" s="58">
        <v>0</v>
      </c>
      <c r="Q3135" s="58">
        <v>0</v>
      </c>
      <c r="R3135" s="58">
        <v>0</v>
      </c>
      <c r="S3135" s="58">
        <v>0</v>
      </c>
      <c r="T3135" s="58">
        <v>0</v>
      </c>
      <c r="U3135" s="58">
        <v>0</v>
      </c>
      <c r="V3135" s="58">
        <v>0</v>
      </c>
      <c r="AG3135" t="s">
        <v>2845</v>
      </c>
      <c r="AM3135" s="1" t="str">
        <f t="shared" si="186"/>
        <v>3133_C0008_1479.jpg</v>
      </c>
    </row>
    <row r="3136" spans="1:39" x14ac:dyDescent="0.35">
      <c r="A3136">
        <v>3132</v>
      </c>
      <c r="B3136">
        <v>3133</v>
      </c>
      <c r="F3136" s="64" t="s">
        <v>5686</v>
      </c>
      <c r="G3136" s="64"/>
      <c r="H3136" s="64"/>
      <c r="I3136" s="64">
        <v>0</v>
      </c>
      <c r="J3136" s="32" t="str">
        <f>IF(AND(E3136=1,OR(E3135=0,E3135="")),MAX(#REF!)+1,IF(AND(E3136=1,E3135=1),J3135,""))</f>
        <v/>
      </c>
      <c r="K3136" s="32" t="str">
        <f t="shared" si="185"/>
        <v/>
      </c>
      <c r="L3136" s="32" t="str">
        <f t="shared" si="183"/>
        <v/>
      </c>
      <c r="M3136" s="32" t="str">
        <f t="shared" si="184"/>
        <v/>
      </c>
      <c r="N3136" s="4">
        <v>0</v>
      </c>
      <c r="O3136" s="58">
        <v>0</v>
      </c>
      <c r="P3136" s="58">
        <v>0</v>
      </c>
      <c r="Q3136" s="58">
        <v>0</v>
      </c>
      <c r="R3136" s="58">
        <v>0</v>
      </c>
      <c r="S3136" s="58">
        <v>0</v>
      </c>
      <c r="T3136" s="58">
        <v>0</v>
      </c>
      <c r="U3136" s="58">
        <v>0</v>
      </c>
      <c r="V3136" s="58">
        <v>0</v>
      </c>
      <c r="AG3136" t="s">
        <v>2846</v>
      </c>
      <c r="AM3136" s="1" t="str">
        <f t="shared" si="186"/>
        <v>3134_C0008_1475.jpg</v>
      </c>
    </row>
    <row r="3137" spans="1:39" x14ac:dyDescent="0.35">
      <c r="A3137">
        <v>3133</v>
      </c>
      <c r="B3137">
        <v>3134</v>
      </c>
      <c r="F3137" s="64" t="s">
        <v>5687</v>
      </c>
      <c r="G3137" s="64"/>
      <c r="H3137" s="64"/>
      <c r="I3137" s="64">
        <v>0</v>
      </c>
      <c r="J3137" s="32" t="str">
        <f>IF(AND(E3137=1,OR(E3136=0,E3136="")),MAX(#REF!)+1,IF(AND(E3137=1,E3136=1),J3136,""))</f>
        <v/>
      </c>
      <c r="K3137" s="32" t="str">
        <f t="shared" si="185"/>
        <v/>
      </c>
      <c r="L3137" s="32" t="str">
        <f t="shared" si="183"/>
        <v/>
      </c>
      <c r="M3137" s="32" t="str">
        <f t="shared" si="184"/>
        <v/>
      </c>
      <c r="N3137" s="4">
        <v>0</v>
      </c>
      <c r="O3137" s="58">
        <v>0</v>
      </c>
      <c r="P3137" s="58">
        <v>0</v>
      </c>
      <c r="Q3137" s="58">
        <v>0</v>
      </c>
      <c r="R3137" s="58">
        <v>0</v>
      </c>
      <c r="S3137" s="58">
        <v>0</v>
      </c>
      <c r="T3137" s="58">
        <v>0</v>
      </c>
      <c r="U3137" s="58">
        <v>0</v>
      </c>
      <c r="V3137" s="58">
        <v>0</v>
      </c>
      <c r="AG3137" t="s">
        <v>2847</v>
      </c>
      <c r="AM3137" s="1" t="str">
        <f t="shared" si="186"/>
        <v>3135_C0008_1470.jpg</v>
      </c>
    </row>
    <row r="3138" spans="1:39" x14ac:dyDescent="0.35">
      <c r="A3138">
        <v>3134</v>
      </c>
      <c r="B3138">
        <v>3135</v>
      </c>
      <c r="F3138" s="64" t="s">
        <v>5688</v>
      </c>
      <c r="G3138" s="64"/>
      <c r="H3138" s="64"/>
      <c r="I3138" s="64">
        <v>0</v>
      </c>
      <c r="J3138" s="32" t="str">
        <f>IF(AND(E3138=1,OR(E3137=0,E3137="")),MAX(#REF!)+1,IF(AND(E3138=1,E3137=1),J3137,""))</f>
        <v/>
      </c>
      <c r="K3138" s="32" t="str">
        <f t="shared" si="185"/>
        <v/>
      </c>
      <c r="L3138" s="32" t="str">
        <f t="shared" si="183"/>
        <v/>
      </c>
      <c r="M3138" s="32" t="str">
        <f t="shared" si="184"/>
        <v/>
      </c>
      <c r="N3138" s="4">
        <v>0</v>
      </c>
      <c r="O3138" s="58">
        <v>1</v>
      </c>
      <c r="P3138" s="58">
        <v>0</v>
      </c>
      <c r="Q3138" s="58">
        <v>0</v>
      </c>
      <c r="R3138" s="58">
        <v>0</v>
      </c>
      <c r="S3138" s="58">
        <v>0</v>
      </c>
      <c r="T3138" s="58">
        <v>0</v>
      </c>
      <c r="U3138" s="58">
        <v>0</v>
      </c>
      <c r="V3138" s="58">
        <v>0</v>
      </c>
      <c r="AG3138" t="s">
        <v>2848</v>
      </c>
      <c r="AM3138" s="1" t="str">
        <f t="shared" si="186"/>
        <v>3136_C0008_1466.jpg</v>
      </c>
    </row>
    <row r="3139" spans="1:39" x14ac:dyDescent="0.35">
      <c r="A3139">
        <v>3135</v>
      </c>
      <c r="B3139">
        <v>3136</v>
      </c>
      <c r="F3139" s="64" t="s">
        <v>5689</v>
      </c>
      <c r="G3139" s="64"/>
      <c r="H3139" s="64"/>
      <c r="I3139" s="64">
        <v>0</v>
      </c>
      <c r="J3139" s="32" t="str">
        <f>IF(AND(E3139=1,OR(E3138=0,E3138="")),MAX(#REF!)+1,IF(AND(E3139=1,E3138=1),J3138,""))</f>
        <v/>
      </c>
      <c r="K3139" s="32" t="str">
        <f t="shared" si="185"/>
        <v/>
      </c>
      <c r="L3139" s="32" t="str">
        <f t="shared" si="183"/>
        <v/>
      </c>
      <c r="M3139" s="32" t="str">
        <f t="shared" si="184"/>
        <v/>
      </c>
      <c r="N3139" s="4">
        <v>0</v>
      </c>
      <c r="O3139" s="58">
        <v>0</v>
      </c>
      <c r="P3139" s="58">
        <v>0</v>
      </c>
      <c r="Q3139" s="58">
        <v>0</v>
      </c>
      <c r="R3139" s="58">
        <v>0</v>
      </c>
      <c r="S3139" s="58">
        <v>0</v>
      </c>
      <c r="T3139" s="58">
        <v>0</v>
      </c>
      <c r="U3139" s="58">
        <v>0</v>
      </c>
      <c r="V3139" s="58">
        <v>0</v>
      </c>
      <c r="AG3139" t="s">
        <v>2849</v>
      </c>
      <c r="AM3139" s="1" t="str">
        <f t="shared" si="186"/>
        <v>3137_C0008_1462.jpg</v>
      </c>
    </row>
    <row r="3140" spans="1:39" x14ac:dyDescent="0.35">
      <c r="A3140">
        <v>3136</v>
      </c>
      <c r="B3140">
        <v>3137</v>
      </c>
      <c r="F3140" s="64" t="s">
        <v>5690</v>
      </c>
      <c r="G3140" s="64"/>
      <c r="H3140" s="64"/>
      <c r="I3140" s="64">
        <v>0</v>
      </c>
      <c r="J3140" s="32" t="str">
        <f>IF(AND(E3140=1,OR(E3139=0,E3139="")),MAX(#REF!)+1,IF(AND(E3140=1,E3139=1),J3139,""))</f>
        <v/>
      </c>
      <c r="K3140" s="32" t="str">
        <f t="shared" si="185"/>
        <v/>
      </c>
      <c r="L3140" s="32" t="str">
        <f t="shared" ref="L3140:L3203" si="187">IF(K3140="","",IF(K3140&gt;=100,"HV",""))</f>
        <v/>
      </c>
      <c r="M3140" s="32" t="str">
        <f t="shared" ref="M3140:M3203" si="188">IF(K3140&lt;&gt;"",K3140^2,"")</f>
        <v/>
      </c>
      <c r="N3140" s="4">
        <v>0</v>
      </c>
      <c r="O3140" s="58">
        <v>0</v>
      </c>
      <c r="P3140" s="58">
        <v>0</v>
      </c>
      <c r="Q3140" s="58">
        <v>0</v>
      </c>
      <c r="R3140" s="58">
        <v>0</v>
      </c>
      <c r="S3140" s="58">
        <v>0</v>
      </c>
      <c r="T3140" s="58">
        <v>0</v>
      </c>
      <c r="U3140" s="58">
        <v>0</v>
      </c>
      <c r="V3140" s="58">
        <v>0</v>
      </c>
      <c r="AG3140" t="s">
        <v>2850</v>
      </c>
      <c r="AM3140" s="1" t="str">
        <f t="shared" si="186"/>
        <v>3138_C0008_1458.jpg</v>
      </c>
    </row>
    <row r="3141" spans="1:39" x14ac:dyDescent="0.35">
      <c r="A3141">
        <v>3137</v>
      </c>
      <c r="B3141">
        <v>3138</v>
      </c>
      <c r="F3141" s="64" t="s">
        <v>5691</v>
      </c>
      <c r="G3141" s="64"/>
      <c r="H3141" s="64"/>
      <c r="I3141" s="64">
        <v>0</v>
      </c>
      <c r="J3141" s="32" t="str">
        <f>IF(AND(E3141=1,OR(E3140=0,E3140="")),MAX(#REF!)+1,IF(AND(E3141=1,E3140=1),J3140,""))</f>
        <v/>
      </c>
      <c r="K3141" s="32" t="str">
        <f t="shared" si="185"/>
        <v/>
      </c>
      <c r="L3141" s="32" t="str">
        <f t="shared" si="187"/>
        <v/>
      </c>
      <c r="M3141" s="32" t="str">
        <f t="shared" si="188"/>
        <v/>
      </c>
      <c r="N3141" s="4">
        <v>0</v>
      </c>
      <c r="O3141" s="58">
        <v>0</v>
      </c>
      <c r="P3141" s="58">
        <v>0</v>
      </c>
      <c r="Q3141" s="58">
        <v>0</v>
      </c>
      <c r="R3141" s="58">
        <v>0</v>
      </c>
      <c r="S3141" s="58">
        <v>0</v>
      </c>
      <c r="T3141" s="58">
        <v>0</v>
      </c>
      <c r="U3141" s="58">
        <v>0</v>
      </c>
      <c r="V3141" s="58">
        <v>0</v>
      </c>
      <c r="AG3141" t="s">
        <v>2851</v>
      </c>
      <c r="AM3141" s="1" t="str">
        <f t="shared" si="186"/>
        <v>3139_C0008_1454.jpg</v>
      </c>
    </row>
    <row r="3142" spans="1:39" x14ac:dyDescent="0.35">
      <c r="A3142">
        <v>3138</v>
      </c>
      <c r="B3142">
        <v>3139</v>
      </c>
      <c r="F3142" s="64" t="s">
        <v>5692</v>
      </c>
      <c r="G3142" s="64"/>
      <c r="H3142" s="64"/>
      <c r="I3142" s="64">
        <v>0</v>
      </c>
      <c r="J3142" s="32" t="str">
        <f>IF(AND(E3142=1,OR(E3141=0,E3141="")),MAX(#REF!)+1,IF(AND(E3142=1,E3141=1),J3141,""))</f>
        <v/>
      </c>
      <c r="K3142" s="32" t="str">
        <f t="shared" si="185"/>
        <v/>
      </c>
      <c r="L3142" s="32" t="str">
        <f t="shared" si="187"/>
        <v/>
      </c>
      <c r="M3142" s="32" t="str">
        <f t="shared" si="188"/>
        <v/>
      </c>
      <c r="N3142" s="4">
        <v>0</v>
      </c>
      <c r="O3142" s="58">
        <v>0</v>
      </c>
      <c r="P3142" s="58">
        <v>0</v>
      </c>
      <c r="Q3142" s="58">
        <v>0</v>
      </c>
      <c r="R3142" s="58">
        <v>0</v>
      </c>
      <c r="S3142" s="58">
        <v>0</v>
      </c>
      <c r="T3142" s="58">
        <v>0</v>
      </c>
      <c r="U3142" s="58">
        <v>0</v>
      </c>
      <c r="V3142" s="58">
        <v>0</v>
      </c>
      <c r="AG3142" t="s">
        <v>2852</v>
      </c>
      <c r="AM3142" s="1" t="str">
        <f t="shared" si="186"/>
        <v>3140_C0008_1451.jpg</v>
      </c>
    </row>
    <row r="3143" spans="1:39" x14ac:dyDescent="0.35">
      <c r="A3143">
        <v>3139</v>
      </c>
      <c r="B3143">
        <v>3140</v>
      </c>
      <c r="F3143" s="64" t="s">
        <v>5693</v>
      </c>
      <c r="G3143" s="64"/>
      <c r="H3143" s="64"/>
      <c r="I3143" s="64">
        <v>0</v>
      </c>
      <c r="J3143" s="32" t="str">
        <f>IF(AND(E3143=1,OR(E3142=0,E3142="")),MAX(#REF!)+1,IF(AND(E3143=1,E3142=1),J3142,""))</f>
        <v/>
      </c>
      <c r="K3143" s="32" t="str">
        <f t="shared" si="185"/>
        <v/>
      </c>
      <c r="L3143" s="32" t="str">
        <f t="shared" si="187"/>
        <v/>
      </c>
      <c r="M3143" s="32" t="str">
        <f t="shared" si="188"/>
        <v/>
      </c>
      <c r="N3143" s="4">
        <v>0</v>
      </c>
      <c r="O3143" s="58">
        <v>0</v>
      </c>
      <c r="P3143" s="58">
        <v>0</v>
      </c>
      <c r="Q3143" s="58">
        <v>0</v>
      </c>
      <c r="R3143" s="58">
        <v>0</v>
      </c>
      <c r="S3143" s="58">
        <v>0</v>
      </c>
      <c r="T3143" s="58">
        <v>0</v>
      </c>
      <c r="U3143" s="58">
        <v>0</v>
      </c>
      <c r="V3143" s="58">
        <v>0</v>
      </c>
      <c r="AG3143" t="s">
        <v>2853</v>
      </c>
      <c r="AM3143" s="1" t="str">
        <f t="shared" si="186"/>
        <v>3141_C0008_1447.jpg</v>
      </c>
    </row>
    <row r="3144" spans="1:39" x14ac:dyDescent="0.35">
      <c r="A3144">
        <v>3140</v>
      </c>
      <c r="B3144">
        <v>3141</v>
      </c>
      <c r="F3144" s="64" t="s">
        <v>5694</v>
      </c>
      <c r="G3144" s="64"/>
      <c r="H3144" s="64"/>
      <c r="I3144" s="64">
        <v>0</v>
      </c>
      <c r="J3144" s="32" t="str">
        <f>IF(AND(E3144=1,OR(E3143=0,E3143="")),MAX(#REF!)+1,IF(AND(E3144=1,E3143=1),J3143,""))</f>
        <v/>
      </c>
      <c r="K3144" s="32" t="str">
        <f t="shared" si="185"/>
        <v/>
      </c>
      <c r="L3144" s="32" t="str">
        <f t="shared" si="187"/>
        <v/>
      </c>
      <c r="M3144" s="32" t="str">
        <f t="shared" si="188"/>
        <v/>
      </c>
      <c r="N3144" s="4">
        <v>0</v>
      </c>
      <c r="O3144" s="58">
        <v>0</v>
      </c>
      <c r="P3144" s="58">
        <v>0</v>
      </c>
      <c r="Q3144" s="58">
        <v>0</v>
      </c>
      <c r="R3144" s="58">
        <v>0</v>
      </c>
      <c r="S3144" s="58">
        <v>0</v>
      </c>
      <c r="T3144" s="58">
        <v>0</v>
      </c>
      <c r="U3144" s="58">
        <v>0</v>
      </c>
      <c r="V3144" s="58">
        <v>0</v>
      </c>
      <c r="AG3144" t="s">
        <v>2854</v>
      </c>
      <c r="AM3144" s="1" t="str">
        <f t="shared" si="186"/>
        <v>3142_C0008_1444.jpg</v>
      </c>
    </row>
    <row r="3145" spans="1:39" x14ac:dyDescent="0.35">
      <c r="A3145">
        <v>3141</v>
      </c>
      <c r="B3145">
        <v>3142</v>
      </c>
      <c r="F3145" s="64" t="s">
        <v>5695</v>
      </c>
      <c r="G3145" s="64"/>
      <c r="H3145" s="64"/>
      <c r="I3145" s="64">
        <v>0</v>
      </c>
      <c r="J3145" s="32" t="str">
        <f>IF(AND(E3145=1,OR(E3144=0,E3144="")),MAX(#REF!)+1,IF(AND(E3145=1,E3144=1),J3144,""))</f>
        <v/>
      </c>
      <c r="K3145" s="32" t="str">
        <f t="shared" si="185"/>
        <v/>
      </c>
      <c r="L3145" s="32" t="str">
        <f t="shared" si="187"/>
        <v/>
      </c>
      <c r="M3145" s="32" t="str">
        <f t="shared" si="188"/>
        <v/>
      </c>
      <c r="N3145" s="4">
        <v>0</v>
      </c>
      <c r="O3145" s="58">
        <v>0</v>
      </c>
      <c r="P3145" s="58">
        <v>0</v>
      </c>
      <c r="Q3145" s="58">
        <v>0</v>
      </c>
      <c r="R3145" s="58">
        <v>0</v>
      </c>
      <c r="S3145" s="58">
        <v>0</v>
      </c>
      <c r="T3145" s="58">
        <v>0</v>
      </c>
      <c r="U3145" s="58">
        <v>0</v>
      </c>
      <c r="V3145" s="58">
        <v>0</v>
      </c>
      <c r="AG3145" t="s">
        <v>2855</v>
      </c>
      <c r="AM3145" s="1" t="str">
        <f t="shared" si="186"/>
        <v>3143_C0008_1440.jpg</v>
      </c>
    </row>
    <row r="3146" spans="1:39" x14ac:dyDescent="0.35">
      <c r="A3146">
        <v>3142</v>
      </c>
      <c r="B3146">
        <v>3143</v>
      </c>
      <c r="F3146" s="64" t="s">
        <v>5696</v>
      </c>
      <c r="G3146" s="64"/>
      <c r="H3146" s="64"/>
      <c r="I3146" s="64">
        <v>0</v>
      </c>
      <c r="J3146" s="32" t="str">
        <f>IF(AND(E3146=1,OR(E3145=0,E3145="")),MAX(#REF!)+1,IF(AND(E3146=1,E3145=1),J3145,""))</f>
        <v/>
      </c>
      <c r="K3146" s="32" t="str">
        <f t="shared" si="185"/>
        <v/>
      </c>
      <c r="L3146" s="32" t="str">
        <f t="shared" si="187"/>
        <v/>
      </c>
      <c r="M3146" s="32" t="str">
        <f t="shared" si="188"/>
        <v/>
      </c>
      <c r="N3146" s="4">
        <v>0</v>
      </c>
      <c r="O3146" s="58">
        <v>0</v>
      </c>
      <c r="P3146" s="58">
        <v>0</v>
      </c>
      <c r="Q3146" s="58">
        <v>0</v>
      </c>
      <c r="R3146" s="58">
        <v>0</v>
      </c>
      <c r="S3146" s="58">
        <v>0</v>
      </c>
      <c r="T3146" s="58">
        <v>0</v>
      </c>
      <c r="U3146" s="58">
        <v>0</v>
      </c>
      <c r="V3146" s="58">
        <v>0</v>
      </c>
      <c r="AG3146" t="s">
        <v>2856</v>
      </c>
      <c r="AM3146" s="1" t="str">
        <f t="shared" si="186"/>
        <v>3144_C0008_1437.jpg</v>
      </c>
    </row>
    <row r="3147" spans="1:39" x14ac:dyDescent="0.35">
      <c r="A3147">
        <v>3143</v>
      </c>
      <c r="B3147">
        <v>3144</v>
      </c>
      <c r="F3147" s="64" t="s">
        <v>5697</v>
      </c>
      <c r="G3147" s="64"/>
      <c r="H3147" s="64"/>
      <c r="I3147" s="64">
        <v>0</v>
      </c>
      <c r="J3147" s="32" t="str">
        <f>IF(AND(E3147=1,OR(E3146=0,E3146="")),MAX(#REF!)+1,IF(AND(E3147=1,E3146=1),J3146,""))</f>
        <v/>
      </c>
      <c r="K3147" s="32" t="str">
        <f t="shared" si="185"/>
        <v/>
      </c>
      <c r="L3147" s="32" t="str">
        <f t="shared" si="187"/>
        <v/>
      </c>
      <c r="M3147" s="32" t="str">
        <f t="shared" si="188"/>
        <v/>
      </c>
      <c r="N3147" s="4">
        <v>0</v>
      </c>
      <c r="O3147" s="58">
        <v>0</v>
      </c>
      <c r="P3147" s="58">
        <v>0</v>
      </c>
      <c r="Q3147" s="58">
        <v>0</v>
      </c>
      <c r="R3147" s="58">
        <v>0</v>
      </c>
      <c r="S3147" s="58">
        <v>0</v>
      </c>
      <c r="T3147" s="58">
        <v>0</v>
      </c>
      <c r="U3147" s="58">
        <v>0</v>
      </c>
      <c r="V3147" s="58">
        <v>0</v>
      </c>
      <c r="AG3147" t="s">
        <v>2857</v>
      </c>
      <c r="AM3147" s="1" t="str">
        <f t="shared" si="186"/>
        <v>3145_C0008_1433.jpg</v>
      </c>
    </row>
    <row r="3148" spans="1:39" x14ac:dyDescent="0.35">
      <c r="A3148">
        <v>3144</v>
      </c>
      <c r="B3148">
        <v>3145</v>
      </c>
      <c r="F3148" s="64" t="s">
        <v>5698</v>
      </c>
      <c r="G3148" s="64"/>
      <c r="H3148" s="64"/>
      <c r="I3148" s="64">
        <v>0</v>
      </c>
      <c r="J3148" s="32" t="str">
        <f>IF(AND(E3148=1,OR(E3147=0,E3147="")),MAX(#REF!)+1,IF(AND(E3148=1,E3147=1),J3147,""))</f>
        <v/>
      </c>
      <c r="K3148" s="32" t="str">
        <f t="shared" si="185"/>
        <v/>
      </c>
      <c r="L3148" s="32" t="str">
        <f t="shared" si="187"/>
        <v/>
      </c>
      <c r="M3148" s="32" t="str">
        <f t="shared" si="188"/>
        <v/>
      </c>
      <c r="N3148" s="4">
        <v>0</v>
      </c>
      <c r="O3148" s="58">
        <v>0</v>
      </c>
      <c r="P3148" s="58">
        <v>0</v>
      </c>
      <c r="Q3148" s="58">
        <v>0</v>
      </c>
      <c r="R3148" s="58">
        <v>0</v>
      </c>
      <c r="S3148" s="58">
        <v>0</v>
      </c>
      <c r="T3148" s="58">
        <v>0</v>
      </c>
      <c r="U3148" s="58">
        <v>0</v>
      </c>
      <c r="V3148" s="58">
        <v>0</v>
      </c>
      <c r="AG3148" t="s">
        <v>2858</v>
      </c>
      <c r="AM3148" s="1" t="str">
        <f t="shared" ref="AM3148:AM3179" si="189">HYPERLINK("E:\CAFNEC_GBRF\2023\JohnstoneRiver\Frames_for_Analysis\" &amp; F3149, F3149)</f>
        <v>3146_C0008_1430.jpg</v>
      </c>
    </row>
    <row r="3149" spans="1:39" x14ac:dyDescent="0.35">
      <c r="A3149">
        <v>3145</v>
      </c>
      <c r="B3149">
        <v>3146</v>
      </c>
      <c r="F3149" s="64" t="s">
        <v>5699</v>
      </c>
      <c r="G3149" s="64"/>
      <c r="H3149" s="64"/>
      <c r="I3149" s="64">
        <v>0</v>
      </c>
      <c r="J3149" s="32" t="str">
        <f>IF(AND(E3149=1,OR(E3148=0,E3148="")),MAX(#REF!)+1,IF(AND(E3149=1,E3148=1),J3148,""))</f>
        <v/>
      </c>
      <c r="K3149" s="32" t="str">
        <f t="shared" si="185"/>
        <v/>
      </c>
      <c r="L3149" s="32" t="str">
        <f t="shared" si="187"/>
        <v/>
      </c>
      <c r="M3149" s="32" t="str">
        <f t="shared" si="188"/>
        <v/>
      </c>
      <c r="N3149" s="4">
        <v>0</v>
      </c>
      <c r="O3149" s="58">
        <v>0</v>
      </c>
      <c r="P3149" s="58">
        <v>0</v>
      </c>
      <c r="Q3149" s="58">
        <v>0</v>
      </c>
      <c r="R3149" s="58">
        <v>0</v>
      </c>
      <c r="S3149" s="58">
        <v>0</v>
      </c>
      <c r="T3149" s="58">
        <v>0</v>
      </c>
      <c r="U3149" s="58">
        <v>0</v>
      </c>
      <c r="V3149" s="58">
        <v>0</v>
      </c>
      <c r="AG3149" t="s">
        <v>2859</v>
      </c>
      <c r="AM3149" s="1" t="str">
        <f t="shared" si="189"/>
        <v>3147_C0008_1426.jpg</v>
      </c>
    </row>
    <row r="3150" spans="1:39" x14ac:dyDescent="0.35">
      <c r="A3150">
        <v>3146</v>
      </c>
      <c r="B3150">
        <v>3147</v>
      </c>
      <c r="F3150" s="64" t="s">
        <v>5700</v>
      </c>
      <c r="G3150" s="64"/>
      <c r="H3150" s="64"/>
      <c r="I3150" s="64">
        <v>0</v>
      </c>
      <c r="J3150" s="32" t="str">
        <f>IF(AND(E3150=1,OR(E3149=0,E3149="")),MAX(#REF!)+1,IF(AND(E3150=1,E3149=1),J3149,""))</f>
        <v/>
      </c>
      <c r="K3150" s="32" t="str">
        <f t="shared" si="185"/>
        <v/>
      </c>
      <c r="L3150" s="32" t="str">
        <f t="shared" si="187"/>
        <v/>
      </c>
      <c r="M3150" s="32" t="str">
        <f t="shared" si="188"/>
        <v/>
      </c>
      <c r="N3150" s="4">
        <v>0</v>
      </c>
      <c r="O3150" s="58">
        <v>0</v>
      </c>
      <c r="P3150" s="58">
        <v>0</v>
      </c>
      <c r="Q3150" s="58">
        <v>0</v>
      </c>
      <c r="R3150" s="58">
        <v>0</v>
      </c>
      <c r="S3150" s="58">
        <v>0</v>
      </c>
      <c r="T3150" s="58">
        <v>0</v>
      </c>
      <c r="U3150" s="58">
        <v>0</v>
      </c>
      <c r="V3150" s="58">
        <v>0</v>
      </c>
      <c r="AG3150" t="s">
        <v>2860</v>
      </c>
      <c r="AM3150" s="1" t="str">
        <f t="shared" si="189"/>
        <v>3148_C0008_1423.jpg</v>
      </c>
    </row>
    <row r="3151" spans="1:39" x14ac:dyDescent="0.35">
      <c r="A3151">
        <v>3147</v>
      </c>
      <c r="B3151">
        <v>3148</v>
      </c>
      <c r="F3151" s="64" t="s">
        <v>5701</v>
      </c>
      <c r="G3151" s="64"/>
      <c r="H3151" s="64"/>
      <c r="I3151" s="64">
        <v>0</v>
      </c>
      <c r="J3151" s="32" t="str">
        <f>IF(AND(E3151=1,OR(E3150=0,E3150="")),MAX(#REF!)+1,IF(AND(E3151=1,E3150=1),J3150,""))</f>
        <v/>
      </c>
      <c r="K3151" s="32" t="str">
        <f t="shared" si="185"/>
        <v/>
      </c>
      <c r="L3151" s="32" t="str">
        <f t="shared" si="187"/>
        <v/>
      </c>
      <c r="M3151" s="32" t="str">
        <f t="shared" si="188"/>
        <v/>
      </c>
      <c r="N3151" s="4">
        <v>0</v>
      </c>
      <c r="O3151" s="58">
        <v>0</v>
      </c>
      <c r="P3151" s="58">
        <v>0</v>
      </c>
      <c r="Q3151" s="58">
        <v>0</v>
      </c>
      <c r="R3151" s="58">
        <v>0</v>
      </c>
      <c r="S3151" s="58">
        <v>0</v>
      </c>
      <c r="T3151" s="58">
        <v>0</v>
      </c>
      <c r="U3151" s="58">
        <v>0</v>
      </c>
      <c r="V3151" s="58">
        <v>0</v>
      </c>
      <c r="AG3151" t="s">
        <v>2861</v>
      </c>
      <c r="AM3151" s="1" t="str">
        <f t="shared" si="189"/>
        <v>3149_C0008_1419.jpg</v>
      </c>
    </row>
    <row r="3152" spans="1:39" x14ac:dyDescent="0.35">
      <c r="A3152">
        <v>3148</v>
      </c>
      <c r="B3152">
        <v>3149</v>
      </c>
      <c r="F3152" s="64" t="s">
        <v>5702</v>
      </c>
      <c r="G3152" s="64"/>
      <c r="H3152" s="64"/>
      <c r="I3152" s="64">
        <v>0</v>
      </c>
      <c r="J3152" s="32" t="str">
        <f>IF(AND(E3152=1,OR(E3151=0,E3151="")),MAX(#REF!)+1,IF(AND(E3152=1,E3151=1),J3151,""))</f>
        <v/>
      </c>
      <c r="K3152" s="32" t="str">
        <f t="shared" si="185"/>
        <v/>
      </c>
      <c r="L3152" s="32" t="str">
        <f t="shared" si="187"/>
        <v/>
      </c>
      <c r="M3152" s="32" t="str">
        <f t="shared" si="188"/>
        <v/>
      </c>
      <c r="N3152" s="4">
        <v>0</v>
      </c>
      <c r="O3152" s="58">
        <v>0</v>
      </c>
      <c r="P3152" s="58">
        <v>0</v>
      </c>
      <c r="Q3152" s="58">
        <v>0</v>
      </c>
      <c r="R3152" s="58">
        <v>0</v>
      </c>
      <c r="S3152" s="58">
        <v>0</v>
      </c>
      <c r="T3152" s="58">
        <v>0</v>
      </c>
      <c r="U3152" s="58">
        <v>0</v>
      </c>
      <c r="V3152" s="58">
        <v>0</v>
      </c>
      <c r="AG3152" t="s">
        <v>2862</v>
      </c>
      <c r="AM3152" s="1" t="str">
        <f t="shared" si="189"/>
        <v>3150_C0008_1416.jpg</v>
      </c>
    </row>
    <row r="3153" spans="1:39" x14ac:dyDescent="0.35">
      <c r="A3153">
        <v>3149</v>
      </c>
      <c r="B3153">
        <v>3150</v>
      </c>
      <c r="F3153" s="64" t="s">
        <v>5703</v>
      </c>
      <c r="G3153" s="64"/>
      <c r="H3153" s="64"/>
      <c r="I3153" s="64">
        <v>0</v>
      </c>
      <c r="J3153" s="32" t="str">
        <f>IF(AND(E3153=1,OR(E3152=0,E3152="")),MAX(#REF!)+1,IF(AND(E3153=1,E3152=1),J3152,""))</f>
        <v/>
      </c>
      <c r="K3153" s="32" t="str">
        <f t="shared" si="185"/>
        <v/>
      </c>
      <c r="L3153" s="32" t="str">
        <f t="shared" si="187"/>
        <v/>
      </c>
      <c r="M3153" s="32" t="str">
        <f t="shared" si="188"/>
        <v/>
      </c>
      <c r="N3153" s="4">
        <v>0</v>
      </c>
      <c r="O3153" s="58">
        <v>0</v>
      </c>
      <c r="P3153" s="58">
        <v>0</v>
      </c>
      <c r="Q3153" s="58">
        <v>0</v>
      </c>
      <c r="R3153" s="58">
        <v>0</v>
      </c>
      <c r="S3153" s="58">
        <v>0</v>
      </c>
      <c r="T3153" s="58">
        <v>0</v>
      </c>
      <c r="U3153" s="58">
        <v>0</v>
      </c>
      <c r="V3153" s="58">
        <v>0</v>
      </c>
      <c r="AG3153" t="s">
        <v>2863</v>
      </c>
      <c r="AM3153" s="1" t="str">
        <f t="shared" si="189"/>
        <v>3151_C0008_1412.jpg</v>
      </c>
    </row>
    <row r="3154" spans="1:39" x14ac:dyDescent="0.35">
      <c r="A3154">
        <v>3150</v>
      </c>
      <c r="B3154">
        <v>3151</v>
      </c>
      <c r="F3154" s="64" t="s">
        <v>5704</v>
      </c>
      <c r="G3154" s="64"/>
      <c r="H3154" s="64"/>
      <c r="I3154" s="64">
        <v>0</v>
      </c>
      <c r="J3154" s="32" t="str">
        <f>IF(AND(E3154=1,OR(E3153=0,E3153="")),MAX(#REF!)+1,IF(AND(E3154=1,E3153=1),J3153,""))</f>
        <v/>
      </c>
      <c r="K3154" s="32" t="str">
        <f t="shared" si="185"/>
        <v/>
      </c>
      <c r="L3154" s="32" t="str">
        <f t="shared" si="187"/>
        <v/>
      </c>
      <c r="M3154" s="32" t="str">
        <f t="shared" si="188"/>
        <v/>
      </c>
      <c r="N3154" s="4">
        <v>0</v>
      </c>
      <c r="O3154" s="58">
        <v>0</v>
      </c>
      <c r="P3154" s="58">
        <v>0</v>
      </c>
      <c r="Q3154" s="58">
        <v>0</v>
      </c>
      <c r="R3154" s="58">
        <v>0</v>
      </c>
      <c r="S3154" s="58">
        <v>0</v>
      </c>
      <c r="T3154" s="58">
        <v>0</v>
      </c>
      <c r="U3154" s="58">
        <v>0</v>
      </c>
      <c r="V3154" s="58">
        <v>0</v>
      </c>
      <c r="AG3154" t="s">
        <v>2864</v>
      </c>
      <c r="AM3154" s="1" t="str">
        <f t="shared" si="189"/>
        <v>3152_C0008_1409.jpg</v>
      </c>
    </row>
    <row r="3155" spans="1:39" x14ac:dyDescent="0.35">
      <c r="A3155">
        <v>3151</v>
      </c>
      <c r="B3155">
        <v>3152</v>
      </c>
      <c r="F3155" s="64" t="s">
        <v>5705</v>
      </c>
      <c r="G3155" s="64"/>
      <c r="H3155" s="64"/>
      <c r="I3155" s="64">
        <v>0</v>
      </c>
      <c r="J3155" s="32" t="str">
        <f>IF(AND(E3155=1,OR(E3154=0,E3154="")),MAX(#REF!)+1,IF(AND(E3155=1,E3154=1),J3154,""))</f>
        <v/>
      </c>
      <c r="K3155" s="32" t="str">
        <f t="shared" si="185"/>
        <v/>
      </c>
      <c r="L3155" s="32" t="str">
        <f t="shared" si="187"/>
        <v/>
      </c>
      <c r="M3155" s="32" t="str">
        <f t="shared" si="188"/>
        <v/>
      </c>
      <c r="N3155" s="4">
        <v>0</v>
      </c>
      <c r="O3155" s="58">
        <v>0</v>
      </c>
      <c r="P3155" s="58">
        <v>0</v>
      </c>
      <c r="Q3155" s="58">
        <v>0</v>
      </c>
      <c r="R3155" s="58">
        <v>0</v>
      </c>
      <c r="S3155" s="58">
        <v>0</v>
      </c>
      <c r="T3155" s="58">
        <v>0</v>
      </c>
      <c r="U3155" s="58">
        <v>0</v>
      </c>
      <c r="V3155" s="58">
        <v>0</v>
      </c>
      <c r="AG3155" t="s">
        <v>2865</v>
      </c>
      <c r="AM3155" s="1" t="str">
        <f t="shared" si="189"/>
        <v>3153_C0008_1406.jpg</v>
      </c>
    </row>
    <row r="3156" spans="1:39" x14ac:dyDescent="0.35">
      <c r="A3156">
        <v>3152</v>
      </c>
      <c r="B3156">
        <v>3153</v>
      </c>
      <c r="F3156" s="64" t="s">
        <v>5706</v>
      </c>
      <c r="G3156" s="64"/>
      <c r="H3156" s="64"/>
      <c r="I3156" s="64">
        <v>0</v>
      </c>
      <c r="J3156" s="32" t="str">
        <f>IF(AND(E3156=1,OR(E3155=0,E3155="")),MAX(#REF!)+1,IF(AND(E3156=1,E3155=1),J3155,""))</f>
        <v/>
      </c>
      <c r="K3156" s="32" t="str">
        <f t="shared" si="185"/>
        <v/>
      </c>
      <c r="L3156" s="32" t="str">
        <f t="shared" si="187"/>
        <v/>
      </c>
      <c r="M3156" s="32" t="str">
        <f t="shared" si="188"/>
        <v/>
      </c>
      <c r="N3156" s="4">
        <v>0</v>
      </c>
      <c r="O3156" s="58">
        <v>0</v>
      </c>
      <c r="P3156" s="58">
        <v>0</v>
      </c>
      <c r="Q3156" s="58">
        <v>0</v>
      </c>
      <c r="R3156" s="58">
        <v>0</v>
      </c>
      <c r="S3156" s="58">
        <v>0</v>
      </c>
      <c r="T3156" s="58">
        <v>0</v>
      </c>
      <c r="U3156" s="58">
        <v>0</v>
      </c>
      <c r="V3156" s="58">
        <v>0</v>
      </c>
      <c r="AG3156" t="s">
        <v>2866</v>
      </c>
      <c r="AM3156" s="1" t="str">
        <f t="shared" si="189"/>
        <v>3154_C0008_1403.jpg</v>
      </c>
    </row>
    <row r="3157" spans="1:39" x14ac:dyDescent="0.35">
      <c r="A3157">
        <v>3153</v>
      </c>
      <c r="B3157">
        <v>3154</v>
      </c>
      <c r="F3157" s="64" t="s">
        <v>5707</v>
      </c>
      <c r="G3157" s="64"/>
      <c r="H3157" s="64"/>
      <c r="I3157" s="64">
        <v>0</v>
      </c>
      <c r="J3157" s="32" t="str">
        <f>IF(AND(E3157=1,OR(E3156=0,E3156="")),MAX(#REF!)+1,IF(AND(E3157=1,E3156=1),J3156,""))</f>
        <v/>
      </c>
      <c r="K3157" s="32" t="str">
        <f t="shared" si="185"/>
        <v/>
      </c>
      <c r="L3157" s="32" t="str">
        <f t="shared" si="187"/>
        <v/>
      </c>
      <c r="M3157" s="32" t="str">
        <f t="shared" si="188"/>
        <v/>
      </c>
      <c r="N3157" s="4">
        <v>0</v>
      </c>
      <c r="O3157" s="58">
        <v>0</v>
      </c>
      <c r="P3157" s="58">
        <v>0</v>
      </c>
      <c r="Q3157" s="58">
        <v>0</v>
      </c>
      <c r="R3157" s="58">
        <v>0</v>
      </c>
      <c r="S3157" s="58">
        <v>0</v>
      </c>
      <c r="T3157" s="58">
        <v>0</v>
      </c>
      <c r="U3157" s="58">
        <v>0</v>
      </c>
      <c r="V3157" s="58">
        <v>0</v>
      </c>
      <c r="AG3157" t="s">
        <v>2867</v>
      </c>
      <c r="AM3157" s="1" t="str">
        <f t="shared" si="189"/>
        <v>3155_C0008_1400.jpg</v>
      </c>
    </row>
    <row r="3158" spans="1:39" x14ac:dyDescent="0.35">
      <c r="A3158">
        <v>3154</v>
      </c>
      <c r="B3158">
        <v>3155</v>
      </c>
      <c r="F3158" s="64" t="s">
        <v>5708</v>
      </c>
      <c r="G3158" s="64"/>
      <c r="H3158" s="64"/>
      <c r="I3158" s="64">
        <v>0</v>
      </c>
      <c r="J3158" s="32" t="str">
        <f>IF(AND(E3158=1,OR(E3157=0,E3157="")),MAX(#REF!)+1,IF(AND(E3158=1,E3157=1),J3157,""))</f>
        <v/>
      </c>
      <c r="K3158" s="32" t="str">
        <f t="shared" si="185"/>
        <v/>
      </c>
      <c r="L3158" s="32" t="str">
        <f t="shared" si="187"/>
        <v/>
      </c>
      <c r="M3158" s="32" t="str">
        <f t="shared" si="188"/>
        <v/>
      </c>
      <c r="N3158" s="4">
        <v>0</v>
      </c>
      <c r="O3158" s="58">
        <v>0</v>
      </c>
      <c r="P3158" s="58">
        <v>0</v>
      </c>
      <c r="Q3158" s="58">
        <v>0</v>
      </c>
      <c r="R3158" s="58">
        <v>0</v>
      </c>
      <c r="S3158" s="58">
        <v>0</v>
      </c>
      <c r="T3158" s="58">
        <v>0</v>
      </c>
      <c r="U3158" s="58">
        <v>0</v>
      </c>
      <c r="V3158" s="58">
        <v>0</v>
      </c>
      <c r="AG3158" t="s">
        <v>2868</v>
      </c>
      <c r="AM3158" s="1" t="str">
        <f t="shared" si="189"/>
        <v>3156_C0008_1397.jpg</v>
      </c>
    </row>
    <row r="3159" spans="1:39" x14ac:dyDescent="0.35">
      <c r="A3159">
        <v>3155</v>
      </c>
      <c r="B3159">
        <v>3156</v>
      </c>
      <c r="F3159" s="64" t="s">
        <v>5709</v>
      </c>
      <c r="G3159" s="64"/>
      <c r="H3159" s="64"/>
      <c r="I3159" s="64">
        <v>0</v>
      </c>
      <c r="J3159" s="32" t="str">
        <f>IF(AND(E3159=1,OR(E3158=0,E3158="")),MAX(#REF!)+1,IF(AND(E3159=1,E3158=1),J3158,""))</f>
        <v/>
      </c>
      <c r="K3159" s="32" t="str">
        <f t="shared" si="185"/>
        <v/>
      </c>
      <c r="L3159" s="32" t="str">
        <f t="shared" si="187"/>
        <v/>
      </c>
      <c r="M3159" s="32" t="str">
        <f t="shared" si="188"/>
        <v/>
      </c>
      <c r="N3159" s="4">
        <v>0</v>
      </c>
      <c r="O3159" s="58">
        <v>0</v>
      </c>
      <c r="P3159" s="58">
        <v>0</v>
      </c>
      <c r="Q3159" s="58">
        <v>0</v>
      </c>
      <c r="R3159" s="58">
        <v>0</v>
      </c>
      <c r="S3159" s="58">
        <v>0</v>
      </c>
      <c r="T3159" s="58">
        <v>0</v>
      </c>
      <c r="U3159" s="58">
        <v>0</v>
      </c>
      <c r="V3159" s="58">
        <v>0</v>
      </c>
      <c r="AG3159" t="s">
        <v>2869</v>
      </c>
      <c r="AM3159" s="1" t="str">
        <f t="shared" si="189"/>
        <v>3157_C0008_1393.jpg</v>
      </c>
    </row>
    <row r="3160" spans="1:39" x14ac:dyDescent="0.35">
      <c r="A3160">
        <v>3156</v>
      </c>
      <c r="B3160">
        <v>3157</v>
      </c>
      <c r="F3160" s="64" t="s">
        <v>5710</v>
      </c>
      <c r="G3160" s="64"/>
      <c r="H3160" s="64"/>
      <c r="I3160" s="64">
        <v>0</v>
      </c>
      <c r="J3160" s="32" t="str">
        <f>IF(AND(E3160=1,OR(E3159=0,E3159="")),MAX(#REF!)+1,IF(AND(E3160=1,E3159=1),J3159,""))</f>
        <v/>
      </c>
      <c r="K3160" s="32" t="str">
        <f t="shared" si="185"/>
        <v/>
      </c>
      <c r="L3160" s="32" t="str">
        <f t="shared" si="187"/>
        <v/>
      </c>
      <c r="M3160" s="32" t="str">
        <f t="shared" si="188"/>
        <v/>
      </c>
      <c r="N3160" s="4">
        <v>0</v>
      </c>
      <c r="O3160" s="58">
        <v>0</v>
      </c>
      <c r="P3160" s="58">
        <v>0</v>
      </c>
      <c r="Q3160" s="58">
        <v>0</v>
      </c>
      <c r="R3160" s="58">
        <v>0</v>
      </c>
      <c r="S3160" s="58">
        <v>0</v>
      </c>
      <c r="T3160" s="58">
        <v>0</v>
      </c>
      <c r="U3160" s="58">
        <v>0</v>
      </c>
      <c r="V3160" s="58">
        <v>0</v>
      </c>
      <c r="AG3160" t="s">
        <v>2870</v>
      </c>
      <c r="AM3160" s="1" t="str">
        <f t="shared" si="189"/>
        <v>3158_C0008_1389.jpg</v>
      </c>
    </row>
    <row r="3161" spans="1:39" x14ac:dyDescent="0.35">
      <c r="A3161">
        <v>3157</v>
      </c>
      <c r="B3161">
        <v>3158</v>
      </c>
      <c r="F3161" s="64" t="s">
        <v>5711</v>
      </c>
      <c r="G3161" s="64"/>
      <c r="H3161" s="64"/>
      <c r="I3161" s="64">
        <v>0</v>
      </c>
      <c r="J3161" s="32" t="str">
        <f>IF(AND(E3161=1,OR(E3160=0,E3160="")),MAX(#REF!)+1,IF(AND(E3161=1,E3160=1),J3160,""))</f>
        <v/>
      </c>
      <c r="K3161" s="32" t="str">
        <f t="shared" si="185"/>
        <v/>
      </c>
      <c r="L3161" s="32" t="str">
        <f t="shared" si="187"/>
        <v/>
      </c>
      <c r="M3161" s="32" t="str">
        <f t="shared" si="188"/>
        <v/>
      </c>
      <c r="N3161" s="4">
        <v>0</v>
      </c>
      <c r="O3161" s="58">
        <v>0</v>
      </c>
      <c r="P3161" s="58">
        <v>0</v>
      </c>
      <c r="Q3161" s="58">
        <v>0</v>
      </c>
      <c r="R3161" s="58">
        <v>0</v>
      </c>
      <c r="S3161" s="58">
        <v>0</v>
      </c>
      <c r="T3161" s="58">
        <v>0</v>
      </c>
      <c r="U3161" s="58">
        <v>0</v>
      </c>
      <c r="V3161" s="58">
        <v>0</v>
      </c>
      <c r="AG3161" t="s">
        <v>2871</v>
      </c>
      <c r="AM3161" s="1" t="str">
        <f t="shared" si="189"/>
        <v>3159_C0008_1386.jpg</v>
      </c>
    </row>
    <row r="3162" spans="1:39" x14ac:dyDescent="0.35">
      <c r="A3162">
        <v>3158</v>
      </c>
      <c r="B3162">
        <v>3159</v>
      </c>
      <c r="F3162" s="64" t="s">
        <v>5712</v>
      </c>
      <c r="G3162" s="64"/>
      <c r="H3162" s="64"/>
      <c r="I3162" s="64">
        <v>0</v>
      </c>
      <c r="J3162" s="32" t="str">
        <f>IF(AND(E3162=1,OR(E3161=0,E3161="")),MAX(#REF!)+1,IF(AND(E3162=1,E3161=1),J3161,""))</f>
        <v/>
      </c>
      <c r="K3162" s="32" t="str">
        <f t="shared" si="185"/>
        <v/>
      </c>
      <c r="L3162" s="32" t="str">
        <f t="shared" si="187"/>
        <v/>
      </c>
      <c r="M3162" s="32" t="str">
        <f t="shared" si="188"/>
        <v/>
      </c>
      <c r="N3162" s="4">
        <v>0</v>
      </c>
      <c r="O3162" s="58">
        <v>0</v>
      </c>
      <c r="P3162" s="58">
        <v>0</v>
      </c>
      <c r="Q3162" s="58">
        <v>0</v>
      </c>
      <c r="R3162" s="58">
        <v>0</v>
      </c>
      <c r="S3162" s="58">
        <v>0</v>
      </c>
      <c r="T3162" s="58">
        <v>0</v>
      </c>
      <c r="U3162" s="58">
        <v>0</v>
      </c>
      <c r="V3162" s="58">
        <v>0</v>
      </c>
      <c r="AG3162" t="s">
        <v>2872</v>
      </c>
      <c r="AM3162" s="1" t="str">
        <f t="shared" si="189"/>
        <v>3160_C0008_1383.jpg</v>
      </c>
    </row>
    <row r="3163" spans="1:39" x14ac:dyDescent="0.35">
      <c r="A3163">
        <v>3159</v>
      </c>
      <c r="B3163">
        <v>3160</v>
      </c>
      <c r="F3163" s="64" t="s">
        <v>5713</v>
      </c>
      <c r="G3163" s="64"/>
      <c r="H3163" s="64"/>
      <c r="I3163" s="64">
        <v>0</v>
      </c>
      <c r="J3163" s="32" t="str">
        <f>IF(AND(E3163=1,OR(E3162=0,E3162="")),MAX(#REF!)+1,IF(AND(E3163=1,E3162=1),J3162,""))</f>
        <v/>
      </c>
      <c r="K3163" s="32" t="str">
        <f t="shared" si="185"/>
        <v/>
      </c>
      <c r="L3163" s="32" t="str">
        <f t="shared" si="187"/>
        <v/>
      </c>
      <c r="M3163" s="32" t="str">
        <f t="shared" si="188"/>
        <v/>
      </c>
      <c r="N3163" s="4">
        <v>0</v>
      </c>
      <c r="O3163" s="58">
        <v>0</v>
      </c>
      <c r="P3163" s="58">
        <v>0</v>
      </c>
      <c r="Q3163" s="58">
        <v>0</v>
      </c>
      <c r="R3163" s="58">
        <v>0</v>
      </c>
      <c r="S3163" s="58">
        <v>0</v>
      </c>
      <c r="T3163" s="58">
        <v>0</v>
      </c>
      <c r="U3163" s="58">
        <v>0</v>
      </c>
      <c r="V3163" s="58">
        <v>0</v>
      </c>
      <c r="AG3163" t="s">
        <v>2873</v>
      </c>
      <c r="AM3163" s="1" t="str">
        <f t="shared" si="189"/>
        <v>3161_C0008_1380.jpg</v>
      </c>
    </row>
    <row r="3164" spans="1:39" x14ac:dyDescent="0.35">
      <c r="A3164">
        <v>3160</v>
      </c>
      <c r="B3164">
        <v>3161</v>
      </c>
      <c r="F3164" s="64" t="s">
        <v>5714</v>
      </c>
      <c r="G3164" s="64"/>
      <c r="H3164" s="64"/>
      <c r="I3164" s="64">
        <v>0</v>
      </c>
      <c r="J3164" s="32" t="str">
        <f>IF(AND(E3164=1,OR(E3163=0,E3163="")),MAX(#REF!)+1,IF(AND(E3164=1,E3163=1),J3163,""))</f>
        <v/>
      </c>
      <c r="K3164" s="32" t="str">
        <f t="shared" si="185"/>
        <v/>
      </c>
      <c r="L3164" s="32" t="str">
        <f t="shared" si="187"/>
        <v/>
      </c>
      <c r="M3164" s="32" t="str">
        <f t="shared" si="188"/>
        <v/>
      </c>
      <c r="N3164" s="4">
        <v>0</v>
      </c>
      <c r="O3164" s="58">
        <v>0</v>
      </c>
      <c r="P3164" s="58">
        <v>0</v>
      </c>
      <c r="Q3164" s="58">
        <v>0</v>
      </c>
      <c r="R3164" s="58">
        <v>0</v>
      </c>
      <c r="S3164" s="58">
        <v>0</v>
      </c>
      <c r="T3164" s="58">
        <v>0</v>
      </c>
      <c r="U3164" s="58">
        <v>0</v>
      </c>
      <c r="V3164" s="58">
        <v>0</v>
      </c>
      <c r="AG3164" t="s">
        <v>2874</v>
      </c>
      <c r="AM3164" s="1" t="str">
        <f t="shared" si="189"/>
        <v>3162_C0008_1377.jpg</v>
      </c>
    </row>
    <row r="3165" spans="1:39" x14ac:dyDescent="0.35">
      <c r="A3165">
        <v>3161</v>
      </c>
      <c r="B3165">
        <v>3162</v>
      </c>
      <c r="F3165" s="64" t="s">
        <v>5715</v>
      </c>
      <c r="G3165" s="64"/>
      <c r="H3165" s="64"/>
      <c r="I3165" s="64">
        <v>0</v>
      </c>
      <c r="J3165" s="32" t="str">
        <f>IF(AND(E3165=1,OR(E3164=0,E3164="")),MAX(#REF!)+1,IF(AND(E3165=1,E3164=1),J3164,""))</f>
        <v/>
      </c>
      <c r="K3165" s="32" t="str">
        <f t="shared" si="185"/>
        <v/>
      </c>
      <c r="L3165" s="32" t="str">
        <f t="shared" si="187"/>
        <v/>
      </c>
      <c r="M3165" s="32" t="str">
        <f t="shared" si="188"/>
        <v/>
      </c>
      <c r="N3165" s="4">
        <v>0</v>
      </c>
      <c r="O3165" s="58">
        <v>0</v>
      </c>
      <c r="P3165" s="58">
        <v>0</v>
      </c>
      <c r="Q3165" s="58">
        <v>0</v>
      </c>
      <c r="R3165" s="58">
        <v>0</v>
      </c>
      <c r="S3165" s="58">
        <v>0</v>
      </c>
      <c r="T3165" s="58">
        <v>0</v>
      </c>
      <c r="U3165" s="58">
        <v>0</v>
      </c>
      <c r="V3165" s="58">
        <v>0</v>
      </c>
      <c r="AG3165" t="s">
        <v>2875</v>
      </c>
      <c r="AM3165" s="1" t="str">
        <f t="shared" si="189"/>
        <v>3163_C0008_1374.jpg</v>
      </c>
    </row>
    <row r="3166" spans="1:39" x14ac:dyDescent="0.35">
      <c r="A3166">
        <v>3162</v>
      </c>
      <c r="B3166">
        <v>3163</v>
      </c>
      <c r="F3166" s="64" t="s">
        <v>5716</v>
      </c>
      <c r="G3166" s="64"/>
      <c r="H3166" s="64"/>
      <c r="I3166" s="64">
        <v>0</v>
      </c>
      <c r="J3166" s="32" t="str">
        <f>IF(AND(E3166=1,OR(E3165=0,E3165="")),MAX(#REF!)+1,IF(AND(E3166=1,E3165=1),J3165,""))</f>
        <v/>
      </c>
      <c r="K3166" s="32" t="str">
        <f t="shared" si="185"/>
        <v/>
      </c>
      <c r="L3166" s="32" t="str">
        <f t="shared" si="187"/>
        <v/>
      </c>
      <c r="M3166" s="32" t="str">
        <f t="shared" si="188"/>
        <v/>
      </c>
      <c r="N3166" s="4">
        <v>0</v>
      </c>
      <c r="O3166" s="58">
        <v>0</v>
      </c>
      <c r="P3166" s="58">
        <v>0</v>
      </c>
      <c r="Q3166" s="58">
        <v>0</v>
      </c>
      <c r="R3166" s="58">
        <v>0</v>
      </c>
      <c r="S3166" s="58">
        <v>0</v>
      </c>
      <c r="T3166" s="58">
        <v>0</v>
      </c>
      <c r="U3166" s="58">
        <v>0</v>
      </c>
      <c r="V3166" s="58">
        <v>0</v>
      </c>
      <c r="AG3166" t="s">
        <v>2876</v>
      </c>
      <c r="AM3166" s="1" t="str">
        <f t="shared" si="189"/>
        <v>3164_C0008_1371.jpg</v>
      </c>
    </row>
    <row r="3167" spans="1:39" x14ac:dyDescent="0.35">
      <c r="A3167">
        <v>3163</v>
      </c>
      <c r="B3167">
        <v>3164</v>
      </c>
      <c r="F3167" s="64" t="s">
        <v>5717</v>
      </c>
      <c r="G3167" s="64"/>
      <c r="H3167" s="64"/>
      <c r="I3167" s="64">
        <v>0</v>
      </c>
      <c r="J3167" s="32" t="str">
        <f>IF(AND(E3167=1,OR(E3166=0,E3166="")),MAX(#REF!)+1,IF(AND(E3167=1,E3166=1),J3166,""))</f>
        <v/>
      </c>
      <c r="K3167" s="32" t="str">
        <f t="shared" ref="K3167:K3230" si="190">IF(J3167="","",COUNTIF(J:J,J3167)*10)</f>
        <v/>
      </c>
      <c r="L3167" s="32" t="str">
        <f t="shared" si="187"/>
        <v/>
      </c>
      <c r="M3167" s="32" t="str">
        <f t="shared" si="188"/>
        <v/>
      </c>
      <c r="N3167" s="4">
        <v>0</v>
      </c>
      <c r="O3167" s="58">
        <v>0</v>
      </c>
      <c r="P3167" s="58">
        <v>0</v>
      </c>
      <c r="Q3167" s="58">
        <v>0</v>
      </c>
      <c r="R3167" s="58">
        <v>0</v>
      </c>
      <c r="S3167" s="58">
        <v>0</v>
      </c>
      <c r="T3167" s="58">
        <v>0</v>
      </c>
      <c r="U3167" s="58">
        <v>0</v>
      </c>
      <c r="V3167" s="58">
        <v>0</v>
      </c>
      <c r="AG3167" t="s">
        <v>2877</v>
      </c>
      <c r="AM3167" s="1" t="str">
        <f t="shared" si="189"/>
        <v>3165_C0008_1368.jpg</v>
      </c>
    </row>
    <row r="3168" spans="1:39" x14ac:dyDescent="0.35">
      <c r="A3168">
        <v>3164</v>
      </c>
      <c r="B3168">
        <v>3165</v>
      </c>
      <c r="F3168" s="64" t="s">
        <v>5718</v>
      </c>
      <c r="G3168" s="64"/>
      <c r="H3168" s="64"/>
      <c r="I3168" s="64">
        <v>0</v>
      </c>
      <c r="J3168" s="32" t="str">
        <f>IF(AND(E3168=1,OR(E3167=0,E3167="")),MAX(#REF!)+1,IF(AND(E3168=1,E3167=1),J3167,""))</f>
        <v/>
      </c>
      <c r="K3168" s="32" t="str">
        <f t="shared" si="190"/>
        <v/>
      </c>
      <c r="L3168" s="32" t="str">
        <f t="shared" si="187"/>
        <v/>
      </c>
      <c r="M3168" s="32" t="str">
        <f t="shared" si="188"/>
        <v/>
      </c>
      <c r="N3168" s="4">
        <v>0</v>
      </c>
      <c r="O3168" s="58">
        <v>0</v>
      </c>
      <c r="P3168" s="58">
        <v>0</v>
      </c>
      <c r="Q3168" s="58">
        <v>0</v>
      </c>
      <c r="R3168" s="58">
        <v>0</v>
      </c>
      <c r="S3168" s="58">
        <v>0</v>
      </c>
      <c r="T3168" s="58">
        <v>0</v>
      </c>
      <c r="U3168" s="58">
        <v>0</v>
      </c>
      <c r="V3168" s="58">
        <v>0</v>
      </c>
      <c r="AG3168" t="s">
        <v>2878</v>
      </c>
      <c r="AM3168" s="1" t="str">
        <f t="shared" si="189"/>
        <v>3166_C0008_1364.jpg</v>
      </c>
    </row>
    <row r="3169" spans="1:39" x14ac:dyDescent="0.35">
      <c r="A3169">
        <v>3165</v>
      </c>
      <c r="B3169">
        <v>3166</v>
      </c>
      <c r="F3169" s="64" t="s">
        <v>5719</v>
      </c>
      <c r="G3169" s="64"/>
      <c r="H3169" s="64"/>
      <c r="I3169" s="64">
        <v>0</v>
      </c>
      <c r="J3169" s="32" t="str">
        <f>IF(AND(E3169=1,OR(E3168=0,E3168="")),MAX(#REF!)+1,IF(AND(E3169=1,E3168=1),J3168,""))</f>
        <v/>
      </c>
      <c r="K3169" s="32" t="str">
        <f t="shared" si="190"/>
        <v/>
      </c>
      <c r="L3169" s="32" t="str">
        <f t="shared" si="187"/>
        <v/>
      </c>
      <c r="M3169" s="32" t="str">
        <f t="shared" si="188"/>
        <v/>
      </c>
      <c r="N3169" s="4">
        <v>0</v>
      </c>
      <c r="O3169" s="58">
        <v>0</v>
      </c>
      <c r="P3169" s="58">
        <v>0</v>
      </c>
      <c r="Q3169" s="58">
        <v>0</v>
      </c>
      <c r="R3169" s="58">
        <v>0</v>
      </c>
      <c r="S3169" s="58">
        <v>0</v>
      </c>
      <c r="T3169" s="58">
        <v>0</v>
      </c>
      <c r="U3169" s="58">
        <v>0</v>
      </c>
      <c r="V3169" s="58">
        <v>0</v>
      </c>
      <c r="AG3169" t="s">
        <v>2879</v>
      </c>
      <c r="AM3169" s="1" t="str">
        <f t="shared" si="189"/>
        <v>3167_C0008_1361.jpg</v>
      </c>
    </row>
    <row r="3170" spans="1:39" x14ac:dyDescent="0.35">
      <c r="A3170">
        <v>3166</v>
      </c>
      <c r="B3170">
        <v>3167</v>
      </c>
      <c r="F3170" s="64" t="s">
        <v>5720</v>
      </c>
      <c r="G3170" s="64"/>
      <c r="H3170" s="64"/>
      <c r="I3170" s="64">
        <v>0</v>
      </c>
      <c r="J3170" s="32" t="str">
        <f>IF(AND(E3170=1,OR(E3169=0,E3169="")),MAX(#REF!)+1,IF(AND(E3170=1,E3169=1),J3169,""))</f>
        <v/>
      </c>
      <c r="K3170" s="32" t="str">
        <f t="shared" si="190"/>
        <v/>
      </c>
      <c r="L3170" s="32" t="str">
        <f t="shared" si="187"/>
        <v/>
      </c>
      <c r="M3170" s="32" t="str">
        <f t="shared" si="188"/>
        <v/>
      </c>
      <c r="N3170" s="4">
        <v>0</v>
      </c>
      <c r="O3170" s="58">
        <v>0</v>
      </c>
      <c r="P3170" s="58">
        <v>0</v>
      </c>
      <c r="Q3170" s="58">
        <v>0</v>
      </c>
      <c r="R3170" s="58">
        <v>0</v>
      </c>
      <c r="S3170" s="58">
        <v>0</v>
      </c>
      <c r="T3170" s="58">
        <v>0</v>
      </c>
      <c r="U3170" s="58">
        <v>0</v>
      </c>
      <c r="V3170" s="58">
        <v>0</v>
      </c>
      <c r="AG3170" t="s">
        <v>2880</v>
      </c>
      <c r="AM3170" s="1" t="str">
        <f t="shared" si="189"/>
        <v>3168_C0008_1358.jpg</v>
      </c>
    </row>
    <row r="3171" spans="1:39" x14ac:dyDescent="0.35">
      <c r="A3171">
        <v>3167</v>
      </c>
      <c r="B3171">
        <v>3168</v>
      </c>
      <c r="F3171" s="64" t="s">
        <v>5721</v>
      </c>
      <c r="G3171" s="64"/>
      <c r="H3171" s="64"/>
      <c r="I3171" s="64">
        <v>0</v>
      </c>
      <c r="J3171" s="32" t="str">
        <f>IF(AND(E3171=1,OR(E3170=0,E3170="")),MAX(#REF!)+1,IF(AND(E3171=1,E3170=1),J3170,""))</f>
        <v/>
      </c>
      <c r="K3171" s="32" t="str">
        <f t="shared" si="190"/>
        <v/>
      </c>
      <c r="L3171" s="32" t="str">
        <f t="shared" si="187"/>
        <v/>
      </c>
      <c r="M3171" s="32" t="str">
        <f t="shared" si="188"/>
        <v/>
      </c>
      <c r="N3171" s="4">
        <v>0</v>
      </c>
      <c r="O3171" s="58">
        <v>0</v>
      </c>
      <c r="P3171" s="58">
        <v>0</v>
      </c>
      <c r="Q3171" s="58">
        <v>0</v>
      </c>
      <c r="R3171" s="58">
        <v>0</v>
      </c>
      <c r="S3171" s="58">
        <v>0</v>
      </c>
      <c r="T3171" s="58">
        <v>0</v>
      </c>
      <c r="U3171" s="58">
        <v>0</v>
      </c>
      <c r="V3171" s="58">
        <v>0</v>
      </c>
      <c r="AG3171" t="s">
        <v>2881</v>
      </c>
      <c r="AM3171" s="1" t="str">
        <f t="shared" si="189"/>
        <v>3169_C0008_1355.jpg</v>
      </c>
    </row>
    <row r="3172" spans="1:39" x14ac:dyDescent="0.35">
      <c r="A3172">
        <v>3168</v>
      </c>
      <c r="B3172">
        <v>3169</v>
      </c>
      <c r="F3172" s="64" t="s">
        <v>5722</v>
      </c>
      <c r="G3172" s="64"/>
      <c r="H3172" s="64"/>
      <c r="I3172" s="64">
        <v>0</v>
      </c>
      <c r="J3172" s="32" t="str">
        <f>IF(AND(E3172=1,OR(E3171=0,E3171="")),MAX(#REF!)+1,IF(AND(E3172=1,E3171=1),J3171,""))</f>
        <v/>
      </c>
      <c r="K3172" s="32" t="str">
        <f t="shared" si="190"/>
        <v/>
      </c>
      <c r="L3172" s="32" t="str">
        <f t="shared" si="187"/>
        <v/>
      </c>
      <c r="M3172" s="32" t="str">
        <f t="shared" si="188"/>
        <v/>
      </c>
      <c r="N3172" s="4">
        <v>0</v>
      </c>
      <c r="O3172" s="58">
        <v>0</v>
      </c>
      <c r="P3172" s="58">
        <v>0</v>
      </c>
      <c r="Q3172" s="58">
        <v>0</v>
      </c>
      <c r="R3172" s="58">
        <v>0</v>
      </c>
      <c r="S3172" s="58">
        <v>0</v>
      </c>
      <c r="T3172" s="58">
        <v>0</v>
      </c>
      <c r="U3172" s="58">
        <v>0</v>
      </c>
      <c r="V3172" s="58">
        <v>0</v>
      </c>
      <c r="AG3172" t="s">
        <v>2882</v>
      </c>
      <c r="AM3172" s="1" t="str">
        <f t="shared" si="189"/>
        <v>3170_C0008_1352.jpg</v>
      </c>
    </row>
    <row r="3173" spans="1:39" x14ac:dyDescent="0.35">
      <c r="A3173">
        <v>3169</v>
      </c>
      <c r="B3173">
        <v>3170</v>
      </c>
      <c r="F3173" s="64" t="s">
        <v>5723</v>
      </c>
      <c r="G3173" s="64"/>
      <c r="H3173" s="64"/>
      <c r="I3173" s="64">
        <v>0</v>
      </c>
      <c r="J3173" s="32" t="str">
        <f>IF(AND(E3173=1,OR(E3172=0,E3172="")),MAX(#REF!)+1,IF(AND(E3173=1,E3172=1),J3172,""))</f>
        <v/>
      </c>
      <c r="K3173" s="32" t="str">
        <f t="shared" si="190"/>
        <v/>
      </c>
      <c r="L3173" s="32" t="str">
        <f t="shared" si="187"/>
        <v/>
      </c>
      <c r="M3173" s="32" t="str">
        <f t="shared" si="188"/>
        <v/>
      </c>
      <c r="N3173" s="4">
        <v>0</v>
      </c>
      <c r="O3173" s="58">
        <v>0</v>
      </c>
      <c r="P3173" s="58">
        <v>0</v>
      </c>
      <c r="Q3173" s="58">
        <v>0</v>
      </c>
      <c r="R3173" s="58">
        <v>0</v>
      </c>
      <c r="S3173" s="58">
        <v>0</v>
      </c>
      <c r="T3173" s="58">
        <v>0</v>
      </c>
      <c r="U3173" s="58">
        <v>0</v>
      </c>
      <c r="V3173" s="58">
        <v>0</v>
      </c>
      <c r="AG3173" t="s">
        <v>2883</v>
      </c>
      <c r="AM3173" s="1" t="str">
        <f t="shared" si="189"/>
        <v>3171_C0008_1348.jpg</v>
      </c>
    </row>
    <row r="3174" spans="1:39" x14ac:dyDescent="0.35">
      <c r="A3174">
        <v>3170</v>
      </c>
      <c r="B3174">
        <v>3171</v>
      </c>
      <c r="F3174" s="64" t="s">
        <v>5724</v>
      </c>
      <c r="G3174" s="64"/>
      <c r="H3174" s="64"/>
      <c r="I3174" s="64">
        <v>0</v>
      </c>
      <c r="J3174" s="32" t="str">
        <f>IF(AND(E3174=1,OR(E3173=0,E3173="")),MAX(#REF!)+1,IF(AND(E3174=1,E3173=1),J3173,""))</f>
        <v/>
      </c>
      <c r="K3174" s="32" t="str">
        <f t="shared" si="190"/>
        <v/>
      </c>
      <c r="L3174" s="32" t="str">
        <f t="shared" si="187"/>
        <v/>
      </c>
      <c r="M3174" s="32" t="str">
        <f t="shared" si="188"/>
        <v/>
      </c>
      <c r="N3174" s="4">
        <v>0</v>
      </c>
      <c r="O3174" s="58">
        <v>0</v>
      </c>
      <c r="P3174" s="58">
        <v>0</v>
      </c>
      <c r="Q3174" s="58">
        <v>0</v>
      </c>
      <c r="R3174" s="58">
        <v>0</v>
      </c>
      <c r="S3174" s="58">
        <v>0</v>
      </c>
      <c r="T3174" s="58">
        <v>0</v>
      </c>
      <c r="U3174" s="58">
        <v>0</v>
      </c>
      <c r="V3174" s="58">
        <v>0</v>
      </c>
      <c r="AG3174" t="s">
        <v>2884</v>
      </c>
      <c r="AM3174" s="1" t="str">
        <f t="shared" si="189"/>
        <v>3172_C0008_1345.jpg</v>
      </c>
    </row>
    <row r="3175" spans="1:39" x14ac:dyDescent="0.35">
      <c r="A3175">
        <v>3171</v>
      </c>
      <c r="B3175">
        <v>3172</v>
      </c>
      <c r="F3175" s="64" t="s">
        <v>5725</v>
      </c>
      <c r="G3175" s="64"/>
      <c r="H3175" s="64"/>
      <c r="I3175" s="64">
        <v>0</v>
      </c>
      <c r="J3175" s="32" t="str">
        <f>IF(AND(E3175=1,OR(E3174=0,E3174="")),MAX(#REF!)+1,IF(AND(E3175=1,E3174=1),J3174,""))</f>
        <v/>
      </c>
      <c r="K3175" s="32" t="str">
        <f t="shared" si="190"/>
        <v/>
      </c>
      <c r="L3175" s="32" t="str">
        <f t="shared" si="187"/>
        <v/>
      </c>
      <c r="M3175" s="32" t="str">
        <f t="shared" si="188"/>
        <v/>
      </c>
      <c r="N3175" s="4">
        <v>0</v>
      </c>
      <c r="O3175" s="58">
        <v>0</v>
      </c>
      <c r="P3175" s="58">
        <v>0</v>
      </c>
      <c r="Q3175" s="58">
        <v>0</v>
      </c>
      <c r="R3175" s="58">
        <v>0</v>
      </c>
      <c r="S3175" s="58">
        <v>0</v>
      </c>
      <c r="T3175" s="58">
        <v>0</v>
      </c>
      <c r="U3175" s="58">
        <v>0</v>
      </c>
      <c r="V3175" s="58">
        <v>0</v>
      </c>
      <c r="AG3175" t="s">
        <v>2885</v>
      </c>
      <c r="AM3175" s="1" t="str">
        <f t="shared" si="189"/>
        <v>3173_C0008_1342.jpg</v>
      </c>
    </row>
    <row r="3176" spans="1:39" x14ac:dyDescent="0.35">
      <c r="A3176">
        <v>3172</v>
      </c>
      <c r="B3176">
        <v>3173</v>
      </c>
      <c r="F3176" s="64" t="s">
        <v>5726</v>
      </c>
      <c r="G3176" s="64"/>
      <c r="H3176" s="64"/>
      <c r="I3176" s="64">
        <v>0</v>
      </c>
      <c r="J3176" s="32" t="str">
        <f>IF(AND(E3176=1,OR(E3175=0,E3175="")),MAX(#REF!)+1,IF(AND(E3176=1,E3175=1),J3175,""))</f>
        <v/>
      </c>
      <c r="K3176" s="32" t="str">
        <f t="shared" si="190"/>
        <v/>
      </c>
      <c r="L3176" s="32" t="str">
        <f t="shared" si="187"/>
        <v/>
      </c>
      <c r="M3176" s="32" t="str">
        <f t="shared" si="188"/>
        <v/>
      </c>
      <c r="N3176" s="4">
        <v>0</v>
      </c>
      <c r="O3176" s="58">
        <v>0</v>
      </c>
      <c r="P3176" s="58">
        <v>0</v>
      </c>
      <c r="Q3176" s="58">
        <v>0</v>
      </c>
      <c r="R3176" s="58">
        <v>0</v>
      </c>
      <c r="S3176" s="58">
        <v>0</v>
      </c>
      <c r="T3176" s="58">
        <v>0</v>
      </c>
      <c r="U3176" s="58">
        <v>0</v>
      </c>
      <c r="V3176" s="58">
        <v>0</v>
      </c>
      <c r="AG3176" t="s">
        <v>2886</v>
      </c>
      <c r="AM3176" s="1" t="str">
        <f t="shared" si="189"/>
        <v>3174_C0008_1339.jpg</v>
      </c>
    </row>
    <row r="3177" spans="1:39" x14ac:dyDescent="0.35">
      <c r="A3177">
        <v>3173</v>
      </c>
      <c r="B3177">
        <v>3174</v>
      </c>
      <c r="F3177" s="64" t="s">
        <v>5727</v>
      </c>
      <c r="G3177" s="64"/>
      <c r="H3177" s="64"/>
      <c r="I3177" s="64">
        <v>0</v>
      </c>
      <c r="J3177" s="32" t="str">
        <f>IF(AND(E3177=1,OR(E3176=0,E3176="")),MAX(#REF!)+1,IF(AND(E3177=1,E3176=1),J3176,""))</f>
        <v/>
      </c>
      <c r="K3177" s="32" t="str">
        <f t="shared" si="190"/>
        <v/>
      </c>
      <c r="L3177" s="32" t="str">
        <f t="shared" si="187"/>
        <v/>
      </c>
      <c r="M3177" s="32" t="str">
        <f t="shared" si="188"/>
        <v/>
      </c>
      <c r="N3177" s="4">
        <v>0</v>
      </c>
      <c r="O3177" s="58">
        <v>0</v>
      </c>
      <c r="P3177" s="58">
        <v>0</v>
      </c>
      <c r="Q3177" s="58">
        <v>0</v>
      </c>
      <c r="R3177" s="58">
        <v>0</v>
      </c>
      <c r="S3177" s="58">
        <v>0</v>
      </c>
      <c r="T3177" s="58">
        <v>0</v>
      </c>
      <c r="U3177" s="58">
        <v>0</v>
      </c>
      <c r="V3177" s="58">
        <v>0</v>
      </c>
      <c r="AG3177" t="s">
        <v>2887</v>
      </c>
      <c r="AM3177" s="1" t="str">
        <f t="shared" si="189"/>
        <v>3175_C0008_1336.jpg</v>
      </c>
    </row>
    <row r="3178" spans="1:39" x14ac:dyDescent="0.35">
      <c r="A3178">
        <v>3174</v>
      </c>
      <c r="B3178">
        <v>3175</v>
      </c>
      <c r="F3178" s="64" t="s">
        <v>5728</v>
      </c>
      <c r="G3178" s="64"/>
      <c r="H3178" s="64"/>
      <c r="I3178" s="64">
        <v>0</v>
      </c>
      <c r="J3178" s="32" t="str">
        <f>IF(AND(E3178=1,OR(E3177=0,E3177="")),MAX(#REF!)+1,IF(AND(E3178=1,E3177=1),J3177,""))</f>
        <v/>
      </c>
      <c r="K3178" s="32" t="str">
        <f t="shared" si="190"/>
        <v/>
      </c>
      <c r="L3178" s="32" t="str">
        <f t="shared" si="187"/>
        <v/>
      </c>
      <c r="M3178" s="32" t="str">
        <f t="shared" si="188"/>
        <v/>
      </c>
      <c r="N3178" s="4">
        <v>0</v>
      </c>
      <c r="O3178" s="58">
        <v>0</v>
      </c>
      <c r="P3178" s="58">
        <v>0</v>
      </c>
      <c r="Q3178" s="58">
        <v>0</v>
      </c>
      <c r="R3178" s="58">
        <v>0</v>
      </c>
      <c r="S3178" s="58">
        <v>0</v>
      </c>
      <c r="T3178" s="58">
        <v>0</v>
      </c>
      <c r="U3178" s="58">
        <v>0</v>
      </c>
      <c r="V3178" s="58">
        <v>0</v>
      </c>
      <c r="AG3178" t="s">
        <v>2888</v>
      </c>
      <c r="AM3178" s="1" t="str">
        <f t="shared" si="189"/>
        <v>3176_C0008_1333.jpg</v>
      </c>
    </row>
    <row r="3179" spans="1:39" x14ac:dyDescent="0.35">
      <c r="A3179">
        <v>3175</v>
      </c>
      <c r="B3179">
        <v>3176</v>
      </c>
      <c r="F3179" s="64" t="s">
        <v>5729</v>
      </c>
      <c r="G3179" s="64"/>
      <c r="H3179" s="64"/>
      <c r="I3179" s="64">
        <v>0</v>
      </c>
      <c r="J3179" s="32" t="str">
        <f>IF(AND(E3179=1,OR(E3178=0,E3178="")),MAX(#REF!)+1,IF(AND(E3179=1,E3178=1),J3178,""))</f>
        <v/>
      </c>
      <c r="K3179" s="32" t="str">
        <f t="shared" si="190"/>
        <v/>
      </c>
      <c r="L3179" s="32" t="str">
        <f t="shared" si="187"/>
        <v/>
      </c>
      <c r="M3179" s="32" t="str">
        <f t="shared" si="188"/>
        <v/>
      </c>
      <c r="N3179" s="4">
        <v>0</v>
      </c>
      <c r="O3179" s="58">
        <v>0</v>
      </c>
      <c r="P3179" s="58">
        <v>0</v>
      </c>
      <c r="Q3179" s="58">
        <v>0</v>
      </c>
      <c r="R3179" s="58">
        <v>0</v>
      </c>
      <c r="S3179" s="58">
        <v>0</v>
      </c>
      <c r="T3179" s="58">
        <v>0</v>
      </c>
      <c r="U3179" s="58">
        <v>0</v>
      </c>
      <c r="V3179" s="58">
        <v>0</v>
      </c>
      <c r="AG3179" t="s">
        <v>2889</v>
      </c>
      <c r="AM3179" s="1" t="str">
        <f t="shared" si="189"/>
        <v>3177_C0008_1331.jpg</v>
      </c>
    </row>
    <row r="3180" spans="1:39" x14ac:dyDescent="0.35">
      <c r="A3180">
        <v>3176</v>
      </c>
      <c r="B3180">
        <v>3177</v>
      </c>
      <c r="F3180" s="64" t="s">
        <v>5730</v>
      </c>
      <c r="G3180" s="64"/>
      <c r="H3180" s="64"/>
      <c r="I3180" s="64">
        <v>0</v>
      </c>
      <c r="J3180" s="32" t="str">
        <f>IF(AND(E3180=1,OR(E3179=0,E3179="")),MAX(#REF!)+1,IF(AND(E3180=1,E3179=1),J3179,""))</f>
        <v/>
      </c>
      <c r="K3180" s="32" t="str">
        <f t="shared" si="190"/>
        <v/>
      </c>
      <c r="L3180" s="32" t="str">
        <f t="shared" si="187"/>
        <v/>
      </c>
      <c r="M3180" s="32" t="str">
        <f t="shared" si="188"/>
        <v/>
      </c>
      <c r="N3180" s="4">
        <v>0</v>
      </c>
      <c r="O3180" s="58">
        <v>0</v>
      </c>
      <c r="P3180" s="58">
        <v>0</v>
      </c>
      <c r="Q3180" s="58">
        <v>0</v>
      </c>
      <c r="R3180" s="58">
        <v>0</v>
      </c>
      <c r="S3180" s="58">
        <v>0</v>
      </c>
      <c r="T3180" s="58">
        <v>0</v>
      </c>
      <c r="U3180" s="58">
        <v>0</v>
      </c>
      <c r="V3180" s="58">
        <v>0</v>
      </c>
      <c r="AG3180" t="s">
        <v>2890</v>
      </c>
      <c r="AM3180" s="1" t="str">
        <f t="shared" ref="AM3180:AM3204" si="191">HYPERLINK("E:\CAFNEC_GBRF\2023\JohnstoneRiver\Frames_for_Analysis\" &amp; F3181, F3181)</f>
        <v>3178_C0008_1328.jpg</v>
      </c>
    </row>
    <row r="3181" spans="1:39" x14ac:dyDescent="0.35">
      <c r="A3181">
        <v>3177</v>
      </c>
      <c r="B3181">
        <v>3178</v>
      </c>
      <c r="F3181" s="64" t="s">
        <v>5731</v>
      </c>
      <c r="G3181" s="64"/>
      <c r="H3181" s="64"/>
      <c r="I3181" s="64">
        <v>0</v>
      </c>
      <c r="J3181" s="32" t="str">
        <f>IF(AND(E3181=1,OR(E3180=0,E3180="")),MAX(#REF!)+1,IF(AND(E3181=1,E3180=1),J3180,""))</f>
        <v/>
      </c>
      <c r="K3181" s="32" t="str">
        <f t="shared" si="190"/>
        <v/>
      </c>
      <c r="L3181" s="32" t="str">
        <f t="shared" si="187"/>
        <v/>
      </c>
      <c r="M3181" s="32" t="str">
        <f t="shared" si="188"/>
        <v/>
      </c>
      <c r="N3181" s="4">
        <v>0</v>
      </c>
      <c r="O3181" s="58">
        <v>0</v>
      </c>
      <c r="P3181" s="58">
        <v>0</v>
      </c>
      <c r="Q3181" s="58">
        <v>0</v>
      </c>
      <c r="R3181" s="58">
        <v>0</v>
      </c>
      <c r="S3181" s="58">
        <v>0</v>
      </c>
      <c r="T3181" s="58">
        <v>0</v>
      </c>
      <c r="U3181" s="58">
        <v>0</v>
      </c>
      <c r="V3181" s="58">
        <v>0</v>
      </c>
      <c r="AG3181" t="s">
        <v>2891</v>
      </c>
      <c r="AM3181" s="1" t="str">
        <f t="shared" si="191"/>
        <v>3179_C0008_1326.jpg</v>
      </c>
    </row>
    <row r="3182" spans="1:39" x14ac:dyDescent="0.35">
      <c r="A3182">
        <v>3178</v>
      </c>
      <c r="B3182">
        <v>3179</v>
      </c>
      <c r="F3182" s="64" t="s">
        <v>5732</v>
      </c>
      <c r="G3182" s="64"/>
      <c r="H3182" s="64"/>
      <c r="I3182" s="64">
        <v>0</v>
      </c>
      <c r="J3182" s="32" t="str">
        <f>IF(AND(E3182=1,OR(E3181=0,E3181="")),MAX(#REF!)+1,IF(AND(E3182=1,E3181=1),J3181,""))</f>
        <v/>
      </c>
      <c r="K3182" s="32" t="str">
        <f t="shared" si="190"/>
        <v/>
      </c>
      <c r="L3182" s="32" t="str">
        <f t="shared" si="187"/>
        <v/>
      </c>
      <c r="M3182" s="32" t="str">
        <f t="shared" si="188"/>
        <v/>
      </c>
      <c r="N3182" s="4">
        <v>0</v>
      </c>
      <c r="O3182" s="58">
        <v>0</v>
      </c>
      <c r="P3182" s="58">
        <v>0</v>
      </c>
      <c r="Q3182" s="58">
        <v>0</v>
      </c>
      <c r="R3182" s="58">
        <v>0</v>
      </c>
      <c r="S3182" s="58">
        <v>0</v>
      </c>
      <c r="T3182" s="58">
        <v>0</v>
      </c>
      <c r="U3182" s="58">
        <v>0</v>
      </c>
      <c r="V3182" s="58">
        <v>0</v>
      </c>
      <c r="AG3182" t="s">
        <v>2892</v>
      </c>
      <c r="AM3182" s="1" t="str">
        <f t="shared" si="191"/>
        <v>3180_C0008_1323.jpg</v>
      </c>
    </row>
    <row r="3183" spans="1:39" x14ac:dyDescent="0.35">
      <c r="A3183">
        <v>3179</v>
      </c>
      <c r="B3183">
        <v>3180</v>
      </c>
      <c r="F3183" s="64" t="s">
        <v>5733</v>
      </c>
      <c r="G3183" s="64"/>
      <c r="H3183" s="64"/>
      <c r="I3183" s="64">
        <v>0</v>
      </c>
      <c r="J3183" s="32" t="str">
        <f>IF(AND(E3183=1,OR(E3182=0,E3182="")),MAX(#REF!)+1,IF(AND(E3183=1,E3182=1),J3182,""))</f>
        <v/>
      </c>
      <c r="K3183" s="32" t="str">
        <f t="shared" si="190"/>
        <v/>
      </c>
      <c r="L3183" s="32" t="str">
        <f t="shared" si="187"/>
        <v/>
      </c>
      <c r="M3183" s="32" t="str">
        <f t="shared" si="188"/>
        <v/>
      </c>
      <c r="N3183" s="4">
        <v>0</v>
      </c>
      <c r="O3183" s="58">
        <v>0</v>
      </c>
      <c r="P3183" s="58">
        <v>0</v>
      </c>
      <c r="Q3183" s="58">
        <v>0</v>
      </c>
      <c r="R3183" s="58">
        <v>0</v>
      </c>
      <c r="S3183" s="58">
        <v>0</v>
      </c>
      <c r="T3183" s="58">
        <v>0</v>
      </c>
      <c r="U3183" s="58">
        <v>0</v>
      </c>
      <c r="V3183" s="58">
        <v>0</v>
      </c>
      <c r="AG3183" t="s">
        <v>2893</v>
      </c>
      <c r="AM3183" s="1" t="str">
        <f t="shared" si="191"/>
        <v>3181_C0008_1321.jpg</v>
      </c>
    </row>
    <row r="3184" spans="1:39" x14ac:dyDescent="0.35">
      <c r="A3184">
        <v>3180</v>
      </c>
      <c r="B3184">
        <v>3181</v>
      </c>
      <c r="F3184" s="64" t="s">
        <v>5734</v>
      </c>
      <c r="G3184" s="64"/>
      <c r="H3184" s="64"/>
      <c r="I3184" s="64">
        <v>0</v>
      </c>
      <c r="J3184" s="32" t="str">
        <f>IF(AND(E3184=1,OR(E3183=0,E3183="")),MAX(#REF!)+1,IF(AND(E3184=1,E3183=1),J3183,""))</f>
        <v/>
      </c>
      <c r="K3184" s="32" t="str">
        <f t="shared" si="190"/>
        <v/>
      </c>
      <c r="L3184" s="32" t="str">
        <f t="shared" si="187"/>
        <v/>
      </c>
      <c r="M3184" s="32" t="str">
        <f t="shared" si="188"/>
        <v/>
      </c>
      <c r="N3184" s="4">
        <v>0</v>
      </c>
      <c r="O3184" s="58">
        <v>0</v>
      </c>
      <c r="P3184" s="58">
        <v>0</v>
      </c>
      <c r="Q3184" s="58">
        <v>0</v>
      </c>
      <c r="R3184" s="58">
        <v>0</v>
      </c>
      <c r="S3184" s="58">
        <v>0</v>
      </c>
      <c r="T3184" s="58">
        <v>0</v>
      </c>
      <c r="U3184" s="58">
        <v>0</v>
      </c>
      <c r="V3184" s="58">
        <v>0</v>
      </c>
      <c r="AG3184" t="s">
        <v>2894</v>
      </c>
      <c r="AM3184" s="1" t="str">
        <f t="shared" si="191"/>
        <v>3182_C0008_1318.jpg</v>
      </c>
    </row>
    <row r="3185" spans="1:39" x14ac:dyDescent="0.35">
      <c r="A3185">
        <v>3181</v>
      </c>
      <c r="B3185">
        <v>3182</v>
      </c>
      <c r="F3185" s="64" t="s">
        <v>5735</v>
      </c>
      <c r="G3185" s="64"/>
      <c r="H3185" s="64"/>
      <c r="I3185" s="64">
        <v>0</v>
      </c>
      <c r="J3185" s="32" t="str">
        <f>IF(AND(E3185=1,OR(E3184=0,E3184="")),MAX(#REF!)+1,IF(AND(E3185=1,E3184=1),J3184,""))</f>
        <v/>
      </c>
      <c r="K3185" s="32" t="str">
        <f t="shared" si="190"/>
        <v/>
      </c>
      <c r="L3185" s="32" t="str">
        <f t="shared" si="187"/>
        <v/>
      </c>
      <c r="M3185" s="32" t="str">
        <f t="shared" si="188"/>
        <v/>
      </c>
      <c r="N3185" s="4">
        <v>0</v>
      </c>
      <c r="O3185" s="58">
        <v>0</v>
      </c>
      <c r="P3185" s="58">
        <v>0</v>
      </c>
      <c r="Q3185" s="58">
        <v>0</v>
      </c>
      <c r="R3185" s="58">
        <v>0</v>
      </c>
      <c r="S3185" s="58">
        <v>0</v>
      </c>
      <c r="T3185" s="58">
        <v>0</v>
      </c>
      <c r="U3185" s="58">
        <v>0</v>
      </c>
      <c r="V3185" s="58">
        <v>0</v>
      </c>
      <c r="AG3185" t="s">
        <v>2895</v>
      </c>
      <c r="AM3185" s="1" t="str">
        <f t="shared" si="191"/>
        <v>3183_C0008_1315.jpg</v>
      </c>
    </row>
    <row r="3186" spans="1:39" x14ac:dyDescent="0.35">
      <c r="A3186">
        <v>3182</v>
      </c>
      <c r="B3186">
        <v>3183</v>
      </c>
      <c r="F3186" s="64" t="s">
        <v>5736</v>
      </c>
      <c r="G3186" s="64"/>
      <c r="H3186" s="64"/>
      <c r="I3186" s="64">
        <v>0</v>
      </c>
      <c r="J3186" s="32" t="str">
        <f>IF(AND(E3186=1,OR(E3185=0,E3185="")),MAX(#REF!)+1,IF(AND(E3186=1,E3185=1),J3185,""))</f>
        <v/>
      </c>
      <c r="K3186" s="32" t="str">
        <f t="shared" si="190"/>
        <v/>
      </c>
      <c r="L3186" s="32" t="str">
        <f t="shared" si="187"/>
        <v/>
      </c>
      <c r="M3186" s="32" t="str">
        <f t="shared" si="188"/>
        <v/>
      </c>
      <c r="N3186" s="4">
        <v>0</v>
      </c>
      <c r="O3186" s="58">
        <v>0</v>
      </c>
      <c r="P3186" s="58">
        <v>0</v>
      </c>
      <c r="Q3186" s="58">
        <v>0</v>
      </c>
      <c r="R3186" s="58">
        <v>0</v>
      </c>
      <c r="S3186" s="58">
        <v>0</v>
      </c>
      <c r="T3186" s="58">
        <v>0</v>
      </c>
      <c r="U3186" s="58">
        <v>0</v>
      </c>
      <c r="V3186" s="58">
        <v>0</v>
      </c>
      <c r="AG3186" t="s">
        <v>2896</v>
      </c>
      <c r="AM3186" s="1" t="str">
        <f t="shared" si="191"/>
        <v>3184_C0008_1312.jpg</v>
      </c>
    </row>
    <row r="3187" spans="1:39" x14ac:dyDescent="0.35">
      <c r="A3187">
        <v>3183</v>
      </c>
      <c r="B3187">
        <v>3184</v>
      </c>
      <c r="F3187" s="64" t="s">
        <v>5737</v>
      </c>
      <c r="G3187" s="64"/>
      <c r="H3187" s="64"/>
      <c r="I3187" s="64">
        <v>0</v>
      </c>
      <c r="J3187" s="32" t="str">
        <f>IF(AND(E3187=1,OR(E3186=0,E3186="")),MAX(#REF!)+1,IF(AND(E3187=1,E3186=1),J3186,""))</f>
        <v/>
      </c>
      <c r="K3187" s="32" t="str">
        <f t="shared" si="190"/>
        <v/>
      </c>
      <c r="L3187" s="32" t="str">
        <f t="shared" si="187"/>
        <v/>
      </c>
      <c r="M3187" s="32" t="str">
        <f t="shared" si="188"/>
        <v/>
      </c>
      <c r="N3187" s="4">
        <v>0</v>
      </c>
      <c r="O3187" s="58">
        <v>0</v>
      </c>
      <c r="P3187" s="58">
        <v>0</v>
      </c>
      <c r="Q3187" s="58">
        <v>0</v>
      </c>
      <c r="R3187" s="58">
        <v>0</v>
      </c>
      <c r="S3187" s="58">
        <v>0</v>
      </c>
      <c r="T3187" s="58">
        <v>0</v>
      </c>
      <c r="U3187" s="58">
        <v>0</v>
      </c>
      <c r="V3187" s="58">
        <v>0</v>
      </c>
      <c r="AG3187" t="s">
        <v>2897</v>
      </c>
      <c r="AM3187" s="1" t="str">
        <f t="shared" si="191"/>
        <v>3185_C0008_1309.jpg</v>
      </c>
    </row>
    <row r="3188" spans="1:39" x14ac:dyDescent="0.35">
      <c r="A3188">
        <v>3184</v>
      </c>
      <c r="B3188">
        <v>3185</v>
      </c>
      <c r="F3188" s="64" t="s">
        <v>5738</v>
      </c>
      <c r="G3188" s="64"/>
      <c r="H3188" s="64"/>
      <c r="I3188" s="64">
        <v>0</v>
      </c>
      <c r="J3188" s="32" t="str">
        <f>IF(AND(E3188=1,OR(E3187=0,E3187="")),MAX(#REF!)+1,IF(AND(E3188=1,E3187=1),J3187,""))</f>
        <v/>
      </c>
      <c r="K3188" s="32" t="str">
        <f t="shared" si="190"/>
        <v/>
      </c>
      <c r="L3188" s="32" t="str">
        <f t="shared" si="187"/>
        <v/>
      </c>
      <c r="M3188" s="32" t="str">
        <f t="shared" si="188"/>
        <v/>
      </c>
      <c r="N3188" s="4">
        <v>0</v>
      </c>
      <c r="O3188" s="58">
        <v>0</v>
      </c>
      <c r="P3188" s="58">
        <v>0</v>
      </c>
      <c r="Q3188" s="58">
        <v>0</v>
      </c>
      <c r="R3188" s="58">
        <v>0</v>
      </c>
      <c r="S3188" s="58">
        <v>0</v>
      </c>
      <c r="T3188" s="58">
        <v>0</v>
      </c>
      <c r="U3188" s="58">
        <v>0</v>
      </c>
      <c r="V3188" s="58">
        <v>0</v>
      </c>
      <c r="AG3188" t="s">
        <v>2898</v>
      </c>
      <c r="AM3188" s="1" t="str">
        <f t="shared" si="191"/>
        <v>3186_C0008_1306.jpg</v>
      </c>
    </row>
    <row r="3189" spans="1:39" x14ac:dyDescent="0.35">
      <c r="A3189">
        <v>3185</v>
      </c>
      <c r="B3189">
        <v>3186</v>
      </c>
      <c r="F3189" s="64" t="s">
        <v>5739</v>
      </c>
      <c r="G3189" s="64"/>
      <c r="H3189" s="64"/>
      <c r="I3189" s="64">
        <v>0</v>
      </c>
      <c r="J3189" s="32" t="str">
        <f>IF(AND(E3189=1,OR(E3188=0,E3188="")),MAX(#REF!)+1,IF(AND(E3189=1,E3188=1),J3188,""))</f>
        <v/>
      </c>
      <c r="K3189" s="32" t="str">
        <f t="shared" si="190"/>
        <v/>
      </c>
      <c r="L3189" s="32" t="str">
        <f t="shared" si="187"/>
        <v/>
      </c>
      <c r="M3189" s="32" t="str">
        <f t="shared" si="188"/>
        <v/>
      </c>
      <c r="N3189" s="4">
        <v>0</v>
      </c>
      <c r="O3189" s="58">
        <v>0</v>
      </c>
      <c r="P3189" s="58">
        <v>0</v>
      </c>
      <c r="Q3189" s="58">
        <v>0</v>
      </c>
      <c r="R3189" s="58">
        <v>0</v>
      </c>
      <c r="S3189" s="58">
        <v>0</v>
      </c>
      <c r="T3189" s="58">
        <v>0</v>
      </c>
      <c r="U3189" s="58">
        <v>0</v>
      </c>
      <c r="V3189" s="58">
        <v>0</v>
      </c>
      <c r="AG3189" t="s">
        <v>2899</v>
      </c>
      <c r="AM3189" s="1" t="str">
        <f t="shared" si="191"/>
        <v>3187_C0008_1304.jpg</v>
      </c>
    </row>
    <row r="3190" spans="1:39" x14ac:dyDescent="0.35">
      <c r="A3190">
        <v>3186</v>
      </c>
      <c r="B3190">
        <v>3187</v>
      </c>
      <c r="F3190" s="64" t="s">
        <v>5740</v>
      </c>
      <c r="G3190" s="64"/>
      <c r="H3190" s="64"/>
      <c r="I3190" s="64">
        <v>0</v>
      </c>
      <c r="J3190" s="32" t="str">
        <f>IF(AND(E3190=1,OR(E3189=0,E3189="")),MAX(#REF!)+1,IF(AND(E3190=1,E3189=1),J3189,""))</f>
        <v/>
      </c>
      <c r="K3190" s="32" t="str">
        <f t="shared" si="190"/>
        <v/>
      </c>
      <c r="L3190" s="32" t="str">
        <f t="shared" si="187"/>
        <v/>
      </c>
      <c r="M3190" s="32" t="str">
        <f t="shared" si="188"/>
        <v/>
      </c>
      <c r="N3190" s="4">
        <v>0</v>
      </c>
      <c r="O3190" s="58">
        <v>0</v>
      </c>
      <c r="P3190" s="58">
        <v>0</v>
      </c>
      <c r="Q3190" s="58">
        <v>0</v>
      </c>
      <c r="R3190" s="58">
        <v>0</v>
      </c>
      <c r="S3190" s="58">
        <v>0</v>
      </c>
      <c r="T3190" s="58">
        <v>0</v>
      </c>
      <c r="U3190" s="58">
        <v>0</v>
      </c>
      <c r="V3190" s="58">
        <v>0</v>
      </c>
      <c r="AG3190" t="s">
        <v>2900</v>
      </c>
      <c r="AM3190" s="1" t="str">
        <f t="shared" si="191"/>
        <v>3188_C0008_1301.jpg</v>
      </c>
    </row>
    <row r="3191" spans="1:39" x14ac:dyDescent="0.35">
      <c r="A3191">
        <v>3187</v>
      </c>
      <c r="B3191">
        <v>3188</v>
      </c>
      <c r="F3191" s="64" t="s">
        <v>5741</v>
      </c>
      <c r="G3191" s="64"/>
      <c r="H3191" s="64"/>
      <c r="I3191" s="64">
        <v>0</v>
      </c>
      <c r="J3191" s="32" t="str">
        <f>IF(AND(E3191=1,OR(E3190=0,E3190="")),MAX(#REF!)+1,IF(AND(E3191=1,E3190=1),J3190,""))</f>
        <v/>
      </c>
      <c r="K3191" s="32" t="str">
        <f t="shared" si="190"/>
        <v/>
      </c>
      <c r="L3191" s="32" t="str">
        <f t="shared" si="187"/>
        <v/>
      </c>
      <c r="M3191" s="32" t="str">
        <f t="shared" si="188"/>
        <v/>
      </c>
      <c r="N3191" s="4">
        <v>0</v>
      </c>
      <c r="O3191" s="58">
        <v>0</v>
      </c>
      <c r="P3191" s="58">
        <v>0</v>
      </c>
      <c r="Q3191" s="58">
        <v>0</v>
      </c>
      <c r="R3191" s="58">
        <v>0</v>
      </c>
      <c r="S3191" s="58">
        <v>0</v>
      </c>
      <c r="T3191" s="58">
        <v>0</v>
      </c>
      <c r="U3191" s="58">
        <v>0</v>
      </c>
      <c r="V3191" s="58">
        <v>0</v>
      </c>
      <c r="AG3191" t="s">
        <v>2901</v>
      </c>
      <c r="AM3191" s="1" t="str">
        <f t="shared" si="191"/>
        <v>3189_C0008_1299.jpg</v>
      </c>
    </row>
    <row r="3192" spans="1:39" x14ac:dyDescent="0.35">
      <c r="A3192">
        <v>3188</v>
      </c>
      <c r="B3192">
        <v>3189</v>
      </c>
      <c r="F3192" s="64" t="s">
        <v>5742</v>
      </c>
      <c r="G3192" s="64"/>
      <c r="H3192" s="64"/>
      <c r="I3192" s="64">
        <v>0</v>
      </c>
      <c r="J3192" s="32" t="str">
        <f>IF(AND(E3192=1,OR(E3191=0,E3191="")),MAX(#REF!)+1,IF(AND(E3192=1,E3191=1),J3191,""))</f>
        <v/>
      </c>
      <c r="K3192" s="32" t="str">
        <f t="shared" si="190"/>
        <v/>
      </c>
      <c r="L3192" s="32" t="str">
        <f t="shared" si="187"/>
        <v/>
      </c>
      <c r="M3192" s="32" t="str">
        <f t="shared" si="188"/>
        <v/>
      </c>
      <c r="N3192" s="4">
        <v>0</v>
      </c>
      <c r="O3192" s="58">
        <v>0</v>
      </c>
      <c r="P3192" s="58">
        <v>0</v>
      </c>
      <c r="Q3192" s="58">
        <v>0</v>
      </c>
      <c r="R3192" s="58">
        <v>0</v>
      </c>
      <c r="S3192" s="58">
        <v>0</v>
      </c>
      <c r="T3192" s="58">
        <v>0</v>
      </c>
      <c r="U3192" s="58">
        <v>0</v>
      </c>
      <c r="V3192" s="58">
        <v>0</v>
      </c>
      <c r="AG3192" t="s">
        <v>2902</v>
      </c>
      <c r="AM3192" s="1" t="str">
        <f t="shared" si="191"/>
        <v>3190_C0008_1296.jpg</v>
      </c>
    </row>
    <row r="3193" spans="1:39" x14ac:dyDescent="0.35">
      <c r="A3193">
        <v>3189</v>
      </c>
      <c r="B3193">
        <v>3190</v>
      </c>
      <c r="F3193" s="64" t="s">
        <v>5743</v>
      </c>
      <c r="G3193" s="64"/>
      <c r="H3193" s="64"/>
      <c r="I3193" s="64">
        <v>0</v>
      </c>
      <c r="J3193" s="32" t="str">
        <f>IF(AND(E3193=1,OR(E3192=0,E3192="")),MAX(#REF!)+1,IF(AND(E3193=1,E3192=1),J3192,""))</f>
        <v/>
      </c>
      <c r="K3193" s="32" t="str">
        <f t="shared" si="190"/>
        <v/>
      </c>
      <c r="L3193" s="32" t="str">
        <f t="shared" si="187"/>
        <v/>
      </c>
      <c r="M3193" s="32" t="str">
        <f t="shared" si="188"/>
        <v/>
      </c>
      <c r="N3193" s="4">
        <v>0</v>
      </c>
      <c r="O3193" s="58">
        <v>0</v>
      </c>
      <c r="P3193" s="58">
        <v>0</v>
      </c>
      <c r="Q3193" s="58">
        <v>0</v>
      </c>
      <c r="R3193" s="58">
        <v>0</v>
      </c>
      <c r="S3193" s="58">
        <v>0</v>
      </c>
      <c r="T3193" s="58">
        <v>0</v>
      </c>
      <c r="U3193" s="58">
        <v>0</v>
      </c>
      <c r="V3193" s="58">
        <v>0</v>
      </c>
      <c r="AG3193" t="s">
        <v>2903</v>
      </c>
      <c r="AM3193" s="1" t="str">
        <f t="shared" si="191"/>
        <v>3191_C0008_1293.jpg</v>
      </c>
    </row>
    <row r="3194" spans="1:39" x14ac:dyDescent="0.35">
      <c r="A3194">
        <v>3190</v>
      </c>
      <c r="B3194">
        <v>3191</v>
      </c>
      <c r="F3194" s="64" t="s">
        <v>5744</v>
      </c>
      <c r="G3194" s="64"/>
      <c r="H3194" s="64"/>
      <c r="I3194" s="64">
        <v>0</v>
      </c>
      <c r="J3194" s="32" t="str">
        <f>IF(AND(E3194=1,OR(E3193=0,E3193="")),MAX(#REF!)+1,IF(AND(E3194=1,E3193=1),J3193,""))</f>
        <v/>
      </c>
      <c r="K3194" s="32" t="str">
        <f t="shared" si="190"/>
        <v/>
      </c>
      <c r="L3194" s="32" t="str">
        <f t="shared" si="187"/>
        <v/>
      </c>
      <c r="M3194" s="32" t="str">
        <f t="shared" si="188"/>
        <v/>
      </c>
      <c r="N3194" s="4">
        <v>0</v>
      </c>
      <c r="O3194" s="58">
        <v>0</v>
      </c>
      <c r="P3194" s="58">
        <v>0</v>
      </c>
      <c r="Q3194" s="58">
        <v>0</v>
      </c>
      <c r="R3194" s="58">
        <v>0</v>
      </c>
      <c r="S3194" s="58">
        <v>0</v>
      </c>
      <c r="T3194" s="58">
        <v>0</v>
      </c>
      <c r="U3194" s="58">
        <v>0</v>
      </c>
      <c r="V3194" s="58">
        <v>0</v>
      </c>
      <c r="AG3194" t="s">
        <v>2904</v>
      </c>
      <c r="AM3194" s="1" t="str">
        <f t="shared" si="191"/>
        <v>3192_C0008_1290.jpg</v>
      </c>
    </row>
    <row r="3195" spans="1:39" x14ac:dyDescent="0.35">
      <c r="A3195">
        <v>3191</v>
      </c>
      <c r="B3195">
        <v>3192</v>
      </c>
      <c r="F3195" s="64" t="s">
        <v>5745</v>
      </c>
      <c r="G3195" s="64"/>
      <c r="H3195" s="64"/>
      <c r="I3195" s="64">
        <v>0</v>
      </c>
      <c r="J3195" s="32" t="str">
        <f>IF(AND(E3195=1,OR(E3194=0,E3194="")),MAX(#REF!)+1,IF(AND(E3195=1,E3194=1),J3194,""))</f>
        <v/>
      </c>
      <c r="K3195" s="32" t="str">
        <f t="shared" si="190"/>
        <v/>
      </c>
      <c r="L3195" s="32" t="str">
        <f t="shared" si="187"/>
        <v/>
      </c>
      <c r="M3195" s="32" t="str">
        <f t="shared" si="188"/>
        <v/>
      </c>
      <c r="N3195" s="4">
        <v>0</v>
      </c>
      <c r="O3195" s="58">
        <v>0</v>
      </c>
      <c r="P3195" s="58">
        <v>0</v>
      </c>
      <c r="Q3195" s="58">
        <v>0</v>
      </c>
      <c r="R3195" s="58">
        <v>0</v>
      </c>
      <c r="S3195" s="58">
        <v>0</v>
      </c>
      <c r="T3195" s="58">
        <v>0</v>
      </c>
      <c r="U3195" s="58">
        <v>0</v>
      </c>
      <c r="V3195" s="58">
        <v>0</v>
      </c>
      <c r="AG3195" t="s">
        <v>2905</v>
      </c>
      <c r="AM3195" s="1" t="str">
        <f t="shared" si="191"/>
        <v>3193_C0008_1288.jpg</v>
      </c>
    </row>
    <row r="3196" spans="1:39" x14ac:dyDescent="0.35">
      <c r="A3196">
        <v>3192</v>
      </c>
      <c r="B3196">
        <v>3193</v>
      </c>
      <c r="F3196" s="64" t="s">
        <v>5746</v>
      </c>
      <c r="G3196" s="64"/>
      <c r="H3196" s="64"/>
      <c r="I3196" s="64">
        <v>0</v>
      </c>
      <c r="J3196" s="32" t="str">
        <f>IF(AND(E3196=1,OR(E3195=0,E3195="")),MAX(#REF!)+1,IF(AND(E3196=1,E3195=1),J3195,""))</f>
        <v/>
      </c>
      <c r="K3196" s="32" t="str">
        <f t="shared" si="190"/>
        <v/>
      </c>
      <c r="L3196" s="32" t="str">
        <f t="shared" si="187"/>
        <v/>
      </c>
      <c r="M3196" s="32" t="str">
        <f t="shared" si="188"/>
        <v/>
      </c>
      <c r="N3196" s="4">
        <v>0</v>
      </c>
      <c r="O3196" s="58">
        <v>0</v>
      </c>
      <c r="P3196" s="58">
        <v>0</v>
      </c>
      <c r="Q3196" s="58">
        <v>0</v>
      </c>
      <c r="R3196" s="58">
        <v>0</v>
      </c>
      <c r="S3196" s="58">
        <v>0</v>
      </c>
      <c r="T3196" s="58">
        <v>0</v>
      </c>
      <c r="U3196" s="58">
        <v>0</v>
      </c>
      <c r="V3196" s="58">
        <v>0</v>
      </c>
      <c r="AG3196" t="s">
        <v>2906</v>
      </c>
      <c r="AM3196" s="1" t="str">
        <f t="shared" si="191"/>
        <v>3194_C0008_1286.jpg</v>
      </c>
    </row>
    <row r="3197" spans="1:39" x14ac:dyDescent="0.35">
      <c r="A3197">
        <v>3193</v>
      </c>
      <c r="B3197">
        <v>3194</v>
      </c>
      <c r="F3197" s="64" t="s">
        <v>5747</v>
      </c>
      <c r="G3197" s="64"/>
      <c r="H3197" s="64"/>
      <c r="I3197" s="64">
        <v>0</v>
      </c>
      <c r="J3197" s="32" t="str">
        <f>IF(AND(E3197=1,OR(E3196=0,E3196="")),MAX(#REF!)+1,IF(AND(E3197=1,E3196=1),J3196,""))</f>
        <v/>
      </c>
      <c r="K3197" s="32" t="str">
        <f t="shared" si="190"/>
        <v/>
      </c>
      <c r="L3197" s="32" t="str">
        <f t="shared" si="187"/>
        <v/>
      </c>
      <c r="M3197" s="32" t="str">
        <f t="shared" si="188"/>
        <v/>
      </c>
      <c r="N3197" s="4">
        <v>0</v>
      </c>
      <c r="O3197" s="58">
        <v>0</v>
      </c>
      <c r="P3197" s="58">
        <v>0</v>
      </c>
      <c r="Q3197" s="58">
        <v>0</v>
      </c>
      <c r="R3197" s="58">
        <v>0</v>
      </c>
      <c r="S3197" s="58">
        <v>0</v>
      </c>
      <c r="T3197" s="58">
        <v>0</v>
      </c>
      <c r="U3197" s="58">
        <v>0</v>
      </c>
      <c r="V3197" s="58">
        <v>0</v>
      </c>
      <c r="AG3197" t="s">
        <v>2907</v>
      </c>
      <c r="AM3197" s="1" t="str">
        <f t="shared" si="191"/>
        <v>3195_C0008_1284.jpg</v>
      </c>
    </row>
    <row r="3198" spans="1:39" x14ac:dyDescent="0.35">
      <c r="A3198">
        <v>3194</v>
      </c>
      <c r="B3198">
        <v>3195</v>
      </c>
      <c r="F3198" s="64" t="s">
        <v>5748</v>
      </c>
      <c r="G3198" s="64"/>
      <c r="H3198" s="64"/>
      <c r="I3198" s="64">
        <v>0</v>
      </c>
      <c r="J3198" s="32" t="str">
        <f>IF(AND(E3198=1,OR(E3197=0,E3197="")),MAX(#REF!)+1,IF(AND(E3198=1,E3197=1),J3197,""))</f>
        <v/>
      </c>
      <c r="K3198" s="32" t="str">
        <f t="shared" si="190"/>
        <v/>
      </c>
      <c r="L3198" s="32" t="str">
        <f t="shared" si="187"/>
        <v/>
      </c>
      <c r="M3198" s="32" t="str">
        <f t="shared" si="188"/>
        <v/>
      </c>
      <c r="N3198" s="4">
        <v>0</v>
      </c>
      <c r="O3198" s="58">
        <v>0</v>
      </c>
      <c r="P3198" s="58">
        <v>0</v>
      </c>
      <c r="Q3198" s="58">
        <v>0</v>
      </c>
      <c r="R3198" s="58">
        <v>0</v>
      </c>
      <c r="S3198" s="58">
        <v>0</v>
      </c>
      <c r="T3198" s="58">
        <v>0</v>
      </c>
      <c r="U3198" s="58">
        <v>0</v>
      </c>
      <c r="V3198" s="58">
        <v>0</v>
      </c>
      <c r="AG3198" t="s">
        <v>2908</v>
      </c>
      <c r="AM3198" s="1" t="str">
        <f t="shared" si="191"/>
        <v>3196_C0008_1282.jpg</v>
      </c>
    </row>
    <row r="3199" spans="1:39" x14ac:dyDescent="0.35">
      <c r="A3199">
        <v>3195</v>
      </c>
      <c r="B3199">
        <v>3196</v>
      </c>
      <c r="F3199" s="64" t="s">
        <v>5749</v>
      </c>
      <c r="G3199" s="64"/>
      <c r="H3199" s="64"/>
      <c r="I3199" s="64">
        <v>0</v>
      </c>
      <c r="J3199" s="32" t="str">
        <f>IF(AND(E3199=1,OR(E3198=0,E3198="")),MAX(#REF!)+1,IF(AND(E3199=1,E3198=1),J3198,""))</f>
        <v/>
      </c>
      <c r="K3199" s="32" t="str">
        <f t="shared" si="190"/>
        <v/>
      </c>
      <c r="L3199" s="32" t="str">
        <f t="shared" si="187"/>
        <v/>
      </c>
      <c r="M3199" s="32" t="str">
        <f t="shared" si="188"/>
        <v/>
      </c>
      <c r="N3199" s="4">
        <v>0</v>
      </c>
      <c r="O3199" s="58">
        <v>0</v>
      </c>
      <c r="P3199" s="58">
        <v>0</v>
      </c>
      <c r="Q3199" s="58">
        <v>0</v>
      </c>
      <c r="R3199" s="58">
        <v>0</v>
      </c>
      <c r="S3199" s="58">
        <v>0</v>
      </c>
      <c r="T3199" s="58">
        <v>0</v>
      </c>
      <c r="U3199" s="58">
        <v>0</v>
      </c>
      <c r="V3199" s="58">
        <v>0</v>
      </c>
      <c r="AG3199" t="s">
        <v>2909</v>
      </c>
      <c r="AM3199" s="1" t="str">
        <f t="shared" si="191"/>
        <v>3197_C0008_1280.jpg</v>
      </c>
    </row>
    <row r="3200" spans="1:39" x14ac:dyDescent="0.35">
      <c r="A3200">
        <v>3196</v>
      </c>
      <c r="B3200">
        <v>3197</v>
      </c>
      <c r="F3200" s="64" t="s">
        <v>5750</v>
      </c>
      <c r="G3200" s="64"/>
      <c r="H3200" s="64"/>
      <c r="I3200" s="64">
        <v>0</v>
      </c>
      <c r="J3200" s="32" t="str">
        <f>IF(AND(E3200=1,OR(E3199=0,E3199="")),MAX(#REF!)+1,IF(AND(E3200=1,E3199=1),J3199,""))</f>
        <v/>
      </c>
      <c r="K3200" s="32" t="str">
        <f t="shared" si="190"/>
        <v/>
      </c>
      <c r="L3200" s="32" t="str">
        <f t="shared" si="187"/>
        <v/>
      </c>
      <c r="M3200" s="32" t="str">
        <f t="shared" si="188"/>
        <v/>
      </c>
      <c r="N3200" s="4">
        <v>0</v>
      </c>
      <c r="O3200" s="58">
        <v>0</v>
      </c>
      <c r="P3200" s="58">
        <v>0</v>
      </c>
      <c r="Q3200" s="58">
        <v>0</v>
      </c>
      <c r="R3200" s="58">
        <v>0</v>
      </c>
      <c r="S3200" s="58">
        <v>0</v>
      </c>
      <c r="T3200" s="58">
        <v>0</v>
      </c>
      <c r="U3200" s="58">
        <v>0</v>
      </c>
      <c r="V3200" s="58">
        <v>0</v>
      </c>
      <c r="AG3200" t="s">
        <v>2910</v>
      </c>
      <c r="AM3200" s="1" t="str">
        <f t="shared" si="191"/>
        <v>3198_C0008_1279.jpg</v>
      </c>
    </row>
    <row r="3201" spans="1:39" x14ac:dyDescent="0.35">
      <c r="A3201">
        <v>3197</v>
      </c>
      <c r="B3201">
        <v>3198</v>
      </c>
      <c r="F3201" s="64" t="s">
        <v>5751</v>
      </c>
      <c r="G3201" s="64"/>
      <c r="H3201" s="64"/>
      <c r="I3201" s="64">
        <v>0</v>
      </c>
      <c r="J3201" s="32" t="str">
        <f>IF(AND(E3201=1,OR(E3200=0,E3200="")),MAX(#REF!)+1,IF(AND(E3201=1,E3200=1),J3200,""))</f>
        <v/>
      </c>
      <c r="K3201" s="32" t="str">
        <f t="shared" si="190"/>
        <v/>
      </c>
      <c r="L3201" s="32" t="str">
        <f t="shared" si="187"/>
        <v/>
      </c>
      <c r="M3201" s="32" t="str">
        <f t="shared" si="188"/>
        <v/>
      </c>
      <c r="N3201" s="4">
        <v>0</v>
      </c>
      <c r="O3201" s="58">
        <v>0</v>
      </c>
      <c r="P3201" s="58">
        <v>0</v>
      </c>
      <c r="Q3201" s="58">
        <v>0</v>
      </c>
      <c r="R3201" s="58">
        <v>0</v>
      </c>
      <c r="S3201" s="58">
        <v>0</v>
      </c>
      <c r="T3201" s="58">
        <v>0</v>
      </c>
      <c r="U3201" s="58">
        <v>0</v>
      </c>
      <c r="V3201" s="58">
        <v>0</v>
      </c>
      <c r="AG3201" t="s">
        <v>2911</v>
      </c>
      <c r="AM3201" s="1" t="str">
        <f t="shared" si="191"/>
        <v>3199_C0008_1277.jpg</v>
      </c>
    </row>
    <row r="3202" spans="1:39" x14ac:dyDescent="0.35">
      <c r="A3202">
        <v>3198</v>
      </c>
      <c r="B3202">
        <v>3199</v>
      </c>
      <c r="F3202" s="64" t="s">
        <v>5752</v>
      </c>
      <c r="G3202" s="64"/>
      <c r="H3202" s="64"/>
      <c r="I3202" s="64">
        <v>0</v>
      </c>
      <c r="J3202" s="32" t="str">
        <f>IF(AND(E3202=1,OR(E3201=0,E3201="")),MAX(#REF!)+1,IF(AND(E3202=1,E3201=1),J3201,""))</f>
        <v/>
      </c>
      <c r="K3202" s="32" t="str">
        <f t="shared" si="190"/>
        <v/>
      </c>
      <c r="L3202" s="32" t="str">
        <f t="shared" si="187"/>
        <v/>
      </c>
      <c r="M3202" s="32" t="str">
        <f t="shared" si="188"/>
        <v/>
      </c>
      <c r="N3202" s="4">
        <v>0</v>
      </c>
      <c r="O3202" s="58">
        <v>0</v>
      </c>
      <c r="P3202" s="58">
        <v>0</v>
      </c>
      <c r="Q3202" s="58">
        <v>0</v>
      </c>
      <c r="R3202" s="58">
        <v>0</v>
      </c>
      <c r="S3202" s="58">
        <v>0</v>
      </c>
      <c r="T3202" s="58">
        <v>0</v>
      </c>
      <c r="U3202" s="58">
        <v>0</v>
      </c>
      <c r="V3202" s="58">
        <v>0</v>
      </c>
      <c r="AG3202" t="s">
        <v>2912</v>
      </c>
      <c r="AM3202" s="1" t="str">
        <f t="shared" si="191"/>
        <v>3200_C0008_1275.jpg</v>
      </c>
    </row>
    <row r="3203" spans="1:39" x14ac:dyDescent="0.35">
      <c r="A3203">
        <v>3199</v>
      </c>
      <c r="B3203">
        <v>3200</v>
      </c>
      <c r="F3203" s="64" t="s">
        <v>5753</v>
      </c>
      <c r="G3203" s="64"/>
      <c r="H3203" s="64"/>
      <c r="I3203" s="64">
        <v>0</v>
      </c>
      <c r="J3203" s="32" t="str">
        <f>IF(AND(E3203=1,OR(E3202=0,E3202="")),MAX(#REF!)+1,IF(AND(E3203=1,E3202=1),J3202,""))</f>
        <v/>
      </c>
      <c r="K3203" s="32" t="str">
        <f t="shared" si="190"/>
        <v/>
      </c>
      <c r="L3203" s="32" t="str">
        <f t="shared" si="187"/>
        <v/>
      </c>
      <c r="M3203" s="32" t="str">
        <f t="shared" si="188"/>
        <v/>
      </c>
      <c r="N3203" s="4">
        <v>0</v>
      </c>
      <c r="O3203" s="58">
        <v>0</v>
      </c>
      <c r="P3203" s="58">
        <v>0</v>
      </c>
      <c r="Q3203" s="58">
        <v>0</v>
      </c>
      <c r="R3203" s="58">
        <v>0</v>
      </c>
      <c r="S3203" s="58">
        <v>0</v>
      </c>
      <c r="T3203" s="58">
        <v>0</v>
      </c>
      <c r="U3203" s="58">
        <v>0</v>
      </c>
      <c r="V3203" s="58">
        <v>0</v>
      </c>
      <c r="AG3203" t="s">
        <v>2913</v>
      </c>
      <c r="AM3203" s="1" t="str">
        <f t="shared" si="191"/>
        <v>3201_C0008_1274.jpg</v>
      </c>
    </row>
    <row r="3204" spans="1:39" x14ac:dyDescent="0.35">
      <c r="A3204">
        <v>3200</v>
      </c>
      <c r="B3204">
        <v>3201</v>
      </c>
      <c r="F3204" s="64" t="s">
        <v>5754</v>
      </c>
      <c r="G3204" s="64"/>
      <c r="H3204" s="64"/>
      <c r="I3204" s="64">
        <v>0</v>
      </c>
      <c r="J3204" s="32" t="str">
        <f>IF(AND(E3204=1,OR(E3203=0,E3203="")),MAX(#REF!)+1,IF(AND(E3204=1,E3203=1),J3203,""))</f>
        <v/>
      </c>
      <c r="K3204" s="32" t="str">
        <f t="shared" si="190"/>
        <v/>
      </c>
      <c r="L3204" s="32" t="str">
        <f t="shared" ref="L3204:L3267" si="192">IF(K3204="","",IF(K3204&gt;=100,"HV",""))</f>
        <v/>
      </c>
      <c r="M3204" s="32" t="str">
        <f t="shared" ref="M3204:M3267" si="193">IF(K3204&lt;&gt;"",K3204^2,"")</f>
        <v/>
      </c>
      <c r="N3204" s="4">
        <v>0</v>
      </c>
      <c r="O3204" s="58">
        <v>0</v>
      </c>
      <c r="P3204" s="58">
        <v>0</v>
      </c>
      <c r="Q3204" s="58">
        <v>0</v>
      </c>
      <c r="R3204" s="58">
        <v>0</v>
      </c>
      <c r="S3204" s="58">
        <v>0</v>
      </c>
      <c r="T3204" s="58">
        <v>0</v>
      </c>
      <c r="U3204" s="58">
        <v>0</v>
      </c>
      <c r="V3204" s="58">
        <v>0</v>
      </c>
      <c r="AG3204" t="s">
        <v>2914</v>
      </c>
      <c r="AM3204" s="1" t="str">
        <f t="shared" si="191"/>
        <v>3202_C0008_1273.jpg</v>
      </c>
    </row>
    <row r="3205" spans="1:39" x14ac:dyDescent="0.35">
      <c r="A3205">
        <v>3201</v>
      </c>
      <c r="B3205">
        <v>3202</v>
      </c>
      <c r="F3205" s="64" t="s">
        <v>5755</v>
      </c>
      <c r="G3205" s="64"/>
      <c r="H3205" s="64"/>
      <c r="I3205" s="64">
        <v>0</v>
      </c>
      <c r="J3205" s="32" t="str">
        <f>IF(AND(E3205=1,OR(E3204=0,E3204="")),MAX(#REF!)+1,IF(AND(E3205=1,E3204=1),J3204,""))</f>
        <v/>
      </c>
      <c r="K3205" s="32" t="str">
        <f t="shared" si="190"/>
        <v/>
      </c>
      <c r="L3205" s="32" t="str">
        <f t="shared" si="192"/>
        <v/>
      </c>
      <c r="M3205" s="32" t="str">
        <f t="shared" si="193"/>
        <v/>
      </c>
      <c r="N3205" s="4">
        <v>0</v>
      </c>
      <c r="O3205" s="58">
        <v>0</v>
      </c>
      <c r="P3205" s="58">
        <v>0</v>
      </c>
      <c r="Q3205" s="58">
        <v>0</v>
      </c>
      <c r="R3205" s="58">
        <v>0</v>
      </c>
      <c r="S3205" s="58">
        <v>0</v>
      </c>
      <c r="T3205" s="58">
        <v>0</v>
      </c>
      <c r="U3205" s="58">
        <v>0</v>
      </c>
      <c r="V3205" s="58">
        <v>0</v>
      </c>
      <c r="AG3205" t="s">
        <v>2915</v>
      </c>
      <c r="AM3205" s="1"/>
    </row>
    <row r="3206" spans="1:39" x14ac:dyDescent="0.35">
      <c r="A3206">
        <v>3202</v>
      </c>
      <c r="B3206">
        <v>3203</v>
      </c>
      <c r="F3206" s="64"/>
      <c r="G3206" s="64"/>
      <c r="H3206" s="64" t="s">
        <v>26</v>
      </c>
      <c r="I3206" s="64"/>
      <c r="J3206" s="32" t="str">
        <f>IF(AND(E3206=1,OR(E3205=0,E3205="")),MAX(#REF!)+1,IF(AND(E3206=1,E3205=1),J3205,""))</f>
        <v/>
      </c>
      <c r="K3206" s="32" t="str">
        <f t="shared" si="190"/>
        <v/>
      </c>
      <c r="L3206" s="32" t="str">
        <f t="shared" si="192"/>
        <v/>
      </c>
      <c r="M3206" s="32" t="str">
        <f t="shared" si="193"/>
        <v/>
      </c>
      <c r="N3206" s="4"/>
      <c r="AG3206" t="s">
        <v>2916</v>
      </c>
      <c r="AM3206" s="1"/>
    </row>
    <row r="3207" spans="1:39" x14ac:dyDescent="0.35">
      <c r="A3207">
        <v>3203</v>
      </c>
      <c r="B3207">
        <v>3204</v>
      </c>
      <c r="F3207" s="64"/>
      <c r="G3207" s="64"/>
      <c r="H3207" s="64" t="s">
        <v>26</v>
      </c>
      <c r="I3207" s="64"/>
      <c r="J3207" s="32" t="str">
        <f>IF(AND(E3207=1,OR(E3206=0,E3206="")),MAX(#REF!)+1,IF(AND(E3207=1,E3206=1),J3206,""))</f>
        <v/>
      </c>
      <c r="K3207" s="32" t="str">
        <f t="shared" si="190"/>
        <v/>
      </c>
      <c r="L3207" s="32" t="str">
        <f t="shared" si="192"/>
        <v/>
      </c>
      <c r="M3207" s="32" t="str">
        <f t="shared" si="193"/>
        <v/>
      </c>
      <c r="N3207" s="4"/>
      <c r="AG3207" t="s">
        <v>2917</v>
      </c>
      <c r="AM3207" s="1"/>
    </row>
    <row r="3208" spans="1:39" x14ac:dyDescent="0.35">
      <c r="A3208">
        <v>3204</v>
      </c>
      <c r="B3208">
        <v>3205</v>
      </c>
      <c r="F3208" s="64"/>
      <c r="G3208" s="64"/>
      <c r="H3208" s="64" t="s">
        <v>26</v>
      </c>
      <c r="I3208" s="64"/>
      <c r="J3208" s="32" t="str">
        <f>IF(AND(E3208=1,OR(E3207=0,E3207="")),MAX(#REF!)+1,IF(AND(E3208=1,E3207=1),J3207,""))</f>
        <v/>
      </c>
      <c r="K3208" s="32" t="str">
        <f t="shared" si="190"/>
        <v/>
      </c>
      <c r="L3208" s="32" t="str">
        <f t="shared" si="192"/>
        <v/>
      </c>
      <c r="M3208" s="32" t="str">
        <f t="shared" si="193"/>
        <v/>
      </c>
      <c r="N3208" s="4"/>
      <c r="AG3208" t="s">
        <v>2918</v>
      </c>
      <c r="AM3208" s="1"/>
    </row>
    <row r="3209" spans="1:39" x14ac:dyDescent="0.35">
      <c r="A3209">
        <v>3205</v>
      </c>
      <c r="B3209">
        <v>3206</v>
      </c>
      <c r="F3209" s="64"/>
      <c r="G3209" s="64"/>
      <c r="H3209" s="64" t="s">
        <v>26</v>
      </c>
      <c r="I3209" s="64"/>
      <c r="J3209" s="32" t="str">
        <f>IF(AND(E3209=1,OR(E3208=0,E3208="")),MAX(#REF!)+1,IF(AND(E3209=1,E3208=1),J3208,""))</f>
        <v/>
      </c>
      <c r="K3209" s="32" t="str">
        <f t="shared" si="190"/>
        <v/>
      </c>
      <c r="L3209" s="32" t="str">
        <f t="shared" si="192"/>
        <v/>
      </c>
      <c r="M3209" s="32" t="str">
        <f t="shared" si="193"/>
        <v/>
      </c>
      <c r="N3209" s="4"/>
      <c r="AG3209" t="s">
        <v>2919</v>
      </c>
      <c r="AM3209" s="1"/>
    </row>
    <row r="3210" spans="1:39" x14ac:dyDescent="0.35">
      <c r="A3210">
        <v>3206</v>
      </c>
      <c r="B3210">
        <v>3207</v>
      </c>
      <c r="F3210" s="64"/>
      <c r="G3210" s="64"/>
      <c r="H3210" s="64" t="s">
        <v>26</v>
      </c>
      <c r="I3210" s="64"/>
      <c r="J3210" s="32" t="str">
        <f>IF(AND(E3210=1,OR(E3209=0,E3209="")),MAX(#REF!)+1,IF(AND(E3210=1,E3209=1),J3209,""))</f>
        <v/>
      </c>
      <c r="K3210" s="32" t="str">
        <f t="shared" si="190"/>
        <v/>
      </c>
      <c r="L3210" s="32" t="str">
        <f t="shared" si="192"/>
        <v/>
      </c>
      <c r="M3210" s="32" t="str">
        <f t="shared" si="193"/>
        <v/>
      </c>
      <c r="N3210" s="4"/>
      <c r="AG3210" t="s">
        <v>2920</v>
      </c>
      <c r="AM3210" s="1"/>
    </row>
    <row r="3211" spans="1:39" x14ac:dyDescent="0.35">
      <c r="A3211">
        <v>3207</v>
      </c>
      <c r="B3211">
        <v>3208</v>
      </c>
      <c r="F3211" s="64"/>
      <c r="G3211" s="64"/>
      <c r="H3211" s="64" t="s">
        <v>26</v>
      </c>
      <c r="I3211" s="64"/>
      <c r="J3211" s="32" t="str">
        <f>IF(AND(E3211=1,OR(E3210=0,E3210="")),MAX(#REF!)+1,IF(AND(E3211=1,E3210=1),J3210,""))</f>
        <v/>
      </c>
      <c r="K3211" s="32" t="str">
        <f t="shared" si="190"/>
        <v/>
      </c>
      <c r="L3211" s="32" t="str">
        <f t="shared" si="192"/>
        <v/>
      </c>
      <c r="M3211" s="32" t="str">
        <f t="shared" si="193"/>
        <v/>
      </c>
      <c r="N3211" s="4"/>
      <c r="AG3211" t="s">
        <v>2921</v>
      </c>
      <c r="AM3211" s="1"/>
    </row>
    <row r="3212" spans="1:39" x14ac:dyDescent="0.35">
      <c r="A3212">
        <v>3208</v>
      </c>
      <c r="B3212">
        <v>3209</v>
      </c>
      <c r="F3212" s="64"/>
      <c r="G3212" s="64"/>
      <c r="H3212" s="64" t="s">
        <v>26</v>
      </c>
      <c r="I3212" s="64"/>
      <c r="J3212" s="32" t="str">
        <f>IF(AND(E3212=1,OR(E3211=0,E3211="")),MAX(#REF!)+1,IF(AND(E3212=1,E3211=1),J3211,""))</f>
        <v/>
      </c>
      <c r="K3212" s="32" t="str">
        <f t="shared" si="190"/>
        <v/>
      </c>
      <c r="L3212" s="32" t="str">
        <f t="shared" si="192"/>
        <v/>
      </c>
      <c r="M3212" s="32" t="str">
        <f t="shared" si="193"/>
        <v/>
      </c>
      <c r="N3212" s="4"/>
      <c r="AG3212" t="s">
        <v>2922</v>
      </c>
      <c r="AM3212" s="1"/>
    </row>
    <row r="3213" spans="1:39" x14ac:dyDescent="0.35">
      <c r="A3213">
        <v>3209</v>
      </c>
      <c r="B3213">
        <v>3210</v>
      </c>
      <c r="F3213" s="64"/>
      <c r="G3213" s="64"/>
      <c r="H3213" s="64" t="s">
        <v>26</v>
      </c>
      <c r="I3213" s="64"/>
      <c r="J3213" s="32" t="str">
        <f>IF(AND(E3213=1,OR(E3212=0,E3212="")),MAX(#REF!)+1,IF(AND(E3213=1,E3212=1),J3212,""))</f>
        <v/>
      </c>
      <c r="K3213" s="32" t="str">
        <f t="shared" si="190"/>
        <v/>
      </c>
      <c r="L3213" s="32" t="str">
        <f t="shared" si="192"/>
        <v/>
      </c>
      <c r="M3213" s="32" t="str">
        <f t="shared" si="193"/>
        <v/>
      </c>
      <c r="N3213" s="4"/>
      <c r="AG3213" t="s">
        <v>2923</v>
      </c>
      <c r="AM3213" s="1"/>
    </row>
    <row r="3214" spans="1:39" x14ac:dyDescent="0.35">
      <c r="A3214">
        <v>3210</v>
      </c>
      <c r="B3214">
        <v>3211</v>
      </c>
      <c r="F3214" s="64"/>
      <c r="G3214" s="64"/>
      <c r="H3214" s="64" t="s">
        <v>26</v>
      </c>
      <c r="I3214" s="64"/>
      <c r="J3214" s="32" t="str">
        <f>IF(AND(E3214=1,OR(E3213=0,E3213="")),MAX(#REF!)+1,IF(AND(E3214=1,E3213=1),J3213,""))</f>
        <v/>
      </c>
      <c r="K3214" s="32" t="str">
        <f t="shared" si="190"/>
        <v/>
      </c>
      <c r="L3214" s="32" t="str">
        <f t="shared" si="192"/>
        <v/>
      </c>
      <c r="M3214" s="32" t="str">
        <f t="shared" si="193"/>
        <v/>
      </c>
      <c r="N3214" s="4"/>
      <c r="AG3214" t="s">
        <v>2924</v>
      </c>
      <c r="AM3214" s="1"/>
    </row>
    <row r="3215" spans="1:39" x14ac:dyDescent="0.35">
      <c r="A3215">
        <v>3211</v>
      </c>
      <c r="B3215">
        <v>3212</v>
      </c>
      <c r="F3215" s="64"/>
      <c r="G3215" s="64"/>
      <c r="H3215" s="64" t="s">
        <v>26</v>
      </c>
      <c r="I3215" s="64"/>
      <c r="J3215" s="32" t="str">
        <f>IF(AND(E3215=1,OR(E3214=0,E3214="")),MAX(#REF!)+1,IF(AND(E3215=1,E3214=1),J3214,""))</f>
        <v/>
      </c>
      <c r="K3215" s="32" t="str">
        <f t="shared" si="190"/>
        <v/>
      </c>
      <c r="L3215" s="32" t="str">
        <f t="shared" si="192"/>
        <v/>
      </c>
      <c r="M3215" s="32" t="str">
        <f t="shared" si="193"/>
        <v/>
      </c>
      <c r="N3215" s="4"/>
      <c r="AG3215" t="s">
        <v>2925</v>
      </c>
      <c r="AM3215" s="1"/>
    </row>
    <row r="3216" spans="1:39" x14ac:dyDescent="0.35">
      <c r="A3216">
        <v>3212</v>
      </c>
      <c r="B3216">
        <v>3213</v>
      </c>
      <c r="F3216" s="64"/>
      <c r="G3216" s="64"/>
      <c r="H3216" s="64" t="s">
        <v>26</v>
      </c>
      <c r="I3216" s="64"/>
      <c r="J3216" s="32" t="str">
        <f>IF(AND(E3216=1,OR(E3215=0,E3215="")),MAX(#REF!)+1,IF(AND(E3216=1,E3215=1),J3215,""))</f>
        <v/>
      </c>
      <c r="K3216" s="32" t="str">
        <f t="shared" si="190"/>
        <v/>
      </c>
      <c r="L3216" s="32" t="str">
        <f t="shared" si="192"/>
        <v/>
      </c>
      <c r="M3216" s="32" t="str">
        <f t="shared" si="193"/>
        <v/>
      </c>
      <c r="N3216" s="4"/>
      <c r="AG3216" t="s">
        <v>2926</v>
      </c>
      <c r="AM3216" s="1"/>
    </row>
    <row r="3217" spans="1:39" x14ac:dyDescent="0.35">
      <c r="A3217">
        <v>3213</v>
      </c>
      <c r="B3217">
        <v>3214</v>
      </c>
      <c r="F3217" s="64"/>
      <c r="G3217" s="64"/>
      <c r="H3217" s="64" t="s">
        <v>26</v>
      </c>
      <c r="I3217" s="64"/>
      <c r="J3217" s="32" t="str">
        <f>IF(AND(E3217=1,OR(E3216=0,E3216="")),MAX(#REF!)+1,IF(AND(E3217=1,E3216=1),J3216,""))</f>
        <v/>
      </c>
      <c r="K3217" s="32" t="str">
        <f t="shared" si="190"/>
        <v/>
      </c>
      <c r="L3217" s="32" t="str">
        <f t="shared" si="192"/>
        <v/>
      </c>
      <c r="M3217" s="32" t="str">
        <f t="shared" si="193"/>
        <v/>
      </c>
      <c r="N3217" s="4"/>
      <c r="AG3217" t="s">
        <v>2927</v>
      </c>
      <c r="AM3217" s="1"/>
    </row>
    <row r="3218" spans="1:39" x14ac:dyDescent="0.35">
      <c r="A3218">
        <v>3214</v>
      </c>
      <c r="B3218">
        <v>3215</v>
      </c>
      <c r="F3218" s="64"/>
      <c r="G3218" s="64"/>
      <c r="H3218" s="64" t="s">
        <v>26</v>
      </c>
      <c r="I3218" s="64"/>
      <c r="J3218" s="32" t="str">
        <f>IF(AND(E3218=1,OR(E3217=0,E3217="")),MAX(#REF!)+1,IF(AND(E3218=1,E3217=1),J3217,""))</f>
        <v/>
      </c>
      <c r="K3218" s="32" t="str">
        <f t="shared" si="190"/>
        <v/>
      </c>
      <c r="L3218" s="32" t="str">
        <f t="shared" si="192"/>
        <v/>
      </c>
      <c r="M3218" s="32" t="str">
        <f t="shared" si="193"/>
        <v/>
      </c>
      <c r="N3218" s="4"/>
      <c r="AG3218" t="s">
        <v>2928</v>
      </c>
      <c r="AM3218" s="1"/>
    </row>
    <row r="3219" spans="1:39" x14ac:dyDescent="0.35">
      <c r="A3219">
        <v>3215</v>
      </c>
      <c r="B3219">
        <v>3216</v>
      </c>
      <c r="F3219" s="64"/>
      <c r="G3219" s="64"/>
      <c r="H3219" s="64" t="s">
        <v>26</v>
      </c>
      <c r="I3219" s="64"/>
      <c r="J3219" s="32" t="str">
        <f>IF(AND(E3219=1,OR(E3218=0,E3218="")),MAX(#REF!)+1,IF(AND(E3219=1,E3218=1),J3218,""))</f>
        <v/>
      </c>
      <c r="K3219" s="32" t="str">
        <f t="shared" si="190"/>
        <v/>
      </c>
      <c r="L3219" s="32" t="str">
        <f t="shared" si="192"/>
        <v/>
      </c>
      <c r="M3219" s="32" t="str">
        <f t="shared" si="193"/>
        <v/>
      </c>
      <c r="N3219" s="4"/>
      <c r="AG3219" t="s">
        <v>2929</v>
      </c>
      <c r="AM3219" s="1"/>
    </row>
    <row r="3220" spans="1:39" x14ac:dyDescent="0.35">
      <c r="A3220">
        <v>3216</v>
      </c>
      <c r="B3220">
        <v>3217</v>
      </c>
      <c r="F3220" s="64"/>
      <c r="G3220" s="64"/>
      <c r="H3220" s="64" t="s">
        <v>26</v>
      </c>
      <c r="I3220" s="64"/>
      <c r="J3220" s="32" t="str">
        <f>IF(AND(E3220=1,OR(E3219=0,E3219="")),MAX(#REF!)+1,IF(AND(E3220=1,E3219=1),J3219,""))</f>
        <v/>
      </c>
      <c r="K3220" s="32" t="str">
        <f t="shared" si="190"/>
        <v/>
      </c>
      <c r="L3220" s="32" t="str">
        <f t="shared" si="192"/>
        <v/>
      </c>
      <c r="M3220" s="32" t="str">
        <f t="shared" si="193"/>
        <v/>
      </c>
      <c r="N3220" s="4"/>
      <c r="AG3220" t="s">
        <v>2930</v>
      </c>
      <c r="AM3220" s="1"/>
    </row>
    <row r="3221" spans="1:39" x14ac:dyDescent="0.35">
      <c r="A3221">
        <v>3217</v>
      </c>
      <c r="B3221">
        <v>3218</v>
      </c>
      <c r="F3221" s="64"/>
      <c r="G3221" s="64"/>
      <c r="H3221" s="64" t="s">
        <v>26</v>
      </c>
      <c r="I3221" s="64"/>
      <c r="J3221" s="32" t="str">
        <f>IF(AND(E3221=1,OR(E3220=0,E3220="")),MAX(#REF!)+1,IF(AND(E3221=1,E3220=1),J3220,""))</f>
        <v/>
      </c>
      <c r="K3221" s="32" t="str">
        <f t="shared" si="190"/>
        <v/>
      </c>
      <c r="L3221" s="32" t="str">
        <f t="shared" si="192"/>
        <v/>
      </c>
      <c r="M3221" s="32" t="str">
        <f t="shared" si="193"/>
        <v/>
      </c>
      <c r="N3221" s="4"/>
      <c r="AG3221" t="s">
        <v>2931</v>
      </c>
      <c r="AM3221" s="1"/>
    </row>
    <row r="3222" spans="1:39" x14ac:dyDescent="0.35">
      <c r="A3222">
        <v>3218</v>
      </c>
      <c r="B3222">
        <v>3219</v>
      </c>
      <c r="F3222" s="64"/>
      <c r="G3222" s="64"/>
      <c r="H3222" s="64" t="s">
        <v>26</v>
      </c>
      <c r="I3222" s="64"/>
      <c r="J3222" s="32" t="str">
        <f>IF(AND(E3222=1,OR(E3221=0,E3221="")),MAX(#REF!)+1,IF(AND(E3222=1,E3221=1),J3221,""))</f>
        <v/>
      </c>
      <c r="K3222" s="32" t="str">
        <f t="shared" si="190"/>
        <v/>
      </c>
      <c r="L3222" s="32" t="str">
        <f t="shared" si="192"/>
        <v/>
      </c>
      <c r="M3222" s="32" t="str">
        <f t="shared" si="193"/>
        <v/>
      </c>
      <c r="N3222" s="4"/>
      <c r="AG3222" t="s">
        <v>2932</v>
      </c>
      <c r="AM3222" s="1"/>
    </row>
    <row r="3223" spans="1:39" x14ac:dyDescent="0.35">
      <c r="A3223">
        <v>3219</v>
      </c>
      <c r="B3223">
        <v>3220</v>
      </c>
      <c r="F3223" s="64"/>
      <c r="G3223" s="64"/>
      <c r="H3223" s="64" t="s">
        <v>26</v>
      </c>
      <c r="I3223" s="64"/>
      <c r="J3223" s="32" t="str">
        <f>IF(AND(E3223=1,OR(E3222=0,E3222="")),MAX(#REF!)+1,IF(AND(E3223=1,E3222=1),J3222,""))</f>
        <v/>
      </c>
      <c r="K3223" s="32" t="str">
        <f t="shared" si="190"/>
        <v/>
      </c>
      <c r="L3223" s="32" t="str">
        <f t="shared" si="192"/>
        <v/>
      </c>
      <c r="M3223" s="32" t="str">
        <f t="shared" si="193"/>
        <v/>
      </c>
      <c r="N3223" s="4"/>
      <c r="AG3223" t="s">
        <v>2933</v>
      </c>
      <c r="AM3223" s="1"/>
    </row>
    <row r="3224" spans="1:39" x14ac:dyDescent="0.35">
      <c r="A3224">
        <v>3220</v>
      </c>
      <c r="B3224">
        <v>3221</v>
      </c>
      <c r="F3224" s="64"/>
      <c r="G3224" s="64"/>
      <c r="H3224" s="64" t="s">
        <v>26</v>
      </c>
      <c r="I3224" s="64"/>
      <c r="J3224" s="32" t="str">
        <f>IF(AND(E3224=1,OR(E3223=0,E3223="")),MAX(#REF!)+1,IF(AND(E3224=1,E3223=1),J3223,""))</f>
        <v/>
      </c>
      <c r="K3224" s="32" t="str">
        <f t="shared" si="190"/>
        <v/>
      </c>
      <c r="L3224" s="32" t="str">
        <f t="shared" si="192"/>
        <v/>
      </c>
      <c r="M3224" s="32" t="str">
        <f t="shared" si="193"/>
        <v/>
      </c>
      <c r="N3224" s="4"/>
      <c r="AG3224" t="s">
        <v>2934</v>
      </c>
      <c r="AM3224" s="1"/>
    </row>
    <row r="3225" spans="1:39" x14ac:dyDescent="0.35">
      <c r="A3225">
        <v>3221</v>
      </c>
      <c r="B3225">
        <v>3222</v>
      </c>
      <c r="F3225" s="64"/>
      <c r="G3225" s="64"/>
      <c r="H3225" s="64" t="s">
        <v>26</v>
      </c>
      <c r="I3225" s="64"/>
      <c r="J3225" s="32" t="str">
        <f>IF(AND(E3225=1,OR(E3224=0,E3224="")),MAX(#REF!)+1,IF(AND(E3225=1,E3224=1),J3224,""))</f>
        <v/>
      </c>
      <c r="K3225" s="32" t="str">
        <f t="shared" si="190"/>
        <v/>
      </c>
      <c r="L3225" s="32" t="str">
        <f t="shared" si="192"/>
        <v/>
      </c>
      <c r="M3225" s="32" t="str">
        <f t="shared" si="193"/>
        <v/>
      </c>
      <c r="N3225" s="4"/>
      <c r="AG3225" t="s">
        <v>2935</v>
      </c>
      <c r="AM3225" s="1"/>
    </row>
    <row r="3226" spans="1:39" x14ac:dyDescent="0.35">
      <c r="A3226">
        <v>3222</v>
      </c>
      <c r="B3226">
        <v>3223</v>
      </c>
      <c r="F3226" s="64"/>
      <c r="G3226" s="64"/>
      <c r="H3226" s="64" t="s">
        <v>26</v>
      </c>
      <c r="I3226" s="64"/>
      <c r="J3226" s="32" t="str">
        <f>IF(AND(E3226=1,OR(E3225=0,E3225="")),MAX(#REF!)+1,IF(AND(E3226=1,E3225=1),J3225,""))</f>
        <v/>
      </c>
      <c r="K3226" s="32" t="str">
        <f t="shared" si="190"/>
        <v/>
      </c>
      <c r="L3226" s="32" t="str">
        <f t="shared" si="192"/>
        <v/>
      </c>
      <c r="M3226" s="32" t="str">
        <f t="shared" si="193"/>
        <v/>
      </c>
      <c r="N3226" s="4"/>
      <c r="AG3226" t="s">
        <v>2936</v>
      </c>
      <c r="AM3226" s="1"/>
    </row>
    <row r="3227" spans="1:39" x14ac:dyDescent="0.35">
      <c r="A3227">
        <v>3223</v>
      </c>
      <c r="B3227">
        <v>3224</v>
      </c>
      <c r="F3227" s="64"/>
      <c r="G3227" s="64"/>
      <c r="H3227" s="64" t="s">
        <v>26</v>
      </c>
      <c r="I3227" s="64"/>
      <c r="J3227" s="32" t="str">
        <f>IF(AND(E3227=1,OR(E3226=0,E3226="")),MAX(#REF!)+1,IF(AND(E3227=1,E3226=1),J3226,""))</f>
        <v/>
      </c>
      <c r="K3227" s="32" t="str">
        <f t="shared" si="190"/>
        <v/>
      </c>
      <c r="L3227" s="32" t="str">
        <f t="shared" si="192"/>
        <v/>
      </c>
      <c r="M3227" s="32" t="str">
        <f t="shared" si="193"/>
        <v/>
      </c>
      <c r="N3227" s="4"/>
      <c r="AG3227" t="s">
        <v>2937</v>
      </c>
      <c r="AM3227" s="1"/>
    </row>
    <row r="3228" spans="1:39" x14ac:dyDescent="0.35">
      <c r="A3228">
        <v>3224</v>
      </c>
      <c r="B3228">
        <v>3225</v>
      </c>
      <c r="F3228" s="64"/>
      <c r="G3228" s="64"/>
      <c r="H3228" s="64" t="s">
        <v>26</v>
      </c>
      <c r="I3228" s="64"/>
      <c r="J3228" s="32" t="str">
        <f>IF(AND(E3228=1,OR(E3227=0,E3227="")),MAX(#REF!)+1,IF(AND(E3228=1,E3227=1),J3227,""))</f>
        <v/>
      </c>
      <c r="K3228" s="32" t="str">
        <f t="shared" si="190"/>
        <v/>
      </c>
      <c r="L3228" s="32" t="str">
        <f t="shared" si="192"/>
        <v/>
      </c>
      <c r="M3228" s="32" t="str">
        <f t="shared" si="193"/>
        <v/>
      </c>
      <c r="N3228" s="4"/>
      <c r="AG3228" t="s">
        <v>2938</v>
      </c>
      <c r="AM3228" s="1"/>
    </row>
    <row r="3229" spans="1:39" x14ac:dyDescent="0.35">
      <c r="A3229">
        <v>3225</v>
      </c>
      <c r="B3229">
        <v>3226</v>
      </c>
      <c r="F3229" s="64"/>
      <c r="G3229" s="64"/>
      <c r="H3229" s="64" t="s">
        <v>26</v>
      </c>
      <c r="I3229" s="64"/>
      <c r="J3229" s="32" t="str">
        <f>IF(AND(E3229=1,OR(E3228=0,E3228="")),MAX(#REF!)+1,IF(AND(E3229=1,E3228=1),J3228,""))</f>
        <v/>
      </c>
      <c r="K3229" s="32" t="str">
        <f t="shared" si="190"/>
        <v/>
      </c>
      <c r="L3229" s="32" t="str">
        <f t="shared" si="192"/>
        <v/>
      </c>
      <c r="M3229" s="32" t="str">
        <f t="shared" si="193"/>
        <v/>
      </c>
      <c r="N3229" s="4"/>
      <c r="AG3229" t="s">
        <v>2939</v>
      </c>
      <c r="AM3229" s="1"/>
    </row>
    <row r="3230" spans="1:39" x14ac:dyDescent="0.35">
      <c r="A3230">
        <v>3226</v>
      </c>
      <c r="B3230">
        <v>3227</v>
      </c>
      <c r="F3230" s="64"/>
      <c r="G3230" s="64"/>
      <c r="H3230" s="64" t="s">
        <v>26</v>
      </c>
      <c r="I3230" s="64"/>
      <c r="J3230" s="32" t="str">
        <f>IF(AND(E3230=1,OR(E3229=0,E3229="")),MAX(#REF!)+1,IF(AND(E3230=1,E3229=1),J3229,""))</f>
        <v/>
      </c>
      <c r="K3230" s="32" t="str">
        <f t="shared" si="190"/>
        <v/>
      </c>
      <c r="L3230" s="32" t="str">
        <f t="shared" si="192"/>
        <v/>
      </c>
      <c r="M3230" s="32" t="str">
        <f t="shared" si="193"/>
        <v/>
      </c>
      <c r="N3230" s="4"/>
      <c r="AG3230" t="s">
        <v>2940</v>
      </c>
      <c r="AM3230" s="1"/>
    </row>
    <row r="3231" spans="1:39" x14ac:dyDescent="0.35">
      <c r="A3231">
        <v>3227</v>
      </c>
      <c r="B3231">
        <v>3228</v>
      </c>
      <c r="F3231" s="64"/>
      <c r="G3231" s="64"/>
      <c r="H3231" s="64" t="s">
        <v>26</v>
      </c>
      <c r="I3231" s="64"/>
      <c r="J3231" s="32" t="str">
        <f>IF(AND(E3231=1,OR(E3230=0,E3230="")),MAX(#REF!)+1,IF(AND(E3231=1,E3230=1),J3230,""))</f>
        <v/>
      </c>
      <c r="K3231" s="32" t="str">
        <f t="shared" ref="K3231:K3294" si="194">IF(J3231="","",COUNTIF(J:J,J3231)*10)</f>
        <v/>
      </c>
      <c r="L3231" s="32" t="str">
        <f t="shared" si="192"/>
        <v/>
      </c>
      <c r="M3231" s="32" t="str">
        <f t="shared" si="193"/>
        <v/>
      </c>
      <c r="N3231" s="4"/>
      <c r="AG3231" t="s">
        <v>2941</v>
      </c>
      <c r="AM3231" s="1"/>
    </row>
    <row r="3232" spans="1:39" x14ac:dyDescent="0.35">
      <c r="A3232">
        <v>3228</v>
      </c>
      <c r="B3232">
        <v>3229</v>
      </c>
      <c r="F3232" s="64"/>
      <c r="G3232" s="64"/>
      <c r="H3232" s="64" t="s">
        <v>26</v>
      </c>
      <c r="I3232" s="64"/>
      <c r="J3232" s="32" t="str">
        <f>IF(AND(E3232=1,OR(E3231=0,E3231="")),MAX(#REF!)+1,IF(AND(E3232=1,E3231=1),J3231,""))</f>
        <v/>
      </c>
      <c r="K3232" s="32" t="str">
        <f t="shared" si="194"/>
        <v/>
      </c>
      <c r="L3232" s="32" t="str">
        <f t="shared" si="192"/>
        <v/>
      </c>
      <c r="M3232" s="32" t="str">
        <f t="shared" si="193"/>
        <v/>
      </c>
      <c r="N3232" s="4"/>
      <c r="AG3232" t="s">
        <v>2942</v>
      </c>
      <c r="AM3232" s="1"/>
    </row>
    <row r="3233" spans="1:39" x14ac:dyDescent="0.35">
      <c r="A3233">
        <v>3229</v>
      </c>
      <c r="B3233">
        <v>3230</v>
      </c>
      <c r="F3233" s="64"/>
      <c r="G3233" s="64"/>
      <c r="H3233" s="64" t="s">
        <v>26</v>
      </c>
      <c r="I3233" s="64"/>
      <c r="J3233" s="32" t="str">
        <f>IF(AND(E3233=1,OR(E3232=0,E3232="")),MAX(#REF!)+1,IF(AND(E3233=1,E3232=1),J3232,""))</f>
        <v/>
      </c>
      <c r="K3233" s="32" t="str">
        <f t="shared" si="194"/>
        <v/>
      </c>
      <c r="L3233" s="32" t="str">
        <f t="shared" si="192"/>
        <v/>
      </c>
      <c r="M3233" s="32" t="str">
        <f t="shared" si="193"/>
        <v/>
      </c>
      <c r="N3233" s="4"/>
      <c r="AG3233" t="s">
        <v>2943</v>
      </c>
      <c r="AM3233" s="1"/>
    </row>
    <row r="3234" spans="1:39" x14ac:dyDescent="0.35">
      <c r="A3234">
        <v>3230</v>
      </c>
      <c r="B3234">
        <v>3231</v>
      </c>
      <c r="F3234" s="64"/>
      <c r="G3234" s="64"/>
      <c r="H3234" s="64" t="s">
        <v>26</v>
      </c>
      <c r="I3234" s="64"/>
      <c r="J3234" s="32" t="str">
        <f>IF(AND(E3234=1,OR(E3233=0,E3233="")),MAX(#REF!)+1,IF(AND(E3234=1,E3233=1),J3233,""))</f>
        <v/>
      </c>
      <c r="K3234" s="32" t="str">
        <f t="shared" si="194"/>
        <v/>
      </c>
      <c r="L3234" s="32" t="str">
        <f t="shared" si="192"/>
        <v/>
      </c>
      <c r="M3234" s="32" t="str">
        <f t="shared" si="193"/>
        <v/>
      </c>
      <c r="N3234" s="4"/>
      <c r="AG3234" t="s">
        <v>2944</v>
      </c>
      <c r="AM3234" s="1"/>
    </row>
    <row r="3235" spans="1:39" x14ac:dyDescent="0.35">
      <c r="A3235">
        <v>3231</v>
      </c>
      <c r="B3235">
        <v>3232</v>
      </c>
      <c r="F3235" s="64"/>
      <c r="G3235" s="64"/>
      <c r="H3235" s="64" t="s">
        <v>26</v>
      </c>
      <c r="I3235" s="64"/>
      <c r="J3235" s="32" t="str">
        <f>IF(AND(E3235=1,OR(E3234=0,E3234="")),MAX(#REF!)+1,IF(AND(E3235=1,E3234=1),J3234,""))</f>
        <v/>
      </c>
      <c r="K3235" s="32" t="str">
        <f t="shared" si="194"/>
        <v/>
      </c>
      <c r="L3235" s="32" t="str">
        <f t="shared" si="192"/>
        <v/>
      </c>
      <c r="M3235" s="32" t="str">
        <f t="shared" si="193"/>
        <v/>
      </c>
      <c r="N3235" s="4"/>
      <c r="AG3235" t="s">
        <v>2945</v>
      </c>
      <c r="AM3235" s="1"/>
    </row>
    <row r="3236" spans="1:39" x14ac:dyDescent="0.35">
      <c r="A3236">
        <v>3232</v>
      </c>
      <c r="B3236">
        <v>3233</v>
      </c>
      <c r="F3236" s="64"/>
      <c r="G3236" s="64"/>
      <c r="H3236" s="64" t="s">
        <v>26</v>
      </c>
      <c r="I3236" s="64"/>
      <c r="J3236" s="32" t="str">
        <f>IF(AND(E3236=1,OR(E3235=0,E3235="")),MAX(#REF!)+1,IF(AND(E3236=1,E3235=1),J3235,""))</f>
        <v/>
      </c>
      <c r="K3236" s="32" t="str">
        <f t="shared" si="194"/>
        <v/>
      </c>
      <c r="L3236" s="32" t="str">
        <f t="shared" si="192"/>
        <v/>
      </c>
      <c r="M3236" s="32" t="str">
        <f t="shared" si="193"/>
        <v/>
      </c>
      <c r="N3236" s="4"/>
      <c r="AG3236" t="s">
        <v>2946</v>
      </c>
      <c r="AM3236" s="1"/>
    </row>
    <row r="3237" spans="1:39" x14ac:dyDescent="0.35">
      <c r="A3237">
        <v>3233</v>
      </c>
      <c r="B3237">
        <v>3234</v>
      </c>
      <c r="F3237" s="64"/>
      <c r="G3237" s="64"/>
      <c r="H3237" s="64" t="s">
        <v>26</v>
      </c>
      <c r="I3237" s="64"/>
      <c r="J3237" s="32" t="str">
        <f>IF(AND(E3237=1,OR(E3236=0,E3236="")),MAX(#REF!)+1,IF(AND(E3237=1,E3236=1),J3236,""))</f>
        <v/>
      </c>
      <c r="K3237" s="32" t="str">
        <f t="shared" si="194"/>
        <v/>
      </c>
      <c r="L3237" s="32" t="str">
        <f t="shared" si="192"/>
        <v/>
      </c>
      <c r="M3237" s="32" t="str">
        <f t="shared" si="193"/>
        <v/>
      </c>
      <c r="N3237" s="4"/>
      <c r="AG3237" t="s">
        <v>2947</v>
      </c>
      <c r="AM3237" s="1"/>
    </row>
    <row r="3238" spans="1:39" x14ac:dyDescent="0.35">
      <c r="A3238">
        <v>3234</v>
      </c>
      <c r="B3238">
        <v>3235</v>
      </c>
      <c r="F3238" s="64"/>
      <c r="G3238" s="64"/>
      <c r="H3238" s="64" t="s">
        <v>26</v>
      </c>
      <c r="I3238" s="64"/>
      <c r="J3238" s="32" t="str">
        <f>IF(AND(E3238=1,OR(E3237=0,E3237="")),MAX(#REF!)+1,IF(AND(E3238=1,E3237=1),J3237,""))</f>
        <v/>
      </c>
      <c r="K3238" s="32" t="str">
        <f t="shared" si="194"/>
        <v/>
      </c>
      <c r="L3238" s="32" t="str">
        <f t="shared" si="192"/>
        <v/>
      </c>
      <c r="M3238" s="32" t="str">
        <f t="shared" si="193"/>
        <v/>
      </c>
      <c r="N3238" s="4"/>
      <c r="AG3238" t="s">
        <v>2948</v>
      </c>
      <c r="AM3238" s="1"/>
    </row>
    <row r="3239" spans="1:39" x14ac:dyDescent="0.35">
      <c r="A3239">
        <v>3235</v>
      </c>
      <c r="B3239">
        <v>3236</v>
      </c>
      <c r="F3239" s="64"/>
      <c r="G3239" s="64"/>
      <c r="H3239" s="64" t="s">
        <v>26</v>
      </c>
      <c r="I3239" s="64"/>
      <c r="J3239" s="32" t="str">
        <f>IF(AND(E3239=1,OR(E3238=0,E3238="")),MAX(#REF!)+1,IF(AND(E3239=1,E3238=1),J3238,""))</f>
        <v/>
      </c>
      <c r="K3239" s="32" t="str">
        <f t="shared" si="194"/>
        <v/>
      </c>
      <c r="L3239" s="32" t="str">
        <f t="shared" si="192"/>
        <v/>
      </c>
      <c r="M3239" s="32" t="str">
        <f t="shared" si="193"/>
        <v/>
      </c>
      <c r="N3239" s="4"/>
      <c r="AG3239" t="s">
        <v>2949</v>
      </c>
      <c r="AM3239" s="1"/>
    </row>
    <row r="3240" spans="1:39" x14ac:dyDescent="0.35">
      <c r="A3240">
        <v>3236</v>
      </c>
      <c r="B3240">
        <v>3237</v>
      </c>
      <c r="F3240" s="64"/>
      <c r="G3240" s="64"/>
      <c r="H3240" s="64" t="s">
        <v>26</v>
      </c>
      <c r="I3240" s="64"/>
      <c r="J3240" s="32" t="str">
        <f>IF(AND(E3240=1,OR(E3239=0,E3239="")),MAX(#REF!)+1,IF(AND(E3240=1,E3239=1),J3239,""))</f>
        <v/>
      </c>
      <c r="K3240" s="32" t="str">
        <f t="shared" si="194"/>
        <v/>
      </c>
      <c r="L3240" s="32" t="str">
        <f t="shared" si="192"/>
        <v/>
      </c>
      <c r="M3240" s="32" t="str">
        <f t="shared" si="193"/>
        <v/>
      </c>
      <c r="N3240" s="4"/>
      <c r="AG3240" t="s">
        <v>2950</v>
      </c>
      <c r="AM3240" s="1"/>
    </row>
    <row r="3241" spans="1:39" x14ac:dyDescent="0.35">
      <c r="A3241">
        <v>3237</v>
      </c>
      <c r="B3241">
        <v>3238</v>
      </c>
      <c r="F3241" s="64"/>
      <c r="G3241" s="64"/>
      <c r="H3241" s="64" t="s">
        <v>26</v>
      </c>
      <c r="I3241" s="64"/>
      <c r="J3241" s="32" t="str">
        <f>IF(AND(E3241=1,OR(E3240=0,E3240="")),MAX(#REF!)+1,IF(AND(E3241=1,E3240=1),J3240,""))</f>
        <v/>
      </c>
      <c r="K3241" s="32" t="str">
        <f t="shared" si="194"/>
        <v/>
      </c>
      <c r="L3241" s="32" t="str">
        <f t="shared" si="192"/>
        <v/>
      </c>
      <c r="M3241" s="32" t="str">
        <f t="shared" si="193"/>
        <v/>
      </c>
      <c r="N3241" s="4"/>
      <c r="AG3241" t="s">
        <v>2951</v>
      </c>
      <c r="AM3241" s="1"/>
    </row>
    <row r="3242" spans="1:39" x14ac:dyDescent="0.35">
      <c r="A3242">
        <v>3238</v>
      </c>
      <c r="B3242">
        <v>3239</v>
      </c>
      <c r="F3242" s="64"/>
      <c r="G3242" s="64"/>
      <c r="H3242" s="64" t="s">
        <v>26</v>
      </c>
      <c r="I3242" s="64"/>
      <c r="J3242" s="32" t="str">
        <f>IF(AND(E3242=1,OR(E3241=0,E3241="")),MAX(#REF!)+1,IF(AND(E3242=1,E3241=1),J3241,""))</f>
        <v/>
      </c>
      <c r="K3242" s="32" t="str">
        <f t="shared" si="194"/>
        <v/>
      </c>
      <c r="L3242" s="32" t="str">
        <f t="shared" si="192"/>
        <v/>
      </c>
      <c r="M3242" s="32" t="str">
        <f t="shared" si="193"/>
        <v/>
      </c>
      <c r="N3242" s="4"/>
      <c r="AG3242" t="s">
        <v>2952</v>
      </c>
      <c r="AM3242" s="1" t="str">
        <f>HYPERLINK("E:\CAFNEC_GBRF\2023\JohnstoneRiver\Frames_for_Analysis\" &amp; F3243, F3243)</f>
        <v>3240_C0008_1271.jpg</v>
      </c>
    </row>
    <row r="3243" spans="1:39" x14ac:dyDescent="0.35">
      <c r="A3243">
        <v>3239</v>
      </c>
      <c r="B3243">
        <v>3240</v>
      </c>
      <c r="F3243" s="64" t="s">
        <v>5756</v>
      </c>
      <c r="G3243" s="64"/>
      <c r="H3243" s="64"/>
      <c r="I3243" s="64">
        <v>0</v>
      </c>
      <c r="J3243" s="32" t="str">
        <f>IF(AND(E3243=1,OR(E3242=0,E3242="")),MAX(#REF!)+1,IF(AND(E3243=1,E3242=1),J3242,""))</f>
        <v/>
      </c>
      <c r="K3243" s="32" t="str">
        <f t="shared" si="194"/>
        <v/>
      </c>
      <c r="L3243" s="32" t="str">
        <f t="shared" si="192"/>
        <v/>
      </c>
      <c r="M3243" s="32" t="str">
        <f t="shared" si="193"/>
        <v/>
      </c>
      <c r="N3243" s="4">
        <v>0</v>
      </c>
      <c r="O3243" s="58">
        <v>0</v>
      </c>
      <c r="P3243" s="58">
        <v>0</v>
      </c>
      <c r="Q3243" s="58">
        <v>0</v>
      </c>
      <c r="R3243" s="58">
        <v>0</v>
      </c>
      <c r="S3243" s="58">
        <v>0</v>
      </c>
      <c r="T3243" s="58">
        <v>0</v>
      </c>
      <c r="U3243" s="58">
        <v>0</v>
      </c>
      <c r="V3243" s="58">
        <v>0</v>
      </c>
      <c r="AG3243" t="s">
        <v>2953</v>
      </c>
      <c r="AM3243" s="1" t="str">
        <f>HYPERLINK("E:\CAFNEC_GBRF\2023\JohnstoneRiver\Frames_for_Analysis\" &amp; F3244, F3244)</f>
        <v>3241_C0008_1269.jpg</v>
      </c>
    </row>
    <row r="3244" spans="1:39" x14ac:dyDescent="0.35">
      <c r="A3244">
        <v>3240</v>
      </c>
      <c r="B3244">
        <v>3241</v>
      </c>
      <c r="F3244" s="64" t="s">
        <v>5757</v>
      </c>
      <c r="G3244" s="64"/>
      <c r="H3244" s="64"/>
      <c r="I3244" s="64">
        <v>0</v>
      </c>
      <c r="J3244" s="32" t="str">
        <f>IF(AND(E3244=1,OR(E3243=0,E3243="")),MAX(#REF!)+1,IF(AND(E3244=1,E3243=1),J3243,""))</f>
        <v/>
      </c>
      <c r="K3244" s="32" t="str">
        <f t="shared" si="194"/>
        <v/>
      </c>
      <c r="L3244" s="32" t="str">
        <f t="shared" si="192"/>
        <v/>
      </c>
      <c r="M3244" s="32" t="str">
        <f t="shared" si="193"/>
        <v/>
      </c>
      <c r="N3244" s="4">
        <v>0</v>
      </c>
      <c r="O3244" s="58">
        <v>0</v>
      </c>
      <c r="P3244" s="58">
        <v>0</v>
      </c>
      <c r="Q3244" s="58">
        <v>0</v>
      </c>
      <c r="R3244" s="58">
        <v>0</v>
      </c>
      <c r="S3244" s="58">
        <v>0</v>
      </c>
      <c r="T3244" s="58">
        <v>0</v>
      </c>
      <c r="U3244" s="58">
        <v>0</v>
      </c>
      <c r="V3244" s="58">
        <v>0</v>
      </c>
      <c r="AG3244" t="s">
        <v>2954</v>
      </c>
      <c r="AM3244" s="1" t="str">
        <f>HYPERLINK("E:\CAFNEC_GBRF\2023\JohnstoneRiver\Frames_for_Analysis\" &amp; F3245, F3245)</f>
        <v>3242_C0008_1268.jpg</v>
      </c>
    </row>
    <row r="3245" spans="1:39" x14ac:dyDescent="0.35">
      <c r="A3245">
        <v>3241</v>
      </c>
      <c r="B3245">
        <v>3242</v>
      </c>
      <c r="F3245" s="64" t="s">
        <v>5758</v>
      </c>
      <c r="G3245" s="64"/>
      <c r="H3245" s="64"/>
      <c r="I3245" s="64">
        <v>0</v>
      </c>
      <c r="J3245" s="32" t="str">
        <f>IF(AND(E3245=1,OR(E3244=0,E3244="")),MAX(#REF!)+1,IF(AND(E3245=1,E3244=1),J3244,""))</f>
        <v/>
      </c>
      <c r="K3245" s="32" t="str">
        <f t="shared" si="194"/>
        <v/>
      </c>
      <c r="L3245" s="32" t="str">
        <f t="shared" si="192"/>
        <v/>
      </c>
      <c r="M3245" s="32" t="str">
        <f t="shared" si="193"/>
        <v/>
      </c>
      <c r="N3245" s="4">
        <v>0</v>
      </c>
      <c r="O3245" s="58">
        <v>0</v>
      </c>
      <c r="P3245" s="58">
        <v>0</v>
      </c>
      <c r="Q3245" s="58">
        <v>0</v>
      </c>
      <c r="R3245" s="58">
        <v>0</v>
      </c>
      <c r="S3245" s="58">
        <v>0</v>
      </c>
      <c r="T3245" s="58">
        <v>0</v>
      </c>
      <c r="U3245" s="58">
        <v>0</v>
      </c>
      <c r="V3245" s="58">
        <v>0</v>
      </c>
      <c r="AG3245" t="s">
        <v>2955</v>
      </c>
      <c r="AM3245" s="1"/>
    </row>
    <row r="3246" spans="1:39" x14ac:dyDescent="0.35">
      <c r="A3246">
        <v>3242</v>
      </c>
      <c r="B3246">
        <v>3243</v>
      </c>
      <c r="F3246" s="64"/>
      <c r="G3246" s="64"/>
      <c r="H3246" s="64" t="s">
        <v>26</v>
      </c>
      <c r="I3246" s="64"/>
      <c r="J3246" s="32" t="str">
        <f>IF(AND(E3246=1,OR(E3245=0,E3245="")),MAX(#REF!)+1,IF(AND(E3246=1,E3245=1),J3245,""))</f>
        <v/>
      </c>
      <c r="K3246" s="32" t="str">
        <f t="shared" si="194"/>
        <v/>
      </c>
      <c r="L3246" s="32" t="str">
        <f t="shared" si="192"/>
        <v/>
      </c>
      <c r="M3246" s="32" t="str">
        <f t="shared" si="193"/>
        <v/>
      </c>
      <c r="N3246" s="4"/>
      <c r="AG3246" t="s">
        <v>2956</v>
      </c>
      <c r="AM3246" s="1"/>
    </row>
    <row r="3247" spans="1:39" x14ac:dyDescent="0.35">
      <c r="A3247">
        <v>3243</v>
      </c>
      <c r="B3247">
        <v>3244</v>
      </c>
      <c r="F3247" s="64"/>
      <c r="G3247" s="64"/>
      <c r="H3247" s="64" t="s">
        <v>26</v>
      </c>
      <c r="I3247" s="64"/>
      <c r="J3247" s="32" t="str">
        <f>IF(AND(E3247=1,OR(E3246=0,E3246="")),MAX(#REF!)+1,IF(AND(E3247=1,E3246=1),J3246,""))</f>
        <v/>
      </c>
      <c r="K3247" s="32" t="str">
        <f t="shared" si="194"/>
        <v/>
      </c>
      <c r="L3247" s="32" t="str">
        <f t="shared" si="192"/>
        <v/>
      </c>
      <c r="M3247" s="32" t="str">
        <f t="shared" si="193"/>
        <v/>
      </c>
      <c r="N3247" s="4"/>
      <c r="AG3247" t="s">
        <v>2957</v>
      </c>
      <c r="AM3247" s="1"/>
    </row>
    <row r="3248" spans="1:39" x14ac:dyDescent="0.35">
      <c r="A3248">
        <v>3244</v>
      </c>
      <c r="B3248">
        <v>3245</v>
      </c>
      <c r="F3248" s="64"/>
      <c r="G3248" s="64"/>
      <c r="H3248" s="64" t="s">
        <v>26</v>
      </c>
      <c r="I3248" s="64"/>
      <c r="J3248" s="32" t="str">
        <f>IF(AND(E3248=1,OR(E3247=0,E3247="")),MAX(#REF!)+1,IF(AND(E3248=1,E3247=1),J3247,""))</f>
        <v/>
      </c>
      <c r="K3248" s="32" t="str">
        <f t="shared" si="194"/>
        <v/>
      </c>
      <c r="L3248" s="32" t="str">
        <f t="shared" si="192"/>
        <v/>
      </c>
      <c r="M3248" s="32" t="str">
        <f t="shared" si="193"/>
        <v/>
      </c>
      <c r="N3248" s="4"/>
      <c r="AG3248" t="s">
        <v>2958</v>
      </c>
      <c r="AM3248" s="1" t="str">
        <f t="shared" ref="AM3248:AM3311" si="195">HYPERLINK("E:\CAFNEC_GBRF\2023\JohnstoneRiver\Frames_for_Analysis\" &amp; F3249, F3249)</f>
        <v>3246_C0008_1267.jpg</v>
      </c>
    </row>
    <row r="3249" spans="1:39" x14ac:dyDescent="0.35">
      <c r="A3249">
        <v>3245</v>
      </c>
      <c r="B3249">
        <v>3246</v>
      </c>
      <c r="F3249" s="64" t="s">
        <v>5759</v>
      </c>
      <c r="G3249" s="64"/>
      <c r="H3249" s="64"/>
      <c r="I3249" s="64">
        <v>0</v>
      </c>
      <c r="J3249" s="32" t="str">
        <f>IF(AND(E3249=1,OR(E3248=0,E3248="")),MAX(#REF!)+1,IF(AND(E3249=1,E3248=1),J3248,""))</f>
        <v/>
      </c>
      <c r="K3249" s="32" t="str">
        <f t="shared" si="194"/>
        <v/>
      </c>
      <c r="L3249" s="32" t="str">
        <f t="shared" si="192"/>
        <v/>
      </c>
      <c r="M3249" s="32" t="str">
        <f t="shared" si="193"/>
        <v/>
      </c>
      <c r="N3249" s="4">
        <v>0</v>
      </c>
      <c r="O3249" s="58">
        <v>0</v>
      </c>
      <c r="P3249" s="58">
        <v>0</v>
      </c>
      <c r="Q3249" s="58">
        <v>0</v>
      </c>
      <c r="R3249" s="58">
        <v>0</v>
      </c>
      <c r="S3249" s="58">
        <v>0</v>
      </c>
      <c r="T3249" s="58">
        <v>0</v>
      </c>
      <c r="U3249" s="58">
        <v>0</v>
      </c>
      <c r="V3249" s="58">
        <v>0</v>
      </c>
      <c r="AG3249" t="s">
        <v>2959</v>
      </c>
      <c r="AM3249" s="1" t="str">
        <f t="shared" si="195"/>
        <v>3247_C0008_1266.jpg</v>
      </c>
    </row>
    <row r="3250" spans="1:39" x14ac:dyDescent="0.35">
      <c r="A3250">
        <v>3246</v>
      </c>
      <c r="B3250">
        <v>3247</v>
      </c>
      <c r="F3250" s="64" t="s">
        <v>5760</v>
      </c>
      <c r="G3250" s="64"/>
      <c r="H3250" s="64"/>
      <c r="I3250" s="64">
        <v>0</v>
      </c>
      <c r="J3250" s="32" t="str">
        <f>IF(AND(E3250=1,OR(E3249=0,E3249="")),MAX(#REF!)+1,IF(AND(E3250=1,E3249=1),J3249,""))</f>
        <v/>
      </c>
      <c r="K3250" s="32" t="str">
        <f t="shared" si="194"/>
        <v/>
      </c>
      <c r="L3250" s="32" t="str">
        <f t="shared" si="192"/>
        <v/>
      </c>
      <c r="M3250" s="32" t="str">
        <f t="shared" si="193"/>
        <v/>
      </c>
      <c r="N3250" s="4">
        <v>0</v>
      </c>
      <c r="O3250" s="58">
        <v>0</v>
      </c>
      <c r="P3250" s="58">
        <v>0</v>
      </c>
      <c r="Q3250" s="58">
        <v>0</v>
      </c>
      <c r="R3250" s="58">
        <v>0</v>
      </c>
      <c r="S3250" s="58">
        <v>0</v>
      </c>
      <c r="T3250" s="58">
        <v>0</v>
      </c>
      <c r="U3250" s="58">
        <v>0</v>
      </c>
      <c r="V3250" s="58">
        <v>0</v>
      </c>
      <c r="AG3250" t="s">
        <v>2960</v>
      </c>
      <c r="AM3250" s="1" t="str">
        <f t="shared" si="195"/>
        <v>3248_C0008_1265.jpg</v>
      </c>
    </row>
    <row r="3251" spans="1:39" x14ac:dyDescent="0.35">
      <c r="A3251">
        <v>3247</v>
      </c>
      <c r="B3251">
        <v>3248</v>
      </c>
      <c r="F3251" s="64" t="s">
        <v>5761</v>
      </c>
      <c r="G3251" s="64"/>
      <c r="H3251" s="64"/>
      <c r="I3251" s="64">
        <v>0</v>
      </c>
      <c r="J3251" s="32" t="str">
        <f>IF(AND(E3251=1,OR(E3250=0,E3250="")),MAX(#REF!)+1,IF(AND(E3251=1,E3250=1),J3250,""))</f>
        <v/>
      </c>
      <c r="K3251" s="32" t="str">
        <f t="shared" si="194"/>
        <v/>
      </c>
      <c r="L3251" s="32" t="str">
        <f t="shared" si="192"/>
        <v/>
      </c>
      <c r="M3251" s="32" t="str">
        <f t="shared" si="193"/>
        <v/>
      </c>
      <c r="N3251" s="4">
        <v>0</v>
      </c>
      <c r="O3251" s="58">
        <v>0</v>
      </c>
      <c r="P3251" s="58">
        <v>0</v>
      </c>
      <c r="Q3251" s="58">
        <v>0</v>
      </c>
      <c r="R3251" s="58">
        <v>0</v>
      </c>
      <c r="S3251" s="58">
        <v>0</v>
      </c>
      <c r="T3251" s="58">
        <v>0</v>
      </c>
      <c r="U3251" s="58">
        <v>0</v>
      </c>
      <c r="V3251" s="58">
        <v>0</v>
      </c>
      <c r="AG3251" t="s">
        <v>2961</v>
      </c>
      <c r="AM3251" s="1" t="str">
        <f t="shared" si="195"/>
        <v>3249_C0008_1264.jpg</v>
      </c>
    </row>
    <row r="3252" spans="1:39" x14ac:dyDescent="0.35">
      <c r="A3252">
        <v>3248</v>
      </c>
      <c r="B3252">
        <v>3249</v>
      </c>
      <c r="F3252" s="64" t="s">
        <v>5762</v>
      </c>
      <c r="G3252" s="64"/>
      <c r="H3252" s="64"/>
      <c r="I3252" s="64">
        <v>0</v>
      </c>
      <c r="J3252" s="32" t="str">
        <f>IF(AND(E3252=1,OR(E3251=0,E3251="")),MAX(#REF!)+1,IF(AND(E3252=1,E3251=1),J3251,""))</f>
        <v/>
      </c>
      <c r="K3252" s="32" t="str">
        <f t="shared" si="194"/>
        <v/>
      </c>
      <c r="L3252" s="32" t="str">
        <f t="shared" si="192"/>
        <v/>
      </c>
      <c r="M3252" s="32" t="str">
        <f t="shared" si="193"/>
        <v/>
      </c>
      <c r="N3252" s="4">
        <v>0</v>
      </c>
      <c r="O3252" s="58">
        <v>0</v>
      </c>
      <c r="P3252" s="58">
        <v>0</v>
      </c>
      <c r="Q3252" s="58">
        <v>0</v>
      </c>
      <c r="R3252" s="58">
        <v>0</v>
      </c>
      <c r="S3252" s="58">
        <v>0</v>
      </c>
      <c r="T3252" s="58">
        <v>0</v>
      </c>
      <c r="U3252" s="58">
        <v>0</v>
      </c>
      <c r="V3252" s="58">
        <v>0</v>
      </c>
      <c r="AG3252" t="s">
        <v>2962</v>
      </c>
      <c r="AM3252" s="1" t="str">
        <f t="shared" si="195"/>
        <v>3250_C0008_1262.jpg</v>
      </c>
    </row>
    <row r="3253" spans="1:39" x14ac:dyDescent="0.35">
      <c r="A3253">
        <v>3249</v>
      </c>
      <c r="B3253">
        <v>3250</v>
      </c>
      <c r="F3253" s="64" t="s">
        <v>5763</v>
      </c>
      <c r="G3253" s="64"/>
      <c r="H3253" s="64"/>
      <c r="I3253" s="64">
        <v>0</v>
      </c>
      <c r="J3253" s="32" t="str">
        <f>IF(AND(E3253=1,OR(E3252=0,E3252="")),MAX(#REF!)+1,IF(AND(E3253=1,E3252=1),J3252,""))</f>
        <v/>
      </c>
      <c r="K3253" s="32" t="str">
        <f t="shared" si="194"/>
        <v/>
      </c>
      <c r="L3253" s="32" t="str">
        <f t="shared" si="192"/>
        <v/>
      </c>
      <c r="M3253" s="32" t="str">
        <f t="shared" si="193"/>
        <v/>
      </c>
      <c r="N3253" s="4">
        <v>0</v>
      </c>
      <c r="O3253" s="58">
        <v>0</v>
      </c>
      <c r="P3253" s="58">
        <v>0</v>
      </c>
      <c r="Q3253" s="58">
        <v>0</v>
      </c>
      <c r="R3253" s="58">
        <v>0</v>
      </c>
      <c r="S3253" s="58">
        <v>0</v>
      </c>
      <c r="T3253" s="58">
        <v>0</v>
      </c>
      <c r="U3253" s="58">
        <v>0</v>
      </c>
      <c r="V3253" s="58">
        <v>0</v>
      </c>
      <c r="AG3253" t="s">
        <v>2963</v>
      </c>
      <c r="AM3253" s="1" t="str">
        <f t="shared" si="195"/>
        <v>3251_C0008_1260.jpg</v>
      </c>
    </row>
    <row r="3254" spans="1:39" x14ac:dyDescent="0.35">
      <c r="A3254">
        <v>3250</v>
      </c>
      <c r="B3254">
        <v>3251</v>
      </c>
      <c r="F3254" s="64" t="s">
        <v>5764</v>
      </c>
      <c r="G3254" s="64"/>
      <c r="H3254" s="64"/>
      <c r="I3254" s="64">
        <v>0</v>
      </c>
      <c r="J3254" s="32" t="str">
        <f>IF(AND(E3254=1,OR(E3253=0,E3253="")),MAX(#REF!)+1,IF(AND(E3254=1,E3253=1),J3253,""))</f>
        <v/>
      </c>
      <c r="K3254" s="32" t="str">
        <f t="shared" si="194"/>
        <v/>
      </c>
      <c r="L3254" s="32" t="str">
        <f t="shared" si="192"/>
        <v/>
      </c>
      <c r="M3254" s="32" t="str">
        <f t="shared" si="193"/>
        <v/>
      </c>
      <c r="N3254" s="4">
        <v>0</v>
      </c>
      <c r="O3254" s="58">
        <v>0</v>
      </c>
      <c r="P3254" s="58">
        <v>0</v>
      </c>
      <c r="Q3254" s="58">
        <v>0</v>
      </c>
      <c r="R3254" s="58">
        <v>1</v>
      </c>
      <c r="S3254" s="58">
        <v>0</v>
      </c>
      <c r="T3254" s="58">
        <v>0</v>
      </c>
      <c r="U3254" s="58">
        <v>0</v>
      </c>
      <c r="V3254" s="58">
        <v>0</v>
      </c>
      <c r="AG3254" t="s">
        <v>2964</v>
      </c>
      <c r="AM3254" s="1" t="str">
        <f t="shared" si="195"/>
        <v>3252_C0008_1257.jpg</v>
      </c>
    </row>
    <row r="3255" spans="1:39" x14ac:dyDescent="0.35">
      <c r="A3255">
        <v>3251</v>
      </c>
      <c r="B3255">
        <v>3252</v>
      </c>
      <c r="F3255" s="64" t="s">
        <v>5765</v>
      </c>
      <c r="G3255" s="64"/>
      <c r="H3255" s="64"/>
      <c r="I3255" s="64">
        <v>0</v>
      </c>
      <c r="J3255" s="32" t="str">
        <f>IF(AND(E3255=1,OR(E3254=0,E3254="")),MAX(#REF!)+1,IF(AND(E3255=1,E3254=1),J3254,""))</f>
        <v/>
      </c>
      <c r="K3255" s="32" t="str">
        <f t="shared" si="194"/>
        <v/>
      </c>
      <c r="L3255" s="32" t="str">
        <f t="shared" si="192"/>
        <v/>
      </c>
      <c r="M3255" s="32" t="str">
        <f t="shared" si="193"/>
        <v/>
      </c>
      <c r="N3255" s="4">
        <v>0</v>
      </c>
      <c r="O3255" s="58">
        <v>0</v>
      </c>
      <c r="P3255" s="58">
        <v>0</v>
      </c>
      <c r="Q3255" s="58">
        <v>0</v>
      </c>
      <c r="R3255" s="58">
        <v>0</v>
      </c>
      <c r="S3255" s="58">
        <v>0</v>
      </c>
      <c r="T3255" s="58">
        <v>0</v>
      </c>
      <c r="U3255" s="58">
        <v>0</v>
      </c>
      <c r="V3255" s="58">
        <v>0</v>
      </c>
      <c r="AG3255" t="s">
        <v>2965</v>
      </c>
      <c r="AM3255" s="1" t="str">
        <f t="shared" si="195"/>
        <v>3253_C0008_1254.jpg</v>
      </c>
    </row>
    <row r="3256" spans="1:39" x14ac:dyDescent="0.35">
      <c r="A3256">
        <v>3252</v>
      </c>
      <c r="B3256">
        <v>3253</v>
      </c>
      <c r="F3256" s="64" t="s">
        <v>5766</v>
      </c>
      <c r="G3256" s="64"/>
      <c r="H3256" s="64"/>
      <c r="I3256" s="64">
        <v>0</v>
      </c>
      <c r="J3256" s="32" t="str">
        <f>IF(AND(E3256=1,OR(E3255=0,E3255="")),MAX(#REF!)+1,IF(AND(E3256=1,E3255=1),J3255,""))</f>
        <v/>
      </c>
      <c r="K3256" s="32" t="str">
        <f t="shared" si="194"/>
        <v/>
      </c>
      <c r="L3256" s="32" t="str">
        <f t="shared" si="192"/>
        <v/>
      </c>
      <c r="M3256" s="32" t="str">
        <f t="shared" si="193"/>
        <v/>
      </c>
      <c r="N3256" s="4">
        <v>0</v>
      </c>
      <c r="O3256" s="58">
        <v>0</v>
      </c>
      <c r="P3256" s="58">
        <v>0</v>
      </c>
      <c r="Q3256" s="58">
        <v>0</v>
      </c>
      <c r="R3256" s="58">
        <v>0</v>
      </c>
      <c r="S3256" s="58">
        <v>0</v>
      </c>
      <c r="T3256" s="58">
        <v>0</v>
      </c>
      <c r="U3256" s="58">
        <v>0</v>
      </c>
      <c r="V3256" s="58">
        <v>0</v>
      </c>
      <c r="AG3256" t="s">
        <v>2966</v>
      </c>
      <c r="AM3256" s="1" t="str">
        <f t="shared" si="195"/>
        <v>3254_C0008_1251.jpg</v>
      </c>
    </row>
    <row r="3257" spans="1:39" x14ac:dyDescent="0.35">
      <c r="A3257">
        <v>3253</v>
      </c>
      <c r="B3257">
        <v>3254</v>
      </c>
      <c r="F3257" s="64" t="s">
        <v>5767</v>
      </c>
      <c r="G3257" s="64"/>
      <c r="H3257" s="64"/>
      <c r="I3257" s="64">
        <v>0</v>
      </c>
      <c r="J3257" s="32" t="str">
        <f>IF(AND(E3257=1,OR(E3256=0,E3256="")),MAX(#REF!)+1,IF(AND(E3257=1,E3256=1),J3256,""))</f>
        <v/>
      </c>
      <c r="K3257" s="32" t="str">
        <f t="shared" si="194"/>
        <v/>
      </c>
      <c r="L3257" s="32" t="str">
        <f t="shared" si="192"/>
        <v/>
      </c>
      <c r="M3257" s="32" t="str">
        <f t="shared" si="193"/>
        <v/>
      </c>
      <c r="N3257" s="4">
        <v>0</v>
      </c>
      <c r="O3257" s="58">
        <v>0</v>
      </c>
      <c r="P3257" s="58">
        <v>0</v>
      </c>
      <c r="Q3257" s="58">
        <v>0</v>
      </c>
      <c r="R3257" s="58">
        <v>0</v>
      </c>
      <c r="S3257" s="58">
        <v>0</v>
      </c>
      <c r="T3257" s="58">
        <v>0</v>
      </c>
      <c r="U3257" s="58">
        <v>0</v>
      </c>
      <c r="V3257" s="58">
        <v>0</v>
      </c>
      <c r="AG3257" t="s">
        <v>2967</v>
      </c>
      <c r="AM3257" s="1" t="str">
        <f t="shared" si="195"/>
        <v>3255_C0008_1247.jpg</v>
      </c>
    </row>
    <row r="3258" spans="1:39" x14ac:dyDescent="0.35">
      <c r="A3258">
        <v>3254</v>
      </c>
      <c r="B3258">
        <v>3255</v>
      </c>
      <c r="F3258" s="64" t="s">
        <v>5768</v>
      </c>
      <c r="G3258" s="64"/>
      <c r="H3258" s="64"/>
      <c r="I3258" s="64">
        <v>0</v>
      </c>
      <c r="J3258" s="32" t="str">
        <f>IF(AND(E3258=1,OR(E3257=0,E3257="")),MAX(#REF!)+1,IF(AND(E3258=1,E3257=1),J3257,""))</f>
        <v/>
      </c>
      <c r="K3258" s="32" t="str">
        <f t="shared" si="194"/>
        <v/>
      </c>
      <c r="L3258" s="32" t="str">
        <f t="shared" si="192"/>
        <v/>
      </c>
      <c r="M3258" s="32" t="str">
        <f t="shared" si="193"/>
        <v/>
      </c>
      <c r="N3258" s="4">
        <v>0</v>
      </c>
      <c r="O3258" s="58">
        <v>0</v>
      </c>
      <c r="P3258" s="58">
        <v>0</v>
      </c>
      <c r="Q3258" s="58">
        <v>0</v>
      </c>
      <c r="R3258" s="58">
        <v>0</v>
      </c>
      <c r="S3258" s="58">
        <v>0</v>
      </c>
      <c r="T3258" s="58">
        <v>0</v>
      </c>
      <c r="U3258" s="58">
        <v>0</v>
      </c>
      <c r="V3258" s="58">
        <v>0</v>
      </c>
      <c r="AG3258" t="s">
        <v>2968</v>
      </c>
      <c r="AM3258" s="1" t="str">
        <f t="shared" si="195"/>
        <v>3256_C0008_1244.jpg</v>
      </c>
    </row>
    <row r="3259" spans="1:39" x14ac:dyDescent="0.35">
      <c r="A3259">
        <v>3255</v>
      </c>
      <c r="B3259">
        <v>3256</v>
      </c>
      <c r="F3259" s="64" t="s">
        <v>5769</v>
      </c>
      <c r="G3259" s="64"/>
      <c r="H3259" s="64"/>
      <c r="I3259" s="64">
        <v>0</v>
      </c>
      <c r="J3259" s="32" t="str">
        <f>IF(AND(E3259=1,OR(E3258=0,E3258="")),MAX(#REF!)+1,IF(AND(E3259=1,E3258=1),J3258,""))</f>
        <v/>
      </c>
      <c r="K3259" s="32" t="str">
        <f t="shared" si="194"/>
        <v/>
      </c>
      <c r="L3259" s="32" t="str">
        <f t="shared" si="192"/>
        <v/>
      </c>
      <c r="M3259" s="32" t="str">
        <f t="shared" si="193"/>
        <v/>
      </c>
      <c r="N3259" s="4">
        <v>0</v>
      </c>
      <c r="O3259" s="58">
        <v>0</v>
      </c>
      <c r="P3259" s="58">
        <v>0</v>
      </c>
      <c r="Q3259" s="58">
        <v>0</v>
      </c>
      <c r="R3259" s="58">
        <v>0</v>
      </c>
      <c r="S3259" s="58">
        <v>0</v>
      </c>
      <c r="T3259" s="58">
        <v>0</v>
      </c>
      <c r="U3259" s="58">
        <v>0</v>
      </c>
      <c r="V3259" s="58">
        <v>0</v>
      </c>
      <c r="AG3259" t="s">
        <v>2969</v>
      </c>
      <c r="AM3259" s="1" t="str">
        <f t="shared" si="195"/>
        <v>3257_C0008_1240.jpg</v>
      </c>
    </row>
    <row r="3260" spans="1:39" x14ac:dyDescent="0.35">
      <c r="A3260">
        <v>3256</v>
      </c>
      <c r="B3260">
        <v>3257</v>
      </c>
      <c r="F3260" s="64" t="s">
        <v>5770</v>
      </c>
      <c r="G3260" s="64"/>
      <c r="H3260" s="64"/>
      <c r="I3260" s="64">
        <v>0</v>
      </c>
      <c r="J3260" s="32" t="str">
        <f>IF(AND(E3260=1,OR(E3259=0,E3259="")),MAX(#REF!)+1,IF(AND(E3260=1,E3259=1),J3259,""))</f>
        <v/>
      </c>
      <c r="K3260" s="32" t="str">
        <f t="shared" si="194"/>
        <v/>
      </c>
      <c r="L3260" s="32" t="str">
        <f t="shared" si="192"/>
        <v/>
      </c>
      <c r="M3260" s="32" t="str">
        <f t="shared" si="193"/>
        <v/>
      </c>
      <c r="N3260" s="4">
        <v>0</v>
      </c>
      <c r="O3260" s="58">
        <v>0</v>
      </c>
      <c r="P3260" s="58">
        <v>0</v>
      </c>
      <c r="Q3260" s="58">
        <v>0</v>
      </c>
      <c r="R3260" s="58">
        <v>0</v>
      </c>
      <c r="S3260" s="58">
        <v>0</v>
      </c>
      <c r="T3260" s="58">
        <v>0</v>
      </c>
      <c r="U3260" s="58">
        <v>0</v>
      </c>
      <c r="V3260" s="58">
        <v>0</v>
      </c>
      <c r="AG3260" t="s">
        <v>2970</v>
      </c>
      <c r="AM3260" s="1" t="str">
        <f t="shared" si="195"/>
        <v>3258_C0008_1237.jpg</v>
      </c>
    </row>
    <row r="3261" spans="1:39" x14ac:dyDescent="0.35">
      <c r="A3261">
        <v>3257</v>
      </c>
      <c r="B3261">
        <v>3258</v>
      </c>
      <c r="F3261" s="64" t="s">
        <v>5771</v>
      </c>
      <c r="G3261" s="64"/>
      <c r="H3261" s="64"/>
      <c r="I3261" s="64">
        <v>0</v>
      </c>
      <c r="J3261" s="32" t="str">
        <f>IF(AND(E3261=1,OR(E3260=0,E3260="")),MAX(#REF!)+1,IF(AND(E3261=1,E3260=1),J3260,""))</f>
        <v/>
      </c>
      <c r="K3261" s="32" t="str">
        <f t="shared" si="194"/>
        <v/>
      </c>
      <c r="L3261" s="32" t="str">
        <f t="shared" si="192"/>
        <v/>
      </c>
      <c r="M3261" s="32" t="str">
        <f t="shared" si="193"/>
        <v/>
      </c>
      <c r="N3261" s="4">
        <v>0</v>
      </c>
      <c r="O3261" s="58">
        <v>0</v>
      </c>
      <c r="P3261" s="58">
        <v>0</v>
      </c>
      <c r="Q3261" s="58">
        <v>0</v>
      </c>
      <c r="R3261" s="58">
        <v>0</v>
      </c>
      <c r="S3261" s="58">
        <v>0</v>
      </c>
      <c r="T3261" s="58">
        <v>0</v>
      </c>
      <c r="U3261" s="58">
        <v>0</v>
      </c>
      <c r="V3261" s="58">
        <v>0</v>
      </c>
      <c r="AG3261" t="s">
        <v>2971</v>
      </c>
      <c r="AM3261" s="1" t="str">
        <f t="shared" si="195"/>
        <v>3259_C0008_1235.jpg</v>
      </c>
    </row>
    <row r="3262" spans="1:39" x14ac:dyDescent="0.35">
      <c r="A3262">
        <v>3258</v>
      </c>
      <c r="B3262">
        <v>3259</v>
      </c>
      <c r="F3262" s="64" t="s">
        <v>5772</v>
      </c>
      <c r="G3262" s="64"/>
      <c r="H3262" s="64"/>
      <c r="I3262" s="64">
        <v>0</v>
      </c>
      <c r="J3262" s="32" t="str">
        <f>IF(AND(E3262=1,OR(E3261=0,E3261="")),MAX(#REF!)+1,IF(AND(E3262=1,E3261=1),J3261,""))</f>
        <v/>
      </c>
      <c r="K3262" s="32" t="str">
        <f t="shared" si="194"/>
        <v/>
      </c>
      <c r="L3262" s="32" t="str">
        <f t="shared" si="192"/>
        <v/>
      </c>
      <c r="M3262" s="32" t="str">
        <f t="shared" si="193"/>
        <v/>
      </c>
      <c r="N3262" s="4">
        <v>0</v>
      </c>
      <c r="O3262" s="58">
        <v>0</v>
      </c>
      <c r="P3262" s="58">
        <v>0</v>
      </c>
      <c r="Q3262" s="58">
        <v>0</v>
      </c>
      <c r="R3262" s="58">
        <v>0</v>
      </c>
      <c r="S3262" s="58">
        <v>0</v>
      </c>
      <c r="T3262" s="58">
        <v>0</v>
      </c>
      <c r="U3262" s="58">
        <v>0</v>
      </c>
      <c r="V3262" s="58">
        <v>0</v>
      </c>
      <c r="AG3262" t="s">
        <v>2972</v>
      </c>
      <c r="AM3262" s="1" t="str">
        <f t="shared" si="195"/>
        <v>3260_C0008_1232.jpg</v>
      </c>
    </row>
    <row r="3263" spans="1:39" x14ac:dyDescent="0.35">
      <c r="A3263">
        <v>3259</v>
      </c>
      <c r="B3263">
        <v>3260</v>
      </c>
      <c r="F3263" s="64" t="s">
        <v>5773</v>
      </c>
      <c r="G3263" s="64"/>
      <c r="H3263" s="64"/>
      <c r="I3263" s="64">
        <v>0</v>
      </c>
      <c r="J3263" s="32" t="str">
        <f>IF(AND(E3263=1,OR(E3262=0,E3262="")),MAX(#REF!)+1,IF(AND(E3263=1,E3262=1),J3262,""))</f>
        <v/>
      </c>
      <c r="K3263" s="32" t="str">
        <f t="shared" si="194"/>
        <v/>
      </c>
      <c r="L3263" s="32" t="str">
        <f t="shared" si="192"/>
        <v/>
      </c>
      <c r="M3263" s="32" t="str">
        <f t="shared" si="193"/>
        <v/>
      </c>
      <c r="N3263" s="4">
        <v>0</v>
      </c>
      <c r="O3263" s="58">
        <v>0</v>
      </c>
      <c r="P3263" s="58">
        <v>0</v>
      </c>
      <c r="Q3263" s="58">
        <v>0</v>
      </c>
      <c r="R3263" s="58">
        <v>0</v>
      </c>
      <c r="S3263" s="58">
        <v>0</v>
      </c>
      <c r="T3263" s="58">
        <v>0</v>
      </c>
      <c r="U3263" s="58">
        <v>0</v>
      </c>
      <c r="V3263" s="58">
        <v>0</v>
      </c>
      <c r="AG3263" t="s">
        <v>2973</v>
      </c>
      <c r="AM3263" s="1" t="str">
        <f t="shared" si="195"/>
        <v>3261_C0008_1230.jpg</v>
      </c>
    </row>
    <row r="3264" spans="1:39" x14ac:dyDescent="0.35">
      <c r="A3264">
        <v>3260</v>
      </c>
      <c r="B3264">
        <v>3261</v>
      </c>
      <c r="F3264" s="64" t="s">
        <v>5774</v>
      </c>
      <c r="G3264" s="64"/>
      <c r="H3264" s="64"/>
      <c r="I3264" s="64">
        <v>0</v>
      </c>
      <c r="J3264" s="32" t="str">
        <f>IF(AND(E3264=1,OR(E3263=0,E3263="")),MAX(#REF!)+1,IF(AND(E3264=1,E3263=1),J3263,""))</f>
        <v/>
      </c>
      <c r="K3264" s="32" t="str">
        <f t="shared" si="194"/>
        <v/>
      </c>
      <c r="L3264" s="32" t="str">
        <f t="shared" si="192"/>
        <v/>
      </c>
      <c r="M3264" s="32" t="str">
        <f t="shared" si="193"/>
        <v/>
      </c>
      <c r="N3264" s="4">
        <v>0</v>
      </c>
      <c r="O3264" s="58">
        <v>0</v>
      </c>
      <c r="P3264" s="58">
        <v>0</v>
      </c>
      <c r="Q3264" s="58">
        <v>0</v>
      </c>
      <c r="R3264" s="58">
        <v>0</v>
      </c>
      <c r="S3264" s="58">
        <v>0</v>
      </c>
      <c r="T3264" s="58">
        <v>0</v>
      </c>
      <c r="U3264" s="58">
        <v>0</v>
      </c>
      <c r="V3264" s="58">
        <v>0</v>
      </c>
      <c r="AG3264" t="s">
        <v>2974</v>
      </c>
      <c r="AM3264" s="1" t="str">
        <f t="shared" si="195"/>
        <v>3262_C0008_1228.jpg</v>
      </c>
    </row>
    <row r="3265" spans="1:39" x14ac:dyDescent="0.35">
      <c r="A3265">
        <v>3261</v>
      </c>
      <c r="B3265">
        <v>3262</v>
      </c>
      <c r="F3265" s="64" t="s">
        <v>5775</v>
      </c>
      <c r="G3265" s="64"/>
      <c r="H3265" s="64"/>
      <c r="I3265" s="64">
        <v>0</v>
      </c>
      <c r="J3265" s="32" t="str">
        <f>IF(AND(E3265=1,OR(E3264=0,E3264="")),MAX(#REF!)+1,IF(AND(E3265=1,E3264=1),J3264,""))</f>
        <v/>
      </c>
      <c r="K3265" s="32" t="str">
        <f t="shared" si="194"/>
        <v/>
      </c>
      <c r="L3265" s="32" t="str">
        <f t="shared" si="192"/>
        <v/>
      </c>
      <c r="M3265" s="32" t="str">
        <f t="shared" si="193"/>
        <v/>
      </c>
      <c r="N3265" s="4">
        <v>0</v>
      </c>
      <c r="O3265" s="58">
        <v>0</v>
      </c>
      <c r="P3265" s="58">
        <v>0</v>
      </c>
      <c r="Q3265" s="58">
        <v>0</v>
      </c>
      <c r="R3265" s="58">
        <v>0</v>
      </c>
      <c r="S3265" s="58">
        <v>0</v>
      </c>
      <c r="T3265" s="58">
        <v>0</v>
      </c>
      <c r="U3265" s="58">
        <v>0</v>
      </c>
      <c r="V3265" s="58">
        <v>0</v>
      </c>
      <c r="AG3265" t="s">
        <v>2975</v>
      </c>
      <c r="AM3265" s="1" t="str">
        <f t="shared" si="195"/>
        <v>3263_C0008_1226.jpg</v>
      </c>
    </row>
    <row r="3266" spans="1:39" x14ac:dyDescent="0.35">
      <c r="A3266">
        <v>3262</v>
      </c>
      <c r="B3266">
        <v>3263</v>
      </c>
      <c r="F3266" s="64" t="s">
        <v>5776</v>
      </c>
      <c r="G3266" s="64"/>
      <c r="H3266" s="64"/>
      <c r="I3266" s="64">
        <v>0</v>
      </c>
      <c r="J3266" s="32" t="str">
        <f>IF(AND(E3266=1,OR(E3265=0,E3265="")),MAX(#REF!)+1,IF(AND(E3266=1,E3265=1),J3265,""))</f>
        <v/>
      </c>
      <c r="K3266" s="32" t="str">
        <f t="shared" si="194"/>
        <v/>
      </c>
      <c r="L3266" s="32" t="str">
        <f t="shared" si="192"/>
        <v/>
      </c>
      <c r="M3266" s="32" t="str">
        <f t="shared" si="193"/>
        <v/>
      </c>
      <c r="N3266" s="4">
        <v>0</v>
      </c>
      <c r="O3266" s="58">
        <v>0</v>
      </c>
      <c r="P3266" s="58">
        <v>0</v>
      </c>
      <c r="Q3266" s="58">
        <v>0</v>
      </c>
      <c r="R3266" s="58">
        <v>0</v>
      </c>
      <c r="S3266" s="58">
        <v>0</v>
      </c>
      <c r="T3266" s="58">
        <v>0</v>
      </c>
      <c r="U3266" s="58">
        <v>0</v>
      </c>
      <c r="V3266" s="58">
        <v>0</v>
      </c>
      <c r="AG3266" t="s">
        <v>2976</v>
      </c>
      <c r="AM3266" s="1" t="str">
        <f t="shared" si="195"/>
        <v>3264_C0008_1223.jpg</v>
      </c>
    </row>
    <row r="3267" spans="1:39" x14ac:dyDescent="0.35">
      <c r="A3267">
        <v>3263</v>
      </c>
      <c r="B3267">
        <v>3264</v>
      </c>
      <c r="F3267" s="64" t="s">
        <v>5777</v>
      </c>
      <c r="G3267" s="64"/>
      <c r="H3267" s="64"/>
      <c r="I3267" s="64">
        <v>0</v>
      </c>
      <c r="J3267" s="32" t="str">
        <f>IF(AND(E3267=1,OR(E3266=0,E3266="")),MAX(#REF!)+1,IF(AND(E3267=1,E3266=1),J3266,""))</f>
        <v/>
      </c>
      <c r="K3267" s="32" t="str">
        <f t="shared" si="194"/>
        <v/>
      </c>
      <c r="L3267" s="32" t="str">
        <f t="shared" si="192"/>
        <v/>
      </c>
      <c r="M3267" s="32" t="str">
        <f t="shared" si="193"/>
        <v/>
      </c>
      <c r="N3267" s="4">
        <v>0</v>
      </c>
      <c r="O3267" s="58">
        <v>0</v>
      </c>
      <c r="P3267" s="58">
        <v>0</v>
      </c>
      <c r="Q3267" s="58">
        <v>0</v>
      </c>
      <c r="R3267" s="58">
        <v>0</v>
      </c>
      <c r="S3267" s="58">
        <v>0</v>
      </c>
      <c r="T3267" s="58">
        <v>0</v>
      </c>
      <c r="U3267" s="58">
        <v>0</v>
      </c>
      <c r="V3267" s="58">
        <v>0</v>
      </c>
      <c r="AG3267" t="s">
        <v>2977</v>
      </c>
      <c r="AM3267" s="1" t="str">
        <f t="shared" si="195"/>
        <v>3265_C0008_1221.jpg</v>
      </c>
    </row>
    <row r="3268" spans="1:39" x14ac:dyDescent="0.35">
      <c r="A3268">
        <v>3264</v>
      </c>
      <c r="B3268">
        <v>3265</v>
      </c>
      <c r="F3268" s="64" t="s">
        <v>5778</v>
      </c>
      <c r="G3268" s="64"/>
      <c r="H3268" s="64"/>
      <c r="I3268" s="64">
        <v>0</v>
      </c>
      <c r="J3268" s="32" t="str">
        <f>IF(AND(E3268=1,OR(E3267=0,E3267="")),MAX(#REF!)+1,IF(AND(E3268=1,E3267=1),J3267,""))</f>
        <v/>
      </c>
      <c r="K3268" s="32" t="str">
        <f t="shared" si="194"/>
        <v/>
      </c>
      <c r="L3268" s="32" t="str">
        <f t="shared" ref="L3268:L3331" si="196">IF(K3268="","",IF(K3268&gt;=100,"HV",""))</f>
        <v/>
      </c>
      <c r="M3268" s="32" t="str">
        <f t="shared" ref="M3268:M3331" si="197">IF(K3268&lt;&gt;"",K3268^2,"")</f>
        <v/>
      </c>
      <c r="N3268" s="4">
        <v>0</v>
      </c>
      <c r="O3268" s="58">
        <v>0</v>
      </c>
      <c r="P3268" s="58">
        <v>0</v>
      </c>
      <c r="Q3268" s="58">
        <v>0</v>
      </c>
      <c r="R3268" s="58">
        <v>0</v>
      </c>
      <c r="S3268" s="58">
        <v>0</v>
      </c>
      <c r="T3268" s="58">
        <v>0</v>
      </c>
      <c r="U3268" s="58">
        <v>0</v>
      </c>
      <c r="V3268" s="58">
        <v>0</v>
      </c>
      <c r="AG3268" t="s">
        <v>2978</v>
      </c>
      <c r="AM3268" s="1" t="str">
        <f t="shared" si="195"/>
        <v>3266_C0008_1218.jpg</v>
      </c>
    </row>
    <row r="3269" spans="1:39" x14ac:dyDescent="0.35">
      <c r="A3269">
        <v>3265</v>
      </c>
      <c r="B3269">
        <v>3266</v>
      </c>
      <c r="F3269" s="64" t="s">
        <v>5779</v>
      </c>
      <c r="G3269" s="64"/>
      <c r="H3269" s="64"/>
      <c r="I3269" s="64">
        <v>0</v>
      </c>
      <c r="J3269" s="32" t="str">
        <f>IF(AND(E3269=1,OR(E3268=0,E3268="")),MAX(#REF!)+1,IF(AND(E3269=1,E3268=1),J3268,""))</f>
        <v/>
      </c>
      <c r="K3269" s="32" t="str">
        <f t="shared" si="194"/>
        <v/>
      </c>
      <c r="L3269" s="32" t="str">
        <f t="shared" si="196"/>
        <v/>
      </c>
      <c r="M3269" s="32" t="str">
        <f t="shared" si="197"/>
        <v/>
      </c>
      <c r="N3269" s="4">
        <v>0</v>
      </c>
      <c r="O3269" s="58">
        <v>0</v>
      </c>
      <c r="P3269" s="58">
        <v>0</v>
      </c>
      <c r="Q3269" s="58">
        <v>0</v>
      </c>
      <c r="R3269" s="58">
        <v>0</v>
      </c>
      <c r="S3269" s="58">
        <v>0</v>
      </c>
      <c r="T3269" s="58">
        <v>0</v>
      </c>
      <c r="U3269" s="58">
        <v>0</v>
      </c>
      <c r="V3269" s="58">
        <v>0</v>
      </c>
      <c r="AG3269" t="s">
        <v>2979</v>
      </c>
      <c r="AM3269" s="1" t="str">
        <f t="shared" si="195"/>
        <v>3267_C0008_1216.jpg</v>
      </c>
    </row>
    <row r="3270" spans="1:39" x14ac:dyDescent="0.35">
      <c r="A3270">
        <v>3266</v>
      </c>
      <c r="B3270">
        <v>3267</v>
      </c>
      <c r="F3270" s="64" t="s">
        <v>5780</v>
      </c>
      <c r="G3270" s="64"/>
      <c r="H3270" s="64"/>
      <c r="I3270" s="64">
        <v>0</v>
      </c>
      <c r="J3270" s="32" t="str">
        <f>IF(AND(E3270=1,OR(E3269=0,E3269="")),MAX(#REF!)+1,IF(AND(E3270=1,E3269=1),J3269,""))</f>
        <v/>
      </c>
      <c r="K3270" s="32" t="str">
        <f t="shared" si="194"/>
        <v/>
      </c>
      <c r="L3270" s="32" t="str">
        <f t="shared" si="196"/>
        <v/>
      </c>
      <c r="M3270" s="32" t="str">
        <f t="shared" si="197"/>
        <v/>
      </c>
      <c r="N3270" s="4">
        <v>0</v>
      </c>
      <c r="O3270" s="58">
        <v>0</v>
      </c>
      <c r="P3270" s="58">
        <v>0</v>
      </c>
      <c r="Q3270" s="58">
        <v>0</v>
      </c>
      <c r="R3270" s="58">
        <v>0</v>
      </c>
      <c r="S3270" s="58">
        <v>0</v>
      </c>
      <c r="T3270" s="58">
        <v>0</v>
      </c>
      <c r="U3270" s="58">
        <v>0</v>
      </c>
      <c r="V3270" s="58">
        <v>0</v>
      </c>
      <c r="AG3270" t="s">
        <v>2980</v>
      </c>
      <c r="AM3270" s="1" t="str">
        <f t="shared" si="195"/>
        <v>3268_C0008_1213.jpg</v>
      </c>
    </row>
    <row r="3271" spans="1:39" x14ac:dyDescent="0.35">
      <c r="A3271">
        <v>3267</v>
      </c>
      <c r="B3271">
        <v>3268</v>
      </c>
      <c r="F3271" s="64" t="s">
        <v>5781</v>
      </c>
      <c r="G3271" s="64"/>
      <c r="H3271" s="64"/>
      <c r="I3271" s="64">
        <v>0</v>
      </c>
      <c r="J3271" s="32" t="str">
        <f>IF(AND(E3271=1,OR(E3270=0,E3270="")),MAX(#REF!)+1,IF(AND(E3271=1,E3270=1),J3270,""))</f>
        <v/>
      </c>
      <c r="K3271" s="32" t="str">
        <f t="shared" si="194"/>
        <v/>
      </c>
      <c r="L3271" s="32" t="str">
        <f t="shared" si="196"/>
        <v/>
      </c>
      <c r="M3271" s="32" t="str">
        <f t="shared" si="197"/>
        <v/>
      </c>
      <c r="N3271" s="4">
        <v>0</v>
      </c>
      <c r="O3271" s="58">
        <v>0</v>
      </c>
      <c r="P3271" s="58">
        <v>0</v>
      </c>
      <c r="Q3271" s="58">
        <v>0</v>
      </c>
      <c r="R3271" s="58">
        <v>0</v>
      </c>
      <c r="S3271" s="58">
        <v>0</v>
      </c>
      <c r="T3271" s="58">
        <v>0</v>
      </c>
      <c r="U3271" s="58">
        <v>0</v>
      </c>
      <c r="V3271" s="58">
        <v>0</v>
      </c>
      <c r="AG3271" t="s">
        <v>2981</v>
      </c>
      <c r="AM3271" s="1" t="str">
        <f t="shared" si="195"/>
        <v>3269_C0008_1211.jpg</v>
      </c>
    </row>
    <row r="3272" spans="1:39" x14ac:dyDescent="0.35">
      <c r="A3272">
        <v>3268</v>
      </c>
      <c r="B3272">
        <v>3269</v>
      </c>
      <c r="F3272" s="64" t="s">
        <v>5782</v>
      </c>
      <c r="G3272" s="64"/>
      <c r="H3272" s="64"/>
      <c r="I3272" s="64">
        <v>0</v>
      </c>
      <c r="J3272" s="32" t="str">
        <f>IF(AND(E3272=1,OR(E3271=0,E3271="")),MAX(#REF!)+1,IF(AND(E3272=1,E3271=1),J3271,""))</f>
        <v/>
      </c>
      <c r="K3272" s="32" t="str">
        <f t="shared" si="194"/>
        <v/>
      </c>
      <c r="L3272" s="32" t="str">
        <f t="shared" si="196"/>
        <v/>
      </c>
      <c r="M3272" s="32" t="str">
        <f t="shared" si="197"/>
        <v/>
      </c>
      <c r="N3272" s="4">
        <v>0</v>
      </c>
      <c r="O3272" s="58">
        <v>0</v>
      </c>
      <c r="P3272" s="58">
        <v>0</v>
      </c>
      <c r="Q3272" s="58">
        <v>0</v>
      </c>
      <c r="R3272" s="58">
        <v>0</v>
      </c>
      <c r="S3272" s="58">
        <v>0</v>
      </c>
      <c r="T3272" s="58">
        <v>0</v>
      </c>
      <c r="U3272" s="58">
        <v>0</v>
      </c>
      <c r="V3272" s="58">
        <v>0</v>
      </c>
      <c r="AG3272" t="s">
        <v>2982</v>
      </c>
      <c r="AM3272" s="1" t="str">
        <f t="shared" si="195"/>
        <v>3270_C0008_1210.jpg</v>
      </c>
    </row>
    <row r="3273" spans="1:39" x14ac:dyDescent="0.35">
      <c r="A3273">
        <v>3269</v>
      </c>
      <c r="B3273">
        <v>3270</v>
      </c>
      <c r="F3273" s="64" t="s">
        <v>5783</v>
      </c>
      <c r="G3273" s="64"/>
      <c r="H3273" s="64"/>
      <c r="I3273" s="64">
        <v>0</v>
      </c>
      <c r="J3273" s="32" t="str">
        <f>IF(AND(E3273=1,OR(E3272=0,E3272="")),MAX(#REF!)+1,IF(AND(E3273=1,E3272=1),J3272,""))</f>
        <v/>
      </c>
      <c r="K3273" s="32" t="str">
        <f t="shared" si="194"/>
        <v/>
      </c>
      <c r="L3273" s="32" t="str">
        <f t="shared" si="196"/>
        <v/>
      </c>
      <c r="M3273" s="32" t="str">
        <f t="shared" si="197"/>
        <v/>
      </c>
      <c r="N3273" s="4">
        <v>0</v>
      </c>
      <c r="O3273" s="58">
        <v>0</v>
      </c>
      <c r="P3273" s="58">
        <v>0</v>
      </c>
      <c r="Q3273" s="58">
        <v>0</v>
      </c>
      <c r="R3273" s="58">
        <v>0</v>
      </c>
      <c r="S3273" s="58">
        <v>0</v>
      </c>
      <c r="T3273" s="58">
        <v>0</v>
      </c>
      <c r="U3273" s="58">
        <v>0</v>
      </c>
      <c r="V3273" s="58">
        <v>0</v>
      </c>
      <c r="AG3273" t="s">
        <v>2983</v>
      </c>
      <c r="AM3273" s="1" t="str">
        <f t="shared" si="195"/>
        <v>3271_C0008_1208.jpg</v>
      </c>
    </row>
    <row r="3274" spans="1:39" x14ac:dyDescent="0.35">
      <c r="A3274">
        <v>3270</v>
      </c>
      <c r="B3274">
        <v>3271</v>
      </c>
      <c r="F3274" s="64" t="s">
        <v>5784</v>
      </c>
      <c r="G3274" s="64"/>
      <c r="H3274" s="64"/>
      <c r="I3274" s="64">
        <v>0</v>
      </c>
      <c r="J3274" s="32" t="str">
        <f>IF(AND(E3274=1,OR(E3273=0,E3273="")),MAX(#REF!)+1,IF(AND(E3274=1,E3273=1),J3273,""))</f>
        <v/>
      </c>
      <c r="K3274" s="32" t="str">
        <f t="shared" si="194"/>
        <v/>
      </c>
      <c r="L3274" s="32" t="str">
        <f t="shared" si="196"/>
        <v/>
      </c>
      <c r="M3274" s="32" t="str">
        <f t="shared" si="197"/>
        <v/>
      </c>
      <c r="N3274" s="4">
        <v>0</v>
      </c>
      <c r="O3274" s="58">
        <v>0</v>
      </c>
      <c r="P3274" s="58">
        <v>0</v>
      </c>
      <c r="Q3274" s="58">
        <v>0</v>
      </c>
      <c r="R3274" s="58">
        <v>0</v>
      </c>
      <c r="S3274" s="58">
        <v>0</v>
      </c>
      <c r="T3274" s="58">
        <v>0</v>
      </c>
      <c r="U3274" s="58">
        <v>0</v>
      </c>
      <c r="V3274" s="58">
        <v>0</v>
      </c>
      <c r="AG3274" t="s">
        <v>2984</v>
      </c>
      <c r="AM3274" s="1" t="str">
        <f t="shared" si="195"/>
        <v>3272_C0008_1206.jpg</v>
      </c>
    </row>
    <row r="3275" spans="1:39" x14ac:dyDescent="0.35">
      <c r="A3275">
        <v>3271</v>
      </c>
      <c r="B3275">
        <v>3272</v>
      </c>
      <c r="F3275" s="64" t="s">
        <v>5785</v>
      </c>
      <c r="G3275" s="64"/>
      <c r="H3275" s="64"/>
      <c r="I3275" s="64">
        <v>0</v>
      </c>
      <c r="J3275" s="32" t="str">
        <f>IF(AND(E3275=1,OR(E3274=0,E3274="")),MAX(#REF!)+1,IF(AND(E3275=1,E3274=1),J3274,""))</f>
        <v/>
      </c>
      <c r="K3275" s="32" t="str">
        <f t="shared" si="194"/>
        <v/>
      </c>
      <c r="L3275" s="32" t="str">
        <f t="shared" si="196"/>
        <v/>
      </c>
      <c r="M3275" s="32" t="str">
        <f t="shared" si="197"/>
        <v/>
      </c>
      <c r="N3275" s="4">
        <v>0</v>
      </c>
      <c r="O3275" s="58">
        <v>1</v>
      </c>
      <c r="P3275" s="58">
        <v>0</v>
      </c>
      <c r="Q3275" s="58">
        <v>0</v>
      </c>
      <c r="R3275" s="58">
        <v>0</v>
      </c>
      <c r="S3275" s="58">
        <v>0</v>
      </c>
      <c r="T3275" s="58">
        <v>0</v>
      </c>
      <c r="U3275" s="58">
        <v>0</v>
      </c>
      <c r="V3275" s="58">
        <v>0</v>
      </c>
      <c r="AG3275" t="s">
        <v>2985</v>
      </c>
      <c r="AM3275" s="1" t="str">
        <f t="shared" si="195"/>
        <v>3273_C0008_1203.jpg</v>
      </c>
    </row>
    <row r="3276" spans="1:39" x14ac:dyDescent="0.35">
      <c r="A3276">
        <v>3272</v>
      </c>
      <c r="B3276">
        <v>3273</v>
      </c>
      <c r="F3276" s="64" t="s">
        <v>5786</v>
      </c>
      <c r="G3276" s="64"/>
      <c r="H3276" s="64"/>
      <c r="I3276" s="64">
        <v>0</v>
      </c>
      <c r="J3276" s="32" t="str">
        <f>IF(AND(E3276=1,OR(E3275=0,E3275="")),MAX(#REF!)+1,IF(AND(E3276=1,E3275=1),J3275,""))</f>
        <v/>
      </c>
      <c r="K3276" s="32" t="str">
        <f t="shared" si="194"/>
        <v/>
      </c>
      <c r="L3276" s="32" t="str">
        <f t="shared" si="196"/>
        <v/>
      </c>
      <c r="M3276" s="32" t="str">
        <f t="shared" si="197"/>
        <v/>
      </c>
      <c r="N3276" s="4">
        <v>0</v>
      </c>
      <c r="O3276" s="58">
        <v>1</v>
      </c>
      <c r="P3276" s="58">
        <v>0</v>
      </c>
      <c r="Q3276" s="58">
        <v>0</v>
      </c>
      <c r="R3276" s="58">
        <v>0</v>
      </c>
      <c r="S3276" s="58">
        <v>0</v>
      </c>
      <c r="T3276" s="58">
        <v>0</v>
      </c>
      <c r="U3276" s="58">
        <v>0</v>
      </c>
      <c r="V3276" s="58">
        <v>0</v>
      </c>
      <c r="AG3276" t="s">
        <v>2986</v>
      </c>
      <c r="AM3276" s="1" t="str">
        <f t="shared" si="195"/>
        <v>3274_C0008_1200.jpg</v>
      </c>
    </row>
    <row r="3277" spans="1:39" x14ac:dyDescent="0.35">
      <c r="A3277">
        <v>3273</v>
      </c>
      <c r="B3277">
        <v>3274</v>
      </c>
      <c r="F3277" s="64" t="s">
        <v>5787</v>
      </c>
      <c r="G3277" s="64"/>
      <c r="H3277" s="64"/>
      <c r="I3277" s="64">
        <v>0</v>
      </c>
      <c r="J3277" s="32" t="str">
        <f>IF(AND(E3277=1,OR(E3276=0,E3276="")),MAX(#REF!)+1,IF(AND(E3277=1,E3276=1),J3276,""))</f>
        <v/>
      </c>
      <c r="K3277" s="32" t="str">
        <f t="shared" si="194"/>
        <v/>
      </c>
      <c r="L3277" s="32" t="str">
        <f t="shared" si="196"/>
        <v/>
      </c>
      <c r="M3277" s="32" t="str">
        <f t="shared" si="197"/>
        <v/>
      </c>
      <c r="N3277" s="4">
        <v>0</v>
      </c>
      <c r="O3277" s="58">
        <v>0</v>
      </c>
      <c r="P3277" s="58">
        <v>0</v>
      </c>
      <c r="Q3277" s="58">
        <v>0</v>
      </c>
      <c r="R3277" s="58">
        <v>0</v>
      </c>
      <c r="S3277" s="58">
        <v>0</v>
      </c>
      <c r="T3277" s="58">
        <v>0</v>
      </c>
      <c r="U3277" s="58">
        <v>0</v>
      </c>
      <c r="V3277" s="58">
        <v>0</v>
      </c>
      <c r="AG3277" t="s">
        <v>2987</v>
      </c>
      <c r="AM3277" s="1" t="str">
        <f t="shared" si="195"/>
        <v>3275_C0008_1197.jpg</v>
      </c>
    </row>
    <row r="3278" spans="1:39" x14ac:dyDescent="0.35">
      <c r="A3278">
        <v>3274</v>
      </c>
      <c r="B3278">
        <v>3275</v>
      </c>
      <c r="F3278" s="64" t="s">
        <v>5788</v>
      </c>
      <c r="G3278" s="64"/>
      <c r="H3278" s="64"/>
      <c r="I3278" s="64">
        <v>0</v>
      </c>
      <c r="J3278" s="32" t="str">
        <f>IF(AND(E3278=1,OR(E3277=0,E3277="")),MAX(#REF!)+1,IF(AND(E3278=1,E3277=1),J3277,""))</f>
        <v/>
      </c>
      <c r="K3278" s="32" t="str">
        <f t="shared" si="194"/>
        <v/>
      </c>
      <c r="L3278" s="32" t="str">
        <f t="shared" si="196"/>
        <v/>
      </c>
      <c r="M3278" s="32" t="str">
        <f t="shared" si="197"/>
        <v/>
      </c>
      <c r="N3278" s="4">
        <v>0</v>
      </c>
      <c r="O3278" s="58">
        <v>0</v>
      </c>
      <c r="P3278" s="58">
        <v>0</v>
      </c>
      <c r="Q3278" s="58">
        <v>0</v>
      </c>
      <c r="R3278" s="58">
        <v>0</v>
      </c>
      <c r="S3278" s="58">
        <v>0</v>
      </c>
      <c r="T3278" s="58">
        <v>0</v>
      </c>
      <c r="U3278" s="58">
        <v>0</v>
      </c>
      <c r="V3278" s="58">
        <v>0</v>
      </c>
      <c r="AG3278" t="s">
        <v>2988</v>
      </c>
      <c r="AM3278" s="1" t="str">
        <f t="shared" si="195"/>
        <v>3276_C0008_1193.jpg</v>
      </c>
    </row>
    <row r="3279" spans="1:39" x14ac:dyDescent="0.35">
      <c r="A3279">
        <v>3275</v>
      </c>
      <c r="B3279">
        <v>3276</v>
      </c>
      <c r="F3279" s="64" t="s">
        <v>5789</v>
      </c>
      <c r="G3279" s="64"/>
      <c r="H3279" s="64"/>
      <c r="I3279" s="64">
        <v>0</v>
      </c>
      <c r="J3279" s="32" t="str">
        <f>IF(AND(E3279=1,OR(E3278=0,E3278="")),MAX(#REF!)+1,IF(AND(E3279=1,E3278=1),J3278,""))</f>
        <v/>
      </c>
      <c r="K3279" s="32" t="str">
        <f t="shared" si="194"/>
        <v/>
      </c>
      <c r="L3279" s="32" t="str">
        <f t="shared" si="196"/>
        <v/>
      </c>
      <c r="M3279" s="32" t="str">
        <f t="shared" si="197"/>
        <v/>
      </c>
      <c r="N3279" s="4">
        <v>0</v>
      </c>
      <c r="O3279" s="58">
        <v>0</v>
      </c>
      <c r="P3279" s="58">
        <v>0</v>
      </c>
      <c r="Q3279" s="58">
        <v>0</v>
      </c>
      <c r="R3279" s="58">
        <v>0</v>
      </c>
      <c r="S3279" s="58">
        <v>0</v>
      </c>
      <c r="T3279" s="58">
        <v>0</v>
      </c>
      <c r="U3279" s="58">
        <v>0</v>
      </c>
      <c r="V3279" s="58">
        <v>0</v>
      </c>
      <c r="AG3279" t="s">
        <v>2989</v>
      </c>
      <c r="AM3279" s="1" t="str">
        <f t="shared" si="195"/>
        <v>3277_C0008_1189.jpg</v>
      </c>
    </row>
    <row r="3280" spans="1:39" x14ac:dyDescent="0.35">
      <c r="A3280">
        <v>3276</v>
      </c>
      <c r="B3280">
        <v>3277</v>
      </c>
      <c r="F3280" s="64" t="s">
        <v>5790</v>
      </c>
      <c r="G3280" s="64"/>
      <c r="H3280" s="64"/>
      <c r="I3280" s="64">
        <v>0</v>
      </c>
      <c r="J3280" s="32" t="str">
        <f>IF(AND(E3280=1,OR(E3279=0,E3279="")),MAX(#REF!)+1,IF(AND(E3280=1,E3279=1),J3279,""))</f>
        <v/>
      </c>
      <c r="K3280" s="32" t="str">
        <f t="shared" si="194"/>
        <v/>
      </c>
      <c r="L3280" s="32" t="str">
        <f t="shared" si="196"/>
        <v/>
      </c>
      <c r="M3280" s="32" t="str">
        <f t="shared" si="197"/>
        <v/>
      </c>
      <c r="N3280" s="4">
        <v>0</v>
      </c>
      <c r="O3280" s="58">
        <v>0</v>
      </c>
      <c r="P3280" s="58">
        <v>0</v>
      </c>
      <c r="Q3280" s="58">
        <v>0</v>
      </c>
      <c r="R3280" s="58">
        <v>0</v>
      </c>
      <c r="S3280" s="58">
        <v>0</v>
      </c>
      <c r="T3280" s="58">
        <v>0</v>
      </c>
      <c r="U3280" s="58">
        <v>0</v>
      </c>
      <c r="V3280" s="58">
        <v>0</v>
      </c>
      <c r="AG3280" t="s">
        <v>2990</v>
      </c>
      <c r="AM3280" s="1" t="str">
        <f t="shared" si="195"/>
        <v>3278_C0008_1186.jpg</v>
      </c>
    </row>
    <row r="3281" spans="1:39" x14ac:dyDescent="0.35">
      <c r="A3281">
        <v>3277</v>
      </c>
      <c r="B3281">
        <v>3278</v>
      </c>
      <c r="F3281" s="64" t="s">
        <v>5791</v>
      </c>
      <c r="G3281" s="64"/>
      <c r="H3281" s="64"/>
      <c r="I3281" s="64">
        <v>0</v>
      </c>
      <c r="J3281" s="32" t="str">
        <f>IF(AND(E3281=1,OR(E3280=0,E3280="")),MAX(#REF!)+1,IF(AND(E3281=1,E3280=1),J3280,""))</f>
        <v/>
      </c>
      <c r="K3281" s="32" t="str">
        <f t="shared" si="194"/>
        <v/>
      </c>
      <c r="L3281" s="32" t="str">
        <f t="shared" si="196"/>
        <v/>
      </c>
      <c r="M3281" s="32" t="str">
        <f t="shared" si="197"/>
        <v/>
      </c>
      <c r="N3281" s="4">
        <v>0</v>
      </c>
      <c r="O3281" s="58">
        <v>0</v>
      </c>
      <c r="P3281" s="58">
        <v>0</v>
      </c>
      <c r="Q3281" s="58">
        <v>0</v>
      </c>
      <c r="R3281" s="58">
        <v>0</v>
      </c>
      <c r="S3281" s="58">
        <v>0</v>
      </c>
      <c r="T3281" s="58">
        <v>0</v>
      </c>
      <c r="U3281" s="58">
        <v>0</v>
      </c>
      <c r="V3281" s="58">
        <v>0</v>
      </c>
      <c r="AG3281" t="s">
        <v>2991</v>
      </c>
      <c r="AM3281" s="1" t="str">
        <f t="shared" si="195"/>
        <v>3279_C0008_1183.jpg</v>
      </c>
    </row>
    <row r="3282" spans="1:39" x14ac:dyDescent="0.35">
      <c r="A3282">
        <v>3278</v>
      </c>
      <c r="B3282">
        <v>3279</v>
      </c>
      <c r="F3282" s="64" t="s">
        <v>5792</v>
      </c>
      <c r="G3282" s="64"/>
      <c r="H3282" s="64"/>
      <c r="I3282" s="64">
        <v>0</v>
      </c>
      <c r="J3282" s="32" t="str">
        <f>IF(AND(E3282=1,OR(E3281=0,E3281="")),MAX(#REF!)+1,IF(AND(E3282=1,E3281=1),J3281,""))</f>
        <v/>
      </c>
      <c r="K3282" s="32" t="str">
        <f t="shared" si="194"/>
        <v/>
      </c>
      <c r="L3282" s="32" t="str">
        <f t="shared" si="196"/>
        <v/>
      </c>
      <c r="M3282" s="32" t="str">
        <f t="shared" si="197"/>
        <v/>
      </c>
      <c r="N3282" s="4">
        <v>0</v>
      </c>
      <c r="O3282" s="58">
        <v>0</v>
      </c>
      <c r="P3282" s="58">
        <v>0</v>
      </c>
      <c r="Q3282" s="58">
        <v>0</v>
      </c>
      <c r="R3282" s="58">
        <v>0</v>
      </c>
      <c r="S3282" s="58">
        <v>0</v>
      </c>
      <c r="T3282" s="58">
        <v>0</v>
      </c>
      <c r="U3282" s="58">
        <v>0</v>
      </c>
      <c r="V3282" s="58">
        <v>0</v>
      </c>
      <c r="AG3282" t="s">
        <v>2992</v>
      </c>
      <c r="AM3282" s="1" t="str">
        <f t="shared" si="195"/>
        <v>3280_C0008_1180.jpg</v>
      </c>
    </row>
    <row r="3283" spans="1:39" x14ac:dyDescent="0.35">
      <c r="A3283">
        <v>3279</v>
      </c>
      <c r="B3283">
        <v>3280</v>
      </c>
      <c r="F3283" s="64" t="s">
        <v>5793</v>
      </c>
      <c r="G3283" s="64"/>
      <c r="H3283" s="64"/>
      <c r="I3283" s="64">
        <v>0</v>
      </c>
      <c r="J3283" s="32" t="str">
        <f>IF(AND(E3283=1,OR(E3282=0,E3282="")),MAX(#REF!)+1,IF(AND(E3283=1,E3282=1),J3282,""))</f>
        <v/>
      </c>
      <c r="K3283" s="32" t="str">
        <f t="shared" si="194"/>
        <v/>
      </c>
      <c r="L3283" s="32" t="str">
        <f t="shared" si="196"/>
        <v/>
      </c>
      <c r="M3283" s="32" t="str">
        <f t="shared" si="197"/>
        <v/>
      </c>
      <c r="N3283" s="4">
        <v>0</v>
      </c>
      <c r="O3283" s="58">
        <v>0</v>
      </c>
      <c r="P3283" s="58">
        <v>0</v>
      </c>
      <c r="Q3283" s="58">
        <v>0</v>
      </c>
      <c r="R3283" s="58">
        <v>0</v>
      </c>
      <c r="S3283" s="58">
        <v>0</v>
      </c>
      <c r="T3283" s="58">
        <v>0</v>
      </c>
      <c r="U3283" s="58">
        <v>0</v>
      </c>
      <c r="V3283" s="58">
        <v>0</v>
      </c>
      <c r="AG3283" t="s">
        <v>2993</v>
      </c>
      <c r="AM3283" s="1" t="str">
        <f t="shared" si="195"/>
        <v>3281_C0008_1176.jpg</v>
      </c>
    </row>
    <row r="3284" spans="1:39" x14ac:dyDescent="0.35">
      <c r="A3284">
        <v>3280</v>
      </c>
      <c r="B3284">
        <v>3281</v>
      </c>
      <c r="F3284" s="64" t="s">
        <v>5794</v>
      </c>
      <c r="G3284" s="64"/>
      <c r="H3284" s="64"/>
      <c r="I3284" s="64">
        <v>0</v>
      </c>
      <c r="J3284" s="32" t="str">
        <f>IF(AND(E3284=1,OR(E3283=0,E3283="")),MAX(#REF!)+1,IF(AND(E3284=1,E3283=1),J3283,""))</f>
        <v/>
      </c>
      <c r="K3284" s="32" t="str">
        <f t="shared" si="194"/>
        <v/>
      </c>
      <c r="L3284" s="32" t="str">
        <f t="shared" si="196"/>
        <v/>
      </c>
      <c r="M3284" s="32" t="str">
        <f t="shared" si="197"/>
        <v/>
      </c>
      <c r="N3284" s="4">
        <v>0</v>
      </c>
      <c r="O3284" s="58">
        <v>0</v>
      </c>
      <c r="P3284" s="58">
        <v>0</v>
      </c>
      <c r="Q3284" s="58">
        <v>0</v>
      </c>
      <c r="R3284" s="58">
        <v>0</v>
      </c>
      <c r="S3284" s="58">
        <v>0</v>
      </c>
      <c r="T3284" s="58">
        <v>0</v>
      </c>
      <c r="U3284" s="58">
        <v>0</v>
      </c>
      <c r="V3284" s="58">
        <v>0</v>
      </c>
      <c r="AG3284" t="s">
        <v>2994</v>
      </c>
      <c r="AM3284" s="1" t="str">
        <f t="shared" si="195"/>
        <v>3282_C0008_1173.jpg</v>
      </c>
    </row>
    <row r="3285" spans="1:39" x14ac:dyDescent="0.35">
      <c r="A3285">
        <v>3281</v>
      </c>
      <c r="B3285">
        <v>3282</v>
      </c>
      <c r="F3285" s="64" t="s">
        <v>5795</v>
      </c>
      <c r="G3285" s="64"/>
      <c r="H3285" s="64"/>
      <c r="I3285" s="64">
        <v>0</v>
      </c>
      <c r="J3285" s="32" t="str">
        <f>IF(AND(E3285=1,OR(E3284=0,E3284="")),MAX(#REF!)+1,IF(AND(E3285=1,E3284=1),J3284,""))</f>
        <v/>
      </c>
      <c r="K3285" s="32" t="str">
        <f t="shared" si="194"/>
        <v/>
      </c>
      <c r="L3285" s="32" t="str">
        <f t="shared" si="196"/>
        <v/>
      </c>
      <c r="M3285" s="32" t="str">
        <f t="shared" si="197"/>
        <v/>
      </c>
      <c r="N3285" s="4">
        <v>0</v>
      </c>
      <c r="O3285" s="58">
        <v>0</v>
      </c>
      <c r="P3285" s="58">
        <v>0</v>
      </c>
      <c r="Q3285" s="58">
        <v>0</v>
      </c>
      <c r="R3285" s="58">
        <v>0</v>
      </c>
      <c r="S3285" s="58">
        <v>0</v>
      </c>
      <c r="T3285" s="58">
        <v>0</v>
      </c>
      <c r="U3285" s="58">
        <v>0</v>
      </c>
      <c r="V3285" s="58">
        <v>0</v>
      </c>
      <c r="AG3285" t="s">
        <v>2995</v>
      </c>
      <c r="AM3285" s="1" t="str">
        <f t="shared" si="195"/>
        <v>3283_C0008_1170.jpg</v>
      </c>
    </row>
    <row r="3286" spans="1:39" x14ac:dyDescent="0.35">
      <c r="A3286">
        <v>3282</v>
      </c>
      <c r="B3286">
        <v>3283</v>
      </c>
      <c r="F3286" s="64" t="s">
        <v>5796</v>
      </c>
      <c r="G3286" s="64"/>
      <c r="H3286" s="64"/>
      <c r="I3286" s="64">
        <v>0</v>
      </c>
      <c r="J3286" s="32" t="str">
        <f>IF(AND(E3286=1,OR(E3285=0,E3285="")),MAX(#REF!)+1,IF(AND(E3286=1,E3285=1),J3285,""))</f>
        <v/>
      </c>
      <c r="K3286" s="32" t="str">
        <f t="shared" si="194"/>
        <v/>
      </c>
      <c r="L3286" s="32" t="str">
        <f t="shared" si="196"/>
        <v/>
      </c>
      <c r="M3286" s="32" t="str">
        <f t="shared" si="197"/>
        <v/>
      </c>
      <c r="N3286" s="4">
        <v>0</v>
      </c>
      <c r="O3286" s="58">
        <v>0</v>
      </c>
      <c r="P3286" s="58">
        <v>0</v>
      </c>
      <c r="Q3286" s="58">
        <v>0</v>
      </c>
      <c r="R3286" s="58">
        <v>0</v>
      </c>
      <c r="S3286" s="58">
        <v>0</v>
      </c>
      <c r="T3286" s="58">
        <v>0</v>
      </c>
      <c r="U3286" s="58">
        <v>0</v>
      </c>
      <c r="V3286" s="58">
        <v>0</v>
      </c>
      <c r="AG3286" t="s">
        <v>2996</v>
      </c>
      <c r="AM3286" s="1" t="str">
        <f t="shared" si="195"/>
        <v>3284_C0008_1167.jpg</v>
      </c>
    </row>
    <row r="3287" spans="1:39" x14ac:dyDescent="0.35">
      <c r="A3287">
        <v>3283</v>
      </c>
      <c r="B3287">
        <v>3284</v>
      </c>
      <c r="F3287" s="64" t="s">
        <v>5797</v>
      </c>
      <c r="G3287" s="64"/>
      <c r="H3287" s="64"/>
      <c r="I3287" s="64">
        <v>0</v>
      </c>
      <c r="J3287" s="32" t="str">
        <f>IF(AND(E3287=1,OR(E3286=0,E3286="")),MAX(#REF!)+1,IF(AND(E3287=1,E3286=1),J3286,""))</f>
        <v/>
      </c>
      <c r="K3287" s="32" t="str">
        <f t="shared" si="194"/>
        <v/>
      </c>
      <c r="L3287" s="32" t="str">
        <f t="shared" si="196"/>
        <v/>
      </c>
      <c r="M3287" s="32" t="str">
        <f t="shared" si="197"/>
        <v/>
      </c>
      <c r="N3287" s="4">
        <v>0</v>
      </c>
      <c r="O3287" s="58">
        <v>0</v>
      </c>
      <c r="P3287" s="58">
        <v>0</v>
      </c>
      <c r="Q3287" s="58">
        <v>0</v>
      </c>
      <c r="R3287" s="58">
        <v>0</v>
      </c>
      <c r="S3287" s="58">
        <v>0</v>
      </c>
      <c r="T3287" s="58">
        <v>0</v>
      </c>
      <c r="U3287" s="58">
        <v>0</v>
      </c>
      <c r="V3287" s="58">
        <v>0</v>
      </c>
      <c r="AG3287" t="s">
        <v>2997</v>
      </c>
      <c r="AM3287" s="1" t="str">
        <f t="shared" si="195"/>
        <v>3285_C0008_1163.jpg</v>
      </c>
    </row>
    <row r="3288" spans="1:39" x14ac:dyDescent="0.35">
      <c r="A3288">
        <v>3284</v>
      </c>
      <c r="B3288">
        <v>3285</v>
      </c>
      <c r="F3288" s="64" t="s">
        <v>5798</v>
      </c>
      <c r="G3288" s="64"/>
      <c r="H3288" s="64"/>
      <c r="I3288" s="64">
        <v>0</v>
      </c>
      <c r="J3288" s="32" t="str">
        <f>IF(AND(E3288=1,OR(E3287=0,E3287="")),MAX(#REF!)+1,IF(AND(E3288=1,E3287=1),J3287,""))</f>
        <v/>
      </c>
      <c r="K3288" s="32" t="str">
        <f t="shared" si="194"/>
        <v/>
      </c>
      <c r="L3288" s="32" t="str">
        <f t="shared" si="196"/>
        <v/>
      </c>
      <c r="M3288" s="32" t="str">
        <f t="shared" si="197"/>
        <v/>
      </c>
      <c r="N3288" s="4">
        <v>0</v>
      </c>
      <c r="O3288" s="58">
        <v>0</v>
      </c>
      <c r="P3288" s="58">
        <v>0</v>
      </c>
      <c r="Q3288" s="58">
        <v>0</v>
      </c>
      <c r="R3288" s="58">
        <v>0</v>
      </c>
      <c r="S3288" s="58">
        <v>0</v>
      </c>
      <c r="T3288" s="58">
        <v>0</v>
      </c>
      <c r="U3288" s="58">
        <v>0</v>
      </c>
      <c r="V3288" s="58">
        <v>0</v>
      </c>
      <c r="AG3288" t="s">
        <v>2998</v>
      </c>
      <c r="AM3288" s="1" t="str">
        <f t="shared" si="195"/>
        <v>3286_C0008_1160.jpg</v>
      </c>
    </row>
    <row r="3289" spans="1:39" x14ac:dyDescent="0.35">
      <c r="A3289">
        <v>3285</v>
      </c>
      <c r="B3289">
        <v>3286</v>
      </c>
      <c r="F3289" s="64" t="s">
        <v>5799</v>
      </c>
      <c r="G3289" s="64"/>
      <c r="H3289" s="64"/>
      <c r="I3289" s="64">
        <v>0</v>
      </c>
      <c r="J3289" s="32" t="str">
        <f>IF(AND(E3289=1,OR(E3288=0,E3288="")),MAX(#REF!)+1,IF(AND(E3289=1,E3288=1),J3288,""))</f>
        <v/>
      </c>
      <c r="K3289" s="32" t="str">
        <f t="shared" si="194"/>
        <v/>
      </c>
      <c r="L3289" s="32" t="str">
        <f t="shared" si="196"/>
        <v/>
      </c>
      <c r="M3289" s="32" t="str">
        <f t="shared" si="197"/>
        <v/>
      </c>
      <c r="N3289" s="4">
        <v>0</v>
      </c>
      <c r="O3289" s="58">
        <v>0</v>
      </c>
      <c r="P3289" s="58">
        <v>0</v>
      </c>
      <c r="Q3289" s="58">
        <v>0</v>
      </c>
      <c r="R3289" s="58">
        <v>0</v>
      </c>
      <c r="S3289" s="58">
        <v>0</v>
      </c>
      <c r="T3289" s="58">
        <v>0</v>
      </c>
      <c r="U3289" s="58">
        <v>0</v>
      </c>
      <c r="V3289" s="58">
        <v>0</v>
      </c>
      <c r="AG3289" t="s">
        <v>2999</v>
      </c>
      <c r="AM3289" s="1" t="str">
        <f t="shared" si="195"/>
        <v>3287_C0008_1156.jpg</v>
      </c>
    </row>
    <row r="3290" spans="1:39" x14ac:dyDescent="0.35">
      <c r="A3290">
        <v>3286</v>
      </c>
      <c r="B3290">
        <v>3287</v>
      </c>
      <c r="F3290" s="64" t="s">
        <v>5800</v>
      </c>
      <c r="G3290" s="64"/>
      <c r="H3290" s="64"/>
      <c r="I3290" s="64">
        <v>0</v>
      </c>
      <c r="J3290" s="32" t="str">
        <f>IF(AND(E3290=1,OR(E3289=0,E3289="")),MAX(#REF!)+1,IF(AND(E3290=1,E3289=1),J3289,""))</f>
        <v/>
      </c>
      <c r="K3290" s="32" t="str">
        <f t="shared" si="194"/>
        <v/>
      </c>
      <c r="L3290" s="32" t="str">
        <f t="shared" si="196"/>
        <v/>
      </c>
      <c r="M3290" s="32" t="str">
        <f t="shared" si="197"/>
        <v/>
      </c>
      <c r="N3290" s="4">
        <v>0</v>
      </c>
      <c r="O3290" s="58">
        <v>0</v>
      </c>
      <c r="P3290" s="58">
        <v>0</v>
      </c>
      <c r="Q3290" s="58">
        <v>0</v>
      </c>
      <c r="R3290" s="58">
        <v>0</v>
      </c>
      <c r="S3290" s="58">
        <v>0</v>
      </c>
      <c r="T3290" s="58">
        <v>0</v>
      </c>
      <c r="U3290" s="58">
        <v>0</v>
      </c>
      <c r="V3290" s="58">
        <v>0</v>
      </c>
      <c r="AG3290" t="s">
        <v>3000</v>
      </c>
      <c r="AM3290" s="1" t="str">
        <f t="shared" si="195"/>
        <v>3288_C0008_1153.jpg</v>
      </c>
    </row>
    <row r="3291" spans="1:39" x14ac:dyDescent="0.35">
      <c r="A3291">
        <v>3287</v>
      </c>
      <c r="B3291">
        <v>3288</v>
      </c>
      <c r="F3291" s="64" t="s">
        <v>5801</v>
      </c>
      <c r="G3291" s="64"/>
      <c r="H3291" s="64"/>
      <c r="I3291" s="64">
        <v>0</v>
      </c>
      <c r="J3291" s="32" t="str">
        <f>IF(AND(E3291=1,OR(E3290=0,E3290="")),MAX(#REF!)+1,IF(AND(E3291=1,E3290=1),J3290,""))</f>
        <v/>
      </c>
      <c r="K3291" s="32" t="str">
        <f t="shared" si="194"/>
        <v/>
      </c>
      <c r="L3291" s="32" t="str">
        <f t="shared" si="196"/>
        <v/>
      </c>
      <c r="M3291" s="32" t="str">
        <f t="shared" si="197"/>
        <v/>
      </c>
      <c r="N3291" s="4">
        <v>0</v>
      </c>
      <c r="O3291" s="58">
        <v>0</v>
      </c>
      <c r="P3291" s="58">
        <v>0</v>
      </c>
      <c r="Q3291" s="58">
        <v>0</v>
      </c>
      <c r="R3291" s="58">
        <v>0</v>
      </c>
      <c r="S3291" s="58">
        <v>0</v>
      </c>
      <c r="T3291" s="58">
        <v>0</v>
      </c>
      <c r="U3291" s="58">
        <v>0</v>
      </c>
      <c r="V3291" s="58">
        <v>0</v>
      </c>
      <c r="AG3291" t="s">
        <v>3001</v>
      </c>
      <c r="AM3291" s="1" t="str">
        <f t="shared" si="195"/>
        <v>3289_C0008_1149.jpg</v>
      </c>
    </row>
    <row r="3292" spans="1:39" x14ac:dyDescent="0.35">
      <c r="A3292">
        <v>3288</v>
      </c>
      <c r="B3292">
        <v>3289</v>
      </c>
      <c r="F3292" s="64" t="s">
        <v>5802</v>
      </c>
      <c r="G3292" s="64"/>
      <c r="H3292" s="64"/>
      <c r="I3292" s="64">
        <v>0</v>
      </c>
      <c r="J3292" s="32" t="str">
        <f>IF(AND(E3292=1,OR(E3291=0,E3291="")),MAX(#REF!)+1,IF(AND(E3292=1,E3291=1),J3291,""))</f>
        <v/>
      </c>
      <c r="K3292" s="32" t="str">
        <f t="shared" si="194"/>
        <v/>
      </c>
      <c r="L3292" s="32" t="str">
        <f t="shared" si="196"/>
        <v/>
      </c>
      <c r="M3292" s="32" t="str">
        <f t="shared" si="197"/>
        <v/>
      </c>
      <c r="N3292" s="4">
        <v>0</v>
      </c>
      <c r="O3292" s="58">
        <v>0</v>
      </c>
      <c r="P3292" s="58">
        <v>0</v>
      </c>
      <c r="Q3292" s="58">
        <v>0</v>
      </c>
      <c r="R3292" s="58">
        <v>0</v>
      </c>
      <c r="S3292" s="58">
        <v>0</v>
      </c>
      <c r="T3292" s="58">
        <v>0</v>
      </c>
      <c r="U3292" s="58">
        <v>0</v>
      </c>
      <c r="V3292" s="58">
        <v>0</v>
      </c>
      <c r="AG3292" t="s">
        <v>3002</v>
      </c>
      <c r="AM3292" s="1" t="str">
        <f t="shared" si="195"/>
        <v>3290_C0008_1147.jpg</v>
      </c>
    </row>
    <row r="3293" spans="1:39" x14ac:dyDescent="0.35">
      <c r="A3293">
        <v>3289</v>
      </c>
      <c r="B3293">
        <v>3290</v>
      </c>
      <c r="F3293" s="64" t="s">
        <v>5803</v>
      </c>
      <c r="G3293" s="64"/>
      <c r="H3293" s="64"/>
      <c r="I3293" s="64">
        <v>0</v>
      </c>
      <c r="J3293" s="32" t="str">
        <f>IF(AND(E3293=1,OR(E3292=0,E3292="")),MAX(#REF!)+1,IF(AND(E3293=1,E3292=1),J3292,""))</f>
        <v/>
      </c>
      <c r="K3293" s="32" t="str">
        <f t="shared" si="194"/>
        <v/>
      </c>
      <c r="L3293" s="32" t="str">
        <f t="shared" si="196"/>
        <v/>
      </c>
      <c r="M3293" s="32" t="str">
        <f t="shared" si="197"/>
        <v/>
      </c>
      <c r="N3293" s="4">
        <v>0</v>
      </c>
      <c r="O3293" s="58">
        <v>0</v>
      </c>
      <c r="P3293" s="58">
        <v>0</v>
      </c>
      <c r="Q3293" s="58">
        <v>0</v>
      </c>
      <c r="R3293" s="58">
        <v>0</v>
      </c>
      <c r="S3293" s="58">
        <v>0</v>
      </c>
      <c r="T3293" s="58">
        <v>0</v>
      </c>
      <c r="U3293" s="58">
        <v>0</v>
      </c>
      <c r="V3293" s="58">
        <v>0</v>
      </c>
      <c r="AG3293" t="s">
        <v>3003</v>
      </c>
      <c r="AM3293" s="1" t="str">
        <f t="shared" si="195"/>
        <v>3291_C0008_1142.jpg</v>
      </c>
    </row>
    <row r="3294" spans="1:39" x14ac:dyDescent="0.35">
      <c r="A3294">
        <v>3290</v>
      </c>
      <c r="B3294">
        <v>3291</v>
      </c>
      <c r="F3294" s="64" t="s">
        <v>5804</v>
      </c>
      <c r="G3294" s="64"/>
      <c r="H3294" s="64"/>
      <c r="I3294" s="64">
        <v>0</v>
      </c>
      <c r="J3294" s="32" t="str">
        <f>IF(AND(E3294=1,OR(E3293=0,E3293="")),MAX(#REF!)+1,IF(AND(E3294=1,E3293=1),J3293,""))</f>
        <v/>
      </c>
      <c r="K3294" s="32" t="str">
        <f t="shared" si="194"/>
        <v/>
      </c>
      <c r="L3294" s="32" t="str">
        <f t="shared" si="196"/>
        <v/>
      </c>
      <c r="M3294" s="32" t="str">
        <f t="shared" si="197"/>
        <v/>
      </c>
      <c r="N3294" s="4">
        <v>0</v>
      </c>
      <c r="O3294" s="58">
        <v>0</v>
      </c>
      <c r="P3294" s="58">
        <v>0</v>
      </c>
      <c r="Q3294" s="58">
        <v>0</v>
      </c>
      <c r="R3294" s="58">
        <v>0</v>
      </c>
      <c r="S3294" s="58">
        <v>0</v>
      </c>
      <c r="T3294" s="58">
        <v>0</v>
      </c>
      <c r="U3294" s="58">
        <v>0</v>
      </c>
      <c r="V3294" s="58">
        <v>0</v>
      </c>
      <c r="AG3294" t="s">
        <v>3004</v>
      </c>
      <c r="AM3294" s="1" t="str">
        <f t="shared" si="195"/>
        <v>3292_C0008_1140.jpg</v>
      </c>
    </row>
    <row r="3295" spans="1:39" x14ac:dyDescent="0.35">
      <c r="A3295">
        <v>3291</v>
      </c>
      <c r="B3295">
        <v>3292</v>
      </c>
      <c r="F3295" s="64" t="s">
        <v>5805</v>
      </c>
      <c r="G3295" s="64"/>
      <c r="H3295" s="64"/>
      <c r="I3295" s="64">
        <v>0</v>
      </c>
      <c r="J3295" s="32" t="str">
        <f>IF(AND(E3295=1,OR(E3294=0,E3294="")),MAX(#REF!)+1,IF(AND(E3295=1,E3294=1),J3294,""))</f>
        <v/>
      </c>
      <c r="K3295" s="32" t="str">
        <f t="shared" ref="K3295:K3339" si="198">IF(J3295="","",COUNTIF(J:J,J3295)*10)</f>
        <v/>
      </c>
      <c r="L3295" s="32" t="str">
        <f t="shared" si="196"/>
        <v/>
      </c>
      <c r="M3295" s="32" t="str">
        <f t="shared" si="197"/>
        <v/>
      </c>
      <c r="N3295" s="4">
        <v>0</v>
      </c>
      <c r="O3295" s="58">
        <v>0</v>
      </c>
      <c r="P3295" s="58">
        <v>0</v>
      </c>
      <c r="Q3295" s="58">
        <v>0</v>
      </c>
      <c r="R3295" s="58">
        <v>0</v>
      </c>
      <c r="S3295" s="58">
        <v>0</v>
      </c>
      <c r="T3295" s="58">
        <v>0</v>
      </c>
      <c r="U3295" s="58">
        <v>0</v>
      </c>
      <c r="V3295" s="58">
        <v>0</v>
      </c>
      <c r="AG3295" t="s">
        <v>3005</v>
      </c>
      <c r="AM3295" s="1" t="str">
        <f t="shared" si="195"/>
        <v>3293_C0008_1137.jpg</v>
      </c>
    </row>
    <row r="3296" spans="1:39" x14ac:dyDescent="0.35">
      <c r="A3296">
        <v>3292</v>
      </c>
      <c r="B3296">
        <v>3293</v>
      </c>
      <c r="F3296" s="64" t="s">
        <v>5806</v>
      </c>
      <c r="G3296" s="64"/>
      <c r="H3296" s="64"/>
      <c r="I3296" s="64">
        <v>0</v>
      </c>
      <c r="J3296" s="32" t="str">
        <f>IF(AND(E3296=1,OR(E3295=0,E3295="")),MAX(#REF!)+1,IF(AND(E3296=1,E3295=1),J3295,""))</f>
        <v/>
      </c>
      <c r="K3296" s="32" t="str">
        <f t="shared" si="198"/>
        <v/>
      </c>
      <c r="L3296" s="32" t="str">
        <f t="shared" si="196"/>
        <v/>
      </c>
      <c r="M3296" s="32" t="str">
        <f t="shared" si="197"/>
        <v/>
      </c>
      <c r="N3296" s="4">
        <v>0</v>
      </c>
      <c r="O3296" s="58">
        <v>0</v>
      </c>
      <c r="P3296" s="58">
        <v>0</v>
      </c>
      <c r="Q3296" s="58">
        <v>0</v>
      </c>
      <c r="R3296" s="58">
        <v>0</v>
      </c>
      <c r="S3296" s="58">
        <v>0</v>
      </c>
      <c r="T3296" s="58">
        <v>0</v>
      </c>
      <c r="U3296" s="58">
        <v>0</v>
      </c>
      <c r="V3296" s="58">
        <v>0</v>
      </c>
      <c r="AG3296" t="s">
        <v>3006</v>
      </c>
      <c r="AM3296" s="1" t="str">
        <f t="shared" si="195"/>
        <v>3294_C0008_1134.jpg</v>
      </c>
    </row>
    <row r="3297" spans="1:39" x14ac:dyDescent="0.35">
      <c r="A3297">
        <v>3293</v>
      </c>
      <c r="B3297">
        <v>3294</v>
      </c>
      <c r="F3297" s="64" t="s">
        <v>5807</v>
      </c>
      <c r="G3297" s="64"/>
      <c r="H3297" s="64"/>
      <c r="I3297" s="64">
        <v>0</v>
      </c>
      <c r="J3297" s="32" t="str">
        <f>IF(AND(E3297=1,OR(E3296=0,E3296="")),MAX(#REF!)+1,IF(AND(E3297=1,E3296=1),J3296,""))</f>
        <v/>
      </c>
      <c r="K3297" s="32" t="str">
        <f t="shared" si="198"/>
        <v/>
      </c>
      <c r="L3297" s="32" t="str">
        <f t="shared" si="196"/>
        <v/>
      </c>
      <c r="M3297" s="32" t="str">
        <f t="shared" si="197"/>
        <v/>
      </c>
      <c r="N3297" s="4">
        <v>0</v>
      </c>
      <c r="O3297" s="58">
        <v>0</v>
      </c>
      <c r="P3297" s="58">
        <v>0</v>
      </c>
      <c r="Q3297" s="58">
        <v>0</v>
      </c>
      <c r="R3297" s="58">
        <v>0</v>
      </c>
      <c r="S3297" s="58">
        <v>0</v>
      </c>
      <c r="T3297" s="58">
        <v>0</v>
      </c>
      <c r="U3297" s="58">
        <v>0</v>
      </c>
      <c r="V3297" s="58">
        <v>0</v>
      </c>
      <c r="AG3297" t="s">
        <v>3007</v>
      </c>
      <c r="AM3297" s="1" t="str">
        <f t="shared" si="195"/>
        <v>3295_C0008_1131.jpg</v>
      </c>
    </row>
    <row r="3298" spans="1:39" x14ac:dyDescent="0.35">
      <c r="A3298">
        <v>3294</v>
      </c>
      <c r="B3298">
        <v>3295</v>
      </c>
      <c r="F3298" s="64" t="s">
        <v>5808</v>
      </c>
      <c r="G3298" s="64"/>
      <c r="H3298" s="64"/>
      <c r="I3298" s="64">
        <v>0</v>
      </c>
      <c r="J3298" s="32" t="str">
        <f>IF(AND(E3298=1,OR(E3297=0,E3297="")),MAX(#REF!)+1,IF(AND(E3298=1,E3297=1),J3297,""))</f>
        <v/>
      </c>
      <c r="K3298" s="32" t="str">
        <f t="shared" si="198"/>
        <v/>
      </c>
      <c r="L3298" s="32" t="str">
        <f t="shared" si="196"/>
        <v/>
      </c>
      <c r="M3298" s="32" t="str">
        <f t="shared" si="197"/>
        <v/>
      </c>
      <c r="N3298" s="4">
        <v>0</v>
      </c>
      <c r="O3298" s="58">
        <v>0</v>
      </c>
      <c r="P3298" s="58">
        <v>0</v>
      </c>
      <c r="Q3298" s="58">
        <v>0</v>
      </c>
      <c r="R3298" s="58">
        <v>0</v>
      </c>
      <c r="S3298" s="58">
        <v>0</v>
      </c>
      <c r="T3298" s="58">
        <v>0</v>
      </c>
      <c r="U3298" s="58">
        <v>0</v>
      </c>
      <c r="V3298" s="58">
        <v>0</v>
      </c>
      <c r="AG3298" t="s">
        <v>3008</v>
      </c>
      <c r="AM3298" s="1" t="str">
        <f t="shared" si="195"/>
        <v>3296_C0008_1127.jpg</v>
      </c>
    </row>
    <row r="3299" spans="1:39" x14ac:dyDescent="0.35">
      <c r="A3299">
        <v>3295</v>
      </c>
      <c r="B3299">
        <v>3296</v>
      </c>
      <c r="F3299" s="64" t="s">
        <v>5809</v>
      </c>
      <c r="G3299" s="64"/>
      <c r="H3299" s="64"/>
      <c r="I3299" s="64">
        <v>0</v>
      </c>
      <c r="J3299" s="32" t="str">
        <f>IF(AND(E3299=1,OR(E3298=0,E3298="")),MAX(#REF!)+1,IF(AND(E3299=1,E3298=1),J3298,""))</f>
        <v/>
      </c>
      <c r="K3299" s="32" t="str">
        <f t="shared" si="198"/>
        <v/>
      </c>
      <c r="L3299" s="32" t="str">
        <f t="shared" si="196"/>
        <v/>
      </c>
      <c r="M3299" s="32" t="str">
        <f t="shared" si="197"/>
        <v/>
      </c>
      <c r="N3299" s="4">
        <v>0</v>
      </c>
      <c r="O3299" s="58">
        <v>0</v>
      </c>
      <c r="P3299" s="58">
        <v>0</v>
      </c>
      <c r="Q3299" s="58">
        <v>0</v>
      </c>
      <c r="R3299" s="58">
        <v>0</v>
      </c>
      <c r="S3299" s="58">
        <v>0</v>
      </c>
      <c r="T3299" s="58">
        <v>0</v>
      </c>
      <c r="U3299" s="58">
        <v>0</v>
      </c>
      <c r="V3299" s="58">
        <v>0</v>
      </c>
      <c r="AG3299" t="s">
        <v>3009</v>
      </c>
      <c r="AM3299" s="1" t="str">
        <f t="shared" si="195"/>
        <v>3297_C0008_1124.jpg</v>
      </c>
    </row>
    <row r="3300" spans="1:39" x14ac:dyDescent="0.35">
      <c r="A3300">
        <v>3296</v>
      </c>
      <c r="B3300">
        <v>3297</v>
      </c>
      <c r="F3300" s="64" t="s">
        <v>5810</v>
      </c>
      <c r="G3300" s="64"/>
      <c r="H3300" s="64"/>
      <c r="I3300" s="64">
        <v>0</v>
      </c>
      <c r="J3300" s="32" t="str">
        <f>IF(AND(E3300=1,OR(E3299=0,E3299="")),MAX(#REF!)+1,IF(AND(E3300=1,E3299=1),J3299,""))</f>
        <v/>
      </c>
      <c r="K3300" s="32" t="str">
        <f t="shared" si="198"/>
        <v/>
      </c>
      <c r="L3300" s="32" t="str">
        <f t="shared" si="196"/>
        <v/>
      </c>
      <c r="M3300" s="32" t="str">
        <f t="shared" si="197"/>
        <v/>
      </c>
      <c r="N3300" s="4">
        <v>0</v>
      </c>
      <c r="O3300" s="58">
        <v>0</v>
      </c>
      <c r="P3300" s="58">
        <v>0</v>
      </c>
      <c r="Q3300" s="58">
        <v>0</v>
      </c>
      <c r="R3300" s="58">
        <v>0</v>
      </c>
      <c r="S3300" s="58">
        <v>0</v>
      </c>
      <c r="T3300" s="58">
        <v>0</v>
      </c>
      <c r="U3300" s="58">
        <v>0</v>
      </c>
      <c r="V3300" s="58">
        <v>0</v>
      </c>
      <c r="AG3300" t="s">
        <v>3010</v>
      </c>
      <c r="AM3300" s="1" t="str">
        <f t="shared" si="195"/>
        <v>3298_C0008_1121.jpg</v>
      </c>
    </row>
    <row r="3301" spans="1:39" x14ac:dyDescent="0.35">
      <c r="A3301">
        <v>3297</v>
      </c>
      <c r="B3301">
        <v>3298</v>
      </c>
      <c r="F3301" s="64" t="s">
        <v>5811</v>
      </c>
      <c r="G3301" s="64"/>
      <c r="H3301" s="64"/>
      <c r="I3301" s="64">
        <v>0</v>
      </c>
      <c r="J3301" s="32" t="str">
        <f>IF(AND(E3301=1,OR(E3300=0,E3300="")),MAX(#REF!)+1,IF(AND(E3301=1,E3300=1),J3300,""))</f>
        <v/>
      </c>
      <c r="K3301" s="32" t="str">
        <f t="shared" si="198"/>
        <v/>
      </c>
      <c r="L3301" s="32" t="str">
        <f t="shared" si="196"/>
        <v/>
      </c>
      <c r="M3301" s="32" t="str">
        <f t="shared" si="197"/>
        <v/>
      </c>
      <c r="N3301" s="4">
        <v>0</v>
      </c>
      <c r="O3301" s="58">
        <v>0</v>
      </c>
      <c r="P3301" s="58">
        <v>0</v>
      </c>
      <c r="Q3301" s="58">
        <v>0</v>
      </c>
      <c r="R3301" s="58">
        <v>0</v>
      </c>
      <c r="S3301" s="58">
        <v>0</v>
      </c>
      <c r="T3301" s="58">
        <v>0</v>
      </c>
      <c r="U3301" s="58">
        <v>0</v>
      </c>
      <c r="V3301" s="58">
        <v>0</v>
      </c>
      <c r="AG3301" t="s">
        <v>3011</v>
      </c>
      <c r="AM3301" s="1" t="str">
        <f t="shared" si="195"/>
        <v>3299_C0008_1117.jpg</v>
      </c>
    </row>
    <row r="3302" spans="1:39" x14ac:dyDescent="0.35">
      <c r="A3302">
        <v>3298</v>
      </c>
      <c r="B3302">
        <v>3299</v>
      </c>
      <c r="F3302" s="64" t="s">
        <v>5812</v>
      </c>
      <c r="G3302" s="64"/>
      <c r="H3302" s="64"/>
      <c r="I3302" s="64">
        <v>0</v>
      </c>
      <c r="J3302" s="32" t="str">
        <f>IF(AND(E3302=1,OR(E3301=0,E3301="")),MAX(#REF!)+1,IF(AND(E3302=1,E3301=1),J3301,""))</f>
        <v/>
      </c>
      <c r="K3302" s="32" t="str">
        <f t="shared" si="198"/>
        <v/>
      </c>
      <c r="L3302" s="32" t="str">
        <f t="shared" si="196"/>
        <v/>
      </c>
      <c r="M3302" s="32" t="str">
        <f t="shared" si="197"/>
        <v/>
      </c>
      <c r="N3302" s="4">
        <v>0</v>
      </c>
      <c r="O3302" s="58">
        <v>0</v>
      </c>
      <c r="P3302" s="58">
        <v>0</v>
      </c>
      <c r="Q3302" s="58">
        <v>0</v>
      </c>
      <c r="R3302" s="58">
        <v>0</v>
      </c>
      <c r="S3302" s="58">
        <v>0</v>
      </c>
      <c r="T3302" s="58">
        <v>0</v>
      </c>
      <c r="U3302" s="58">
        <v>0</v>
      </c>
      <c r="V3302" s="58">
        <v>0</v>
      </c>
      <c r="AG3302" t="s">
        <v>3012</v>
      </c>
      <c r="AM3302" s="1" t="str">
        <f t="shared" si="195"/>
        <v>3300_C0008_1114.jpg</v>
      </c>
    </row>
    <row r="3303" spans="1:39" x14ac:dyDescent="0.35">
      <c r="A3303">
        <v>3299</v>
      </c>
      <c r="B3303">
        <v>3300</v>
      </c>
      <c r="F3303" s="64" t="s">
        <v>5813</v>
      </c>
      <c r="G3303" s="64"/>
      <c r="H3303" s="64"/>
      <c r="I3303" s="64">
        <v>0</v>
      </c>
      <c r="J3303" s="32" t="str">
        <f>IF(AND(E3303=1,OR(E3302=0,E3302="")),MAX(#REF!)+1,IF(AND(E3303=1,E3302=1),J3302,""))</f>
        <v/>
      </c>
      <c r="K3303" s="32" t="str">
        <f t="shared" si="198"/>
        <v/>
      </c>
      <c r="L3303" s="32" t="str">
        <f t="shared" si="196"/>
        <v/>
      </c>
      <c r="M3303" s="32" t="str">
        <f t="shared" si="197"/>
        <v/>
      </c>
      <c r="N3303" s="4">
        <v>0</v>
      </c>
      <c r="O3303" s="58">
        <v>0</v>
      </c>
      <c r="P3303" s="58">
        <v>0</v>
      </c>
      <c r="Q3303" s="58">
        <v>0</v>
      </c>
      <c r="R3303" s="58">
        <v>0</v>
      </c>
      <c r="S3303" s="58">
        <v>0</v>
      </c>
      <c r="T3303" s="58">
        <v>0</v>
      </c>
      <c r="U3303" s="58">
        <v>0</v>
      </c>
      <c r="V3303" s="58">
        <v>0</v>
      </c>
      <c r="AG3303" t="s">
        <v>3013</v>
      </c>
      <c r="AM3303" s="1" t="str">
        <f t="shared" si="195"/>
        <v>3301_C0008_1111.jpg</v>
      </c>
    </row>
    <row r="3304" spans="1:39" x14ac:dyDescent="0.35">
      <c r="A3304">
        <v>3300</v>
      </c>
      <c r="B3304">
        <v>3301</v>
      </c>
      <c r="F3304" s="64" t="s">
        <v>5814</v>
      </c>
      <c r="G3304" s="64"/>
      <c r="H3304" s="64"/>
      <c r="I3304" s="64">
        <v>0</v>
      </c>
      <c r="J3304" s="32" t="str">
        <f>IF(AND(E3304=1,OR(E3303=0,E3303="")),MAX(#REF!)+1,IF(AND(E3304=1,E3303=1),J3303,""))</f>
        <v/>
      </c>
      <c r="K3304" s="32" t="str">
        <f t="shared" si="198"/>
        <v/>
      </c>
      <c r="L3304" s="32" t="str">
        <f t="shared" si="196"/>
        <v/>
      </c>
      <c r="M3304" s="32" t="str">
        <f t="shared" si="197"/>
        <v/>
      </c>
      <c r="N3304" s="4">
        <v>0</v>
      </c>
      <c r="O3304" s="58">
        <v>0</v>
      </c>
      <c r="P3304" s="58">
        <v>0</v>
      </c>
      <c r="Q3304" s="58">
        <v>0</v>
      </c>
      <c r="R3304" s="58">
        <v>0</v>
      </c>
      <c r="S3304" s="58">
        <v>0</v>
      </c>
      <c r="T3304" s="58">
        <v>0</v>
      </c>
      <c r="U3304" s="58">
        <v>0</v>
      </c>
      <c r="V3304" s="58">
        <v>0</v>
      </c>
      <c r="AG3304" t="s">
        <v>3014</v>
      </c>
      <c r="AM3304" s="1" t="str">
        <f t="shared" si="195"/>
        <v>3302_C0008_1107.jpg</v>
      </c>
    </row>
    <row r="3305" spans="1:39" x14ac:dyDescent="0.35">
      <c r="A3305">
        <v>3301</v>
      </c>
      <c r="B3305">
        <v>3302</v>
      </c>
      <c r="F3305" s="64" t="s">
        <v>5815</v>
      </c>
      <c r="G3305" s="64"/>
      <c r="H3305" s="64"/>
      <c r="I3305" s="64">
        <v>0</v>
      </c>
      <c r="J3305" s="32" t="str">
        <f>IF(AND(E3305=1,OR(E3304=0,E3304="")),MAX(#REF!)+1,IF(AND(E3305=1,E3304=1),J3304,""))</f>
        <v/>
      </c>
      <c r="K3305" s="32" t="str">
        <f t="shared" si="198"/>
        <v/>
      </c>
      <c r="L3305" s="32" t="str">
        <f t="shared" si="196"/>
        <v/>
      </c>
      <c r="M3305" s="32" t="str">
        <f t="shared" si="197"/>
        <v/>
      </c>
      <c r="N3305" s="4">
        <v>0</v>
      </c>
      <c r="O3305" s="58">
        <v>0</v>
      </c>
      <c r="P3305" s="58">
        <v>0</v>
      </c>
      <c r="Q3305" s="58">
        <v>0</v>
      </c>
      <c r="R3305" s="58">
        <v>0</v>
      </c>
      <c r="S3305" s="58">
        <v>0</v>
      </c>
      <c r="T3305" s="58">
        <v>0</v>
      </c>
      <c r="U3305" s="58">
        <v>0</v>
      </c>
      <c r="V3305" s="58">
        <v>0</v>
      </c>
      <c r="AG3305" t="s">
        <v>3015</v>
      </c>
      <c r="AM3305" s="1" t="str">
        <f t="shared" si="195"/>
        <v>3303_C0008_1104.jpg</v>
      </c>
    </row>
    <row r="3306" spans="1:39" x14ac:dyDescent="0.35">
      <c r="A3306">
        <v>3302</v>
      </c>
      <c r="B3306">
        <v>3303</v>
      </c>
      <c r="F3306" s="64" t="s">
        <v>5816</v>
      </c>
      <c r="G3306" s="64"/>
      <c r="H3306" s="64"/>
      <c r="I3306" s="64">
        <v>0</v>
      </c>
      <c r="J3306" s="32" t="str">
        <f>IF(AND(E3306=1,OR(E3305=0,E3305="")),MAX(#REF!)+1,IF(AND(E3306=1,E3305=1),J3305,""))</f>
        <v/>
      </c>
      <c r="K3306" s="32" t="str">
        <f t="shared" si="198"/>
        <v/>
      </c>
      <c r="L3306" s="32" t="str">
        <f t="shared" si="196"/>
        <v/>
      </c>
      <c r="M3306" s="32" t="str">
        <f t="shared" si="197"/>
        <v/>
      </c>
      <c r="N3306" s="4">
        <v>0</v>
      </c>
      <c r="O3306" s="58">
        <v>0</v>
      </c>
      <c r="P3306" s="58">
        <v>0</v>
      </c>
      <c r="Q3306" s="58">
        <v>0</v>
      </c>
      <c r="R3306" s="58">
        <v>0</v>
      </c>
      <c r="S3306" s="58">
        <v>0</v>
      </c>
      <c r="T3306" s="58">
        <v>0</v>
      </c>
      <c r="U3306" s="58">
        <v>0</v>
      </c>
      <c r="V3306" s="58">
        <v>0</v>
      </c>
      <c r="AG3306" t="s">
        <v>3016</v>
      </c>
      <c r="AM3306" s="1" t="str">
        <f t="shared" si="195"/>
        <v>3304_C0008_1100.jpg</v>
      </c>
    </row>
    <row r="3307" spans="1:39" x14ac:dyDescent="0.35">
      <c r="A3307">
        <v>3303</v>
      </c>
      <c r="B3307">
        <v>3304</v>
      </c>
      <c r="F3307" s="64" t="s">
        <v>5817</v>
      </c>
      <c r="G3307" s="64"/>
      <c r="H3307" s="64"/>
      <c r="I3307" s="64">
        <v>0</v>
      </c>
      <c r="J3307" s="32" t="str">
        <f>IF(AND(E3307=1,OR(E3306=0,E3306="")),MAX(#REF!)+1,IF(AND(E3307=1,E3306=1),J3306,""))</f>
        <v/>
      </c>
      <c r="K3307" s="32" t="str">
        <f t="shared" si="198"/>
        <v/>
      </c>
      <c r="L3307" s="32" t="str">
        <f t="shared" si="196"/>
        <v/>
      </c>
      <c r="M3307" s="32" t="str">
        <f t="shared" si="197"/>
        <v/>
      </c>
      <c r="N3307" s="4">
        <v>0</v>
      </c>
      <c r="O3307" s="58">
        <v>0</v>
      </c>
      <c r="P3307" s="58">
        <v>0</v>
      </c>
      <c r="Q3307" s="58">
        <v>0</v>
      </c>
      <c r="R3307" s="58">
        <v>0</v>
      </c>
      <c r="S3307" s="58">
        <v>0</v>
      </c>
      <c r="T3307" s="58">
        <v>0</v>
      </c>
      <c r="U3307" s="58">
        <v>0</v>
      </c>
      <c r="V3307" s="58">
        <v>0</v>
      </c>
      <c r="AG3307" t="s">
        <v>3017</v>
      </c>
      <c r="AM3307" s="1" t="str">
        <f t="shared" si="195"/>
        <v>3305_C0008_1096.jpg</v>
      </c>
    </row>
    <row r="3308" spans="1:39" x14ac:dyDescent="0.35">
      <c r="A3308">
        <v>3304</v>
      </c>
      <c r="B3308">
        <v>3305</v>
      </c>
      <c r="F3308" s="64" t="s">
        <v>5818</v>
      </c>
      <c r="G3308" s="64"/>
      <c r="H3308" s="64"/>
      <c r="I3308" s="64">
        <v>0</v>
      </c>
      <c r="J3308" s="32" t="str">
        <f>IF(AND(E3308=1,OR(E3307=0,E3307="")),MAX(#REF!)+1,IF(AND(E3308=1,E3307=1),J3307,""))</f>
        <v/>
      </c>
      <c r="K3308" s="32" t="str">
        <f t="shared" si="198"/>
        <v/>
      </c>
      <c r="L3308" s="32" t="str">
        <f t="shared" si="196"/>
        <v/>
      </c>
      <c r="M3308" s="32" t="str">
        <f t="shared" si="197"/>
        <v/>
      </c>
      <c r="N3308" s="4">
        <v>0</v>
      </c>
      <c r="O3308" s="58">
        <v>0</v>
      </c>
      <c r="P3308" s="58">
        <v>0</v>
      </c>
      <c r="Q3308" s="58">
        <v>0</v>
      </c>
      <c r="R3308" s="58">
        <v>0</v>
      </c>
      <c r="S3308" s="58">
        <v>0</v>
      </c>
      <c r="T3308" s="58">
        <v>0</v>
      </c>
      <c r="U3308" s="58">
        <v>0</v>
      </c>
      <c r="V3308" s="58">
        <v>0</v>
      </c>
      <c r="AG3308" t="s">
        <v>3018</v>
      </c>
      <c r="AM3308" s="1" t="str">
        <f t="shared" si="195"/>
        <v>3306_C0008_1093.jpg</v>
      </c>
    </row>
    <row r="3309" spans="1:39" x14ac:dyDescent="0.35">
      <c r="A3309">
        <v>3305</v>
      </c>
      <c r="B3309">
        <v>3306</v>
      </c>
      <c r="F3309" s="64" t="s">
        <v>5819</v>
      </c>
      <c r="G3309" s="64"/>
      <c r="H3309" s="64"/>
      <c r="I3309" s="64">
        <v>0</v>
      </c>
      <c r="J3309" s="32" t="str">
        <f>IF(AND(E3309=1,OR(E3308=0,E3308="")),MAX(#REF!)+1,IF(AND(E3309=1,E3308=1),J3308,""))</f>
        <v/>
      </c>
      <c r="K3309" s="32" t="str">
        <f t="shared" si="198"/>
        <v/>
      </c>
      <c r="L3309" s="32" t="str">
        <f t="shared" si="196"/>
        <v/>
      </c>
      <c r="M3309" s="32" t="str">
        <f t="shared" si="197"/>
        <v/>
      </c>
      <c r="N3309" s="4">
        <v>0</v>
      </c>
      <c r="O3309" s="58">
        <v>0</v>
      </c>
      <c r="P3309" s="58">
        <v>0</v>
      </c>
      <c r="Q3309" s="58">
        <v>0</v>
      </c>
      <c r="R3309" s="58">
        <v>0</v>
      </c>
      <c r="S3309" s="58">
        <v>0</v>
      </c>
      <c r="T3309" s="58">
        <v>0</v>
      </c>
      <c r="U3309" s="58">
        <v>0</v>
      </c>
      <c r="V3309" s="58">
        <v>0</v>
      </c>
      <c r="AG3309" t="s">
        <v>3019</v>
      </c>
      <c r="AM3309" s="1" t="str">
        <f t="shared" si="195"/>
        <v>3307_C0008_1089.jpg</v>
      </c>
    </row>
    <row r="3310" spans="1:39" x14ac:dyDescent="0.35">
      <c r="A3310">
        <v>3306</v>
      </c>
      <c r="B3310">
        <v>3307</v>
      </c>
      <c r="F3310" s="64" t="s">
        <v>5820</v>
      </c>
      <c r="G3310" s="64"/>
      <c r="H3310" s="64"/>
      <c r="I3310" s="64">
        <v>0</v>
      </c>
      <c r="J3310" s="32" t="str">
        <f>IF(AND(E3310=1,OR(E3309=0,E3309="")),MAX(#REF!)+1,IF(AND(E3310=1,E3309=1),J3309,""))</f>
        <v/>
      </c>
      <c r="K3310" s="32" t="str">
        <f t="shared" si="198"/>
        <v/>
      </c>
      <c r="L3310" s="32" t="str">
        <f t="shared" si="196"/>
        <v/>
      </c>
      <c r="M3310" s="32" t="str">
        <f t="shared" si="197"/>
        <v/>
      </c>
      <c r="N3310" s="4">
        <v>0</v>
      </c>
      <c r="O3310" s="58">
        <v>0</v>
      </c>
      <c r="P3310" s="58">
        <v>0</v>
      </c>
      <c r="Q3310" s="58">
        <v>0</v>
      </c>
      <c r="R3310" s="58">
        <v>0</v>
      </c>
      <c r="S3310" s="58">
        <v>0</v>
      </c>
      <c r="T3310" s="58">
        <v>0</v>
      </c>
      <c r="U3310" s="58">
        <v>0</v>
      </c>
      <c r="V3310" s="58">
        <v>0</v>
      </c>
      <c r="AG3310" t="s">
        <v>3020</v>
      </c>
      <c r="AM3310" s="1" t="str">
        <f t="shared" si="195"/>
        <v>3308_C0008_1085.jpg</v>
      </c>
    </row>
    <row r="3311" spans="1:39" x14ac:dyDescent="0.35">
      <c r="A3311">
        <v>3307</v>
      </c>
      <c r="B3311">
        <v>3308</v>
      </c>
      <c r="F3311" s="64" t="s">
        <v>5821</v>
      </c>
      <c r="G3311" s="64"/>
      <c r="H3311" s="64"/>
      <c r="I3311" s="64">
        <v>0</v>
      </c>
      <c r="J3311" s="32" t="str">
        <f>IF(AND(E3311=1,OR(E3310=0,E3310="")),MAX(#REF!)+1,IF(AND(E3311=1,E3310=1),J3310,""))</f>
        <v/>
      </c>
      <c r="K3311" s="32" t="str">
        <f t="shared" si="198"/>
        <v/>
      </c>
      <c r="L3311" s="32" t="str">
        <f t="shared" si="196"/>
        <v/>
      </c>
      <c r="M3311" s="32" t="str">
        <f t="shared" si="197"/>
        <v/>
      </c>
      <c r="N3311" s="4">
        <v>0</v>
      </c>
      <c r="O3311" s="58">
        <v>0</v>
      </c>
      <c r="P3311" s="58">
        <v>0</v>
      </c>
      <c r="Q3311" s="58">
        <v>0</v>
      </c>
      <c r="R3311" s="58">
        <v>0</v>
      </c>
      <c r="S3311" s="58">
        <v>0</v>
      </c>
      <c r="T3311" s="58">
        <v>0</v>
      </c>
      <c r="U3311" s="58">
        <v>0</v>
      </c>
      <c r="V3311" s="58">
        <v>0</v>
      </c>
      <c r="AG3311" t="s">
        <v>3021</v>
      </c>
      <c r="AM3311" s="1" t="str">
        <f t="shared" si="195"/>
        <v>3309_C0008_1082.jpg</v>
      </c>
    </row>
    <row r="3312" spans="1:39" x14ac:dyDescent="0.35">
      <c r="A3312">
        <v>3308</v>
      </c>
      <c r="B3312">
        <v>3309</v>
      </c>
      <c r="F3312" s="64" t="s">
        <v>5822</v>
      </c>
      <c r="G3312" s="64"/>
      <c r="H3312" s="64"/>
      <c r="I3312" s="64">
        <v>0</v>
      </c>
      <c r="J3312" s="32" t="str">
        <f>IF(AND(E3312=1,OR(E3311=0,E3311="")),MAX(#REF!)+1,IF(AND(E3312=1,E3311=1),J3311,""))</f>
        <v/>
      </c>
      <c r="K3312" s="32" t="str">
        <f t="shared" si="198"/>
        <v/>
      </c>
      <c r="L3312" s="32" t="str">
        <f t="shared" si="196"/>
        <v/>
      </c>
      <c r="M3312" s="32" t="str">
        <f t="shared" si="197"/>
        <v/>
      </c>
      <c r="N3312" s="4">
        <v>0</v>
      </c>
      <c r="O3312" s="58">
        <v>0</v>
      </c>
      <c r="P3312" s="58">
        <v>0</v>
      </c>
      <c r="Q3312" s="58">
        <v>0</v>
      </c>
      <c r="R3312" s="58">
        <v>0</v>
      </c>
      <c r="S3312" s="58">
        <v>0</v>
      </c>
      <c r="T3312" s="58">
        <v>0</v>
      </c>
      <c r="U3312" s="58">
        <v>0</v>
      </c>
      <c r="V3312" s="58">
        <v>0</v>
      </c>
      <c r="AG3312" t="s">
        <v>3022</v>
      </c>
      <c r="AM3312" s="1" t="str">
        <f t="shared" ref="AM3312:AM3375" si="199">HYPERLINK("E:\CAFNEC_GBRF\2023\JohnstoneRiver\Frames_for_Analysis\" &amp; F3313, F3313)</f>
        <v>3310_C0008_1079.jpg</v>
      </c>
    </row>
    <row r="3313" spans="1:39" x14ac:dyDescent="0.35">
      <c r="A3313">
        <v>3309</v>
      </c>
      <c r="B3313">
        <v>3310</v>
      </c>
      <c r="F3313" s="64" t="s">
        <v>5823</v>
      </c>
      <c r="G3313" s="64"/>
      <c r="H3313" s="64"/>
      <c r="I3313" s="64">
        <v>0</v>
      </c>
      <c r="J3313" s="32" t="str">
        <f>IF(AND(E3313=1,OR(E3312=0,E3312="")),MAX(#REF!)+1,IF(AND(E3313=1,E3312=1),J3312,""))</f>
        <v/>
      </c>
      <c r="K3313" s="32" t="str">
        <f t="shared" si="198"/>
        <v/>
      </c>
      <c r="L3313" s="32" t="str">
        <f t="shared" si="196"/>
        <v/>
      </c>
      <c r="M3313" s="32" t="str">
        <f t="shared" si="197"/>
        <v/>
      </c>
      <c r="N3313" s="4">
        <v>0</v>
      </c>
      <c r="O3313" s="58">
        <v>0</v>
      </c>
      <c r="P3313" s="58">
        <v>0</v>
      </c>
      <c r="Q3313" s="58">
        <v>0</v>
      </c>
      <c r="R3313" s="58">
        <v>0</v>
      </c>
      <c r="S3313" s="58">
        <v>0</v>
      </c>
      <c r="T3313" s="58">
        <v>0</v>
      </c>
      <c r="U3313" s="58">
        <v>0</v>
      </c>
      <c r="V3313" s="58">
        <v>0</v>
      </c>
      <c r="AG3313" t="s">
        <v>3023</v>
      </c>
      <c r="AM3313" s="1" t="str">
        <f t="shared" si="199"/>
        <v>3311_C0008_1076.jpg</v>
      </c>
    </row>
    <row r="3314" spans="1:39" x14ac:dyDescent="0.35">
      <c r="A3314">
        <v>3310</v>
      </c>
      <c r="B3314">
        <v>3311</v>
      </c>
      <c r="F3314" s="64" t="s">
        <v>5824</v>
      </c>
      <c r="G3314" s="64"/>
      <c r="H3314" s="64"/>
      <c r="I3314" s="64">
        <v>0</v>
      </c>
      <c r="J3314" s="32" t="str">
        <f>IF(AND(E3314=1,OR(E3313=0,E3313="")),MAX(#REF!)+1,IF(AND(E3314=1,E3313=1),J3313,""))</f>
        <v/>
      </c>
      <c r="K3314" s="32" t="str">
        <f t="shared" si="198"/>
        <v/>
      </c>
      <c r="L3314" s="32" t="str">
        <f t="shared" si="196"/>
        <v/>
      </c>
      <c r="M3314" s="32" t="str">
        <f t="shared" si="197"/>
        <v/>
      </c>
      <c r="N3314" s="4">
        <v>0</v>
      </c>
      <c r="O3314" s="58">
        <v>0</v>
      </c>
      <c r="P3314" s="58">
        <v>0</v>
      </c>
      <c r="Q3314" s="58">
        <v>0</v>
      </c>
      <c r="R3314" s="58">
        <v>0</v>
      </c>
      <c r="S3314" s="58">
        <v>0</v>
      </c>
      <c r="T3314" s="58">
        <v>0</v>
      </c>
      <c r="U3314" s="58">
        <v>0</v>
      </c>
      <c r="V3314" s="58">
        <v>0</v>
      </c>
      <c r="AG3314" t="s">
        <v>3024</v>
      </c>
      <c r="AM3314" s="1" t="str">
        <f t="shared" si="199"/>
        <v>3312_C0008_1073.jpg</v>
      </c>
    </row>
    <row r="3315" spans="1:39" x14ac:dyDescent="0.35">
      <c r="A3315">
        <v>3311</v>
      </c>
      <c r="B3315">
        <v>3312</v>
      </c>
      <c r="F3315" s="64" t="s">
        <v>5825</v>
      </c>
      <c r="G3315" s="64"/>
      <c r="H3315" s="64"/>
      <c r="I3315" s="64">
        <v>0</v>
      </c>
      <c r="J3315" s="32" t="str">
        <f>IF(AND(E3315=1,OR(E3314=0,E3314="")),MAX(#REF!)+1,IF(AND(E3315=1,E3314=1),J3314,""))</f>
        <v/>
      </c>
      <c r="K3315" s="32" t="str">
        <f t="shared" si="198"/>
        <v/>
      </c>
      <c r="L3315" s="32" t="str">
        <f t="shared" si="196"/>
        <v/>
      </c>
      <c r="M3315" s="32" t="str">
        <f t="shared" si="197"/>
        <v/>
      </c>
      <c r="N3315" s="4">
        <v>0</v>
      </c>
      <c r="O3315" s="58">
        <v>0</v>
      </c>
      <c r="P3315" s="58">
        <v>0</v>
      </c>
      <c r="Q3315" s="58">
        <v>0</v>
      </c>
      <c r="R3315" s="58">
        <v>0</v>
      </c>
      <c r="S3315" s="58">
        <v>0</v>
      </c>
      <c r="T3315" s="58">
        <v>0</v>
      </c>
      <c r="U3315" s="58">
        <v>0</v>
      </c>
      <c r="V3315" s="58">
        <v>0</v>
      </c>
      <c r="AG3315" t="s">
        <v>3025</v>
      </c>
      <c r="AM3315" s="1" t="str">
        <f t="shared" si="199"/>
        <v>3313_C0008_1069.jpg</v>
      </c>
    </row>
    <row r="3316" spans="1:39" x14ac:dyDescent="0.35">
      <c r="A3316">
        <v>3312</v>
      </c>
      <c r="B3316">
        <v>3313</v>
      </c>
      <c r="F3316" s="64" t="s">
        <v>5826</v>
      </c>
      <c r="G3316" s="64"/>
      <c r="H3316" s="64"/>
      <c r="I3316" s="64">
        <v>0</v>
      </c>
      <c r="J3316" s="32" t="str">
        <f>IF(AND(E3316=1,OR(E3315=0,E3315="")),MAX(#REF!)+1,IF(AND(E3316=1,E3315=1),J3315,""))</f>
        <v/>
      </c>
      <c r="K3316" s="32" t="str">
        <f t="shared" si="198"/>
        <v/>
      </c>
      <c r="L3316" s="32" t="str">
        <f t="shared" si="196"/>
        <v/>
      </c>
      <c r="M3316" s="32" t="str">
        <f t="shared" si="197"/>
        <v/>
      </c>
      <c r="N3316" s="4">
        <v>0</v>
      </c>
      <c r="O3316" s="58">
        <v>0</v>
      </c>
      <c r="P3316" s="58">
        <v>0</v>
      </c>
      <c r="Q3316" s="58">
        <v>0</v>
      </c>
      <c r="R3316" s="58">
        <v>0</v>
      </c>
      <c r="S3316" s="58">
        <v>0</v>
      </c>
      <c r="T3316" s="58">
        <v>0</v>
      </c>
      <c r="U3316" s="58">
        <v>0</v>
      </c>
      <c r="V3316" s="58">
        <v>0</v>
      </c>
      <c r="AG3316" t="s">
        <v>3026</v>
      </c>
      <c r="AM3316" s="1" t="str">
        <f t="shared" si="199"/>
        <v>3314_C0008_1066.jpg</v>
      </c>
    </row>
    <row r="3317" spans="1:39" x14ac:dyDescent="0.35">
      <c r="A3317">
        <v>3313</v>
      </c>
      <c r="B3317">
        <v>3314</v>
      </c>
      <c r="F3317" s="64" t="s">
        <v>5827</v>
      </c>
      <c r="G3317" s="64"/>
      <c r="H3317" s="64"/>
      <c r="I3317" s="64">
        <v>0</v>
      </c>
      <c r="J3317" s="32" t="str">
        <f>IF(AND(E3317=1,OR(E3316=0,E3316="")),MAX(#REF!)+1,IF(AND(E3317=1,E3316=1),J3316,""))</f>
        <v/>
      </c>
      <c r="K3317" s="32" t="str">
        <f t="shared" si="198"/>
        <v/>
      </c>
      <c r="L3317" s="32" t="str">
        <f t="shared" si="196"/>
        <v/>
      </c>
      <c r="M3317" s="32" t="str">
        <f t="shared" si="197"/>
        <v/>
      </c>
      <c r="N3317" s="4">
        <v>0</v>
      </c>
      <c r="O3317" s="58">
        <v>0</v>
      </c>
      <c r="P3317" s="58">
        <v>0</v>
      </c>
      <c r="Q3317" s="58">
        <v>0</v>
      </c>
      <c r="R3317" s="58">
        <v>0</v>
      </c>
      <c r="S3317" s="58">
        <v>0</v>
      </c>
      <c r="T3317" s="58">
        <v>0</v>
      </c>
      <c r="U3317" s="58">
        <v>0</v>
      </c>
      <c r="V3317" s="58">
        <v>0</v>
      </c>
      <c r="AG3317" t="s">
        <v>3027</v>
      </c>
      <c r="AM3317" s="1" t="str">
        <f t="shared" si="199"/>
        <v>3315_C0008_1061.jpg</v>
      </c>
    </row>
    <row r="3318" spans="1:39" x14ac:dyDescent="0.35">
      <c r="A3318">
        <v>3314</v>
      </c>
      <c r="B3318">
        <v>3315</v>
      </c>
      <c r="F3318" s="64" t="s">
        <v>5828</v>
      </c>
      <c r="G3318" s="64"/>
      <c r="H3318" s="64"/>
      <c r="I3318" s="64">
        <v>0</v>
      </c>
      <c r="J3318" s="32" t="str">
        <f>IF(AND(E3318=1,OR(E3317=0,E3317="")),MAX(#REF!)+1,IF(AND(E3318=1,E3317=1),J3317,""))</f>
        <v/>
      </c>
      <c r="K3318" s="32" t="str">
        <f t="shared" si="198"/>
        <v/>
      </c>
      <c r="L3318" s="32" t="str">
        <f t="shared" si="196"/>
        <v/>
      </c>
      <c r="M3318" s="32" t="str">
        <f t="shared" si="197"/>
        <v/>
      </c>
      <c r="N3318" s="4">
        <v>0</v>
      </c>
      <c r="O3318" s="58">
        <v>0</v>
      </c>
      <c r="P3318" s="58">
        <v>0</v>
      </c>
      <c r="Q3318" s="58">
        <v>0</v>
      </c>
      <c r="R3318" s="58">
        <v>0</v>
      </c>
      <c r="S3318" s="58">
        <v>0</v>
      </c>
      <c r="T3318" s="58">
        <v>0</v>
      </c>
      <c r="U3318" s="58">
        <v>0</v>
      </c>
      <c r="V3318" s="58">
        <v>0</v>
      </c>
      <c r="AG3318" t="s">
        <v>3028</v>
      </c>
      <c r="AM3318" s="1" t="str">
        <f t="shared" si="199"/>
        <v>3316_C0008_1058.jpg</v>
      </c>
    </row>
    <row r="3319" spans="1:39" x14ac:dyDescent="0.35">
      <c r="A3319">
        <v>3315</v>
      </c>
      <c r="B3319">
        <v>3316</v>
      </c>
      <c r="F3319" s="64" t="s">
        <v>5829</v>
      </c>
      <c r="G3319" s="64"/>
      <c r="H3319" s="64"/>
      <c r="I3319" s="64">
        <v>0</v>
      </c>
      <c r="J3319" s="32" t="str">
        <f>IF(AND(E3319=1,OR(E3318=0,E3318="")),MAX(#REF!)+1,IF(AND(E3319=1,E3318=1),J3318,""))</f>
        <v/>
      </c>
      <c r="K3319" s="32" t="str">
        <f t="shared" si="198"/>
        <v/>
      </c>
      <c r="L3319" s="32" t="str">
        <f t="shared" si="196"/>
        <v/>
      </c>
      <c r="M3319" s="32" t="str">
        <f t="shared" si="197"/>
        <v/>
      </c>
      <c r="N3319" s="4">
        <v>0</v>
      </c>
      <c r="O3319" s="58">
        <v>0</v>
      </c>
      <c r="P3319" s="58">
        <v>0</v>
      </c>
      <c r="Q3319" s="58">
        <v>0</v>
      </c>
      <c r="R3319" s="58">
        <v>0</v>
      </c>
      <c r="S3319" s="58">
        <v>0</v>
      </c>
      <c r="T3319" s="58">
        <v>0</v>
      </c>
      <c r="U3319" s="58">
        <v>0</v>
      </c>
      <c r="V3319" s="58">
        <v>0</v>
      </c>
      <c r="AG3319" t="s">
        <v>3029</v>
      </c>
      <c r="AM3319" s="1" t="str">
        <f t="shared" si="199"/>
        <v>3317_C0008_1055.jpg</v>
      </c>
    </row>
    <row r="3320" spans="1:39" x14ac:dyDescent="0.35">
      <c r="A3320">
        <v>3316</v>
      </c>
      <c r="B3320">
        <v>3317</v>
      </c>
      <c r="F3320" s="64" t="s">
        <v>5830</v>
      </c>
      <c r="G3320" s="64"/>
      <c r="H3320" s="64"/>
      <c r="I3320" s="64">
        <v>0</v>
      </c>
      <c r="J3320" s="32" t="str">
        <f>IF(AND(E3320=1,OR(E3319=0,E3319="")),MAX(#REF!)+1,IF(AND(E3320=1,E3319=1),J3319,""))</f>
        <v/>
      </c>
      <c r="K3320" s="32" t="str">
        <f t="shared" si="198"/>
        <v/>
      </c>
      <c r="L3320" s="32" t="str">
        <f t="shared" si="196"/>
        <v/>
      </c>
      <c r="M3320" s="32" t="str">
        <f t="shared" si="197"/>
        <v/>
      </c>
      <c r="N3320" s="4">
        <v>0</v>
      </c>
      <c r="O3320" s="58">
        <v>0</v>
      </c>
      <c r="P3320" s="58">
        <v>0</v>
      </c>
      <c r="Q3320" s="58">
        <v>0</v>
      </c>
      <c r="R3320" s="58">
        <v>0</v>
      </c>
      <c r="S3320" s="58">
        <v>0</v>
      </c>
      <c r="T3320" s="58">
        <v>0</v>
      </c>
      <c r="U3320" s="58">
        <v>0</v>
      </c>
      <c r="V3320" s="58">
        <v>0</v>
      </c>
      <c r="AG3320" t="s">
        <v>3030</v>
      </c>
      <c r="AM3320" s="1" t="str">
        <f t="shared" si="199"/>
        <v>3318_C0008_1051.jpg</v>
      </c>
    </row>
    <row r="3321" spans="1:39" x14ac:dyDescent="0.35">
      <c r="A3321">
        <v>3317</v>
      </c>
      <c r="B3321">
        <v>3318</v>
      </c>
      <c r="F3321" s="64" t="s">
        <v>5831</v>
      </c>
      <c r="G3321" s="64"/>
      <c r="H3321" s="64"/>
      <c r="I3321" s="64">
        <v>0</v>
      </c>
      <c r="J3321" s="32" t="str">
        <f>IF(AND(E3321=1,OR(E3320=0,E3320="")),MAX(#REF!)+1,IF(AND(E3321=1,E3320=1),J3320,""))</f>
        <v/>
      </c>
      <c r="K3321" s="32" t="str">
        <f t="shared" si="198"/>
        <v/>
      </c>
      <c r="L3321" s="32" t="str">
        <f t="shared" si="196"/>
        <v/>
      </c>
      <c r="M3321" s="32" t="str">
        <f t="shared" si="197"/>
        <v/>
      </c>
      <c r="N3321" s="4">
        <v>0</v>
      </c>
      <c r="O3321" s="58">
        <v>0</v>
      </c>
      <c r="P3321" s="58">
        <v>0</v>
      </c>
      <c r="Q3321" s="58">
        <v>0</v>
      </c>
      <c r="R3321" s="58">
        <v>0</v>
      </c>
      <c r="S3321" s="58">
        <v>0</v>
      </c>
      <c r="T3321" s="58">
        <v>0</v>
      </c>
      <c r="U3321" s="58">
        <v>0</v>
      </c>
      <c r="V3321" s="58">
        <v>0</v>
      </c>
      <c r="AG3321" t="s">
        <v>3031</v>
      </c>
    </row>
    <row r="3322" spans="1:39" x14ac:dyDescent="0.35">
      <c r="A3322">
        <v>3318</v>
      </c>
      <c r="B3322">
        <v>3319</v>
      </c>
      <c r="F3322" s="64" t="s">
        <v>5832</v>
      </c>
      <c r="G3322" s="64"/>
      <c r="H3322" s="64"/>
      <c r="I3322" s="64">
        <v>0</v>
      </c>
      <c r="J3322" s="32" t="str">
        <f>IF(AND(E3322=1,OR(E3321=0,E3321="")),MAX(#REF!)+1,IF(AND(E3322=1,E3321=1),J3321,""))</f>
        <v/>
      </c>
      <c r="K3322" s="32" t="str">
        <f t="shared" si="198"/>
        <v/>
      </c>
      <c r="L3322" s="32" t="str">
        <f t="shared" si="196"/>
        <v/>
      </c>
      <c r="M3322" s="32" t="str">
        <f t="shared" si="197"/>
        <v/>
      </c>
      <c r="N3322" s="4">
        <v>0</v>
      </c>
      <c r="O3322" s="58">
        <v>0</v>
      </c>
      <c r="P3322" s="58">
        <v>0</v>
      </c>
      <c r="Q3322" s="58">
        <v>0</v>
      </c>
      <c r="R3322" s="58">
        <v>0</v>
      </c>
      <c r="S3322" s="58">
        <v>0</v>
      </c>
      <c r="T3322" s="58">
        <v>0</v>
      </c>
      <c r="U3322" s="58">
        <v>0</v>
      </c>
      <c r="V3322" s="58">
        <v>0</v>
      </c>
      <c r="AG3322" t="s">
        <v>3032</v>
      </c>
      <c r="AM3322" s="1" t="str">
        <f t="shared" si="199"/>
        <v>3320_C0008_1043.jpg</v>
      </c>
    </row>
    <row r="3323" spans="1:39" x14ac:dyDescent="0.35">
      <c r="A3323">
        <v>3319</v>
      </c>
      <c r="B3323">
        <v>3320</v>
      </c>
      <c r="F3323" s="64" t="s">
        <v>5833</v>
      </c>
      <c r="G3323" s="64"/>
      <c r="H3323" s="64"/>
      <c r="I3323" s="64">
        <v>0</v>
      </c>
      <c r="J3323" s="32" t="str">
        <f>IF(AND(E3323=1,OR(E3322=0,E3322="")),MAX(#REF!)+1,IF(AND(E3323=1,E3322=1),J3322,""))</f>
        <v/>
      </c>
      <c r="K3323" s="32" t="str">
        <f t="shared" si="198"/>
        <v/>
      </c>
      <c r="L3323" s="32" t="str">
        <f t="shared" si="196"/>
        <v/>
      </c>
      <c r="M3323" s="32" t="str">
        <f t="shared" si="197"/>
        <v/>
      </c>
      <c r="N3323" s="4">
        <v>0</v>
      </c>
      <c r="O3323" s="58">
        <v>0</v>
      </c>
      <c r="P3323" s="58">
        <v>0</v>
      </c>
      <c r="Q3323" s="58">
        <v>0</v>
      </c>
      <c r="R3323" s="58">
        <v>0</v>
      </c>
      <c r="S3323" s="58">
        <v>0</v>
      </c>
      <c r="T3323" s="58">
        <v>0</v>
      </c>
      <c r="U3323" s="58">
        <v>0</v>
      </c>
      <c r="V3323" s="58">
        <v>0</v>
      </c>
      <c r="AG3323" t="s">
        <v>3033</v>
      </c>
      <c r="AM3323" s="1" t="str">
        <f t="shared" si="199"/>
        <v>3321_C0008_1039.jpg</v>
      </c>
    </row>
    <row r="3324" spans="1:39" x14ac:dyDescent="0.35">
      <c r="A3324">
        <v>3320</v>
      </c>
      <c r="B3324">
        <v>3321</v>
      </c>
      <c r="F3324" s="64" t="s">
        <v>5834</v>
      </c>
      <c r="G3324" s="64"/>
      <c r="H3324" s="64"/>
      <c r="I3324" s="64">
        <v>0</v>
      </c>
      <c r="J3324" s="32" t="str">
        <f>IF(AND(E3324=1,OR(E3323=0,E3323="")),MAX(#REF!)+1,IF(AND(E3324=1,E3323=1),J3323,""))</f>
        <v/>
      </c>
      <c r="K3324" s="32" t="str">
        <f t="shared" si="198"/>
        <v/>
      </c>
      <c r="L3324" s="32" t="str">
        <f t="shared" si="196"/>
        <v/>
      </c>
      <c r="M3324" s="32" t="str">
        <f t="shared" si="197"/>
        <v/>
      </c>
      <c r="N3324" s="4">
        <v>0</v>
      </c>
      <c r="O3324" s="58">
        <v>0</v>
      </c>
      <c r="P3324" s="58">
        <v>0</v>
      </c>
      <c r="Q3324" s="58">
        <v>0</v>
      </c>
      <c r="R3324" s="58">
        <v>0</v>
      </c>
      <c r="S3324" s="58">
        <v>0</v>
      </c>
      <c r="T3324" s="58">
        <v>0</v>
      </c>
      <c r="U3324" s="58">
        <v>0</v>
      </c>
      <c r="V3324" s="58">
        <v>0</v>
      </c>
      <c r="AG3324" t="s">
        <v>3034</v>
      </c>
      <c r="AM3324" s="1" t="str">
        <f t="shared" si="199"/>
        <v>3322_C0008_1035.jpg</v>
      </c>
    </row>
    <row r="3325" spans="1:39" x14ac:dyDescent="0.35">
      <c r="A3325">
        <v>3321</v>
      </c>
      <c r="B3325">
        <v>3322</v>
      </c>
      <c r="F3325" s="64" t="s">
        <v>5835</v>
      </c>
      <c r="G3325" s="64"/>
      <c r="H3325" s="64"/>
      <c r="I3325" s="64">
        <v>0</v>
      </c>
      <c r="J3325" s="32" t="str">
        <f>IF(AND(E3325=1,OR(E3324=0,E3324="")),MAX(#REF!)+1,IF(AND(E3325=1,E3324=1),J3324,""))</f>
        <v/>
      </c>
      <c r="K3325" s="32" t="str">
        <f t="shared" si="198"/>
        <v/>
      </c>
      <c r="L3325" s="32" t="str">
        <f t="shared" si="196"/>
        <v/>
      </c>
      <c r="M3325" s="32" t="str">
        <f t="shared" si="197"/>
        <v/>
      </c>
      <c r="N3325" s="4">
        <v>0</v>
      </c>
      <c r="O3325" s="58">
        <v>0</v>
      </c>
      <c r="P3325" s="58">
        <v>0</v>
      </c>
      <c r="Q3325" s="58">
        <v>0</v>
      </c>
      <c r="R3325" s="58">
        <v>0</v>
      </c>
      <c r="S3325" s="58">
        <v>0</v>
      </c>
      <c r="T3325" s="58">
        <v>0</v>
      </c>
      <c r="U3325" s="58">
        <v>0</v>
      </c>
      <c r="V3325" s="58">
        <v>0</v>
      </c>
      <c r="AG3325" t="s">
        <v>3035</v>
      </c>
      <c r="AK3325" s="1" t="str">
        <f>HYPERLINK("E:\CAFNEC_GBRF\2023\JohnstoneRiver\Frames_for_Analysis\" &amp; F3322, F3322)</f>
        <v>3319_C0008_1046.jpg</v>
      </c>
      <c r="AM3325" s="1" t="str">
        <f t="shared" si="199"/>
        <v>3323_C0008_1032.jpg</v>
      </c>
    </row>
    <row r="3326" spans="1:39" x14ac:dyDescent="0.35">
      <c r="A3326">
        <v>3322</v>
      </c>
      <c r="B3326">
        <v>3323</v>
      </c>
      <c r="F3326" s="64" t="s">
        <v>5836</v>
      </c>
      <c r="G3326" s="64"/>
      <c r="H3326" s="64"/>
      <c r="I3326" s="64">
        <v>0</v>
      </c>
      <c r="J3326" s="32" t="str">
        <f>IF(AND(E3326=1,OR(E3325=0,E3325="")),MAX(#REF!)+1,IF(AND(E3326=1,E3325=1),J3325,""))</f>
        <v/>
      </c>
      <c r="K3326" s="32" t="str">
        <f t="shared" si="198"/>
        <v/>
      </c>
      <c r="L3326" s="32" t="str">
        <f t="shared" si="196"/>
        <v/>
      </c>
      <c r="M3326" s="32" t="str">
        <f t="shared" si="197"/>
        <v/>
      </c>
      <c r="N3326" s="4">
        <v>0</v>
      </c>
      <c r="O3326" s="58">
        <v>0</v>
      </c>
      <c r="P3326" s="58">
        <v>0</v>
      </c>
      <c r="Q3326" s="58">
        <v>0</v>
      </c>
      <c r="R3326" s="58">
        <v>0</v>
      </c>
      <c r="S3326" s="58">
        <v>0</v>
      </c>
      <c r="T3326" s="58">
        <v>0</v>
      </c>
      <c r="U3326" s="58">
        <v>0</v>
      </c>
      <c r="V3326" s="58">
        <v>0</v>
      </c>
      <c r="AG3326" t="s">
        <v>3036</v>
      </c>
      <c r="AM3326" s="1" t="str">
        <f t="shared" si="199"/>
        <v>3324_C0008_1028.jpg</v>
      </c>
    </row>
    <row r="3327" spans="1:39" x14ac:dyDescent="0.35">
      <c r="A3327">
        <v>3323</v>
      </c>
      <c r="B3327">
        <v>3324</v>
      </c>
      <c r="F3327" s="64" t="s">
        <v>5837</v>
      </c>
      <c r="G3327" s="64"/>
      <c r="H3327" s="64"/>
      <c r="I3327" s="64">
        <v>0</v>
      </c>
      <c r="J3327" s="32" t="str">
        <f>IF(AND(E3327=1,OR(E3326=0,E3326="")),MAX(#REF!)+1,IF(AND(E3327=1,E3326=1),J3326,""))</f>
        <v/>
      </c>
      <c r="K3327" s="32" t="str">
        <f t="shared" si="198"/>
        <v/>
      </c>
      <c r="L3327" s="32" t="str">
        <f t="shared" si="196"/>
        <v/>
      </c>
      <c r="M3327" s="32" t="str">
        <f t="shared" si="197"/>
        <v/>
      </c>
      <c r="N3327" s="4">
        <v>0</v>
      </c>
      <c r="O3327" s="58">
        <v>0</v>
      </c>
      <c r="P3327" s="58">
        <v>0</v>
      </c>
      <c r="Q3327" s="58">
        <v>0</v>
      </c>
      <c r="R3327" s="58">
        <v>0</v>
      </c>
      <c r="S3327" s="58">
        <v>0</v>
      </c>
      <c r="T3327" s="58">
        <v>0</v>
      </c>
      <c r="U3327" s="58">
        <v>0</v>
      </c>
      <c r="V3327" s="58">
        <v>0</v>
      </c>
      <c r="AG3327" t="s">
        <v>3037</v>
      </c>
      <c r="AM3327" s="1" t="str">
        <f t="shared" si="199"/>
        <v>3325_C0008_1024.jpg</v>
      </c>
    </row>
    <row r="3328" spans="1:39" x14ac:dyDescent="0.35">
      <c r="A3328">
        <v>3324</v>
      </c>
      <c r="B3328">
        <v>3325</v>
      </c>
      <c r="F3328" s="64" t="s">
        <v>5838</v>
      </c>
      <c r="G3328" s="64"/>
      <c r="H3328" s="64"/>
      <c r="I3328" s="64">
        <v>0</v>
      </c>
      <c r="J3328" s="32" t="str">
        <f>IF(AND(E3328=1,OR(E3327=0,E3327="")),MAX(#REF!)+1,IF(AND(E3328=1,E3327=1),J3327,""))</f>
        <v/>
      </c>
      <c r="K3328" s="32" t="str">
        <f t="shared" si="198"/>
        <v/>
      </c>
      <c r="L3328" s="32" t="str">
        <f t="shared" si="196"/>
        <v/>
      </c>
      <c r="M3328" s="32" t="str">
        <f t="shared" si="197"/>
        <v/>
      </c>
      <c r="N3328" s="4">
        <v>0</v>
      </c>
      <c r="O3328" s="58">
        <v>0</v>
      </c>
      <c r="P3328" s="58">
        <v>0</v>
      </c>
      <c r="Q3328" s="58">
        <v>0</v>
      </c>
      <c r="R3328" s="58">
        <v>0</v>
      </c>
      <c r="S3328" s="58">
        <v>0</v>
      </c>
      <c r="T3328" s="58">
        <v>0</v>
      </c>
      <c r="U3328" s="58">
        <v>0</v>
      </c>
      <c r="V3328" s="58">
        <v>0</v>
      </c>
      <c r="AG3328" t="s">
        <v>3038</v>
      </c>
      <c r="AM3328" s="1" t="str">
        <f t="shared" si="199"/>
        <v>3326_C0008_1020.jpg</v>
      </c>
    </row>
    <row r="3329" spans="1:39" x14ac:dyDescent="0.35">
      <c r="A3329">
        <v>3325</v>
      </c>
      <c r="B3329">
        <v>3326</v>
      </c>
      <c r="F3329" s="64" t="s">
        <v>5839</v>
      </c>
      <c r="G3329" s="64"/>
      <c r="H3329" s="64"/>
      <c r="I3329" s="64">
        <v>0</v>
      </c>
      <c r="J3329" s="32" t="str">
        <f>IF(AND(E3329=1,OR(E3328=0,E3328="")),MAX(#REF!)+1,IF(AND(E3329=1,E3328=1),J3328,""))</f>
        <v/>
      </c>
      <c r="K3329" s="32" t="str">
        <f t="shared" si="198"/>
        <v/>
      </c>
      <c r="L3329" s="32" t="str">
        <f t="shared" si="196"/>
        <v/>
      </c>
      <c r="M3329" s="32" t="str">
        <f t="shared" si="197"/>
        <v/>
      </c>
      <c r="N3329" s="4">
        <v>0</v>
      </c>
      <c r="O3329" s="58">
        <v>0</v>
      </c>
      <c r="P3329" s="58">
        <v>0</v>
      </c>
      <c r="Q3329" s="58">
        <v>0</v>
      </c>
      <c r="R3329" s="58">
        <v>0</v>
      </c>
      <c r="S3329" s="58">
        <v>0</v>
      </c>
      <c r="T3329" s="58">
        <v>0</v>
      </c>
      <c r="U3329" s="58">
        <v>0</v>
      </c>
      <c r="V3329" s="58">
        <v>0</v>
      </c>
      <c r="AG3329" t="s">
        <v>3039</v>
      </c>
      <c r="AM3329" s="1" t="str">
        <f t="shared" si="199"/>
        <v>3327_C0008_1016.jpg</v>
      </c>
    </row>
    <row r="3330" spans="1:39" x14ac:dyDescent="0.35">
      <c r="A3330">
        <v>3326</v>
      </c>
      <c r="B3330">
        <v>3327</v>
      </c>
      <c r="F3330" s="64" t="s">
        <v>5840</v>
      </c>
      <c r="G3330" s="64"/>
      <c r="H3330" s="64"/>
      <c r="I3330" s="64">
        <v>0</v>
      </c>
      <c r="J3330" s="32" t="str">
        <f>IF(AND(E3330=1,OR(E3329=0,E3329="")),MAX(#REF!)+1,IF(AND(E3330=1,E3329=1),J3329,""))</f>
        <v/>
      </c>
      <c r="K3330" s="32" t="str">
        <f t="shared" si="198"/>
        <v/>
      </c>
      <c r="L3330" s="32" t="str">
        <f t="shared" si="196"/>
        <v/>
      </c>
      <c r="M3330" s="32" t="str">
        <f t="shared" si="197"/>
        <v/>
      </c>
      <c r="N3330" s="4">
        <v>0</v>
      </c>
      <c r="O3330" s="58">
        <v>0</v>
      </c>
      <c r="P3330" s="58">
        <v>0</v>
      </c>
      <c r="Q3330" s="58">
        <v>0</v>
      </c>
      <c r="R3330" s="58">
        <v>0</v>
      </c>
      <c r="S3330" s="58">
        <v>0</v>
      </c>
      <c r="T3330" s="58">
        <v>0</v>
      </c>
      <c r="U3330" s="58">
        <v>0</v>
      </c>
      <c r="V3330" s="58">
        <v>0</v>
      </c>
      <c r="AG3330" t="s">
        <v>3040</v>
      </c>
      <c r="AM3330" s="1" t="str">
        <f t="shared" si="199"/>
        <v>3328_C0008_1013.jpg</v>
      </c>
    </row>
    <row r="3331" spans="1:39" x14ac:dyDescent="0.35">
      <c r="A3331">
        <v>3327</v>
      </c>
      <c r="B3331">
        <v>3328</v>
      </c>
      <c r="F3331" s="64" t="s">
        <v>5841</v>
      </c>
      <c r="G3331" s="64"/>
      <c r="H3331" s="64"/>
      <c r="I3331" s="64">
        <v>0</v>
      </c>
      <c r="J3331" s="32" t="str">
        <f>IF(AND(E3331=1,OR(E3330=0,E3330="")),MAX(#REF!)+1,IF(AND(E3331=1,E3330=1),J3330,""))</f>
        <v/>
      </c>
      <c r="K3331" s="32" t="str">
        <f t="shared" si="198"/>
        <v/>
      </c>
      <c r="L3331" s="32" t="str">
        <f t="shared" si="196"/>
        <v/>
      </c>
      <c r="M3331" s="32" t="str">
        <f t="shared" si="197"/>
        <v/>
      </c>
      <c r="N3331" s="4">
        <v>0</v>
      </c>
      <c r="O3331" s="58">
        <v>0</v>
      </c>
      <c r="P3331" s="58">
        <v>0</v>
      </c>
      <c r="Q3331" s="58">
        <v>0</v>
      </c>
      <c r="R3331" s="58">
        <v>0</v>
      </c>
      <c r="S3331" s="58">
        <v>0</v>
      </c>
      <c r="T3331" s="58">
        <v>0</v>
      </c>
      <c r="U3331" s="58">
        <v>0</v>
      </c>
      <c r="V3331" s="58">
        <v>0</v>
      </c>
      <c r="AG3331" t="s">
        <v>3041</v>
      </c>
      <c r="AM3331" s="1" t="str">
        <f t="shared" si="199"/>
        <v>3329_C0008_1009.jpg</v>
      </c>
    </row>
    <row r="3332" spans="1:39" x14ac:dyDescent="0.35">
      <c r="A3332">
        <v>3328</v>
      </c>
      <c r="B3332">
        <v>3329</v>
      </c>
      <c r="F3332" s="64" t="s">
        <v>5842</v>
      </c>
      <c r="G3332" s="64"/>
      <c r="H3332" s="64"/>
      <c r="I3332" s="64">
        <v>0</v>
      </c>
      <c r="J3332" s="32" t="str">
        <f>IF(AND(E3332=1,OR(E3331=0,E3331="")),MAX(#REF!)+1,IF(AND(E3332=1,E3331=1),J3331,""))</f>
        <v/>
      </c>
      <c r="K3332" s="32" t="str">
        <f t="shared" si="198"/>
        <v/>
      </c>
      <c r="L3332" s="32" t="str">
        <f t="shared" ref="L3332:L3339" si="200">IF(K3332="","",IF(K3332&gt;=100,"HV",""))</f>
        <v/>
      </c>
      <c r="M3332" s="32" t="str">
        <f t="shared" ref="M3332:M3339" si="201">IF(K3332&lt;&gt;"",K3332^2,"")</f>
        <v/>
      </c>
      <c r="N3332" s="4">
        <v>0</v>
      </c>
      <c r="O3332" s="58">
        <v>0</v>
      </c>
      <c r="P3332" s="58">
        <v>0</v>
      </c>
      <c r="Q3332" s="58">
        <v>0</v>
      </c>
      <c r="R3332" s="58">
        <v>0</v>
      </c>
      <c r="S3332" s="58">
        <v>0</v>
      </c>
      <c r="T3332" s="58">
        <v>0</v>
      </c>
      <c r="U3332" s="58">
        <v>0</v>
      </c>
      <c r="V3332" s="58">
        <v>0</v>
      </c>
      <c r="AG3332" t="s">
        <v>3042</v>
      </c>
      <c r="AM3332" s="1" t="str">
        <f t="shared" si="199"/>
        <v>3330_C0008_1005.jpg</v>
      </c>
    </row>
    <row r="3333" spans="1:39" x14ac:dyDescent="0.35">
      <c r="A3333">
        <v>3329</v>
      </c>
      <c r="B3333">
        <v>3330</v>
      </c>
      <c r="F3333" s="64" t="s">
        <v>5843</v>
      </c>
      <c r="G3333" s="64"/>
      <c r="H3333" s="64"/>
      <c r="I3333" s="64">
        <v>0</v>
      </c>
      <c r="J3333" s="32" t="str">
        <f>IF(AND(E3333=1,OR(E3332=0,E3332="")),MAX(#REF!)+1,IF(AND(E3333=1,E3332=1),J3332,""))</f>
        <v/>
      </c>
      <c r="K3333" s="32" t="str">
        <f t="shared" si="198"/>
        <v/>
      </c>
      <c r="L3333" s="32" t="str">
        <f t="shared" si="200"/>
        <v/>
      </c>
      <c r="M3333" s="32" t="str">
        <f t="shared" si="201"/>
        <v/>
      </c>
      <c r="N3333" s="4">
        <v>0</v>
      </c>
      <c r="O3333" s="58">
        <v>0</v>
      </c>
      <c r="P3333" s="58">
        <v>0</v>
      </c>
      <c r="Q3333" s="58">
        <v>0</v>
      </c>
      <c r="R3333" s="58">
        <v>0</v>
      </c>
      <c r="S3333" s="58">
        <v>0</v>
      </c>
      <c r="T3333" s="58">
        <v>0</v>
      </c>
      <c r="U3333" s="58">
        <v>0</v>
      </c>
      <c r="V3333" s="58">
        <v>0</v>
      </c>
      <c r="AG3333" t="s">
        <v>3043</v>
      </c>
      <c r="AM3333" s="1" t="str">
        <f t="shared" si="199"/>
        <v>3331_C0008_1001.jpg</v>
      </c>
    </row>
    <row r="3334" spans="1:39" x14ac:dyDescent="0.35">
      <c r="A3334">
        <v>3330</v>
      </c>
      <c r="B3334">
        <v>3331</v>
      </c>
      <c r="F3334" s="64" t="s">
        <v>5844</v>
      </c>
      <c r="G3334" s="64"/>
      <c r="H3334" s="64"/>
      <c r="I3334" s="64">
        <v>0</v>
      </c>
      <c r="J3334" s="32" t="str">
        <f>IF(AND(E3334=1,OR(E3333=0,E3333="")),MAX(#REF!)+1,IF(AND(E3334=1,E3333=1),J3333,""))</f>
        <v/>
      </c>
      <c r="K3334" s="32" t="str">
        <f t="shared" si="198"/>
        <v/>
      </c>
      <c r="L3334" s="32" t="str">
        <f t="shared" si="200"/>
        <v/>
      </c>
      <c r="M3334" s="32" t="str">
        <f t="shared" si="201"/>
        <v/>
      </c>
      <c r="N3334" s="4">
        <v>0</v>
      </c>
      <c r="O3334" s="58">
        <v>0</v>
      </c>
      <c r="P3334" s="58">
        <v>0</v>
      </c>
      <c r="Q3334" s="58">
        <v>0</v>
      </c>
      <c r="R3334" s="58">
        <v>0</v>
      </c>
      <c r="S3334" s="58">
        <v>0</v>
      </c>
      <c r="T3334" s="58">
        <v>0</v>
      </c>
      <c r="U3334" s="58">
        <v>0</v>
      </c>
      <c r="V3334" s="58">
        <v>0</v>
      </c>
      <c r="AG3334" t="s">
        <v>3044</v>
      </c>
      <c r="AM3334" s="1" t="str">
        <f t="shared" si="199"/>
        <v>3332_C0008_0998.jpg</v>
      </c>
    </row>
    <row r="3335" spans="1:39" x14ac:dyDescent="0.35">
      <c r="A3335">
        <v>3331</v>
      </c>
      <c r="B3335">
        <v>3332</v>
      </c>
      <c r="F3335" s="64" t="s">
        <v>5845</v>
      </c>
      <c r="G3335" s="64"/>
      <c r="H3335" s="64"/>
      <c r="I3335" s="64">
        <v>0</v>
      </c>
      <c r="J3335" s="32" t="str">
        <f>IF(AND(E3335=1,OR(E3334=0,E3334="")),MAX(#REF!)+1,IF(AND(E3335=1,E3334=1),J3334,""))</f>
        <v/>
      </c>
      <c r="K3335" s="32" t="str">
        <f t="shared" si="198"/>
        <v/>
      </c>
      <c r="L3335" s="32" t="str">
        <f t="shared" si="200"/>
        <v/>
      </c>
      <c r="M3335" s="32" t="str">
        <f t="shared" si="201"/>
        <v/>
      </c>
      <c r="N3335" s="4">
        <v>0</v>
      </c>
      <c r="O3335" s="58">
        <v>0</v>
      </c>
      <c r="P3335" s="58">
        <v>0</v>
      </c>
      <c r="Q3335" s="58">
        <v>0</v>
      </c>
      <c r="R3335" s="58">
        <v>0</v>
      </c>
      <c r="S3335" s="58">
        <v>0</v>
      </c>
      <c r="T3335" s="58">
        <v>0</v>
      </c>
      <c r="U3335" s="58">
        <v>0</v>
      </c>
      <c r="V3335" s="58">
        <v>0</v>
      </c>
      <c r="AG3335" t="s">
        <v>3045</v>
      </c>
      <c r="AM3335" s="1" t="str">
        <f t="shared" si="199"/>
        <v>3333_C0008_0994.jpg</v>
      </c>
    </row>
    <row r="3336" spans="1:39" x14ac:dyDescent="0.35">
      <c r="A3336">
        <v>3332</v>
      </c>
      <c r="B3336">
        <v>3333</v>
      </c>
      <c r="F3336" s="64" t="s">
        <v>5846</v>
      </c>
      <c r="G3336" s="64"/>
      <c r="H3336" s="64"/>
      <c r="I3336" s="64">
        <v>0</v>
      </c>
      <c r="J3336" s="32" t="str">
        <f>IF(AND(E3336=1,OR(E3335=0,E3335="")),MAX(#REF!)+1,IF(AND(E3336=1,E3335=1),J3335,""))</f>
        <v/>
      </c>
      <c r="K3336" s="32" t="str">
        <f t="shared" si="198"/>
        <v/>
      </c>
      <c r="L3336" s="32" t="str">
        <f t="shared" si="200"/>
        <v/>
      </c>
      <c r="M3336" s="32" t="str">
        <f t="shared" si="201"/>
        <v/>
      </c>
      <c r="N3336" s="4">
        <v>0</v>
      </c>
      <c r="O3336" s="58">
        <v>0</v>
      </c>
      <c r="P3336" s="58">
        <v>0</v>
      </c>
      <c r="Q3336" s="58">
        <v>0</v>
      </c>
      <c r="R3336" s="58">
        <v>0</v>
      </c>
      <c r="S3336" s="58">
        <v>0</v>
      </c>
      <c r="T3336" s="58">
        <v>0</v>
      </c>
      <c r="U3336" s="58">
        <v>0</v>
      </c>
      <c r="V3336" s="58">
        <v>0</v>
      </c>
      <c r="AG3336" t="s">
        <v>3046</v>
      </c>
      <c r="AM3336" s="1" t="str">
        <f t="shared" si="199"/>
        <v>3334_C0008_0992.jpg</v>
      </c>
    </row>
    <row r="3337" spans="1:39" x14ac:dyDescent="0.35">
      <c r="A3337">
        <v>3333</v>
      </c>
      <c r="B3337">
        <v>3334</v>
      </c>
      <c r="F3337" s="64" t="s">
        <v>5847</v>
      </c>
      <c r="G3337" s="64"/>
      <c r="H3337" s="64"/>
      <c r="I3337" s="64">
        <v>0</v>
      </c>
      <c r="J3337" s="32" t="str">
        <f>IF(AND(E3337=1,OR(E3336=0,E3336="")),MAX(#REF!)+1,IF(AND(E3337=1,E3336=1),J3336,""))</f>
        <v/>
      </c>
      <c r="K3337" s="32" t="str">
        <f t="shared" si="198"/>
        <v/>
      </c>
      <c r="L3337" s="32" t="str">
        <f t="shared" si="200"/>
        <v/>
      </c>
      <c r="M3337" s="32" t="str">
        <f t="shared" si="201"/>
        <v/>
      </c>
      <c r="N3337" s="4">
        <v>0</v>
      </c>
      <c r="O3337" s="58">
        <v>0</v>
      </c>
      <c r="P3337" s="58">
        <v>0</v>
      </c>
      <c r="Q3337" s="58">
        <v>0</v>
      </c>
      <c r="R3337" s="58">
        <v>0</v>
      </c>
      <c r="S3337" s="58">
        <v>0</v>
      </c>
      <c r="T3337" s="58">
        <v>0</v>
      </c>
      <c r="U3337" s="58">
        <v>0</v>
      </c>
      <c r="V3337" s="58">
        <v>0</v>
      </c>
      <c r="AG3337" t="s">
        <v>3047</v>
      </c>
      <c r="AM3337" s="1" t="str">
        <f t="shared" si="199"/>
        <v>3335_C0008_0989.jpg</v>
      </c>
    </row>
    <row r="3338" spans="1:39" x14ac:dyDescent="0.35">
      <c r="A3338">
        <v>3334</v>
      </c>
      <c r="B3338">
        <v>3335</v>
      </c>
      <c r="F3338" s="64" t="s">
        <v>5848</v>
      </c>
      <c r="G3338" s="64"/>
      <c r="H3338" s="64"/>
      <c r="I3338" s="64">
        <v>0</v>
      </c>
      <c r="J3338" s="32" t="str">
        <f>IF(AND(E3338=1,OR(E3337=0,E3337="")),MAX(#REF!)+1,IF(AND(E3338=1,E3337=1),J3337,""))</f>
        <v/>
      </c>
      <c r="K3338" s="32" t="str">
        <f t="shared" si="198"/>
        <v/>
      </c>
      <c r="L3338" s="32" t="str">
        <f t="shared" si="200"/>
        <v/>
      </c>
      <c r="M3338" s="32" t="str">
        <f t="shared" si="201"/>
        <v/>
      </c>
      <c r="N3338" s="4">
        <v>0</v>
      </c>
      <c r="O3338" s="58">
        <v>0</v>
      </c>
      <c r="P3338" s="58">
        <v>0</v>
      </c>
      <c r="Q3338" s="58">
        <v>0</v>
      </c>
      <c r="R3338" s="58">
        <v>0</v>
      </c>
      <c r="S3338" s="58">
        <v>0</v>
      </c>
      <c r="T3338" s="58">
        <v>0</v>
      </c>
      <c r="U3338" s="58">
        <v>0</v>
      </c>
      <c r="V3338" s="58">
        <v>0</v>
      </c>
      <c r="AG3338" t="s">
        <v>3048</v>
      </c>
      <c r="AM3338" s="1" t="str">
        <f t="shared" si="199"/>
        <v>3336_C0008_0985.jpg</v>
      </c>
    </row>
    <row r="3339" spans="1:39" x14ac:dyDescent="0.35">
      <c r="A3339">
        <v>3335</v>
      </c>
      <c r="B3339">
        <v>3336</v>
      </c>
      <c r="F3339" s="64" t="s">
        <v>5849</v>
      </c>
      <c r="G3339" s="64"/>
      <c r="H3339" s="64"/>
      <c r="I3339" s="64">
        <v>0</v>
      </c>
      <c r="J3339" s="32" t="str">
        <f>IF(AND(E3339=1,OR(E3338=0,E3338="")),MAX(#REF!)+1,IF(AND(E3339=1,E3338=1),J3338,""))</f>
        <v/>
      </c>
      <c r="K3339" s="32" t="str">
        <f t="shared" si="198"/>
        <v/>
      </c>
      <c r="L3339" s="32" t="str">
        <f t="shared" si="200"/>
        <v/>
      </c>
      <c r="M3339" s="32" t="str">
        <f t="shared" si="201"/>
        <v/>
      </c>
      <c r="N3339" s="4">
        <v>0</v>
      </c>
      <c r="O3339" s="58">
        <v>0</v>
      </c>
      <c r="P3339" s="58">
        <v>0</v>
      </c>
      <c r="Q3339" s="58">
        <v>0</v>
      </c>
      <c r="R3339" s="58">
        <v>0</v>
      </c>
      <c r="S3339" s="58">
        <v>0</v>
      </c>
      <c r="T3339" s="58">
        <v>0</v>
      </c>
      <c r="U3339" s="58">
        <v>0</v>
      </c>
      <c r="V3339" s="58">
        <v>0</v>
      </c>
      <c r="AG3339" t="s">
        <v>3049</v>
      </c>
      <c r="AM3339" s="1" t="str">
        <f t="shared" si="199"/>
        <v>3337_C0008_0978.jpg</v>
      </c>
    </row>
    <row r="3340" spans="1:39" x14ac:dyDescent="0.35">
      <c r="A3340">
        <v>3336</v>
      </c>
      <c r="B3340">
        <v>3337</v>
      </c>
      <c r="F3340" s="64" t="s">
        <v>5850</v>
      </c>
      <c r="G3340" s="64"/>
      <c r="H3340" s="64"/>
      <c r="I3340" s="64">
        <v>0</v>
      </c>
      <c r="N3340" s="4">
        <v>0</v>
      </c>
      <c r="O3340" s="58">
        <v>0</v>
      </c>
      <c r="P3340" s="58">
        <v>0</v>
      </c>
      <c r="Q3340" s="58">
        <v>0</v>
      </c>
      <c r="R3340" s="58">
        <v>0</v>
      </c>
      <c r="S3340" s="58">
        <v>0</v>
      </c>
      <c r="T3340" s="58">
        <v>0</v>
      </c>
      <c r="U3340" s="58">
        <v>0</v>
      </c>
      <c r="V3340" s="58">
        <v>0</v>
      </c>
      <c r="AG3340" t="s">
        <v>3050</v>
      </c>
      <c r="AM3340" s="1" t="str">
        <f t="shared" si="199"/>
        <v>3338_C0008_0973.jpg</v>
      </c>
    </row>
    <row r="3341" spans="1:39" x14ac:dyDescent="0.35">
      <c r="A3341">
        <v>3337</v>
      </c>
      <c r="B3341">
        <v>3338</v>
      </c>
      <c r="F3341" s="64" t="s">
        <v>5851</v>
      </c>
      <c r="G3341" s="64"/>
      <c r="H3341" s="64"/>
      <c r="I3341" s="64">
        <v>0</v>
      </c>
      <c r="N3341" s="4">
        <v>0</v>
      </c>
      <c r="O3341" s="58">
        <v>0</v>
      </c>
      <c r="P3341" s="58">
        <v>0</v>
      </c>
      <c r="Q3341" s="58">
        <v>0</v>
      </c>
      <c r="R3341" s="58">
        <v>0</v>
      </c>
      <c r="S3341" s="58">
        <v>0</v>
      </c>
      <c r="T3341" s="58">
        <v>0</v>
      </c>
      <c r="U3341" s="58">
        <v>0</v>
      </c>
      <c r="V3341" s="58">
        <v>0</v>
      </c>
      <c r="AG3341" t="s">
        <v>3051</v>
      </c>
      <c r="AM3341" s="1" t="str">
        <f t="shared" si="199"/>
        <v>3339_C0008_0967.jpg</v>
      </c>
    </row>
    <row r="3342" spans="1:39" x14ac:dyDescent="0.35">
      <c r="A3342">
        <v>3338</v>
      </c>
      <c r="B3342">
        <v>3339</v>
      </c>
      <c r="F3342" s="64" t="s">
        <v>5852</v>
      </c>
      <c r="G3342" s="64"/>
      <c r="H3342" s="64"/>
      <c r="I3342" s="64">
        <v>0</v>
      </c>
      <c r="N3342" s="4">
        <v>0</v>
      </c>
      <c r="O3342" s="58">
        <v>0</v>
      </c>
      <c r="P3342" s="58">
        <v>0</v>
      </c>
      <c r="Q3342" s="58">
        <v>0</v>
      </c>
      <c r="R3342" s="58">
        <v>0</v>
      </c>
      <c r="S3342" s="58">
        <v>0</v>
      </c>
      <c r="T3342" s="58">
        <v>0</v>
      </c>
      <c r="U3342" s="58">
        <v>0</v>
      </c>
      <c r="V3342" s="58">
        <v>0</v>
      </c>
      <c r="AG3342" t="s">
        <v>3052</v>
      </c>
      <c r="AM3342" s="1" t="str">
        <f t="shared" si="199"/>
        <v>3340_C0008_0960.jpg</v>
      </c>
    </row>
    <row r="3343" spans="1:39" x14ac:dyDescent="0.35">
      <c r="A3343">
        <v>3339</v>
      </c>
      <c r="B3343">
        <v>3340</v>
      </c>
      <c r="F3343" s="64" t="s">
        <v>5853</v>
      </c>
      <c r="G3343" s="64"/>
      <c r="H3343" s="64"/>
      <c r="I3343" s="64">
        <v>0</v>
      </c>
      <c r="N3343" s="4">
        <v>0</v>
      </c>
      <c r="O3343" s="58">
        <v>0</v>
      </c>
      <c r="P3343" s="58">
        <v>0</v>
      </c>
      <c r="Q3343" s="58">
        <v>0</v>
      </c>
      <c r="R3343" s="58">
        <v>0</v>
      </c>
      <c r="S3343" s="58">
        <v>0</v>
      </c>
      <c r="T3343" s="58">
        <v>0</v>
      </c>
      <c r="U3343" s="58">
        <v>0</v>
      </c>
      <c r="V3343" s="58">
        <v>0</v>
      </c>
      <c r="AG3343" t="s">
        <v>3053</v>
      </c>
      <c r="AM3343" s="1" t="str">
        <f t="shared" si="199"/>
        <v>3341_C0008_0954.jpg</v>
      </c>
    </row>
    <row r="3344" spans="1:39" x14ac:dyDescent="0.35">
      <c r="A3344">
        <v>3340</v>
      </c>
      <c r="B3344">
        <v>3341</v>
      </c>
      <c r="F3344" s="64" t="s">
        <v>5854</v>
      </c>
      <c r="G3344" s="64"/>
      <c r="H3344" s="64"/>
      <c r="I3344" s="64">
        <v>0</v>
      </c>
      <c r="N3344" s="4">
        <v>0</v>
      </c>
      <c r="O3344" s="58">
        <v>0</v>
      </c>
      <c r="P3344" s="58">
        <v>0</v>
      </c>
      <c r="Q3344" s="58">
        <v>0</v>
      </c>
      <c r="R3344" s="58">
        <v>0</v>
      </c>
      <c r="S3344" s="58">
        <v>0</v>
      </c>
      <c r="T3344" s="58">
        <v>0</v>
      </c>
      <c r="U3344" s="58">
        <v>0</v>
      </c>
      <c r="V3344" s="58">
        <v>0</v>
      </c>
      <c r="AG3344" t="s">
        <v>3054</v>
      </c>
      <c r="AM3344" s="1" t="str">
        <f t="shared" si="199"/>
        <v>3342_C0008_0951.jpg</v>
      </c>
    </row>
    <row r="3345" spans="1:39" x14ac:dyDescent="0.35">
      <c r="A3345">
        <v>3341</v>
      </c>
      <c r="B3345">
        <v>3342</v>
      </c>
      <c r="F3345" s="64" t="s">
        <v>5855</v>
      </c>
      <c r="G3345" s="64"/>
      <c r="H3345" s="64"/>
      <c r="I3345" s="64">
        <v>0</v>
      </c>
      <c r="N3345" s="4">
        <v>0</v>
      </c>
      <c r="O3345" s="58">
        <v>0</v>
      </c>
      <c r="P3345" s="58">
        <v>0</v>
      </c>
      <c r="Q3345" s="58">
        <v>0</v>
      </c>
      <c r="R3345" s="58">
        <v>0</v>
      </c>
      <c r="S3345" s="58">
        <v>0</v>
      </c>
      <c r="T3345" s="58">
        <v>0</v>
      </c>
      <c r="U3345" s="58">
        <v>0</v>
      </c>
      <c r="V3345" s="58">
        <v>0</v>
      </c>
      <c r="AG3345" t="s">
        <v>3055</v>
      </c>
      <c r="AM3345" s="1" t="str">
        <f t="shared" si="199"/>
        <v>3343_C0008_0947.jpg</v>
      </c>
    </row>
    <row r="3346" spans="1:39" x14ac:dyDescent="0.35">
      <c r="A3346">
        <v>3342</v>
      </c>
      <c r="B3346">
        <v>3343</v>
      </c>
      <c r="F3346" s="64" t="s">
        <v>5856</v>
      </c>
      <c r="G3346" s="64"/>
      <c r="H3346" s="64"/>
      <c r="I3346" s="64">
        <v>0</v>
      </c>
      <c r="N3346" s="4">
        <v>0</v>
      </c>
      <c r="O3346" s="58">
        <v>0</v>
      </c>
      <c r="P3346" s="58">
        <v>0</v>
      </c>
      <c r="Q3346" s="58">
        <v>0</v>
      </c>
      <c r="R3346" s="58">
        <v>0</v>
      </c>
      <c r="S3346" s="58">
        <v>0</v>
      </c>
      <c r="T3346" s="58">
        <v>0</v>
      </c>
      <c r="U3346" s="58">
        <v>0</v>
      </c>
      <c r="V3346" s="58">
        <v>0</v>
      </c>
      <c r="AG3346" t="s">
        <v>3056</v>
      </c>
      <c r="AM3346" s="1" t="str">
        <f t="shared" si="199"/>
        <v>3344_C0008_0943.jpg</v>
      </c>
    </row>
    <row r="3347" spans="1:39" x14ac:dyDescent="0.35">
      <c r="A3347">
        <v>3343</v>
      </c>
      <c r="B3347">
        <v>3344</v>
      </c>
      <c r="F3347" s="64" t="s">
        <v>5857</v>
      </c>
      <c r="G3347" s="64"/>
      <c r="H3347" s="64"/>
      <c r="I3347" s="64">
        <v>0</v>
      </c>
      <c r="N3347" s="4">
        <v>0</v>
      </c>
      <c r="O3347" s="58">
        <v>0</v>
      </c>
      <c r="P3347" s="58">
        <v>0</v>
      </c>
      <c r="Q3347" s="58">
        <v>0</v>
      </c>
      <c r="R3347" s="58">
        <v>0</v>
      </c>
      <c r="S3347" s="58">
        <v>0</v>
      </c>
      <c r="T3347" s="58">
        <v>0</v>
      </c>
      <c r="U3347" s="58">
        <v>0</v>
      </c>
      <c r="V3347" s="58">
        <v>0</v>
      </c>
      <c r="AG3347" t="s">
        <v>3057</v>
      </c>
      <c r="AM3347" s="1" t="str">
        <f t="shared" si="199"/>
        <v>3345_C0008_0940.jpg</v>
      </c>
    </row>
    <row r="3348" spans="1:39" x14ac:dyDescent="0.35">
      <c r="A3348">
        <v>3344</v>
      </c>
      <c r="B3348">
        <v>3345</v>
      </c>
      <c r="F3348" s="64" t="s">
        <v>5858</v>
      </c>
      <c r="G3348" s="64"/>
      <c r="H3348" s="64"/>
      <c r="I3348" s="64">
        <v>0</v>
      </c>
      <c r="N3348" s="4">
        <v>0</v>
      </c>
      <c r="O3348" s="58">
        <v>0</v>
      </c>
      <c r="P3348" s="58">
        <v>0</v>
      </c>
      <c r="Q3348" s="58">
        <v>0</v>
      </c>
      <c r="R3348" s="58">
        <v>0</v>
      </c>
      <c r="S3348" s="58">
        <v>0</v>
      </c>
      <c r="T3348" s="58">
        <v>0</v>
      </c>
      <c r="U3348" s="58">
        <v>0</v>
      </c>
      <c r="V3348" s="58">
        <v>0</v>
      </c>
      <c r="AG3348" t="s">
        <v>3058</v>
      </c>
      <c r="AM3348" s="1" t="str">
        <f t="shared" si="199"/>
        <v>3346_C0008_0937.jpg</v>
      </c>
    </row>
    <row r="3349" spans="1:39" x14ac:dyDescent="0.35">
      <c r="A3349">
        <v>3345</v>
      </c>
      <c r="B3349">
        <v>3346</v>
      </c>
      <c r="F3349" s="64" t="s">
        <v>5859</v>
      </c>
      <c r="G3349" s="64"/>
      <c r="H3349" s="64"/>
      <c r="I3349" s="64">
        <v>0</v>
      </c>
      <c r="N3349" s="4">
        <v>0</v>
      </c>
      <c r="O3349" s="58">
        <v>0</v>
      </c>
      <c r="P3349" s="58">
        <v>0</v>
      </c>
      <c r="Q3349" s="58">
        <v>0</v>
      </c>
      <c r="R3349" s="58">
        <v>0</v>
      </c>
      <c r="S3349" s="58">
        <v>0</v>
      </c>
      <c r="T3349" s="58">
        <v>0</v>
      </c>
      <c r="U3349" s="58">
        <v>0</v>
      </c>
      <c r="V3349" s="58">
        <v>0</v>
      </c>
      <c r="AG3349" t="s">
        <v>3059</v>
      </c>
      <c r="AM3349" s="1" t="str">
        <f t="shared" si="199"/>
        <v>3347_C0008_0932.jpg</v>
      </c>
    </row>
    <row r="3350" spans="1:39" x14ac:dyDescent="0.35">
      <c r="A3350">
        <v>3346</v>
      </c>
      <c r="B3350">
        <v>3347</v>
      </c>
      <c r="F3350" s="64" t="s">
        <v>5860</v>
      </c>
      <c r="G3350" s="64"/>
      <c r="H3350" s="64"/>
      <c r="I3350" s="64">
        <v>0</v>
      </c>
      <c r="N3350" s="4">
        <v>0</v>
      </c>
      <c r="O3350" s="58">
        <v>0</v>
      </c>
      <c r="P3350" s="58">
        <v>0</v>
      </c>
      <c r="Q3350" s="58">
        <v>0</v>
      </c>
      <c r="R3350" s="58">
        <v>0</v>
      </c>
      <c r="S3350" s="58">
        <v>0</v>
      </c>
      <c r="T3350" s="58">
        <v>0</v>
      </c>
      <c r="U3350" s="58">
        <v>0</v>
      </c>
      <c r="V3350" s="58">
        <v>0</v>
      </c>
      <c r="AG3350" t="s">
        <v>3060</v>
      </c>
      <c r="AM3350" s="1" t="str">
        <f t="shared" si="199"/>
        <v>3348_C0008_0930.jpg</v>
      </c>
    </row>
    <row r="3351" spans="1:39" x14ac:dyDescent="0.35">
      <c r="A3351">
        <v>3347</v>
      </c>
      <c r="B3351">
        <v>3348</v>
      </c>
      <c r="F3351" s="64" t="s">
        <v>5861</v>
      </c>
      <c r="G3351" s="64"/>
      <c r="H3351" s="64"/>
      <c r="I3351" s="64">
        <v>0</v>
      </c>
      <c r="N3351" s="4">
        <v>0</v>
      </c>
      <c r="O3351" s="58">
        <v>0</v>
      </c>
      <c r="P3351" s="58">
        <v>0</v>
      </c>
      <c r="Q3351" s="58">
        <v>0</v>
      </c>
      <c r="R3351" s="58">
        <v>0</v>
      </c>
      <c r="S3351" s="58">
        <v>0</v>
      </c>
      <c r="T3351" s="58">
        <v>0</v>
      </c>
      <c r="U3351" s="58">
        <v>0</v>
      </c>
      <c r="V3351" s="58">
        <v>0</v>
      </c>
      <c r="AG3351" t="s">
        <v>3061</v>
      </c>
      <c r="AM3351" s="1" t="str">
        <f t="shared" si="199"/>
        <v>3349_C0008_0926.jpg</v>
      </c>
    </row>
    <row r="3352" spans="1:39" x14ac:dyDescent="0.35">
      <c r="A3352">
        <v>3348</v>
      </c>
      <c r="B3352">
        <v>3349</v>
      </c>
      <c r="F3352" s="64" t="s">
        <v>5862</v>
      </c>
      <c r="G3352" s="64"/>
      <c r="H3352" s="64"/>
      <c r="I3352" s="64">
        <v>0</v>
      </c>
      <c r="N3352" s="4">
        <v>0</v>
      </c>
      <c r="O3352" s="58">
        <v>0</v>
      </c>
      <c r="P3352" s="58">
        <v>0</v>
      </c>
      <c r="Q3352" s="58">
        <v>0</v>
      </c>
      <c r="R3352" s="58">
        <v>0</v>
      </c>
      <c r="S3352" s="58">
        <v>0</v>
      </c>
      <c r="T3352" s="58">
        <v>0</v>
      </c>
      <c r="U3352" s="58">
        <v>0</v>
      </c>
      <c r="V3352" s="58">
        <v>0</v>
      </c>
      <c r="AG3352" t="s">
        <v>3062</v>
      </c>
      <c r="AM3352" s="1" t="str">
        <f t="shared" si="199"/>
        <v>3350_C0008_0922.jpg</v>
      </c>
    </row>
    <row r="3353" spans="1:39" x14ac:dyDescent="0.35">
      <c r="A3353">
        <v>3349</v>
      </c>
      <c r="B3353">
        <v>3350</v>
      </c>
      <c r="F3353" s="64" t="s">
        <v>5863</v>
      </c>
      <c r="G3353" s="64"/>
      <c r="H3353" s="64"/>
      <c r="I3353" s="64">
        <v>0</v>
      </c>
      <c r="N3353" s="4">
        <v>0</v>
      </c>
      <c r="O3353" s="58">
        <v>0</v>
      </c>
      <c r="P3353" s="58">
        <v>0</v>
      </c>
      <c r="Q3353" s="58">
        <v>0</v>
      </c>
      <c r="R3353" s="58">
        <v>0</v>
      </c>
      <c r="S3353" s="58">
        <v>0</v>
      </c>
      <c r="T3353" s="58">
        <v>0</v>
      </c>
      <c r="U3353" s="58">
        <v>0</v>
      </c>
      <c r="V3353" s="58">
        <v>0</v>
      </c>
      <c r="AG3353" t="s">
        <v>3063</v>
      </c>
      <c r="AM3353" s="1" t="str">
        <f t="shared" si="199"/>
        <v>3351_C0008_0920.jpg</v>
      </c>
    </row>
    <row r="3354" spans="1:39" x14ac:dyDescent="0.35">
      <c r="A3354">
        <v>3350</v>
      </c>
      <c r="B3354">
        <v>3351</v>
      </c>
      <c r="F3354" s="64" t="s">
        <v>5864</v>
      </c>
      <c r="G3354" s="64"/>
      <c r="H3354" s="64"/>
      <c r="I3354" s="64">
        <v>0</v>
      </c>
      <c r="N3354" s="4">
        <v>0</v>
      </c>
      <c r="O3354" s="58">
        <v>0</v>
      </c>
      <c r="P3354" s="58">
        <v>0</v>
      </c>
      <c r="Q3354" s="58">
        <v>0</v>
      </c>
      <c r="R3354" s="58">
        <v>0</v>
      </c>
      <c r="S3354" s="58">
        <v>0</v>
      </c>
      <c r="T3354" s="58">
        <v>0</v>
      </c>
      <c r="U3354" s="58">
        <v>0</v>
      </c>
      <c r="V3354" s="58">
        <v>0</v>
      </c>
      <c r="AG3354" t="s">
        <v>3064</v>
      </c>
      <c r="AM3354" s="1" t="str">
        <f t="shared" si="199"/>
        <v>3352_C0008_0917.jpg</v>
      </c>
    </row>
    <row r="3355" spans="1:39" x14ac:dyDescent="0.35">
      <c r="A3355">
        <v>3351</v>
      </c>
      <c r="B3355">
        <v>3352</v>
      </c>
      <c r="F3355" s="64" t="s">
        <v>5865</v>
      </c>
      <c r="G3355" s="64"/>
      <c r="H3355" s="64"/>
      <c r="I3355" s="64">
        <v>0</v>
      </c>
      <c r="N3355" s="4">
        <v>0</v>
      </c>
      <c r="O3355" s="58">
        <v>0</v>
      </c>
      <c r="P3355" s="58">
        <v>0</v>
      </c>
      <c r="Q3355" s="58">
        <v>0</v>
      </c>
      <c r="R3355" s="58">
        <v>0</v>
      </c>
      <c r="S3355" s="58">
        <v>0</v>
      </c>
      <c r="T3355" s="58">
        <v>0</v>
      </c>
      <c r="U3355" s="58">
        <v>0</v>
      </c>
      <c r="V3355" s="58">
        <v>0</v>
      </c>
      <c r="AG3355" t="s">
        <v>3065</v>
      </c>
      <c r="AM3355" s="1" t="str">
        <f t="shared" si="199"/>
        <v>3353_C0008_0916.jpg</v>
      </c>
    </row>
    <row r="3356" spans="1:39" x14ac:dyDescent="0.35">
      <c r="A3356">
        <v>3352</v>
      </c>
      <c r="B3356">
        <v>3353</v>
      </c>
      <c r="F3356" s="64" t="s">
        <v>5866</v>
      </c>
      <c r="G3356" s="64"/>
      <c r="H3356" s="64"/>
      <c r="I3356" s="64">
        <v>0</v>
      </c>
      <c r="N3356" s="4">
        <v>0</v>
      </c>
      <c r="O3356" s="58">
        <v>1</v>
      </c>
      <c r="P3356" s="58">
        <v>0</v>
      </c>
      <c r="Q3356" s="58">
        <v>0</v>
      </c>
      <c r="R3356" s="58">
        <v>0</v>
      </c>
      <c r="S3356" s="58">
        <v>0</v>
      </c>
      <c r="T3356" s="58">
        <v>0</v>
      </c>
      <c r="U3356" s="58">
        <v>0</v>
      </c>
      <c r="V3356" s="58">
        <v>0</v>
      </c>
      <c r="AG3356" t="s">
        <v>3066</v>
      </c>
      <c r="AM3356" s="1" t="str">
        <f t="shared" si="199"/>
        <v>3354_C0008_0911.jpg</v>
      </c>
    </row>
    <row r="3357" spans="1:39" x14ac:dyDescent="0.35">
      <c r="A3357">
        <v>3353</v>
      </c>
      <c r="B3357">
        <v>3354</v>
      </c>
      <c r="F3357" s="64" t="s">
        <v>5867</v>
      </c>
      <c r="G3357" s="64"/>
      <c r="H3357" s="64"/>
      <c r="I3357" s="64">
        <v>0</v>
      </c>
      <c r="N3357" s="4">
        <v>0</v>
      </c>
      <c r="O3357" s="58">
        <v>0</v>
      </c>
      <c r="P3357" s="58">
        <v>0</v>
      </c>
      <c r="Q3357" s="58">
        <v>0</v>
      </c>
      <c r="R3357" s="58">
        <v>0</v>
      </c>
      <c r="S3357" s="58">
        <v>0</v>
      </c>
      <c r="T3357" s="58">
        <v>0</v>
      </c>
      <c r="U3357" s="58">
        <v>0</v>
      </c>
      <c r="V3357" s="58">
        <v>0</v>
      </c>
      <c r="AG3357" t="s">
        <v>3067</v>
      </c>
      <c r="AM3357" s="1" t="str">
        <f t="shared" si="199"/>
        <v>3355_C0008_0908.jpg</v>
      </c>
    </row>
    <row r="3358" spans="1:39" x14ac:dyDescent="0.35">
      <c r="A3358">
        <v>3354</v>
      </c>
      <c r="B3358">
        <v>3355</v>
      </c>
      <c r="F3358" s="64" t="s">
        <v>5868</v>
      </c>
      <c r="G3358" s="64"/>
      <c r="H3358" s="64"/>
      <c r="I3358" s="64">
        <v>0</v>
      </c>
      <c r="N3358" s="4">
        <v>0</v>
      </c>
      <c r="O3358" s="58">
        <v>0</v>
      </c>
      <c r="P3358" s="58">
        <v>0</v>
      </c>
      <c r="Q3358" s="58">
        <v>0</v>
      </c>
      <c r="R3358" s="58">
        <v>0</v>
      </c>
      <c r="S3358" s="58">
        <v>0</v>
      </c>
      <c r="T3358" s="58">
        <v>0</v>
      </c>
      <c r="U3358" s="58">
        <v>0</v>
      </c>
      <c r="V3358" s="58">
        <v>0</v>
      </c>
      <c r="AG3358" t="s">
        <v>3068</v>
      </c>
      <c r="AM3358" s="1" t="str">
        <f t="shared" si="199"/>
        <v>3356_C0008_0905.jpg</v>
      </c>
    </row>
    <row r="3359" spans="1:39" x14ac:dyDescent="0.35">
      <c r="A3359">
        <v>3355</v>
      </c>
      <c r="B3359">
        <v>3356</v>
      </c>
      <c r="F3359" s="64" t="s">
        <v>5869</v>
      </c>
      <c r="G3359" s="64"/>
      <c r="H3359" s="64"/>
      <c r="I3359" s="64">
        <v>0</v>
      </c>
      <c r="N3359" s="4">
        <v>0</v>
      </c>
      <c r="O3359" s="58">
        <v>0</v>
      </c>
      <c r="P3359" s="58">
        <v>0</v>
      </c>
      <c r="Q3359" s="58">
        <v>0</v>
      </c>
      <c r="R3359" s="58">
        <v>0</v>
      </c>
      <c r="S3359" s="58">
        <v>0</v>
      </c>
      <c r="T3359" s="58">
        <v>0</v>
      </c>
      <c r="U3359" s="58">
        <v>0</v>
      </c>
      <c r="V3359" s="58">
        <v>0</v>
      </c>
      <c r="AG3359" t="s">
        <v>3069</v>
      </c>
      <c r="AM3359" s="1" t="str">
        <f t="shared" si="199"/>
        <v>3357_C0008_0901.jpg</v>
      </c>
    </row>
    <row r="3360" spans="1:39" x14ac:dyDescent="0.35">
      <c r="A3360">
        <v>3356</v>
      </c>
      <c r="B3360">
        <v>3357</v>
      </c>
      <c r="F3360" s="64" t="s">
        <v>5870</v>
      </c>
      <c r="G3360" s="64"/>
      <c r="H3360" s="64"/>
      <c r="I3360" s="64">
        <v>0</v>
      </c>
      <c r="N3360" s="4">
        <v>0</v>
      </c>
      <c r="O3360" s="58">
        <v>0</v>
      </c>
      <c r="P3360" s="58">
        <v>0</v>
      </c>
      <c r="Q3360" s="58">
        <v>0</v>
      </c>
      <c r="R3360" s="58">
        <v>0</v>
      </c>
      <c r="S3360" s="58">
        <v>0</v>
      </c>
      <c r="T3360" s="58">
        <v>0</v>
      </c>
      <c r="U3360" s="58">
        <v>0</v>
      </c>
      <c r="V3360" s="58">
        <v>0</v>
      </c>
      <c r="AG3360" t="s">
        <v>3070</v>
      </c>
      <c r="AM3360" s="1" t="str">
        <f t="shared" si="199"/>
        <v>3358_C0008_0897.jpg</v>
      </c>
    </row>
    <row r="3361" spans="1:39" x14ac:dyDescent="0.35">
      <c r="A3361">
        <v>3357</v>
      </c>
      <c r="B3361">
        <v>3358</v>
      </c>
      <c r="F3361" s="64" t="s">
        <v>5871</v>
      </c>
      <c r="G3361" s="64"/>
      <c r="H3361" s="64"/>
      <c r="I3361" s="64">
        <v>0</v>
      </c>
      <c r="N3361" s="4">
        <v>0</v>
      </c>
      <c r="O3361" s="58">
        <v>0</v>
      </c>
      <c r="P3361" s="58">
        <v>0</v>
      </c>
      <c r="Q3361" s="58">
        <v>0</v>
      </c>
      <c r="R3361" s="58">
        <v>0</v>
      </c>
      <c r="S3361" s="58">
        <v>0</v>
      </c>
      <c r="T3361" s="58">
        <v>0</v>
      </c>
      <c r="U3361" s="58">
        <v>0</v>
      </c>
      <c r="V3361" s="58">
        <v>0</v>
      </c>
      <c r="AG3361" t="s">
        <v>3071</v>
      </c>
      <c r="AM3361" s="1" t="str">
        <f t="shared" si="199"/>
        <v>3359_C0008_0893.jpg</v>
      </c>
    </row>
    <row r="3362" spans="1:39" x14ac:dyDescent="0.35">
      <c r="A3362">
        <v>3358</v>
      </c>
      <c r="B3362">
        <v>3359</v>
      </c>
      <c r="F3362" s="64" t="s">
        <v>5872</v>
      </c>
      <c r="G3362" s="64"/>
      <c r="H3362" s="64"/>
      <c r="I3362" s="64">
        <v>0</v>
      </c>
      <c r="N3362" s="4">
        <v>0</v>
      </c>
      <c r="O3362" s="58">
        <v>0</v>
      </c>
      <c r="P3362" s="58">
        <v>0</v>
      </c>
      <c r="Q3362" s="58">
        <v>0</v>
      </c>
      <c r="R3362" s="58">
        <v>0</v>
      </c>
      <c r="S3362" s="58">
        <v>0</v>
      </c>
      <c r="T3362" s="58">
        <v>0</v>
      </c>
      <c r="U3362" s="58">
        <v>0</v>
      </c>
      <c r="V3362" s="58">
        <v>0</v>
      </c>
      <c r="AG3362" t="s">
        <v>3072</v>
      </c>
      <c r="AM3362" s="1" t="str">
        <f t="shared" si="199"/>
        <v>3360_C0008_0890.jpg</v>
      </c>
    </row>
    <row r="3363" spans="1:39" x14ac:dyDescent="0.35">
      <c r="A3363">
        <v>3359</v>
      </c>
      <c r="B3363">
        <v>3360</v>
      </c>
      <c r="F3363" s="64" t="s">
        <v>5873</v>
      </c>
      <c r="G3363" s="64"/>
      <c r="H3363" s="64"/>
      <c r="I3363" s="64">
        <v>0</v>
      </c>
      <c r="N3363" s="4">
        <v>0</v>
      </c>
      <c r="O3363" s="58">
        <v>0</v>
      </c>
      <c r="P3363" s="58">
        <v>0</v>
      </c>
      <c r="Q3363" s="58">
        <v>0</v>
      </c>
      <c r="R3363" s="58">
        <v>0</v>
      </c>
      <c r="S3363" s="58">
        <v>0</v>
      </c>
      <c r="T3363" s="58">
        <v>0</v>
      </c>
      <c r="U3363" s="58">
        <v>0</v>
      </c>
      <c r="V3363" s="58">
        <v>0</v>
      </c>
      <c r="AG3363" t="s">
        <v>3073</v>
      </c>
      <c r="AM3363" s="1" t="str">
        <f t="shared" si="199"/>
        <v>3361_C0008_0887.jpg</v>
      </c>
    </row>
    <row r="3364" spans="1:39" x14ac:dyDescent="0.35">
      <c r="A3364">
        <v>3360</v>
      </c>
      <c r="B3364">
        <v>3361</v>
      </c>
      <c r="F3364" s="64" t="s">
        <v>5874</v>
      </c>
      <c r="G3364" s="64"/>
      <c r="H3364" s="64"/>
      <c r="I3364" s="64">
        <v>0</v>
      </c>
      <c r="N3364" s="4">
        <v>0</v>
      </c>
      <c r="O3364" s="58">
        <v>0</v>
      </c>
      <c r="P3364" s="58">
        <v>0</v>
      </c>
      <c r="Q3364" s="58">
        <v>0</v>
      </c>
      <c r="R3364" s="58">
        <v>0</v>
      </c>
      <c r="S3364" s="58">
        <v>0</v>
      </c>
      <c r="T3364" s="58">
        <v>0</v>
      </c>
      <c r="U3364" s="58">
        <v>0</v>
      </c>
      <c r="V3364" s="58">
        <v>0</v>
      </c>
      <c r="AG3364" t="s">
        <v>3074</v>
      </c>
      <c r="AM3364" s="1" t="str">
        <f t="shared" si="199"/>
        <v>3362_C0008_0883.jpg</v>
      </c>
    </row>
    <row r="3365" spans="1:39" x14ac:dyDescent="0.35">
      <c r="A3365">
        <v>3361</v>
      </c>
      <c r="B3365">
        <v>3362</v>
      </c>
      <c r="F3365" s="64" t="s">
        <v>5875</v>
      </c>
      <c r="G3365" s="64"/>
      <c r="H3365" s="64"/>
      <c r="I3365" s="64">
        <v>0</v>
      </c>
      <c r="N3365" s="4">
        <v>0</v>
      </c>
      <c r="O3365" s="58">
        <v>0</v>
      </c>
      <c r="P3365" s="58">
        <v>0</v>
      </c>
      <c r="Q3365" s="58">
        <v>0</v>
      </c>
      <c r="R3365" s="58">
        <v>0</v>
      </c>
      <c r="S3365" s="58">
        <v>0</v>
      </c>
      <c r="T3365" s="58">
        <v>0</v>
      </c>
      <c r="U3365" s="58">
        <v>0</v>
      </c>
      <c r="V3365" s="58">
        <v>0</v>
      </c>
      <c r="AG3365" t="s">
        <v>3075</v>
      </c>
      <c r="AM3365" s="1" t="str">
        <f t="shared" si="199"/>
        <v>3363_C0008_0880.jpg</v>
      </c>
    </row>
    <row r="3366" spans="1:39" x14ac:dyDescent="0.35">
      <c r="A3366">
        <v>3362</v>
      </c>
      <c r="B3366">
        <v>3363</v>
      </c>
      <c r="F3366" s="64" t="s">
        <v>5876</v>
      </c>
      <c r="G3366" s="64"/>
      <c r="H3366" s="64"/>
      <c r="I3366" s="64">
        <v>0</v>
      </c>
      <c r="N3366" s="4">
        <v>0</v>
      </c>
      <c r="O3366" s="58">
        <v>0</v>
      </c>
      <c r="P3366" s="58">
        <v>0</v>
      </c>
      <c r="Q3366" s="58">
        <v>0</v>
      </c>
      <c r="R3366" s="58">
        <v>0</v>
      </c>
      <c r="S3366" s="58">
        <v>0</v>
      </c>
      <c r="T3366" s="58">
        <v>0</v>
      </c>
      <c r="U3366" s="58">
        <v>0</v>
      </c>
      <c r="V3366" s="58">
        <v>0</v>
      </c>
      <c r="AG3366" t="s">
        <v>3076</v>
      </c>
      <c r="AM3366" s="1" t="str">
        <f t="shared" si="199"/>
        <v>3364_C0008_0877.jpg</v>
      </c>
    </row>
    <row r="3367" spans="1:39" x14ac:dyDescent="0.35">
      <c r="A3367">
        <v>3363</v>
      </c>
      <c r="B3367">
        <v>3364</v>
      </c>
      <c r="F3367" s="64" t="s">
        <v>5877</v>
      </c>
      <c r="G3367" s="64"/>
      <c r="H3367" s="64"/>
      <c r="I3367" s="64">
        <v>0</v>
      </c>
      <c r="N3367" s="4">
        <v>0</v>
      </c>
      <c r="O3367" s="58">
        <v>0</v>
      </c>
      <c r="P3367" s="58">
        <v>0</v>
      </c>
      <c r="Q3367" s="58">
        <v>0</v>
      </c>
      <c r="R3367" s="58">
        <v>0</v>
      </c>
      <c r="S3367" s="58">
        <v>0</v>
      </c>
      <c r="T3367" s="58">
        <v>0</v>
      </c>
      <c r="U3367" s="58">
        <v>0</v>
      </c>
      <c r="V3367" s="58">
        <v>0</v>
      </c>
      <c r="AG3367" t="s">
        <v>3077</v>
      </c>
      <c r="AM3367" s="1" t="str">
        <f t="shared" si="199"/>
        <v>3365_C0008_0872.jpg</v>
      </c>
    </row>
    <row r="3368" spans="1:39" x14ac:dyDescent="0.35">
      <c r="A3368">
        <v>3364</v>
      </c>
      <c r="B3368">
        <v>3365</v>
      </c>
      <c r="F3368" s="64" t="s">
        <v>5878</v>
      </c>
      <c r="G3368" s="64"/>
      <c r="H3368" s="64"/>
      <c r="I3368" s="64">
        <v>0</v>
      </c>
      <c r="N3368" s="4">
        <v>0</v>
      </c>
      <c r="O3368" s="58">
        <v>0</v>
      </c>
      <c r="P3368" s="58">
        <v>0</v>
      </c>
      <c r="Q3368" s="58">
        <v>0</v>
      </c>
      <c r="R3368" s="58">
        <v>0</v>
      </c>
      <c r="S3368" s="58">
        <v>0</v>
      </c>
      <c r="T3368" s="58">
        <v>0</v>
      </c>
      <c r="U3368" s="58">
        <v>0</v>
      </c>
      <c r="V3368" s="58">
        <v>0</v>
      </c>
      <c r="AG3368" t="s">
        <v>3078</v>
      </c>
      <c r="AM3368" s="1" t="str">
        <f t="shared" si="199"/>
        <v>3366_C0008_0869.jpg</v>
      </c>
    </row>
    <row r="3369" spans="1:39" x14ac:dyDescent="0.35">
      <c r="A3369">
        <v>3365</v>
      </c>
      <c r="B3369">
        <v>3366</v>
      </c>
      <c r="F3369" s="64" t="s">
        <v>5879</v>
      </c>
      <c r="G3369" s="64"/>
      <c r="H3369" s="64"/>
      <c r="I3369" s="64">
        <v>0</v>
      </c>
      <c r="N3369" s="4">
        <v>0</v>
      </c>
      <c r="O3369" s="58">
        <v>0</v>
      </c>
      <c r="P3369" s="58">
        <v>0</v>
      </c>
      <c r="Q3369" s="58">
        <v>0</v>
      </c>
      <c r="R3369" s="58">
        <v>0</v>
      </c>
      <c r="S3369" s="58">
        <v>0</v>
      </c>
      <c r="T3369" s="58">
        <v>0</v>
      </c>
      <c r="U3369" s="58">
        <v>0</v>
      </c>
      <c r="V3369" s="58">
        <v>0</v>
      </c>
      <c r="AG3369" t="s">
        <v>3079</v>
      </c>
      <c r="AM3369" s="1" t="str">
        <f t="shared" si="199"/>
        <v>3367_C0008_0866.jpg</v>
      </c>
    </row>
    <row r="3370" spans="1:39" x14ac:dyDescent="0.35">
      <c r="A3370">
        <v>3366</v>
      </c>
      <c r="B3370">
        <v>3367</v>
      </c>
      <c r="F3370" s="64" t="s">
        <v>5880</v>
      </c>
      <c r="G3370" s="64"/>
      <c r="H3370" s="64"/>
      <c r="I3370" s="64">
        <v>0</v>
      </c>
      <c r="N3370" s="4">
        <v>0</v>
      </c>
      <c r="O3370" s="58">
        <v>0</v>
      </c>
      <c r="P3370" s="58">
        <v>0</v>
      </c>
      <c r="Q3370" s="58">
        <v>0</v>
      </c>
      <c r="R3370" s="58">
        <v>0</v>
      </c>
      <c r="S3370" s="58">
        <v>0</v>
      </c>
      <c r="T3370" s="58">
        <v>0</v>
      </c>
      <c r="U3370" s="58">
        <v>0</v>
      </c>
      <c r="V3370" s="58">
        <v>0</v>
      </c>
      <c r="AG3370" t="s">
        <v>3080</v>
      </c>
      <c r="AM3370" s="1" t="str">
        <f t="shared" si="199"/>
        <v>3368_C0008_0862.jpg</v>
      </c>
    </row>
    <row r="3371" spans="1:39" x14ac:dyDescent="0.35">
      <c r="A3371">
        <v>3367</v>
      </c>
      <c r="B3371">
        <v>3368</v>
      </c>
      <c r="F3371" s="64" t="s">
        <v>5881</v>
      </c>
      <c r="G3371" s="64"/>
      <c r="H3371" s="64"/>
      <c r="I3371" s="64">
        <v>0</v>
      </c>
      <c r="N3371" s="4">
        <v>0</v>
      </c>
      <c r="O3371" s="58">
        <v>0</v>
      </c>
      <c r="P3371" s="58">
        <v>0</v>
      </c>
      <c r="Q3371" s="58">
        <v>0</v>
      </c>
      <c r="R3371" s="58">
        <v>0</v>
      </c>
      <c r="S3371" s="58">
        <v>0</v>
      </c>
      <c r="T3371" s="58">
        <v>0</v>
      </c>
      <c r="U3371" s="58">
        <v>0</v>
      </c>
      <c r="V3371" s="58">
        <v>0</v>
      </c>
      <c r="AG3371" t="s">
        <v>3081</v>
      </c>
      <c r="AM3371" s="1" t="str">
        <f t="shared" si="199"/>
        <v>3369_C0008_0858.jpg</v>
      </c>
    </row>
    <row r="3372" spans="1:39" x14ac:dyDescent="0.35">
      <c r="A3372">
        <v>3368</v>
      </c>
      <c r="B3372">
        <v>3369</v>
      </c>
      <c r="F3372" s="64" t="s">
        <v>5882</v>
      </c>
      <c r="G3372" s="64"/>
      <c r="H3372" s="64"/>
      <c r="I3372" s="64">
        <v>0</v>
      </c>
      <c r="N3372" s="4">
        <v>0</v>
      </c>
      <c r="O3372" s="58">
        <v>0</v>
      </c>
      <c r="P3372" s="58">
        <v>0</v>
      </c>
      <c r="Q3372" s="58">
        <v>0</v>
      </c>
      <c r="R3372" s="58">
        <v>0</v>
      </c>
      <c r="S3372" s="58">
        <v>0</v>
      </c>
      <c r="T3372" s="58">
        <v>0</v>
      </c>
      <c r="U3372" s="58">
        <v>0</v>
      </c>
      <c r="V3372" s="58">
        <v>0</v>
      </c>
      <c r="AG3372" t="s">
        <v>3082</v>
      </c>
      <c r="AM3372" s="1" t="str">
        <f t="shared" si="199"/>
        <v>3370_C0008_0855.jpg</v>
      </c>
    </row>
    <row r="3373" spans="1:39" x14ac:dyDescent="0.35">
      <c r="A3373">
        <v>3369</v>
      </c>
      <c r="B3373">
        <v>3370</v>
      </c>
      <c r="F3373" s="64" t="s">
        <v>5883</v>
      </c>
      <c r="G3373" s="64"/>
      <c r="H3373" s="64"/>
      <c r="I3373" s="64">
        <v>0</v>
      </c>
      <c r="N3373" s="4">
        <v>0</v>
      </c>
      <c r="O3373" s="58">
        <v>0</v>
      </c>
      <c r="P3373" s="58">
        <v>0</v>
      </c>
      <c r="Q3373" s="58">
        <v>0</v>
      </c>
      <c r="R3373" s="58">
        <v>0</v>
      </c>
      <c r="S3373" s="58">
        <v>0</v>
      </c>
      <c r="T3373" s="58">
        <v>0</v>
      </c>
      <c r="U3373" s="58">
        <v>0</v>
      </c>
      <c r="V3373" s="58">
        <v>0</v>
      </c>
      <c r="AG3373" t="s">
        <v>3083</v>
      </c>
      <c r="AM3373" s="1" t="str">
        <f t="shared" si="199"/>
        <v>3371_C0008_0851.jpg</v>
      </c>
    </row>
    <row r="3374" spans="1:39" x14ac:dyDescent="0.35">
      <c r="A3374">
        <v>3370</v>
      </c>
      <c r="B3374">
        <v>3371</v>
      </c>
      <c r="F3374" s="64" t="s">
        <v>5884</v>
      </c>
      <c r="G3374" s="64"/>
      <c r="H3374" s="64"/>
      <c r="I3374" s="64">
        <v>0</v>
      </c>
      <c r="N3374" s="4">
        <v>0</v>
      </c>
      <c r="O3374" s="58">
        <v>0</v>
      </c>
      <c r="P3374" s="58">
        <v>0</v>
      </c>
      <c r="Q3374" s="58">
        <v>0</v>
      </c>
      <c r="R3374" s="58">
        <v>0</v>
      </c>
      <c r="S3374" s="58">
        <v>0</v>
      </c>
      <c r="T3374" s="58">
        <v>0</v>
      </c>
      <c r="U3374" s="58">
        <v>0</v>
      </c>
      <c r="V3374" s="58">
        <v>0</v>
      </c>
      <c r="AG3374" t="s">
        <v>3084</v>
      </c>
      <c r="AM3374" s="1" t="str">
        <f t="shared" si="199"/>
        <v>3372_C0008_0848.jpg</v>
      </c>
    </row>
    <row r="3375" spans="1:39" x14ac:dyDescent="0.35">
      <c r="A3375">
        <v>3371</v>
      </c>
      <c r="B3375">
        <v>3372</v>
      </c>
      <c r="F3375" s="64" t="s">
        <v>5885</v>
      </c>
      <c r="G3375" s="64"/>
      <c r="H3375" s="64"/>
      <c r="I3375" s="64">
        <v>0</v>
      </c>
      <c r="N3375" s="4">
        <v>0</v>
      </c>
      <c r="O3375" s="58">
        <v>0</v>
      </c>
      <c r="P3375" s="58">
        <v>0</v>
      </c>
      <c r="Q3375" s="58">
        <v>0</v>
      </c>
      <c r="R3375" s="58">
        <v>0</v>
      </c>
      <c r="S3375" s="58">
        <v>0</v>
      </c>
      <c r="T3375" s="58">
        <v>0</v>
      </c>
      <c r="U3375" s="58">
        <v>0</v>
      </c>
      <c r="V3375" s="58">
        <v>0</v>
      </c>
      <c r="AG3375" t="s">
        <v>3085</v>
      </c>
      <c r="AM3375" s="1" t="str">
        <f t="shared" si="199"/>
        <v>3373_C0008_0844.jpg</v>
      </c>
    </row>
    <row r="3376" spans="1:39" x14ac:dyDescent="0.35">
      <c r="A3376">
        <v>3372</v>
      </c>
      <c r="B3376">
        <v>3373</v>
      </c>
      <c r="F3376" s="64" t="s">
        <v>5886</v>
      </c>
      <c r="G3376" s="64"/>
      <c r="H3376" s="64"/>
      <c r="I3376" s="64">
        <v>0</v>
      </c>
      <c r="N3376" s="4">
        <v>0</v>
      </c>
      <c r="O3376" s="58">
        <v>0</v>
      </c>
      <c r="P3376" s="58">
        <v>0</v>
      </c>
      <c r="Q3376" s="58">
        <v>0</v>
      </c>
      <c r="R3376" s="58">
        <v>0</v>
      </c>
      <c r="S3376" s="58">
        <v>0</v>
      </c>
      <c r="T3376" s="58">
        <v>0</v>
      </c>
      <c r="U3376" s="58">
        <v>0</v>
      </c>
      <c r="V3376" s="58">
        <v>0</v>
      </c>
      <c r="AG3376" t="s">
        <v>3086</v>
      </c>
      <c r="AM3376" s="1" t="str">
        <f t="shared" ref="AM3376:AM3439" si="202">HYPERLINK("E:\CAFNEC_GBRF\2023\JohnstoneRiver\Frames_for_Analysis\" &amp; F3377, F3377)</f>
        <v>3374_C0008_0840.jpg</v>
      </c>
    </row>
    <row r="3377" spans="1:39" x14ac:dyDescent="0.35">
      <c r="A3377">
        <v>3373</v>
      </c>
      <c r="B3377">
        <v>3374</v>
      </c>
      <c r="F3377" s="64" t="s">
        <v>5887</v>
      </c>
      <c r="G3377" s="64"/>
      <c r="H3377" s="64"/>
      <c r="I3377" s="64">
        <v>0</v>
      </c>
      <c r="N3377" s="4">
        <v>0</v>
      </c>
      <c r="O3377" s="58">
        <v>0</v>
      </c>
      <c r="P3377" s="58">
        <v>0</v>
      </c>
      <c r="Q3377" s="58">
        <v>0</v>
      </c>
      <c r="R3377" s="58">
        <v>0</v>
      </c>
      <c r="S3377" s="58">
        <v>0</v>
      </c>
      <c r="T3377" s="58">
        <v>0</v>
      </c>
      <c r="U3377" s="58">
        <v>0</v>
      </c>
      <c r="V3377" s="58">
        <v>0</v>
      </c>
      <c r="AG3377" t="s">
        <v>3087</v>
      </c>
      <c r="AM3377" s="1" t="str">
        <f t="shared" si="202"/>
        <v>3375_C0008_0837.jpg</v>
      </c>
    </row>
    <row r="3378" spans="1:39" x14ac:dyDescent="0.35">
      <c r="A3378">
        <v>3374</v>
      </c>
      <c r="B3378">
        <v>3375</v>
      </c>
      <c r="F3378" s="64" t="s">
        <v>5888</v>
      </c>
      <c r="G3378" s="64"/>
      <c r="H3378" s="64"/>
      <c r="I3378" s="64">
        <v>0</v>
      </c>
      <c r="N3378" s="4">
        <v>0</v>
      </c>
      <c r="O3378" s="58">
        <v>0</v>
      </c>
      <c r="P3378" s="58">
        <v>0</v>
      </c>
      <c r="Q3378" s="58">
        <v>0</v>
      </c>
      <c r="R3378" s="58">
        <v>0</v>
      </c>
      <c r="S3378" s="58">
        <v>0</v>
      </c>
      <c r="T3378" s="58">
        <v>0</v>
      </c>
      <c r="U3378" s="58">
        <v>0</v>
      </c>
      <c r="V3378" s="58">
        <v>0</v>
      </c>
      <c r="AG3378" t="s">
        <v>3088</v>
      </c>
      <c r="AM3378" s="1" t="str">
        <f t="shared" si="202"/>
        <v>3376_C0008_0832.jpg</v>
      </c>
    </row>
    <row r="3379" spans="1:39" x14ac:dyDescent="0.35">
      <c r="A3379">
        <v>3375</v>
      </c>
      <c r="B3379">
        <v>3376</v>
      </c>
      <c r="F3379" s="64" t="s">
        <v>5889</v>
      </c>
      <c r="G3379" s="64"/>
      <c r="H3379" s="64"/>
      <c r="I3379" s="64">
        <v>0</v>
      </c>
      <c r="N3379" s="4">
        <v>0</v>
      </c>
      <c r="O3379" s="58">
        <v>0</v>
      </c>
      <c r="P3379" s="58">
        <v>0</v>
      </c>
      <c r="Q3379" s="58">
        <v>0</v>
      </c>
      <c r="R3379" s="58">
        <v>0</v>
      </c>
      <c r="S3379" s="58">
        <v>0</v>
      </c>
      <c r="T3379" s="58">
        <v>0</v>
      </c>
      <c r="U3379" s="58">
        <v>0</v>
      </c>
      <c r="V3379" s="58">
        <v>0</v>
      </c>
      <c r="AG3379" t="s">
        <v>3089</v>
      </c>
      <c r="AM3379" s="1" t="str">
        <f t="shared" si="202"/>
        <v>3377_C0008_0829.jpg</v>
      </c>
    </row>
    <row r="3380" spans="1:39" x14ac:dyDescent="0.35">
      <c r="A3380">
        <v>3376</v>
      </c>
      <c r="B3380">
        <v>3377</v>
      </c>
      <c r="F3380" s="64" t="s">
        <v>5890</v>
      </c>
      <c r="G3380" s="64"/>
      <c r="H3380" s="64"/>
      <c r="I3380" s="64">
        <v>0</v>
      </c>
      <c r="N3380" s="4">
        <v>0</v>
      </c>
      <c r="O3380" s="58">
        <v>0</v>
      </c>
      <c r="P3380" s="58">
        <v>0</v>
      </c>
      <c r="Q3380" s="58">
        <v>0</v>
      </c>
      <c r="R3380" s="58">
        <v>0</v>
      </c>
      <c r="S3380" s="58">
        <v>0</v>
      </c>
      <c r="T3380" s="58">
        <v>0</v>
      </c>
      <c r="U3380" s="58">
        <v>0</v>
      </c>
      <c r="V3380" s="58">
        <v>0</v>
      </c>
      <c r="AG3380" t="s">
        <v>3090</v>
      </c>
      <c r="AM3380" s="1" t="str">
        <f t="shared" si="202"/>
        <v>3378_C0008_0825.jpg</v>
      </c>
    </row>
    <row r="3381" spans="1:39" x14ac:dyDescent="0.35">
      <c r="A3381">
        <v>3377</v>
      </c>
      <c r="B3381">
        <v>3378</v>
      </c>
      <c r="F3381" s="64" t="s">
        <v>5891</v>
      </c>
      <c r="G3381" s="64"/>
      <c r="H3381" s="64"/>
      <c r="I3381" s="64">
        <v>0</v>
      </c>
      <c r="N3381" s="4">
        <v>0</v>
      </c>
      <c r="O3381" s="58">
        <v>0</v>
      </c>
      <c r="P3381" s="58">
        <v>0</v>
      </c>
      <c r="Q3381" s="58">
        <v>0</v>
      </c>
      <c r="R3381" s="58">
        <v>0</v>
      </c>
      <c r="S3381" s="58">
        <v>0</v>
      </c>
      <c r="T3381" s="58">
        <v>0</v>
      </c>
      <c r="U3381" s="58">
        <v>0</v>
      </c>
      <c r="V3381" s="58">
        <v>0</v>
      </c>
      <c r="AG3381" t="s">
        <v>3091</v>
      </c>
      <c r="AM3381" s="1" t="str">
        <f t="shared" si="202"/>
        <v>3379_C0008_0821.jpg</v>
      </c>
    </row>
    <row r="3382" spans="1:39" x14ac:dyDescent="0.35">
      <c r="A3382">
        <v>3378</v>
      </c>
      <c r="B3382">
        <v>3379</v>
      </c>
      <c r="F3382" s="64" t="s">
        <v>5892</v>
      </c>
      <c r="G3382" s="64"/>
      <c r="H3382" s="64"/>
      <c r="I3382" s="64">
        <v>0</v>
      </c>
      <c r="N3382" s="4">
        <v>0</v>
      </c>
      <c r="O3382" s="58">
        <v>0</v>
      </c>
      <c r="P3382" s="58">
        <v>0</v>
      </c>
      <c r="Q3382" s="58">
        <v>0</v>
      </c>
      <c r="R3382" s="58">
        <v>0</v>
      </c>
      <c r="S3382" s="58">
        <v>0</v>
      </c>
      <c r="T3382" s="58">
        <v>0</v>
      </c>
      <c r="U3382" s="58">
        <v>0</v>
      </c>
      <c r="V3382" s="58">
        <v>0</v>
      </c>
      <c r="AG3382" t="s">
        <v>3092</v>
      </c>
      <c r="AM3382" s="1" t="str">
        <f t="shared" si="202"/>
        <v>3380_C0008_0818.jpg</v>
      </c>
    </row>
    <row r="3383" spans="1:39" x14ac:dyDescent="0.35">
      <c r="A3383">
        <v>3379</v>
      </c>
      <c r="B3383">
        <v>3380</v>
      </c>
      <c r="F3383" s="64" t="s">
        <v>5893</v>
      </c>
      <c r="G3383" s="64"/>
      <c r="H3383" s="64"/>
      <c r="I3383" s="64">
        <v>0</v>
      </c>
      <c r="N3383" s="4">
        <v>0</v>
      </c>
      <c r="O3383" s="58">
        <v>0</v>
      </c>
      <c r="P3383" s="58">
        <v>0</v>
      </c>
      <c r="Q3383" s="58">
        <v>0</v>
      </c>
      <c r="R3383" s="58">
        <v>0</v>
      </c>
      <c r="S3383" s="58">
        <v>0</v>
      </c>
      <c r="T3383" s="58">
        <v>0</v>
      </c>
      <c r="U3383" s="58">
        <v>0</v>
      </c>
      <c r="V3383" s="58">
        <v>0</v>
      </c>
      <c r="AG3383" t="s">
        <v>3093</v>
      </c>
      <c r="AM3383" s="1" t="str">
        <f t="shared" si="202"/>
        <v>3381_C0008_0815.jpg</v>
      </c>
    </row>
    <row r="3384" spans="1:39" x14ac:dyDescent="0.35">
      <c r="A3384">
        <v>3380</v>
      </c>
      <c r="B3384">
        <v>3381</v>
      </c>
      <c r="F3384" s="64" t="s">
        <v>5894</v>
      </c>
      <c r="G3384" s="64"/>
      <c r="H3384" s="64"/>
      <c r="I3384" s="64">
        <v>0</v>
      </c>
      <c r="N3384" s="4">
        <v>0</v>
      </c>
      <c r="O3384" s="58">
        <v>0</v>
      </c>
      <c r="P3384" s="58">
        <v>0</v>
      </c>
      <c r="Q3384" s="58">
        <v>0</v>
      </c>
      <c r="R3384" s="58">
        <v>0</v>
      </c>
      <c r="S3384" s="58">
        <v>0</v>
      </c>
      <c r="T3384" s="58">
        <v>0</v>
      </c>
      <c r="U3384" s="58">
        <v>0</v>
      </c>
      <c r="V3384" s="58">
        <v>0</v>
      </c>
      <c r="AG3384" t="s">
        <v>3094</v>
      </c>
      <c r="AM3384" s="1" t="str">
        <f t="shared" si="202"/>
        <v>3382_C0008_0811.jpg</v>
      </c>
    </row>
    <row r="3385" spans="1:39" x14ac:dyDescent="0.35">
      <c r="A3385">
        <v>3381</v>
      </c>
      <c r="B3385">
        <v>3382</v>
      </c>
      <c r="F3385" s="64" t="s">
        <v>5895</v>
      </c>
      <c r="G3385" s="64"/>
      <c r="H3385" s="64"/>
      <c r="I3385" s="64">
        <v>0</v>
      </c>
      <c r="N3385" s="4">
        <v>0</v>
      </c>
      <c r="O3385" s="58">
        <v>0</v>
      </c>
      <c r="P3385" s="58">
        <v>0</v>
      </c>
      <c r="Q3385" s="58">
        <v>0</v>
      </c>
      <c r="R3385" s="58">
        <v>0</v>
      </c>
      <c r="S3385" s="58">
        <v>0</v>
      </c>
      <c r="T3385" s="58">
        <v>0</v>
      </c>
      <c r="U3385" s="58">
        <v>0</v>
      </c>
      <c r="V3385" s="58">
        <v>0</v>
      </c>
      <c r="AG3385" t="s">
        <v>3095</v>
      </c>
      <c r="AM3385" s="1" t="str">
        <f t="shared" si="202"/>
        <v>3383_C0008_0809.jpg</v>
      </c>
    </row>
    <row r="3386" spans="1:39" x14ac:dyDescent="0.35">
      <c r="A3386">
        <v>3382</v>
      </c>
      <c r="B3386">
        <v>3383</v>
      </c>
      <c r="F3386" s="64" t="s">
        <v>5896</v>
      </c>
      <c r="G3386" s="64"/>
      <c r="H3386" s="64"/>
      <c r="I3386" s="64">
        <v>0</v>
      </c>
      <c r="N3386" s="4">
        <v>0</v>
      </c>
      <c r="O3386" s="58">
        <v>0</v>
      </c>
      <c r="P3386" s="58">
        <v>0</v>
      </c>
      <c r="Q3386" s="58">
        <v>0</v>
      </c>
      <c r="R3386" s="58">
        <v>0</v>
      </c>
      <c r="S3386" s="58">
        <v>0</v>
      </c>
      <c r="T3386" s="58">
        <v>0</v>
      </c>
      <c r="U3386" s="58">
        <v>0</v>
      </c>
      <c r="V3386" s="58">
        <v>0</v>
      </c>
      <c r="AG3386" t="s">
        <v>3096</v>
      </c>
      <c r="AM3386" s="1" t="str">
        <f t="shared" si="202"/>
        <v>3384_C0008_0805.jpg</v>
      </c>
    </row>
    <row r="3387" spans="1:39" x14ac:dyDescent="0.35">
      <c r="A3387">
        <v>3383</v>
      </c>
      <c r="B3387">
        <v>3384</v>
      </c>
      <c r="F3387" s="64" t="s">
        <v>5897</v>
      </c>
      <c r="G3387" s="64"/>
      <c r="H3387" s="64"/>
      <c r="I3387" s="64">
        <v>0</v>
      </c>
      <c r="N3387" s="4">
        <v>0</v>
      </c>
      <c r="O3387" s="58">
        <v>0</v>
      </c>
      <c r="P3387" s="58">
        <v>0</v>
      </c>
      <c r="Q3387" s="58">
        <v>0</v>
      </c>
      <c r="R3387" s="58">
        <v>0</v>
      </c>
      <c r="S3387" s="58">
        <v>0</v>
      </c>
      <c r="T3387" s="58">
        <v>0</v>
      </c>
      <c r="U3387" s="58">
        <v>0</v>
      </c>
      <c r="V3387" s="58">
        <v>0</v>
      </c>
      <c r="AG3387" t="s">
        <v>3097</v>
      </c>
      <c r="AM3387" s="1" t="str">
        <f t="shared" si="202"/>
        <v>3385_C0008_0801.jpg</v>
      </c>
    </row>
    <row r="3388" spans="1:39" x14ac:dyDescent="0.35">
      <c r="A3388">
        <v>3384</v>
      </c>
      <c r="B3388">
        <v>3385</v>
      </c>
      <c r="F3388" s="64" t="s">
        <v>5898</v>
      </c>
      <c r="G3388" s="64"/>
      <c r="H3388" s="64"/>
      <c r="I3388" s="64">
        <v>0</v>
      </c>
      <c r="N3388" s="4">
        <v>0</v>
      </c>
      <c r="O3388" s="58">
        <v>0</v>
      </c>
      <c r="P3388" s="58">
        <v>0</v>
      </c>
      <c r="Q3388" s="58">
        <v>0</v>
      </c>
      <c r="R3388" s="58">
        <v>0</v>
      </c>
      <c r="S3388" s="58">
        <v>0</v>
      </c>
      <c r="T3388" s="58">
        <v>0</v>
      </c>
      <c r="U3388" s="58">
        <v>0</v>
      </c>
      <c r="V3388" s="58">
        <v>0</v>
      </c>
      <c r="AG3388" t="s">
        <v>3098</v>
      </c>
      <c r="AM3388" s="1" t="str">
        <f t="shared" si="202"/>
        <v>3386_C0008_0797.jpg</v>
      </c>
    </row>
    <row r="3389" spans="1:39" x14ac:dyDescent="0.35">
      <c r="A3389">
        <v>3385</v>
      </c>
      <c r="B3389">
        <v>3386</v>
      </c>
      <c r="F3389" s="64" t="s">
        <v>5899</v>
      </c>
      <c r="G3389" s="64"/>
      <c r="H3389" s="64"/>
      <c r="I3389" s="64">
        <v>0</v>
      </c>
      <c r="N3389" s="4">
        <v>0</v>
      </c>
      <c r="O3389" s="58">
        <v>0</v>
      </c>
      <c r="P3389" s="58">
        <v>0</v>
      </c>
      <c r="Q3389" s="58">
        <v>0</v>
      </c>
      <c r="R3389" s="58">
        <v>0</v>
      </c>
      <c r="S3389" s="58">
        <v>0</v>
      </c>
      <c r="T3389" s="58">
        <v>0</v>
      </c>
      <c r="U3389" s="58">
        <v>0</v>
      </c>
      <c r="V3389" s="58">
        <v>0</v>
      </c>
      <c r="AG3389" t="s">
        <v>3099</v>
      </c>
      <c r="AM3389" s="1" t="str">
        <f t="shared" si="202"/>
        <v>3387_C0008_0794.jpg</v>
      </c>
    </row>
    <row r="3390" spans="1:39" x14ac:dyDescent="0.35">
      <c r="A3390">
        <v>3386</v>
      </c>
      <c r="B3390">
        <v>3387</v>
      </c>
      <c r="F3390" s="64" t="s">
        <v>5900</v>
      </c>
      <c r="G3390" s="64"/>
      <c r="H3390" s="64"/>
      <c r="I3390" s="64">
        <v>0</v>
      </c>
      <c r="N3390" s="4">
        <v>0</v>
      </c>
      <c r="O3390" s="58">
        <v>0</v>
      </c>
      <c r="P3390" s="58">
        <v>0</v>
      </c>
      <c r="Q3390" s="58">
        <v>0</v>
      </c>
      <c r="R3390" s="58">
        <v>0</v>
      </c>
      <c r="S3390" s="58">
        <v>0</v>
      </c>
      <c r="T3390" s="58">
        <v>0</v>
      </c>
      <c r="U3390" s="58">
        <v>0</v>
      </c>
      <c r="V3390" s="58">
        <v>0</v>
      </c>
      <c r="AG3390" t="s">
        <v>3100</v>
      </c>
      <c r="AM3390" s="1" t="str">
        <f t="shared" si="202"/>
        <v>3388_C0008_0789.jpg</v>
      </c>
    </row>
    <row r="3391" spans="1:39" x14ac:dyDescent="0.35">
      <c r="A3391">
        <v>3387</v>
      </c>
      <c r="B3391">
        <v>3388</v>
      </c>
      <c r="F3391" s="64" t="s">
        <v>5901</v>
      </c>
      <c r="G3391" s="64"/>
      <c r="H3391" s="64"/>
      <c r="I3391" s="64">
        <v>0</v>
      </c>
      <c r="N3391" s="4">
        <v>0</v>
      </c>
      <c r="O3391" s="58">
        <v>0</v>
      </c>
      <c r="P3391" s="58">
        <v>0</v>
      </c>
      <c r="Q3391" s="58">
        <v>0</v>
      </c>
      <c r="R3391" s="58">
        <v>0</v>
      </c>
      <c r="S3391" s="58">
        <v>0</v>
      </c>
      <c r="T3391" s="58">
        <v>0</v>
      </c>
      <c r="U3391" s="58">
        <v>0</v>
      </c>
      <c r="V3391" s="58">
        <v>0</v>
      </c>
      <c r="AG3391" t="s">
        <v>3101</v>
      </c>
      <c r="AM3391" s="1" t="str">
        <f t="shared" si="202"/>
        <v>3389_C0008_0785.jpg</v>
      </c>
    </row>
    <row r="3392" spans="1:39" x14ac:dyDescent="0.35">
      <c r="A3392">
        <v>3388</v>
      </c>
      <c r="B3392">
        <v>3389</v>
      </c>
      <c r="F3392" s="64" t="s">
        <v>5902</v>
      </c>
      <c r="G3392" s="64"/>
      <c r="H3392" s="64"/>
      <c r="I3392" s="64">
        <v>0</v>
      </c>
      <c r="N3392" s="4">
        <v>0</v>
      </c>
      <c r="O3392" s="58">
        <v>0</v>
      </c>
      <c r="P3392" s="58">
        <v>0</v>
      </c>
      <c r="Q3392" s="58">
        <v>0</v>
      </c>
      <c r="R3392" s="58">
        <v>0</v>
      </c>
      <c r="S3392" s="58">
        <v>0</v>
      </c>
      <c r="T3392" s="58">
        <v>0</v>
      </c>
      <c r="U3392" s="58">
        <v>0</v>
      </c>
      <c r="V3392" s="58">
        <v>0</v>
      </c>
      <c r="AG3392" t="s">
        <v>3102</v>
      </c>
      <c r="AM3392" s="1" t="str">
        <f t="shared" si="202"/>
        <v>3390_C0008_0781.jpg</v>
      </c>
    </row>
    <row r="3393" spans="1:39" x14ac:dyDescent="0.35">
      <c r="A3393">
        <v>3389</v>
      </c>
      <c r="B3393">
        <v>3390</v>
      </c>
      <c r="F3393" s="64" t="s">
        <v>5903</v>
      </c>
      <c r="G3393" s="64"/>
      <c r="H3393" s="64"/>
      <c r="I3393" s="64">
        <v>0</v>
      </c>
      <c r="N3393" s="4">
        <v>0</v>
      </c>
      <c r="O3393" s="58">
        <v>0</v>
      </c>
      <c r="P3393" s="58">
        <v>0</v>
      </c>
      <c r="Q3393" s="58">
        <v>0</v>
      </c>
      <c r="R3393" s="58">
        <v>0</v>
      </c>
      <c r="S3393" s="58">
        <v>0</v>
      </c>
      <c r="T3393" s="58">
        <v>0</v>
      </c>
      <c r="U3393" s="58">
        <v>0</v>
      </c>
      <c r="V3393" s="58">
        <v>0</v>
      </c>
      <c r="AG3393" t="s">
        <v>3103</v>
      </c>
      <c r="AM3393" s="1" t="str">
        <f t="shared" si="202"/>
        <v>3391_C0008_0778.jpg</v>
      </c>
    </row>
    <row r="3394" spans="1:39" x14ac:dyDescent="0.35">
      <c r="A3394">
        <v>3390</v>
      </c>
      <c r="B3394">
        <v>3391</v>
      </c>
      <c r="F3394" s="64" t="s">
        <v>5904</v>
      </c>
      <c r="G3394" s="64"/>
      <c r="H3394" s="64"/>
      <c r="I3394" s="64">
        <v>0</v>
      </c>
      <c r="N3394" s="4">
        <v>0</v>
      </c>
      <c r="O3394" s="58">
        <v>0</v>
      </c>
      <c r="P3394" s="58">
        <v>0</v>
      </c>
      <c r="Q3394" s="58">
        <v>0</v>
      </c>
      <c r="R3394" s="58">
        <v>0</v>
      </c>
      <c r="S3394" s="58">
        <v>0</v>
      </c>
      <c r="T3394" s="58">
        <v>0</v>
      </c>
      <c r="U3394" s="58">
        <v>0</v>
      </c>
      <c r="V3394" s="58">
        <v>0</v>
      </c>
      <c r="AG3394" t="s">
        <v>3104</v>
      </c>
      <c r="AM3394" s="1" t="str">
        <f t="shared" si="202"/>
        <v>3392_C0008_0774.jpg</v>
      </c>
    </row>
    <row r="3395" spans="1:39" x14ac:dyDescent="0.35">
      <c r="A3395">
        <v>3391</v>
      </c>
      <c r="B3395">
        <v>3392</v>
      </c>
      <c r="F3395" s="64" t="s">
        <v>5905</v>
      </c>
      <c r="G3395" s="64"/>
      <c r="H3395" s="64"/>
      <c r="I3395" s="64">
        <v>0</v>
      </c>
      <c r="N3395" s="4">
        <v>0</v>
      </c>
      <c r="O3395" s="58">
        <v>0</v>
      </c>
      <c r="P3395" s="58">
        <v>0</v>
      </c>
      <c r="Q3395" s="58">
        <v>0</v>
      </c>
      <c r="R3395" s="58">
        <v>0</v>
      </c>
      <c r="S3395" s="58">
        <v>0</v>
      </c>
      <c r="T3395" s="58">
        <v>0</v>
      </c>
      <c r="U3395" s="58">
        <v>0</v>
      </c>
      <c r="V3395" s="58">
        <v>0</v>
      </c>
      <c r="AG3395" t="s">
        <v>3105</v>
      </c>
      <c r="AM3395" s="1" t="str">
        <f t="shared" si="202"/>
        <v>3393_C0008_0771.jpg</v>
      </c>
    </row>
    <row r="3396" spans="1:39" x14ac:dyDescent="0.35">
      <c r="A3396">
        <v>3392</v>
      </c>
      <c r="B3396">
        <v>3393</v>
      </c>
      <c r="F3396" s="64" t="s">
        <v>5906</v>
      </c>
      <c r="G3396" s="64"/>
      <c r="H3396" s="64"/>
      <c r="I3396" s="64">
        <v>0</v>
      </c>
      <c r="N3396" s="4">
        <v>0</v>
      </c>
      <c r="O3396" s="58">
        <v>0</v>
      </c>
      <c r="P3396" s="58">
        <v>0</v>
      </c>
      <c r="Q3396" s="58">
        <v>0</v>
      </c>
      <c r="R3396" s="58">
        <v>0</v>
      </c>
      <c r="S3396" s="58">
        <v>0</v>
      </c>
      <c r="T3396" s="58">
        <v>0</v>
      </c>
      <c r="U3396" s="58">
        <v>0</v>
      </c>
      <c r="V3396" s="58">
        <v>0</v>
      </c>
      <c r="AG3396" t="s">
        <v>3106</v>
      </c>
      <c r="AM3396" s="1" t="str">
        <f t="shared" si="202"/>
        <v>3394_C0008_0767.jpg</v>
      </c>
    </row>
    <row r="3397" spans="1:39" x14ac:dyDescent="0.35">
      <c r="A3397">
        <v>3393</v>
      </c>
      <c r="B3397">
        <v>3394</v>
      </c>
      <c r="F3397" s="64" t="s">
        <v>5907</v>
      </c>
      <c r="G3397" s="64"/>
      <c r="H3397" s="64"/>
      <c r="I3397" s="64">
        <v>0</v>
      </c>
      <c r="N3397" s="4">
        <v>0</v>
      </c>
      <c r="O3397" s="58">
        <v>0</v>
      </c>
      <c r="P3397" s="58">
        <v>0</v>
      </c>
      <c r="Q3397" s="58">
        <v>0</v>
      </c>
      <c r="R3397" s="58">
        <v>0</v>
      </c>
      <c r="S3397" s="58">
        <v>0</v>
      </c>
      <c r="T3397" s="58">
        <v>0</v>
      </c>
      <c r="U3397" s="58">
        <v>0</v>
      </c>
      <c r="V3397" s="58">
        <v>0</v>
      </c>
      <c r="AG3397" t="s">
        <v>3107</v>
      </c>
      <c r="AM3397" s="1" t="str">
        <f t="shared" si="202"/>
        <v>3395_C0008_0764.jpg</v>
      </c>
    </row>
    <row r="3398" spans="1:39" x14ac:dyDescent="0.35">
      <c r="A3398">
        <v>3394</v>
      </c>
      <c r="B3398">
        <v>3395</v>
      </c>
      <c r="F3398" s="64" t="s">
        <v>5908</v>
      </c>
      <c r="G3398" s="64"/>
      <c r="H3398" s="64"/>
      <c r="I3398" s="64">
        <v>0</v>
      </c>
      <c r="N3398" s="4">
        <v>0</v>
      </c>
      <c r="O3398" s="58">
        <v>0</v>
      </c>
      <c r="P3398" s="58">
        <v>0</v>
      </c>
      <c r="Q3398" s="58">
        <v>0</v>
      </c>
      <c r="R3398" s="58">
        <v>0</v>
      </c>
      <c r="S3398" s="58">
        <v>0</v>
      </c>
      <c r="T3398" s="58">
        <v>0</v>
      </c>
      <c r="U3398" s="58">
        <v>0</v>
      </c>
      <c r="V3398" s="58">
        <v>0</v>
      </c>
      <c r="AG3398" t="s">
        <v>3108</v>
      </c>
      <c r="AM3398" s="1" t="str">
        <f t="shared" si="202"/>
        <v>3396_C0008_0761.jpg</v>
      </c>
    </row>
    <row r="3399" spans="1:39" x14ac:dyDescent="0.35">
      <c r="A3399">
        <v>3395</v>
      </c>
      <c r="B3399">
        <v>3396</v>
      </c>
      <c r="F3399" s="64" t="s">
        <v>5909</v>
      </c>
      <c r="G3399" s="64"/>
      <c r="H3399" s="64"/>
      <c r="I3399" s="64">
        <v>0</v>
      </c>
      <c r="N3399" s="4">
        <v>0</v>
      </c>
      <c r="O3399" s="58">
        <v>0</v>
      </c>
      <c r="P3399" s="58">
        <v>0</v>
      </c>
      <c r="Q3399" s="58">
        <v>0</v>
      </c>
      <c r="R3399" s="58">
        <v>0</v>
      </c>
      <c r="S3399" s="58">
        <v>0</v>
      </c>
      <c r="T3399" s="58">
        <v>0</v>
      </c>
      <c r="U3399" s="58">
        <v>0</v>
      </c>
      <c r="V3399" s="58">
        <v>0</v>
      </c>
      <c r="AG3399" t="s">
        <v>3109</v>
      </c>
      <c r="AM3399" s="1" t="str">
        <f t="shared" si="202"/>
        <v>3397_C0008_0756.jpg</v>
      </c>
    </row>
    <row r="3400" spans="1:39" x14ac:dyDescent="0.35">
      <c r="A3400">
        <v>3396</v>
      </c>
      <c r="B3400">
        <v>3397</v>
      </c>
      <c r="F3400" s="64" t="s">
        <v>5910</v>
      </c>
      <c r="G3400" s="64"/>
      <c r="H3400" s="64"/>
      <c r="I3400" s="64">
        <v>0</v>
      </c>
      <c r="N3400" s="4">
        <v>0</v>
      </c>
      <c r="O3400" s="58">
        <v>0</v>
      </c>
      <c r="P3400" s="58">
        <v>0</v>
      </c>
      <c r="Q3400" s="58">
        <v>0</v>
      </c>
      <c r="R3400" s="58">
        <v>0</v>
      </c>
      <c r="S3400" s="58">
        <v>0</v>
      </c>
      <c r="T3400" s="58">
        <v>0</v>
      </c>
      <c r="U3400" s="58">
        <v>0</v>
      </c>
      <c r="V3400" s="58">
        <v>0</v>
      </c>
      <c r="AG3400" t="s">
        <v>3110</v>
      </c>
      <c r="AM3400" s="1" t="str">
        <f t="shared" si="202"/>
        <v>3398_C0008_0753.jpg</v>
      </c>
    </row>
    <row r="3401" spans="1:39" x14ac:dyDescent="0.35">
      <c r="A3401">
        <v>3397</v>
      </c>
      <c r="B3401">
        <v>3398</v>
      </c>
      <c r="F3401" s="64" t="s">
        <v>5911</v>
      </c>
      <c r="G3401" s="64"/>
      <c r="H3401" s="64"/>
      <c r="I3401" s="64">
        <v>0</v>
      </c>
      <c r="N3401" s="4">
        <v>0</v>
      </c>
      <c r="O3401" s="58">
        <v>0</v>
      </c>
      <c r="P3401" s="58">
        <v>0</v>
      </c>
      <c r="Q3401" s="58">
        <v>0</v>
      </c>
      <c r="R3401" s="58">
        <v>0</v>
      </c>
      <c r="S3401" s="58">
        <v>0</v>
      </c>
      <c r="T3401" s="58">
        <v>0</v>
      </c>
      <c r="U3401" s="58">
        <v>0</v>
      </c>
      <c r="V3401" s="58">
        <v>0</v>
      </c>
      <c r="AG3401" t="s">
        <v>3111</v>
      </c>
      <c r="AM3401" s="1" t="str">
        <f t="shared" si="202"/>
        <v>3399_C0008_0750.jpg</v>
      </c>
    </row>
    <row r="3402" spans="1:39" x14ac:dyDescent="0.35">
      <c r="A3402">
        <v>3398</v>
      </c>
      <c r="B3402">
        <v>3399</v>
      </c>
      <c r="F3402" s="64" t="s">
        <v>5912</v>
      </c>
      <c r="G3402" s="64"/>
      <c r="H3402" s="64"/>
      <c r="I3402" s="64">
        <v>0</v>
      </c>
      <c r="N3402" s="4">
        <v>0</v>
      </c>
      <c r="O3402" s="58">
        <v>0</v>
      </c>
      <c r="P3402" s="58">
        <v>0</v>
      </c>
      <c r="Q3402" s="58">
        <v>0</v>
      </c>
      <c r="R3402" s="58">
        <v>0</v>
      </c>
      <c r="S3402" s="58">
        <v>0</v>
      </c>
      <c r="T3402" s="58">
        <v>0</v>
      </c>
      <c r="U3402" s="58">
        <v>0</v>
      </c>
      <c r="V3402" s="58">
        <v>0</v>
      </c>
      <c r="AG3402" t="s">
        <v>3112</v>
      </c>
      <c r="AM3402" s="1" t="str">
        <f t="shared" si="202"/>
        <v>3400_C0008_0746.jpg</v>
      </c>
    </row>
    <row r="3403" spans="1:39" x14ac:dyDescent="0.35">
      <c r="A3403">
        <v>3399</v>
      </c>
      <c r="B3403">
        <v>3400</v>
      </c>
      <c r="F3403" s="64" t="s">
        <v>5913</v>
      </c>
      <c r="G3403" s="64"/>
      <c r="H3403" s="64"/>
      <c r="I3403" s="64">
        <v>0</v>
      </c>
      <c r="N3403" s="4">
        <v>0</v>
      </c>
      <c r="O3403" s="58">
        <v>0</v>
      </c>
      <c r="P3403" s="58">
        <v>0</v>
      </c>
      <c r="Q3403" s="58">
        <v>0</v>
      </c>
      <c r="R3403" s="58">
        <v>0</v>
      </c>
      <c r="S3403" s="58">
        <v>0</v>
      </c>
      <c r="T3403" s="58">
        <v>0</v>
      </c>
      <c r="U3403" s="58">
        <v>0</v>
      </c>
      <c r="V3403" s="58">
        <v>0</v>
      </c>
      <c r="AG3403" t="s">
        <v>3113</v>
      </c>
      <c r="AM3403" s="1" t="str">
        <f t="shared" si="202"/>
        <v>3401_C0008_0741.jpg</v>
      </c>
    </row>
    <row r="3404" spans="1:39" x14ac:dyDescent="0.35">
      <c r="A3404">
        <v>3400</v>
      </c>
      <c r="B3404">
        <v>3401</v>
      </c>
      <c r="F3404" s="64" t="s">
        <v>5914</v>
      </c>
      <c r="G3404" s="64"/>
      <c r="H3404" s="64"/>
      <c r="I3404" s="64">
        <v>0</v>
      </c>
      <c r="N3404" s="4">
        <v>0</v>
      </c>
      <c r="O3404" s="58">
        <v>0</v>
      </c>
      <c r="P3404" s="58">
        <v>0</v>
      </c>
      <c r="Q3404" s="58">
        <v>0</v>
      </c>
      <c r="R3404" s="58">
        <v>0</v>
      </c>
      <c r="S3404" s="58">
        <v>0</v>
      </c>
      <c r="T3404" s="58">
        <v>0</v>
      </c>
      <c r="U3404" s="58">
        <v>0</v>
      </c>
      <c r="V3404" s="58">
        <v>0</v>
      </c>
      <c r="AG3404" t="s">
        <v>3114</v>
      </c>
      <c r="AM3404" s="1" t="str">
        <f t="shared" si="202"/>
        <v>3402_C0008_0738.jpg</v>
      </c>
    </row>
    <row r="3405" spans="1:39" x14ac:dyDescent="0.35">
      <c r="A3405">
        <v>3401</v>
      </c>
      <c r="B3405">
        <v>3402</v>
      </c>
      <c r="F3405" s="64" t="s">
        <v>5915</v>
      </c>
      <c r="G3405" s="64"/>
      <c r="H3405" s="64"/>
      <c r="I3405" s="64">
        <v>0</v>
      </c>
      <c r="N3405" s="4">
        <v>0</v>
      </c>
      <c r="O3405" s="58">
        <v>0</v>
      </c>
      <c r="P3405" s="58">
        <v>0</v>
      </c>
      <c r="Q3405" s="58">
        <v>0</v>
      </c>
      <c r="R3405" s="58">
        <v>0</v>
      </c>
      <c r="S3405" s="58">
        <v>0</v>
      </c>
      <c r="T3405" s="58">
        <v>0</v>
      </c>
      <c r="U3405" s="58">
        <v>0</v>
      </c>
      <c r="V3405" s="58">
        <v>0</v>
      </c>
      <c r="AG3405" t="s">
        <v>3115</v>
      </c>
      <c r="AM3405" s="1" t="str">
        <f t="shared" si="202"/>
        <v>3403_C0008_0734.jpg</v>
      </c>
    </row>
    <row r="3406" spans="1:39" x14ac:dyDescent="0.35">
      <c r="A3406">
        <v>3402</v>
      </c>
      <c r="B3406">
        <v>3403</v>
      </c>
      <c r="F3406" s="64" t="s">
        <v>5916</v>
      </c>
      <c r="G3406" s="64"/>
      <c r="H3406" s="64"/>
      <c r="I3406" s="64">
        <v>0</v>
      </c>
      <c r="N3406" s="4">
        <v>0</v>
      </c>
      <c r="O3406" s="58">
        <v>0</v>
      </c>
      <c r="P3406" s="58">
        <v>0</v>
      </c>
      <c r="Q3406" s="58">
        <v>0</v>
      </c>
      <c r="R3406" s="58">
        <v>0</v>
      </c>
      <c r="S3406" s="58">
        <v>0</v>
      </c>
      <c r="T3406" s="58">
        <v>0</v>
      </c>
      <c r="U3406" s="58">
        <v>0</v>
      </c>
      <c r="V3406" s="58">
        <v>0</v>
      </c>
      <c r="AG3406" t="s">
        <v>3116</v>
      </c>
      <c r="AM3406" s="1" t="str">
        <f t="shared" si="202"/>
        <v>3404_C0008_0730.jpg</v>
      </c>
    </row>
    <row r="3407" spans="1:39" x14ac:dyDescent="0.35">
      <c r="A3407">
        <v>3403</v>
      </c>
      <c r="B3407">
        <v>3404</v>
      </c>
      <c r="F3407" s="64" t="s">
        <v>5917</v>
      </c>
      <c r="G3407" s="64"/>
      <c r="H3407" s="64"/>
      <c r="I3407" s="64">
        <v>0</v>
      </c>
      <c r="N3407" s="4">
        <v>0</v>
      </c>
      <c r="O3407" s="58">
        <v>0</v>
      </c>
      <c r="P3407" s="58">
        <v>0</v>
      </c>
      <c r="Q3407" s="58">
        <v>0</v>
      </c>
      <c r="R3407" s="58">
        <v>0</v>
      </c>
      <c r="S3407" s="58">
        <v>0</v>
      </c>
      <c r="T3407" s="58">
        <v>0</v>
      </c>
      <c r="U3407" s="58">
        <v>0</v>
      </c>
      <c r="V3407" s="58">
        <v>0</v>
      </c>
      <c r="AG3407" t="s">
        <v>3117</v>
      </c>
      <c r="AM3407" s="1" t="str">
        <f t="shared" si="202"/>
        <v>3405_C0008_0728.jpg</v>
      </c>
    </row>
    <row r="3408" spans="1:39" x14ac:dyDescent="0.35">
      <c r="A3408">
        <v>3404</v>
      </c>
      <c r="B3408">
        <v>3405</v>
      </c>
      <c r="F3408" s="64" t="s">
        <v>5918</v>
      </c>
      <c r="G3408" s="64"/>
      <c r="H3408" s="64"/>
      <c r="I3408" s="64">
        <v>0</v>
      </c>
      <c r="N3408" s="4">
        <v>0</v>
      </c>
      <c r="O3408" s="58">
        <v>0</v>
      </c>
      <c r="P3408" s="58">
        <v>0</v>
      </c>
      <c r="Q3408" s="58">
        <v>0</v>
      </c>
      <c r="R3408" s="58">
        <v>0</v>
      </c>
      <c r="S3408" s="58">
        <v>0</v>
      </c>
      <c r="T3408" s="58">
        <v>0</v>
      </c>
      <c r="U3408" s="58">
        <v>0</v>
      </c>
      <c r="V3408" s="58">
        <v>0</v>
      </c>
      <c r="AG3408" t="s">
        <v>3118</v>
      </c>
      <c r="AM3408" s="1" t="str">
        <f t="shared" si="202"/>
        <v>3406_C0008_0723.jpg</v>
      </c>
    </row>
    <row r="3409" spans="1:39" x14ac:dyDescent="0.35">
      <c r="A3409">
        <v>3405</v>
      </c>
      <c r="B3409">
        <v>3406</v>
      </c>
      <c r="F3409" s="64" t="s">
        <v>5919</v>
      </c>
      <c r="G3409" s="64"/>
      <c r="H3409" s="64"/>
      <c r="I3409" s="64">
        <v>0</v>
      </c>
      <c r="N3409" s="4">
        <v>0</v>
      </c>
      <c r="O3409" s="58">
        <v>0</v>
      </c>
      <c r="P3409" s="58">
        <v>0</v>
      </c>
      <c r="Q3409" s="58">
        <v>0</v>
      </c>
      <c r="R3409" s="58">
        <v>0</v>
      </c>
      <c r="S3409" s="58">
        <v>0</v>
      </c>
      <c r="T3409" s="58">
        <v>0</v>
      </c>
      <c r="U3409" s="58">
        <v>0</v>
      </c>
      <c r="V3409" s="58">
        <v>0</v>
      </c>
      <c r="AG3409" t="s">
        <v>3119</v>
      </c>
      <c r="AM3409" s="1" t="str">
        <f t="shared" si="202"/>
        <v>3407_C0008_0721.jpg</v>
      </c>
    </row>
    <row r="3410" spans="1:39" x14ac:dyDescent="0.35">
      <c r="A3410">
        <v>3406</v>
      </c>
      <c r="B3410">
        <v>3407</v>
      </c>
      <c r="F3410" s="64" t="s">
        <v>5920</v>
      </c>
      <c r="G3410" s="64"/>
      <c r="H3410" s="64"/>
      <c r="I3410" s="64">
        <v>0</v>
      </c>
      <c r="N3410" s="4">
        <v>0</v>
      </c>
      <c r="O3410" s="58">
        <v>0</v>
      </c>
      <c r="P3410" s="58">
        <v>0</v>
      </c>
      <c r="Q3410" s="58">
        <v>0</v>
      </c>
      <c r="R3410" s="58">
        <v>0</v>
      </c>
      <c r="S3410" s="58">
        <v>0</v>
      </c>
      <c r="T3410" s="58">
        <v>0</v>
      </c>
      <c r="U3410" s="58">
        <v>0</v>
      </c>
      <c r="V3410" s="58">
        <v>0</v>
      </c>
      <c r="AG3410" t="s">
        <v>3120</v>
      </c>
      <c r="AM3410" s="1" t="str">
        <f t="shared" si="202"/>
        <v>3408_C0008_0717.jpg</v>
      </c>
    </row>
    <row r="3411" spans="1:39" x14ac:dyDescent="0.35">
      <c r="A3411">
        <v>3407</v>
      </c>
      <c r="B3411">
        <v>3408</v>
      </c>
      <c r="F3411" s="64" t="s">
        <v>5921</v>
      </c>
      <c r="G3411" s="64"/>
      <c r="H3411" s="64"/>
      <c r="I3411" s="64">
        <v>0</v>
      </c>
      <c r="N3411" s="4">
        <v>0</v>
      </c>
      <c r="O3411" s="58">
        <v>0</v>
      </c>
      <c r="P3411" s="58">
        <v>0</v>
      </c>
      <c r="Q3411" s="58">
        <v>0</v>
      </c>
      <c r="R3411" s="58">
        <v>0</v>
      </c>
      <c r="S3411" s="58">
        <v>0</v>
      </c>
      <c r="T3411" s="58">
        <v>0</v>
      </c>
      <c r="U3411" s="58">
        <v>0</v>
      </c>
      <c r="V3411" s="58">
        <v>0</v>
      </c>
      <c r="AG3411" t="s">
        <v>3121</v>
      </c>
      <c r="AM3411" s="1" t="str">
        <f t="shared" si="202"/>
        <v>3409_C0008_0713.jpg</v>
      </c>
    </row>
    <row r="3412" spans="1:39" x14ac:dyDescent="0.35">
      <c r="A3412">
        <v>3408</v>
      </c>
      <c r="B3412">
        <v>3409</v>
      </c>
      <c r="F3412" s="64" t="s">
        <v>5922</v>
      </c>
      <c r="G3412" s="64"/>
      <c r="H3412" s="64"/>
      <c r="I3412" s="64">
        <v>0</v>
      </c>
      <c r="N3412" s="4">
        <v>0</v>
      </c>
      <c r="O3412" s="58">
        <v>0</v>
      </c>
      <c r="P3412" s="58">
        <v>0</v>
      </c>
      <c r="Q3412" s="58">
        <v>0</v>
      </c>
      <c r="R3412" s="58">
        <v>0</v>
      </c>
      <c r="S3412" s="58">
        <v>0</v>
      </c>
      <c r="T3412" s="58">
        <v>0</v>
      </c>
      <c r="U3412" s="58">
        <v>0</v>
      </c>
      <c r="V3412" s="58">
        <v>0</v>
      </c>
      <c r="AG3412" t="s">
        <v>3122</v>
      </c>
      <c r="AM3412" s="1" t="str">
        <f t="shared" si="202"/>
        <v>3410_C0008_0709.jpg</v>
      </c>
    </row>
    <row r="3413" spans="1:39" x14ac:dyDescent="0.35">
      <c r="A3413">
        <v>3409</v>
      </c>
      <c r="B3413">
        <v>3410</v>
      </c>
      <c r="F3413" s="64" t="s">
        <v>5923</v>
      </c>
      <c r="G3413" s="64"/>
      <c r="H3413" s="64"/>
      <c r="I3413" s="64">
        <v>0</v>
      </c>
      <c r="N3413" s="4">
        <v>0</v>
      </c>
      <c r="O3413" s="58">
        <v>0</v>
      </c>
      <c r="P3413" s="58">
        <v>0</v>
      </c>
      <c r="Q3413" s="58">
        <v>0</v>
      </c>
      <c r="R3413" s="58">
        <v>0</v>
      </c>
      <c r="S3413" s="58">
        <v>0</v>
      </c>
      <c r="T3413" s="58">
        <v>0</v>
      </c>
      <c r="U3413" s="58">
        <v>0</v>
      </c>
      <c r="V3413" s="58">
        <v>0</v>
      </c>
      <c r="AG3413" t="s">
        <v>3123</v>
      </c>
      <c r="AM3413" s="1" t="str">
        <f t="shared" si="202"/>
        <v>3411_C0008_0706.jpg</v>
      </c>
    </row>
    <row r="3414" spans="1:39" x14ac:dyDescent="0.35">
      <c r="A3414">
        <v>3410</v>
      </c>
      <c r="B3414">
        <v>3411</v>
      </c>
      <c r="F3414" s="64" t="s">
        <v>5924</v>
      </c>
      <c r="G3414" s="64"/>
      <c r="H3414" s="64"/>
      <c r="I3414" s="64">
        <v>0</v>
      </c>
      <c r="N3414" s="4">
        <v>0</v>
      </c>
      <c r="O3414" s="58">
        <v>0</v>
      </c>
      <c r="P3414" s="58">
        <v>0</v>
      </c>
      <c r="Q3414" s="58">
        <v>0</v>
      </c>
      <c r="R3414" s="58">
        <v>0</v>
      </c>
      <c r="S3414" s="58">
        <v>0</v>
      </c>
      <c r="T3414" s="58">
        <v>0</v>
      </c>
      <c r="U3414" s="58">
        <v>0</v>
      </c>
      <c r="V3414" s="58">
        <v>0</v>
      </c>
      <c r="AG3414" t="s">
        <v>3124</v>
      </c>
      <c r="AM3414" s="1" t="str">
        <f t="shared" si="202"/>
        <v>3412_C0008_0702.jpg</v>
      </c>
    </row>
    <row r="3415" spans="1:39" x14ac:dyDescent="0.35">
      <c r="A3415">
        <v>3411</v>
      </c>
      <c r="B3415">
        <v>3412</v>
      </c>
      <c r="F3415" s="64" t="s">
        <v>5925</v>
      </c>
      <c r="G3415" s="64"/>
      <c r="H3415" s="64"/>
      <c r="I3415" s="64">
        <v>0</v>
      </c>
      <c r="N3415" s="4">
        <v>0</v>
      </c>
      <c r="O3415" s="58">
        <v>0</v>
      </c>
      <c r="P3415" s="58">
        <v>0</v>
      </c>
      <c r="Q3415" s="58">
        <v>0</v>
      </c>
      <c r="R3415" s="58">
        <v>0</v>
      </c>
      <c r="S3415" s="58">
        <v>0</v>
      </c>
      <c r="T3415" s="58">
        <v>0</v>
      </c>
      <c r="U3415" s="58">
        <v>0</v>
      </c>
      <c r="V3415" s="58">
        <v>0</v>
      </c>
      <c r="AG3415" t="s">
        <v>3125</v>
      </c>
      <c r="AM3415" s="1" t="str">
        <f t="shared" si="202"/>
        <v>3413_C0008_0698.jpg</v>
      </c>
    </row>
    <row r="3416" spans="1:39" x14ac:dyDescent="0.35">
      <c r="A3416">
        <v>3412</v>
      </c>
      <c r="B3416">
        <v>3413</v>
      </c>
      <c r="F3416" s="64" t="s">
        <v>5926</v>
      </c>
      <c r="G3416" s="64"/>
      <c r="H3416" s="64"/>
      <c r="I3416" s="64">
        <v>0</v>
      </c>
      <c r="N3416" s="4">
        <v>0</v>
      </c>
      <c r="O3416" s="58">
        <v>0</v>
      </c>
      <c r="P3416" s="58">
        <v>0</v>
      </c>
      <c r="Q3416" s="58">
        <v>0</v>
      </c>
      <c r="R3416" s="58">
        <v>0</v>
      </c>
      <c r="S3416" s="58">
        <v>0</v>
      </c>
      <c r="T3416" s="58">
        <v>0</v>
      </c>
      <c r="U3416" s="58">
        <v>0</v>
      </c>
      <c r="V3416" s="58">
        <v>0</v>
      </c>
      <c r="AG3416" t="s">
        <v>3126</v>
      </c>
      <c r="AM3416" s="1" t="str">
        <f t="shared" si="202"/>
        <v>3414_C0008_0695.jpg</v>
      </c>
    </row>
    <row r="3417" spans="1:39" x14ac:dyDescent="0.35">
      <c r="A3417">
        <v>3413</v>
      </c>
      <c r="B3417">
        <v>3414</v>
      </c>
      <c r="F3417" s="64" t="s">
        <v>5927</v>
      </c>
      <c r="G3417" s="64"/>
      <c r="H3417" s="64"/>
      <c r="I3417" s="64">
        <v>0</v>
      </c>
      <c r="N3417" s="4">
        <v>0</v>
      </c>
      <c r="O3417" s="58">
        <v>0</v>
      </c>
      <c r="P3417" s="58">
        <v>0</v>
      </c>
      <c r="Q3417" s="58">
        <v>0</v>
      </c>
      <c r="R3417" s="58">
        <v>0</v>
      </c>
      <c r="S3417" s="58">
        <v>0</v>
      </c>
      <c r="T3417" s="58">
        <v>0</v>
      </c>
      <c r="U3417" s="58">
        <v>0</v>
      </c>
      <c r="V3417" s="58">
        <v>0</v>
      </c>
      <c r="AG3417" t="s">
        <v>3127</v>
      </c>
      <c r="AM3417" s="1" t="str">
        <f t="shared" si="202"/>
        <v>3415_C0008_0691.jpg</v>
      </c>
    </row>
    <row r="3418" spans="1:39" x14ac:dyDescent="0.35">
      <c r="A3418">
        <v>3414</v>
      </c>
      <c r="B3418">
        <v>3415</v>
      </c>
      <c r="F3418" s="64" t="s">
        <v>5928</v>
      </c>
      <c r="G3418" s="64"/>
      <c r="H3418" s="64"/>
      <c r="I3418" s="64">
        <v>0</v>
      </c>
      <c r="N3418" s="4">
        <v>0</v>
      </c>
      <c r="O3418" s="58">
        <v>0</v>
      </c>
      <c r="P3418" s="58">
        <v>0</v>
      </c>
      <c r="Q3418" s="58">
        <v>0</v>
      </c>
      <c r="R3418" s="58">
        <v>0</v>
      </c>
      <c r="S3418" s="58">
        <v>0</v>
      </c>
      <c r="T3418" s="58">
        <v>0</v>
      </c>
      <c r="U3418" s="58">
        <v>0</v>
      </c>
      <c r="V3418" s="58">
        <v>0</v>
      </c>
      <c r="AG3418" t="s">
        <v>3128</v>
      </c>
      <c r="AM3418" s="1" t="str">
        <f t="shared" si="202"/>
        <v>3416_C0008_0688.jpg</v>
      </c>
    </row>
    <row r="3419" spans="1:39" x14ac:dyDescent="0.35">
      <c r="A3419">
        <v>3415</v>
      </c>
      <c r="B3419">
        <v>3416</v>
      </c>
      <c r="F3419" s="64" t="s">
        <v>5929</v>
      </c>
      <c r="G3419" s="64"/>
      <c r="H3419" s="64"/>
      <c r="I3419" s="64">
        <v>0</v>
      </c>
      <c r="N3419" s="4">
        <v>0</v>
      </c>
      <c r="O3419" s="58">
        <v>0</v>
      </c>
      <c r="P3419" s="58">
        <v>0</v>
      </c>
      <c r="Q3419" s="58">
        <v>0</v>
      </c>
      <c r="R3419" s="58">
        <v>0</v>
      </c>
      <c r="S3419" s="58">
        <v>0</v>
      </c>
      <c r="T3419" s="58">
        <v>0</v>
      </c>
      <c r="U3419" s="58">
        <v>0</v>
      </c>
      <c r="V3419" s="58">
        <v>0</v>
      </c>
      <c r="AG3419" t="s">
        <v>3129</v>
      </c>
      <c r="AM3419" s="1" t="str">
        <f t="shared" si="202"/>
        <v>3417_C0008_0685.jpg</v>
      </c>
    </row>
    <row r="3420" spans="1:39" x14ac:dyDescent="0.35">
      <c r="A3420">
        <v>3416</v>
      </c>
      <c r="B3420">
        <v>3417</v>
      </c>
      <c r="F3420" s="64" t="s">
        <v>5930</v>
      </c>
      <c r="G3420" s="64"/>
      <c r="H3420" s="64"/>
      <c r="I3420" s="64">
        <v>0</v>
      </c>
      <c r="N3420" s="4">
        <v>0</v>
      </c>
      <c r="O3420" s="58">
        <v>0</v>
      </c>
      <c r="P3420" s="58">
        <v>0</v>
      </c>
      <c r="Q3420" s="58">
        <v>0</v>
      </c>
      <c r="R3420" s="58">
        <v>0</v>
      </c>
      <c r="S3420" s="58">
        <v>0</v>
      </c>
      <c r="T3420" s="58">
        <v>0</v>
      </c>
      <c r="U3420" s="58">
        <v>0</v>
      </c>
      <c r="V3420" s="58">
        <v>0</v>
      </c>
      <c r="AG3420" t="s">
        <v>3130</v>
      </c>
      <c r="AM3420" s="1" t="str">
        <f t="shared" si="202"/>
        <v>3418_C0008_0681.jpg</v>
      </c>
    </row>
    <row r="3421" spans="1:39" x14ac:dyDescent="0.35">
      <c r="A3421">
        <v>3417</v>
      </c>
      <c r="B3421">
        <v>3418</v>
      </c>
      <c r="F3421" s="64" t="s">
        <v>5931</v>
      </c>
      <c r="G3421" s="64"/>
      <c r="H3421" s="64"/>
      <c r="I3421" s="64">
        <v>0</v>
      </c>
      <c r="N3421" s="4">
        <v>0</v>
      </c>
      <c r="O3421" s="58">
        <v>0</v>
      </c>
      <c r="P3421" s="58">
        <v>0</v>
      </c>
      <c r="Q3421" s="58">
        <v>0</v>
      </c>
      <c r="R3421" s="58">
        <v>0</v>
      </c>
      <c r="S3421" s="58">
        <v>0</v>
      </c>
      <c r="T3421" s="58">
        <v>0</v>
      </c>
      <c r="U3421" s="58">
        <v>0</v>
      </c>
      <c r="V3421" s="58">
        <v>0</v>
      </c>
      <c r="AG3421" t="s">
        <v>3131</v>
      </c>
      <c r="AM3421" s="1" t="str">
        <f t="shared" si="202"/>
        <v>3419_C0008_0678.jpg</v>
      </c>
    </row>
    <row r="3422" spans="1:39" x14ac:dyDescent="0.35">
      <c r="A3422">
        <v>3418</v>
      </c>
      <c r="B3422">
        <v>3419</v>
      </c>
      <c r="F3422" s="64" t="s">
        <v>5932</v>
      </c>
      <c r="G3422" s="64"/>
      <c r="H3422" s="64"/>
      <c r="I3422" s="64">
        <v>0</v>
      </c>
      <c r="N3422" s="4">
        <v>0</v>
      </c>
      <c r="O3422" s="58">
        <v>0</v>
      </c>
      <c r="P3422" s="58">
        <v>0</v>
      </c>
      <c r="Q3422" s="58">
        <v>0</v>
      </c>
      <c r="R3422" s="58">
        <v>0</v>
      </c>
      <c r="S3422" s="58">
        <v>0</v>
      </c>
      <c r="T3422" s="58">
        <v>0</v>
      </c>
      <c r="U3422" s="58">
        <v>0</v>
      </c>
      <c r="V3422" s="58">
        <v>0</v>
      </c>
      <c r="AG3422" t="s">
        <v>3132</v>
      </c>
      <c r="AM3422" s="1" t="str">
        <f t="shared" si="202"/>
        <v>3420_C0008_0674.jpg</v>
      </c>
    </row>
    <row r="3423" spans="1:39" x14ac:dyDescent="0.35">
      <c r="A3423">
        <v>3419</v>
      </c>
      <c r="B3423">
        <v>3420</v>
      </c>
      <c r="F3423" s="64" t="s">
        <v>5933</v>
      </c>
      <c r="G3423" s="64"/>
      <c r="H3423" s="64"/>
      <c r="I3423" s="64">
        <v>0</v>
      </c>
      <c r="N3423" s="4">
        <v>0</v>
      </c>
      <c r="O3423" s="58">
        <v>0</v>
      </c>
      <c r="P3423" s="58">
        <v>0</v>
      </c>
      <c r="Q3423" s="58">
        <v>0</v>
      </c>
      <c r="R3423" s="58">
        <v>0</v>
      </c>
      <c r="S3423" s="58">
        <v>0</v>
      </c>
      <c r="T3423" s="58">
        <v>0</v>
      </c>
      <c r="U3423" s="58">
        <v>0</v>
      </c>
      <c r="V3423" s="58">
        <v>0</v>
      </c>
      <c r="AG3423" t="s">
        <v>3133</v>
      </c>
      <c r="AM3423" s="1" t="str">
        <f t="shared" si="202"/>
        <v>3421_C0008_0671.jpg</v>
      </c>
    </row>
    <row r="3424" spans="1:39" x14ac:dyDescent="0.35">
      <c r="A3424">
        <v>3420</v>
      </c>
      <c r="B3424">
        <v>3421</v>
      </c>
      <c r="F3424" s="64" t="s">
        <v>5934</v>
      </c>
      <c r="G3424" s="64"/>
      <c r="H3424" s="64"/>
      <c r="I3424" s="64">
        <v>0</v>
      </c>
      <c r="N3424" s="4">
        <v>0</v>
      </c>
      <c r="O3424" s="58">
        <v>0</v>
      </c>
      <c r="P3424" s="58">
        <v>0</v>
      </c>
      <c r="Q3424" s="58">
        <v>0</v>
      </c>
      <c r="R3424" s="58">
        <v>0</v>
      </c>
      <c r="S3424" s="58">
        <v>0</v>
      </c>
      <c r="T3424" s="58">
        <v>0</v>
      </c>
      <c r="U3424" s="58">
        <v>0</v>
      </c>
      <c r="V3424" s="58">
        <v>0</v>
      </c>
      <c r="AG3424" t="s">
        <v>3134</v>
      </c>
      <c r="AM3424" s="1" t="str">
        <f t="shared" si="202"/>
        <v>3422_C0008_0668.jpg</v>
      </c>
    </row>
    <row r="3425" spans="1:39" x14ac:dyDescent="0.35">
      <c r="A3425">
        <v>3421</v>
      </c>
      <c r="B3425">
        <v>3422</v>
      </c>
      <c r="F3425" s="64" t="s">
        <v>5935</v>
      </c>
      <c r="G3425" s="64"/>
      <c r="H3425" s="64"/>
      <c r="I3425" s="64">
        <v>0</v>
      </c>
      <c r="N3425" s="4">
        <v>0</v>
      </c>
      <c r="O3425" s="58">
        <v>0</v>
      </c>
      <c r="P3425" s="58">
        <v>0</v>
      </c>
      <c r="Q3425" s="58">
        <v>0</v>
      </c>
      <c r="R3425" s="58">
        <v>0</v>
      </c>
      <c r="S3425" s="58">
        <v>0</v>
      </c>
      <c r="T3425" s="58">
        <v>0</v>
      </c>
      <c r="U3425" s="58">
        <v>0</v>
      </c>
      <c r="V3425" s="58">
        <v>0</v>
      </c>
      <c r="AG3425" t="s">
        <v>3135</v>
      </c>
      <c r="AM3425" s="1" t="str">
        <f t="shared" si="202"/>
        <v>3423_C0008_0665.jpg</v>
      </c>
    </row>
    <row r="3426" spans="1:39" x14ac:dyDescent="0.35">
      <c r="A3426">
        <v>3422</v>
      </c>
      <c r="B3426">
        <v>3423</v>
      </c>
      <c r="F3426" s="64" t="s">
        <v>5936</v>
      </c>
      <c r="G3426" s="64"/>
      <c r="H3426" s="64"/>
      <c r="I3426" s="64">
        <v>0</v>
      </c>
      <c r="N3426" s="4">
        <v>0</v>
      </c>
      <c r="O3426" s="58">
        <v>0</v>
      </c>
      <c r="P3426" s="58">
        <v>0</v>
      </c>
      <c r="Q3426" s="58">
        <v>0</v>
      </c>
      <c r="R3426" s="58">
        <v>0</v>
      </c>
      <c r="S3426" s="58">
        <v>0</v>
      </c>
      <c r="T3426" s="58">
        <v>0</v>
      </c>
      <c r="U3426" s="58">
        <v>0</v>
      </c>
      <c r="V3426" s="58">
        <v>0</v>
      </c>
      <c r="AG3426" t="s">
        <v>3136</v>
      </c>
      <c r="AM3426" s="1" t="str">
        <f t="shared" si="202"/>
        <v>3424_C0008_0661.jpg</v>
      </c>
    </row>
    <row r="3427" spans="1:39" x14ac:dyDescent="0.35">
      <c r="A3427">
        <v>3423</v>
      </c>
      <c r="B3427">
        <v>3424</v>
      </c>
      <c r="F3427" s="64" t="s">
        <v>5937</v>
      </c>
      <c r="G3427" s="64"/>
      <c r="H3427" s="64"/>
      <c r="I3427" s="64">
        <v>0</v>
      </c>
      <c r="N3427" s="4">
        <v>0</v>
      </c>
      <c r="O3427" s="58">
        <v>0</v>
      </c>
      <c r="P3427" s="58">
        <v>0</v>
      </c>
      <c r="Q3427" s="58">
        <v>0</v>
      </c>
      <c r="R3427" s="58">
        <v>0</v>
      </c>
      <c r="S3427" s="58">
        <v>0</v>
      </c>
      <c r="T3427" s="58">
        <v>0</v>
      </c>
      <c r="U3427" s="58">
        <v>0</v>
      </c>
      <c r="V3427" s="58">
        <v>0</v>
      </c>
      <c r="AG3427" t="s">
        <v>3137</v>
      </c>
      <c r="AM3427" s="1" t="str">
        <f t="shared" si="202"/>
        <v>3425_C0008_0654.jpg</v>
      </c>
    </row>
    <row r="3428" spans="1:39" x14ac:dyDescent="0.35">
      <c r="A3428">
        <v>3424</v>
      </c>
      <c r="B3428">
        <v>3425</v>
      </c>
      <c r="F3428" s="64" t="s">
        <v>5938</v>
      </c>
      <c r="G3428" s="64"/>
      <c r="H3428" s="64"/>
      <c r="I3428" s="64">
        <v>0</v>
      </c>
      <c r="N3428" s="4">
        <v>0</v>
      </c>
      <c r="O3428" s="58">
        <v>0</v>
      </c>
      <c r="P3428" s="58">
        <v>0</v>
      </c>
      <c r="Q3428" s="58">
        <v>0</v>
      </c>
      <c r="R3428" s="58">
        <v>0</v>
      </c>
      <c r="S3428" s="58">
        <v>0</v>
      </c>
      <c r="T3428" s="58">
        <v>0</v>
      </c>
      <c r="U3428" s="58">
        <v>0</v>
      </c>
      <c r="V3428" s="58">
        <v>0</v>
      </c>
      <c r="AG3428" t="s">
        <v>3138</v>
      </c>
      <c r="AM3428" s="1" t="str">
        <f t="shared" si="202"/>
        <v>3426_C0008_0651.jpg</v>
      </c>
    </row>
    <row r="3429" spans="1:39" x14ac:dyDescent="0.35">
      <c r="A3429">
        <v>3425</v>
      </c>
      <c r="B3429">
        <v>3426</v>
      </c>
      <c r="F3429" s="64" t="s">
        <v>5939</v>
      </c>
      <c r="G3429" s="64"/>
      <c r="H3429" s="64"/>
      <c r="I3429" s="64">
        <v>0</v>
      </c>
      <c r="N3429" s="4">
        <v>0</v>
      </c>
      <c r="O3429" s="58">
        <v>0</v>
      </c>
      <c r="P3429" s="58">
        <v>0</v>
      </c>
      <c r="Q3429" s="58">
        <v>0</v>
      </c>
      <c r="R3429" s="58">
        <v>0</v>
      </c>
      <c r="S3429" s="58">
        <v>0</v>
      </c>
      <c r="T3429" s="58">
        <v>0</v>
      </c>
      <c r="U3429" s="58">
        <v>0</v>
      </c>
      <c r="V3429" s="58">
        <v>0</v>
      </c>
      <c r="AG3429" t="s">
        <v>3139</v>
      </c>
      <c r="AM3429" s="1" t="str">
        <f t="shared" si="202"/>
        <v>3427_C0008_0647.jpg</v>
      </c>
    </row>
    <row r="3430" spans="1:39" x14ac:dyDescent="0.35">
      <c r="A3430">
        <v>3426</v>
      </c>
      <c r="B3430">
        <v>3427</v>
      </c>
      <c r="F3430" s="64" t="s">
        <v>5940</v>
      </c>
      <c r="G3430" s="64"/>
      <c r="H3430" s="64"/>
      <c r="I3430" s="64">
        <v>0</v>
      </c>
      <c r="N3430" s="4">
        <v>0</v>
      </c>
      <c r="O3430" s="58">
        <v>0</v>
      </c>
      <c r="P3430" s="58">
        <v>0</v>
      </c>
      <c r="Q3430" s="58">
        <v>0</v>
      </c>
      <c r="R3430" s="58">
        <v>0</v>
      </c>
      <c r="S3430" s="58">
        <v>0</v>
      </c>
      <c r="T3430" s="58">
        <v>0</v>
      </c>
      <c r="U3430" s="58">
        <v>0</v>
      </c>
      <c r="V3430" s="58">
        <v>0</v>
      </c>
      <c r="AG3430" t="s">
        <v>3140</v>
      </c>
      <c r="AM3430" s="1" t="str">
        <f t="shared" si="202"/>
        <v>3428_C0008_0644.jpg</v>
      </c>
    </row>
    <row r="3431" spans="1:39" x14ac:dyDescent="0.35">
      <c r="A3431">
        <v>3427</v>
      </c>
      <c r="B3431">
        <v>3428</v>
      </c>
      <c r="F3431" s="64" t="s">
        <v>5941</v>
      </c>
      <c r="G3431" s="64"/>
      <c r="H3431" s="64"/>
      <c r="I3431" s="64">
        <v>0</v>
      </c>
      <c r="N3431" s="4">
        <v>0</v>
      </c>
      <c r="O3431" s="58">
        <v>0</v>
      </c>
      <c r="P3431" s="58">
        <v>0</v>
      </c>
      <c r="Q3431" s="58">
        <v>0</v>
      </c>
      <c r="R3431" s="58">
        <v>0</v>
      </c>
      <c r="S3431" s="58">
        <v>0</v>
      </c>
      <c r="T3431" s="58">
        <v>0</v>
      </c>
      <c r="U3431" s="58">
        <v>0</v>
      </c>
      <c r="V3431" s="58">
        <v>0</v>
      </c>
      <c r="AG3431" t="s">
        <v>3141</v>
      </c>
      <c r="AM3431" s="1" t="str">
        <f t="shared" si="202"/>
        <v>3429_C0008_0641.jpg</v>
      </c>
    </row>
    <row r="3432" spans="1:39" x14ac:dyDescent="0.35">
      <c r="A3432">
        <v>3428</v>
      </c>
      <c r="B3432">
        <v>3429</v>
      </c>
      <c r="F3432" s="64" t="s">
        <v>5942</v>
      </c>
      <c r="G3432" s="64"/>
      <c r="H3432" s="64"/>
      <c r="I3432" s="64">
        <v>0</v>
      </c>
      <c r="N3432" s="4">
        <v>0</v>
      </c>
      <c r="O3432" s="58">
        <v>0</v>
      </c>
      <c r="P3432" s="58">
        <v>0</v>
      </c>
      <c r="Q3432" s="58">
        <v>0</v>
      </c>
      <c r="R3432" s="58">
        <v>0</v>
      </c>
      <c r="S3432" s="58">
        <v>0</v>
      </c>
      <c r="T3432" s="58">
        <v>0</v>
      </c>
      <c r="U3432" s="58">
        <v>0</v>
      </c>
      <c r="V3432" s="58">
        <v>0</v>
      </c>
      <c r="AG3432" t="s">
        <v>3142</v>
      </c>
      <c r="AM3432" s="1" t="str">
        <f t="shared" si="202"/>
        <v>3430_C0008_0638.jpg</v>
      </c>
    </row>
    <row r="3433" spans="1:39" x14ac:dyDescent="0.35">
      <c r="A3433">
        <v>3429</v>
      </c>
      <c r="B3433">
        <v>3430</v>
      </c>
      <c r="F3433" s="64" t="s">
        <v>5943</v>
      </c>
      <c r="G3433" s="64"/>
      <c r="H3433" s="64"/>
      <c r="I3433" s="64">
        <v>0</v>
      </c>
      <c r="N3433" s="4">
        <v>0</v>
      </c>
      <c r="O3433" s="58">
        <v>0</v>
      </c>
      <c r="P3433" s="58">
        <v>0</v>
      </c>
      <c r="Q3433" s="58">
        <v>0</v>
      </c>
      <c r="R3433" s="58">
        <v>0</v>
      </c>
      <c r="S3433" s="58">
        <v>0</v>
      </c>
      <c r="T3433" s="58">
        <v>0</v>
      </c>
      <c r="U3433" s="58">
        <v>0</v>
      </c>
      <c r="V3433" s="58">
        <v>0</v>
      </c>
      <c r="AG3433" t="s">
        <v>3143</v>
      </c>
      <c r="AM3433" s="1" t="str">
        <f t="shared" si="202"/>
        <v>3431_C0008_0635.jpg</v>
      </c>
    </row>
    <row r="3434" spans="1:39" x14ac:dyDescent="0.35">
      <c r="A3434">
        <v>3430</v>
      </c>
      <c r="B3434">
        <v>3431</v>
      </c>
      <c r="F3434" s="64" t="s">
        <v>5944</v>
      </c>
      <c r="G3434" s="64"/>
      <c r="H3434" s="64"/>
      <c r="I3434" s="64">
        <v>0</v>
      </c>
      <c r="N3434" s="4">
        <v>0</v>
      </c>
      <c r="O3434" s="58">
        <v>0</v>
      </c>
      <c r="P3434" s="58">
        <v>0</v>
      </c>
      <c r="Q3434" s="58">
        <v>0</v>
      </c>
      <c r="R3434" s="58">
        <v>0</v>
      </c>
      <c r="S3434" s="58">
        <v>0</v>
      </c>
      <c r="T3434" s="58">
        <v>0</v>
      </c>
      <c r="U3434" s="58">
        <v>0</v>
      </c>
      <c r="V3434" s="58">
        <v>0</v>
      </c>
      <c r="AG3434" t="s">
        <v>3144</v>
      </c>
      <c r="AM3434" s="1" t="str">
        <f t="shared" si="202"/>
        <v>3432_C0008_0631.jpg</v>
      </c>
    </row>
    <row r="3435" spans="1:39" x14ac:dyDescent="0.35">
      <c r="A3435">
        <v>3431</v>
      </c>
      <c r="B3435">
        <v>3432</v>
      </c>
      <c r="F3435" s="64" t="s">
        <v>5945</v>
      </c>
      <c r="G3435" s="64"/>
      <c r="H3435" s="64"/>
      <c r="I3435" s="64">
        <v>0</v>
      </c>
      <c r="N3435" s="4">
        <v>0</v>
      </c>
      <c r="O3435" s="58">
        <v>0</v>
      </c>
      <c r="P3435" s="58">
        <v>0</v>
      </c>
      <c r="Q3435" s="58">
        <v>0</v>
      </c>
      <c r="R3435" s="58">
        <v>0</v>
      </c>
      <c r="S3435" s="58">
        <v>0</v>
      </c>
      <c r="T3435" s="58">
        <v>0</v>
      </c>
      <c r="U3435" s="58">
        <v>0</v>
      </c>
      <c r="V3435" s="58">
        <v>0</v>
      </c>
      <c r="AG3435" t="s">
        <v>3145</v>
      </c>
      <c r="AM3435" s="1" t="str">
        <f t="shared" si="202"/>
        <v>3433_C0008_0623.jpg</v>
      </c>
    </row>
    <row r="3436" spans="1:39" x14ac:dyDescent="0.35">
      <c r="A3436">
        <v>3432</v>
      </c>
      <c r="B3436">
        <v>3433</v>
      </c>
      <c r="F3436" s="64" t="s">
        <v>5946</v>
      </c>
      <c r="G3436" s="64"/>
      <c r="H3436" s="64"/>
      <c r="I3436" s="64">
        <v>0</v>
      </c>
      <c r="N3436" s="4">
        <v>0</v>
      </c>
      <c r="O3436" s="58">
        <v>0</v>
      </c>
      <c r="P3436" s="58">
        <v>0</v>
      </c>
      <c r="Q3436" s="58">
        <v>0</v>
      </c>
      <c r="R3436" s="58">
        <v>0</v>
      </c>
      <c r="S3436" s="58">
        <v>0</v>
      </c>
      <c r="T3436" s="58">
        <v>0</v>
      </c>
      <c r="U3436" s="58">
        <v>0</v>
      </c>
      <c r="V3436" s="58">
        <v>0</v>
      </c>
      <c r="AG3436" t="s">
        <v>3146</v>
      </c>
      <c r="AM3436" s="1" t="str">
        <f t="shared" si="202"/>
        <v>3434_C0008_0620.jpg</v>
      </c>
    </row>
    <row r="3437" spans="1:39" x14ac:dyDescent="0.35">
      <c r="A3437">
        <v>3433</v>
      </c>
      <c r="B3437">
        <v>3434</v>
      </c>
      <c r="F3437" s="64" t="s">
        <v>5947</v>
      </c>
      <c r="G3437" s="64"/>
      <c r="H3437" s="64"/>
      <c r="I3437" s="64">
        <v>0</v>
      </c>
      <c r="N3437" s="4">
        <v>0</v>
      </c>
      <c r="O3437" s="58">
        <v>0</v>
      </c>
      <c r="P3437" s="58">
        <v>0</v>
      </c>
      <c r="Q3437" s="58">
        <v>0</v>
      </c>
      <c r="R3437" s="58">
        <v>0</v>
      </c>
      <c r="S3437" s="58">
        <v>0</v>
      </c>
      <c r="T3437" s="58">
        <v>0</v>
      </c>
      <c r="U3437" s="58">
        <v>0</v>
      </c>
      <c r="V3437" s="58">
        <v>0</v>
      </c>
      <c r="AG3437" t="s">
        <v>3147</v>
      </c>
      <c r="AM3437" s="1" t="str">
        <f t="shared" si="202"/>
        <v>3435_C0008_0615.jpg</v>
      </c>
    </row>
    <row r="3438" spans="1:39" x14ac:dyDescent="0.35">
      <c r="A3438">
        <v>3434</v>
      </c>
      <c r="B3438">
        <v>3435</v>
      </c>
      <c r="F3438" s="64" t="s">
        <v>5948</v>
      </c>
      <c r="G3438" s="64"/>
      <c r="H3438" s="64"/>
      <c r="I3438" s="64">
        <v>0</v>
      </c>
      <c r="N3438" s="4">
        <v>0</v>
      </c>
      <c r="O3438" s="58">
        <v>0</v>
      </c>
      <c r="P3438" s="58">
        <v>0</v>
      </c>
      <c r="Q3438" s="58">
        <v>0</v>
      </c>
      <c r="R3438" s="58">
        <v>0</v>
      </c>
      <c r="S3438" s="58">
        <v>0</v>
      </c>
      <c r="T3438" s="58">
        <v>0</v>
      </c>
      <c r="U3438" s="58">
        <v>0</v>
      </c>
      <c r="V3438" s="58">
        <v>0</v>
      </c>
      <c r="AG3438" t="s">
        <v>3148</v>
      </c>
      <c r="AM3438" s="1" t="str">
        <f t="shared" si="202"/>
        <v>3436_C0008_0611.jpg</v>
      </c>
    </row>
    <row r="3439" spans="1:39" x14ac:dyDescent="0.35">
      <c r="A3439">
        <v>3435</v>
      </c>
      <c r="B3439">
        <v>3436</v>
      </c>
      <c r="F3439" s="64" t="s">
        <v>5949</v>
      </c>
      <c r="G3439" s="64"/>
      <c r="H3439" s="64"/>
      <c r="I3439" s="64">
        <v>0</v>
      </c>
      <c r="N3439" s="4">
        <v>0</v>
      </c>
      <c r="O3439" s="58">
        <v>0</v>
      </c>
      <c r="P3439" s="58">
        <v>0</v>
      </c>
      <c r="Q3439" s="58">
        <v>0</v>
      </c>
      <c r="R3439" s="58">
        <v>0</v>
      </c>
      <c r="S3439" s="58">
        <v>0</v>
      </c>
      <c r="T3439" s="58">
        <v>0</v>
      </c>
      <c r="U3439" s="58">
        <v>0</v>
      </c>
      <c r="V3439" s="58">
        <v>0</v>
      </c>
      <c r="AG3439" t="s">
        <v>3149</v>
      </c>
      <c r="AM3439" s="1" t="str">
        <f t="shared" si="202"/>
        <v>3437_C0008_0607.jpg</v>
      </c>
    </row>
    <row r="3440" spans="1:39" x14ac:dyDescent="0.35">
      <c r="A3440">
        <v>3436</v>
      </c>
      <c r="B3440">
        <v>3437</v>
      </c>
      <c r="F3440" s="64" t="s">
        <v>5950</v>
      </c>
      <c r="G3440" s="64"/>
      <c r="H3440" s="64"/>
      <c r="I3440" s="64">
        <v>0</v>
      </c>
      <c r="N3440" s="4">
        <v>0</v>
      </c>
      <c r="O3440" s="58">
        <v>0</v>
      </c>
      <c r="P3440" s="58">
        <v>0</v>
      </c>
      <c r="Q3440" s="58">
        <v>0</v>
      </c>
      <c r="R3440" s="58">
        <v>0</v>
      </c>
      <c r="S3440" s="58">
        <v>0</v>
      </c>
      <c r="T3440" s="58">
        <v>0</v>
      </c>
      <c r="U3440" s="58">
        <v>0</v>
      </c>
      <c r="V3440" s="58">
        <v>0</v>
      </c>
      <c r="AG3440" t="s">
        <v>3150</v>
      </c>
      <c r="AM3440" s="1" t="str">
        <f t="shared" ref="AM3440:AM3503" si="203">HYPERLINK("E:\CAFNEC_GBRF\2023\JohnstoneRiver\Frames_for_Analysis\" &amp; F3441, F3441)</f>
        <v>3438_C0008_0603.jpg</v>
      </c>
    </row>
    <row r="3441" spans="1:39" x14ac:dyDescent="0.35">
      <c r="A3441">
        <v>3437</v>
      </c>
      <c r="B3441">
        <v>3438</v>
      </c>
      <c r="F3441" s="64" t="s">
        <v>5951</v>
      </c>
      <c r="G3441" s="64"/>
      <c r="H3441" s="64"/>
      <c r="I3441" s="64">
        <v>0</v>
      </c>
      <c r="N3441" s="4">
        <v>0</v>
      </c>
      <c r="O3441" s="58">
        <v>0</v>
      </c>
      <c r="P3441" s="58">
        <v>0</v>
      </c>
      <c r="Q3441" s="58">
        <v>0</v>
      </c>
      <c r="R3441" s="58">
        <v>0</v>
      </c>
      <c r="S3441" s="58">
        <v>0</v>
      </c>
      <c r="T3441" s="58">
        <v>0</v>
      </c>
      <c r="U3441" s="58">
        <v>0</v>
      </c>
      <c r="V3441" s="58">
        <v>0</v>
      </c>
      <c r="AG3441" t="s">
        <v>3151</v>
      </c>
      <c r="AM3441" s="1" t="str">
        <f t="shared" si="203"/>
        <v>3439_C0008_0601.jpg</v>
      </c>
    </row>
    <row r="3442" spans="1:39" x14ac:dyDescent="0.35">
      <c r="A3442">
        <v>3438</v>
      </c>
      <c r="B3442">
        <v>3439</v>
      </c>
      <c r="F3442" s="64" t="s">
        <v>5952</v>
      </c>
      <c r="G3442" s="64"/>
      <c r="H3442" s="64"/>
      <c r="I3442" s="64">
        <v>0</v>
      </c>
      <c r="N3442" s="4">
        <v>0</v>
      </c>
      <c r="O3442" s="58">
        <v>0</v>
      </c>
      <c r="P3442" s="58">
        <v>0</v>
      </c>
      <c r="Q3442" s="58">
        <v>0</v>
      </c>
      <c r="R3442" s="58">
        <v>0</v>
      </c>
      <c r="S3442" s="58">
        <v>0</v>
      </c>
      <c r="T3442" s="58">
        <v>0</v>
      </c>
      <c r="U3442" s="58">
        <v>0</v>
      </c>
      <c r="V3442" s="58">
        <v>0</v>
      </c>
      <c r="AG3442" t="s">
        <v>3152</v>
      </c>
      <c r="AM3442" s="1" t="str">
        <f t="shared" si="203"/>
        <v>3440_C0008_0596.jpg</v>
      </c>
    </row>
    <row r="3443" spans="1:39" x14ac:dyDescent="0.35">
      <c r="A3443">
        <v>3439</v>
      </c>
      <c r="B3443">
        <v>3440</v>
      </c>
      <c r="F3443" s="64" t="s">
        <v>5953</v>
      </c>
      <c r="G3443" s="64"/>
      <c r="H3443" s="64"/>
      <c r="I3443" s="64">
        <v>0</v>
      </c>
      <c r="N3443" s="4">
        <v>0</v>
      </c>
      <c r="O3443" s="58">
        <v>0</v>
      </c>
      <c r="P3443" s="58">
        <v>0</v>
      </c>
      <c r="Q3443" s="58">
        <v>0</v>
      </c>
      <c r="R3443" s="58">
        <v>0</v>
      </c>
      <c r="S3443" s="58">
        <v>0</v>
      </c>
      <c r="T3443" s="58">
        <v>0</v>
      </c>
      <c r="U3443" s="58">
        <v>0</v>
      </c>
      <c r="V3443" s="58">
        <v>0</v>
      </c>
      <c r="AG3443" t="s">
        <v>3153</v>
      </c>
      <c r="AM3443" s="1" t="str">
        <f t="shared" si="203"/>
        <v>3441_C0008_0592.jpg</v>
      </c>
    </row>
    <row r="3444" spans="1:39" x14ac:dyDescent="0.35">
      <c r="A3444">
        <v>3440</v>
      </c>
      <c r="B3444">
        <v>3441</v>
      </c>
      <c r="F3444" s="64" t="s">
        <v>5954</v>
      </c>
      <c r="G3444" s="64"/>
      <c r="H3444" s="64"/>
      <c r="I3444" s="64">
        <v>0</v>
      </c>
      <c r="N3444" s="4">
        <v>0</v>
      </c>
      <c r="O3444" s="58">
        <v>0</v>
      </c>
      <c r="P3444" s="58">
        <v>0</v>
      </c>
      <c r="Q3444" s="58">
        <v>0</v>
      </c>
      <c r="R3444" s="58">
        <v>0</v>
      </c>
      <c r="S3444" s="58">
        <v>0</v>
      </c>
      <c r="T3444" s="58">
        <v>0</v>
      </c>
      <c r="U3444" s="58">
        <v>0</v>
      </c>
      <c r="V3444" s="58">
        <v>0</v>
      </c>
      <c r="AG3444" t="s">
        <v>3154</v>
      </c>
      <c r="AM3444" s="1" t="str">
        <f t="shared" si="203"/>
        <v>3442_C0008_0588.jpg</v>
      </c>
    </row>
    <row r="3445" spans="1:39" x14ac:dyDescent="0.35">
      <c r="A3445">
        <v>3441</v>
      </c>
      <c r="B3445">
        <v>3442</v>
      </c>
      <c r="F3445" s="64" t="s">
        <v>5955</v>
      </c>
      <c r="G3445" s="64"/>
      <c r="H3445" s="64"/>
      <c r="I3445" s="64">
        <v>0</v>
      </c>
      <c r="N3445" s="4">
        <v>0</v>
      </c>
      <c r="O3445" s="58">
        <v>0</v>
      </c>
      <c r="P3445" s="58">
        <v>0</v>
      </c>
      <c r="Q3445" s="58">
        <v>0</v>
      </c>
      <c r="R3445" s="58">
        <v>0</v>
      </c>
      <c r="S3445" s="58">
        <v>0</v>
      </c>
      <c r="T3445" s="58">
        <v>0</v>
      </c>
      <c r="U3445" s="58">
        <v>0</v>
      </c>
      <c r="V3445" s="58">
        <v>0</v>
      </c>
      <c r="AG3445" t="s">
        <v>3155</v>
      </c>
      <c r="AM3445" s="1" t="str">
        <f t="shared" si="203"/>
        <v>3443_C0008_0585.jpg</v>
      </c>
    </row>
    <row r="3446" spans="1:39" x14ac:dyDescent="0.35">
      <c r="A3446">
        <v>3442</v>
      </c>
      <c r="B3446">
        <v>3443</v>
      </c>
      <c r="F3446" s="64" t="s">
        <v>5956</v>
      </c>
      <c r="G3446" s="64"/>
      <c r="H3446" s="64"/>
      <c r="I3446" s="64">
        <v>0</v>
      </c>
      <c r="N3446" s="4">
        <v>0</v>
      </c>
      <c r="O3446" s="58">
        <v>0</v>
      </c>
      <c r="P3446" s="58">
        <v>0</v>
      </c>
      <c r="Q3446" s="58">
        <v>0</v>
      </c>
      <c r="R3446" s="58">
        <v>0</v>
      </c>
      <c r="S3446" s="58">
        <v>0</v>
      </c>
      <c r="T3446" s="58">
        <v>0</v>
      </c>
      <c r="U3446" s="58">
        <v>0</v>
      </c>
      <c r="V3446" s="58">
        <v>0</v>
      </c>
      <c r="AG3446" t="s">
        <v>3156</v>
      </c>
      <c r="AM3446" s="1" t="str">
        <f t="shared" si="203"/>
        <v>3444_C0008_0581.jpg</v>
      </c>
    </row>
    <row r="3447" spans="1:39" x14ac:dyDescent="0.35">
      <c r="A3447">
        <v>3443</v>
      </c>
      <c r="B3447">
        <v>3444</v>
      </c>
      <c r="F3447" s="64" t="s">
        <v>5957</v>
      </c>
      <c r="G3447" s="64"/>
      <c r="H3447" s="64"/>
      <c r="I3447" s="64">
        <v>0</v>
      </c>
      <c r="N3447" s="4">
        <v>0</v>
      </c>
      <c r="O3447" s="58">
        <v>0</v>
      </c>
      <c r="P3447" s="58">
        <v>0</v>
      </c>
      <c r="Q3447" s="58">
        <v>0</v>
      </c>
      <c r="R3447" s="58">
        <v>0</v>
      </c>
      <c r="S3447" s="58">
        <v>0</v>
      </c>
      <c r="T3447" s="58">
        <v>0</v>
      </c>
      <c r="U3447" s="58">
        <v>0</v>
      </c>
      <c r="V3447" s="58">
        <v>0</v>
      </c>
      <c r="AG3447" t="s">
        <v>3157</v>
      </c>
      <c r="AM3447" s="1" t="str">
        <f t="shared" si="203"/>
        <v>3445_C0008_0577.jpg</v>
      </c>
    </row>
    <row r="3448" spans="1:39" x14ac:dyDescent="0.35">
      <c r="A3448">
        <v>3444</v>
      </c>
      <c r="B3448">
        <v>3445</v>
      </c>
      <c r="F3448" s="64" t="s">
        <v>5958</v>
      </c>
      <c r="G3448" s="64"/>
      <c r="H3448" s="64"/>
      <c r="I3448" s="64">
        <v>0</v>
      </c>
      <c r="N3448" s="4">
        <v>0</v>
      </c>
      <c r="O3448" s="58">
        <v>0</v>
      </c>
      <c r="P3448" s="58">
        <v>0</v>
      </c>
      <c r="Q3448" s="58">
        <v>0</v>
      </c>
      <c r="R3448" s="58">
        <v>0</v>
      </c>
      <c r="S3448" s="58">
        <v>0</v>
      </c>
      <c r="T3448" s="58">
        <v>0</v>
      </c>
      <c r="U3448" s="58">
        <v>0</v>
      </c>
      <c r="V3448" s="58">
        <v>0</v>
      </c>
      <c r="AG3448" t="s">
        <v>3158</v>
      </c>
      <c r="AM3448" s="1" t="str">
        <f t="shared" si="203"/>
        <v>3446_C0008_0574.jpg</v>
      </c>
    </row>
    <row r="3449" spans="1:39" x14ac:dyDescent="0.35">
      <c r="A3449">
        <v>3445</v>
      </c>
      <c r="B3449">
        <v>3446</v>
      </c>
      <c r="F3449" s="64" t="s">
        <v>5959</v>
      </c>
      <c r="G3449" s="64"/>
      <c r="H3449" s="64"/>
      <c r="I3449" s="64">
        <v>0</v>
      </c>
      <c r="N3449" s="4">
        <v>0</v>
      </c>
      <c r="O3449" s="58">
        <v>0</v>
      </c>
      <c r="P3449" s="58">
        <v>0</v>
      </c>
      <c r="Q3449" s="58">
        <v>0</v>
      </c>
      <c r="R3449" s="58">
        <v>0</v>
      </c>
      <c r="S3449" s="58">
        <v>0</v>
      </c>
      <c r="T3449" s="58">
        <v>0</v>
      </c>
      <c r="U3449" s="58">
        <v>0</v>
      </c>
      <c r="V3449" s="58">
        <v>0</v>
      </c>
      <c r="AG3449" t="s">
        <v>3159</v>
      </c>
      <c r="AM3449" s="1" t="str">
        <f t="shared" si="203"/>
        <v>3447_C0008_0571.jpg</v>
      </c>
    </row>
    <row r="3450" spans="1:39" x14ac:dyDescent="0.35">
      <c r="A3450">
        <v>3446</v>
      </c>
      <c r="B3450">
        <v>3447</v>
      </c>
      <c r="F3450" s="64" t="s">
        <v>5960</v>
      </c>
      <c r="G3450" s="64"/>
      <c r="H3450" s="64"/>
      <c r="I3450" s="64">
        <v>0</v>
      </c>
      <c r="N3450" s="4">
        <v>0</v>
      </c>
      <c r="O3450" s="58">
        <v>0</v>
      </c>
      <c r="P3450" s="58">
        <v>0</v>
      </c>
      <c r="Q3450" s="58">
        <v>0</v>
      </c>
      <c r="R3450" s="58">
        <v>0</v>
      </c>
      <c r="S3450" s="58">
        <v>0</v>
      </c>
      <c r="T3450" s="58">
        <v>0</v>
      </c>
      <c r="U3450" s="58">
        <v>0</v>
      </c>
      <c r="V3450" s="58">
        <v>0</v>
      </c>
      <c r="AG3450" t="s">
        <v>3160</v>
      </c>
      <c r="AM3450" s="1" t="str">
        <f t="shared" si="203"/>
        <v>3448_C0008_0567.jpg</v>
      </c>
    </row>
    <row r="3451" spans="1:39" x14ac:dyDescent="0.35">
      <c r="A3451">
        <v>3447</v>
      </c>
      <c r="B3451">
        <v>3448</v>
      </c>
      <c r="F3451" s="64" t="s">
        <v>5961</v>
      </c>
      <c r="G3451" s="64"/>
      <c r="H3451" s="64"/>
      <c r="I3451" s="64">
        <v>0</v>
      </c>
      <c r="N3451" s="4">
        <v>0</v>
      </c>
      <c r="O3451" s="58">
        <v>0</v>
      </c>
      <c r="P3451" s="58">
        <v>0</v>
      </c>
      <c r="Q3451" s="58">
        <v>0</v>
      </c>
      <c r="R3451" s="58">
        <v>0</v>
      </c>
      <c r="S3451" s="58">
        <v>0</v>
      </c>
      <c r="T3451" s="58">
        <v>0</v>
      </c>
      <c r="U3451" s="58">
        <v>0</v>
      </c>
      <c r="V3451" s="58">
        <v>0</v>
      </c>
      <c r="AG3451" t="s">
        <v>3161</v>
      </c>
      <c r="AM3451" s="1" t="str">
        <f t="shared" si="203"/>
        <v>3449_C0008_0564.jpg</v>
      </c>
    </row>
    <row r="3452" spans="1:39" x14ac:dyDescent="0.35">
      <c r="A3452">
        <v>3448</v>
      </c>
      <c r="B3452">
        <v>3449</v>
      </c>
      <c r="F3452" s="64" t="s">
        <v>5962</v>
      </c>
      <c r="G3452" s="64"/>
      <c r="H3452" s="64"/>
      <c r="I3452" s="64">
        <v>0</v>
      </c>
      <c r="N3452" s="4">
        <v>0</v>
      </c>
      <c r="O3452" s="58">
        <v>0</v>
      </c>
      <c r="P3452" s="58">
        <v>0</v>
      </c>
      <c r="Q3452" s="58">
        <v>0</v>
      </c>
      <c r="R3452" s="58">
        <v>0</v>
      </c>
      <c r="S3452" s="58">
        <v>0</v>
      </c>
      <c r="T3452" s="58">
        <v>0</v>
      </c>
      <c r="U3452" s="58">
        <v>0</v>
      </c>
      <c r="V3452" s="58">
        <v>0</v>
      </c>
      <c r="AG3452" t="s">
        <v>3162</v>
      </c>
      <c r="AM3452" s="1" t="str">
        <f t="shared" si="203"/>
        <v>3450_C0008_0561.jpg</v>
      </c>
    </row>
    <row r="3453" spans="1:39" x14ac:dyDescent="0.35">
      <c r="A3453">
        <v>3449</v>
      </c>
      <c r="B3453">
        <v>3450</v>
      </c>
      <c r="F3453" s="64" t="s">
        <v>5963</v>
      </c>
      <c r="G3453" s="64"/>
      <c r="H3453" s="64"/>
      <c r="I3453" s="64">
        <v>0</v>
      </c>
      <c r="N3453" s="4">
        <v>0</v>
      </c>
      <c r="O3453" s="58">
        <v>0</v>
      </c>
      <c r="P3453" s="58">
        <v>0</v>
      </c>
      <c r="Q3453" s="58">
        <v>0</v>
      </c>
      <c r="R3453" s="58">
        <v>0</v>
      </c>
      <c r="S3453" s="58">
        <v>0</v>
      </c>
      <c r="T3453" s="58">
        <v>0</v>
      </c>
      <c r="U3453" s="58">
        <v>0</v>
      </c>
      <c r="V3453" s="58">
        <v>0</v>
      </c>
      <c r="AG3453" t="s">
        <v>3163</v>
      </c>
      <c r="AM3453" s="1" t="str">
        <f t="shared" si="203"/>
        <v>3451_C0008_0557.jpg</v>
      </c>
    </row>
    <row r="3454" spans="1:39" x14ac:dyDescent="0.35">
      <c r="A3454">
        <v>3450</v>
      </c>
      <c r="B3454">
        <v>3451</v>
      </c>
      <c r="F3454" s="64" t="s">
        <v>5964</v>
      </c>
      <c r="G3454" s="64"/>
      <c r="H3454" s="64"/>
      <c r="I3454" s="64">
        <v>0</v>
      </c>
      <c r="N3454" s="4">
        <v>0</v>
      </c>
      <c r="O3454" s="58">
        <v>0</v>
      </c>
      <c r="P3454" s="58">
        <v>0</v>
      </c>
      <c r="Q3454" s="58">
        <v>0</v>
      </c>
      <c r="R3454" s="58">
        <v>0</v>
      </c>
      <c r="S3454" s="58">
        <v>0</v>
      </c>
      <c r="T3454" s="58">
        <v>0</v>
      </c>
      <c r="U3454" s="58">
        <v>0</v>
      </c>
      <c r="V3454" s="58">
        <v>0</v>
      </c>
      <c r="AG3454" t="s">
        <v>3164</v>
      </c>
      <c r="AM3454" s="1" t="str">
        <f t="shared" si="203"/>
        <v>3452_C0008_0554.jpg</v>
      </c>
    </row>
    <row r="3455" spans="1:39" x14ac:dyDescent="0.35">
      <c r="A3455">
        <v>3451</v>
      </c>
      <c r="B3455">
        <v>3452</v>
      </c>
      <c r="F3455" s="64" t="s">
        <v>5965</v>
      </c>
      <c r="G3455" s="64"/>
      <c r="H3455" s="64"/>
      <c r="I3455" s="64">
        <v>0</v>
      </c>
      <c r="N3455" s="4">
        <v>0</v>
      </c>
      <c r="O3455" s="58">
        <v>0</v>
      </c>
      <c r="P3455" s="58">
        <v>0</v>
      </c>
      <c r="Q3455" s="58">
        <v>0</v>
      </c>
      <c r="R3455" s="58">
        <v>0</v>
      </c>
      <c r="S3455" s="58">
        <v>0</v>
      </c>
      <c r="T3455" s="58">
        <v>0</v>
      </c>
      <c r="U3455" s="58">
        <v>0</v>
      </c>
      <c r="V3455" s="58">
        <v>0</v>
      </c>
      <c r="AG3455" t="s">
        <v>3165</v>
      </c>
      <c r="AM3455" s="1" t="str">
        <f t="shared" si="203"/>
        <v>3453_C0008_0551.jpg</v>
      </c>
    </row>
    <row r="3456" spans="1:39" x14ac:dyDescent="0.35">
      <c r="A3456">
        <v>3452</v>
      </c>
      <c r="B3456">
        <v>3453</v>
      </c>
      <c r="F3456" s="64" t="s">
        <v>5966</v>
      </c>
      <c r="G3456" s="64"/>
      <c r="H3456" s="64"/>
      <c r="I3456" s="64">
        <v>0</v>
      </c>
      <c r="N3456" s="4">
        <v>0</v>
      </c>
      <c r="O3456" s="58">
        <v>0</v>
      </c>
      <c r="P3456" s="58">
        <v>0</v>
      </c>
      <c r="Q3456" s="58">
        <v>0</v>
      </c>
      <c r="R3456" s="58">
        <v>0</v>
      </c>
      <c r="S3456" s="58">
        <v>0</v>
      </c>
      <c r="T3456" s="58">
        <v>0</v>
      </c>
      <c r="U3456" s="58">
        <v>0</v>
      </c>
      <c r="V3456" s="58">
        <v>0</v>
      </c>
      <c r="AG3456" t="s">
        <v>3166</v>
      </c>
      <c r="AM3456" s="1" t="str">
        <f t="shared" si="203"/>
        <v>3454_C0008_0547.jpg</v>
      </c>
    </row>
    <row r="3457" spans="1:39" x14ac:dyDescent="0.35">
      <c r="A3457">
        <v>3453</v>
      </c>
      <c r="B3457">
        <v>3454</v>
      </c>
      <c r="F3457" s="64" t="s">
        <v>5967</v>
      </c>
      <c r="G3457" s="64"/>
      <c r="H3457" s="64"/>
      <c r="I3457" s="64">
        <v>0</v>
      </c>
      <c r="N3457" s="4">
        <v>0</v>
      </c>
      <c r="O3457" s="58">
        <v>0</v>
      </c>
      <c r="P3457" s="58">
        <v>0</v>
      </c>
      <c r="Q3457" s="58">
        <v>0</v>
      </c>
      <c r="R3457" s="58">
        <v>0</v>
      </c>
      <c r="S3457" s="58">
        <v>0</v>
      </c>
      <c r="T3457" s="58">
        <v>0</v>
      </c>
      <c r="U3457" s="58">
        <v>0</v>
      </c>
      <c r="V3457" s="58">
        <v>0</v>
      </c>
      <c r="AG3457" t="s">
        <v>3167</v>
      </c>
      <c r="AM3457" s="1" t="str">
        <f t="shared" si="203"/>
        <v>3455_C0008_0544.jpg</v>
      </c>
    </row>
    <row r="3458" spans="1:39" x14ac:dyDescent="0.35">
      <c r="A3458">
        <v>3454</v>
      </c>
      <c r="B3458">
        <v>3455</v>
      </c>
      <c r="F3458" s="64" t="s">
        <v>5968</v>
      </c>
      <c r="G3458" s="64"/>
      <c r="H3458" s="64"/>
      <c r="I3458" s="64">
        <v>0</v>
      </c>
      <c r="N3458" s="4">
        <v>0</v>
      </c>
      <c r="O3458" s="58">
        <v>0</v>
      </c>
      <c r="P3458" s="58">
        <v>0</v>
      </c>
      <c r="Q3458" s="58">
        <v>0</v>
      </c>
      <c r="R3458" s="58">
        <v>0</v>
      </c>
      <c r="S3458" s="58">
        <v>0</v>
      </c>
      <c r="T3458" s="58">
        <v>0</v>
      </c>
      <c r="U3458" s="58">
        <v>0</v>
      </c>
      <c r="V3458" s="58">
        <v>0</v>
      </c>
      <c r="AG3458" t="s">
        <v>3168</v>
      </c>
      <c r="AM3458" s="1" t="str">
        <f t="shared" si="203"/>
        <v>3456_C0008_0541.jpg</v>
      </c>
    </row>
    <row r="3459" spans="1:39" x14ac:dyDescent="0.35">
      <c r="A3459">
        <v>3455</v>
      </c>
      <c r="B3459">
        <v>3456</v>
      </c>
      <c r="F3459" s="64" t="s">
        <v>5969</v>
      </c>
      <c r="G3459" s="64"/>
      <c r="H3459" s="64"/>
      <c r="I3459" s="64">
        <v>0</v>
      </c>
      <c r="N3459" s="4">
        <v>0</v>
      </c>
      <c r="O3459" s="58">
        <v>0</v>
      </c>
      <c r="P3459" s="58">
        <v>0</v>
      </c>
      <c r="Q3459" s="58">
        <v>0</v>
      </c>
      <c r="R3459" s="58">
        <v>0</v>
      </c>
      <c r="S3459" s="58">
        <v>0</v>
      </c>
      <c r="T3459" s="58">
        <v>0</v>
      </c>
      <c r="U3459" s="58">
        <v>0</v>
      </c>
      <c r="V3459" s="58">
        <v>0</v>
      </c>
      <c r="AG3459" t="s">
        <v>3169</v>
      </c>
      <c r="AM3459" s="1" t="str">
        <f t="shared" si="203"/>
        <v>3457_C0008_0538.jpg</v>
      </c>
    </row>
    <row r="3460" spans="1:39" x14ac:dyDescent="0.35">
      <c r="A3460">
        <v>3456</v>
      </c>
      <c r="B3460">
        <v>3457</v>
      </c>
      <c r="F3460" s="64" t="s">
        <v>5970</v>
      </c>
      <c r="G3460" s="64"/>
      <c r="H3460" s="64"/>
      <c r="I3460" s="64">
        <v>0</v>
      </c>
      <c r="N3460" s="4">
        <v>0</v>
      </c>
      <c r="O3460" s="58">
        <v>0</v>
      </c>
      <c r="P3460" s="58">
        <v>0</v>
      </c>
      <c r="Q3460" s="58">
        <v>0</v>
      </c>
      <c r="R3460" s="58">
        <v>0</v>
      </c>
      <c r="S3460" s="58">
        <v>0</v>
      </c>
      <c r="T3460" s="58">
        <v>0</v>
      </c>
      <c r="U3460" s="58">
        <v>0</v>
      </c>
      <c r="V3460" s="58">
        <v>0</v>
      </c>
      <c r="AG3460" t="s">
        <v>3170</v>
      </c>
      <c r="AM3460" s="1" t="str">
        <f t="shared" si="203"/>
        <v>3458_C0008_0535.jpg</v>
      </c>
    </row>
    <row r="3461" spans="1:39" x14ac:dyDescent="0.35">
      <c r="A3461">
        <v>3457</v>
      </c>
      <c r="B3461">
        <v>3458</v>
      </c>
      <c r="F3461" s="64" t="s">
        <v>5971</v>
      </c>
      <c r="G3461" s="64"/>
      <c r="H3461" s="64"/>
      <c r="I3461" s="64">
        <v>0</v>
      </c>
      <c r="N3461" s="4">
        <v>0</v>
      </c>
      <c r="O3461" s="58">
        <v>0</v>
      </c>
      <c r="P3461" s="58">
        <v>0</v>
      </c>
      <c r="Q3461" s="58">
        <v>0</v>
      </c>
      <c r="R3461" s="58">
        <v>0</v>
      </c>
      <c r="S3461" s="58">
        <v>0</v>
      </c>
      <c r="T3461" s="58">
        <v>0</v>
      </c>
      <c r="U3461" s="58">
        <v>0</v>
      </c>
      <c r="V3461" s="58">
        <v>0</v>
      </c>
      <c r="AG3461" t="s">
        <v>3171</v>
      </c>
      <c r="AM3461" s="1" t="str">
        <f t="shared" si="203"/>
        <v>3459_C0008_0531.jpg</v>
      </c>
    </row>
    <row r="3462" spans="1:39" x14ac:dyDescent="0.35">
      <c r="A3462">
        <v>3458</v>
      </c>
      <c r="B3462">
        <v>3459</v>
      </c>
      <c r="F3462" s="64" t="s">
        <v>5972</v>
      </c>
      <c r="G3462" s="64"/>
      <c r="H3462" s="64"/>
      <c r="I3462" s="64">
        <v>0</v>
      </c>
      <c r="N3462" s="4">
        <v>0</v>
      </c>
      <c r="O3462" s="58">
        <v>0</v>
      </c>
      <c r="P3462" s="58">
        <v>0</v>
      </c>
      <c r="Q3462" s="58">
        <v>0</v>
      </c>
      <c r="R3462" s="58">
        <v>0</v>
      </c>
      <c r="S3462" s="58">
        <v>0</v>
      </c>
      <c r="T3462" s="58">
        <v>0</v>
      </c>
      <c r="U3462" s="58">
        <v>0</v>
      </c>
      <c r="V3462" s="58">
        <v>0</v>
      </c>
      <c r="AG3462" t="s">
        <v>3172</v>
      </c>
      <c r="AM3462" s="1" t="str">
        <f t="shared" si="203"/>
        <v>3460_C0008_0528.jpg</v>
      </c>
    </row>
    <row r="3463" spans="1:39" x14ac:dyDescent="0.35">
      <c r="A3463">
        <v>3459</v>
      </c>
      <c r="B3463">
        <v>3460</v>
      </c>
      <c r="F3463" s="64" t="s">
        <v>5973</v>
      </c>
      <c r="G3463" s="64"/>
      <c r="H3463" s="64"/>
      <c r="I3463" s="64">
        <v>0</v>
      </c>
      <c r="N3463" s="4">
        <v>0</v>
      </c>
      <c r="O3463" s="58">
        <v>0</v>
      </c>
      <c r="P3463" s="58">
        <v>0</v>
      </c>
      <c r="Q3463" s="58">
        <v>0</v>
      </c>
      <c r="R3463" s="58">
        <v>0</v>
      </c>
      <c r="S3463" s="58">
        <v>0</v>
      </c>
      <c r="T3463" s="58">
        <v>0</v>
      </c>
      <c r="U3463" s="58">
        <v>0</v>
      </c>
      <c r="V3463" s="58">
        <v>0</v>
      </c>
      <c r="AG3463" t="s">
        <v>3173</v>
      </c>
      <c r="AM3463" s="1" t="str">
        <f t="shared" si="203"/>
        <v>3461_C0008_0524.jpg</v>
      </c>
    </row>
    <row r="3464" spans="1:39" x14ac:dyDescent="0.35">
      <c r="A3464">
        <v>3460</v>
      </c>
      <c r="B3464">
        <v>3461</v>
      </c>
      <c r="F3464" s="64" t="s">
        <v>5974</v>
      </c>
      <c r="G3464" s="64"/>
      <c r="H3464" s="64"/>
      <c r="I3464" s="64">
        <v>0</v>
      </c>
      <c r="N3464" s="4">
        <v>0</v>
      </c>
      <c r="O3464" s="58">
        <v>0</v>
      </c>
      <c r="P3464" s="58">
        <v>0</v>
      </c>
      <c r="Q3464" s="58">
        <v>0</v>
      </c>
      <c r="R3464" s="58">
        <v>0</v>
      </c>
      <c r="S3464" s="58">
        <v>0</v>
      </c>
      <c r="T3464" s="58">
        <v>0</v>
      </c>
      <c r="U3464" s="58">
        <v>0</v>
      </c>
      <c r="V3464" s="58">
        <v>0</v>
      </c>
      <c r="AG3464" t="s">
        <v>3174</v>
      </c>
      <c r="AM3464" s="1" t="str">
        <f t="shared" si="203"/>
        <v>3462_C0008_0521.jpg</v>
      </c>
    </row>
    <row r="3465" spans="1:39" x14ac:dyDescent="0.35">
      <c r="A3465">
        <v>3461</v>
      </c>
      <c r="B3465">
        <v>3462</v>
      </c>
      <c r="F3465" s="64" t="s">
        <v>5975</v>
      </c>
      <c r="G3465" s="64"/>
      <c r="H3465" s="64"/>
      <c r="I3465" s="64">
        <v>0</v>
      </c>
      <c r="N3465" s="4">
        <v>0</v>
      </c>
      <c r="O3465" s="58">
        <v>0</v>
      </c>
      <c r="P3465" s="58">
        <v>0</v>
      </c>
      <c r="Q3465" s="58">
        <v>0</v>
      </c>
      <c r="R3465" s="58">
        <v>0</v>
      </c>
      <c r="S3465" s="58">
        <v>0</v>
      </c>
      <c r="T3465" s="58">
        <v>0</v>
      </c>
      <c r="U3465" s="58">
        <v>0</v>
      </c>
      <c r="V3465" s="58">
        <v>0</v>
      </c>
      <c r="AG3465" t="s">
        <v>3175</v>
      </c>
      <c r="AM3465" s="1" t="str">
        <f t="shared" si="203"/>
        <v>3463_C0008_0518.jpg</v>
      </c>
    </row>
    <row r="3466" spans="1:39" x14ac:dyDescent="0.35">
      <c r="A3466">
        <v>3462</v>
      </c>
      <c r="B3466">
        <v>3463</v>
      </c>
      <c r="F3466" s="64" t="s">
        <v>5976</v>
      </c>
      <c r="G3466" s="64"/>
      <c r="H3466" s="64"/>
      <c r="I3466" s="64">
        <v>0</v>
      </c>
      <c r="N3466" s="4">
        <v>0</v>
      </c>
      <c r="O3466" s="58">
        <v>0</v>
      </c>
      <c r="P3466" s="58">
        <v>0</v>
      </c>
      <c r="Q3466" s="58">
        <v>0</v>
      </c>
      <c r="R3466" s="58">
        <v>0</v>
      </c>
      <c r="S3466" s="58">
        <v>0</v>
      </c>
      <c r="T3466" s="58">
        <v>0</v>
      </c>
      <c r="U3466" s="58">
        <v>0</v>
      </c>
      <c r="V3466" s="58">
        <v>0</v>
      </c>
      <c r="AG3466" t="s">
        <v>3176</v>
      </c>
      <c r="AM3466" s="1" t="str">
        <f t="shared" si="203"/>
        <v>3464_C0008_0515.jpg</v>
      </c>
    </row>
    <row r="3467" spans="1:39" x14ac:dyDescent="0.35">
      <c r="A3467">
        <v>3463</v>
      </c>
      <c r="B3467">
        <v>3464</v>
      </c>
      <c r="F3467" s="64" t="s">
        <v>5977</v>
      </c>
      <c r="G3467" s="64"/>
      <c r="H3467" s="64"/>
      <c r="I3467" s="64">
        <v>0</v>
      </c>
      <c r="N3467" s="4">
        <v>0</v>
      </c>
      <c r="O3467" s="58">
        <v>0</v>
      </c>
      <c r="P3467" s="58">
        <v>0</v>
      </c>
      <c r="Q3467" s="58">
        <v>0</v>
      </c>
      <c r="R3467" s="58">
        <v>0</v>
      </c>
      <c r="S3467" s="58">
        <v>0</v>
      </c>
      <c r="T3467" s="58">
        <v>0</v>
      </c>
      <c r="U3467" s="58">
        <v>0</v>
      </c>
      <c r="V3467" s="58">
        <v>0</v>
      </c>
      <c r="AG3467" t="s">
        <v>3177</v>
      </c>
      <c r="AM3467" s="1" t="str">
        <f t="shared" si="203"/>
        <v>3465_C0008_0512.jpg</v>
      </c>
    </row>
    <row r="3468" spans="1:39" x14ac:dyDescent="0.35">
      <c r="A3468">
        <v>3464</v>
      </c>
      <c r="B3468">
        <v>3465</v>
      </c>
      <c r="F3468" s="64" t="s">
        <v>5978</v>
      </c>
      <c r="G3468" s="64"/>
      <c r="H3468" s="64"/>
      <c r="I3468" s="64">
        <v>0</v>
      </c>
      <c r="N3468" s="4">
        <v>0</v>
      </c>
      <c r="O3468" s="58">
        <v>0</v>
      </c>
      <c r="P3468" s="58">
        <v>0</v>
      </c>
      <c r="Q3468" s="58">
        <v>0</v>
      </c>
      <c r="R3468" s="58">
        <v>0</v>
      </c>
      <c r="S3468" s="58">
        <v>0</v>
      </c>
      <c r="T3468" s="58">
        <v>0</v>
      </c>
      <c r="U3468" s="58">
        <v>0</v>
      </c>
      <c r="V3468" s="58">
        <v>0</v>
      </c>
      <c r="AG3468" t="s">
        <v>3178</v>
      </c>
      <c r="AM3468" s="1" t="str">
        <f t="shared" si="203"/>
        <v>3466_C0008_0509.jpg</v>
      </c>
    </row>
    <row r="3469" spans="1:39" x14ac:dyDescent="0.35">
      <c r="A3469">
        <v>3465</v>
      </c>
      <c r="B3469">
        <v>3466</v>
      </c>
      <c r="F3469" s="64" t="s">
        <v>5979</v>
      </c>
      <c r="G3469" s="64"/>
      <c r="H3469" s="64"/>
      <c r="I3469" s="64">
        <v>0</v>
      </c>
      <c r="N3469" s="4">
        <v>0</v>
      </c>
      <c r="O3469" s="58">
        <v>0</v>
      </c>
      <c r="P3469" s="58">
        <v>0</v>
      </c>
      <c r="Q3469" s="58">
        <v>0</v>
      </c>
      <c r="R3469" s="58">
        <v>0</v>
      </c>
      <c r="S3469" s="58">
        <v>0</v>
      </c>
      <c r="T3469" s="58">
        <v>0</v>
      </c>
      <c r="U3469" s="58">
        <v>0</v>
      </c>
      <c r="V3469" s="58">
        <v>0</v>
      </c>
      <c r="AG3469" t="s">
        <v>3179</v>
      </c>
      <c r="AM3469" s="1" t="str">
        <f t="shared" si="203"/>
        <v>3467_C0008_0506.jpg</v>
      </c>
    </row>
    <row r="3470" spans="1:39" x14ac:dyDescent="0.35">
      <c r="A3470">
        <v>3466</v>
      </c>
      <c r="B3470">
        <v>3467</v>
      </c>
      <c r="F3470" s="64" t="s">
        <v>5980</v>
      </c>
      <c r="G3470" s="64"/>
      <c r="H3470" s="64"/>
      <c r="I3470" s="64">
        <v>0</v>
      </c>
      <c r="N3470" s="4">
        <v>0</v>
      </c>
      <c r="O3470" s="58">
        <v>0</v>
      </c>
      <c r="P3470" s="58">
        <v>0</v>
      </c>
      <c r="Q3470" s="58">
        <v>0</v>
      </c>
      <c r="R3470" s="58">
        <v>0</v>
      </c>
      <c r="S3470" s="58">
        <v>0</v>
      </c>
      <c r="T3470" s="58">
        <v>0</v>
      </c>
      <c r="U3470" s="58">
        <v>0</v>
      </c>
      <c r="V3470" s="58">
        <v>0</v>
      </c>
      <c r="AG3470" t="s">
        <v>3180</v>
      </c>
      <c r="AM3470" s="1" t="str">
        <f t="shared" si="203"/>
        <v>3468_C0008_0503.jpg</v>
      </c>
    </row>
    <row r="3471" spans="1:39" x14ac:dyDescent="0.35">
      <c r="A3471">
        <v>3467</v>
      </c>
      <c r="B3471">
        <v>3468</v>
      </c>
      <c r="F3471" s="64" t="s">
        <v>5981</v>
      </c>
      <c r="G3471" s="64"/>
      <c r="H3471" s="64"/>
      <c r="I3471" s="64">
        <v>0</v>
      </c>
      <c r="N3471" s="4">
        <v>0</v>
      </c>
      <c r="O3471" s="58">
        <v>0</v>
      </c>
      <c r="P3471" s="58">
        <v>0</v>
      </c>
      <c r="Q3471" s="58">
        <v>0</v>
      </c>
      <c r="R3471" s="58">
        <v>0</v>
      </c>
      <c r="S3471" s="58">
        <v>0</v>
      </c>
      <c r="T3471" s="58">
        <v>0</v>
      </c>
      <c r="U3471" s="58">
        <v>0</v>
      </c>
      <c r="V3471" s="58">
        <v>0</v>
      </c>
      <c r="AG3471" t="s">
        <v>3181</v>
      </c>
      <c r="AM3471" s="1" t="str">
        <f t="shared" si="203"/>
        <v>3469_C0008_0500.jpg</v>
      </c>
    </row>
    <row r="3472" spans="1:39" x14ac:dyDescent="0.35">
      <c r="A3472">
        <v>3468</v>
      </c>
      <c r="B3472">
        <v>3469</v>
      </c>
      <c r="F3472" s="64" t="s">
        <v>5982</v>
      </c>
      <c r="G3472" s="64"/>
      <c r="H3472" s="64"/>
      <c r="I3472" s="64">
        <v>0</v>
      </c>
      <c r="N3472" s="4">
        <v>0</v>
      </c>
      <c r="O3472" s="58">
        <v>0</v>
      </c>
      <c r="P3472" s="58">
        <v>0</v>
      </c>
      <c r="Q3472" s="58">
        <v>0</v>
      </c>
      <c r="R3472" s="58">
        <v>0</v>
      </c>
      <c r="S3472" s="58">
        <v>0</v>
      </c>
      <c r="T3472" s="58">
        <v>0</v>
      </c>
      <c r="U3472" s="58">
        <v>0</v>
      </c>
      <c r="V3472" s="58">
        <v>0</v>
      </c>
      <c r="AG3472" t="s">
        <v>3182</v>
      </c>
      <c r="AM3472" s="1" t="str">
        <f t="shared" si="203"/>
        <v>3470_C0008_0495.jpg</v>
      </c>
    </row>
    <row r="3473" spans="1:39" x14ac:dyDescent="0.35">
      <c r="A3473">
        <v>3469</v>
      </c>
      <c r="B3473">
        <v>3470</v>
      </c>
      <c r="F3473" s="64" t="s">
        <v>5983</v>
      </c>
      <c r="G3473" s="64"/>
      <c r="H3473" s="64"/>
      <c r="I3473" s="64">
        <v>0</v>
      </c>
      <c r="N3473" s="4">
        <v>0</v>
      </c>
      <c r="O3473" s="58">
        <v>0</v>
      </c>
      <c r="P3473" s="58">
        <v>0</v>
      </c>
      <c r="Q3473" s="58">
        <v>0</v>
      </c>
      <c r="R3473" s="58">
        <v>0</v>
      </c>
      <c r="S3473" s="58">
        <v>0</v>
      </c>
      <c r="T3473" s="58">
        <v>0</v>
      </c>
      <c r="U3473" s="58">
        <v>0</v>
      </c>
      <c r="V3473" s="58">
        <v>0</v>
      </c>
      <c r="AG3473" t="s">
        <v>3183</v>
      </c>
      <c r="AM3473" s="1" t="str">
        <f t="shared" si="203"/>
        <v>3471_C0008_0492.jpg</v>
      </c>
    </row>
    <row r="3474" spans="1:39" x14ac:dyDescent="0.35">
      <c r="A3474">
        <v>3470</v>
      </c>
      <c r="B3474">
        <v>3471</v>
      </c>
      <c r="F3474" s="64" t="s">
        <v>5984</v>
      </c>
      <c r="G3474" s="64"/>
      <c r="H3474" s="64"/>
      <c r="I3474" s="64">
        <v>0</v>
      </c>
      <c r="N3474" s="4">
        <v>0</v>
      </c>
      <c r="O3474" s="58">
        <v>0</v>
      </c>
      <c r="P3474" s="58">
        <v>0</v>
      </c>
      <c r="Q3474" s="58">
        <v>0</v>
      </c>
      <c r="R3474" s="58">
        <v>0</v>
      </c>
      <c r="S3474" s="58">
        <v>0</v>
      </c>
      <c r="T3474" s="58">
        <v>0</v>
      </c>
      <c r="U3474" s="58">
        <v>0</v>
      </c>
      <c r="V3474" s="58">
        <v>0</v>
      </c>
      <c r="AG3474" t="s">
        <v>3184</v>
      </c>
      <c r="AM3474" s="1" t="str">
        <f t="shared" si="203"/>
        <v>3472_C0008_0488.jpg</v>
      </c>
    </row>
    <row r="3475" spans="1:39" x14ac:dyDescent="0.35">
      <c r="A3475">
        <v>3471</v>
      </c>
      <c r="B3475">
        <v>3472</v>
      </c>
      <c r="F3475" s="64" t="s">
        <v>5985</v>
      </c>
      <c r="G3475" s="64"/>
      <c r="H3475" s="64"/>
      <c r="I3475" s="64">
        <v>0</v>
      </c>
      <c r="N3475" s="4">
        <v>0</v>
      </c>
      <c r="O3475" s="58">
        <v>0</v>
      </c>
      <c r="P3475" s="58">
        <v>0</v>
      </c>
      <c r="Q3475" s="58">
        <v>0</v>
      </c>
      <c r="R3475" s="58">
        <v>0</v>
      </c>
      <c r="S3475" s="58">
        <v>0</v>
      </c>
      <c r="T3475" s="58">
        <v>0</v>
      </c>
      <c r="U3475" s="58">
        <v>0</v>
      </c>
      <c r="V3475" s="58">
        <v>0</v>
      </c>
      <c r="AG3475" t="s">
        <v>3185</v>
      </c>
      <c r="AM3475" s="1" t="str">
        <f t="shared" si="203"/>
        <v>3473_C0008_0485.jpg</v>
      </c>
    </row>
    <row r="3476" spans="1:39" x14ac:dyDescent="0.35">
      <c r="A3476">
        <v>3472</v>
      </c>
      <c r="B3476">
        <v>3473</v>
      </c>
      <c r="F3476" s="64" t="s">
        <v>5986</v>
      </c>
      <c r="G3476" s="64"/>
      <c r="H3476" s="64"/>
      <c r="I3476" s="64">
        <v>0</v>
      </c>
      <c r="N3476" s="4">
        <v>0</v>
      </c>
      <c r="O3476" s="58">
        <v>0</v>
      </c>
      <c r="P3476" s="58">
        <v>0</v>
      </c>
      <c r="Q3476" s="58">
        <v>0</v>
      </c>
      <c r="R3476" s="58">
        <v>0</v>
      </c>
      <c r="S3476" s="58">
        <v>0</v>
      </c>
      <c r="T3476" s="58">
        <v>0</v>
      </c>
      <c r="U3476" s="58">
        <v>0</v>
      </c>
      <c r="V3476" s="58">
        <v>0</v>
      </c>
      <c r="AG3476" t="s">
        <v>3186</v>
      </c>
      <c r="AM3476" s="1" t="str">
        <f t="shared" si="203"/>
        <v>3474_C0008_0482.jpg</v>
      </c>
    </row>
    <row r="3477" spans="1:39" x14ac:dyDescent="0.35">
      <c r="A3477">
        <v>3473</v>
      </c>
      <c r="B3477">
        <v>3474</v>
      </c>
      <c r="F3477" s="64" t="s">
        <v>5987</v>
      </c>
      <c r="G3477" s="64"/>
      <c r="H3477" s="64"/>
      <c r="I3477" s="64">
        <v>0</v>
      </c>
      <c r="N3477" s="4">
        <v>0</v>
      </c>
      <c r="O3477" s="58">
        <v>0</v>
      </c>
      <c r="P3477" s="58">
        <v>0</v>
      </c>
      <c r="Q3477" s="58">
        <v>0</v>
      </c>
      <c r="R3477" s="58">
        <v>0</v>
      </c>
      <c r="S3477" s="58">
        <v>0</v>
      </c>
      <c r="T3477" s="58">
        <v>0</v>
      </c>
      <c r="U3477" s="58">
        <v>0</v>
      </c>
      <c r="V3477" s="58">
        <v>0</v>
      </c>
      <c r="AG3477" t="s">
        <v>3187</v>
      </c>
      <c r="AM3477" s="1" t="str">
        <f t="shared" si="203"/>
        <v>3475_C0008_0478.jpg</v>
      </c>
    </row>
    <row r="3478" spans="1:39" x14ac:dyDescent="0.35">
      <c r="A3478">
        <v>3474</v>
      </c>
      <c r="B3478">
        <v>3475</v>
      </c>
      <c r="F3478" s="64" t="s">
        <v>5988</v>
      </c>
      <c r="G3478" s="64"/>
      <c r="H3478" s="64"/>
      <c r="I3478" s="64">
        <v>0</v>
      </c>
      <c r="N3478" s="4">
        <v>0</v>
      </c>
      <c r="O3478" s="58">
        <v>0</v>
      </c>
      <c r="P3478" s="58">
        <v>0</v>
      </c>
      <c r="Q3478" s="58">
        <v>0</v>
      </c>
      <c r="R3478" s="58">
        <v>0</v>
      </c>
      <c r="S3478" s="58">
        <v>0</v>
      </c>
      <c r="T3478" s="58">
        <v>0</v>
      </c>
      <c r="U3478" s="58">
        <v>0</v>
      </c>
      <c r="V3478" s="58">
        <v>0</v>
      </c>
      <c r="AG3478" t="s">
        <v>3188</v>
      </c>
      <c r="AM3478" s="1" t="str">
        <f t="shared" si="203"/>
        <v>3476_C0008_0474.jpg</v>
      </c>
    </row>
    <row r="3479" spans="1:39" x14ac:dyDescent="0.35">
      <c r="A3479">
        <v>3475</v>
      </c>
      <c r="B3479">
        <v>3476</v>
      </c>
      <c r="F3479" s="64" t="s">
        <v>5989</v>
      </c>
      <c r="G3479" s="64"/>
      <c r="H3479" s="64"/>
      <c r="I3479" s="64">
        <v>0</v>
      </c>
      <c r="N3479" s="4">
        <v>0</v>
      </c>
      <c r="O3479" s="58">
        <v>0</v>
      </c>
      <c r="P3479" s="58">
        <v>0</v>
      </c>
      <c r="Q3479" s="58">
        <v>0</v>
      </c>
      <c r="R3479" s="58">
        <v>0</v>
      </c>
      <c r="S3479" s="58">
        <v>0</v>
      </c>
      <c r="T3479" s="58">
        <v>0</v>
      </c>
      <c r="U3479" s="58">
        <v>0</v>
      </c>
      <c r="V3479" s="58">
        <v>0</v>
      </c>
      <c r="AG3479" t="s">
        <v>3189</v>
      </c>
      <c r="AM3479" s="1" t="str">
        <f t="shared" si="203"/>
        <v>3477_C0008_0470.jpg</v>
      </c>
    </row>
    <row r="3480" spans="1:39" x14ac:dyDescent="0.35">
      <c r="A3480">
        <v>3476</v>
      </c>
      <c r="B3480">
        <v>3477</v>
      </c>
      <c r="F3480" s="64" t="s">
        <v>5990</v>
      </c>
      <c r="G3480" s="64"/>
      <c r="H3480" s="64"/>
      <c r="I3480" s="64">
        <v>0</v>
      </c>
      <c r="N3480" s="4">
        <v>0</v>
      </c>
      <c r="O3480" s="58">
        <v>0</v>
      </c>
      <c r="P3480" s="58">
        <v>0</v>
      </c>
      <c r="Q3480" s="58">
        <v>0</v>
      </c>
      <c r="R3480" s="58">
        <v>0</v>
      </c>
      <c r="S3480" s="58">
        <v>0</v>
      </c>
      <c r="T3480" s="58">
        <v>0</v>
      </c>
      <c r="U3480" s="58">
        <v>0</v>
      </c>
      <c r="V3480" s="58">
        <v>0</v>
      </c>
      <c r="AG3480" t="s">
        <v>3190</v>
      </c>
      <c r="AM3480" s="1" t="str">
        <f t="shared" si="203"/>
        <v>3478_C0008_0467.jpg</v>
      </c>
    </row>
    <row r="3481" spans="1:39" x14ac:dyDescent="0.35">
      <c r="A3481">
        <v>3477</v>
      </c>
      <c r="B3481">
        <v>3478</v>
      </c>
      <c r="F3481" s="64" t="s">
        <v>5991</v>
      </c>
      <c r="G3481" s="64"/>
      <c r="H3481" s="64"/>
      <c r="I3481" s="64">
        <v>0</v>
      </c>
      <c r="N3481" s="4">
        <v>0</v>
      </c>
      <c r="O3481" s="58">
        <v>0</v>
      </c>
      <c r="P3481" s="58">
        <v>0</v>
      </c>
      <c r="Q3481" s="58">
        <v>0</v>
      </c>
      <c r="R3481" s="58">
        <v>0</v>
      </c>
      <c r="S3481" s="58">
        <v>0</v>
      </c>
      <c r="T3481" s="58">
        <v>0</v>
      </c>
      <c r="U3481" s="58">
        <v>0</v>
      </c>
      <c r="V3481" s="58">
        <v>0</v>
      </c>
      <c r="AG3481" t="s">
        <v>3191</v>
      </c>
      <c r="AM3481" s="1" t="str">
        <f t="shared" si="203"/>
        <v>3479_C0008_0464.jpg</v>
      </c>
    </row>
    <row r="3482" spans="1:39" x14ac:dyDescent="0.35">
      <c r="A3482">
        <v>3478</v>
      </c>
      <c r="B3482">
        <v>3479</v>
      </c>
      <c r="F3482" s="64" t="s">
        <v>5992</v>
      </c>
      <c r="G3482" s="64"/>
      <c r="H3482" s="64"/>
      <c r="I3482" s="64">
        <v>0</v>
      </c>
      <c r="N3482" s="4">
        <v>0</v>
      </c>
      <c r="O3482" s="58">
        <v>0</v>
      </c>
      <c r="P3482" s="58">
        <v>0</v>
      </c>
      <c r="Q3482" s="58">
        <v>0</v>
      </c>
      <c r="R3482" s="58">
        <v>0</v>
      </c>
      <c r="S3482" s="58">
        <v>0</v>
      </c>
      <c r="T3482" s="58">
        <v>0</v>
      </c>
      <c r="U3482" s="58">
        <v>0</v>
      </c>
      <c r="V3482" s="58">
        <v>0</v>
      </c>
      <c r="AG3482" t="s">
        <v>3192</v>
      </c>
      <c r="AM3482" s="1" t="str">
        <f t="shared" si="203"/>
        <v>3480_C0008_0461.jpg</v>
      </c>
    </row>
    <row r="3483" spans="1:39" x14ac:dyDescent="0.35">
      <c r="A3483">
        <v>3479</v>
      </c>
      <c r="B3483">
        <v>3480</v>
      </c>
      <c r="F3483" s="64" t="s">
        <v>5993</v>
      </c>
      <c r="G3483" s="64"/>
      <c r="H3483" s="64"/>
      <c r="I3483" s="64">
        <v>0</v>
      </c>
      <c r="N3483" s="4">
        <v>0</v>
      </c>
      <c r="O3483" s="58">
        <v>0</v>
      </c>
      <c r="P3483" s="58">
        <v>0</v>
      </c>
      <c r="Q3483" s="58">
        <v>0</v>
      </c>
      <c r="R3483" s="58">
        <v>0</v>
      </c>
      <c r="S3483" s="58">
        <v>0</v>
      </c>
      <c r="T3483" s="58">
        <v>0</v>
      </c>
      <c r="U3483" s="58">
        <v>0</v>
      </c>
      <c r="V3483" s="58">
        <v>0</v>
      </c>
      <c r="AG3483" t="s">
        <v>3193</v>
      </c>
      <c r="AM3483" s="1" t="str">
        <f t="shared" si="203"/>
        <v>3481_C0008_0458.jpg</v>
      </c>
    </row>
    <row r="3484" spans="1:39" x14ac:dyDescent="0.35">
      <c r="A3484">
        <v>3480</v>
      </c>
      <c r="B3484">
        <v>3481</v>
      </c>
      <c r="F3484" s="64" t="s">
        <v>5994</v>
      </c>
      <c r="G3484" s="64"/>
      <c r="H3484" s="64"/>
      <c r="I3484" s="64">
        <v>0</v>
      </c>
      <c r="N3484" s="4">
        <v>0</v>
      </c>
      <c r="O3484" s="58">
        <v>0</v>
      </c>
      <c r="P3484" s="58">
        <v>0</v>
      </c>
      <c r="Q3484" s="58">
        <v>0</v>
      </c>
      <c r="R3484" s="58">
        <v>0</v>
      </c>
      <c r="S3484" s="58">
        <v>0</v>
      </c>
      <c r="T3484" s="58">
        <v>0</v>
      </c>
      <c r="U3484" s="58">
        <v>0</v>
      </c>
      <c r="V3484" s="58">
        <v>0</v>
      </c>
      <c r="AG3484" t="s">
        <v>3194</v>
      </c>
      <c r="AM3484" s="1" t="str">
        <f t="shared" si="203"/>
        <v>3482_C0008_0454.jpg</v>
      </c>
    </row>
    <row r="3485" spans="1:39" x14ac:dyDescent="0.35">
      <c r="A3485">
        <v>3481</v>
      </c>
      <c r="B3485">
        <v>3482</v>
      </c>
      <c r="F3485" s="64" t="s">
        <v>5995</v>
      </c>
      <c r="G3485" s="64"/>
      <c r="H3485" s="64"/>
      <c r="I3485" s="64">
        <v>0</v>
      </c>
      <c r="N3485" s="4">
        <v>0</v>
      </c>
      <c r="O3485" s="58">
        <v>0</v>
      </c>
      <c r="P3485" s="58">
        <v>0</v>
      </c>
      <c r="Q3485" s="58">
        <v>0</v>
      </c>
      <c r="R3485" s="58">
        <v>0</v>
      </c>
      <c r="S3485" s="58">
        <v>0</v>
      </c>
      <c r="T3485" s="58">
        <v>0</v>
      </c>
      <c r="U3485" s="58">
        <v>0</v>
      </c>
      <c r="V3485" s="58">
        <v>0</v>
      </c>
      <c r="AG3485" t="s">
        <v>3195</v>
      </c>
      <c r="AM3485" s="1" t="str">
        <f t="shared" si="203"/>
        <v>3483_C0008_0451.jpg</v>
      </c>
    </row>
    <row r="3486" spans="1:39" x14ac:dyDescent="0.35">
      <c r="A3486">
        <v>3482</v>
      </c>
      <c r="B3486">
        <v>3483</v>
      </c>
      <c r="F3486" s="64" t="s">
        <v>5996</v>
      </c>
      <c r="G3486" s="64"/>
      <c r="H3486" s="64"/>
      <c r="I3486" s="64">
        <v>0</v>
      </c>
      <c r="N3486" s="4">
        <v>0</v>
      </c>
      <c r="O3486" s="58">
        <v>0</v>
      </c>
      <c r="P3486" s="58">
        <v>0</v>
      </c>
      <c r="Q3486" s="58">
        <v>0</v>
      </c>
      <c r="R3486" s="58">
        <v>0</v>
      </c>
      <c r="S3486" s="58">
        <v>0</v>
      </c>
      <c r="T3486" s="58">
        <v>0</v>
      </c>
      <c r="U3486" s="58">
        <v>0</v>
      </c>
      <c r="V3486" s="58">
        <v>0</v>
      </c>
      <c r="AG3486" t="s">
        <v>3196</v>
      </c>
      <c r="AM3486" s="1" t="str">
        <f t="shared" si="203"/>
        <v>3484_C0008_0447.jpg</v>
      </c>
    </row>
    <row r="3487" spans="1:39" x14ac:dyDescent="0.35">
      <c r="A3487">
        <v>3483</v>
      </c>
      <c r="B3487">
        <v>3484</v>
      </c>
      <c r="F3487" s="64" t="s">
        <v>5997</v>
      </c>
      <c r="G3487" s="64"/>
      <c r="H3487" s="64"/>
      <c r="I3487" s="64">
        <v>0</v>
      </c>
      <c r="N3487" s="4">
        <v>0</v>
      </c>
      <c r="O3487" s="58">
        <v>0</v>
      </c>
      <c r="P3487" s="58">
        <v>0</v>
      </c>
      <c r="Q3487" s="58">
        <v>0</v>
      </c>
      <c r="R3487" s="58">
        <v>0</v>
      </c>
      <c r="S3487" s="58">
        <v>0</v>
      </c>
      <c r="T3487" s="58">
        <v>0</v>
      </c>
      <c r="U3487" s="58">
        <v>0</v>
      </c>
      <c r="V3487" s="58">
        <v>0</v>
      </c>
      <c r="AG3487" t="s">
        <v>3197</v>
      </c>
      <c r="AM3487" s="1" t="str">
        <f t="shared" si="203"/>
        <v>3485_C0008_0443.jpg</v>
      </c>
    </row>
    <row r="3488" spans="1:39" x14ac:dyDescent="0.35">
      <c r="A3488">
        <v>3484</v>
      </c>
      <c r="B3488">
        <v>3485</v>
      </c>
      <c r="F3488" s="64" t="s">
        <v>5998</v>
      </c>
      <c r="G3488" s="64"/>
      <c r="H3488" s="64"/>
      <c r="I3488" s="64">
        <v>0</v>
      </c>
      <c r="N3488" s="4">
        <v>0</v>
      </c>
      <c r="O3488" s="58">
        <v>0</v>
      </c>
      <c r="P3488" s="58">
        <v>0</v>
      </c>
      <c r="Q3488" s="58">
        <v>0</v>
      </c>
      <c r="R3488" s="58">
        <v>0</v>
      </c>
      <c r="S3488" s="58">
        <v>0</v>
      </c>
      <c r="T3488" s="58">
        <v>0</v>
      </c>
      <c r="U3488" s="58">
        <v>0</v>
      </c>
      <c r="V3488" s="58">
        <v>0</v>
      </c>
      <c r="AG3488" t="s">
        <v>3198</v>
      </c>
      <c r="AM3488" s="1" t="str">
        <f t="shared" si="203"/>
        <v>3486_C0008_0441.jpg</v>
      </c>
    </row>
    <row r="3489" spans="1:39" x14ac:dyDescent="0.35">
      <c r="A3489">
        <v>3485</v>
      </c>
      <c r="B3489">
        <v>3486</v>
      </c>
      <c r="F3489" s="64" t="s">
        <v>5999</v>
      </c>
      <c r="G3489" s="64"/>
      <c r="H3489" s="64"/>
      <c r="I3489" s="64">
        <v>0</v>
      </c>
      <c r="N3489" s="4">
        <v>0</v>
      </c>
      <c r="O3489" s="58">
        <v>0</v>
      </c>
      <c r="P3489" s="58">
        <v>0</v>
      </c>
      <c r="Q3489" s="58">
        <v>0</v>
      </c>
      <c r="R3489" s="58">
        <v>0</v>
      </c>
      <c r="S3489" s="58">
        <v>0</v>
      </c>
      <c r="T3489" s="58">
        <v>0</v>
      </c>
      <c r="U3489" s="58">
        <v>0</v>
      </c>
      <c r="V3489" s="58">
        <v>0</v>
      </c>
      <c r="AG3489" t="s">
        <v>3199</v>
      </c>
      <c r="AM3489" s="1" t="str">
        <f t="shared" si="203"/>
        <v>3487_C0008_0438.jpg</v>
      </c>
    </row>
    <row r="3490" spans="1:39" x14ac:dyDescent="0.35">
      <c r="A3490">
        <v>3486</v>
      </c>
      <c r="B3490">
        <v>3487</v>
      </c>
      <c r="F3490" s="64" t="s">
        <v>6000</v>
      </c>
      <c r="G3490" s="64"/>
      <c r="H3490" s="64"/>
      <c r="I3490" s="64">
        <v>0</v>
      </c>
      <c r="N3490" s="4">
        <v>0</v>
      </c>
      <c r="O3490" s="58">
        <v>0</v>
      </c>
      <c r="P3490" s="58">
        <v>0</v>
      </c>
      <c r="Q3490" s="58">
        <v>0</v>
      </c>
      <c r="R3490" s="58">
        <v>0</v>
      </c>
      <c r="S3490" s="58">
        <v>0</v>
      </c>
      <c r="T3490" s="58">
        <v>0</v>
      </c>
      <c r="U3490" s="58">
        <v>0</v>
      </c>
      <c r="V3490" s="58">
        <v>0</v>
      </c>
      <c r="AG3490" t="s">
        <v>3200</v>
      </c>
      <c r="AM3490" s="1" t="str">
        <f t="shared" si="203"/>
        <v>3488_C0008_0436.jpg</v>
      </c>
    </row>
    <row r="3491" spans="1:39" x14ac:dyDescent="0.35">
      <c r="A3491">
        <v>3487</v>
      </c>
      <c r="B3491">
        <v>3488</v>
      </c>
      <c r="F3491" s="64" t="s">
        <v>6001</v>
      </c>
      <c r="G3491" s="64"/>
      <c r="H3491" s="64"/>
      <c r="I3491" s="64">
        <v>0</v>
      </c>
      <c r="N3491" s="4">
        <v>0</v>
      </c>
      <c r="O3491" s="58">
        <v>0</v>
      </c>
      <c r="P3491" s="58">
        <v>0</v>
      </c>
      <c r="Q3491" s="58">
        <v>0</v>
      </c>
      <c r="R3491" s="58">
        <v>0</v>
      </c>
      <c r="S3491" s="58">
        <v>0</v>
      </c>
      <c r="T3491" s="58">
        <v>0</v>
      </c>
      <c r="U3491" s="58">
        <v>0</v>
      </c>
      <c r="V3491" s="58">
        <v>0</v>
      </c>
      <c r="AG3491" t="s">
        <v>3201</v>
      </c>
      <c r="AM3491" s="1" t="str">
        <f t="shared" si="203"/>
        <v>3489_C0008_0434.jpg</v>
      </c>
    </row>
    <row r="3492" spans="1:39" x14ac:dyDescent="0.35">
      <c r="A3492">
        <v>3488</v>
      </c>
      <c r="B3492">
        <v>3489</v>
      </c>
      <c r="F3492" s="64" t="s">
        <v>6002</v>
      </c>
      <c r="G3492" s="64"/>
      <c r="H3492" s="64"/>
      <c r="I3492" s="64">
        <v>0</v>
      </c>
      <c r="N3492" s="4">
        <v>0</v>
      </c>
      <c r="O3492" s="58">
        <v>0</v>
      </c>
      <c r="P3492" s="58">
        <v>0</v>
      </c>
      <c r="Q3492" s="58">
        <v>0</v>
      </c>
      <c r="R3492" s="58">
        <v>0</v>
      </c>
      <c r="S3492" s="58">
        <v>0</v>
      </c>
      <c r="T3492" s="58">
        <v>0</v>
      </c>
      <c r="U3492" s="58">
        <v>0</v>
      </c>
      <c r="V3492" s="58">
        <v>0</v>
      </c>
      <c r="AG3492" t="s">
        <v>3202</v>
      </c>
      <c r="AM3492" s="1" t="str">
        <f t="shared" si="203"/>
        <v>3490_C0008_0431.jpg</v>
      </c>
    </row>
    <row r="3493" spans="1:39" x14ac:dyDescent="0.35">
      <c r="A3493">
        <v>3489</v>
      </c>
      <c r="B3493">
        <v>3490</v>
      </c>
      <c r="F3493" s="64" t="s">
        <v>6003</v>
      </c>
      <c r="G3493" s="64"/>
      <c r="H3493" s="64"/>
      <c r="I3493" s="64">
        <v>0</v>
      </c>
      <c r="N3493" s="4">
        <v>0</v>
      </c>
      <c r="O3493" s="58">
        <v>0</v>
      </c>
      <c r="P3493" s="58">
        <v>0</v>
      </c>
      <c r="Q3493" s="58">
        <v>0</v>
      </c>
      <c r="R3493" s="58">
        <v>0</v>
      </c>
      <c r="S3493" s="58">
        <v>0</v>
      </c>
      <c r="T3493" s="58">
        <v>0</v>
      </c>
      <c r="U3493" s="58">
        <v>0</v>
      </c>
      <c r="V3493" s="58">
        <v>0</v>
      </c>
      <c r="AG3493" t="s">
        <v>3203</v>
      </c>
      <c r="AM3493" s="1" t="str">
        <f t="shared" si="203"/>
        <v>3491_C0008_0428.jpg</v>
      </c>
    </row>
    <row r="3494" spans="1:39" x14ac:dyDescent="0.35">
      <c r="A3494">
        <v>3490</v>
      </c>
      <c r="B3494">
        <v>3491</v>
      </c>
      <c r="F3494" s="64" t="s">
        <v>6004</v>
      </c>
      <c r="G3494" s="64"/>
      <c r="H3494" s="64"/>
      <c r="I3494" s="64">
        <v>0</v>
      </c>
      <c r="N3494" s="4">
        <v>0</v>
      </c>
      <c r="O3494" s="58">
        <v>0</v>
      </c>
      <c r="P3494" s="58">
        <v>0</v>
      </c>
      <c r="Q3494" s="58">
        <v>0</v>
      </c>
      <c r="R3494" s="58">
        <v>0</v>
      </c>
      <c r="S3494" s="58">
        <v>0</v>
      </c>
      <c r="T3494" s="58">
        <v>0</v>
      </c>
      <c r="U3494" s="58">
        <v>0</v>
      </c>
      <c r="V3494" s="58">
        <v>0</v>
      </c>
      <c r="AG3494" t="s">
        <v>3204</v>
      </c>
      <c r="AM3494" s="1" t="str">
        <f t="shared" si="203"/>
        <v>3492_C0008_0427.jpg</v>
      </c>
    </row>
    <row r="3495" spans="1:39" x14ac:dyDescent="0.35">
      <c r="A3495">
        <v>3491</v>
      </c>
      <c r="B3495">
        <v>3492</v>
      </c>
      <c r="F3495" s="64" t="s">
        <v>6005</v>
      </c>
      <c r="G3495" s="64"/>
      <c r="H3495" s="64"/>
      <c r="I3495" s="64">
        <v>0</v>
      </c>
      <c r="N3495" s="4">
        <v>0</v>
      </c>
      <c r="O3495" s="58">
        <v>0</v>
      </c>
      <c r="P3495" s="58">
        <v>0</v>
      </c>
      <c r="Q3495" s="58">
        <v>0</v>
      </c>
      <c r="R3495" s="58">
        <v>0</v>
      </c>
      <c r="S3495" s="58">
        <v>0</v>
      </c>
      <c r="T3495" s="58">
        <v>0</v>
      </c>
      <c r="U3495" s="58">
        <v>0</v>
      </c>
      <c r="V3495" s="58">
        <v>0</v>
      </c>
      <c r="AG3495" t="s">
        <v>3205</v>
      </c>
      <c r="AM3495" s="1" t="str">
        <f t="shared" si="203"/>
        <v>3493_C0008_0425.jpg</v>
      </c>
    </row>
    <row r="3496" spans="1:39" x14ac:dyDescent="0.35">
      <c r="A3496">
        <v>3492</v>
      </c>
      <c r="B3496">
        <v>3493</v>
      </c>
      <c r="F3496" s="64" t="s">
        <v>6006</v>
      </c>
      <c r="G3496" s="64"/>
      <c r="H3496" s="64"/>
      <c r="I3496" s="64">
        <v>0</v>
      </c>
      <c r="N3496" s="4">
        <v>0</v>
      </c>
      <c r="O3496" s="58">
        <v>0</v>
      </c>
      <c r="P3496" s="58">
        <v>0</v>
      </c>
      <c r="Q3496" s="58">
        <v>0</v>
      </c>
      <c r="R3496" s="58">
        <v>0</v>
      </c>
      <c r="S3496" s="58">
        <v>0</v>
      </c>
      <c r="T3496" s="58">
        <v>0</v>
      </c>
      <c r="U3496" s="58">
        <v>0</v>
      </c>
      <c r="V3496" s="58">
        <v>0</v>
      </c>
      <c r="AG3496" t="s">
        <v>3206</v>
      </c>
      <c r="AM3496" s="1" t="str">
        <f t="shared" si="203"/>
        <v>3494_C0008_0422.jpg</v>
      </c>
    </row>
    <row r="3497" spans="1:39" x14ac:dyDescent="0.35">
      <c r="A3497">
        <v>3493</v>
      </c>
      <c r="B3497">
        <v>3494</v>
      </c>
      <c r="F3497" s="64" t="s">
        <v>6007</v>
      </c>
      <c r="G3497" s="64"/>
      <c r="H3497" s="64"/>
      <c r="I3497" s="64">
        <v>0</v>
      </c>
      <c r="N3497" s="4">
        <v>0</v>
      </c>
      <c r="O3497" s="58">
        <v>0</v>
      </c>
      <c r="P3497" s="58">
        <v>0</v>
      </c>
      <c r="Q3497" s="58">
        <v>0</v>
      </c>
      <c r="R3497" s="58">
        <v>0</v>
      </c>
      <c r="S3497" s="58">
        <v>0</v>
      </c>
      <c r="T3497" s="58">
        <v>0</v>
      </c>
      <c r="U3497" s="58">
        <v>0</v>
      </c>
      <c r="V3497" s="58">
        <v>0</v>
      </c>
      <c r="AG3497" t="s">
        <v>3207</v>
      </c>
      <c r="AM3497" s="1" t="str">
        <f t="shared" si="203"/>
        <v>3495_C0008_0419.jpg</v>
      </c>
    </row>
    <row r="3498" spans="1:39" x14ac:dyDescent="0.35">
      <c r="A3498">
        <v>3494</v>
      </c>
      <c r="B3498">
        <v>3495</v>
      </c>
      <c r="F3498" s="64" t="s">
        <v>6008</v>
      </c>
      <c r="G3498" s="64"/>
      <c r="H3498" s="64"/>
      <c r="I3498" s="64">
        <v>0</v>
      </c>
      <c r="N3498" s="4">
        <v>0</v>
      </c>
      <c r="O3498" s="58">
        <v>0</v>
      </c>
      <c r="P3498" s="58">
        <v>0</v>
      </c>
      <c r="Q3498" s="58">
        <v>0</v>
      </c>
      <c r="R3498" s="58">
        <v>0</v>
      </c>
      <c r="S3498" s="58">
        <v>0</v>
      </c>
      <c r="T3498" s="58">
        <v>0</v>
      </c>
      <c r="U3498" s="58">
        <v>0</v>
      </c>
      <c r="V3498" s="58">
        <v>0</v>
      </c>
      <c r="AG3498" t="s">
        <v>3208</v>
      </c>
      <c r="AM3498" s="1" t="str">
        <f t="shared" si="203"/>
        <v>3496_C0008_0417.jpg</v>
      </c>
    </row>
    <row r="3499" spans="1:39" x14ac:dyDescent="0.35">
      <c r="A3499">
        <v>3495</v>
      </c>
      <c r="B3499">
        <v>3496</v>
      </c>
      <c r="F3499" s="64" t="s">
        <v>6009</v>
      </c>
      <c r="G3499" s="64"/>
      <c r="H3499" s="64"/>
      <c r="I3499" s="64">
        <v>0</v>
      </c>
      <c r="N3499" s="4">
        <v>0</v>
      </c>
      <c r="O3499" s="58">
        <v>0</v>
      </c>
      <c r="P3499" s="58">
        <v>0</v>
      </c>
      <c r="Q3499" s="58">
        <v>0</v>
      </c>
      <c r="R3499" s="58">
        <v>0</v>
      </c>
      <c r="S3499" s="58">
        <v>0</v>
      </c>
      <c r="T3499" s="58">
        <v>0</v>
      </c>
      <c r="U3499" s="58">
        <v>0</v>
      </c>
      <c r="V3499" s="58">
        <v>0</v>
      </c>
      <c r="AG3499" t="s">
        <v>3209</v>
      </c>
      <c r="AM3499" s="1" t="str">
        <f t="shared" si="203"/>
        <v>3497_C0008_0412.jpg</v>
      </c>
    </row>
    <row r="3500" spans="1:39" x14ac:dyDescent="0.35">
      <c r="A3500">
        <v>3496</v>
      </c>
      <c r="B3500">
        <v>3497</v>
      </c>
      <c r="F3500" s="64" t="s">
        <v>6010</v>
      </c>
      <c r="G3500" s="64"/>
      <c r="H3500" s="64"/>
      <c r="I3500" s="64">
        <v>0</v>
      </c>
      <c r="N3500" s="4">
        <v>0</v>
      </c>
      <c r="O3500" s="58">
        <v>0</v>
      </c>
      <c r="P3500" s="58">
        <v>0</v>
      </c>
      <c r="Q3500" s="58">
        <v>0</v>
      </c>
      <c r="R3500" s="58">
        <v>0</v>
      </c>
      <c r="S3500" s="58">
        <v>0</v>
      </c>
      <c r="T3500" s="58">
        <v>0</v>
      </c>
      <c r="U3500" s="58">
        <v>0</v>
      </c>
      <c r="V3500" s="58">
        <v>0</v>
      </c>
      <c r="AG3500" t="s">
        <v>3210</v>
      </c>
      <c r="AM3500" s="1" t="str">
        <f t="shared" si="203"/>
        <v>3498_C0008_0409.jpg</v>
      </c>
    </row>
    <row r="3501" spans="1:39" x14ac:dyDescent="0.35">
      <c r="A3501">
        <v>3497</v>
      </c>
      <c r="B3501">
        <v>3498</v>
      </c>
      <c r="F3501" s="64" t="s">
        <v>6011</v>
      </c>
      <c r="G3501" s="64"/>
      <c r="H3501" s="64"/>
      <c r="I3501" s="64">
        <v>0</v>
      </c>
      <c r="N3501" s="4">
        <v>0</v>
      </c>
      <c r="O3501" s="58">
        <v>0</v>
      </c>
      <c r="P3501" s="58">
        <v>0</v>
      </c>
      <c r="Q3501" s="58">
        <v>0</v>
      </c>
      <c r="R3501" s="58">
        <v>0</v>
      </c>
      <c r="S3501" s="58">
        <v>0</v>
      </c>
      <c r="T3501" s="58">
        <v>0</v>
      </c>
      <c r="U3501" s="58">
        <v>0</v>
      </c>
      <c r="V3501" s="58">
        <v>0</v>
      </c>
      <c r="AG3501" t="s">
        <v>3211</v>
      </c>
      <c r="AM3501" s="1" t="str">
        <f t="shared" si="203"/>
        <v>3499_C0008_0407.jpg</v>
      </c>
    </row>
    <row r="3502" spans="1:39" x14ac:dyDescent="0.35">
      <c r="A3502">
        <v>3498</v>
      </c>
      <c r="B3502">
        <v>3499</v>
      </c>
      <c r="F3502" s="64" t="s">
        <v>6012</v>
      </c>
      <c r="G3502" s="64"/>
      <c r="H3502" s="64"/>
      <c r="I3502" s="64">
        <v>0</v>
      </c>
      <c r="N3502" s="4">
        <v>0</v>
      </c>
      <c r="O3502" s="58">
        <v>0</v>
      </c>
      <c r="P3502" s="58">
        <v>0</v>
      </c>
      <c r="Q3502" s="58">
        <v>0</v>
      </c>
      <c r="R3502" s="58">
        <v>0</v>
      </c>
      <c r="S3502" s="58">
        <v>0</v>
      </c>
      <c r="T3502" s="58">
        <v>0</v>
      </c>
      <c r="U3502" s="58">
        <v>0</v>
      </c>
      <c r="V3502" s="58">
        <v>0</v>
      </c>
      <c r="AG3502" t="s">
        <v>3212</v>
      </c>
      <c r="AM3502" s="1" t="str">
        <f t="shared" si="203"/>
        <v>3500_C0008_0404.jpg</v>
      </c>
    </row>
    <row r="3503" spans="1:39" x14ac:dyDescent="0.35">
      <c r="A3503">
        <v>3499</v>
      </c>
      <c r="B3503">
        <v>3500</v>
      </c>
      <c r="F3503" s="64" t="s">
        <v>6013</v>
      </c>
      <c r="G3503" s="64"/>
      <c r="H3503" s="64"/>
      <c r="I3503" s="64">
        <v>0</v>
      </c>
      <c r="N3503" s="4">
        <v>0</v>
      </c>
      <c r="O3503" s="58">
        <v>0</v>
      </c>
      <c r="P3503" s="58">
        <v>0</v>
      </c>
      <c r="Q3503" s="58">
        <v>0</v>
      </c>
      <c r="R3503" s="58">
        <v>0</v>
      </c>
      <c r="S3503" s="58">
        <v>0</v>
      </c>
      <c r="T3503" s="58">
        <v>0</v>
      </c>
      <c r="U3503" s="58">
        <v>0</v>
      </c>
      <c r="V3503" s="58">
        <v>0</v>
      </c>
      <c r="AG3503" t="s">
        <v>3213</v>
      </c>
      <c r="AM3503" s="1" t="str">
        <f t="shared" si="203"/>
        <v>3501_C0008_0402.jpg</v>
      </c>
    </row>
    <row r="3504" spans="1:39" x14ac:dyDescent="0.35">
      <c r="A3504">
        <v>3500</v>
      </c>
      <c r="B3504">
        <v>3501</v>
      </c>
      <c r="F3504" s="64" t="s">
        <v>6014</v>
      </c>
      <c r="G3504" s="64"/>
      <c r="H3504" s="64"/>
      <c r="I3504" s="64">
        <v>0</v>
      </c>
      <c r="N3504" s="4">
        <v>0</v>
      </c>
      <c r="O3504" s="58">
        <v>0</v>
      </c>
      <c r="P3504" s="58">
        <v>0</v>
      </c>
      <c r="Q3504" s="58">
        <v>0</v>
      </c>
      <c r="R3504" s="58">
        <v>0</v>
      </c>
      <c r="S3504" s="58">
        <v>0</v>
      </c>
      <c r="T3504" s="58">
        <v>0</v>
      </c>
      <c r="U3504" s="58">
        <v>0</v>
      </c>
      <c r="V3504" s="58">
        <v>0</v>
      </c>
      <c r="AG3504" t="s">
        <v>3214</v>
      </c>
      <c r="AM3504" s="1" t="str">
        <f t="shared" ref="AM3504:AM3567" si="204">HYPERLINK("E:\CAFNEC_GBRF\2023\JohnstoneRiver\Frames_for_Analysis\" &amp; F3505, F3505)</f>
        <v>3502_C0008_0398.jpg</v>
      </c>
    </row>
    <row r="3505" spans="1:39" x14ac:dyDescent="0.35">
      <c r="A3505">
        <v>3501</v>
      </c>
      <c r="B3505">
        <v>3502</v>
      </c>
      <c r="F3505" s="64" t="s">
        <v>6015</v>
      </c>
      <c r="G3505" s="64"/>
      <c r="H3505" s="64"/>
      <c r="I3505" s="64">
        <v>0</v>
      </c>
      <c r="N3505" s="4">
        <v>0</v>
      </c>
      <c r="O3505" s="58">
        <v>0</v>
      </c>
      <c r="P3505" s="58">
        <v>0</v>
      </c>
      <c r="Q3505" s="58">
        <v>0</v>
      </c>
      <c r="R3505" s="58">
        <v>0</v>
      </c>
      <c r="S3505" s="58">
        <v>0</v>
      </c>
      <c r="T3505" s="58">
        <v>0</v>
      </c>
      <c r="U3505" s="58">
        <v>0</v>
      </c>
      <c r="V3505" s="58">
        <v>0</v>
      </c>
      <c r="AG3505" t="s">
        <v>3215</v>
      </c>
      <c r="AM3505" s="1" t="str">
        <f t="shared" si="204"/>
        <v>3503_C0008_0395.jpg</v>
      </c>
    </row>
    <row r="3506" spans="1:39" x14ac:dyDescent="0.35">
      <c r="A3506">
        <v>3502</v>
      </c>
      <c r="B3506">
        <v>3503</v>
      </c>
      <c r="F3506" s="64" t="s">
        <v>6016</v>
      </c>
      <c r="G3506" s="64"/>
      <c r="H3506" s="64"/>
      <c r="I3506" s="64">
        <v>0</v>
      </c>
      <c r="N3506" s="4">
        <v>0</v>
      </c>
      <c r="O3506" s="58">
        <v>0</v>
      </c>
      <c r="P3506" s="58">
        <v>0</v>
      </c>
      <c r="Q3506" s="58">
        <v>0</v>
      </c>
      <c r="R3506" s="58">
        <v>0</v>
      </c>
      <c r="S3506" s="58">
        <v>0</v>
      </c>
      <c r="T3506" s="58">
        <v>0</v>
      </c>
      <c r="U3506" s="58">
        <v>0</v>
      </c>
      <c r="V3506" s="58">
        <v>0</v>
      </c>
      <c r="AG3506" t="s">
        <v>3216</v>
      </c>
      <c r="AM3506" s="1" t="str">
        <f t="shared" si="204"/>
        <v>3504_C0008_0392.jpg</v>
      </c>
    </row>
    <row r="3507" spans="1:39" x14ac:dyDescent="0.35">
      <c r="A3507">
        <v>3503</v>
      </c>
      <c r="B3507">
        <v>3504</v>
      </c>
      <c r="F3507" s="64" t="s">
        <v>6017</v>
      </c>
      <c r="G3507" s="64"/>
      <c r="H3507" s="64"/>
      <c r="I3507" s="64">
        <v>0</v>
      </c>
      <c r="N3507" s="4">
        <v>0</v>
      </c>
      <c r="O3507" s="58">
        <v>0</v>
      </c>
      <c r="P3507" s="58">
        <v>0</v>
      </c>
      <c r="Q3507" s="58">
        <v>0</v>
      </c>
      <c r="R3507" s="58">
        <v>0</v>
      </c>
      <c r="S3507" s="58">
        <v>0</v>
      </c>
      <c r="T3507" s="58">
        <v>0</v>
      </c>
      <c r="U3507" s="58">
        <v>0</v>
      </c>
      <c r="V3507" s="58">
        <v>0</v>
      </c>
      <c r="AG3507" t="s">
        <v>3217</v>
      </c>
      <c r="AM3507" s="1" t="str">
        <f t="shared" si="204"/>
        <v>3505_C0008_0389.jpg</v>
      </c>
    </row>
    <row r="3508" spans="1:39" x14ac:dyDescent="0.35">
      <c r="A3508">
        <v>3504</v>
      </c>
      <c r="B3508">
        <v>3505</v>
      </c>
      <c r="F3508" s="64" t="s">
        <v>6018</v>
      </c>
      <c r="G3508" s="64"/>
      <c r="H3508" s="64"/>
      <c r="I3508" s="64">
        <v>0</v>
      </c>
      <c r="N3508" s="4">
        <v>0</v>
      </c>
      <c r="O3508" s="58">
        <v>0</v>
      </c>
      <c r="P3508" s="58">
        <v>0</v>
      </c>
      <c r="Q3508" s="58">
        <v>0</v>
      </c>
      <c r="R3508" s="58">
        <v>0</v>
      </c>
      <c r="S3508" s="58">
        <v>0</v>
      </c>
      <c r="T3508" s="58">
        <v>0</v>
      </c>
      <c r="U3508" s="58">
        <v>0</v>
      </c>
      <c r="V3508" s="58">
        <v>0</v>
      </c>
      <c r="AG3508" t="s">
        <v>3218</v>
      </c>
      <c r="AM3508" s="1" t="str">
        <f t="shared" si="204"/>
        <v>3506_C0008_0386.jpg</v>
      </c>
    </row>
    <row r="3509" spans="1:39" x14ac:dyDescent="0.35">
      <c r="A3509">
        <v>3505</v>
      </c>
      <c r="B3509">
        <v>3506</v>
      </c>
      <c r="F3509" s="64" t="s">
        <v>6019</v>
      </c>
      <c r="G3509" s="64"/>
      <c r="H3509" s="64"/>
      <c r="I3509" s="64">
        <v>0</v>
      </c>
      <c r="N3509" s="4">
        <v>0</v>
      </c>
      <c r="O3509" s="58">
        <v>0</v>
      </c>
      <c r="P3509" s="58">
        <v>0</v>
      </c>
      <c r="Q3509" s="58">
        <v>0</v>
      </c>
      <c r="R3509" s="58">
        <v>0</v>
      </c>
      <c r="S3509" s="58">
        <v>0</v>
      </c>
      <c r="T3509" s="58">
        <v>0</v>
      </c>
      <c r="U3509" s="58">
        <v>0</v>
      </c>
      <c r="V3509" s="58">
        <v>0</v>
      </c>
      <c r="AG3509" t="s">
        <v>3219</v>
      </c>
      <c r="AM3509" s="1" t="str">
        <f t="shared" si="204"/>
        <v>3507_C0008_0383.jpg</v>
      </c>
    </row>
    <row r="3510" spans="1:39" x14ac:dyDescent="0.35">
      <c r="A3510">
        <v>3506</v>
      </c>
      <c r="B3510">
        <v>3507</v>
      </c>
      <c r="F3510" s="64" t="s">
        <v>6020</v>
      </c>
      <c r="G3510" s="64"/>
      <c r="H3510" s="64"/>
      <c r="I3510" s="64">
        <v>0</v>
      </c>
      <c r="N3510" s="4">
        <v>0</v>
      </c>
      <c r="O3510" s="58">
        <v>0</v>
      </c>
      <c r="P3510" s="58">
        <v>0</v>
      </c>
      <c r="Q3510" s="58">
        <v>0</v>
      </c>
      <c r="R3510" s="58">
        <v>0</v>
      </c>
      <c r="S3510" s="58">
        <v>0</v>
      </c>
      <c r="T3510" s="58">
        <v>0</v>
      </c>
      <c r="U3510" s="58">
        <v>0</v>
      </c>
      <c r="V3510" s="58">
        <v>0</v>
      </c>
      <c r="AG3510" t="s">
        <v>3220</v>
      </c>
      <c r="AM3510" s="1" t="str">
        <f t="shared" si="204"/>
        <v>3508_C0008_0380.jpg</v>
      </c>
    </row>
    <row r="3511" spans="1:39" x14ac:dyDescent="0.35">
      <c r="A3511">
        <v>3507</v>
      </c>
      <c r="B3511">
        <v>3508</v>
      </c>
      <c r="F3511" s="64" t="s">
        <v>6021</v>
      </c>
      <c r="G3511" s="64"/>
      <c r="H3511" s="64"/>
      <c r="I3511" s="64">
        <v>0</v>
      </c>
      <c r="N3511" s="4">
        <v>0</v>
      </c>
      <c r="O3511" s="58">
        <v>0</v>
      </c>
      <c r="P3511" s="58">
        <v>0</v>
      </c>
      <c r="Q3511" s="58">
        <v>0</v>
      </c>
      <c r="R3511" s="58">
        <v>0</v>
      </c>
      <c r="S3511" s="58">
        <v>0</v>
      </c>
      <c r="T3511" s="58">
        <v>0</v>
      </c>
      <c r="U3511" s="58">
        <v>0</v>
      </c>
      <c r="V3511" s="58">
        <v>0</v>
      </c>
      <c r="AG3511" t="s">
        <v>3221</v>
      </c>
      <c r="AM3511" s="1" t="str">
        <f t="shared" si="204"/>
        <v>3509_C0008_0377.jpg</v>
      </c>
    </row>
    <row r="3512" spans="1:39" x14ac:dyDescent="0.35">
      <c r="A3512">
        <v>3508</v>
      </c>
      <c r="B3512">
        <v>3509</v>
      </c>
      <c r="F3512" s="64" t="s">
        <v>6022</v>
      </c>
      <c r="G3512" s="64"/>
      <c r="H3512" s="64"/>
      <c r="I3512" s="64">
        <v>0</v>
      </c>
      <c r="N3512" s="4">
        <v>0</v>
      </c>
      <c r="O3512" s="58">
        <v>0</v>
      </c>
      <c r="P3512" s="58">
        <v>0</v>
      </c>
      <c r="Q3512" s="58">
        <v>0</v>
      </c>
      <c r="R3512" s="58">
        <v>0</v>
      </c>
      <c r="S3512" s="58">
        <v>0</v>
      </c>
      <c r="T3512" s="58">
        <v>0</v>
      </c>
      <c r="U3512" s="58">
        <v>0</v>
      </c>
      <c r="V3512" s="58">
        <v>0</v>
      </c>
      <c r="AG3512" t="s">
        <v>3222</v>
      </c>
      <c r="AM3512" s="1" t="str">
        <f t="shared" si="204"/>
        <v>3510_C0008_0374.jpg</v>
      </c>
    </row>
    <row r="3513" spans="1:39" x14ac:dyDescent="0.35">
      <c r="A3513">
        <v>3509</v>
      </c>
      <c r="B3513">
        <v>3510</v>
      </c>
      <c r="F3513" s="64" t="s">
        <v>6023</v>
      </c>
      <c r="G3513" s="64"/>
      <c r="H3513" s="64"/>
      <c r="I3513" s="64">
        <v>0</v>
      </c>
      <c r="N3513" s="4">
        <v>0</v>
      </c>
      <c r="O3513" s="58">
        <v>0</v>
      </c>
      <c r="P3513" s="58">
        <v>0</v>
      </c>
      <c r="Q3513" s="58">
        <v>0</v>
      </c>
      <c r="R3513" s="58">
        <v>0</v>
      </c>
      <c r="S3513" s="58">
        <v>0</v>
      </c>
      <c r="T3513" s="58">
        <v>0</v>
      </c>
      <c r="U3513" s="58">
        <v>0</v>
      </c>
      <c r="V3513" s="58">
        <v>0</v>
      </c>
      <c r="AG3513" t="s">
        <v>3223</v>
      </c>
      <c r="AM3513" s="1" t="str">
        <f t="shared" si="204"/>
        <v>3511_C0008_0371.jpg</v>
      </c>
    </row>
    <row r="3514" spans="1:39" x14ac:dyDescent="0.35">
      <c r="A3514">
        <v>3510</v>
      </c>
      <c r="B3514">
        <v>3511</v>
      </c>
      <c r="F3514" s="64" t="s">
        <v>6024</v>
      </c>
      <c r="G3514" s="64"/>
      <c r="H3514" s="64"/>
      <c r="I3514" s="64">
        <v>0</v>
      </c>
      <c r="N3514" s="4">
        <v>0</v>
      </c>
      <c r="O3514" s="58">
        <v>0</v>
      </c>
      <c r="P3514" s="58">
        <v>0</v>
      </c>
      <c r="Q3514" s="58">
        <v>0</v>
      </c>
      <c r="R3514" s="58">
        <v>0</v>
      </c>
      <c r="S3514" s="58">
        <v>0</v>
      </c>
      <c r="T3514" s="58">
        <v>0</v>
      </c>
      <c r="U3514" s="58">
        <v>0</v>
      </c>
      <c r="V3514" s="58">
        <v>0</v>
      </c>
      <c r="AG3514" t="s">
        <v>3224</v>
      </c>
      <c r="AM3514" s="1" t="str">
        <f t="shared" si="204"/>
        <v>3512_C0008_0367.jpg</v>
      </c>
    </row>
    <row r="3515" spans="1:39" x14ac:dyDescent="0.35">
      <c r="A3515">
        <v>3511</v>
      </c>
      <c r="B3515">
        <v>3512</v>
      </c>
      <c r="F3515" s="64" t="s">
        <v>6025</v>
      </c>
      <c r="G3515" s="64"/>
      <c r="H3515" s="64"/>
      <c r="I3515" s="64">
        <v>0</v>
      </c>
      <c r="N3515" s="4">
        <v>0</v>
      </c>
      <c r="O3515" s="58">
        <v>0</v>
      </c>
      <c r="P3515" s="58">
        <v>0</v>
      </c>
      <c r="Q3515" s="58">
        <v>0</v>
      </c>
      <c r="R3515" s="58">
        <v>0</v>
      </c>
      <c r="S3515" s="58">
        <v>0</v>
      </c>
      <c r="T3515" s="58">
        <v>0</v>
      </c>
      <c r="U3515" s="58">
        <v>0</v>
      </c>
      <c r="V3515" s="58">
        <v>0</v>
      </c>
      <c r="AG3515" t="s">
        <v>3225</v>
      </c>
      <c r="AM3515" s="1" t="str">
        <f t="shared" si="204"/>
        <v>3513_C0008_0365.jpg</v>
      </c>
    </row>
    <row r="3516" spans="1:39" x14ac:dyDescent="0.35">
      <c r="A3516">
        <v>3512</v>
      </c>
      <c r="B3516">
        <v>3513</v>
      </c>
      <c r="F3516" s="64" t="s">
        <v>6026</v>
      </c>
      <c r="G3516" s="64"/>
      <c r="H3516" s="64"/>
      <c r="I3516" s="64">
        <v>0</v>
      </c>
      <c r="N3516" s="4">
        <v>0</v>
      </c>
      <c r="O3516" s="58">
        <v>0</v>
      </c>
      <c r="P3516" s="58">
        <v>0</v>
      </c>
      <c r="Q3516" s="58">
        <v>0</v>
      </c>
      <c r="R3516" s="58">
        <v>0</v>
      </c>
      <c r="S3516" s="58">
        <v>0</v>
      </c>
      <c r="T3516" s="58">
        <v>0</v>
      </c>
      <c r="U3516" s="58">
        <v>0</v>
      </c>
      <c r="V3516" s="58">
        <v>0</v>
      </c>
      <c r="AG3516" t="s">
        <v>3226</v>
      </c>
      <c r="AM3516" s="1" t="str">
        <f t="shared" si="204"/>
        <v>3514_C0008_0361.jpg</v>
      </c>
    </row>
    <row r="3517" spans="1:39" x14ac:dyDescent="0.35">
      <c r="A3517">
        <v>3513</v>
      </c>
      <c r="B3517">
        <v>3514</v>
      </c>
      <c r="F3517" s="64" t="s">
        <v>6027</v>
      </c>
      <c r="G3517" s="64"/>
      <c r="H3517" s="64"/>
      <c r="I3517" s="64">
        <v>0</v>
      </c>
      <c r="N3517" s="4">
        <v>0</v>
      </c>
      <c r="O3517" s="58">
        <v>0</v>
      </c>
      <c r="P3517" s="58">
        <v>0</v>
      </c>
      <c r="Q3517" s="58">
        <v>0</v>
      </c>
      <c r="R3517" s="58">
        <v>0</v>
      </c>
      <c r="S3517" s="58">
        <v>0</v>
      </c>
      <c r="T3517" s="58">
        <v>0</v>
      </c>
      <c r="U3517" s="58">
        <v>0</v>
      </c>
      <c r="V3517" s="58">
        <v>0</v>
      </c>
      <c r="AG3517" t="s">
        <v>3227</v>
      </c>
      <c r="AM3517" s="1" t="str">
        <f t="shared" si="204"/>
        <v>3515_C0008_0357.jpg</v>
      </c>
    </row>
    <row r="3518" spans="1:39" x14ac:dyDescent="0.35">
      <c r="A3518">
        <v>3514</v>
      </c>
      <c r="B3518">
        <v>3515</v>
      </c>
      <c r="F3518" s="64" t="s">
        <v>6028</v>
      </c>
      <c r="G3518" s="64"/>
      <c r="H3518" s="64"/>
      <c r="I3518" s="64">
        <v>0</v>
      </c>
      <c r="N3518" s="4">
        <v>0</v>
      </c>
      <c r="O3518" s="58">
        <v>0</v>
      </c>
      <c r="P3518" s="58">
        <v>0</v>
      </c>
      <c r="Q3518" s="58">
        <v>0</v>
      </c>
      <c r="R3518" s="58">
        <v>0</v>
      </c>
      <c r="S3518" s="58">
        <v>0</v>
      </c>
      <c r="T3518" s="58">
        <v>0</v>
      </c>
      <c r="U3518" s="58">
        <v>0</v>
      </c>
      <c r="V3518" s="58">
        <v>0</v>
      </c>
      <c r="AG3518" t="s">
        <v>3228</v>
      </c>
      <c r="AM3518" s="1" t="str">
        <f t="shared" si="204"/>
        <v>3516_C0008_0353.jpg</v>
      </c>
    </row>
    <row r="3519" spans="1:39" x14ac:dyDescent="0.35">
      <c r="A3519">
        <v>3515</v>
      </c>
      <c r="B3519">
        <v>3516</v>
      </c>
      <c r="F3519" s="64" t="s">
        <v>6029</v>
      </c>
      <c r="G3519" s="64"/>
      <c r="H3519" s="64"/>
      <c r="I3519" s="64">
        <v>0</v>
      </c>
      <c r="N3519" s="4">
        <v>0</v>
      </c>
      <c r="O3519" s="58">
        <v>0</v>
      </c>
      <c r="P3519" s="58">
        <v>0</v>
      </c>
      <c r="Q3519" s="58">
        <v>0</v>
      </c>
      <c r="R3519" s="58">
        <v>0</v>
      </c>
      <c r="S3519" s="58">
        <v>0</v>
      </c>
      <c r="T3519" s="58">
        <v>0</v>
      </c>
      <c r="U3519" s="58">
        <v>0</v>
      </c>
      <c r="V3519" s="58">
        <v>0</v>
      </c>
      <c r="AG3519" t="s">
        <v>3229</v>
      </c>
      <c r="AM3519" s="1" t="str">
        <f t="shared" si="204"/>
        <v>3517_C0008_0350.jpg</v>
      </c>
    </row>
    <row r="3520" spans="1:39" x14ac:dyDescent="0.35">
      <c r="A3520">
        <v>3516</v>
      </c>
      <c r="B3520">
        <v>3517</v>
      </c>
      <c r="F3520" s="64" t="s">
        <v>6030</v>
      </c>
      <c r="G3520" s="64"/>
      <c r="H3520" s="64"/>
      <c r="I3520" s="64">
        <v>0</v>
      </c>
      <c r="N3520" s="4">
        <v>0</v>
      </c>
      <c r="O3520" s="58">
        <v>0</v>
      </c>
      <c r="P3520" s="58">
        <v>0</v>
      </c>
      <c r="Q3520" s="58">
        <v>0</v>
      </c>
      <c r="R3520" s="58">
        <v>0</v>
      </c>
      <c r="S3520" s="58">
        <v>0</v>
      </c>
      <c r="T3520" s="58">
        <v>0</v>
      </c>
      <c r="U3520" s="58">
        <v>0</v>
      </c>
      <c r="V3520" s="58">
        <v>0</v>
      </c>
      <c r="AG3520" t="s">
        <v>3230</v>
      </c>
      <c r="AM3520" s="1" t="str">
        <f t="shared" si="204"/>
        <v>3518_C0008_0346.jpg</v>
      </c>
    </row>
    <row r="3521" spans="1:39" x14ac:dyDescent="0.35">
      <c r="A3521">
        <v>3517</v>
      </c>
      <c r="B3521">
        <v>3518</v>
      </c>
      <c r="F3521" s="64" t="s">
        <v>6031</v>
      </c>
      <c r="G3521" s="64"/>
      <c r="H3521" s="64"/>
      <c r="I3521" s="64">
        <v>0</v>
      </c>
      <c r="N3521" s="4">
        <v>0</v>
      </c>
      <c r="O3521" s="58">
        <v>0</v>
      </c>
      <c r="P3521" s="58">
        <v>0</v>
      </c>
      <c r="Q3521" s="58">
        <v>0</v>
      </c>
      <c r="R3521" s="58">
        <v>0</v>
      </c>
      <c r="S3521" s="58">
        <v>0</v>
      </c>
      <c r="T3521" s="58">
        <v>0</v>
      </c>
      <c r="U3521" s="58">
        <v>0</v>
      </c>
      <c r="V3521" s="58">
        <v>0</v>
      </c>
      <c r="AG3521" t="s">
        <v>3231</v>
      </c>
      <c r="AM3521" s="1" t="str">
        <f t="shared" si="204"/>
        <v>3519_C0008_0341.jpg</v>
      </c>
    </row>
    <row r="3522" spans="1:39" x14ac:dyDescent="0.35">
      <c r="A3522">
        <v>3518</v>
      </c>
      <c r="B3522">
        <v>3519</v>
      </c>
      <c r="F3522" s="64" t="s">
        <v>6032</v>
      </c>
      <c r="G3522" s="64"/>
      <c r="H3522" s="64"/>
      <c r="I3522" s="64">
        <v>0</v>
      </c>
      <c r="N3522" s="4">
        <v>0</v>
      </c>
      <c r="O3522" s="58">
        <v>0</v>
      </c>
      <c r="P3522" s="58">
        <v>0</v>
      </c>
      <c r="Q3522" s="58">
        <v>0</v>
      </c>
      <c r="R3522" s="58">
        <v>0</v>
      </c>
      <c r="S3522" s="58">
        <v>0</v>
      </c>
      <c r="T3522" s="58">
        <v>0</v>
      </c>
      <c r="U3522" s="58">
        <v>0</v>
      </c>
      <c r="V3522" s="58">
        <v>0</v>
      </c>
      <c r="AG3522" t="s">
        <v>3232</v>
      </c>
      <c r="AM3522" s="1" t="str">
        <f t="shared" si="204"/>
        <v>3520_C0008_0337.jpg</v>
      </c>
    </row>
    <row r="3523" spans="1:39" x14ac:dyDescent="0.35">
      <c r="A3523">
        <v>3519</v>
      </c>
      <c r="B3523">
        <v>3520</v>
      </c>
      <c r="F3523" s="64" t="s">
        <v>6033</v>
      </c>
      <c r="G3523" s="64"/>
      <c r="H3523" s="64"/>
      <c r="I3523" s="64">
        <v>0</v>
      </c>
      <c r="N3523" s="4">
        <v>0</v>
      </c>
      <c r="O3523" s="58">
        <v>0</v>
      </c>
      <c r="P3523" s="58">
        <v>0</v>
      </c>
      <c r="Q3523" s="58">
        <v>0</v>
      </c>
      <c r="R3523" s="58">
        <v>0</v>
      </c>
      <c r="S3523" s="58">
        <v>0</v>
      </c>
      <c r="T3523" s="58">
        <v>0</v>
      </c>
      <c r="U3523" s="58">
        <v>0</v>
      </c>
      <c r="V3523" s="58">
        <v>0</v>
      </c>
      <c r="AG3523" t="s">
        <v>3233</v>
      </c>
      <c r="AM3523" s="1" t="str">
        <f t="shared" si="204"/>
        <v>3521_C0008_0334.jpg</v>
      </c>
    </row>
    <row r="3524" spans="1:39" x14ac:dyDescent="0.35">
      <c r="A3524">
        <v>3520</v>
      </c>
      <c r="B3524">
        <v>3521</v>
      </c>
      <c r="F3524" s="64" t="s">
        <v>6034</v>
      </c>
      <c r="G3524" s="64"/>
      <c r="H3524" s="64"/>
      <c r="I3524" s="64">
        <v>0</v>
      </c>
      <c r="N3524" s="4">
        <v>0</v>
      </c>
      <c r="O3524" s="58">
        <v>0</v>
      </c>
      <c r="P3524" s="58">
        <v>0</v>
      </c>
      <c r="Q3524" s="58">
        <v>0</v>
      </c>
      <c r="R3524" s="58">
        <v>0</v>
      </c>
      <c r="S3524" s="58">
        <v>0</v>
      </c>
      <c r="T3524" s="58">
        <v>0</v>
      </c>
      <c r="U3524" s="58">
        <v>0</v>
      </c>
      <c r="V3524" s="58">
        <v>0</v>
      </c>
      <c r="AG3524" t="s">
        <v>3234</v>
      </c>
      <c r="AM3524" s="1" t="str">
        <f t="shared" si="204"/>
        <v>3522_C0008_0330.jpg</v>
      </c>
    </row>
    <row r="3525" spans="1:39" x14ac:dyDescent="0.35">
      <c r="A3525">
        <v>3521</v>
      </c>
      <c r="B3525">
        <v>3522</v>
      </c>
      <c r="F3525" s="64" t="s">
        <v>6035</v>
      </c>
      <c r="G3525" s="64"/>
      <c r="H3525" s="64"/>
      <c r="I3525" s="64">
        <v>0</v>
      </c>
      <c r="N3525" s="4">
        <v>0</v>
      </c>
      <c r="O3525" s="58">
        <v>0</v>
      </c>
      <c r="P3525" s="58">
        <v>0</v>
      </c>
      <c r="Q3525" s="58">
        <v>0</v>
      </c>
      <c r="R3525" s="58">
        <v>0</v>
      </c>
      <c r="S3525" s="58">
        <v>0</v>
      </c>
      <c r="T3525" s="58">
        <v>0</v>
      </c>
      <c r="U3525" s="58">
        <v>0</v>
      </c>
      <c r="V3525" s="58">
        <v>0</v>
      </c>
      <c r="AG3525" t="s">
        <v>3235</v>
      </c>
      <c r="AM3525" s="1" t="str">
        <f t="shared" si="204"/>
        <v>3523_C0008_0326.jpg</v>
      </c>
    </row>
    <row r="3526" spans="1:39" x14ac:dyDescent="0.35">
      <c r="A3526">
        <v>3522</v>
      </c>
      <c r="B3526">
        <v>3523</v>
      </c>
      <c r="F3526" s="64" t="s">
        <v>6036</v>
      </c>
      <c r="G3526" s="64"/>
      <c r="H3526" s="64"/>
      <c r="I3526" s="64">
        <v>0</v>
      </c>
      <c r="N3526" s="4">
        <v>0</v>
      </c>
      <c r="O3526" s="58">
        <v>0</v>
      </c>
      <c r="P3526" s="58">
        <v>0</v>
      </c>
      <c r="Q3526" s="58">
        <v>0</v>
      </c>
      <c r="R3526" s="58">
        <v>0</v>
      </c>
      <c r="S3526" s="58">
        <v>0</v>
      </c>
      <c r="T3526" s="58">
        <v>0</v>
      </c>
      <c r="U3526" s="58">
        <v>0</v>
      </c>
      <c r="V3526" s="58">
        <v>0</v>
      </c>
      <c r="AG3526" t="s">
        <v>3236</v>
      </c>
      <c r="AM3526" s="1" t="str">
        <f t="shared" si="204"/>
        <v>3524_C0008_0323.jpg</v>
      </c>
    </row>
    <row r="3527" spans="1:39" x14ac:dyDescent="0.35">
      <c r="A3527">
        <v>3523</v>
      </c>
      <c r="B3527">
        <v>3524</v>
      </c>
      <c r="F3527" s="64" t="s">
        <v>6037</v>
      </c>
      <c r="G3527" s="64"/>
      <c r="H3527" s="64"/>
      <c r="I3527" s="64">
        <v>0</v>
      </c>
      <c r="N3527" s="4">
        <v>0</v>
      </c>
      <c r="O3527" s="58">
        <v>0</v>
      </c>
      <c r="P3527" s="58">
        <v>0</v>
      </c>
      <c r="Q3527" s="58">
        <v>0</v>
      </c>
      <c r="R3527" s="58">
        <v>0</v>
      </c>
      <c r="S3527" s="58">
        <v>0</v>
      </c>
      <c r="T3527" s="58">
        <v>0</v>
      </c>
      <c r="U3527" s="58">
        <v>0</v>
      </c>
      <c r="V3527" s="58">
        <v>0</v>
      </c>
      <c r="AG3527" t="s">
        <v>3237</v>
      </c>
      <c r="AM3527" s="1" t="str">
        <f t="shared" si="204"/>
        <v>3525_C0008_0319.jpg</v>
      </c>
    </row>
    <row r="3528" spans="1:39" x14ac:dyDescent="0.35">
      <c r="A3528">
        <v>3524</v>
      </c>
      <c r="B3528">
        <v>3525</v>
      </c>
      <c r="F3528" s="64" t="s">
        <v>6038</v>
      </c>
      <c r="G3528" s="64"/>
      <c r="H3528" s="64"/>
      <c r="I3528" s="64">
        <v>0</v>
      </c>
      <c r="N3528" s="4">
        <v>0</v>
      </c>
      <c r="O3528" s="58">
        <v>0</v>
      </c>
      <c r="P3528" s="58">
        <v>0</v>
      </c>
      <c r="Q3528" s="58">
        <v>0</v>
      </c>
      <c r="R3528" s="58">
        <v>0</v>
      </c>
      <c r="S3528" s="58">
        <v>0</v>
      </c>
      <c r="T3528" s="58">
        <v>0</v>
      </c>
      <c r="U3528" s="58">
        <v>0</v>
      </c>
      <c r="V3528" s="58">
        <v>0</v>
      </c>
      <c r="AG3528" t="s">
        <v>3238</v>
      </c>
      <c r="AM3528" s="1" t="str">
        <f t="shared" si="204"/>
        <v>3526_C0008_0316.jpg</v>
      </c>
    </row>
    <row r="3529" spans="1:39" x14ac:dyDescent="0.35">
      <c r="A3529">
        <v>3525</v>
      </c>
      <c r="B3529">
        <v>3526</v>
      </c>
      <c r="F3529" s="64" t="s">
        <v>6039</v>
      </c>
      <c r="G3529" s="64"/>
      <c r="H3529" s="64"/>
      <c r="I3529" s="64">
        <v>0</v>
      </c>
      <c r="N3529" s="4">
        <v>0</v>
      </c>
      <c r="O3529" s="58">
        <v>0</v>
      </c>
      <c r="P3529" s="58">
        <v>0</v>
      </c>
      <c r="Q3529" s="58">
        <v>0</v>
      </c>
      <c r="R3529" s="58">
        <v>0</v>
      </c>
      <c r="S3529" s="58">
        <v>0</v>
      </c>
      <c r="T3529" s="58">
        <v>0</v>
      </c>
      <c r="U3529" s="58">
        <v>0</v>
      </c>
      <c r="V3529" s="58">
        <v>0</v>
      </c>
      <c r="AG3529" t="s">
        <v>3239</v>
      </c>
      <c r="AM3529" s="1" t="str">
        <f t="shared" si="204"/>
        <v>3527_C0008_0312.jpg</v>
      </c>
    </row>
    <row r="3530" spans="1:39" x14ac:dyDescent="0.35">
      <c r="A3530">
        <v>3526</v>
      </c>
      <c r="B3530">
        <v>3527</v>
      </c>
      <c r="F3530" s="64" t="s">
        <v>6040</v>
      </c>
      <c r="G3530" s="64"/>
      <c r="H3530" s="64"/>
      <c r="I3530" s="64">
        <v>0</v>
      </c>
      <c r="N3530" s="4">
        <v>0</v>
      </c>
      <c r="O3530" s="58">
        <v>0</v>
      </c>
      <c r="P3530" s="58">
        <v>0</v>
      </c>
      <c r="Q3530" s="58">
        <v>0</v>
      </c>
      <c r="R3530" s="58">
        <v>0</v>
      </c>
      <c r="S3530" s="58">
        <v>0</v>
      </c>
      <c r="T3530" s="58">
        <v>0</v>
      </c>
      <c r="U3530" s="58">
        <v>0</v>
      </c>
      <c r="V3530" s="58">
        <v>0</v>
      </c>
      <c r="AG3530" t="s">
        <v>3240</v>
      </c>
      <c r="AM3530" s="1" t="str">
        <f t="shared" si="204"/>
        <v>3528_C0008_0309.jpg</v>
      </c>
    </row>
    <row r="3531" spans="1:39" x14ac:dyDescent="0.35">
      <c r="A3531">
        <v>3527</v>
      </c>
      <c r="B3531">
        <v>3528</v>
      </c>
      <c r="F3531" s="64" t="s">
        <v>6041</v>
      </c>
      <c r="G3531" s="64"/>
      <c r="H3531" s="64"/>
      <c r="I3531" s="64">
        <v>0</v>
      </c>
      <c r="N3531" s="4">
        <v>0</v>
      </c>
      <c r="O3531" s="58">
        <v>0</v>
      </c>
      <c r="P3531" s="58">
        <v>0</v>
      </c>
      <c r="Q3531" s="58">
        <v>0</v>
      </c>
      <c r="R3531" s="58">
        <v>0</v>
      </c>
      <c r="S3531" s="58">
        <v>0</v>
      </c>
      <c r="T3531" s="58">
        <v>0</v>
      </c>
      <c r="U3531" s="58">
        <v>0</v>
      </c>
      <c r="V3531" s="58">
        <v>0</v>
      </c>
      <c r="AG3531" t="s">
        <v>3241</v>
      </c>
      <c r="AM3531" s="1" t="str">
        <f t="shared" si="204"/>
        <v>3529_C0008_0306.jpg</v>
      </c>
    </row>
    <row r="3532" spans="1:39" x14ac:dyDescent="0.35">
      <c r="A3532">
        <v>3528</v>
      </c>
      <c r="B3532">
        <v>3529</v>
      </c>
      <c r="F3532" s="64" t="s">
        <v>6042</v>
      </c>
      <c r="G3532" s="64"/>
      <c r="H3532" s="64"/>
      <c r="I3532" s="64">
        <v>0</v>
      </c>
      <c r="N3532" s="4">
        <v>0</v>
      </c>
      <c r="O3532" s="58">
        <v>0</v>
      </c>
      <c r="P3532" s="58">
        <v>0</v>
      </c>
      <c r="Q3532" s="58">
        <v>0</v>
      </c>
      <c r="R3532" s="58">
        <v>0</v>
      </c>
      <c r="S3532" s="58">
        <v>0</v>
      </c>
      <c r="T3532" s="58">
        <v>0</v>
      </c>
      <c r="U3532" s="58">
        <v>0</v>
      </c>
      <c r="V3532" s="58">
        <v>0</v>
      </c>
      <c r="AG3532" t="s">
        <v>3242</v>
      </c>
      <c r="AM3532" s="1" t="str">
        <f t="shared" si="204"/>
        <v>3530_C0008_0303.jpg</v>
      </c>
    </row>
    <row r="3533" spans="1:39" x14ac:dyDescent="0.35">
      <c r="A3533">
        <v>3529</v>
      </c>
      <c r="B3533">
        <v>3530</v>
      </c>
      <c r="F3533" s="64" t="s">
        <v>6043</v>
      </c>
      <c r="G3533" s="64"/>
      <c r="H3533" s="64"/>
      <c r="I3533" s="64">
        <v>0</v>
      </c>
      <c r="N3533" s="4">
        <v>0</v>
      </c>
      <c r="O3533" s="58">
        <v>0</v>
      </c>
      <c r="P3533" s="58">
        <v>0</v>
      </c>
      <c r="Q3533" s="58">
        <v>0</v>
      </c>
      <c r="R3533" s="58">
        <v>0</v>
      </c>
      <c r="S3533" s="58">
        <v>0</v>
      </c>
      <c r="T3533" s="58">
        <v>0</v>
      </c>
      <c r="U3533" s="58">
        <v>0</v>
      </c>
      <c r="V3533" s="58">
        <v>0</v>
      </c>
      <c r="AG3533" t="s">
        <v>3243</v>
      </c>
      <c r="AM3533" s="1" t="str">
        <f t="shared" si="204"/>
        <v>3531_C0008_0301.jpg</v>
      </c>
    </row>
    <row r="3534" spans="1:39" x14ac:dyDescent="0.35">
      <c r="A3534">
        <v>3530</v>
      </c>
      <c r="B3534">
        <v>3531</v>
      </c>
      <c r="F3534" s="64" t="s">
        <v>6044</v>
      </c>
      <c r="G3534" s="64"/>
      <c r="H3534" s="64"/>
      <c r="I3534" s="64">
        <v>0</v>
      </c>
      <c r="N3534" s="4">
        <v>0</v>
      </c>
      <c r="O3534" s="58">
        <v>0</v>
      </c>
      <c r="P3534" s="58">
        <v>0</v>
      </c>
      <c r="Q3534" s="58">
        <v>0</v>
      </c>
      <c r="R3534" s="58">
        <v>0</v>
      </c>
      <c r="S3534" s="58">
        <v>0</v>
      </c>
      <c r="T3534" s="58">
        <v>0</v>
      </c>
      <c r="U3534" s="58">
        <v>0</v>
      </c>
      <c r="V3534" s="58">
        <v>0</v>
      </c>
      <c r="AG3534" t="s">
        <v>3244</v>
      </c>
      <c r="AM3534" s="1" t="str">
        <f t="shared" si="204"/>
        <v>3532_C0008_0297.jpg</v>
      </c>
    </row>
    <row r="3535" spans="1:39" x14ac:dyDescent="0.35">
      <c r="A3535">
        <v>3531</v>
      </c>
      <c r="B3535">
        <v>3532</v>
      </c>
      <c r="F3535" s="64" t="s">
        <v>6045</v>
      </c>
      <c r="G3535" s="64"/>
      <c r="H3535" s="64"/>
      <c r="I3535" s="64">
        <v>0</v>
      </c>
      <c r="N3535" s="4">
        <v>0</v>
      </c>
      <c r="O3535" s="58">
        <v>0</v>
      </c>
      <c r="P3535" s="58">
        <v>0</v>
      </c>
      <c r="Q3535" s="58">
        <v>0</v>
      </c>
      <c r="R3535" s="58">
        <v>0</v>
      </c>
      <c r="S3535" s="58">
        <v>0</v>
      </c>
      <c r="T3535" s="58">
        <v>0</v>
      </c>
      <c r="U3535" s="58">
        <v>0</v>
      </c>
      <c r="V3535" s="58">
        <v>0</v>
      </c>
      <c r="AG3535" t="s">
        <v>3245</v>
      </c>
      <c r="AM3535" s="1" t="str">
        <f t="shared" si="204"/>
        <v>3533_C0008_0295.jpg</v>
      </c>
    </row>
    <row r="3536" spans="1:39" x14ac:dyDescent="0.35">
      <c r="A3536">
        <v>3532</v>
      </c>
      <c r="B3536">
        <v>3533</v>
      </c>
      <c r="F3536" s="64" t="s">
        <v>6046</v>
      </c>
      <c r="G3536" s="64"/>
      <c r="H3536" s="64"/>
      <c r="I3536" s="64">
        <v>0</v>
      </c>
      <c r="N3536" s="4">
        <v>0</v>
      </c>
      <c r="O3536" s="58">
        <v>0</v>
      </c>
      <c r="P3536" s="58">
        <v>0</v>
      </c>
      <c r="Q3536" s="58">
        <v>0</v>
      </c>
      <c r="R3536" s="58">
        <v>0</v>
      </c>
      <c r="S3536" s="58">
        <v>0</v>
      </c>
      <c r="T3536" s="58">
        <v>0</v>
      </c>
      <c r="U3536" s="58">
        <v>0</v>
      </c>
      <c r="V3536" s="58">
        <v>0</v>
      </c>
      <c r="AG3536" t="s">
        <v>3246</v>
      </c>
      <c r="AM3536" s="1" t="str">
        <f t="shared" si="204"/>
        <v>3534_C0008_0292.jpg</v>
      </c>
    </row>
    <row r="3537" spans="1:39" x14ac:dyDescent="0.35">
      <c r="A3537">
        <v>3533</v>
      </c>
      <c r="B3537">
        <v>3534</v>
      </c>
      <c r="F3537" s="64" t="s">
        <v>6047</v>
      </c>
      <c r="G3537" s="64"/>
      <c r="H3537" s="64"/>
      <c r="I3537" s="64">
        <v>0</v>
      </c>
      <c r="N3537" s="4">
        <v>0</v>
      </c>
      <c r="O3537" s="58">
        <v>0</v>
      </c>
      <c r="P3537" s="58">
        <v>0</v>
      </c>
      <c r="Q3537" s="58">
        <v>0</v>
      </c>
      <c r="R3537" s="58">
        <v>0</v>
      </c>
      <c r="S3537" s="58">
        <v>0</v>
      </c>
      <c r="T3537" s="58">
        <v>0</v>
      </c>
      <c r="U3537" s="58">
        <v>0</v>
      </c>
      <c r="V3537" s="58">
        <v>0</v>
      </c>
      <c r="AG3537" t="s">
        <v>3247</v>
      </c>
      <c r="AM3537" s="1" t="str">
        <f t="shared" si="204"/>
        <v>3535_C0008_0286.jpg</v>
      </c>
    </row>
    <row r="3538" spans="1:39" x14ac:dyDescent="0.35">
      <c r="A3538">
        <v>3534</v>
      </c>
      <c r="B3538">
        <v>3535</v>
      </c>
      <c r="F3538" s="64" t="s">
        <v>6048</v>
      </c>
      <c r="G3538" s="64"/>
      <c r="H3538" s="64"/>
      <c r="I3538" s="64">
        <v>0</v>
      </c>
      <c r="N3538" s="4">
        <v>0</v>
      </c>
      <c r="O3538" s="58">
        <v>0</v>
      </c>
      <c r="P3538" s="58">
        <v>0</v>
      </c>
      <c r="Q3538" s="58">
        <v>0</v>
      </c>
      <c r="R3538" s="58">
        <v>0</v>
      </c>
      <c r="S3538" s="58">
        <v>0</v>
      </c>
      <c r="T3538" s="58">
        <v>0</v>
      </c>
      <c r="U3538" s="58">
        <v>0</v>
      </c>
      <c r="V3538" s="58">
        <v>0</v>
      </c>
      <c r="AG3538" t="s">
        <v>3248</v>
      </c>
      <c r="AM3538" s="1" t="str">
        <f t="shared" si="204"/>
        <v>3536_C0008_0283.jpg</v>
      </c>
    </row>
    <row r="3539" spans="1:39" x14ac:dyDescent="0.35">
      <c r="A3539">
        <v>3535</v>
      </c>
      <c r="B3539">
        <v>3536</v>
      </c>
      <c r="F3539" s="64" t="s">
        <v>6049</v>
      </c>
      <c r="G3539" s="64"/>
      <c r="H3539" s="64"/>
      <c r="I3539" s="64">
        <v>0</v>
      </c>
      <c r="N3539" s="4">
        <v>0</v>
      </c>
      <c r="O3539" s="58">
        <v>0</v>
      </c>
      <c r="P3539" s="58">
        <v>0</v>
      </c>
      <c r="Q3539" s="58">
        <v>0</v>
      </c>
      <c r="R3539" s="58">
        <v>0</v>
      </c>
      <c r="S3539" s="58">
        <v>0</v>
      </c>
      <c r="T3539" s="58">
        <v>0</v>
      </c>
      <c r="U3539" s="58">
        <v>0</v>
      </c>
      <c r="V3539" s="58">
        <v>0</v>
      </c>
      <c r="AG3539" t="s">
        <v>3249</v>
      </c>
      <c r="AM3539" s="1" t="str">
        <f t="shared" si="204"/>
        <v>3537_C0008_0278.jpg</v>
      </c>
    </row>
    <row r="3540" spans="1:39" x14ac:dyDescent="0.35">
      <c r="A3540">
        <v>3536</v>
      </c>
      <c r="B3540">
        <v>3537</v>
      </c>
      <c r="F3540" s="64" t="s">
        <v>6050</v>
      </c>
      <c r="G3540" s="64"/>
      <c r="H3540" s="64"/>
      <c r="I3540" s="64">
        <v>0</v>
      </c>
      <c r="N3540" s="4">
        <v>0</v>
      </c>
      <c r="O3540" s="58">
        <v>0</v>
      </c>
      <c r="P3540" s="58">
        <v>0</v>
      </c>
      <c r="Q3540" s="58">
        <v>0</v>
      </c>
      <c r="R3540" s="58">
        <v>0</v>
      </c>
      <c r="S3540" s="58">
        <v>0</v>
      </c>
      <c r="T3540" s="58">
        <v>0</v>
      </c>
      <c r="U3540" s="58">
        <v>0</v>
      </c>
      <c r="V3540" s="58">
        <v>0</v>
      </c>
      <c r="AG3540" t="s">
        <v>3250</v>
      </c>
      <c r="AM3540" s="1" t="str">
        <f t="shared" si="204"/>
        <v>3538_C0008_0275.jpg</v>
      </c>
    </row>
    <row r="3541" spans="1:39" x14ac:dyDescent="0.35">
      <c r="A3541">
        <v>3537</v>
      </c>
      <c r="B3541">
        <v>3538</v>
      </c>
      <c r="F3541" s="64" t="s">
        <v>6051</v>
      </c>
      <c r="G3541" s="64"/>
      <c r="H3541" s="64"/>
      <c r="I3541" s="64">
        <v>0</v>
      </c>
      <c r="N3541" s="4">
        <v>0</v>
      </c>
      <c r="O3541" s="58">
        <v>0</v>
      </c>
      <c r="P3541" s="58">
        <v>0</v>
      </c>
      <c r="Q3541" s="58">
        <v>0</v>
      </c>
      <c r="R3541" s="58">
        <v>0</v>
      </c>
      <c r="S3541" s="58">
        <v>0</v>
      </c>
      <c r="T3541" s="58">
        <v>0</v>
      </c>
      <c r="U3541" s="58">
        <v>0</v>
      </c>
      <c r="V3541" s="58">
        <v>0</v>
      </c>
      <c r="AG3541" t="s">
        <v>3251</v>
      </c>
      <c r="AM3541" s="1" t="str">
        <f t="shared" si="204"/>
        <v>3539_C0008_0273.jpg</v>
      </c>
    </row>
    <row r="3542" spans="1:39" x14ac:dyDescent="0.35">
      <c r="A3542">
        <v>3538</v>
      </c>
      <c r="B3542">
        <v>3539</v>
      </c>
      <c r="F3542" s="64" t="s">
        <v>6052</v>
      </c>
      <c r="G3542" s="64"/>
      <c r="H3542" s="64"/>
      <c r="I3542" s="64">
        <v>0</v>
      </c>
      <c r="N3542" s="4">
        <v>0</v>
      </c>
      <c r="O3542" s="58">
        <v>0</v>
      </c>
      <c r="P3542" s="58">
        <v>0</v>
      </c>
      <c r="Q3542" s="58">
        <v>0</v>
      </c>
      <c r="R3542" s="58">
        <v>0</v>
      </c>
      <c r="S3542" s="58">
        <v>0</v>
      </c>
      <c r="T3542" s="58">
        <v>0</v>
      </c>
      <c r="U3542" s="58">
        <v>0</v>
      </c>
      <c r="V3542" s="58">
        <v>0</v>
      </c>
      <c r="AG3542" t="s">
        <v>3252</v>
      </c>
      <c r="AM3542" s="1" t="str">
        <f t="shared" si="204"/>
        <v>3540_C0008_0269.jpg</v>
      </c>
    </row>
    <row r="3543" spans="1:39" x14ac:dyDescent="0.35">
      <c r="A3543">
        <v>3539</v>
      </c>
      <c r="B3543">
        <v>3540</v>
      </c>
      <c r="F3543" s="64" t="s">
        <v>6053</v>
      </c>
      <c r="G3543" s="64"/>
      <c r="H3543" s="64"/>
      <c r="I3543" s="64">
        <v>0</v>
      </c>
      <c r="N3543" s="4">
        <v>0</v>
      </c>
      <c r="O3543" s="58">
        <v>0</v>
      </c>
      <c r="P3543" s="58">
        <v>0</v>
      </c>
      <c r="Q3543" s="58">
        <v>0</v>
      </c>
      <c r="R3543" s="58">
        <v>0</v>
      </c>
      <c r="S3543" s="58">
        <v>0</v>
      </c>
      <c r="T3543" s="58">
        <v>0</v>
      </c>
      <c r="U3543" s="58">
        <v>0</v>
      </c>
      <c r="V3543" s="58">
        <v>0</v>
      </c>
      <c r="AG3543" t="s">
        <v>3253</v>
      </c>
      <c r="AM3543" s="1" t="str">
        <f t="shared" si="204"/>
        <v>3541_C0008_0267.jpg</v>
      </c>
    </row>
    <row r="3544" spans="1:39" x14ac:dyDescent="0.35">
      <c r="A3544">
        <v>3540</v>
      </c>
      <c r="B3544">
        <v>3541</v>
      </c>
      <c r="F3544" s="64" t="s">
        <v>6054</v>
      </c>
      <c r="G3544" s="64"/>
      <c r="H3544" s="64"/>
      <c r="I3544" s="64">
        <v>0</v>
      </c>
      <c r="N3544" s="4">
        <v>0</v>
      </c>
      <c r="O3544" s="58">
        <v>0</v>
      </c>
      <c r="P3544" s="58">
        <v>0</v>
      </c>
      <c r="Q3544" s="58">
        <v>0</v>
      </c>
      <c r="R3544" s="58">
        <v>0</v>
      </c>
      <c r="S3544" s="58">
        <v>0</v>
      </c>
      <c r="T3544" s="58">
        <v>0</v>
      </c>
      <c r="U3544" s="58">
        <v>0</v>
      </c>
      <c r="V3544" s="58">
        <v>0</v>
      </c>
      <c r="AG3544" t="s">
        <v>3254</v>
      </c>
      <c r="AM3544" s="1" t="str">
        <f t="shared" si="204"/>
        <v>3542_C0008_0263.jpg</v>
      </c>
    </row>
    <row r="3545" spans="1:39" x14ac:dyDescent="0.35">
      <c r="A3545">
        <v>3541</v>
      </c>
      <c r="B3545">
        <v>3542</v>
      </c>
      <c r="F3545" s="64" t="s">
        <v>6055</v>
      </c>
      <c r="G3545" s="64"/>
      <c r="H3545" s="64"/>
      <c r="I3545" s="64">
        <v>0</v>
      </c>
      <c r="N3545" s="4">
        <v>0</v>
      </c>
      <c r="O3545" s="58">
        <v>0</v>
      </c>
      <c r="P3545" s="58">
        <v>0</v>
      </c>
      <c r="Q3545" s="58">
        <v>0</v>
      </c>
      <c r="R3545" s="58">
        <v>0</v>
      </c>
      <c r="S3545" s="58">
        <v>0</v>
      </c>
      <c r="T3545" s="58">
        <v>0</v>
      </c>
      <c r="U3545" s="58">
        <v>0</v>
      </c>
      <c r="V3545" s="58">
        <v>0</v>
      </c>
      <c r="AG3545" t="s">
        <v>3255</v>
      </c>
      <c r="AM3545" s="1" t="str">
        <f t="shared" si="204"/>
        <v>3543_C0008_0260.jpg</v>
      </c>
    </row>
    <row r="3546" spans="1:39" x14ac:dyDescent="0.35">
      <c r="A3546">
        <v>3542</v>
      </c>
      <c r="B3546">
        <v>3543</v>
      </c>
      <c r="F3546" s="64" t="s">
        <v>6056</v>
      </c>
      <c r="G3546" s="64"/>
      <c r="H3546" s="64"/>
      <c r="I3546" s="64">
        <v>0</v>
      </c>
      <c r="N3546" s="4">
        <v>0</v>
      </c>
      <c r="O3546" s="58">
        <v>0</v>
      </c>
      <c r="P3546" s="58">
        <v>0</v>
      </c>
      <c r="Q3546" s="58">
        <v>0</v>
      </c>
      <c r="R3546" s="58">
        <v>0</v>
      </c>
      <c r="S3546" s="58">
        <v>0</v>
      </c>
      <c r="T3546" s="58">
        <v>0</v>
      </c>
      <c r="U3546" s="58">
        <v>0</v>
      </c>
      <c r="V3546" s="58">
        <v>0</v>
      </c>
      <c r="AG3546" t="s">
        <v>3256</v>
      </c>
      <c r="AM3546" s="1" t="str">
        <f t="shared" si="204"/>
        <v>3544_C0008_0257.jpg</v>
      </c>
    </row>
    <row r="3547" spans="1:39" x14ac:dyDescent="0.35">
      <c r="A3547">
        <v>3543</v>
      </c>
      <c r="B3547">
        <v>3544</v>
      </c>
      <c r="F3547" s="64" t="s">
        <v>6057</v>
      </c>
      <c r="G3547" s="64"/>
      <c r="H3547" s="64"/>
      <c r="I3547" s="64">
        <v>0</v>
      </c>
      <c r="N3547" s="4">
        <v>0</v>
      </c>
      <c r="O3547" s="58">
        <v>0</v>
      </c>
      <c r="P3547" s="58">
        <v>0</v>
      </c>
      <c r="Q3547" s="58">
        <v>0</v>
      </c>
      <c r="R3547" s="58">
        <v>0</v>
      </c>
      <c r="S3547" s="58">
        <v>0</v>
      </c>
      <c r="T3547" s="58">
        <v>0</v>
      </c>
      <c r="U3547" s="58">
        <v>0</v>
      </c>
      <c r="V3547" s="58">
        <v>0</v>
      </c>
      <c r="AG3547" t="s">
        <v>3257</v>
      </c>
      <c r="AM3547" s="1" t="str">
        <f t="shared" si="204"/>
        <v>3545_C0008_0254.jpg</v>
      </c>
    </row>
    <row r="3548" spans="1:39" x14ac:dyDescent="0.35">
      <c r="A3548">
        <v>3544</v>
      </c>
      <c r="B3548">
        <v>3545</v>
      </c>
      <c r="F3548" s="64" t="s">
        <v>6058</v>
      </c>
      <c r="G3548" s="64"/>
      <c r="H3548" s="64"/>
      <c r="I3548" s="64">
        <v>0</v>
      </c>
      <c r="N3548" s="4">
        <v>0</v>
      </c>
      <c r="O3548" s="58">
        <v>0</v>
      </c>
      <c r="P3548" s="58">
        <v>0</v>
      </c>
      <c r="Q3548" s="58">
        <v>0</v>
      </c>
      <c r="R3548" s="58">
        <v>0</v>
      </c>
      <c r="S3548" s="58">
        <v>0</v>
      </c>
      <c r="T3548" s="58">
        <v>0</v>
      </c>
      <c r="U3548" s="58">
        <v>0</v>
      </c>
      <c r="V3548" s="58">
        <v>0</v>
      </c>
      <c r="AG3548" t="s">
        <v>3258</v>
      </c>
      <c r="AM3548" s="1" t="str">
        <f t="shared" si="204"/>
        <v>3546_C0008_0251.jpg</v>
      </c>
    </row>
    <row r="3549" spans="1:39" x14ac:dyDescent="0.35">
      <c r="A3549">
        <v>3545</v>
      </c>
      <c r="B3549">
        <v>3546</v>
      </c>
      <c r="F3549" s="64" t="s">
        <v>6059</v>
      </c>
      <c r="G3549" s="64"/>
      <c r="H3549" s="64"/>
      <c r="I3549" s="64">
        <v>0</v>
      </c>
      <c r="N3549" s="4">
        <v>0</v>
      </c>
      <c r="O3549" s="58">
        <v>0</v>
      </c>
      <c r="P3549" s="58">
        <v>0</v>
      </c>
      <c r="Q3549" s="58">
        <v>0</v>
      </c>
      <c r="R3549" s="58">
        <v>0</v>
      </c>
      <c r="S3549" s="58">
        <v>0</v>
      </c>
      <c r="T3549" s="58">
        <v>0</v>
      </c>
      <c r="U3549" s="58">
        <v>0</v>
      </c>
      <c r="V3549" s="58">
        <v>0</v>
      </c>
      <c r="AG3549" t="s">
        <v>3259</v>
      </c>
      <c r="AM3549" s="1" t="str">
        <f t="shared" si="204"/>
        <v>3547_C0008_0249.jpg</v>
      </c>
    </row>
    <row r="3550" spans="1:39" x14ac:dyDescent="0.35">
      <c r="A3550">
        <v>3546</v>
      </c>
      <c r="B3550">
        <v>3547</v>
      </c>
      <c r="F3550" s="64" t="s">
        <v>6060</v>
      </c>
      <c r="G3550" s="64"/>
      <c r="H3550" s="64"/>
      <c r="I3550" s="64">
        <v>0</v>
      </c>
      <c r="N3550" s="4">
        <v>0</v>
      </c>
      <c r="O3550" s="58">
        <v>0</v>
      </c>
      <c r="P3550" s="58">
        <v>0</v>
      </c>
      <c r="Q3550" s="58">
        <v>0</v>
      </c>
      <c r="R3550" s="58">
        <v>0</v>
      </c>
      <c r="S3550" s="58">
        <v>0</v>
      </c>
      <c r="T3550" s="58">
        <v>0</v>
      </c>
      <c r="U3550" s="58">
        <v>0</v>
      </c>
      <c r="V3550" s="58">
        <v>0</v>
      </c>
      <c r="AG3550" t="s">
        <v>3260</v>
      </c>
      <c r="AM3550" s="1" t="str">
        <f t="shared" si="204"/>
        <v>3548_C0008_0246.jpg</v>
      </c>
    </row>
    <row r="3551" spans="1:39" x14ac:dyDescent="0.35">
      <c r="A3551">
        <v>3547</v>
      </c>
      <c r="B3551">
        <v>3548</v>
      </c>
      <c r="F3551" s="64" t="s">
        <v>6061</v>
      </c>
      <c r="G3551" s="64"/>
      <c r="H3551" s="64"/>
      <c r="I3551" s="64">
        <v>0</v>
      </c>
      <c r="N3551" s="4">
        <v>0</v>
      </c>
      <c r="O3551" s="58">
        <v>0</v>
      </c>
      <c r="P3551" s="58">
        <v>0</v>
      </c>
      <c r="Q3551" s="58">
        <v>0</v>
      </c>
      <c r="R3551" s="58">
        <v>0</v>
      </c>
      <c r="S3551" s="58">
        <v>0</v>
      </c>
      <c r="T3551" s="58">
        <v>0</v>
      </c>
      <c r="U3551" s="58">
        <v>0</v>
      </c>
      <c r="V3551" s="58">
        <v>0</v>
      </c>
      <c r="AG3551" t="s">
        <v>3261</v>
      </c>
      <c r="AM3551" s="1" t="str">
        <f t="shared" si="204"/>
        <v>3549_C0008_0243.jpg</v>
      </c>
    </row>
    <row r="3552" spans="1:39" x14ac:dyDescent="0.35">
      <c r="A3552">
        <v>3548</v>
      </c>
      <c r="B3552">
        <v>3549</v>
      </c>
      <c r="F3552" s="64" t="s">
        <v>6062</v>
      </c>
      <c r="G3552" s="64"/>
      <c r="H3552" s="64"/>
      <c r="I3552" s="64">
        <v>0</v>
      </c>
      <c r="N3552" s="4">
        <v>0</v>
      </c>
      <c r="O3552" s="58">
        <v>0</v>
      </c>
      <c r="P3552" s="58">
        <v>0</v>
      </c>
      <c r="Q3552" s="58">
        <v>0</v>
      </c>
      <c r="R3552" s="58">
        <v>0</v>
      </c>
      <c r="S3552" s="58">
        <v>0</v>
      </c>
      <c r="T3552" s="58">
        <v>0</v>
      </c>
      <c r="U3552" s="58">
        <v>0</v>
      </c>
      <c r="V3552" s="58">
        <v>0</v>
      </c>
      <c r="AG3552" t="s">
        <v>3262</v>
      </c>
      <c r="AM3552" s="1" t="str">
        <f t="shared" si="204"/>
        <v>3550_C0008_0240.jpg</v>
      </c>
    </row>
    <row r="3553" spans="1:39" x14ac:dyDescent="0.35">
      <c r="A3553">
        <v>3549</v>
      </c>
      <c r="B3553">
        <v>3550</v>
      </c>
      <c r="F3553" s="64" t="s">
        <v>6063</v>
      </c>
      <c r="G3553" s="64"/>
      <c r="H3553" s="64"/>
      <c r="I3553" s="64">
        <v>0</v>
      </c>
      <c r="N3553" s="4">
        <v>0</v>
      </c>
      <c r="O3553" s="58">
        <v>0</v>
      </c>
      <c r="P3553" s="58">
        <v>0</v>
      </c>
      <c r="Q3553" s="58">
        <v>0</v>
      </c>
      <c r="R3553" s="58">
        <v>0</v>
      </c>
      <c r="S3553" s="58">
        <v>0</v>
      </c>
      <c r="T3553" s="58">
        <v>0</v>
      </c>
      <c r="U3553" s="58">
        <v>0</v>
      </c>
      <c r="V3553" s="58">
        <v>0</v>
      </c>
      <c r="AG3553" t="s">
        <v>3263</v>
      </c>
      <c r="AM3553" s="1" t="str">
        <f t="shared" si="204"/>
        <v>3551_C0008_0232.jpg</v>
      </c>
    </row>
    <row r="3554" spans="1:39" x14ac:dyDescent="0.35">
      <c r="A3554">
        <v>3550</v>
      </c>
      <c r="B3554">
        <v>3551</v>
      </c>
      <c r="F3554" s="64" t="s">
        <v>6064</v>
      </c>
      <c r="G3554" s="64"/>
      <c r="H3554" s="64"/>
      <c r="I3554" s="64">
        <v>0</v>
      </c>
      <c r="N3554" s="4">
        <v>0</v>
      </c>
      <c r="O3554" s="58">
        <v>0</v>
      </c>
      <c r="P3554" s="58">
        <v>0</v>
      </c>
      <c r="Q3554" s="58">
        <v>0</v>
      </c>
      <c r="R3554" s="58">
        <v>0</v>
      </c>
      <c r="S3554" s="58">
        <v>0</v>
      </c>
      <c r="T3554" s="58">
        <v>0</v>
      </c>
      <c r="U3554" s="58">
        <v>0</v>
      </c>
      <c r="V3554" s="58">
        <v>0</v>
      </c>
      <c r="AG3554" t="s">
        <v>3264</v>
      </c>
      <c r="AM3554" s="1" t="str">
        <f t="shared" si="204"/>
        <v>3552_C0008_0228.jpg</v>
      </c>
    </row>
    <row r="3555" spans="1:39" x14ac:dyDescent="0.35">
      <c r="A3555">
        <v>3551</v>
      </c>
      <c r="B3555">
        <v>3552</v>
      </c>
      <c r="F3555" s="64" t="s">
        <v>6065</v>
      </c>
      <c r="G3555" s="64"/>
      <c r="H3555" s="64"/>
      <c r="I3555" s="64">
        <v>0</v>
      </c>
      <c r="N3555" s="4">
        <v>0</v>
      </c>
      <c r="O3555" s="58">
        <v>1</v>
      </c>
      <c r="P3555" s="58">
        <v>0</v>
      </c>
      <c r="Q3555" s="58">
        <v>0</v>
      </c>
      <c r="R3555" s="58">
        <v>0</v>
      </c>
      <c r="S3555" s="58">
        <v>0</v>
      </c>
      <c r="T3555" s="58">
        <v>0</v>
      </c>
      <c r="U3555" s="58">
        <v>0</v>
      </c>
      <c r="V3555" s="58">
        <v>0</v>
      </c>
      <c r="AG3555" t="s">
        <v>3265</v>
      </c>
      <c r="AM3555" s="1" t="str">
        <f t="shared" si="204"/>
        <v>3553_C0008_0225.jpg</v>
      </c>
    </row>
    <row r="3556" spans="1:39" x14ac:dyDescent="0.35">
      <c r="A3556">
        <v>3552</v>
      </c>
      <c r="B3556">
        <v>3553</v>
      </c>
      <c r="F3556" s="64" t="s">
        <v>6066</v>
      </c>
      <c r="G3556" s="64"/>
      <c r="H3556" s="64"/>
      <c r="I3556" s="64">
        <v>0</v>
      </c>
      <c r="N3556" s="4">
        <v>0</v>
      </c>
      <c r="O3556" s="58">
        <v>0</v>
      </c>
      <c r="P3556" s="58">
        <v>0</v>
      </c>
      <c r="Q3556" s="58">
        <v>0</v>
      </c>
      <c r="R3556" s="58">
        <v>0</v>
      </c>
      <c r="S3556" s="58">
        <v>0</v>
      </c>
      <c r="T3556" s="58">
        <v>0</v>
      </c>
      <c r="U3556" s="58">
        <v>0</v>
      </c>
      <c r="V3556" s="58">
        <v>0</v>
      </c>
      <c r="AG3556" t="s">
        <v>3266</v>
      </c>
      <c r="AM3556" s="1" t="str">
        <f t="shared" si="204"/>
        <v>3554_C0008_0222.jpg</v>
      </c>
    </row>
    <row r="3557" spans="1:39" x14ac:dyDescent="0.35">
      <c r="A3557">
        <v>3553</v>
      </c>
      <c r="B3557">
        <v>3554</v>
      </c>
      <c r="F3557" s="64" t="s">
        <v>6067</v>
      </c>
      <c r="G3557" s="64"/>
      <c r="H3557" s="64"/>
      <c r="I3557" s="64">
        <v>0</v>
      </c>
      <c r="N3557" s="4">
        <v>0</v>
      </c>
      <c r="O3557" s="58">
        <v>0</v>
      </c>
      <c r="P3557" s="58">
        <v>0</v>
      </c>
      <c r="Q3557" s="58">
        <v>0</v>
      </c>
      <c r="R3557" s="58">
        <v>0</v>
      </c>
      <c r="S3557" s="58">
        <v>0</v>
      </c>
      <c r="T3557" s="58">
        <v>0</v>
      </c>
      <c r="U3557" s="58">
        <v>0</v>
      </c>
      <c r="V3557" s="58">
        <v>0</v>
      </c>
      <c r="AG3557" t="s">
        <v>3267</v>
      </c>
      <c r="AM3557" s="1" t="str">
        <f t="shared" si="204"/>
        <v>3555_C0008_0218.jpg</v>
      </c>
    </row>
    <row r="3558" spans="1:39" x14ac:dyDescent="0.35">
      <c r="A3558">
        <v>3554</v>
      </c>
      <c r="B3558">
        <v>3555</v>
      </c>
      <c r="F3558" s="64" t="s">
        <v>6068</v>
      </c>
      <c r="G3558" s="64"/>
      <c r="H3558" s="64"/>
      <c r="I3558" s="64">
        <v>0</v>
      </c>
      <c r="N3558" s="4">
        <v>0</v>
      </c>
      <c r="O3558" s="58">
        <v>0</v>
      </c>
      <c r="P3558" s="58">
        <v>0</v>
      </c>
      <c r="Q3558" s="58">
        <v>0</v>
      </c>
      <c r="R3558" s="58">
        <v>0</v>
      </c>
      <c r="S3558" s="58">
        <v>0</v>
      </c>
      <c r="T3558" s="58">
        <v>0</v>
      </c>
      <c r="U3558" s="58">
        <v>0</v>
      </c>
      <c r="V3558" s="58">
        <v>0</v>
      </c>
      <c r="AG3558" t="s">
        <v>3268</v>
      </c>
      <c r="AM3558" s="1" t="str">
        <f t="shared" si="204"/>
        <v>3556_C0008_0216.jpg</v>
      </c>
    </row>
    <row r="3559" spans="1:39" x14ac:dyDescent="0.35">
      <c r="A3559">
        <v>3555</v>
      </c>
      <c r="B3559">
        <v>3556</v>
      </c>
      <c r="F3559" s="64" t="s">
        <v>6069</v>
      </c>
      <c r="G3559" s="64"/>
      <c r="H3559" s="64"/>
      <c r="I3559" s="64">
        <v>0</v>
      </c>
      <c r="N3559" s="4">
        <v>0</v>
      </c>
      <c r="O3559" s="58">
        <v>0</v>
      </c>
      <c r="P3559" s="58">
        <v>0</v>
      </c>
      <c r="Q3559" s="58">
        <v>0</v>
      </c>
      <c r="R3559" s="58">
        <v>0</v>
      </c>
      <c r="S3559" s="58">
        <v>0</v>
      </c>
      <c r="T3559" s="58">
        <v>0</v>
      </c>
      <c r="U3559" s="58">
        <v>0</v>
      </c>
      <c r="V3559" s="58">
        <v>0</v>
      </c>
      <c r="AG3559" t="s">
        <v>3269</v>
      </c>
      <c r="AM3559" s="1" t="str">
        <f t="shared" si="204"/>
        <v>3557_C0008_0212.jpg</v>
      </c>
    </row>
    <row r="3560" spans="1:39" x14ac:dyDescent="0.35">
      <c r="A3560">
        <v>3556</v>
      </c>
      <c r="B3560">
        <v>3557</v>
      </c>
      <c r="F3560" s="64" t="s">
        <v>6070</v>
      </c>
      <c r="G3560" s="64"/>
      <c r="H3560" s="64"/>
      <c r="I3560" s="64">
        <v>0</v>
      </c>
      <c r="N3560" s="4">
        <v>0</v>
      </c>
      <c r="O3560" s="58">
        <v>0</v>
      </c>
      <c r="P3560" s="58">
        <v>0</v>
      </c>
      <c r="Q3560" s="58">
        <v>0</v>
      </c>
      <c r="R3560" s="58">
        <v>0</v>
      </c>
      <c r="S3560" s="58">
        <v>0</v>
      </c>
      <c r="T3560" s="58">
        <v>0</v>
      </c>
      <c r="U3560" s="58">
        <v>0</v>
      </c>
      <c r="V3560" s="58">
        <v>0</v>
      </c>
      <c r="AG3560" t="s">
        <v>3270</v>
      </c>
      <c r="AM3560" s="1" t="str">
        <f t="shared" si="204"/>
        <v>3558_C0008_0208.jpg</v>
      </c>
    </row>
    <row r="3561" spans="1:39" x14ac:dyDescent="0.35">
      <c r="A3561">
        <v>3557</v>
      </c>
      <c r="B3561">
        <v>3558</v>
      </c>
      <c r="F3561" s="64" t="s">
        <v>6071</v>
      </c>
      <c r="G3561" s="64"/>
      <c r="H3561" s="64"/>
      <c r="I3561" s="64">
        <v>0</v>
      </c>
      <c r="N3561" s="4">
        <v>0</v>
      </c>
      <c r="O3561" s="58">
        <v>0</v>
      </c>
      <c r="P3561" s="58">
        <v>0</v>
      </c>
      <c r="Q3561" s="58">
        <v>0</v>
      </c>
      <c r="R3561" s="58">
        <v>0</v>
      </c>
      <c r="S3561" s="58">
        <v>0</v>
      </c>
      <c r="T3561" s="58">
        <v>0</v>
      </c>
      <c r="U3561" s="58">
        <v>0</v>
      </c>
      <c r="V3561" s="58">
        <v>0</v>
      </c>
      <c r="AG3561" t="s">
        <v>3271</v>
      </c>
      <c r="AM3561" s="1" t="str">
        <f t="shared" si="204"/>
        <v>3559_C0008_0205.jpg</v>
      </c>
    </row>
    <row r="3562" spans="1:39" x14ac:dyDescent="0.35">
      <c r="A3562">
        <v>3558</v>
      </c>
      <c r="B3562">
        <v>3559</v>
      </c>
      <c r="F3562" s="64" t="s">
        <v>6072</v>
      </c>
      <c r="G3562" s="64"/>
      <c r="H3562" s="64"/>
      <c r="I3562" s="64">
        <v>0</v>
      </c>
      <c r="N3562" s="4">
        <v>0</v>
      </c>
      <c r="O3562" s="58">
        <v>0</v>
      </c>
      <c r="P3562" s="58">
        <v>0</v>
      </c>
      <c r="Q3562" s="58">
        <v>0</v>
      </c>
      <c r="R3562" s="58">
        <v>0</v>
      </c>
      <c r="S3562" s="58">
        <v>0</v>
      </c>
      <c r="T3562" s="58">
        <v>0</v>
      </c>
      <c r="U3562" s="58">
        <v>0</v>
      </c>
      <c r="V3562" s="58">
        <v>0</v>
      </c>
      <c r="AG3562" t="s">
        <v>3272</v>
      </c>
      <c r="AM3562" s="1" t="str">
        <f t="shared" si="204"/>
        <v>3560_C0008_0201.jpg</v>
      </c>
    </row>
    <row r="3563" spans="1:39" x14ac:dyDescent="0.35">
      <c r="A3563">
        <v>3559</v>
      </c>
      <c r="B3563">
        <v>3560</v>
      </c>
      <c r="F3563" s="64" t="s">
        <v>6073</v>
      </c>
      <c r="G3563" s="64"/>
      <c r="H3563" s="64"/>
      <c r="I3563" s="64">
        <v>0</v>
      </c>
      <c r="N3563" s="4">
        <v>0</v>
      </c>
      <c r="O3563" s="58">
        <v>0</v>
      </c>
      <c r="P3563" s="58">
        <v>0</v>
      </c>
      <c r="Q3563" s="58">
        <v>0</v>
      </c>
      <c r="R3563" s="58">
        <v>0</v>
      </c>
      <c r="S3563" s="58">
        <v>0</v>
      </c>
      <c r="T3563" s="58">
        <v>0</v>
      </c>
      <c r="U3563" s="58">
        <v>0</v>
      </c>
      <c r="V3563" s="58">
        <v>0</v>
      </c>
      <c r="AG3563" t="s">
        <v>3273</v>
      </c>
      <c r="AM3563" s="1" t="str">
        <f t="shared" si="204"/>
        <v>3561_C0008_0197.jpg</v>
      </c>
    </row>
    <row r="3564" spans="1:39" x14ac:dyDescent="0.35">
      <c r="A3564">
        <v>3560</v>
      </c>
      <c r="B3564">
        <v>3561</v>
      </c>
      <c r="F3564" s="64" t="s">
        <v>6074</v>
      </c>
      <c r="G3564" s="64"/>
      <c r="H3564" s="64"/>
      <c r="I3564" s="64">
        <v>0</v>
      </c>
      <c r="N3564" s="4">
        <v>0</v>
      </c>
      <c r="O3564" s="58">
        <v>0</v>
      </c>
      <c r="P3564" s="58">
        <v>0</v>
      </c>
      <c r="Q3564" s="58">
        <v>0</v>
      </c>
      <c r="R3564" s="58">
        <v>0</v>
      </c>
      <c r="S3564" s="58">
        <v>0</v>
      </c>
      <c r="T3564" s="58">
        <v>0</v>
      </c>
      <c r="U3564" s="58">
        <v>0</v>
      </c>
      <c r="V3564" s="58">
        <v>0</v>
      </c>
      <c r="AG3564" t="s">
        <v>3274</v>
      </c>
      <c r="AM3564" s="1" t="str">
        <f t="shared" si="204"/>
        <v>3562_C0008_0194.jpg</v>
      </c>
    </row>
    <row r="3565" spans="1:39" x14ac:dyDescent="0.35">
      <c r="A3565">
        <v>3561</v>
      </c>
      <c r="B3565">
        <v>3562</v>
      </c>
      <c r="F3565" s="64" t="s">
        <v>6075</v>
      </c>
      <c r="G3565" s="64"/>
      <c r="H3565" s="64"/>
      <c r="I3565" s="64">
        <v>0</v>
      </c>
      <c r="N3565" s="4">
        <v>0</v>
      </c>
      <c r="O3565" s="58">
        <v>0</v>
      </c>
      <c r="P3565" s="58">
        <v>0</v>
      </c>
      <c r="Q3565" s="58">
        <v>0</v>
      </c>
      <c r="R3565" s="58">
        <v>0</v>
      </c>
      <c r="S3565" s="58">
        <v>0</v>
      </c>
      <c r="T3565" s="58">
        <v>0</v>
      </c>
      <c r="U3565" s="58">
        <v>0</v>
      </c>
      <c r="V3565" s="58">
        <v>0</v>
      </c>
      <c r="AG3565" t="s">
        <v>3275</v>
      </c>
      <c r="AM3565" s="1" t="str">
        <f t="shared" si="204"/>
        <v>3563_C0008_0192.jpg</v>
      </c>
    </row>
    <row r="3566" spans="1:39" x14ac:dyDescent="0.35">
      <c r="A3566">
        <v>3562</v>
      </c>
      <c r="B3566">
        <v>3563</v>
      </c>
      <c r="F3566" s="64" t="s">
        <v>6076</v>
      </c>
      <c r="G3566" s="64"/>
      <c r="H3566" s="64"/>
      <c r="I3566" s="64">
        <v>0</v>
      </c>
      <c r="N3566" s="4">
        <v>0</v>
      </c>
      <c r="O3566" s="58">
        <v>0</v>
      </c>
      <c r="P3566" s="58">
        <v>0</v>
      </c>
      <c r="Q3566" s="58">
        <v>0</v>
      </c>
      <c r="R3566" s="58">
        <v>0</v>
      </c>
      <c r="S3566" s="58">
        <v>0</v>
      </c>
      <c r="T3566" s="58">
        <v>0</v>
      </c>
      <c r="U3566" s="58">
        <v>0</v>
      </c>
      <c r="V3566" s="58">
        <v>0</v>
      </c>
      <c r="AG3566" t="s">
        <v>3276</v>
      </c>
      <c r="AM3566" s="1" t="str">
        <f t="shared" si="204"/>
        <v>3564_C0008_0188.jpg</v>
      </c>
    </row>
    <row r="3567" spans="1:39" x14ac:dyDescent="0.35">
      <c r="A3567">
        <v>3563</v>
      </c>
      <c r="B3567">
        <v>3564</v>
      </c>
      <c r="F3567" s="64" t="s">
        <v>6077</v>
      </c>
      <c r="G3567" s="64"/>
      <c r="H3567" s="64"/>
      <c r="I3567" s="64">
        <v>0</v>
      </c>
      <c r="N3567" s="4">
        <v>0</v>
      </c>
      <c r="O3567" s="58">
        <v>0</v>
      </c>
      <c r="P3567" s="58">
        <v>0</v>
      </c>
      <c r="Q3567" s="58">
        <v>0</v>
      </c>
      <c r="R3567" s="58">
        <v>0</v>
      </c>
      <c r="S3567" s="58">
        <v>0</v>
      </c>
      <c r="T3567" s="58">
        <v>0</v>
      </c>
      <c r="U3567" s="58">
        <v>0</v>
      </c>
      <c r="V3567" s="58">
        <v>0</v>
      </c>
      <c r="AG3567" t="s">
        <v>3277</v>
      </c>
      <c r="AM3567" s="1" t="str">
        <f t="shared" si="204"/>
        <v>3565_C0008_0186.jpg</v>
      </c>
    </row>
    <row r="3568" spans="1:39" x14ac:dyDescent="0.35">
      <c r="A3568">
        <v>3564</v>
      </c>
      <c r="B3568">
        <v>3565</v>
      </c>
      <c r="F3568" s="64" t="s">
        <v>6078</v>
      </c>
      <c r="G3568" s="64"/>
      <c r="H3568" s="64"/>
      <c r="I3568" s="64">
        <v>0</v>
      </c>
      <c r="N3568" s="4">
        <v>0</v>
      </c>
      <c r="O3568" s="58">
        <v>0</v>
      </c>
      <c r="P3568" s="58">
        <v>0</v>
      </c>
      <c r="Q3568" s="58">
        <v>0</v>
      </c>
      <c r="R3568" s="58">
        <v>0</v>
      </c>
      <c r="S3568" s="58">
        <v>0</v>
      </c>
      <c r="T3568" s="58">
        <v>0</v>
      </c>
      <c r="U3568" s="58">
        <v>0</v>
      </c>
      <c r="V3568" s="58">
        <v>0</v>
      </c>
      <c r="AG3568" t="s">
        <v>3278</v>
      </c>
      <c r="AM3568" s="1" t="str">
        <f t="shared" ref="AM3568:AM3618" si="205">HYPERLINK("E:\CAFNEC_GBRF\2023\JohnstoneRiver\Frames_for_Analysis\" &amp; F3569, F3569)</f>
        <v>3566_C0008_0183.jpg</v>
      </c>
    </row>
    <row r="3569" spans="1:39" x14ac:dyDescent="0.35">
      <c r="A3569">
        <v>3565</v>
      </c>
      <c r="B3569">
        <v>3566</v>
      </c>
      <c r="F3569" s="64" t="s">
        <v>6079</v>
      </c>
      <c r="G3569" s="64"/>
      <c r="H3569" s="64"/>
      <c r="I3569" s="64">
        <v>0</v>
      </c>
      <c r="N3569" s="4">
        <v>0</v>
      </c>
      <c r="O3569" s="58">
        <v>0</v>
      </c>
      <c r="P3569" s="58">
        <v>0</v>
      </c>
      <c r="Q3569" s="58">
        <v>0</v>
      </c>
      <c r="R3569" s="58">
        <v>0</v>
      </c>
      <c r="S3569" s="58">
        <v>0</v>
      </c>
      <c r="T3569" s="58">
        <v>0</v>
      </c>
      <c r="U3569" s="58">
        <v>0</v>
      </c>
      <c r="V3569" s="58">
        <v>0</v>
      </c>
      <c r="AG3569" t="s">
        <v>3279</v>
      </c>
      <c r="AM3569" s="1" t="str">
        <f t="shared" si="205"/>
        <v>3567_C0008_0180.jpg</v>
      </c>
    </row>
    <row r="3570" spans="1:39" x14ac:dyDescent="0.35">
      <c r="A3570">
        <v>3566</v>
      </c>
      <c r="B3570">
        <v>3567</v>
      </c>
      <c r="F3570" s="64" t="s">
        <v>6080</v>
      </c>
      <c r="G3570" s="64"/>
      <c r="H3570" s="64"/>
      <c r="I3570" s="64">
        <v>0</v>
      </c>
      <c r="N3570" s="4">
        <v>0</v>
      </c>
      <c r="O3570" s="58">
        <v>0</v>
      </c>
      <c r="P3570" s="58">
        <v>0</v>
      </c>
      <c r="Q3570" s="58">
        <v>0</v>
      </c>
      <c r="R3570" s="58">
        <v>0</v>
      </c>
      <c r="S3570" s="58">
        <v>0</v>
      </c>
      <c r="T3570" s="58">
        <v>0</v>
      </c>
      <c r="U3570" s="58">
        <v>0</v>
      </c>
      <c r="V3570" s="58">
        <v>0</v>
      </c>
      <c r="AG3570" t="s">
        <v>3280</v>
      </c>
      <c r="AM3570" s="1" t="str">
        <f t="shared" si="205"/>
        <v>3568_C0008_0177.jpg</v>
      </c>
    </row>
    <row r="3571" spans="1:39" x14ac:dyDescent="0.35">
      <c r="A3571">
        <v>3567</v>
      </c>
      <c r="B3571">
        <v>3568</v>
      </c>
      <c r="F3571" s="64" t="s">
        <v>6081</v>
      </c>
      <c r="G3571" s="64"/>
      <c r="H3571" s="64"/>
      <c r="I3571" s="64">
        <v>0</v>
      </c>
      <c r="N3571" s="4">
        <v>0</v>
      </c>
      <c r="O3571" s="58">
        <v>0</v>
      </c>
      <c r="P3571" s="58">
        <v>0</v>
      </c>
      <c r="Q3571" s="58">
        <v>0</v>
      </c>
      <c r="R3571" s="58">
        <v>0</v>
      </c>
      <c r="S3571" s="58">
        <v>0</v>
      </c>
      <c r="T3571" s="58">
        <v>0</v>
      </c>
      <c r="U3571" s="58">
        <v>0</v>
      </c>
      <c r="V3571" s="58">
        <v>0</v>
      </c>
      <c r="AG3571" t="s">
        <v>3281</v>
      </c>
      <c r="AM3571" s="1" t="str">
        <f t="shared" si="205"/>
        <v>3569_C0008_0174.jpg</v>
      </c>
    </row>
    <row r="3572" spans="1:39" x14ac:dyDescent="0.35">
      <c r="A3572">
        <v>3568</v>
      </c>
      <c r="B3572">
        <v>3569</v>
      </c>
      <c r="F3572" s="64" t="s">
        <v>6082</v>
      </c>
      <c r="G3572" s="64"/>
      <c r="H3572" s="64"/>
      <c r="I3572" s="64">
        <v>0</v>
      </c>
      <c r="N3572" s="4">
        <v>0</v>
      </c>
      <c r="O3572" s="58">
        <v>0</v>
      </c>
      <c r="P3572" s="58">
        <v>0</v>
      </c>
      <c r="Q3572" s="58">
        <v>0</v>
      </c>
      <c r="R3572" s="58">
        <v>0</v>
      </c>
      <c r="S3572" s="58">
        <v>0</v>
      </c>
      <c r="T3572" s="58">
        <v>0</v>
      </c>
      <c r="U3572" s="58">
        <v>0</v>
      </c>
      <c r="V3572" s="58">
        <v>0</v>
      </c>
      <c r="AG3572" t="s">
        <v>3282</v>
      </c>
      <c r="AM3572" s="1" t="str">
        <f t="shared" si="205"/>
        <v>3570_C0008_0170.jpg</v>
      </c>
    </row>
    <row r="3573" spans="1:39" x14ac:dyDescent="0.35">
      <c r="A3573">
        <v>3569</v>
      </c>
      <c r="B3573">
        <v>3570</v>
      </c>
      <c r="F3573" s="64" t="s">
        <v>6083</v>
      </c>
      <c r="G3573" s="64"/>
      <c r="H3573" s="64"/>
      <c r="I3573" s="64">
        <v>0</v>
      </c>
      <c r="N3573" s="4">
        <v>0</v>
      </c>
      <c r="O3573" s="58">
        <v>0</v>
      </c>
      <c r="P3573" s="58">
        <v>0</v>
      </c>
      <c r="Q3573" s="58">
        <v>0</v>
      </c>
      <c r="R3573" s="58">
        <v>0</v>
      </c>
      <c r="S3573" s="58">
        <v>0</v>
      </c>
      <c r="T3573" s="58">
        <v>0</v>
      </c>
      <c r="U3573" s="58">
        <v>0</v>
      </c>
      <c r="V3573" s="58">
        <v>0</v>
      </c>
      <c r="AG3573" t="s">
        <v>3283</v>
      </c>
      <c r="AM3573" s="1" t="str">
        <f t="shared" si="205"/>
        <v>3571_C0008_0166.jpg</v>
      </c>
    </row>
    <row r="3574" spans="1:39" x14ac:dyDescent="0.35">
      <c r="A3574">
        <v>3570</v>
      </c>
      <c r="B3574">
        <v>3571</v>
      </c>
      <c r="F3574" s="64" t="s">
        <v>6084</v>
      </c>
      <c r="G3574" s="64"/>
      <c r="H3574" s="64"/>
      <c r="I3574" s="64">
        <v>0</v>
      </c>
      <c r="N3574" s="4">
        <v>0</v>
      </c>
      <c r="O3574" s="58">
        <v>0</v>
      </c>
      <c r="P3574" s="58">
        <v>0</v>
      </c>
      <c r="Q3574" s="58">
        <v>0</v>
      </c>
      <c r="R3574" s="58">
        <v>0</v>
      </c>
      <c r="S3574" s="58">
        <v>0</v>
      </c>
      <c r="T3574" s="58">
        <v>0</v>
      </c>
      <c r="U3574" s="58">
        <v>0</v>
      </c>
      <c r="V3574" s="58">
        <v>0</v>
      </c>
      <c r="AG3574" t="s">
        <v>3284</v>
      </c>
      <c r="AM3574" s="1" t="str">
        <f t="shared" si="205"/>
        <v>3572_C0008_0163.jpg</v>
      </c>
    </row>
    <row r="3575" spans="1:39" x14ac:dyDescent="0.35">
      <c r="A3575">
        <v>3571</v>
      </c>
      <c r="B3575">
        <v>3572</v>
      </c>
      <c r="F3575" s="64" t="s">
        <v>6085</v>
      </c>
      <c r="G3575" s="64"/>
      <c r="H3575" s="64"/>
      <c r="I3575" s="64">
        <v>0</v>
      </c>
      <c r="N3575" s="4">
        <v>0</v>
      </c>
      <c r="O3575" s="58">
        <v>0</v>
      </c>
      <c r="P3575" s="58">
        <v>0</v>
      </c>
      <c r="Q3575" s="58">
        <v>0</v>
      </c>
      <c r="R3575" s="58">
        <v>0</v>
      </c>
      <c r="S3575" s="58">
        <v>0</v>
      </c>
      <c r="T3575" s="58">
        <v>0</v>
      </c>
      <c r="U3575" s="58">
        <v>0</v>
      </c>
      <c r="V3575" s="58">
        <v>0</v>
      </c>
      <c r="AG3575" t="s">
        <v>3285</v>
      </c>
      <c r="AM3575" s="1" t="str">
        <f t="shared" si="205"/>
        <v>3573_C0008_0160.jpg</v>
      </c>
    </row>
    <row r="3576" spans="1:39" x14ac:dyDescent="0.35">
      <c r="A3576">
        <v>3572</v>
      </c>
      <c r="B3576">
        <v>3573</v>
      </c>
      <c r="F3576" s="64" t="s">
        <v>6086</v>
      </c>
      <c r="G3576" s="64"/>
      <c r="H3576" s="64"/>
      <c r="I3576" s="64">
        <v>0</v>
      </c>
      <c r="N3576" s="4">
        <v>0</v>
      </c>
      <c r="O3576" s="58">
        <v>0</v>
      </c>
      <c r="P3576" s="58">
        <v>0</v>
      </c>
      <c r="Q3576" s="58">
        <v>0</v>
      </c>
      <c r="R3576" s="58">
        <v>0</v>
      </c>
      <c r="S3576" s="58">
        <v>0</v>
      </c>
      <c r="T3576" s="58">
        <v>0</v>
      </c>
      <c r="U3576" s="58">
        <v>0</v>
      </c>
      <c r="V3576" s="58">
        <v>0</v>
      </c>
      <c r="AG3576" t="s">
        <v>3286</v>
      </c>
      <c r="AM3576" s="1" t="str">
        <f t="shared" si="205"/>
        <v>3574_C0008_0157.jpg</v>
      </c>
    </row>
    <row r="3577" spans="1:39" x14ac:dyDescent="0.35">
      <c r="A3577">
        <v>3573</v>
      </c>
      <c r="B3577">
        <v>3574</v>
      </c>
      <c r="F3577" s="64" t="s">
        <v>6087</v>
      </c>
      <c r="G3577" s="64"/>
      <c r="H3577" s="64"/>
      <c r="I3577" s="64">
        <v>0</v>
      </c>
      <c r="N3577" s="4">
        <v>0</v>
      </c>
      <c r="O3577" s="58">
        <v>0</v>
      </c>
      <c r="P3577" s="58">
        <v>0</v>
      </c>
      <c r="Q3577" s="58">
        <v>0</v>
      </c>
      <c r="R3577" s="58">
        <v>0</v>
      </c>
      <c r="S3577" s="58">
        <v>0</v>
      </c>
      <c r="T3577" s="58">
        <v>0</v>
      </c>
      <c r="U3577" s="58">
        <v>0</v>
      </c>
      <c r="V3577" s="58">
        <v>0</v>
      </c>
      <c r="AG3577" t="s">
        <v>3287</v>
      </c>
      <c r="AM3577" s="1" t="str">
        <f t="shared" si="205"/>
        <v>3575_C0008_0154.jpg</v>
      </c>
    </row>
    <row r="3578" spans="1:39" x14ac:dyDescent="0.35">
      <c r="A3578">
        <v>3574</v>
      </c>
      <c r="B3578">
        <v>3575</v>
      </c>
      <c r="F3578" s="64" t="s">
        <v>6088</v>
      </c>
      <c r="G3578" s="64"/>
      <c r="H3578" s="64"/>
      <c r="I3578" s="64">
        <v>0</v>
      </c>
      <c r="N3578" s="4">
        <v>0</v>
      </c>
      <c r="O3578" s="58">
        <v>0</v>
      </c>
      <c r="P3578" s="58">
        <v>0</v>
      </c>
      <c r="Q3578" s="58">
        <v>0</v>
      </c>
      <c r="R3578" s="58">
        <v>0</v>
      </c>
      <c r="S3578" s="58">
        <v>0</v>
      </c>
      <c r="T3578" s="58">
        <v>0</v>
      </c>
      <c r="U3578" s="58">
        <v>0</v>
      </c>
      <c r="V3578" s="58">
        <v>0</v>
      </c>
      <c r="AG3578" t="s">
        <v>3288</v>
      </c>
      <c r="AM3578" s="1" t="str">
        <f t="shared" si="205"/>
        <v>3576_C0008_0151.jpg</v>
      </c>
    </row>
    <row r="3579" spans="1:39" x14ac:dyDescent="0.35">
      <c r="A3579">
        <v>3575</v>
      </c>
      <c r="B3579">
        <v>3576</v>
      </c>
      <c r="F3579" s="64" t="s">
        <v>6089</v>
      </c>
      <c r="G3579" s="64"/>
      <c r="H3579" s="64"/>
      <c r="I3579" s="64">
        <v>0</v>
      </c>
      <c r="N3579" s="4">
        <v>0</v>
      </c>
      <c r="O3579" s="58">
        <v>0</v>
      </c>
      <c r="P3579" s="58">
        <v>0</v>
      </c>
      <c r="Q3579" s="58">
        <v>0</v>
      </c>
      <c r="R3579" s="58">
        <v>0</v>
      </c>
      <c r="S3579" s="58">
        <v>0</v>
      </c>
      <c r="T3579" s="58">
        <v>0</v>
      </c>
      <c r="U3579" s="58">
        <v>0</v>
      </c>
      <c r="V3579" s="58">
        <v>0</v>
      </c>
      <c r="AG3579" t="s">
        <v>3289</v>
      </c>
      <c r="AM3579" s="1" t="str">
        <f t="shared" si="205"/>
        <v>3577_C0008_0148.jpg</v>
      </c>
    </row>
    <row r="3580" spans="1:39" x14ac:dyDescent="0.35">
      <c r="A3580">
        <v>3576</v>
      </c>
      <c r="B3580">
        <v>3577</v>
      </c>
      <c r="F3580" s="64" t="s">
        <v>6090</v>
      </c>
      <c r="G3580" s="64"/>
      <c r="H3580" s="64"/>
      <c r="I3580" s="64">
        <v>0</v>
      </c>
      <c r="N3580" s="4">
        <v>0</v>
      </c>
      <c r="O3580" s="58">
        <v>0</v>
      </c>
      <c r="P3580" s="58">
        <v>0</v>
      </c>
      <c r="Q3580" s="58">
        <v>0</v>
      </c>
      <c r="R3580" s="58">
        <v>0</v>
      </c>
      <c r="S3580" s="58">
        <v>0</v>
      </c>
      <c r="T3580" s="58">
        <v>0</v>
      </c>
      <c r="U3580" s="58">
        <v>0</v>
      </c>
      <c r="V3580" s="58">
        <v>0</v>
      </c>
      <c r="AG3580" t="s">
        <v>3290</v>
      </c>
      <c r="AM3580" s="1" t="str">
        <f t="shared" si="205"/>
        <v>3578_C0008_0145.jpg</v>
      </c>
    </row>
    <row r="3581" spans="1:39" x14ac:dyDescent="0.35">
      <c r="A3581">
        <v>3577</v>
      </c>
      <c r="B3581">
        <v>3578</v>
      </c>
      <c r="F3581" s="64" t="s">
        <v>6091</v>
      </c>
      <c r="G3581" s="64"/>
      <c r="H3581" s="64"/>
      <c r="I3581" s="64">
        <v>0</v>
      </c>
      <c r="N3581" s="4">
        <v>0</v>
      </c>
      <c r="O3581" s="58">
        <v>0</v>
      </c>
      <c r="P3581" s="58">
        <v>0</v>
      </c>
      <c r="Q3581" s="58">
        <v>0</v>
      </c>
      <c r="R3581" s="58">
        <v>0</v>
      </c>
      <c r="S3581" s="58">
        <v>0</v>
      </c>
      <c r="T3581" s="58">
        <v>0</v>
      </c>
      <c r="U3581" s="58">
        <v>0</v>
      </c>
      <c r="V3581" s="58">
        <v>0</v>
      </c>
      <c r="AG3581" t="s">
        <v>3291</v>
      </c>
      <c r="AM3581" s="1" t="str">
        <f t="shared" si="205"/>
        <v>3579_C0008_0142.jpg</v>
      </c>
    </row>
    <row r="3582" spans="1:39" x14ac:dyDescent="0.35">
      <c r="A3582">
        <v>3578</v>
      </c>
      <c r="B3582">
        <v>3579</v>
      </c>
      <c r="F3582" s="64" t="s">
        <v>6092</v>
      </c>
      <c r="G3582" s="64"/>
      <c r="H3582" s="64"/>
      <c r="I3582" s="64">
        <v>0</v>
      </c>
      <c r="N3582" s="4">
        <v>0</v>
      </c>
      <c r="O3582" s="58">
        <v>0</v>
      </c>
      <c r="P3582" s="58">
        <v>0</v>
      </c>
      <c r="Q3582" s="58">
        <v>0</v>
      </c>
      <c r="R3582" s="58">
        <v>0</v>
      </c>
      <c r="S3582" s="58">
        <v>0</v>
      </c>
      <c r="T3582" s="58">
        <v>0</v>
      </c>
      <c r="U3582" s="58">
        <v>0</v>
      </c>
      <c r="V3582" s="58">
        <v>0</v>
      </c>
      <c r="AG3582" t="s">
        <v>3292</v>
      </c>
      <c r="AM3582" s="1" t="str">
        <f t="shared" si="205"/>
        <v>3580_C0008_0138.jpg</v>
      </c>
    </row>
    <row r="3583" spans="1:39" x14ac:dyDescent="0.35">
      <c r="A3583">
        <v>3579</v>
      </c>
      <c r="B3583">
        <v>3580</v>
      </c>
      <c r="F3583" s="64" t="s">
        <v>6093</v>
      </c>
      <c r="G3583" s="64"/>
      <c r="H3583" s="64"/>
      <c r="I3583" s="64">
        <v>0</v>
      </c>
      <c r="N3583" s="4">
        <v>0</v>
      </c>
      <c r="O3583" s="58">
        <v>0</v>
      </c>
      <c r="P3583" s="58">
        <v>0</v>
      </c>
      <c r="Q3583" s="58">
        <v>0</v>
      </c>
      <c r="R3583" s="58">
        <v>0</v>
      </c>
      <c r="S3583" s="58">
        <v>0</v>
      </c>
      <c r="T3583" s="58">
        <v>0</v>
      </c>
      <c r="U3583" s="58">
        <v>0</v>
      </c>
      <c r="V3583" s="58">
        <v>0</v>
      </c>
      <c r="AG3583" t="s">
        <v>3293</v>
      </c>
      <c r="AM3583" s="1" t="str">
        <f t="shared" si="205"/>
        <v>3581_C0008_0136.jpg</v>
      </c>
    </row>
    <row r="3584" spans="1:39" x14ac:dyDescent="0.35">
      <c r="A3584">
        <v>3580</v>
      </c>
      <c r="B3584">
        <v>3581</v>
      </c>
      <c r="F3584" s="64" t="s">
        <v>6094</v>
      </c>
      <c r="G3584" s="64"/>
      <c r="H3584" s="64"/>
      <c r="I3584" s="64">
        <v>0</v>
      </c>
      <c r="N3584" s="4">
        <v>0</v>
      </c>
      <c r="O3584" s="58">
        <v>0</v>
      </c>
      <c r="P3584" s="58">
        <v>0</v>
      </c>
      <c r="Q3584" s="58">
        <v>0</v>
      </c>
      <c r="R3584" s="58">
        <v>0</v>
      </c>
      <c r="S3584" s="58">
        <v>0</v>
      </c>
      <c r="T3584" s="58">
        <v>0</v>
      </c>
      <c r="U3584" s="58">
        <v>0</v>
      </c>
      <c r="V3584" s="58">
        <v>0</v>
      </c>
      <c r="AG3584" t="s">
        <v>3294</v>
      </c>
      <c r="AM3584" s="1" t="str">
        <f t="shared" si="205"/>
        <v>3582_C0008_0133.jpg</v>
      </c>
    </row>
    <row r="3585" spans="1:39" x14ac:dyDescent="0.35">
      <c r="A3585">
        <v>3581</v>
      </c>
      <c r="B3585">
        <v>3582</v>
      </c>
      <c r="F3585" s="64" t="s">
        <v>6095</v>
      </c>
      <c r="G3585" s="64"/>
      <c r="H3585" s="64"/>
      <c r="I3585" s="64">
        <v>0</v>
      </c>
      <c r="N3585" s="4">
        <v>0</v>
      </c>
      <c r="O3585" s="58">
        <v>0</v>
      </c>
      <c r="P3585" s="58">
        <v>0</v>
      </c>
      <c r="Q3585" s="58">
        <v>0</v>
      </c>
      <c r="R3585" s="58">
        <v>0</v>
      </c>
      <c r="S3585" s="58">
        <v>0</v>
      </c>
      <c r="T3585" s="58">
        <v>0</v>
      </c>
      <c r="U3585" s="58">
        <v>0</v>
      </c>
      <c r="V3585" s="58">
        <v>0</v>
      </c>
      <c r="AG3585" t="s">
        <v>3295</v>
      </c>
      <c r="AM3585" s="1" t="str">
        <f t="shared" si="205"/>
        <v>3583_C0008_0130.jpg</v>
      </c>
    </row>
    <row r="3586" spans="1:39" x14ac:dyDescent="0.35">
      <c r="A3586">
        <v>3582</v>
      </c>
      <c r="B3586">
        <v>3583</v>
      </c>
      <c r="F3586" s="64" t="s">
        <v>6096</v>
      </c>
      <c r="G3586" s="64"/>
      <c r="H3586" s="64"/>
      <c r="I3586" s="64">
        <v>0</v>
      </c>
      <c r="N3586" s="4">
        <v>0</v>
      </c>
      <c r="O3586" s="58">
        <v>0</v>
      </c>
      <c r="P3586" s="58">
        <v>0</v>
      </c>
      <c r="Q3586" s="58">
        <v>0</v>
      </c>
      <c r="R3586" s="58">
        <v>0</v>
      </c>
      <c r="S3586" s="58">
        <v>0</v>
      </c>
      <c r="T3586" s="58">
        <v>0</v>
      </c>
      <c r="U3586" s="58">
        <v>0</v>
      </c>
      <c r="V3586" s="58">
        <v>0</v>
      </c>
      <c r="AG3586" t="s">
        <v>3296</v>
      </c>
      <c r="AM3586" s="1" t="str">
        <f t="shared" si="205"/>
        <v>3584_C0008_0128.jpg</v>
      </c>
    </row>
    <row r="3587" spans="1:39" x14ac:dyDescent="0.35">
      <c r="A3587">
        <v>3583</v>
      </c>
      <c r="B3587">
        <v>3584</v>
      </c>
      <c r="F3587" s="64" t="s">
        <v>6097</v>
      </c>
      <c r="G3587" s="64"/>
      <c r="H3587" s="64"/>
      <c r="I3587" s="64">
        <v>0</v>
      </c>
      <c r="N3587" s="4">
        <v>0</v>
      </c>
      <c r="O3587" s="58">
        <v>0</v>
      </c>
      <c r="P3587" s="58">
        <v>0</v>
      </c>
      <c r="Q3587" s="58">
        <v>0</v>
      </c>
      <c r="R3587" s="58">
        <v>0</v>
      </c>
      <c r="S3587" s="58">
        <v>0</v>
      </c>
      <c r="T3587" s="58">
        <v>0</v>
      </c>
      <c r="U3587" s="58">
        <v>0</v>
      </c>
      <c r="V3587" s="58">
        <v>0</v>
      </c>
      <c r="AG3587" t="s">
        <v>3297</v>
      </c>
      <c r="AM3587" s="1" t="str">
        <f t="shared" si="205"/>
        <v>3585_C0008_0123.jpg</v>
      </c>
    </row>
    <row r="3588" spans="1:39" x14ac:dyDescent="0.35">
      <c r="A3588">
        <v>3584</v>
      </c>
      <c r="B3588">
        <v>3585</v>
      </c>
      <c r="F3588" s="64" t="s">
        <v>6098</v>
      </c>
      <c r="G3588" s="64"/>
      <c r="H3588" s="64"/>
      <c r="I3588" s="64">
        <v>0</v>
      </c>
      <c r="N3588" s="4">
        <v>0</v>
      </c>
      <c r="O3588" s="58">
        <v>0</v>
      </c>
      <c r="P3588" s="58">
        <v>0</v>
      </c>
      <c r="Q3588" s="58">
        <v>0</v>
      </c>
      <c r="R3588" s="58">
        <v>0</v>
      </c>
      <c r="S3588" s="58">
        <v>0</v>
      </c>
      <c r="T3588" s="58">
        <v>0</v>
      </c>
      <c r="U3588" s="58">
        <v>0</v>
      </c>
      <c r="V3588" s="58">
        <v>0</v>
      </c>
      <c r="AG3588" t="s">
        <v>3298</v>
      </c>
      <c r="AM3588" s="1" t="str">
        <f t="shared" si="205"/>
        <v>3586_C0008_0120.jpg</v>
      </c>
    </row>
    <row r="3589" spans="1:39" x14ac:dyDescent="0.35">
      <c r="A3589">
        <v>3585</v>
      </c>
      <c r="B3589">
        <v>3586</v>
      </c>
      <c r="F3589" s="64" t="s">
        <v>6099</v>
      </c>
      <c r="G3589" s="64"/>
      <c r="H3589" s="64"/>
      <c r="I3589" s="64">
        <v>0</v>
      </c>
      <c r="N3589" s="4">
        <v>0</v>
      </c>
      <c r="O3589" s="58">
        <v>0</v>
      </c>
      <c r="P3589" s="58">
        <v>0</v>
      </c>
      <c r="Q3589" s="58">
        <v>0</v>
      </c>
      <c r="R3589" s="58">
        <v>0</v>
      </c>
      <c r="S3589" s="58">
        <v>0</v>
      </c>
      <c r="T3589" s="58">
        <v>0</v>
      </c>
      <c r="U3589" s="58">
        <v>0</v>
      </c>
      <c r="V3589" s="58">
        <v>0</v>
      </c>
      <c r="AG3589" t="s">
        <v>3299</v>
      </c>
      <c r="AM3589" s="1" t="str">
        <f t="shared" si="205"/>
        <v>3587_C0008_0117.jpg</v>
      </c>
    </row>
    <row r="3590" spans="1:39" x14ac:dyDescent="0.35">
      <c r="A3590">
        <v>3586</v>
      </c>
      <c r="B3590">
        <v>3587</v>
      </c>
      <c r="F3590" s="64" t="s">
        <v>6100</v>
      </c>
      <c r="G3590" s="64"/>
      <c r="H3590" s="64"/>
      <c r="I3590" s="64">
        <v>0</v>
      </c>
      <c r="N3590" s="4">
        <v>0</v>
      </c>
      <c r="O3590" s="58">
        <v>0</v>
      </c>
      <c r="P3590" s="58">
        <v>0</v>
      </c>
      <c r="Q3590" s="58">
        <v>0</v>
      </c>
      <c r="R3590" s="58">
        <v>0</v>
      </c>
      <c r="S3590" s="58">
        <v>0</v>
      </c>
      <c r="T3590" s="58">
        <v>0</v>
      </c>
      <c r="U3590" s="58">
        <v>0</v>
      </c>
      <c r="V3590" s="58">
        <v>0</v>
      </c>
      <c r="AG3590" t="s">
        <v>3300</v>
      </c>
      <c r="AM3590" s="1" t="str">
        <f t="shared" si="205"/>
        <v>3588_C0008_0113.jpg</v>
      </c>
    </row>
    <row r="3591" spans="1:39" x14ac:dyDescent="0.35">
      <c r="A3591">
        <v>3587</v>
      </c>
      <c r="B3591">
        <v>3588</v>
      </c>
      <c r="F3591" s="64" t="s">
        <v>6101</v>
      </c>
      <c r="G3591" s="64"/>
      <c r="H3591" s="64"/>
      <c r="I3591" s="64">
        <v>0</v>
      </c>
      <c r="N3591" s="4">
        <v>0</v>
      </c>
      <c r="O3591" s="58">
        <v>0</v>
      </c>
      <c r="P3591" s="58">
        <v>0</v>
      </c>
      <c r="Q3591" s="58">
        <v>0</v>
      </c>
      <c r="R3591" s="58">
        <v>0</v>
      </c>
      <c r="S3591" s="58">
        <v>0</v>
      </c>
      <c r="T3591" s="58">
        <v>0</v>
      </c>
      <c r="U3591" s="58">
        <v>0</v>
      </c>
      <c r="V3591" s="58">
        <v>0</v>
      </c>
      <c r="AG3591" t="s">
        <v>3301</v>
      </c>
      <c r="AM3591" s="1" t="str">
        <f t="shared" si="205"/>
        <v>3589_C0008_0110.jpg</v>
      </c>
    </row>
    <row r="3592" spans="1:39" x14ac:dyDescent="0.35">
      <c r="A3592">
        <v>3588</v>
      </c>
      <c r="B3592">
        <v>3589</v>
      </c>
      <c r="F3592" s="64" t="s">
        <v>6102</v>
      </c>
      <c r="G3592" s="64"/>
      <c r="H3592" s="64"/>
      <c r="I3592" s="64">
        <v>0</v>
      </c>
      <c r="N3592" s="4">
        <v>0</v>
      </c>
      <c r="O3592" s="58">
        <v>0</v>
      </c>
      <c r="P3592" s="58">
        <v>0</v>
      </c>
      <c r="Q3592" s="58">
        <v>0</v>
      </c>
      <c r="R3592" s="58">
        <v>0</v>
      </c>
      <c r="S3592" s="58">
        <v>0</v>
      </c>
      <c r="T3592" s="58">
        <v>0</v>
      </c>
      <c r="U3592" s="58">
        <v>0</v>
      </c>
      <c r="V3592" s="58">
        <v>0</v>
      </c>
      <c r="AG3592" t="s">
        <v>3302</v>
      </c>
      <c r="AM3592" s="1" t="str">
        <f t="shared" si="205"/>
        <v>3590_C0008_0108.jpg</v>
      </c>
    </row>
    <row r="3593" spans="1:39" x14ac:dyDescent="0.35">
      <c r="A3593">
        <v>3589</v>
      </c>
      <c r="B3593">
        <v>3590</v>
      </c>
      <c r="F3593" s="64" t="s">
        <v>6103</v>
      </c>
      <c r="G3593" s="64"/>
      <c r="H3593" s="64"/>
      <c r="I3593" s="64">
        <v>0</v>
      </c>
      <c r="N3593" s="4">
        <v>0</v>
      </c>
      <c r="O3593" s="58">
        <v>0</v>
      </c>
      <c r="P3593" s="58">
        <v>0</v>
      </c>
      <c r="Q3593" s="58">
        <v>0</v>
      </c>
      <c r="R3593" s="58">
        <v>0</v>
      </c>
      <c r="S3593" s="58">
        <v>0</v>
      </c>
      <c r="T3593" s="58">
        <v>0</v>
      </c>
      <c r="U3593" s="58">
        <v>0</v>
      </c>
      <c r="V3593" s="58">
        <v>0</v>
      </c>
      <c r="AG3593" t="s">
        <v>3303</v>
      </c>
      <c r="AM3593" s="1" t="str">
        <f t="shared" si="205"/>
        <v>3591_C0008_0106.jpg</v>
      </c>
    </row>
    <row r="3594" spans="1:39" x14ac:dyDescent="0.35">
      <c r="A3594">
        <v>3590</v>
      </c>
      <c r="B3594">
        <v>3591</v>
      </c>
      <c r="F3594" s="64" t="s">
        <v>6104</v>
      </c>
      <c r="G3594" s="64"/>
      <c r="H3594" s="64"/>
      <c r="I3594" s="64">
        <v>0</v>
      </c>
      <c r="N3594" s="4">
        <v>0</v>
      </c>
      <c r="O3594" s="58">
        <v>0</v>
      </c>
      <c r="P3594" s="58">
        <v>0</v>
      </c>
      <c r="Q3594" s="58">
        <v>0</v>
      </c>
      <c r="R3594" s="58">
        <v>0</v>
      </c>
      <c r="S3594" s="58">
        <v>0</v>
      </c>
      <c r="T3594" s="58">
        <v>0</v>
      </c>
      <c r="U3594" s="58">
        <v>0</v>
      </c>
      <c r="V3594" s="58">
        <v>0</v>
      </c>
      <c r="AG3594" t="s">
        <v>3304</v>
      </c>
      <c r="AM3594" s="1" t="str">
        <f t="shared" si="205"/>
        <v>3592_C0008_0103.jpg</v>
      </c>
    </row>
    <row r="3595" spans="1:39" x14ac:dyDescent="0.35">
      <c r="A3595">
        <v>3591</v>
      </c>
      <c r="B3595">
        <v>3592</v>
      </c>
      <c r="F3595" s="64" t="s">
        <v>6105</v>
      </c>
      <c r="G3595" s="64"/>
      <c r="H3595" s="64"/>
      <c r="I3595" s="64">
        <v>0</v>
      </c>
      <c r="N3595" s="4">
        <v>0</v>
      </c>
      <c r="O3595" s="58">
        <v>0</v>
      </c>
      <c r="P3595" s="58">
        <v>0</v>
      </c>
      <c r="Q3595" s="58">
        <v>0</v>
      </c>
      <c r="R3595" s="58">
        <v>0</v>
      </c>
      <c r="S3595" s="58">
        <v>0</v>
      </c>
      <c r="T3595" s="58">
        <v>0</v>
      </c>
      <c r="U3595" s="58">
        <v>0</v>
      </c>
      <c r="V3595" s="58">
        <v>0</v>
      </c>
      <c r="AG3595" t="s">
        <v>3305</v>
      </c>
      <c r="AM3595" s="1" t="str">
        <f t="shared" si="205"/>
        <v>3593_C0008_0101.jpg</v>
      </c>
    </row>
    <row r="3596" spans="1:39" x14ac:dyDescent="0.35">
      <c r="A3596">
        <v>3592</v>
      </c>
      <c r="B3596">
        <v>3593</v>
      </c>
      <c r="F3596" s="64" t="s">
        <v>6106</v>
      </c>
      <c r="G3596" s="64"/>
      <c r="H3596" s="64"/>
      <c r="I3596" s="64">
        <v>0</v>
      </c>
      <c r="N3596" s="4">
        <v>0</v>
      </c>
      <c r="O3596" s="58">
        <v>0</v>
      </c>
      <c r="P3596" s="58">
        <v>0</v>
      </c>
      <c r="Q3596" s="58">
        <v>0</v>
      </c>
      <c r="R3596" s="58">
        <v>0</v>
      </c>
      <c r="S3596" s="58">
        <v>0</v>
      </c>
      <c r="T3596" s="58">
        <v>0</v>
      </c>
      <c r="U3596" s="58">
        <v>0</v>
      </c>
      <c r="V3596" s="58">
        <v>0</v>
      </c>
      <c r="AG3596" t="s">
        <v>3306</v>
      </c>
      <c r="AM3596" s="1" t="str">
        <f t="shared" si="205"/>
        <v>3594_C0008_0099.jpg</v>
      </c>
    </row>
    <row r="3597" spans="1:39" x14ac:dyDescent="0.35">
      <c r="A3597">
        <v>3593</v>
      </c>
      <c r="B3597">
        <v>3594</v>
      </c>
      <c r="F3597" s="64" t="s">
        <v>6107</v>
      </c>
      <c r="G3597" s="64"/>
      <c r="H3597" s="64"/>
      <c r="I3597" s="64">
        <v>0</v>
      </c>
      <c r="N3597" s="4">
        <v>0</v>
      </c>
      <c r="O3597" s="58">
        <v>1</v>
      </c>
      <c r="P3597" s="58">
        <v>0</v>
      </c>
      <c r="Q3597" s="58">
        <v>0</v>
      </c>
      <c r="R3597" s="58">
        <v>0</v>
      </c>
      <c r="S3597" s="58">
        <v>0</v>
      </c>
      <c r="T3597" s="58">
        <v>0</v>
      </c>
      <c r="U3597" s="58">
        <v>0</v>
      </c>
      <c r="V3597" s="58">
        <v>0</v>
      </c>
      <c r="AG3597" t="s">
        <v>3307</v>
      </c>
      <c r="AM3597" s="1" t="str">
        <f t="shared" si="205"/>
        <v>3595_C0008_0096.jpg</v>
      </c>
    </row>
    <row r="3598" spans="1:39" x14ac:dyDescent="0.35">
      <c r="A3598">
        <v>3594</v>
      </c>
      <c r="B3598">
        <v>3595</v>
      </c>
      <c r="F3598" s="64" t="s">
        <v>6108</v>
      </c>
      <c r="G3598" s="64"/>
      <c r="H3598" s="64"/>
      <c r="I3598" s="64">
        <v>0</v>
      </c>
      <c r="N3598" s="4">
        <v>0</v>
      </c>
      <c r="O3598" s="58">
        <v>0</v>
      </c>
      <c r="P3598" s="58">
        <v>0</v>
      </c>
      <c r="Q3598" s="58">
        <v>0</v>
      </c>
      <c r="R3598" s="58">
        <v>0</v>
      </c>
      <c r="S3598" s="58">
        <v>0</v>
      </c>
      <c r="T3598" s="58">
        <v>0</v>
      </c>
      <c r="U3598" s="58">
        <v>0</v>
      </c>
      <c r="V3598" s="58">
        <v>0</v>
      </c>
      <c r="AG3598" t="s">
        <v>3308</v>
      </c>
      <c r="AM3598" s="1" t="str">
        <f t="shared" si="205"/>
        <v>3596_C0008_0093.jpg</v>
      </c>
    </row>
    <row r="3599" spans="1:39" x14ac:dyDescent="0.35">
      <c r="A3599">
        <v>3595</v>
      </c>
      <c r="B3599">
        <v>3596</v>
      </c>
      <c r="F3599" s="64" t="s">
        <v>6109</v>
      </c>
      <c r="G3599" s="64"/>
      <c r="H3599" s="64"/>
      <c r="I3599" s="64">
        <v>0</v>
      </c>
      <c r="N3599" s="4">
        <v>0</v>
      </c>
      <c r="O3599" s="58">
        <v>0</v>
      </c>
      <c r="P3599" s="58">
        <v>0</v>
      </c>
      <c r="Q3599" s="58">
        <v>0</v>
      </c>
      <c r="R3599" s="58">
        <v>0</v>
      </c>
      <c r="S3599" s="58">
        <v>0</v>
      </c>
      <c r="T3599" s="58">
        <v>0</v>
      </c>
      <c r="U3599" s="58">
        <v>0</v>
      </c>
      <c r="V3599" s="58">
        <v>0</v>
      </c>
      <c r="AG3599" t="s">
        <v>3309</v>
      </c>
      <c r="AM3599" s="1" t="str">
        <f t="shared" si="205"/>
        <v>3597_C0008_0090.jpg</v>
      </c>
    </row>
    <row r="3600" spans="1:39" x14ac:dyDescent="0.35">
      <c r="A3600">
        <v>3596</v>
      </c>
      <c r="B3600">
        <v>3597</v>
      </c>
      <c r="F3600" s="64" t="s">
        <v>6110</v>
      </c>
      <c r="G3600" s="64"/>
      <c r="H3600" s="64"/>
      <c r="I3600" s="64">
        <v>0</v>
      </c>
      <c r="N3600" s="4">
        <v>0</v>
      </c>
      <c r="O3600" s="58">
        <v>0</v>
      </c>
      <c r="P3600" s="58">
        <v>0</v>
      </c>
      <c r="Q3600" s="58">
        <v>0</v>
      </c>
      <c r="R3600" s="58">
        <v>0</v>
      </c>
      <c r="S3600" s="58">
        <v>0</v>
      </c>
      <c r="T3600" s="58">
        <v>0</v>
      </c>
      <c r="U3600" s="58">
        <v>0</v>
      </c>
      <c r="V3600" s="58">
        <v>0</v>
      </c>
      <c r="AG3600" t="s">
        <v>3310</v>
      </c>
      <c r="AM3600" s="1" t="str">
        <f t="shared" si="205"/>
        <v>3598_C0008_0086.jpg</v>
      </c>
    </row>
    <row r="3601" spans="1:39" x14ac:dyDescent="0.35">
      <c r="A3601">
        <v>3597</v>
      </c>
      <c r="B3601">
        <v>3598</v>
      </c>
      <c r="F3601" s="64" t="s">
        <v>6111</v>
      </c>
      <c r="G3601" s="64"/>
      <c r="H3601" s="64"/>
      <c r="I3601" s="64">
        <v>0</v>
      </c>
      <c r="N3601" s="4">
        <v>0</v>
      </c>
      <c r="O3601" s="58">
        <v>0</v>
      </c>
      <c r="P3601" s="58">
        <v>0</v>
      </c>
      <c r="Q3601" s="58">
        <v>0</v>
      </c>
      <c r="R3601" s="58">
        <v>0</v>
      </c>
      <c r="S3601" s="58">
        <v>0</v>
      </c>
      <c r="T3601" s="58">
        <v>0</v>
      </c>
      <c r="U3601" s="58">
        <v>0</v>
      </c>
      <c r="V3601" s="58">
        <v>0</v>
      </c>
      <c r="AG3601" t="s">
        <v>3311</v>
      </c>
      <c r="AM3601" s="1" t="str">
        <f t="shared" si="205"/>
        <v>3599_C0008_0081.jpg</v>
      </c>
    </row>
    <row r="3602" spans="1:39" x14ac:dyDescent="0.35">
      <c r="A3602">
        <v>3598</v>
      </c>
      <c r="B3602">
        <v>3599</v>
      </c>
      <c r="F3602" s="64" t="s">
        <v>6112</v>
      </c>
      <c r="G3602" s="64"/>
      <c r="H3602" s="64"/>
      <c r="I3602" s="64">
        <v>0</v>
      </c>
      <c r="N3602" s="4">
        <v>0</v>
      </c>
      <c r="O3602" s="58">
        <v>1</v>
      </c>
      <c r="P3602" s="58">
        <v>0</v>
      </c>
      <c r="Q3602" s="58">
        <v>0</v>
      </c>
      <c r="R3602" s="58">
        <v>0</v>
      </c>
      <c r="S3602" s="58">
        <v>0</v>
      </c>
      <c r="T3602" s="58">
        <v>0</v>
      </c>
      <c r="U3602" s="58">
        <v>0</v>
      </c>
      <c r="V3602" s="58">
        <v>0</v>
      </c>
      <c r="AG3602" t="s">
        <v>3312</v>
      </c>
      <c r="AM3602" s="1" t="str">
        <f t="shared" si="205"/>
        <v>3600_C0008_0079.jpg</v>
      </c>
    </row>
    <row r="3603" spans="1:39" x14ac:dyDescent="0.35">
      <c r="A3603">
        <v>3599</v>
      </c>
      <c r="B3603">
        <v>3600</v>
      </c>
      <c r="F3603" s="64" t="s">
        <v>6113</v>
      </c>
      <c r="G3603" s="64"/>
      <c r="H3603" s="64"/>
      <c r="I3603" s="64">
        <v>0</v>
      </c>
      <c r="N3603" s="4">
        <v>0</v>
      </c>
      <c r="O3603" s="58">
        <v>0</v>
      </c>
      <c r="P3603" s="58">
        <v>0</v>
      </c>
      <c r="Q3603" s="58">
        <v>0</v>
      </c>
      <c r="R3603" s="58">
        <v>0</v>
      </c>
      <c r="S3603" s="58">
        <v>0</v>
      </c>
      <c r="T3603" s="58">
        <v>0</v>
      </c>
      <c r="U3603" s="58">
        <v>0</v>
      </c>
      <c r="V3603" s="58">
        <v>0</v>
      </c>
      <c r="AG3603" t="s">
        <v>3313</v>
      </c>
      <c r="AM3603" s="1" t="str">
        <f t="shared" si="205"/>
        <v>3601_C0008_0074.jpg</v>
      </c>
    </row>
    <row r="3604" spans="1:39" x14ac:dyDescent="0.35">
      <c r="A3604">
        <v>3600</v>
      </c>
      <c r="B3604">
        <v>3601</v>
      </c>
      <c r="F3604" s="64" t="s">
        <v>6114</v>
      </c>
      <c r="G3604" s="64"/>
      <c r="H3604" s="64"/>
      <c r="I3604" s="64">
        <v>0</v>
      </c>
      <c r="N3604" s="4">
        <v>0</v>
      </c>
      <c r="O3604" s="58">
        <v>0</v>
      </c>
      <c r="P3604" s="58">
        <v>0</v>
      </c>
      <c r="Q3604" s="58">
        <v>0</v>
      </c>
      <c r="R3604" s="58">
        <v>0</v>
      </c>
      <c r="S3604" s="58">
        <v>1</v>
      </c>
      <c r="T3604" s="58">
        <v>0</v>
      </c>
      <c r="U3604" s="58">
        <v>0</v>
      </c>
      <c r="V3604" s="58">
        <v>0</v>
      </c>
      <c r="AG3604" t="s">
        <v>3314</v>
      </c>
      <c r="AM3604" s="1" t="str">
        <f t="shared" si="205"/>
        <v>3602_C0008_0070.jpg</v>
      </c>
    </row>
    <row r="3605" spans="1:39" x14ac:dyDescent="0.35">
      <c r="A3605">
        <v>3601</v>
      </c>
      <c r="B3605">
        <v>3602</v>
      </c>
      <c r="F3605" s="64" t="s">
        <v>6115</v>
      </c>
      <c r="G3605" s="64"/>
      <c r="H3605" s="64"/>
      <c r="I3605" s="64">
        <v>0</v>
      </c>
      <c r="N3605" s="4">
        <v>0</v>
      </c>
      <c r="O3605" s="58">
        <v>0</v>
      </c>
      <c r="P3605" s="58">
        <v>0</v>
      </c>
      <c r="Q3605" s="58">
        <v>0</v>
      </c>
      <c r="R3605" s="58">
        <v>0</v>
      </c>
      <c r="S3605" s="58">
        <v>0</v>
      </c>
      <c r="T3605" s="58">
        <v>0</v>
      </c>
      <c r="U3605" s="58">
        <v>0</v>
      </c>
      <c r="V3605" s="58">
        <v>0</v>
      </c>
      <c r="AG3605" t="s">
        <v>3315</v>
      </c>
      <c r="AM3605" s="1" t="str">
        <f t="shared" si="205"/>
        <v>3603_C0008_0067.jpg</v>
      </c>
    </row>
    <row r="3606" spans="1:39" x14ac:dyDescent="0.35">
      <c r="A3606">
        <v>3602</v>
      </c>
      <c r="B3606">
        <v>3603</v>
      </c>
      <c r="F3606" s="64" t="s">
        <v>6116</v>
      </c>
      <c r="G3606" s="64"/>
      <c r="H3606" s="64"/>
      <c r="I3606" s="64">
        <v>0</v>
      </c>
      <c r="N3606" s="4">
        <v>0</v>
      </c>
      <c r="O3606" s="58">
        <v>0</v>
      </c>
      <c r="P3606" s="58">
        <v>0</v>
      </c>
      <c r="Q3606" s="58">
        <v>0</v>
      </c>
      <c r="R3606" s="58">
        <v>0</v>
      </c>
      <c r="S3606" s="58">
        <v>0</v>
      </c>
      <c r="T3606" s="58">
        <v>0</v>
      </c>
      <c r="U3606" s="58">
        <v>0</v>
      </c>
      <c r="V3606" s="58">
        <v>0</v>
      </c>
      <c r="AG3606" t="s">
        <v>3316</v>
      </c>
      <c r="AM3606" s="1" t="str">
        <f t="shared" si="205"/>
        <v>3604_C0008_0063.jpg</v>
      </c>
    </row>
    <row r="3607" spans="1:39" x14ac:dyDescent="0.35">
      <c r="A3607">
        <v>3603</v>
      </c>
      <c r="B3607">
        <v>3604</v>
      </c>
      <c r="F3607" s="64" t="s">
        <v>6117</v>
      </c>
      <c r="G3607" s="64"/>
      <c r="H3607" s="64"/>
      <c r="I3607" s="64">
        <v>0</v>
      </c>
      <c r="N3607" s="4">
        <v>0</v>
      </c>
      <c r="O3607" s="58">
        <v>0</v>
      </c>
      <c r="P3607" s="58">
        <v>0</v>
      </c>
      <c r="Q3607" s="58">
        <v>0</v>
      </c>
      <c r="R3607" s="58">
        <v>0</v>
      </c>
      <c r="S3607" s="58">
        <v>0</v>
      </c>
      <c r="T3607" s="58">
        <v>0</v>
      </c>
      <c r="U3607" s="58">
        <v>0</v>
      </c>
      <c r="V3607" s="58">
        <v>0</v>
      </c>
      <c r="AG3607" t="s">
        <v>3317</v>
      </c>
      <c r="AM3607" s="1" t="str">
        <f t="shared" si="205"/>
        <v>3605_C0008_0059.jpg</v>
      </c>
    </row>
    <row r="3608" spans="1:39" x14ac:dyDescent="0.35">
      <c r="A3608">
        <v>3604</v>
      </c>
      <c r="B3608">
        <v>3605</v>
      </c>
      <c r="F3608" s="64" t="s">
        <v>6118</v>
      </c>
      <c r="G3608" s="64"/>
      <c r="H3608" s="64"/>
      <c r="I3608" s="64">
        <v>0</v>
      </c>
      <c r="N3608" s="4">
        <v>0</v>
      </c>
      <c r="O3608" s="58">
        <v>0</v>
      </c>
      <c r="P3608" s="58">
        <v>0</v>
      </c>
      <c r="Q3608" s="58">
        <v>0</v>
      </c>
      <c r="R3608" s="58">
        <v>0</v>
      </c>
      <c r="S3608" s="58">
        <v>1</v>
      </c>
      <c r="T3608" s="58">
        <v>0</v>
      </c>
      <c r="U3608" s="58">
        <v>0</v>
      </c>
      <c r="V3608" s="58">
        <v>0</v>
      </c>
      <c r="AG3608" t="s">
        <v>3318</v>
      </c>
      <c r="AM3608" s="1" t="str">
        <f t="shared" si="205"/>
        <v>3606_C0008_0056.jpg</v>
      </c>
    </row>
    <row r="3609" spans="1:39" x14ac:dyDescent="0.35">
      <c r="A3609">
        <v>3605</v>
      </c>
      <c r="B3609">
        <v>3606</v>
      </c>
      <c r="F3609" s="64" t="s">
        <v>6119</v>
      </c>
      <c r="G3609" s="64"/>
      <c r="H3609" s="64"/>
      <c r="I3609" s="64">
        <v>0</v>
      </c>
      <c r="N3609" s="4">
        <v>0</v>
      </c>
      <c r="O3609" s="58">
        <v>0</v>
      </c>
      <c r="P3609" s="58">
        <v>0</v>
      </c>
      <c r="Q3609" s="58">
        <v>0</v>
      </c>
      <c r="R3609" s="58">
        <v>0</v>
      </c>
      <c r="S3609" s="58">
        <v>0</v>
      </c>
      <c r="T3609" s="58">
        <v>0</v>
      </c>
      <c r="U3609" s="58">
        <v>0</v>
      </c>
      <c r="V3609" s="58">
        <v>0</v>
      </c>
      <c r="AG3609" t="s">
        <v>3319</v>
      </c>
      <c r="AM3609" s="1" t="str">
        <f t="shared" si="205"/>
        <v>3607_C0008_0053.jpg</v>
      </c>
    </row>
    <row r="3610" spans="1:39" x14ac:dyDescent="0.35">
      <c r="A3610">
        <v>3606</v>
      </c>
      <c r="B3610">
        <v>3607</v>
      </c>
      <c r="F3610" s="64" t="s">
        <v>6120</v>
      </c>
      <c r="G3610" s="64"/>
      <c r="H3610" s="64"/>
      <c r="I3610" s="64">
        <v>0</v>
      </c>
      <c r="N3610" s="4">
        <v>0</v>
      </c>
      <c r="O3610" s="58">
        <v>0</v>
      </c>
      <c r="P3610" s="58">
        <v>0</v>
      </c>
      <c r="Q3610" s="58">
        <v>0</v>
      </c>
      <c r="R3610" s="58">
        <v>0</v>
      </c>
      <c r="S3610" s="58">
        <v>0</v>
      </c>
      <c r="T3610" s="58">
        <v>0</v>
      </c>
      <c r="U3610" s="58">
        <v>0</v>
      </c>
      <c r="V3610" s="58">
        <v>0</v>
      </c>
      <c r="AG3610" t="s">
        <v>3320</v>
      </c>
      <c r="AM3610" s="1" t="str">
        <f t="shared" si="205"/>
        <v>3608_C0008_0049.jpg</v>
      </c>
    </row>
    <row r="3611" spans="1:39" x14ac:dyDescent="0.35">
      <c r="A3611">
        <v>3607</v>
      </c>
      <c r="B3611">
        <v>3608</v>
      </c>
      <c r="F3611" s="64" t="s">
        <v>6121</v>
      </c>
      <c r="G3611" s="64"/>
      <c r="H3611" s="64"/>
      <c r="I3611" s="64">
        <v>0</v>
      </c>
      <c r="N3611" s="4">
        <v>0</v>
      </c>
      <c r="O3611" s="58">
        <v>0</v>
      </c>
      <c r="P3611" s="58">
        <v>0</v>
      </c>
      <c r="Q3611" s="58">
        <v>0</v>
      </c>
      <c r="R3611" s="58">
        <v>0</v>
      </c>
      <c r="S3611" s="58">
        <v>0</v>
      </c>
      <c r="T3611" s="58">
        <v>0</v>
      </c>
      <c r="U3611" s="58">
        <v>0</v>
      </c>
      <c r="V3611" s="58">
        <v>0</v>
      </c>
      <c r="AG3611" t="s">
        <v>3321</v>
      </c>
      <c r="AM3611" s="1" t="str">
        <f t="shared" si="205"/>
        <v>3609_C0008_0046.jpg</v>
      </c>
    </row>
    <row r="3612" spans="1:39" x14ac:dyDescent="0.35">
      <c r="A3612">
        <v>3608</v>
      </c>
      <c r="B3612">
        <v>3609</v>
      </c>
      <c r="F3612" s="64" t="s">
        <v>6122</v>
      </c>
      <c r="G3612" s="64"/>
      <c r="H3612" s="64"/>
      <c r="I3612" s="64">
        <v>0</v>
      </c>
      <c r="N3612" s="4">
        <v>0</v>
      </c>
      <c r="O3612" s="58">
        <v>0</v>
      </c>
      <c r="P3612" s="58">
        <v>0</v>
      </c>
      <c r="Q3612" s="58">
        <v>0</v>
      </c>
      <c r="R3612" s="58">
        <v>0</v>
      </c>
      <c r="S3612" s="58">
        <v>0</v>
      </c>
      <c r="T3612" s="58">
        <v>0</v>
      </c>
      <c r="U3612" s="58">
        <v>0</v>
      </c>
      <c r="V3612" s="58">
        <v>0</v>
      </c>
      <c r="AG3612" t="s">
        <v>3322</v>
      </c>
      <c r="AM3612" s="1" t="str">
        <f t="shared" si="205"/>
        <v>3610_C0008_0042.jpg</v>
      </c>
    </row>
    <row r="3613" spans="1:39" x14ac:dyDescent="0.35">
      <c r="A3613">
        <v>3609</v>
      </c>
      <c r="B3613">
        <v>3610</v>
      </c>
      <c r="F3613" s="64" t="s">
        <v>6123</v>
      </c>
      <c r="G3613" s="64"/>
      <c r="H3613" s="64"/>
      <c r="I3613" s="64">
        <v>0</v>
      </c>
      <c r="N3613" s="4">
        <v>0</v>
      </c>
      <c r="O3613" s="58">
        <v>0</v>
      </c>
      <c r="P3613" s="58">
        <v>0</v>
      </c>
      <c r="Q3613" s="58">
        <v>0</v>
      </c>
      <c r="R3613" s="58">
        <v>0</v>
      </c>
      <c r="S3613" s="58">
        <v>0</v>
      </c>
      <c r="T3613" s="58">
        <v>0</v>
      </c>
      <c r="U3613" s="58">
        <v>0</v>
      </c>
      <c r="V3613" s="58">
        <v>0</v>
      </c>
      <c r="AG3613" t="s">
        <v>3323</v>
      </c>
      <c r="AM3613" s="1" t="str">
        <f t="shared" si="205"/>
        <v>3611_C0008_0039.jpg</v>
      </c>
    </row>
    <row r="3614" spans="1:39" x14ac:dyDescent="0.35">
      <c r="A3614">
        <v>3610</v>
      </c>
      <c r="B3614">
        <v>3611</v>
      </c>
      <c r="F3614" s="64" t="s">
        <v>6124</v>
      </c>
      <c r="G3614" s="64"/>
      <c r="H3614" s="64"/>
      <c r="I3614" s="64">
        <v>0</v>
      </c>
      <c r="N3614" s="4">
        <v>0</v>
      </c>
      <c r="O3614" s="58">
        <v>0</v>
      </c>
      <c r="P3614" s="58">
        <v>0</v>
      </c>
      <c r="Q3614" s="58">
        <v>0</v>
      </c>
      <c r="R3614" s="58">
        <v>0</v>
      </c>
      <c r="S3614" s="58">
        <v>0</v>
      </c>
      <c r="T3614" s="58">
        <v>0</v>
      </c>
      <c r="U3614" s="58">
        <v>0</v>
      </c>
      <c r="V3614" s="58">
        <v>0</v>
      </c>
      <c r="AG3614" t="s">
        <v>3324</v>
      </c>
      <c r="AM3614" s="1" t="str">
        <f t="shared" si="205"/>
        <v>3612_C0008_0035.jpg</v>
      </c>
    </row>
    <row r="3615" spans="1:39" x14ac:dyDescent="0.35">
      <c r="A3615">
        <v>3611</v>
      </c>
      <c r="B3615">
        <v>3612</v>
      </c>
      <c r="F3615" s="64" t="s">
        <v>6125</v>
      </c>
      <c r="G3615" s="64"/>
      <c r="H3615" s="64"/>
      <c r="I3615" s="64">
        <v>0</v>
      </c>
      <c r="N3615" s="4">
        <v>0</v>
      </c>
      <c r="O3615" s="58">
        <v>0</v>
      </c>
      <c r="P3615" s="58">
        <v>0</v>
      </c>
      <c r="Q3615" s="58">
        <v>0</v>
      </c>
      <c r="R3615" s="58">
        <v>0</v>
      </c>
      <c r="S3615" s="58">
        <v>0</v>
      </c>
      <c r="T3615" s="58">
        <v>0</v>
      </c>
      <c r="U3615" s="58">
        <v>0</v>
      </c>
      <c r="V3615" s="58">
        <v>0</v>
      </c>
      <c r="AG3615" t="s">
        <v>3325</v>
      </c>
      <c r="AM3615" s="1" t="str">
        <f t="shared" si="205"/>
        <v>3613_C0008_0032.jpg</v>
      </c>
    </row>
    <row r="3616" spans="1:39" x14ac:dyDescent="0.35">
      <c r="A3616">
        <v>3612</v>
      </c>
      <c r="B3616">
        <v>3613</v>
      </c>
      <c r="F3616" s="64" t="s">
        <v>6126</v>
      </c>
      <c r="G3616" s="64"/>
      <c r="H3616" s="64"/>
      <c r="I3616" s="64">
        <v>0</v>
      </c>
      <c r="N3616" s="4">
        <v>0</v>
      </c>
      <c r="O3616" s="58">
        <v>0</v>
      </c>
      <c r="P3616" s="58">
        <v>0</v>
      </c>
      <c r="Q3616" s="58">
        <v>0</v>
      </c>
      <c r="R3616" s="58">
        <v>0</v>
      </c>
      <c r="S3616" s="58">
        <v>0</v>
      </c>
      <c r="T3616" s="58">
        <v>0</v>
      </c>
      <c r="U3616" s="58">
        <v>0</v>
      </c>
      <c r="V3616" s="58">
        <v>0</v>
      </c>
      <c r="AG3616" t="s">
        <v>3326</v>
      </c>
      <c r="AM3616" s="1" t="str">
        <f t="shared" si="205"/>
        <v>3614_C0008_0029.jpg</v>
      </c>
    </row>
    <row r="3617" spans="1:39" x14ac:dyDescent="0.35">
      <c r="A3617">
        <v>3613</v>
      </c>
      <c r="B3617">
        <v>3614</v>
      </c>
      <c r="F3617" s="64" t="s">
        <v>6127</v>
      </c>
      <c r="G3617" s="64"/>
      <c r="H3617" s="64"/>
      <c r="I3617" s="64">
        <v>0</v>
      </c>
      <c r="N3617" s="4">
        <v>0</v>
      </c>
      <c r="O3617" s="58">
        <v>0</v>
      </c>
      <c r="P3617" s="58">
        <v>0</v>
      </c>
      <c r="Q3617" s="58">
        <v>0</v>
      </c>
      <c r="R3617" s="58">
        <v>0</v>
      </c>
      <c r="S3617" s="58">
        <v>0</v>
      </c>
      <c r="T3617" s="58">
        <v>0</v>
      </c>
      <c r="U3617" s="58">
        <v>0</v>
      </c>
      <c r="V3617" s="58">
        <v>0</v>
      </c>
      <c r="AG3617" t="s">
        <v>3327</v>
      </c>
      <c r="AM3617" s="1" t="str">
        <f t="shared" si="205"/>
        <v>3615_C0008_0022.jpg</v>
      </c>
    </row>
    <row r="3618" spans="1:39" x14ac:dyDescent="0.35">
      <c r="A3618">
        <v>3614</v>
      </c>
      <c r="B3618">
        <v>3615</v>
      </c>
      <c r="F3618" s="64" t="s">
        <v>6128</v>
      </c>
      <c r="G3618" s="64"/>
      <c r="H3618" s="64"/>
      <c r="I3618" s="64">
        <v>0</v>
      </c>
      <c r="N3618" s="4">
        <v>0</v>
      </c>
      <c r="O3618" s="58">
        <v>0</v>
      </c>
      <c r="P3618" s="58">
        <v>0</v>
      </c>
      <c r="Q3618" s="58">
        <v>0</v>
      </c>
      <c r="R3618" s="58">
        <v>0</v>
      </c>
      <c r="S3618" s="58">
        <v>0</v>
      </c>
      <c r="T3618" s="58">
        <v>0</v>
      </c>
      <c r="U3618" s="58">
        <v>0</v>
      </c>
      <c r="V3618" s="58">
        <v>0</v>
      </c>
      <c r="AG3618" t="s">
        <v>3328</v>
      </c>
      <c r="AM3618" s="1" t="str">
        <f t="shared" si="205"/>
        <v>3616_C0008_0011.jpg</v>
      </c>
    </row>
    <row r="3619" spans="1:39" x14ac:dyDescent="0.35">
      <c r="A3619">
        <v>3615</v>
      </c>
      <c r="B3619">
        <v>3616</v>
      </c>
      <c r="F3619" s="64" t="s">
        <v>6129</v>
      </c>
      <c r="G3619" s="64"/>
      <c r="H3619" s="64"/>
      <c r="I3619" s="64">
        <v>0</v>
      </c>
      <c r="N3619" s="4">
        <v>0</v>
      </c>
      <c r="O3619" s="58">
        <v>0</v>
      </c>
      <c r="P3619" s="58">
        <v>0</v>
      </c>
      <c r="Q3619" s="58">
        <v>0</v>
      </c>
      <c r="R3619" s="58">
        <v>0</v>
      </c>
      <c r="S3619" s="58">
        <v>0</v>
      </c>
      <c r="T3619" s="58">
        <v>0</v>
      </c>
      <c r="U3619" s="58">
        <v>0</v>
      </c>
      <c r="V3619" s="58">
        <v>0</v>
      </c>
      <c r="AG3619" t="s">
        <v>3329</v>
      </c>
      <c r="AM3619" s="1"/>
    </row>
    <row r="3620" spans="1:39" x14ac:dyDescent="0.35">
      <c r="A3620">
        <v>3616</v>
      </c>
      <c r="B3620">
        <v>3617</v>
      </c>
      <c r="F3620" s="64"/>
      <c r="G3620" s="64"/>
      <c r="H3620" s="64" t="s">
        <v>26</v>
      </c>
      <c r="I3620" s="64"/>
      <c r="N3620" s="4"/>
      <c r="AG3620" t="s">
        <v>3330</v>
      </c>
      <c r="AM3620" s="1"/>
    </row>
    <row r="3621" spans="1:39" x14ac:dyDescent="0.35">
      <c r="A3621">
        <v>3617</v>
      </c>
      <c r="B3621">
        <v>3618</v>
      </c>
      <c r="F3621" s="64"/>
      <c r="G3621" s="64"/>
      <c r="H3621" s="64" t="s">
        <v>26</v>
      </c>
      <c r="I3621" s="64"/>
      <c r="N3621" s="4"/>
      <c r="AG3621" t="s">
        <v>3331</v>
      </c>
      <c r="AM3621" s="1"/>
    </row>
    <row r="3622" spans="1:39" x14ac:dyDescent="0.35">
      <c r="A3622">
        <v>3618</v>
      </c>
      <c r="B3622">
        <v>3619</v>
      </c>
      <c r="F3622" s="64"/>
      <c r="G3622" s="64"/>
      <c r="H3622" s="64" t="s">
        <v>26</v>
      </c>
      <c r="I3622" s="64"/>
      <c r="N3622" s="4"/>
      <c r="AG3622" t="s">
        <v>3332</v>
      </c>
      <c r="AM3622" s="1"/>
    </row>
    <row r="3623" spans="1:39" x14ac:dyDescent="0.35">
      <c r="A3623">
        <v>3619</v>
      </c>
      <c r="B3623">
        <v>3620</v>
      </c>
      <c r="F3623" s="64"/>
      <c r="G3623" s="64"/>
      <c r="H3623" s="64" t="s">
        <v>26</v>
      </c>
      <c r="I3623" s="64"/>
      <c r="N3623" s="4"/>
      <c r="AG3623" t="s">
        <v>3333</v>
      </c>
      <c r="AM3623" s="1"/>
    </row>
    <row r="3624" spans="1:39" x14ac:dyDescent="0.35">
      <c r="A3624">
        <v>3620</v>
      </c>
      <c r="B3624">
        <v>3621</v>
      </c>
      <c r="F3624" s="64"/>
      <c r="G3624" s="64"/>
      <c r="H3624" s="64" t="s">
        <v>26</v>
      </c>
      <c r="I3624" s="64"/>
      <c r="N3624" s="4"/>
      <c r="AG3624" t="s">
        <v>3334</v>
      </c>
      <c r="AM3624" s="1"/>
    </row>
    <row r="3625" spans="1:39" x14ac:dyDescent="0.35">
      <c r="A3625">
        <v>3621</v>
      </c>
      <c r="B3625">
        <v>3622</v>
      </c>
      <c r="F3625" s="64"/>
      <c r="G3625" s="64"/>
      <c r="H3625" s="64" t="s">
        <v>26</v>
      </c>
      <c r="I3625" s="64"/>
      <c r="N3625" s="4"/>
      <c r="AG3625" t="s">
        <v>3335</v>
      </c>
      <c r="AM3625" s="1"/>
    </row>
    <row r="3626" spans="1:39" x14ac:dyDescent="0.35">
      <c r="A3626">
        <v>3622</v>
      </c>
      <c r="B3626">
        <v>3623</v>
      </c>
      <c r="F3626" s="64"/>
      <c r="G3626" s="64"/>
      <c r="H3626" s="64" t="s">
        <v>26</v>
      </c>
      <c r="I3626" s="64"/>
      <c r="N3626" s="4"/>
      <c r="AG3626" t="s">
        <v>3336</v>
      </c>
      <c r="AM3626" s="1"/>
    </row>
    <row r="3627" spans="1:39" x14ac:dyDescent="0.35">
      <c r="A3627">
        <v>3623</v>
      </c>
      <c r="B3627">
        <v>3624</v>
      </c>
      <c r="F3627" s="64"/>
      <c r="G3627" s="64"/>
      <c r="H3627" s="64" t="s">
        <v>26</v>
      </c>
      <c r="I3627" s="64"/>
      <c r="N3627" s="4"/>
      <c r="AG3627" t="s">
        <v>3337</v>
      </c>
      <c r="AM3627" s="1"/>
    </row>
    <row r="3628" spans="1:39" x14ac:dyDescent="0.35">
      <c r="A3628">
        <v>3624</v>
      </c>
      <c r="B3628">
        <v>3625</v>
      </c>
      <c r="F3628" s="64"/>
      <c r="G3628" s="64"/>
      <c r="H3628" s="64" t="s">
        <v>26</v>
      </c>
      <c r="I3628" s="64"/>
      <c r="N3628" s="4"/>
      <c r="AG3628" t="s">
        <v>3338</v>
      </c>
      <c r="AM3628" s="1"/>
    </row>
    <row r="3629" spans="1:39" x14ac:dyDescent="0.35">
      <c r="A3629">
        <v>3625</v>
      </c>
      <c r="B3629">
        <v>3626</v>
      </c>
      <c r="F3629" s="64"/>
      <c r="G3629" s="64"/>
      <c r="H3629" s="64" t="s">
        <v>26</v>
      </c>
      <c r="I3629" s="64"/>
      <c r="N3629" s="4"/>
      <c r="AG3629" t="s">
        <v>3339</v>
      </c>
      <c r="AM3629" s="1"/>
    </row>
    <row r="3630" spans="1:39" x14ac:dyDescent="0.35">
      <c r="A3630">
        <v>3626</v>
      </c>
      <c r="B3630">
        <v>3627</v>
      </c>
      <c r="F3630" s="64"/>
      <c r="G3630" s="64"/>
      <c r="H3630" s="64" t="s">
        <v>26</v>
      </c>
      <c r="I3630" s="64"/>
      <c r="N3630" s="4"/>
      <c r="AG3630" t="s">
        <v>3340</v>
      </c>
      <c r="AM3630" s="1"/>
    </row>
    <row r="3631" spans="1:39" x14ac:dyDescent="0.35">
      <c r="A3631">
        <v>3627</v>
      </c>
      <c r="B3631">
        <v>3628</v>
      </c>
      <c r="F3631" s="64"/>
      <c r="G3631" s="64"/>
      <c r="H3631" s="64" t="s">
        <v>26</v>
      </c>
      <c r="I3631" s="64"/>
      <c r="N3631" s="4"/>
      <c r="AG3631" t="s">
        <v>3341</v>
      </c>
      <c r="AM3631" s="1"/>
    </row>
    <row r="3632" spans="1:39" x14ac:dyDescent="0.35">
      <c r="A3632">
        <v>3628</v>
      </c>
      <c r="B3632">
        <v>3629</v>
      </c>
      <c r="F3632" s="64"/>
      <c r="G3632" s="64"/>
      <c r="H3632" s="64" t="s">
        <v>26</v>
      </c>
      <c r="I3632" s="64"/>
      <c r="N3632" s="4"/>
      <c r="AG3632" t="s">
        <v>3342</v>
      </c>
      <c r="AM3632" s="1"/>
    </row>
    <row r="3633" spans="1:39" x14ac:dyDescent="0.35">
      <c r="A3633">
        <v>3629</v>
      </c>
      <c r="B3633">
        <v>3630</v>
      </c>
      <c r="F3633" s="64"/>
      <c r="G3633" s="64"/>
      <c r="H3633" s="64" t="s">
        <v>26</v>
      </c>
      <c r="I3633" s="64"/>
      <c r="N3633" s="4"/>
      <c r="AG3633" t="s">
        <v>3343</v>
      </c>
      <c r="AM3633" s="1"/>
    </row>
    <row r="3634" spans="1:39" x14ac:dyDescent="0.35">
      <c r="A3634">
        <v>3630</v>
      </c>
      <c r="B3634">
        <v>3631</v>
      </c>
      <c r="F3634" s="64"/>
      <c r="G3634" s="64"/>
      <c r="H3634" s="64" t="s">
        <v>26</v>
      </c>
      <c r="I3634" s="64"/>
      <c r="N3634" s="4"/>
      <c r="AG3634" t="s">
        <v>3344</v>
      </c>
      <c r="AM3634" s="1"/>
    </row>
    <row r="3635" spans="1:39" x14ac:dyDescent="0.35">
      <c r="A3635">
        <v>3631</v>
      </c>
      <c r="B3635">
        <v>3632</v>
      </c>
      <c r="F3635" s="64"/>
      <c r="G3635" s="64"/>
      <c r="H3635" s="64" t="s">
        <v>26</v>
      </c>
      <c r="I3635" s="64"/>
      <c r="N3635" s="4"/>
      <c r="AG3635" t="s">
        <v>3345</v>
      </c>
      <c r="AM3635" s="1"/>
    </row>
    <row r="3636" spans="1:39" x14ac:dyDescent="0.35">
      <c r="A3636">
        <v>3632</v>
      </c>
      <c r="B3636">
        <v>3633</v>
      </c>
      <c r="F3636" s="64"/>
      <c r="G3636" s="64"/>
      <c r="H3636" s="64" t="s">
        <v>26</v>
      </c>
      <c r="I3636" s="64"/>
      <c r="N3636" s="4"/>
      <c r="AG3636" t="s">
        <v>3346</v>
      </c>
      <c r="AM3636" s="1"/>
    </row>
    <row r="3637" spans="1:39" x14ac:dyDescent="0.35">
      <c r="A3637">
        <v>3633</v>
      </c>
      <c r="B3637">
        <v>3634</v>
      </c>
      <c r="F3637" s="64"/>
      <c r="G3637" s="64"/>
      <c r="H3637" s="64" t="s">
        <v>26</v>
      </c>
      <c r="I3637" s="64"/>
      <c r="N3637" s="4"/>
      <c r="AG3637" t="s">
        <v>3347</v>
      </c>
      <c r="AM3637" s="1"/>
    </row>
    <row r="3638" spans="1:39" x14ac:dyDescent="0.35">
      <c r="A3638">
        <v>3634</v>
      </c>
      <c r="B3638">
        <v>3635</v>
      </c>
      <c r="F3638" s="64"/>
      <c r="G3638" s="64"/>
      <c r="H3638" s="64" t="s">
        <v>26</v>
      </c>
      <c r="I3638" s="64"/>
      <c r="N3638" s="4"/>
      <c r="AG3638" t="s">
        <v>3348</v>
      </c>
      <c r="AM3638" s="1"/>
    </row>
    <row r="3639" spans="1:39" x14ac:dyDescent="0.35">
      <c r="A3639">
        <v>3635</v>
      </c>
      <c r="B3639">
        <v>3636</v>
      </c>
      <c r="F3639" s="64"/>
      <c r="G3639" s="64"/>
      <c r="H3639" s="64" t="s">
        <v>26</v>
      </c>
      <c r="I3639" s="64"/>
      <c r="N3639" s="4"/>
      <c r="AG3639" t="s">
        <v>3349</v>
      </c>
      <c r="AM3639" s="1"/>
    </row>
    <row r="3640" spans="1:39" x14ac:dyDescent="0.35">
      <c r="A3640">
        <v>3636</v>
      </c>
      <c r="B3640">
        <v>3637</v>
      </c>
      <c r="F3640" s="64"/>
      <c r="G3640" s="64"/>
      <c r="H3640" s="64" t="s">
        <v>26</v>
      </c>
      <c r="I3640" s="64"/>
      <c r="N3640" s="4"/>
      <c r="AG3640" t="s">
        <v>3350</v>
      </c>
      <c r="AM3640" s="1"/>
    </row>
    <row r="3641" spans="1:39" x14ac:dyDescent="0.35">
      <c r="A3641">
        <v>3637</v>
      </c>
      <c r="B3641">
        <v>3638</v>
      </c>
      <c r="F3641" s="64"/>
      <c r="G3641" s="64"/>
      <c r="H3641" s="64" t="s">
        <v>26</v>
      </c>
      <c r="I3641" s="64"/>
      <c r="N3641" s="4"/>
      <c r="AG3641" t="s">
        <v>3351</v>
      </c>
      <c r="AM3641" s="1"/>
    </row>
    <row r="3642" spans="1:39" x14ac:dyDescent="0.35">
      <c r="A3642">
        <v>3638</v>
      </c>
      <c r="B3642">
        <v>3639</v>
      </c>
      <c r="F3642" s="64"/>
      <c r="G3642" s="64"/>
      <c r="H3642" s="64" t="s">
        <v>26</v>
      </c>
      <c r="I3642" s="64"/>
      <c r="N3642" s="4"/>
      <c r="AG3642" t="s">
        <v>3352</v>
      </c>
      <c r="AM3642" s="1"/>
    </row>
    <row r="3643" spans="1:39" x14ac:dyDescent="0.35">
      <c r="A3643">
        <v>3639</v>
      </c>
      <c r="B3643">
        <v>3640</v>
      </c>
      <c r="F3643" s="64"/>
      <c r="G3643" s="64"/>
      <c r="H3643" s="64" t="s">
        <v>26</v>
      </c>
      <c r="I3643" s="64"/>
      <c r="N3643" s="4"/>
      <c r="AG3643" t="s">
        <v>3353</v>
      </c>
      <c r="AM3643" s="1"/>
    </row>
    <row r="3644" spans="1:39" x14ac:dyDescent="0.35">
      <c r="A3644">
        <v>3640</v>
      </c>
      <c r="B3644">
        <v>3641</v>
      </c>
      <c r="F3644" s="64"/>
      <c r="G3644" s="64"/>
      <c r="H3644" s="64" t="s">
        <v>26</v>
      </c>
      <c r="I3644" s="64"/>
      <c r="N3644" s="4"/>
      <c r="AG3644" t="s">
        <v>3354</v>
      </c>
      <c r="AM3644" s="1"/>
    </row>
    <row r="3645" spans="1:39" x14ac:dyDescent="0.35">
      <c r="A3645">
        <v>3641</v>
      </c>
      <c r="B3645">
        <v>3642</v>
      </c>
      <c r="F3645" s="64"/>
      <c r="G3645" s="64"/>
      <c r="H3645" s="64" t="s">
        <v>26</v>
      </c>
      <c r="I3645" s="64"/>
      <c r="N3645" s="4"/>
      <c r="AG3645" t="s">
        <v>3355</v>
      </c>
      <c r="AM3645" s="1"/>
    </row>
    <row r="3646" spans="1:39" x14ac:dyDescent="0.35">
      <c r="A3646">
        <v>3642</v>
      </c>
      <c r="B3646">
        <v>3643</v>
      </c>
      <c r="F3646" s="64"/>
      <c r="G3646" s="64"/>
      <c r="H3646" s="64" t="s">
        <v>26</v>
      </c>
      <c r="I3646" s="64"/>
      <c r="N3646" s="4"/>
      <c r="AG3646" t="s">
        <v>3356</v>
      </c>
      <c r="AM3646" s="1"/>
    </row>
    <row r="3647" spans="1:39" x14ac:dyDescent="0.35">
      <c r="A3647">
        <v>3643</v>
      </c>
      <c r="B3647">
        <v>3644</v>
      </c>
      <c r="F3647" s="64"/>
      <c r="G3647" s="64"/>
      <c r="H3647" s="64" t="s">
        <v>26</v>
      </c>
      <c r="I3647" s="64"/>
      <c r="N3647" s="4"/>
      <c r="AG3647" t="s">
        <v>3357</v>
      </c>
      <c r="AM3647" s="1"/>
    </row>
    <row r="3648" spans="1:39" x14ac:dyDescent="0.35">
      <c r="A3648">
        <v>3644</v>
      </c>
      <c r="B3648">
        <v>3645</v>
      </c>
      <c r="F3648" s="64"/>
      <c r="G3648" s="64"/>
      <c r="H3648" s="64" t="s">
        <v>26</v>
      </c>
      <c r="I3648" s="64"/>
      <c r="N3648" s="4"/>
      <c r="AG3648" t="s">
        <v>3358</v>
      </c>
      <c r="AM3648" s="1"/>
    </row>
    <row r="3649" spans="1:39" x14ac:dyDescent="0.35">
      <c r="A3649">
        <v>3645</v>
      </c>
      <c r="B3649">
        <v>3646</v>
      </c>
      <c r="F3649" s="64"/>
      <c r="G3649" s="64"/>
      <c r="H3649" s="64" t="s">
        <v>26</v>
      </c>
      <c r="I3649" s="64"/>
      <c r="N3649" s="4"/>
      <c r="AG3649" t="s">
        <v>3359</v>
      </c>
      <c r="AM3649" s="1"/>
    </row>
    <row r="3650" spans="1:39" x14ac:dyDescent="0.35">
      <c r="A3650">
        <v>3646</v>
      </c>
      <c r="B3650">
        <v>3647</v>
      </c>
      <c r="F3650" s="64"/>
      <c r="G3650" s="64"/>
      <c r="H3650" s="64" t="s">
        <v>26</v>
      </c>
      <c r="I3650" s="64"/>
      <c r="N3650" s="4"/>
      <c r="AG3650" t="s">
        <v>3360</v>
      </c>
      <c r="AM3650" s="1"/>
    </row>
    <row r="3651" spans="1:39" x14ac:dyDescent="0.35">
      <c r="A3651">
        <v>3647</v>
      </c>
      <c r="B3651">
        <v>3648</v>
      </c>
      <c r="F3651" s="64"/>
      <c r="G3651" s="64"/>
      <c r="H3651" s="64" t="s">
        <v>26</v>
      </c>
      <c r="I3651" s="64"/>
      <c r="N3651" s="4"/>
      <c r="AG3651" t="s">
        <v>3361</v>
      </c>
      <c r="AM3651" s="1"/>
    </row>
    <row r="3652" spans="1:39" x14ac:dyDescent="0.35">
      <c r="A3652">
        <v>3648</v>
      </c>
      <c r="B3652">
        <v>3649</v>
      </c>
      <c r="F3652" s="64"/>
      <c r="G3652" s="64"/>
      <c r="H3652" s="64" t="s">
        <v>26</v>
      </c>
      <c r="I3652" s="64"/>
      <c r="N3652" s="4"/>
      <c r="AG3652" t="s">
        <v>3362</v>
      </c>
      <c r="AM3652" s="1"/>
    </row>
    <row r="3653" spans="1:39" x14ac:dyDescent="0.35">
      <c r="A3653">
        <v>3649</v>
      </c>
      <c r="B3653">
        <v>3650</v>
      </c>
      <c r="F3653" s="64"/>
      <c r="G3653" s="64"/>
      <c r="H3653" s="64" t="s">
        <v>26</v>
      </c>
      <c r="I3653" s="64"/>
      <c r="N3653" s="4"/>
      <c r="AG3653" t="s">
        <v>3363</v>
      </c>
      <c r="AM3653" s="1"/>
    </row>
    <row r="3654" spans="1:39" x14ac:dyDescent="0.35">
      <c r="A3654">
        <v>3650</v>
      </c>
      <c r="B3654">
        <v>3651</v>
      </c>
      <c r="F3654" s="64"/>
      <c r="G3654" s="64"/>
      <c r="H3654" s="64" t="s">
        <v>26</v>
      </c>
      <c r="I3654" s="64"/>
      <c r="N3654" s="4"/>
      <c r="AG3654" t="s">
        <v>3364</v>
      </c>
      <c r="AM3654" s="1"/>
    </row>
    <row r="3655" spans="1:39" x14ac:dyDescent="0.35">
      <c r="A3655">
        <v>3651</v>
      </c>
      <c r="B3655">
        <v>3652</v>
      </c>
      <c r="F3655" s="64"/>
      <c r="G3655" s="64"/>
      <c r="H3655" s="64" t="s">
        <v>26</v>
      </c>
      <c r="I3655" s="64"/>
      <c r="N3655" s="4"/>
      <c r="AG3655" t="s">
        <v>3365</v>
      </c>
      <c r="AM3655" s="1"/>
    </row>
    <row r="3656" spans="1:39" x14ac:dyDescent="0.35">
      <c r="A3656">
        <v>3652</v>
      </c>
      <c r="B3656">
        <v>3653</v>
      </c>
      <c r="F3656" s="64"/>
      <c r="G3656" s="64"/>
      <c r="H3656" s="64" t="s">
        <v>26</v>
      </c>
      <c r="I3656" s="64"/>
      <c r="N3656" s="4"/>
      <c r="AG3656" t="s">
        <v>3366</v>
      </c>
      <c r="AM3656" s="1"/>
    </row>
    <row r="3657" spans="1:39" x14ac:dyDescent="0.35">
      <c r="A3657">
        <v>3653</v>
      </c>
      <c r="B3657">
        <v>3654</v>
      </c>
      <c r="F3657" s="64"/>
      <c r="G3657" s="64"/>
      <c r="H3657" s="64" t="s">
        <v>26</v>
      </c>
      <c r="I3657" s="64"/>
      <c r="N3657" s="4"/>
      <c r="AG3657" t="s">
        <v>3367</v>
      </c>
      <c r="AM3657" s="1"/>
    </row>
    <row r="3658" spans="1:39" x14ac:dyDescent="0.35">
      <c r="A3658">
        <v>3654</v>
      </c>
      <c r="B3658">
        <v>3655</v>
      </c>
      <c r="F3658" s="64"/>
      <c r="G3658" s="64"/>
      <c r="H3658" s="64" t="s">
        <v>26</v>
      </c>
      <c r="I3658" s="64"/>
      <c r="N3658" s="4"/>
      <c r="AG3658" t="s">
        <v>3368</v>
      </c>
      <c r="AM3658" s="1"/>
    </row>
    <row r="3659" spans="1:39" x14ac:dyDescent="0.35">
      <c r="A3659">
        <v>3655</v>
      </c>
      <c r="B3659">
        <v>3656</v>
      </c>
      <c r="F3659" s="64"/>
      <c r="G3659" s="64"/>
      <c r="H3659" s="64" t="s">
        <v>26</v>
      </c>
      <c r="I3659" s="64"/>
      <c r="N3659" s="4"/>
      <c r="AG3659" t="s">
        <v>3369</v>
      </c>
      <c r="AM3659" s="1"/>
    </row>
    <row r="3660" spans="1:39" x14ac:dyDescent="0.35">
      <c r="A3660">
        <v>3656</v>
      </c>
      <c r="B3660">
        <v>3657</v>
      </c>
      <c r="F3660" s="64"/>
      <c r="G3660" s="64"/>
      <c r="H3660" s="64" t="s">
        <v>26</v>
      </c>
      <c r="I3660" s="64"/>
      <c r="N3660" s="4"/>
      <c r="AG3660" t="s">
        <v>3370</v>
      </c>
      <c r="AM3660" s="1"/>
    </row>
    <row r="3661" spans="1:39" x14ac:dyDescent="0.35">
      <c r="A3661">
        <v>3657</v>
      </c>
      <c r="B3661">
        <v>3658</v>
      </c>
      <c r="F3661" s="64"/>
      <c r="G3661" s="64"/>
      <c r="H3661" s="64" t="s">
        <v>26</v>
      </c>
      <c r="I3661" s="64"/>
      <c r="N3661" s="4"/>
      <c r="AG3661" t="s">
        <v>3371</v>
      </c>
      <c r="AM3661" s="1"/>
    </row>
    <row r="3662" spans="1:39" x14ac:dyDescent="0.35">
      <c r="A3662">
        <v>3658</v>
      </c>
      <c r="B3662">
        <v>3659</v>
      </c>
      <c r="F3662" s="64"/>
      <c r="G3662" s="64"/>
      <c r="H3662" s="64" t="s">
        <v>26</v>
      </c>
      <c r="I3662" s="64"/>
      <c r="N3662" s="4"/>
      <c r="AG3662" t="s">
        <v>3372</v>
      </c>
      <c r="AM3662" s="1"/>
    </row>
    <row r="3663" spans="1:39" x14ac:dyDescent="0.35">
      <c r="A3663">
        <v>3659</v>
      </c>
      <c r="B3663">
        <v>3660</v>
      </c>
      <c r="F3663" s="64"/>
      <c r="G3663" s="64"/>
      <c r="H3663" s="64" t="s">
        <v>26</v>
      </c>
      <c r="I3663" s="64"/>
      <c r="N3663" s="4"/>
      <c r="AG3663" t="s">
        <v>3373</v>
      </c>
      <c r="AM3663" s="1"/>
    </row>
    <row r="3664" spans="1:39" x14ac:dyDescent="0.35">
      <c r="A3664">
        <v>3660</v>
      </c>
      <c r="B3664">
        <v>3661</v>
      </c>
      <c r="F3664" s="64"/>
      <c r="G3664" s="64"/>
      <c r="H3664" s="64" t="s">
        <v>26</v>
      </c>
      <c r="I3664" s="64"/>
      <c r="N3664" s="4"/>
      <c r="AG3664" t="s">
        <v>3374</v>
      </c>
      <c r="AM3664" s="1"/>
    </row>
    <row r="3665" spans="1:39" x14ac:dyDescent="0.35">
      <c r="A3665">
        <v>3661</v>
      </c>
      <c r="B3665">
        <v>3662</v>
      </c>
      <c r="F3665" s="64"/>
      <c r="G3665" s="64"/>
      <c r="H3665" s="64" t="s">
        <v>26</v>
      </c>
      <c r="I3665" s="64"/>
      <c r="N3665" s="4"/>
      <c r="AG3665" t="s">
        <v>3375</v>
      </c>
      <c r="AM3665" s="1"/>
    </row>
    <row r="3666" spans="1:39" x14ac:dyDescent="0.35">
      <c r="A3666">
        <v>3662</v>
      </c>
      <c r="B3666">
        <v>3663</v>
      </c>
      <c r="F3666" s="64"/>
      <c r="G3666" s="64"/>
      <c r="H3666" s="64" t="s">
        <v>26</v>
      </c>
      <c r="I3666" s="64"/>
      <c r="N3666" s="4"/>
      <c r="AG3666" t="s">
        <v>3376</v>
      </c>
      <c r="AM3666" s="1"/>
    </row>
    <row r="3667" spans="1:39" x14ac:dyDescent="0.35">
      <c r="A3667">
        <v>3663</v>
      </c>
      <c r="B3667">
        <v>3664</v>
      </c>
      <c r="F3667" s="64"/>
      <c r="G3667" s="64"/>
      <c r="H3667" s="64" t="s">
        <v>26</v>
      </c>
      <c r="I3667" s="64"/>
      <c r="N3667" s="4"/>
      <c r="AG3667" t="s">
        <v>3377</v>
      </c>
      <c r="AM3667" s="1"/>
    </row>
    <row r="3668" spans="1:39" x14ac:dyDescent="0.35">
      <c r="A3668">
        <v>3664</v>
      </c>
      <c r="B3668">
        <v>3665</v>
      </c>
      <c r="F3668" s="64"/>
      <c r="G3668" s="64"/>
      <c r="H3668" s="64" t="s">
        <v>26</v>
      </c>
      <c r="I3668" s="64"/>
      <c r="N3668" s="4"/>
      <c r="AG3668" t="s">
        <v>3378</v>
      </c>
      <c r="AM3668" s="1"/>
    </row>
    <row r="3669" spans="1:39" x14ac:dyDescent="0.35">
      <c r="A3669">
        <v>3665</v>
      </c>
      <c r="B3669">
        <v>3666</v>
      </c>
      <c r="F3669" s="64"/>
      <c r="G3669" s="64"/>
      <c r="H3669" s="64" t="s">
        <v>26</v>
      </c>
      <c r="I3669" s="64"/>
      <c r="N3669" s="4"/>
      <c r="AG3669" t="s">
        <v>3379</v>
      </c>
      <c r="AM3669" s="1"/>
    </row>
    <row r="3670" spans="1:39" x14ac:dyDescent="0.35">
      <c r="A3670">
        <v>3666</v>
      </c>
      <c r="B3670">
        <v>3667</v>
      </c>
      <c r="F3670" s="64"/>
      <c r="G3670" s="64"/>
      <c r="H3670" s="64" t="s">
        <v>26</v>
      </c>
      <c r="I3670" s="64"/>
      <c r="N3670" s="4"/>
      <c r="AG3670" t="s">
        <v>3380</v>
      </c>
      <c r="AM3670" s="1"/>
    </row>
    <row r="3671" spans="1:39" x14ac:dyDescent="0.35">
      <c r="A3671">
        <v>3667</v>
      </c>
      <c r="B3671">
        <v>3668</v>
      </c>
      <c r="F3671" s="64"/>
      <c r="G3671" s="64"/>
      <c r="H3671" s="64" t="s">
        <v>26</v>
      </c>
      <c r="I3671" s="64"/>
      <c r="N3671" s="4"/>
      <c r="AG3671" t="s">
        <v>3381</v>
      </c>
      <c r="AM3671" s="1"/>
    </row>
    <row r="3672" spans="1:39" x14ac:dyDescent="0.35">
      <c r="A3672">
        <v>3668</v>
      </c>
      <c r="B3672">
        <v>3669</v>
      </c>
      <c r="F3672" s="64"/>
      <c r="G3672" s="64"/>
      <c r="H3672" s="64" t="s">
        <v>26</v>
      </c>
      <c r="I3672" s="64"/>
      <c r="N3672" s="4"/>
      <c r="AG3672" t="s">
        <v>3382</v>
      </c>
      <c r="AM3672" s="1"/>
    </row>
    <row r="3673" spans="1:39" x14ac:dyDescent="0.35">
      <c r="A3673">
        <v>3669</v>
      </c>
      <c r="B3673">
        <v>3670</v>
      </c>
      <c r="F3673" s="64"/>
      <c r="G3673" s="64"/>
      <c r="H3673" s="64" t="s">
        <v>26</v>
      </c>
      <c r="I3673" s="64"/>
      <c r="N3673" s="4"/>
      <c r="AG3673" t="s">
        <v>3383</v>
      </c>
      <c r="AM3673" s="1"/>
    </row>
    <row r="3674" spans="1:39" x14ac:dyDescent="0.35">
      <c r="A3674">
        <v>3670</v>
      </c>
      <c r="B3674">
        <v>3671</v>
      </c>
      <c r="F3674" s="64"/>
      <c r="G3674" s="64"/>
      <c r="H3674" s="64" t="s">
        <v>26</v>
      </c>
      <c r="I3674" s="64"/>
      <c r="N3674" s="4"/>
      <c r="AG3674" t="s">
        <v>3384</v>
      </c>
      <c r="AM3674" s="1"/>
    </row>
    <row r="3675" spans="1:39" x14ac:dyDescent="0.35">
      <c r="A3675">
        <v>3671</v>
      </c>
      <c r="B3675">
        <v>3672</v>
      </c>
      <c r="F3675" s="64"/>
      <c r="G3675" s="64"/>
      <c r="H3675" s="64" t="s">
        <v>26</v>
      </c>
      <c r="I3675" s="64"/>
      <c r="N3675" s="4"/>
      <c r="AG3675" t="s">
        <v>3385</v>
      </c>
      <c r="AM3675" s="1"/>
    </row>
    <row r="3676" spans="1:39" x14ac:dyDescent="0.35">
      <c r="A3676">
        <v>3672</v>
      </c>
      <c r="B3676">
        <v>3673</v>
      </c>
      <c r="F3676" s="64"/>
      <c r="G3676" s="64"/>
      <c r="H3676" s="64" t="s">
        <v>26</v>
      </c>
      <c r="I3676" s="64"/>
      <c r="N3676" s="4"/>
      <c r="AG3676" t="s">
        <v>3386</v>
      </c>
      <c r="AM3676" s="1"/>
    </row>
    <row r="3677" spans="1:39" x14ac:dyDescent="0.35">
      <c r="A3677">
        <v>3673</v>
      </c>
      <c r="B3677">
        <v>3674</v>
      </c>
      <c r="F3677" s="64"/>
      <c r="G3677" s="64"/>
      <c r="H3677" s="64" t="s">
        <v>26</v>
      </c>
      <c r="I3677" s="64"/>
      <c r="N3677" s="4"/>
      <c r="AG3677" t="s">
        <v>3387</v>
      </c>
      <c r="AM3677" s="1"/>
    </row>
    <row r="3678" spans="1:39" x14ac:dyDescent="0.35">
      <c r="A3678">
        <v>3674</v>
      </c>
      <c r="B3678">
        <v>3675</v>
      </c>
      <c r="F3678" s="64"/>
      <c r="G3678" s="64"/>
      <c r="H3678" s="64" t="s">
        <v>26</v>
      </c>
      <c r="I3678" s="64"/>
      <c r="N3678" s="4"/>
      <c r="AG3678" t="s">
        <v>3388</v>
      </c>
      <c r="AM3678" s="1"/>
    </row>
    <row r="3679" spans="1:39" x14ac:dyDescent="0.35">
      <c r="A3679">
        <v>3675</v>
      </c>
      <c r="B3679">
        <v>3676</v>
      </c>
      <c r="F3679" s="64"/>
      <c r="G3679" s="64"/>
      <c r="H3679" s="64" t="s">
        <v>26</v>
      </c>
      <c r="I3679" s="64"/>
      <c r="N3679" s="4"/>
      <c r="AG3679" t="s">
        <v>3389</v>
      </c>
      <c r="AM3679" s="1"/>
    </row>
    <row r="3680" spans="1:39" x14ac:dyDescent="0.35">
      <c r="A3680">
        <v>3676</v>
      </c>
      <c r="B3680">
        <v>3677</v>
      </c>
      <c r="F3680" s="64"/>
      <c r="G3680" s="64"/>
      <c r="H3680" s="64" t="s">
        <v>26</v>
      </c>
      <c r="I3680" s="64"/>
      <c r="N3680" s="4"/>
      <c r="AG3680" t="s">
        <v>3390</v>
      </c>
      <c r="AM3680" s="1"/>
    </row>
    <row r="3681" spans="1:39" x14ac:dyDescent="0.35">
      <c r="A3681">
        <v>3677</v>
      </c>
      <c r="B3681">
        <v>3678</v>
      </c>
      <c r="F3681" s="64"/>
      <c r="G3681" s="64"/>
      <c r="H3681" s="64" t="s">
        <v>26</v>
      </c>
      <c r="I3681" s="64"/>
      <c r="N3681" s="4"/>
      <c r="AG3681" t="s">
        <v>3391</v>
      </c>
      <c r="AM3681" s="1"/>
    </row>
    <row r="3682" spans="1:39" x14ac:dyDescent="0.35">
      <c r="A3682">
        <v>3678</v>
      </c>
      <c r="B3682">
        <v>3679</v>
      </c>
      <c r="F3682" s="64"/>
      <c r="G3682" s="64"/>
      <c r="H3682" s="64" t="s">
        <v>26</v>
      </c>
      <c r="I3682" s="64"/>
      <c r="N3682" s="4"/>
      <c r="AG3682" t="s">
        <v>3392</v>
      </c>
      <c r="AM3682" s="1"/>
    </row>
    <row r="3683" spans="1:39" x14ac:dyDescent="0.35">
      <c r="A3683">
        <v>3679</v>
      </c>
      <c r="B3683">
        <v>3680</v>
      </c>
      <c r="F3683" s="64"/>
      <c r="G3683" s="64"/>
      <c r="H3683" s="64" t="s">
        <v>26</v>
      </c>
      <c r="I3683" s="64"/>
      <c r="N3683" s="4"/>
      <c r="AG3683" t="s">
        <v>3393</v>
      </c>
      <c r="AM3683" s="1"/>
    </row>
    <row r="3684" spans="1:39" x14ac:dyDescent="0.35">
      <c r="A3684">
        <v>3680</v>
      </c>
      <c r="B3684">
        <v>3681</v>
      </c>
      <c r="F3684" s="64"/>
      <c r="G3684" s="64"/>
      <c r="H3684" s="64" t="s">
        <v>26</v>
      </c>
      <c r="I3684" s="64"/>
      <c r="N3684" s="4"/>
      <c r="AG3684" t="s">
        <v>3394</v>
      </c>
      <c r="AM3684" s="1"/>
    </row>
    <row r="3685" spans="1:39" x14ac:dyDescent="0.35">
      <c r="A3685">
        <v>3681</v>
      </c>
      <c r="B3685">
        <v>3682</v>
      </c>
      <c r="F3685" s="64"/>
      <c r="G3685" s="64"/>
      <c r="H3685" s="64" t="s">
        <v>26</v>
      </c>
      <c r="I3685" s="64"/>
      <c r="N3685" s="4"/>
      <c r="AG3685" t="s">
        <v>3395</v>
      </c>
      <c r="AM3685" s="1"/>
    </row>
    <row r="3686" spans="1:39" x14ac:dyDescent="0.35">
      <c r="A3686">
        <v>3682</v>
      </c>
      <c r="B3686">
        <v>3683</v>
      </c>
      <c r="F3686" s="64"/>
      <c r="G3686" s="64"/>
      <c r="H3686" s="64" t="s">
        <v>26</v>
      </c>
      <c r="I3686" s="64"/>
      <c r="N3686" s="4"/>
      <c r="AG3686" t="s">
        <v>3396</v>
      </c>
      <c r="AM3686" s="1"/>
    </row>
    <row r="3687" spans="1:39" x14ac:dyDescent="0.35">
      <c r="A3687">
        <v>3683</v>
      </c>
      <c r="B3687">
        <v>3684</v>
      </c>
      <c r="F3687" s="64"/>
      <c r="G3687" s="64"/>
      <c r="H3687" s="64" t="s">
        <v>26</v>
      </c>
      <c r="I3687" s="64"/>
      <c r="N3687" s="4"/>
      <c r="AG3687" t="s">
        <v>3397</v>
      </c>
      <c r="AM3687" s="1"/>
    </row>
    <row r="3688" spans="1:39" x14ac:dyDescent="0.35">
      <c r="A3688">
        <v>3684</v>
      </c>
      <c r="B3688">
        <v>3685</v>
      </c>
      <c r="F3688" s="64"/>
      <c r="G3688" s="64"/>
      <c r="H3688" s="64" t="s">
        <v>26</v>
      </c>
      <c r="I3688" s="64"/>
      <c r="N3688" s="4"/>
      <c r="AG3688" t="s">
        <v>3398</v>
      </c>
      <c r="AM3688" s="1"/>
    </row>
    <row r="3689" spans="1:39" x14ac:dyDescent="0.35">
      <c r="A3689">
        <v>3685</v>
      </c>
      <c r="B3689">
        <v>3686</v>
      </c>
      <c r="F3689" s="64"/>
      <c r="G3689" s="64"/>
      <c r="H3689" s="64" t="s">
        <v>26</v>
      </c>
      <c r="I3689" s="64"/>
      <c r="N3689" s="4"/>
      <c r="AG3689" t="s">
        <v>3399</v>
      </c>
      <c r="AM3689" s="1"/>
    </row>
    <row r="3690" spans="1:39" x14ac:dyDescent="0.35">
      <c r="A3690">
        <v>3686</v>
      </c>
      <c r="B3690">
        <v>3687</v>
      </c>
      <c r="F3690" s="64"/>
      <c r="G3690" s="64"/>
      <c r="H3690" s="64" t="s">
        <v>26</v>
      </c>
      <c r="I3690" s="64"/>
      <c r="N3690" s="4"/>
      <c r="AG3690" t="s">
        <v>3400</v>
      </c>
      <c r="AM3690" s="1"/>
    </row>
    <row r="3691" spans="1:39" x14ac:dyDescent="0.35">
      <c r="A3691">
        <v>3687</v>
      </c>
      <c r="B3691">
        <v>3688</v>
      </c>
      <c r="F3691" s="64"/>
      <c r="G3691" s="64"/>
      <c r="H3691" s="64" t="s">
        <v>26</v>
      </c>
      <c r="I3691" s="64"/>
      <c r="N3691" s="4"/>
      <c r="AG3691" t="s">
        <v>3401</v>
      </c>
      <c r="AM3691" s="1"/>
    </row>
    <row r="3692" spans="1:39" x14ac:dyDescent="0.35">
      <c r="A3692">
        <v>3688</v>
      </c>
      <c r="B3692">
        <v>3689</v>
      </c>
      <c r="F3692" s="64"/>
      <c r="G3692" s="64"/>
      <c r="H3692" s="64" t="s">
        <v>26</v>
      </c>
      <c r="I3692" s="64"/>
      <c r="N3692" s="4"/>
      <c r="AG3692" t="s">
        <v>3402</v>
      </c>
      <c r="AM3692" s="1"/>
    </row>
    <row r="3693" spans="1:39" x14ac:dyDescent="0.35">
      <c r="A3693">
        <v>3689</v>
      </c>
      <c r="B3693">
        <v>3690</v>
      </c>
      <c r="F3693" s="64"/>
      <c r="G3693" s="64"/>
      <c r="H3693" s="64" t="s">
        <v>26</v>
      </c>
      <c r="I3693" s="64"/>
      <c r="N3693" s="4"/>
      <c r="AG3693" t="s">
        <v>3403</v>
      </c>
      <c r="AM3693" s="1"/>
    </row>
    <row r="3694" spans="1:39" x14ac:dyDescent="0.35">
      <c r="A3694">
        <v>3690</v>
      </c>
      <c r="B3694">
        <v>3691</v>
      </c>
      <c r="F3694" s="64"/>
      <c r="G3694" s="64"/>
      <c r="H3694" s="64" t="s">
        <v>26</v>
      </c>
      <c r="I3694" s="64"/>
      <c r="N3694" s="4"/>
      <c r="AG3694" t="s">
        <v>3404</v>
      </c>
      <c r="AM3694" s="1"/>
    </row>
    <row r="3695" spans="1:39" x14ac:dyDescent="0.35">
      <c r="A3695">
        <v>3691</v>
      </c>
      <c r="B3695">
        <v>3692</v>
      </c>
      <c r="F3695" s="64"/>
      <c r="G3695" s="64"/>
      <c r="H3695" s="64" t="s">
        <v>26</v>
      </c>
      <c r="I3695" s="64"/>
      <c r="N3695" s="4"/>
      <c r="AG3695" t="s">
        <v>3405</v>
      </c>
      <c r="AM3695" s="1"/>
    </row>
    <row r="3696" spans="1:39" x14ac:dyDescent="0.35">
      <c r="A3696">
        <v>3692</v>
      </c>
      <c r="B3696">
        <v>3693</v>
      </c>
      <c r="F3696" s="64"/>
      <c r="G3696" s="64"/>
      <c r="H3696" s="64" t="s">
        <v>26</v>
      </c>
      <c r="I3696" s="64"/>
      <c r="N3696" s="4"/>
      <c r="AG3696" t="s">
        <v>3406</v>
      </c>
      <c r="AM3696" s="1"/>
    </row>
    <row r="3697" spans="1:39" x14ac:dyDescent="0.35">
      <c r="A3697">
        <v>3693</v>
      </c>
      <c r="B3697">
        <v>3694</v>
      </c>
      <c r="F3697" s="64"/>
      <c r="G3697" s="64"/>
      <c r="H3697" s="64" t="s">
        <v>26</v>
      </c>
      <c r="I3697" s="64"/>
      <c r="N3697" s="4"/>
      <c r="AG3697" t="s">
        <v>3407</v>
      </c>
      <c r="AM3697" s="1"/>
    </row>
    <row r="3698" spans="1:39" x14ac:dyDescent="0.35">
      <c r="A3698">
        <v>3694</v>
      </c>
      <c r="B3698">
        <v>3695</v>
      </c>
      <c r="F3698" s="64"/>
      <c r="G3698" s="64"/>
      <c r="H3698" s="64" t="s">
        <v>26</v>
      </c>
      <c r="I3698" s="64"/>
      <c r="N3698" s="4"/>
      <c r="AG3698" t="s">
        <v>3408</v>
      </c>
      <c r="AM3698" s="1"/>
    </row>
    <row r="3699" spans="1:39" x14ac:dyDescent="0.35">
      <c r="A3699">
        <v>3695</v>
      </c>
      <c r="B3699">
        <v>3696</v>
      </c>
      <c r="F3699" s="64"/>
      <c r="G3699" s="64"/>
      <c r="H3699" s="64" t="s">
        <v>26</v>
      </c>
      <c r="I3699" s="64"/>
      <c r="N3699" s="4"/>
      <c r="AG3699" t="s">
        <v>3409</v>
      </c>
      <c r="AM3699" s="1"/>
    </row>
    <row r="3700" spans="1:39" x14ac:dyDescent="0.35">
      <c r="A3700">
        <v>3696</v>
      </c>
      <c r="B3700">
        <v>3697</v>
      </c>
      <c r="F3700" s="64"/>
      <c r="G3700" s="64"/>
      <c r="H3700" s="64" t="s">
        <v>26</v>
      </c>
      <c r="I3700" s="64"/>
      <c r="N3700" s="4"/>
      <c r="AG3700" t="s">
        <v>3410</v>
      </c>
      <c r="AM3700" s="1"/>
    </row>
    <row r="3701" spans="1:39" x14ac:dyDescent="0.35">
      <c r="A3701">
        <v>3697</v>
      </c>
      <c r="B3701">
        <v>3698</v>
      </c>
      <c r="F3701" s="64"/>
      <c r="G3701" s="64"/>
      <c r="H3701" s="64" t="s">
        <v>26</v>
      </c>
      <c r="I3701" s="64"/>
      <c r="N3701" s="4"/>
      <c r="AG3701" t="s">
        <v>3411</v>
      </c>
      <c r="AM3701" s="1"/>
    </row>
    <row r="3702" spans="1:39" x14ac:dyDescent="0.35">
      <c r="A3702">
        <v>3698</v>
      </c>
      <c r="B3702">
        <v>3699</v>
      </c>
      <c r="F3702" s="64"/>
      <c r="G3702" s="64"/>
      <c r="H3702" s="64" t="s">
        <v>26</v>
      </c>
      <c r="I3702" s="64"/>
      <c r="N3702" s="4"/>
      <c r="AG3702" t="s">
        <v>3412</v>
      </c>
      <c r="AM3702" s="1"/>
    </row>
    <row r="3703" spans="1:39" x14ac:dyDescent="0.35">
      <c r="A3703">
        <v>3699</v>
      </c>
      <c r="B3703">
        <v>3700</v>
      </c>
      <c r="F3703" s="64"/>
      <c r="G3703" s="64"/>
      <c r="H3703" s="64" t="s">
        <v>26</v>
      </c>
      <c r="I3703" s="64"/>
      <c r="N3703" s="4"/>
      <c r="AG3703" t="s">
        <v>3413</v>
      </c>
      <c r="AM3703" s="1"/>
    </row>
    <row r="3704" spans="1:39" x14ac:dyDescent="0.35">
      <c r="A3704">
        <v>3700</v>
      </c>
      <c r="B3704">
        <v>3701</v>
      </c>
      <c r="F3704" s="64"/>
      <c r="G3704" s="64"/>
      <c r="H3704" s="64" t="s">
        <v>26</v>
      </c>
      <c r="I3704" s="64"/>
      <c r="N3704" s="4"/>
      <c r="AG3704" t="s">
        <v>3414</v>
      </c>
      <c r="AM3704" s="1"/>
    </row>
    <row r="3705" spans="1:39" x14ac:dyDescent="0.35">
      <c r="A3705">
        <v>3701</v>
      </c>
      <c r="B3705">
        <v>3702</v>
      </c>
      <c r="F3705" s="64"/>
      <c r="G3705" s="64"/>
      <c r="H3705" s="64" t="s">
        <v>26</v>
      </c>
      <c r="I3705" s="64"/>
      <c r="N3705" s="4"/>
      <c r="AG3705" t="s">
        <v>3415</v>
      </c>
      <c r="AM3705" s="1"/>
    </row>
    <row r="3706" spans="1:39" x14ac:dyDescent="0.35">
      <c r="A3706">
        <v>3702</v>
      </c>
      <c r="B3706">
        <v>3703</v>
      </c>
      <c r="F3706" s="64"/>
      <c r="G3706" s="64"/>
      <c r="H3706" s="64" t="s">
        <v>26</v>
      </c>
      <c r="I3706" s="64"/>
      <c r="N3706" s="4"/>
      <c r="AG3706" t="s">
        <v>3416</v>
      </c>
      <c r="AM3706" s="1"/>
    </row>
    <row r="3707" spans="1:39" x14ac:dyDescent="0.35">
      <c r="A3707">
        <v>3703</v>
      </c>
      <c r="B3707">
        <v>3704</v>
      </c>
      <c r="F3707" s="64"/>
      <c r="G3707" s="64"/>
      <c r="H3707" s="64" t="s">
        <v>26</v>
      </c>
      <c r="I3707" s="64"/>
      <c r="N3707" s="4"/>
      <c r="AG3707" t="s">
        <v>3417</v>
      </c>
      <c r="AM3707" s="1"/>
    </row>
    <row r="3708" spans="1:39" x14ac:dyDescent="0.35">
      <c r="A3708">
        <v>3704</v>
      </c>
      <c r="B3708">
        <v>3705</v>
      </c>
      <c r="F3708" s="64"/>
      <c r="G3708" s="64"/>
      <c r="H3708" s="64" t="s">
        <v>26</v>
      </c>
      <c r="I3708" s="64"/>
      <c r="N3708" s="4"/>
      <c r="AG3708" t="s">
        <v>3418</v>
      </c>
      <c r="AM3708" s="1"/>
    </row>
    <row r="3709" spans="1:39" x14ac:dyDescent="0.35">
      <c r="A3709">
        <v>3705</v>
      </c>
      <c r="B3709">
        <v>3706</v>
      </c>
      <c r="F3709" s="64"/>
      <c r="G3709" s="64"/>
      <c r="H3709" s="64" t="s">
        <v>26</v>
      </c>
      <c r="I3709" s="64"/>
      <c r="N3709" s="4"/>
      <c r="AG3709" t="s">
        <v>3419</v>
      </c>
      <c r="AM3709" s="1"/>
    </row>
    <row r="3710" spans="1:39" x14ac:dyDescent="0.35">
      <c r="A3710">
        <v>3706</v>
      </c>
      <c r="B3710">
        <v>3707</v>
      </c>
      <c r="F3710" s="64"/>
      <c r="G3710" s="64"/>
      <c r="H3710" s="64" t="s">
        <v>26</v>
      </c>
      <c r="I3710" s="64"/>
      <c r="N3710" s="4"/>
      <c r="AG3710" t="s">
        <v>3420</v>
      </c>
      <c r="AM3710" s="1"/>
    </row>
    <row r="3711" spans="1:39" x14ac:dyDescent="0.35">
      <c r="A3711">
        <v>3707</v>
      </c>
      <c r="B3711">
        <v>3708</v>
      </c>
      <c r="F3711" s="64"/>
      <c r="G3711" s="64"/>
      <c r="H3711" s="64" t="s">
        <v>26</v>
      </c>
      <c r="I3711" s="64"/>
      <c r="N3711" s="4"/>
      <c r="AG3711" t="s">
        <v>3421</v>
      </c>
      <c r="AM3711" s="1"/>
    </row>
    <row r="3712" spans="1:39" x14ac:dyDescent="0.35">
      <c r="A3712">
        <v>3708</v>
      </c>
      <c r="B3712">
        <v>3709</v>
      </c>
      <c r="F3712" s="64"/>
      <c r="G3712" s="64"/>
      <c r="H3712" s="64" t="s">
        <v>26</v>
      </c>
      <c r="I3712" s="64"/>
      <c r="N3712" s="4"/>
      <c r="AG3712" t="s">
        <v>3422</v>
      </c>
      <c r="AM3712" s="1"/>
    </row>
    <row r="3713" spans="1:39" x14ac:dyDescent="0.35">
      <c r="A3713">
        <v>3709</v>
      </c>
      <c r="B3713">
        <v>3710</v>
      </c>
      <c r="F3713" s="64"/>
      <c r="G3713" s="64"/>
      <c r="H3713" s="64" t="s">
        <v>26</v>
      </c>
      <c r="I3713" s="64"/>
      <c r="N3713" s="4"/>
      <c r="AG3713" t="s">
        <v>3423</v>
      </c>
      <c r="AM3713" s="1"/>
    </row>
    <row r="3714" spans="1:39" x14ac:dyDescent="0.35">
      <c r="A3714">
        <v>3710</v>
      </c>
      <c r="B3714">
        <v>3711</v>
      </c>
      <c r="F3714" s="64"/>
      <c r="G3714" s="64"/>
      <c r="H3714" s="64" t="s">
        <v>26</v>
      </c>
      <c r="I3714" s="64"/>
      <c r="N3714" s="4"/>
      <c r="AG3714" t="s">
        <v>3424</v>
      </c>
      <c r="AM3714" s="1"/>
    </row>
    <row r="3715" spans="1:39" x14ac:dyDescent="0.35">
      <c r="A3715">
        <v>3711</v>
      </c>
      <c r="B3715">
        <v>3712</v>
      </c>
      <c r="F3715" s="64"/>
      <c r="G3715" s="64"/>
      <c r="H3715" s="64" t="s">
        <v>26</v>
      </c>
      <c r="I3715" s="64"/>
      <c r="N3715" s="4"/>
      <c r="AG3715" t="s">
        <v>3425</v>
      </c>
      <c r="AM3715" s="1"/>
    </row>
    <row r="3716" spans="1:39" x14ac:dyDescent="0.35">
      <c r="A3716">
        <v>3712</v>
      </c>
      <c r="B3716">
        <v>3713</v>
      </c>
      <c r="F3716" s="64"/>
      <c r="G3716" s="64"/>
      <c r="H3716" s="64" t="s">
        <v>26</v>
      </c>
      <c r="I3716" s="64"/>
      <c r="N3716" s="4"/>
      <c r="AG3716" t="s">
        <v>3426</v>
      </c>
      <c r="AM3716" s="1"/>
    </row>
    <row r="3717" spans="1:39" x14ac:dyDescent="0.35">
      <c r="A3717">
        <v>3713</v>
      </c>
      <c r="B3717">
        <v>3714</v>
      </c>
      <c r="F3717" s="64"/>
      <c r="G3717" s="64"/>
      <c r="H3717" s="64" t="s">
        <v>26</v>
      </c>
      <c r="I3717" s="64"/>
      <c r="N3717" s="4"/>
      <c r="AG3717" t="s">
        <v>3427</v>
      </c>
      <c r="AM3717" s="1"/>
    </row>
    <row r="3718" spans="1:39" x14ac:dyDescent="0.35">
      <c r="A3718">
        <v>3714</v>
      </c>
      <c r="B3718">
        <v>3715</v>
      </c>
      <c r="F3718" s="64"/>
      <c r="G3718" s="64"/>
      <c r="H3718" s="64" t="s">
        <v>26</v>
      </c>
      <c r="I3718" s="64"/>
      <c r="N3718" s="4"/>
      <c r="AG3718" t="s">
        <v>3428</v>
      </c>
      <c r="AM3718" s="1"/>
    </row>
    <row r="3719" spans="1:39" x14ac:dyDescent="0.35">
      <c r="A3719">
        <v>3715</v>
      </c>
      <c r="B3719">
        <v>3716</v>
      </c>
      <c r="F3719" s="64"/>
      <c r="G3719" s="64"/>
      <c r="H3719" s="64" t="s">
        <v>26</v>
      </c>
      <c r="I3719" s="64"/>
      <c r="N3719" s="4"/>
      <c r="AG3719" t="s">
        <v>3429</v>
      </c>
      <c r="AM3719" s="1"/>
    </row>
    <row r="3720" spans="1:39" x14ac:dyDescent="0.35">
      <c r="A3720">
        <v>3716</v>
      </c>
      <c r="B3720">
        <v>3717</v>
      </c>
      <c r="F3720" s="64"/>
      <c r="G3720" s="64"/>
      <c r="H3720" s="64" t="s">
        <v>26</v>
      </c>
      <c r="I3720" s="64"/>
      <c r="N3720" s="4"/>
      <c r="AG3720" t="s">
        <v>3430</v>
      </c>
      <c r="AM3720" s="1"/>
    </row>
    <row r="3721" spans="1:39" x14ac:dyDescent="0.35">
      <c r="A3721">
        <v>3717</v>
      </c>
      <c r="B3721">
        <v>3718</v>
      </c>
      <c r="F3721" s="64"/>
      <c r="G3721" s="64"/>
      <c r="H3721" s="64" t="s">
        <v>26</v>
      </c>
      <c r="I3721" s="64"/>
      <c r="N3721" s="4"/>
      <c r="AG3721" t="s">
        <v>3431</v>
      </c>
      <c r="AM3721" s="1"/>
    </row>
    <row r="3722" spans="1:39" x14ac:dyDescent="0.35">
      <c r="A3722">
        <v>3718</v>
      </c>
      <c r="B3722">
        <v>3719</v>
      </c>
      <c r="F3722" s="64"/>
      <c r="G3722" s="64"/>
      <c r="H3722" s="64" t="s">
        <v>26</v>
      </c>
      <c r="I3722" s="64"/>
      <c r="N3722" s="4"/>
      <c r="AG3722" t="s">
        <v>3432</v>
      </c>
      <c r="AM3722" s="1"/>
    </row>
    <row r="3723" spans="1:39" x14ac:dyDescent="0.35">
      <c r="A3723">
        <v>3719</v>
      </c>
      <c r="B3723">
        <v>3720</v>
      </c>
      <c r="F3723" s="64"/>
      <c r="G3723" s="64"/>
      <c r="H3723" s="64" t="s">
        <v>26</v>
      </c>
      <c r="I3723" s="64"/>
      <c r="N3723" s="4"/>
      <c r="AG3723" t="s">
        <v>3433</v>
      </c>
      <c r="AM3723" s="1"/>
    </row>
    <row r="3724" spans="1:39" x14ac:dyDescent="0.35">
      <c r="A3724">
        <v>3720</v>
      </c>
      <c r="B3724">
        <v>3721</v>
      </c>
      <c r="F3724" s="64"/>
      <c r="G3724" s="64"/>
      <c r="H3724" s="64" t="s">
        <v>26</v>
      </c>
      <c r="I3724" s="64"/>
      <c r="N3724" s="4"/>
      <c r="AG3724" t="s">
        <v>3434</v>
      </c>
      <c r="AM3724" s="1"/>
    </row>
    <row r="3725" spans="1:39" x14ac:dyDescent="0.35">
      <c r="A3725">
        <v>3721</v>
      </c>
      <c r="B3725">
        <v>3722</v>
      </c>
      <c r="F3725" s="64"/>
      <c r="G3725" s="64"/>
      <c r="H3725" s="64" t="s">
        <v>26</v>
      </c>
      <c r="I3725" s="64"/>
      <c r="N3725" s="4"/>
      <c r="AG3725" t="s">
        <v>3435</v>
      </c>
      <c r="AM3725" s="1"/>
    </row>
    <row r="3726" spans="1:39" x14ac:dyDescent="0.35">
      <c r="A3726">
        <v>3722</v>
      </c>
      <c r="B3726">
        <v>3723</v>
      </c>
      <c r="F3726" s="64"/>
      <c r="G3726" s="64"/>
      <c r="H3726" s="64" t="s">
        <v>26</v>
      </c>
      <c r="I3726" s="64"/>
      <c r="N3726" s="4"/>
      <c r="AG3726" t="s">
        <v>3436</v>
      </c>
      <c r="AM3726" s="1"/>
    </row>
    <row r="3727" spans="1:39" x14ac:dyDescent="0.35">
      <c r="A3727">
        <v>3723</v>
      </c>
      <c r="B3727">
        <v>3724</v>
      </c>
      <c r="F3727" s="64"/>
      <c r="G3727" s="64"/>
      <c r="H3727" s="64" t="s">
        <v>26</v>
      </c>
      <c r="I3727" s="64"/>
      <c r="N3727" s="4"/>
      <c r="AG3727" t="s">
        <v>3437</v>
      </c>
      <c r="AM3727" s="1"/>
    </row>
    <row r="3728" spans="1:39" x14ac:dyDescent="0.35">
      <c r="A3728">
        <v>3724</v>
      </c>
      <c r="B3728">
        <v>3725</v>
      </c>
      <c r="F3728" s="64"/>
      <c r="G3728" s="64"/>
      <c r="H3728" s="64" t="s">
        <v>26</v>
      </c>
      <c r="I3728" s="64"/>
      <c r="N3728" s="4"/>
      <c r="AG3728" t="s">
        <v>3438</v>
      </c>
      <c r="AM3728" s="1"/>
    </row>
    <row r="3729" spans="1:39" x14ac:dyDescent="0.35">
      <c r="A3729">
        <v>3725</v>
      </c>
      <c r="B3729">
        <v>3726</v>
      </c>
      <c r="F3729" s="64"/>
      <c r="G3729" s="64"/>
      <c r="H3729" s="64" t="s">
        <v>26</v>
      </c>
      <c r="I3729" s="64"/>
      <c r="N3729" s="4"/>
      <c r="AG3729" t="s">
        <v>3439</v>
      </c>
      <c r="AM3729" s="1"/>
    </row>
    <row r="3730" spans="1:39" x14ac:dyDescent="0.35">
      <c r="A3730">
        <v>3726</v>
      </c>
      <c r="B3730">
        <v>3727</v>
      </c>
      <c r="F3730" s="64"/>
      <c r="G3730" s="64"/>
      <c r="H3730" s="64" t="s">
        <v>26</v>
      </c>
      <c r="I3730" s="64"/>
      <c r="N3730" s="4"/>
      <c r="AG3730" t="s">
        <v>3440</v>
      </c>
      <c r="AM3730" s="1"/>
    </row>
    <row r="3731" spans="1:39" x14ac:dyDescent="0.35">
      <c r="A3731">
        <v>3727</v>
      </c>
      <c r="B3731">
        <v>3728</v>
      </c>
      <c r="F3731" s="64"/>
      <c r="G3731" s="64"/>
      <c r="H3731" s="64" t="s">
        <v>26</v>
      </c>
      <c r="I3731" s="64"/>
      <c r="N3731" s="4"/>
      <c r="AG3731" t="s">
        <v>77</v>
      </c>
      <c r="AM3731" s="1"/>
    </row>
    <row r="3732" spans="1:39" x14ac:dyDescent="0.35">
      <c r="A3732">
        <v>3728</v>
      </c>
      <c r="B3732">
        <v>3729</v>
      </c>
      <c r="F3732" s="64"/>
      <c r="G3732" s="64"/>
      <c r="H3732" s="64" t="s">
        <v>26</v>
      </c>
      <c r="I3732" s="64"/>
      <c r="N3732" s="4"/>
      <c r="AG3732" t="s">
        <v>77</v>
      </c>
      <c r="AM3732" s="1"/>
    </row>
    <row r="3733" spans="1:39" x14ac:dyDescent="0.35">
      <c r="A3733">
        <v>3729</v>
      </c>
      <c r="B3733">
        <v>3730</v>
      </c>
      <c r="F3733" s="64"/>
      <c r="G3733" s="64"/>
      <c r="H3733" s="64" t="s">
        <v>26</v>
      </c>
      <c r="I3733" s="64"/>
      <c r="N3733" s="4"/>
      <c r="AG3733" t="s">
        <v>77</v>
      </c>
      <c r="AM3733" s="1"/>
    </row>
    <row r="3734" spans="1:39" x14ac:dyDescent="0.35">
      <c r="A3734">
        <v>3730</v>
      </c>
      <c r="B3734">
        <v>3731</v>
      </c>
      <c r="F3734" s="64"/>
      <c r="G3734" s="64"/>
      <c r="H3734" s="64" t="s">
        <v>26</v>
      </c>
      <c r="I3734" s="64"/>
      <c r="N3734" s="4"/>
      <c r="AG3734" t="s">
        <v>77</v>
      </c>
      <c r="AM3734" s="1"/>
    </row>
    <row r="3735" spans="1:39" x14ac:dyDescent="0.35">
      <c r="A3735">
        <v>3731</v>
      </c>
      <c r="B3735">
        <v>3732</v>
      </c>
      <c r="F3735" s="64"/>
      <c r="G3735" s="64"/>
      <c r="H3735" s="64" t="s">
        <v>26</v>
      </c>
      <c r="I3735" s="64"/>
      <c r="N3735" s="4"/>
      <c r="AG3735" t="s">
        <v>3441</v>
      </c>
      <c r="AM3735" s="1"/>
    </row>
    <row r="3736" spans="1:39" x14ac:dyDescent="0.35">
      <c r="A3736">
        <v>3732</v>
      </c>
      <c r="B3736">
        <v>3733</v>
      </c>
      <c r="F3736" s="64"/>
      <c r="G3736" s="64"/>
      <c r="H3736" s="64" t="s">
        <v>26</v>
      </c>
      <c r="I3736" s="64"/>
      <c r="N3736" s="4"/>
      <c r="AG3736" t="s">
        <v>3442</v>
      </c>
      <c r="AM3736" s="1"/>
    </row>
    <row r="3737" spans="1:39" x14ac:dyDescent="0.35">
      <c r="A3737">
        <v>3733</v>
      </c>
      <c r="B3737">
        <v>3734</v>
      </c>
      <c r="F3737" s="64"/>
      <c r="G3737" s="64"/>
      <c r="H3737" s="64" t="s">
        <v>26</v>
      </c>
      <c r="I3737" s="64"/>
      <c r="N3737" s="4"/>
      <c r="AG3737" t="s">
        <v>3443</v>
      </c>
      <c r="AM3737" s="1"/>
    </row>
    <row r="3738" spans="1:39" x14ac:dyDescent="0.35">
      <c r="A3738">
        <v>3734</v>
      </c>
      <c r="B3738">
        <v>3735</v>
      </c>
      <c r="F3738" s="64"/>
      <c r="G3738" s="64"/>
      <c r="H3738" s="64" t="s">
        <v>26</v>
      </c>
      <c r="I3738" s="64"/>
      <c r="N3738" s="4"/>
      <c r="AG3738" t="s">
        <v>3444</v>
      </c>
      <c r="AM3738" s="1"/>
    </row>
    <row r="3739" spans="1:39" x14ac:dyDescent="0.35">
      <c r="A3739">
        <v>3735</v>
      </c>
      <c r="B3739">
        <v>3736</v>
      </c>
      <c r="F3739" s="64"/>
      <c r="G3739" s="64"/>
      <c r="H3739" s="64" t="s">
        <v>26</v>
      </c>
      <c r="I3739" s="64"/>
      <c r="N3739" s="4"/>
      <c r="AG3739" t="s">
        <v>3445</v>
      </c>
      <c r="AM3739" s="1"/>
    </row>
    <row r="3740" spans="1:39" x14ac:dyDescent="0.35">
      <c r="A3740">
        <v>3736</v>
      </c>
      <c r="B3740">
        <v>3737</v>
      </c>
      <c r="F3740" s="64"/>
      <c r="G3740" s="64"/>
      <c r="H3740" s="64" t="s">
        <v>26</v>
      </c>
      <c r="I3740" s="64"/>
      <c r="N3740" s="4"/>
      <c r="AG3740" t="s">
        <v>3446</v>
      </c>
      <c r="AM3740" s="1"/>
    </row>
    <row r="3741" spans="1:39" x14ac:dyDescent="0.35">
      <c r="A3741">
        <v>3737</v>
      </c>
      <c r="B3741">
        <v>3738</v>
      </c>
      <c r="F3741" s="64"/>
      <c r="G3741" s="64"/>
      <c r="H3741" s="64" t="s">
        <v>26</v>
      </c>
      <c r="I3741" s="64"/>
      <c r="N3741" s="4"/>
      <c r="AG3741" t="s">
        <v>3447</v>
      </c>
      <c r="AM3741" s="1"/>
    </row>
    <row r="3742" spans="1:39" x14ac:dyDescent="0.35">
      <c r="A3742">
        <v>3738</v>
      </c>
      <c r="B3742">
        <v>3739</v>
      </c>
      <c r="F3742" s="64"/>
      <c r="G3742" s="64"/>
      <c r="H3742" s="64" t="s">
        <v>26</v>
      </c>
      <c r="I3742" s="64"/>
      <c r="N3742" s="4"/>
      <c r="AG3742" t="s">
        <v>3448</v>
      </c>
      <c r="AM3742" s="1"/>
    </row>
    <row r="3743" spans="1:39" x14ac:dyDescent="0.35">
      <c r="A3743">
        <v>3739</v>
      </c>
      <c r="B3743">
        <v>3740</v>
      </c>
      <c r="F3743" s="64"/>
      <c r="G3743" s="64"/>
      <c r="H3743" s="64" t="s">
        <v>26</v>
      </c>
      <c r="I3743" s="64"/>
      <c r="N3743" s="4"/>
      <c r="AG3743" t="s">
        <v>3449</v>
      </c>
      <c r="AM3743" s="1"/>
    </row>
    <row r="3744" spans="1:39" x14ac:dyDescent="0.35">
      <c r="A3744">
        <v>3740</v>
      </c>
      <c r="B3744">
        <v>3741</v>
      </c>
      <c r="F3744" s="64"/>
      <c r="G3744" s="64"/>
      <c r="H3744" s="64" t="s">
        <v>26</v>
      </c>
      <c r="I3744" s="64"/>
      <c r="N3744" s="4"/>
      <c r="AG3744" t="s">
        <v>3450</v>
      </c>
      <c r="AM3744" s="1"/>
    </row>
    <row r="3745" spans="1:39" x14ac:dyDescent="0.35">
      <c r="A3745">
        <v>3741</v>
      </c>
      <c r="B3745">
        <v>3742</v>
      </c>
      <c r="F3745" s="64"/>
      <c r="G3745" s="64"/>
      <c r="H3745" s="64" t="s">
        <v>26</v>
      </c>
      <c r="I3745" s="64"/>
      <c r="N3745" s="4"/>
      <c r="AG3745" t="s">
        <v>3451</v>
      </c>
      <c r="AM3745" s="1"/>
    </row>
    <row r="3746" spans="1:39" x14ac:dyDescent="0.35">
      <c r="A3746">
        <v>3742</v>
      </c>
      <c r="B3746">
        <v>3743</v>
      </c>
      <c r="F3746" s="64"/>
      <c r="G3746" s="64"/>
      <c r="H3746" s="64" t="s">
        <v>26</v>
      </c>
      <c r="I3746" s="64"/>
      <c r="N3746" s="4"/>
      <c r="AG3746" t="s">
        <v>3452</v>
      </c>
      <c r="AM3746" s="1"/>
    </row>
    <row r="3747" spans="1:39" x14ac:dyDescent="0.35">
      <c r="A3747">
        <v>3743</v>
      </c>
      <c r="B3747">
        <v>3744</v>
      </c>
      <c r="F3747" s="64"/>
      <c r="G3747" s="64"/>
      <c r="H3747" s="64" t="s">
        <v>26</v>
      </c>
      <c r="I3747" s="64"/>
      <c r="N3747" s="4"/>
      <c r="AG3747" t="s">
        <v>3453</v>
      </c>
      <c r="AM3747" s="1"/>
    </row>
    <row r="3748" spans="1:39" x14ac:dyDescent="0.35">
      <c r="A3748">
        <v>3744</v>
      </c>
      <c r="B3748">
        <v>3745</v>
      </c>
      <c r="F3748" s="64"/>
      <c r="G3748" s="64"/>
      <c r="H3748" s="64" t="s">
        <v>26</v>
      </c>
      <c r="I3748" s="64"/>
      <c r="N3748" s="4"/>
      <c r="AG3748" t="s">
        <v>3454</v>
      </c>
      <c r="AM3748" s="1"/>
    </row>
    <row r="3749" spans="1:39" x14ac:dyDescent="0.35">
      <c r="A3749">
        <v>3745</v>
      </c>
      <c r="B3749">
        <v>3746</v>
      </c>
      <c r="F3749" s="64"/>
      <c r="G3749" s="64"/>
      <c r="H3749" s="64" t="s">
        <v>26</v>
      </c>
      <c r="I3749" s="64"/>
      <c r="N3749" s="4"/>
      <c r="AG3749" t="s">
        <v>3455</v>
      </c>
      <c r="AM3749" s="1"/>
    </row>
    <row r="3750" spans="1:39" x14ac:dyDescent="0.35">
      <c r="A3750">
        <v>3746</v>
      </c>
      <c r="B3750">
        <v>3747</v>
      </c>
      <c r="F3750" s="64"/>
      <c r="G3750" s="64"/>
      <c r="H3750" s="64" t="s">
        <v>26</v>
      </c>
      <c r="I3750" s="64"/>
      <c r="N3750" s="4"/>
      <c r="AG3750" t="s">
        <v>3456</v>
      </c>
      <c r="AM3750" s="1"/>
    </row>
    <row r="3751" spans="1:39" x14ac:dyDescent="0.35">
      <c r="A3751">
        <v>3747</v>
      </c>
      <c r="B3751">
        <v>3748</v>
      </c>
      <c r="F3751" s="64"/>
      <c r="G3751" s="64"/>
      <c r="H3751" s="64" t="s">
        <v>26</v>
      </c>
      <c r="I3751" s="64"/>
      <c r="N3751" s="4"/>
      <c r="AG3751" t="s">
        <v>3457</v>
      </c>
      <c r="AM3751" s="1"/>
    </row>
    <row r="3752" spans="1:39" x14ac:dyDescent="0.35">
      <c r="A3752">
        <v>3748</v>
      </c>
      <c r="B3752">
        <v>3749</v>
      </c>
      <c r="F3752" s="64"/>
      <c r="G3752" s="64"/>
      <c r="H3752" s="64" t="s">
        <v>26</v>
      </c>
      <c r="I3752" s="64"/>
      <c r="N3752" s="4"/>
      <c r="AG3752" t="s">
        <v>3458</v>
      </c>
      <c r="AM3752" s="1"/>
    </row>
    <row r="3753" spans="1:39" x14ac:dyDescent="0.35">
      <c r="A3753">
        <v>3749</v>
      </c>
      <c r="B3753">
        <v>3750</v>
      </c>
      <c r="F3753" s="64"/>
      <c r="G3753" s="64"/>
      <c r="H3753" s="64" t="s">
        <v>26</v>
      </c>
      <c r="I3753" s="64"/>
      <c r="N3753" s="4"/>
      <c r="AG3753" t="s">
        <v>3459</v>
      </c>
      <c r="AM3753" s="1"/>
    </row>
    <row r="3754" spans="1:39" x14ac:dyDescent="0.35">
      <c r="A3754">
        <v>3750</v>
      </c>
      <c r="B3754">
        <v>3751</v>
      </c>
      <c r="F3754" s="64"/>
      <c r="G3754" s="64"/>
      <c r="H3754" s="64" t="s">
        <v>26</v>
      </c>
      <c r="I3754" s="64"/>
      <c r="N3754" s="4"/>
      <c r="AG3754" t="s">
        <v>3460</v>
      </c>
      <c r="AM3754" s="1"/>
    </row>
    <row r="3755" spans="1:39" x14ac:dyDescent="0.35">
      <c r="A3755">
        <v>3751</v>
      </c>
      <c r="B3755">
        <v>3752</v>
      </c>
      <c r="F3755" s="64"/>
      <c r="G3755" s="64"/>
      <c r="H3755" s="64" t="s">
        <v>26</v>
      </c>
      <c r="I3755" s="64"/>
      <c r="N3755" s="4"/>
      <c r="AG3755" t="s">
        <v>3461</v>
      </c>
      <c r="AM3755" s="1"/>
    </row>
    <row r="3756" spans="1:39" x14ac:dyDescent="0.35">
      <c r="A3756">
        <v>3752</v>
      </c>
      <c r="B3756">
        <v>3753</v>
      </c>
      <c r="F3756" s="64"/>
      <c r="G3756" s="64"/>
      <c r="H3756" s="64" t="s">
        <v>26</v>
      </c>
      <c r="I3756" s="64"/>
      <c r="N3756" s="4"/>
      <c r="AG3756" t="s">
        <v>3462</v>
      </c>
      <c r="AM3756" s="1"/>
    </row>
    <row r="3757" spans="1:39" x14ac:dyDescent="0.35">
      <c r="A3757">
        <v>3753</v>
      </c>
      <c r="B3757">
        <v>3754</v>
      </c>
      <c r="F3757" s="64"/>
      <c r="G3757" s="64"/>
      <c r="H3757" s="64" t="s">
        <v>26</v>
      </c>
      <c r="I3757" s="64"/>
      <c r="N3757" s="4"/>
      <c r="AG3757" t="s">
        <v>3463</v>
      </c>
      <c r="AM3757" s="1"/>
    </row>
    <row r="3758" spans="1:39" x14ac:dyDescent="0.35">
      <c r="A3758">
        <v>3754</v>
      </c>
      <c r="B3758">
        <v>3755</v>
      </c>
      <c r="F3758" s="64"/>
      <c r="G3758" s="64"/>
      <c r="H3758" s="64" t="s">
        <v>26</v>
      </c>
      <c r="I3758" s="64"/>
      <c r="N3758" s="4"/>
      <c r="AG3758" t="s">
        <v>3464</v>
      </c>
      <c r="AM3758" s="1"/>
    </row>
    <row r="3759" spans="1:39" x14ac:dyDescent="0.35">
      <c r="A3759">
        <v>3755</v>
      </c>
      <c r="B3759">
        <v>3756</v>
      </c>
      <c r="F3759" s="64"/>
      <c r="G3759" s="64"/>
      <c r="H3759" s="64" t="s">
        <v>26</v>
      </c>
      <c r="I3759" s="64"/>
      <c r="N3759" s="4"/>
      <c r="AG3759" t="s">
        <v>3465</v>
      </c>
      <c r="AM3759" s="1"/>
    </row>
    <row r="3760" spans="1:39" x14ac:dyDescent="0.35">
      <c r="A3760">
        <v>3756</v>
      </c>
      <c r="B3760">
        <v>3757</v>
      </c>
      <c r="F3760" s="64"/>
      <c r="G3760" s="64"/>
      <c r="H3760" s="64" t="s">
        <v>26</v>
      </c>
      <c r="I3760" s="64"/>
      <c r="N3760" s="4"/>
      <c r="AG3760" t="s">
        <v>3466</v>
      </c>
      <c r="AM3760" s="1"/>
    </row>
    <row r="3761" spans="1:39" x14ac:dyDescent="0.35">
      <c r="A3761">
        <v>3757</v>
      </c>
      <c r="B3761">
        <v>3758</v>
      </c>
      <c r="F3761" s="64"/>
      <c r="G3761" s="64"/>
      <c r="H3761" s="64" t="s">
        <v>26</v>
      </c>
      <c r="I3761" s="64"/>
      <c r="N3761" s="4"/>
      <c r="AG3761" t="s">
        <v>3467</v>
      </c>
      <c r="AM3761" s="1"/>
    </row>
    <row r="3762" spans="1:39" x14ac:dyDescent="0.35">
      <c r="A3762">
        <v>3758</v>
      </c>
      <c r="B3762">
        <v>3759</v>
      </c>
      <c r="F3762" s="64"/>
      <c r="G3762" s="64"/>
      <c r="H3762" s="64" t="s">
        <v>26</v>
      </c>
      <c r="I3762" s="64"/>
      <c r="N3762" s="4"/>
      <c r="AG3762" t="s">
        <v>3468</v>
      </c>
      <c r="AM3762" s="1"/>
    </row>
    <row r="3763" spans="1:39" x14ac:dyDescent="0.35">
      <c r="A3763">
        <v>3759</v>
      </c>
      <c r="B3763">
        <v>3760</v>
      </c>
      <c r="F3763" s="64"/>
      <c r="G3763" s="64"/>
      <c r="H3763" s="64" t="s">
        <v>26</v>
      </c>
      <c r="I3763" s="64"/>
      <c r="N3763" s="4"/>
      <c r="AG3763" t="s">
        <v>3469</v>
      </c>
      <c r="AM3763" s="1"/>
    </row>
    <row r="3764" spans="1:39" x14ac:dyDescent="0.35">
      <c r="A3764">
        <v>3760</v>
      </c>
      <c r="B3764">
        <v>3761</v>
      </c>
      <c r="F3764" s="64"/>
      <c r="G3764" s="64"/>
      <c r="H3764" s="64" t="s">
        <v>26</v>
      </c>
      <c r="I3764" s="64"/>
      <c r="N3764" s="4"/>
      <c r="AG3764" t="s">
        <v>3470</v>
      </c>
      <c r="AM3764" s="1"/>
    </row>
    <row r="3765" spans="1:39" x14ac:dyDescent="0.35">
      <c r="A3765">
        <v>3761</v>
      </c>
      <c r="B3765">
        <v>3762</v>
      </c>
      <c r="F3765" s="64"/>
      <c r="G3765" s="64"/>
      <c r="H3765" s="64" t="s">
        <v>26</v>
      </c>
      <c r="I3765" s="64"/>
      <c r="N3765" s="4"/>
      <c r="AG3765" t="s">
        <v>3471</v>
      </c>
      <c r="AM3765" s="1"/>
    </row>
    <row r="3766" spans="1:39" x14ac:dyDescent="0.35">
      <c r="A3766">
        <v>3762</v>
      </c>
      <c r="B3766">
        <v>3763</v>
      </c>
      <c r="F3766" s="64"/>
      <c r="G3766" s="64"/>
      <c r="H3766" s="64" t="s">
        <v>26</v>
      </c>
      <c r="I3766" s="64"/>
      <c r="N3766" s="4"/>
      <c r="AG3766" t="s">
        <v>3472</v>
      </c>
      <c r="AM3766" s="1"/>
    </row>
    <row r="3767" spans="1:39" x14ac:dyDescent="0.35">
      <c r="A3767">
        <v>3763</v>
      </c>
      <c r="B3767">
        <v>3764</v>
      </c>
      <c r="F3767" s="64"/>
      <c r="G3767" s="64"/>
      <c r="H3767" s="64" t="s">
        <v>26</v>
      </c>
      <c r="I3767" s="64"/>
      <c r="N3767" s="4"/>
      <c r="AG3767" t="s">
        <v>3473</v>
      </c>
      <c r="AM3767" s="1"/>
    </row>
    <row r="3768" spans="1:39" x14ac:dyDescent="0.35">
      <c r="A3768">
        <v>3764</v>
      </c>
      <c r="B3768">
        <v>3765</v>
      </c>
      <c r="F3768" s="64"/>
      <c r="G3768" s="64"/>
      <c r="H3768" s="64" t="s">
        <v>26</v>
      </c>
      <c r="I3768" s="64"/>
      <c r="N3768" s="4"/>
      <c r="AG3768" t="s">
        <v>3474</v>
      </c>
      <c r="AM3768" s="1"/>
    </row>
    <row r="3769" spans="1:39" x14ac:dyDescent="0.35">
      <c r="A3769">
        <v>3765</v>
      </c>
      <c r="B3769">
        <v>3766</v>
      </c>
      <c r="F3769" s="64"/>
      <c r="G3769" s="64"/>
      <c r="H3769" s="64" t="s">
        <v>26</v>
      </c>
      <c r="I3769" s="64"/>
      <c r="N3769" s="4"/>
      <c r="AG3769" t="s">
        <v>3475</v>
      </c>
      <c r="AM3769" s="1"/>
    </row>
    <row r="3770" spans="1:39" x14ac:dyDescent="0.35">
      <c r="A3770">
        <v>3766</v>
      </c>
      <c r="B3770">
        <v>3767</v>
      </c>
      <c r="F3770" s="64"/>
      <c r="G3770" s="64"/>
      <c r="H3770" s="64" t="s">
        <v>26</v>
      </c>
      <c r="I3770" s="64"/>
      <c r="N3770" s="4"/>
      <c r="AG3770" t="s">
        <v>3476</v>
      </c>
      <c r="AM3770" s="1"/>
    </row>
    <row r="3771" spans="1:39" x14ac:dyDescent="0.35">
      <c r="A3771">
        <v>3767</v>
      </c>
      <c r="B3771">
        <v>3768</v>
      </c>
      <c r="F3771" s="64"/>
      <c r="G3771" s="64"/>
      <c r="H3771" s="64" t="s">
        <v>26</v>
      </c>
      <c r="I3771" s="64"/>
      <c r="N3771" s="4"/>
      <c r="AG3771" t="s">
        <v>3477</v>
      </c>
      <c r="AM3771" s="1"/>
    </row>
    <row r="3772" spans="1:39" x14ac:dyDescent="0.35">
      <c r="A3772">
        <v>3768</v>
      </c>
      <c r="B3772">
        <v>3769</v>
      </c>
      <c r="F3772" s="64"/>
      <c r="G3772" s="64"/>
      <c r="H3772" s="64" t="s">
        <v>26</v>
      </c>
      <c r="I3772" s="64"/>
      <c r="N3772" s="4"/>
      <c r="AG3772" t="s">
        <v>3478</v>
      </c>
      <c r="AM3772" s="1"/>
    </row>
    <row r="3773" spans="1:39" x14ac:dyDescent="0.35">
      <c r="A3773">
        <v>3769</v>
      </c>
      <c r="B3773">
        <v>3770</v>
      </c>
      <c r="F3773" s="64"/>
      <c r="G3773" s="64"/>
      <c r="H3773" s="64" t="s">
        <v>26</v>
      </c>
      <c r="I3773" s="64"/>
      <c r="N3773" s="4"/>
      <c r="AG3773" t="s">
        <v>3479</v>
      </c>
      <c r="AM3773" s="1"/>
    </row>
    <row r="3774" spans="1:39" x14ac:dyDescent="0.35">
      <c r="A3774">
        <v>3770</v>
      </c>
      <c r="B3774">
        <v>3771</v>
      </c>
      <c r="F3774" s="64"/>
      <c r="G3774" s="64"/>
      <c r="H3774" s="64" t="s">
        <v>26</v>
      </c>
      <c r="I3774" s="64"/>
      <c r="N3774" s="4"/>
      <c r="AG3774" t="s">
        <v>3480</v>
      </c>
      <c r="AM3774" s="1"/>
    </row>
    <row r="3775" spans="1:39" x14ac:dyDescent="0.35">
      <c r="A3775">
        <v>3771</v>
      </c>
      <c r="B3775">
        <v>3772</v>
      </c>
      <c r="F3775" s="64"/>
      <c r="G3775" s="64"/>
      <c r="H3775" s="64" t="s">
        <v>26</v>
      </c>
      <c r="I3775" s="64"/>
      <c r="N3775" s="4"/>
      <c r="AG3775" t="s">
        <v>3481</v>
      </c>
      <c r="AM3775" s="1"/>
    </row>
    <row r="3776" spans="1:39" x14ac:dyDescent="0.35">
      <c r="A3776">
        <v>3772</v>
      </c>
      <c r="B3776">
        <v>3773</v>
      </c>
      <c r="F3776" s="64"/>
      <c r="G3776" s="64"/>
      <c r="H3776" s="64" t="s">
        <v>26</v>
      </c>
      <c r="I3776" s="64"/>
      <c r="N3776" s="4"/>
      <c r="AG3776" t="s">
        <v>3482</v>
      </c>
      <c r="AM3776" s="1"/>
    </row>
    <row r="3777" spans="1:39" x14ac:dyDescent="0.35">
      <c r="A3777">
        <v>3773</v>
      </c>
      <c r="B3777">
        <v>3774</v>
      </c>
      <c r="F3777" s="64"/>
      <c r="G3777" s="64"/>
      <c r="H3777" s="64" t="s">
        <v>26</v>
      </c>
      <c r="I3777" s="64"/>
      <c r="N3777" s="4"/>
      <c r="AG3777" t="s">
        <v>3483</v>
      </c>
      <c r="AM3777" s="1"/>
    </row>
    <row r="3778" spans="1:39" x14ac:dyDescent="0.35">
      <c r="A3778">
        <v>3774</v>
      </c>
      <c r="B3778">
        <v>3775</v>
      </c>
      <c r="F3778" s="64"/>
      <c r="G3778" s="64"/>
      <c r="H3778" s="64" t="s">
        <v>26</v>
      </c>
      <c r="I3778" s="64"/>
      <c r="N3778" s="4"/>
      <c r="AG3778" t="s">
        <v>3484</v>
      </c>
      <c r="AM3778" s="1"/>
    </row>
    <row r="3779" spans="1:39" x14ac:dyDescent="0.35">
      <c r="A3779">
        <v>3775</v>
      </c>
      <c r="B3779">
        <v>3776</v>
      </c>
      <c r="F3779" s="64"/>
      <c r="G3779" s="64"/>
      <c r="H3779" s="64" t="s">
        <v>26</v>
      </c>
      <c r="I3779" s="64"/>
      <c r="N3779" s="4"/>
      <c r="AG3779" t="s">
        <v>3485</v>
      </c>
      <c r="AM3779" s="1"/>
    </row>
    <row r="3780" spans="1:39" x14ac:dyDescent="0.35">
      <c r="A3780">
        <v>3776</v>
      </c>
      <c r="B3780">
        <v>3777</v>
      </c>
      <c r="F3780" s="64"/>
      <c r="G3780" s="64"/>
      <c r="H3780" s="64" t="s">
        <v>26</v>
      </c>
      <c r="I3780" s="64"/>
      <c r="N3780" s="4"/>
      <c r="AG3780" t="s">
        <v>3486</v>
      </c>
      <c r="AM3780" s="1"/>
    </row>
    <row r="3781" spans="1:39" x14ac:dyDescent="0.35">
      <c r="A3781">
        <v>3777</v>
      </c>
      <c r="B3781">
        <v>3778</v>
      </c>
      <c r="F3781" s="64"/>
      <c r="G3781" s="64"/>
      <c r="H3781" s="64" t="s">
        <v>26</v>
      </c>
      <c r="I3781" s="64"/>
      <c r="N3781" s="4"/>
      <c r="AG3781" t="s">
        <v>3487</v>
      </c>
      <c r="AM3781" s="1"/>
    </row>
    <row r="3782" spans="1:39" x14ac:dyDescent="0.35">
      <c r="A3782">
        <v>3778</v>
      </c>
      <c r="B3782">
        <v>3779</v>
      </c>
      <c r="F3782" s="64"/>
      <c r="G3782" s="64"/>
      <c r="H3782" s="64" t="s">
        <v>26</v>
      </c>
      <c r="I3782" s="64"/>
      <c r="N3782" s="4"/>
      <c r="AG3782" t="s">
        <v>3488</v>
      </c>
      <c r="AM3782" s="1"/>
    </row>
    <row r="3783" spans="1:39" x14ac:dyDescent="0.35">
      <c r="A3783">
        <v>3779</v>
      </c>
      <c r="B3783">
        <v>3780</v>
      </c>
      <c r="F3783" s="64"/>
      <c r="G3783" s="64"/>
      <c r="H3783" s="64" t="s">
        <v>26</v>
      </c>
      <c r="I3783" s="64"/>
      <c r="N3783" s="4"/>
      <c r="AG3783" t="s">
        <v>3489</v>
      </c>
      <c r="AM3783" s="1"/>
    </row>
    <row r="3784" spans="1:39" x14ac:dyDescent="0.35">
      <c r="A3784">
        <v>3780</v>
      </c>
      <c r="B3784">
        <v>3781</v>
      </c>
      <c r="F3784" s="64"/>
      <c r="G3784" s="64"/>
      <c r="H3784" s="64" t="s">
        <v>26</v>
      </c>
      <c r="I3784" s="64"/>
      <c r="N3784" s="4"/>
      <c r="AG3784" t="s">
        <v>3490</v>
      </c>
      <c r="AM3784" s="1"/>
    </row>
    <row r="3785" spans="1:39" x14ac:dyDescent="0.35">
      <c r="A3785">
        <v>3781</v>
      </c>
      <c r="B3785">
        <v>3782</v>
      </c>
      <c r="F3785" s="64"/>
      <c r="G3785" s="64"/>
      <c r="H3785" s="64" t="s">
        <v>26</v>
      </c>
      <c r="I3785" s="64"/>
      <c r="N3785" s="4"/>
      <c r="AG3785" t="s">
        <v>3491</v>
      </c>
      <c r="AM3785" s="1"/>
    </row>
    <row r="3786" spans="1:39" x14ac:dyDescent="0.35">
      <c r="A3786">
        <v>3782</v>
      </c>
      <c r="B3786">
        <v>3783</v>
      </c>
      <c r="F3786" s="64"/>
      <c r="G3786" s="64"/>
      <c r="H3786" s="64" t="s">
        <v>26</v>
      </c>
      <c r="I3786" s="64"/>
      <c r="N3786" s="4"/>
      <c r="AG3786" t="s">
        <v>3492</v>
      </c>
      <c r="AM3786" s="1"/>
    </row>
    <row r="3787" spans="1:39" x14ac:dyDescent="0.35">
      <c r="A3787">
        <v>3783</v>
      </c>
      <c r="B3787">
        <v>3784</v>
      </c>
      <c r="F3787" s="64"/>
      <c r="G3787" s="64"/>
      <c r="H3787" s="64" t="s">
        <v>26</v>
      </c>
      <c r="I3787" s="64"/>
      <c r="N3787" s="4"/>
      <c r="AG3787" t="s">
        <v>3493</v>
      </c>
      <c r="AM3787" s="1"/>
    </row>
    <row r="3788" spans="1:39" x14ac:dyDescent="0.35">
      <c r="A3788">
        <v>3784</v>
      </c>
      <c r="B3788">
        <v>3785</v>
      </c>
      <c r="F3788" s="64"/>
      <c r="G3788" s="64"/>
      <c r="H3788" s="64" t="s">
        <v>26</v>
      </c>
      <c r="I3788" s="64"/>
      <c r="N3788" s="4"/>
      <c r="AG3788" t="s">
        <v>3494</v>
      </c>
      <c r="AM3788" s="1"/>
    </row>
    <row r="3789" spans="1:39" x14ac:dyDescent="0.35">
      <c r="A3789">
        <v>3785</v>
      </c>
      <c r="B3789">
        <v>3786</v>
      </c>
      <c r="F3789" s="64"/>
      <c r="G3789" s="64"/>
      <c r="H3789" s="64" t="s">
        <v>26</v>
      </c>
      <c r="I3789" s="64"/>
      <c r="N3789" s="4"/>
      <c r="AG3789" t="s">
        <v>3495</v>
      </c>
      <c r="AM3789" s="1"/>
    </row>
    <row r="3790" spans="1:39" x14ac:dyDescent="0.35">
      <c r="A3790">
        <v>3786</v>
      </c>
      <c r="B3790">
        <v>3787</v>
      </c>
      <c r="F3790" s="64"/>
      <c r="G3790" s="64"/>
      <c r="H3790" s="64" t="s">
        <v>26</v>
      </c>
      <c r="I3790" s="64"/>
      <c r="N3790" s="4"/>
      <c r="AG3790" t="s">
        <v>3496</v>
      </c>
      <c r="AM3790" s="1"/>
    </row>
    <row r="3791" spans="1:39" x14ac:dyDescent="0.35">
      <c r="A3791">
        <v>3787</v>
      </c>
      <c r="B3791">
        <v>3788</v>
      </c>
      <c r="F3791" s="64"/>
      <c r="G3791" s="64"/>
      <c r="H3791" s="64" t="s">
        <v>26</v>
      </c>
      <c r="I3791" s="64"/>
      <c r="N3791" s="4"/>
      <c r="AG3791" t="s">
        <v>3497</v>
      </c>
      <c r="AM3791" s="1"/>
    </row>
    <row r="3792" spans="1:39" x14ac:dyDescent="0.35">
      <c r="A3792">
        <v>3788</v>
      </c>
      <c r="B3792">
        <v>3789</v>
      </c>
      <c r="F3792" s="64"/>
      <c r="G3792" s="64"/>
      <c r="H3792" s="64" t="s">
        <v>26</v>
      </c>
      <c r="I3792" s="64"/>
      <c r="N3792" s="4"/>
      <c r="AG3792" t="s">
        <v>3498</v>
      </c>
      <c r="AM3792" s="1"/>
    </row>
    <row r="3793" spans="1:39" x14ac:dyDescent="0.35">
      <c r="A3793">
        <v>3789</v>
      </c>
      <c r="B3793">
        <v>3790</v>
      </c>
      <c r="F3793" s="64"/>
      <c r="G3793" s="64"/>
      <c r="H3793" s="64" t="s">
        <v>26</v>
      </c>
      <c r="I3793" s="64"/>
      <c r="N3793" s="4"/>
      <c r="AG3793" t="s">
        <v>3499</v>
      </c>
      <c r="AM3793" s="1"/>
    </row>
    <row r="3794" spans="1:39" x14ac:dyDescent="0.35">
      <c r="A3794">
        <v>3790</v>
      </c>
      <c r="B3794">
        <v>3791</v>
      </c>
      <c r="F3794" s="64"/>
      <c r="G3794" s="64"/>
      <c r="H3794" s="64" t="s">
        <v>26</v>
      </c>
      <c r="I3794" s="64"/>
      <c r="N3794" s="4"/>
      <c r="AG3794" t="s">
        <v>3500</v>
      </c>
      <c r="AM3794" s="1"/>
    </row>
    <row r="3795" spans="1:39" x14ac:dyDescent="0.35">
      <c r="A3795">
        <v>3791</v>
      </c>
      <c r="B3795">
        <v>3792</v>
      </c>
      <c r="F3795" s="64"/>
      <c r="G3795" s="64"/>
      <c r="H3795" s="64" t="s">
        <v>26</v>
      </c>
      <c r="I3795" s="64"/>
      <c r="N3795" s="4"/>
      <c r="AG3795" t="s">
        <v>3501</v>
      </c>
      <c r="AM3795" s="1"/>
    </row>
    <row r="3796" spans="1:39" x14ac:dyDescent="0.35">
      <c r="A3796">
        <v>3792</v>
      </c>
      <c r="B3796">
        <v>3793</v>
      </c>
      <c r="F3796" s="64"/>
      <c r="G3796" s="64"/>
      <c r="H3796" s="64" t="s">
        <v>26</v>
      </c>
      <c r="I3796" s="64"/>
      <c r="N3796" s="4"/>
      <c r="AG3796" t="s">
        <v>3502</v>
      </c>
      <c r="AM3796" s="1"/>
    </row>
    <row r="3797" spans="1:39" x14ac:dyDescent="0.35">
      <c r="A3797">
        <v>3793</v>
      </c>
      <c r="B3797">
        <v>3794</v>
      </c>
      <c r="F3797" s="64"/>
      <c r="G3797" s="64"/>
      <c r="H3797" s="64" t="s">
        <v>26</v>
      </c>
      <c r="I3797" s="64"/>
      <c r="N3797" s="4"/>
      <c r="AG3797" t="s">
        <v>3503</v>
      </c>
      <c r="AM3797" s="1"/>
    </row>
    <row r="3798" spans="1:39" x14ac:dyDescent="0.35">
      <c r="A3798">
        <v>3794</v>
      </c>
      <c r="B3798">
        <v>3795</v>
      </c>
      <c r="F3798" s="64"/>
      <c r="G3798" s="64"/>
      <c r="H3798" s="64" t="s">
        <v>26</v>
      </c>
      <c r="I3798" s="64"/>
      <c r="N3798" s="4"/>
      <c r="AG3798" t="s">
        <v>3504</v>
      </c>
      <c r="AM3798" s="1"/>
    </row>
    <row r="3799" spans="1:39" x14ac:dyDescent="0.35">
      <c r="A3799">
        <v>3795</v>
      </c>
      <c r="B3799">
        <v>3796</v>
      </c>
      <c r="F3799" s="64"/>
      <c r="G3799" s="64"/>
      <c r="H3799" s="64" t="s">
        <v>26</v>
      </c>
      <c r="I3799" s="64"/>
      <c r="N3799" s="4"/>
      <c r="AG3799" t="s">
        <v>3505</v>
      </c>
      <c r="AM3799" s="1"/>
    </row>
    <row r="3800" spans="1:39" x14ac:dyDescent="0.35">
      <c r="A3800">
        <v>3796</v>
      </c>
      <c r="B3800">
        <v>3797</v>
      </c>
      <c r="F3800" s="64"/>
      <c r="G3800" s="64"/>
      <c r="H3800" s="64" t="s">
        <v>26</v>
      </c>
      <c r="I3800" s="64"/>
      <c r="N3800" s="4"/>
      <c r="AG3800" t="s">
        <v>3506</v>
      </c>
      <c r="AM3800" s="1"/>
    </row>
    <row r="3801" spans="1:39" x14ac:dyDescent="0.35">
      <c r="A3801">
        <v>3797</v>
      </c>
      <c r="B3801">
        <v>3798</v>
      </c>
      <c r="F3801" s="64"/>
      <c r="G3801" s="64"/>
      <c r="H3801" s="64" t="s">
        <v>26</v>
      </c>
      <c r="I3801" s="64"/>
      <c r="N3801" s="4"/>
      <c r="AG3801" t="s">
        <v>3507</v>
      </c>
      <c r="AM3801" s="1"/>
    </row>
    <row r="3802" spans="1:39" x14ac:dyDescent="0.35">
      <c r="A3802">
        <v>3798</v>
      </c>
      <c r="B3802">
        <v>3799</v>
      </c>
      <c r="F3802" s="64"/>
      <c r="G3802" s="64"/>
      <c r="H3802" s="64" t="s">
        <v>26</v>
      </c>
      <c r="I3802" s="64"/>
      <c r="N3802" s="4"/>
      <c r="AG3802" t="s">
        <v>3508</v>
      </c>
      <c r="AM3802" s="1"/>
    </row>
    <row r="3803" spans="1:39" x14ac:dyDescent="0.35">
      <c r="A3803">
        <v>3799</v>
      </c>
      <c r="B3803">
        <v>3800</v>
      </c>
      <c r="F3803" s="64"/>
      <c r="G3803" s="64"/>
      <c r="H3803" s="64" t="s">
        <v>26</v>
      </c>
      <c r="I3803" s="64"/>
      <c r="N3803" s="4"/>
      <c r="AG3803" t="s">
        <v>3509</v>
      </c>
      <c r="AM3803" s="1"/>
    </row>
    <row r="3804" spans="1:39" x14ac:dyDescent="0.35">
      <c r="A3804">
        <v>3800</v>
      </c>
      <c r="B3804">
        <v>3801</v>
      </c>
      <c r="F3804" s="64"/>
      <c r="G3804" s="64"/>
      <c r="H3804" s="64" t="s">
        <v>26</v>
      </c>
      <c r="I3804" s="64"/>
      <c r="N3804" s="4"/>
      <c r="AG3804" t="s">
        <v>3510</v>
      </c>
      <c r="AM3804" s="1"/>
    </row>
    <row r="3805" spans="1:39" x14ac:dyDescent="0.35">
      <c r="A3805">
        <v>3801</v>
      </c>
      <c r="B3805">
        <v>3802</v>
      </c>
      <c r="F3805" s="64"/>
      <c r="G3805" s="64"/>
      <c r="H3805" s="64" t="s">
        <v>26</v>
      </c>
      <c r="I3805" s="64"/>
      <c r="N3805" s="4"/>
      <c r="AG3805" t="s">
        <v>3511</v>
      </c>
      <c r="AM3805" s="1"/>
    </row>
    <row r="3806" spans="1:39" x14ac:dyDescent="0.35">
      <c r="A3806">
        <v>3802</v>
      </c>
      <c r="B3806">
        <v>3803</v>
      </c>
      <c r="F3806" s="64"/>
      <c r="G3806" s="64"/>
      <c r="H3806" s="64" t="s">
        <v>26</v>
      </c>
      <c r="I3806" s="64"/>
      <c r="N3806" s="4"/>
      <c r="AG3806" t="s">
        <v>3512</v>
      </c>
      <c r="AM3806" s="1"/>
    </row>
    <row r="3807" spans="1:39" x14ac:dyDescent="0.35">
      <c r="A3807">
        <v>3803</v>
      </c>
      <c r="B3807">
        <v>3804</v>
      </c>
      <c r="F3807" s="64"/>
      <c r="G3807" s="64"/>
      <c r="H3807" s="64" t="s">
        <v>26</v>
      </c>
      <c r="I3807" s="64"/>
      <c r="N3807" s="4"/>
      <c r="AG3807" t="s">
        <v>3513</v>
      </c>
      <c r="AM3807" s="1"/>
    </row>
    <row r="3808" spans="1:39" x14ac:dyDescent="0.35">
      <c r="A3808">
        <v>3804</v>
      </c>
      <c r="B3808">
        <v>3805</v>
      </c>
      <c r="F3808" s="64"/>
      <c r="G3808" s="64"/>
      <c r="H3808" s="64" t="s">
        <v>26</v>
      </c>
      <c r="I3808" s="64"/>
      <c r="N3808" s="4"/>
      <c r="AG3808" t="s">
        <v>3514</v>
      </c>
      <c r="AM3808" s="1"/>
    </row>
    <row r="3809" spans="1:39" x14ac:dyDescent="0.35">
      <c r="A3809">
        <v>3805</v>
      </c>
      <c r="B3809">
        <v>3806</v>
      </c>
      <c r="F3809" s="64"/>
      <c r="G3809" s="64"/>
      <c r="H3809" s="64" t="s">
        <v>26</v>
      </c>
      <c r="I3809" s="64"/>
      <c r="N3809" s="4"/>
      <c r="AG3809" t="s">
        <v>3515</v>
      </c>
      <c r="AM3809" s="1"/>
    </row>
    <row r="3810" spans="1:39" x14ac:dyDescent="0.35">
      <c r="A3810">
        <v>3806</v>
      </c>
      <c r="B3810">
        <v>3807</v>
      </c>
      <c r="F3810" s="64"/>
      <c r="G3810" s="64"/>
      <c r="H3810" s="64" t="s">
        <v>26</v>
      </c>
      <c r="I3810" s="64"/>
      <c r="N3810" s="4"/>
      <c r="AG3810" t="s">
        <v>3516</v>
      </c>
      <c r="AM3810" s="1"/>
    </row>
    <row r="3811" spans="1:39" x14ac:dyDescent="0.35">
      <c r="A3811">
        <v>3807</v>
      </c>
      <c r="B3811">
        <v>3808</v>
      </c>
      <c r="F3811" s="64"/>
      <c r="G3811" s="64"/>
      <c r="H3811" s="64" t="s">
        <v>26</v>
      </c>
      <c r="I3811" s="64"/>
      <c r="N3811" s="4"/>
      <c r="AG3811" t="s">
        <v>3517</v>
      </c>
      <c r="AM3811" s="1"/>
    </row>
    <row r="3812" spans="1:39" x14ac:dyDescent="0.35">
      <c r="A3812">
        <v>3808</v>
      </c>
      <c r="B3812">
        <v>3809</v>
      </c>
      <c r="F3812" s="64"/>
      <c r="G3812" s="64"/>
      <c r="H3812" s="64" t="s">
        <v>26</v>
      </c>
      <c r="I3812" s="64"/>
      <c r="N3812" s="4"/>
      <c r="AG3812" t="s">
        <v>3518</v>
      </c>
      <c r="AM3812" s="1"/>
    </row>
    <row r="3813" spans="1:39" x14ac:dyDescent="0.35">
      <c r="A3813">
        <v>3809</v>
      </c>
      <c r="B3813">
        <v>3810</v>
      </c>
      <c r="F3813" s="64"/>
      <c r="G3813" s="64"/>
      <c r="H3813" s="64" t="s">
        <v>26</v>
      </c>
      <c r="I3813" s="64"/>
      <c r="N3813" s="4"/>
      <c r="AG3813" t="s">
        <v>3519</v>
      </c>
      <c r="AM3813" s="1"/>
    </row>
    <row r="3814" spans="1:39" x14ac:dyDescent="0.35">
      <c r="A3814">
        <v>3810</v>
      </c>
      <c r="B3814">
        <v>3811</v>
      </c>
      <c r="F3814" s="64"/>
      <c r="G3814" s="64"/>
      <c r="H3814" s="64" t="s">
        <v>26</v>
      </c>
      <c r="I3814" s="64"/>
      <c r="N3814" s="4"/>
      <c r="AG3814" t="s">
        <v>3520</v>
      </c>
      <c r="AM3814" s="1"/>
    </row>
    <row r="3815" spans="1:39" x14ac:dyDescent="0.35">
      <c r="A3815">
        <v>3811</v>
      </c>
      <c r="B3815">
        <v>3812</v>
      </c>
      <c r="F3815" s="64"/>
      <c r="G3815" s="64"/>
      <c r="H3815" s="64" t="s">
        <v>26</v>
      </c>
      <c r="I3815" s="64"/>
      <c r="N3815" s="4"/>
      <c r="AG3815" t="s">
        <v>3521</v>
      </c>
      <c r="AM3815" s="1"/>
    </row>
    <row r="3816" spans="1:39" x14ac:dyDescent="0.35">
      <c r="A3816">
        <v>3812</v>
      </c>
      <c r="B3816">
        <v>3813</v>
      </c>
      <c r="F3816" s="64"/>
      <c r="G3816" s="64"/>
      <c r="H3816" s="64" t="s">
        <v>26</v>
      </c>
      <c r="I3816" s="64"/>
      <c r="N3816" s="4"/>
      <c r="AG3816" t="s">
        <v>3522</v>
      </c>
      <c r="AM3816" s="1"/>
    </row>
    <row r="3817" spans="1:39" x14ac:dyDescent="0.35">
      <c r="A3817">
        <v>3813</v>
      </c>
      <c r="B3817">
        <v>3814</v>
      </c>
      <c r="F3817" s="64"/>
      <c r="G3817" s="64"/>
      <c r="H3817" s="64" t="s">
        <v>26</v>
      </c>
      <c r="I3817" s="64"/>
      <c r="N3817" s="4"/>
      <c r="AG3817" t="s">
        <v>3523</v>
      </c>
      <c r="AM3817" s="1" t="str">
        <f t="shared" ref="AM3817:AM3880" si="206">HYPERLINK("E:\CAFNEC_GBRF\2023\JohnstoneRiver\Frames_for_Analysis\" &amp; F3818, F3818)</f>
        <v>3815_C0005_3032.jpg</v>
      </c>
    </row>
    <row r="3818" spans="1:39" x14ac:dyDescent="0.35">
      <c r="A3818">
        <v>3814</v>
      </c>
      <c r="B3818">
        <v>3815</v>
      </c>
      <c r="F3818" s="64" t="s">
        <v>6130</v>
      </c>
      <c r="G3818" s="64"/>
      <c r="H3818" s="64"/>
      <c r="I3818" s="64">
        <v>0</v>
      </c>
      <c r="N3818" s="4">
        <v>0</v>
      </c>
      <c r="O3818" s="58">
        <v>0</v>
      </c>
      <c r="P3818" s="58">
        <v>0</v>
      </c>
      <c r="Q3818" s="58">
        <v>0</v>
      </c>
      <c r="R3818" s="58">
        <v>0</v>
      </c>
      <c r="S3818" s="58">
        <v>0</v>
      </c>
      <c r="T3818" s="58">
        <v>0</v>
      </c>
      <c r="U3818" s="58">
        <v>0</v>
      </c>
      <c r="V3818" s="58">
        <v>0</v>
      </c>
      <c r="AG3818" t="s">
        <v>3524</v>
      </c>
      <c r="AM3818" s="1" t="str">
        <f t="shared" si="206"/>
        <v>3816_C0005_3030.jpg</v>
      </c>
    </row>
    <row r="3819" spans="1:39" x14ac:dyDescent="0.35">
      <c r="A3819">
        <v>3815</v>
      </c>
      <c r="B3819">
        <v>3816</v>
      </c>
      <c r="F3819" s="64" t="s">
        <v>6131</v>
      </c>
      <c r="G3819" s="64"/>
      <c r="H3819" s="64"/>
      <c r="I3819" s="64">
        <v>0</v>
      </c>
      <c r="N3819" s="4">
        <v>0</v>
      </c>
      <c r="O3819" s="58">
        <v>0</v>
      </c>
      <c r="P3819" s="58">
        <v>0</v>
      </c>
      <c r="Q3819" s="58">
        <v>0</v>
      </c>
      <c r="R3819" s="58">
        <v>0</v>
      </c>
      <c r="S3819" s="58">
        <v>0</v>
      </c>
      <c r="T3819" s="58">
        <v>0</v>
      </c>
      <c r="U3819" s="58">
        <v>0</v>
      </c>
      <c r="V3819" s="58">
        <v>0</v>
      </c>
      <c r="AG3819" t="s">
        <v>3525</v>
      </c>
      <c r="AM3819" s="1" t="str">
        <f t="shared" si="206"/>
        <v>3817_C0005_3026.jpg</v>
      </c>
    </row>
    <row r="3820" spans="1:39" x14ac:dyDescent="0.35">
      <c r="A3820">
        <v>3816</v>
      </c>
      <c r="B3820">
        <v>3817</v>
      </c>
      <c r="F3820" s="64" t="s">
        <v>6132</v>
      </c>
      <c r="G3820" s="64"/>
      <c r="H3820" s="64"/>
      <c r="I3820" s="64">
        <v>0</v>
      </c>
      <c r="N3820" s="4">
        <v>0</v>
      </c>
      <c r="O3820" s="58">
        <v>0</v>
      </c>
      <c r="P3820" s="58">
        <v>0</v>
      </c>
      <c r="Q3820" s="58">
        <v>0</v>
      </c>
      <c r="R3820" s="58">
        <v>0</v>
      </c>
      <c r="S3820" s="58">
        <v>0</v>
      </c>
      <c r="T3820" s="58">
        <v>0</v>
      </c>
      <c r="U3820" s="58">
        <v>0</v>
      </c>
      <c r="V3820" s="58">
        <v>0</v>
      </c>
      <c r="AG3820" t="s">
        <v>3526</v>
      </c>
      <c r="AM3820" s="1" t="str">
        <f t="shared" si="206"/>
        <v>3818_C0005_3022.jpg</v>
      </c>
    </row>
    <row r="3821" spans="1:39" x14ac:dyDescent="0.35">
      <c r="A3821">
        <v>3817</v>
      </c>
      <c r="B3821">
        <v>3818</v>
      </c>
      <c r="F3821" s="64" t="s">
        <v>6133</v>
      </c>
      <c r="G3821" s="64"/>
      <c r="H3821" s="64"/>
      <c r="I3821" s="64">
        <v>0</v>
      </c>
      <c r="N3821" s="4">
        <v>0</v>
      </c>
      <c r="O3821" s="58">
        <v>0</v>
      </c>
      <c r="P3821" s="58">
        <v>0</v>
      </c>
      <c r="Q3821" s="58">
        <v>0</v>
      </c>
      <c r="R3821" s="58">
        <v>0</v>
      </c>
      <c r="S3821" s="58">
        <v>0</v>
      </c>
      <c r="T3821" s="58">
        <v>0</v>
      </c>
      <c r="U3821" s="58">
        <v>0</v>
      </c>
      <c r="V3821" s="58">
        <v>0</v>
      </c>
      <c r="AG3821" t="s">
        <v>3527</v>
      </c>
      <c r="AM3821" s="1" t="str">
        <f t="shared" si="206"/>
        <v>3819_C0005_3018.jpg</v>
      </c>
    </row>
    <row r="3822" spans="1:39" x14ac:dyDescent="0.35">
      <c r="A3822">
        <v>3818</v>
      </c>
      <c r="B3822">
        <v>3819</v>
      </c>
      <c r="F3822" s="64" t="s">
        <v>6134</v>
      </c>
      <c r="G3822" s="64"/>
      <c r="H3822" s="64"/>
      <c r="I3822" s="64">
        <v>0</v>
      </c>
      <c r="N3822" s="4">
        <v>0</v>
      </c>
      <c r="O3822" s="58">
        <v>0</v>
      </c>
      <c r="P3822" s="58">
        <v>0</v>
      </c>
      <c r="Q3822" s="58">
        <v>0</v>
      </c>
      <c r="R3822" s="58">
        <v>0</v>
      </c>
      <c r="S3822" s="58">
        <v>0</v>
      </c>
      <c r="T3822" s="58">
        <v>0</v>
      </c>
      <c r="U3822" s="58">
        <v>0</v>
      </c>
      <c r="V3822" s="58">
        <v>0</v>
      </c>
      <c r="AG3822" t="s">
        <v>3528</v>
      </c>
      <c r="AM3822" s="1" t="str">
        <f t="shared" si="206"/>
        <v>3820_C0005_3014.jpg</v>
      </c>
    </row>
    <row r="3823" spans="1:39" x14ac:dyDescent="0.35">
      <c r="A3823">
        <v>3819</v>
      </c>
      <c r="B3823">
        <v>3820</v>
      </c>
      <c r="F3823" s="64" t="s">
        <v>6135</v>
      </c>
      <c r="G3823" s="64"/>
      <c r="H3823" s="64"/>
      <c r="I3823" s="64">
        <v>0</v>
      </c>
      <c r="N3823" s="4">
        <v>0</v>
      </c>
      <c r="O3823" s="58">
        <v>0</v>
      </c>
      <c r="P3823" s="58">
        <v>0</v>
      </c>
      <c r="Q3823" s="58">
        <v>0</v>
      </c>
      <c r="R3823" s="58">
        <v>0</v>
      </c>
      <c r="S3823" s="58">
        <v>0</v>
      </c>
      <c r="T3823" s="58">
        <v>0</v>
      </c>
      <c r="U3823" s="58">
        <v>0</v>
      </c>
      <c r="V3823" s="58">
        <v>0</v>
      </c>
      <c r="AG3823" t="s">
        <v>3529</v>
      </c>
      <c r="AM3823" s="1" t="str">
        <f t="shared" si="206"/>
        <v>3821_C0005_3011.jpg</v>
      </c>
    </row>
    <row r="3824" spans="1:39" x14ac:dyDescent="0.35">
      <c r="A3824">
        <v>3820</v>
      </c>
      <c r="B3824">
        <v>3821</v>
      </c>
      <c r="F3824" s="64" t="s">
        <v>6136</v>
      </c>
      <c r="G3824" s="64"/>
      <c r="H3824" s="64"/>
      <c r="I3824" s="64">
        <v>0</v>
      </c>
      <c r="N3824" s="4">
        <v>0</v>
      </c>
      <c r="O3824" s="58">
        <v>0</v>
      </c>
      <c r="P3824" s="58">
        <v>0</v>
      </c>
      <c r="Q3824" s="58">
        <v>0</v>
      </c>
      <c r="R3824" s="58">
        <v>0</v>
      </c>
      <c r="S3824" s="58">
        <v>0</v>
      </c>
      <c r="T3824" s="58">
        <v>0</v>
      </c>
      <c r="U3824" s="58">
        <v>0</v>
      </c>
      <c r="V3824" s="58">
        <v>0</v>
      </c>
      <c r="AG3824" t="s">
        <v>3530</v>
      </c>
      <c r="AM3824" s="1" t="str">
        <f t="shared" si="206"/>
        <v>3822_C0005_3007.jpg</v>
      </c>
    </row>
    <row r="3825" spans="1:39" x14ac:dyDescent="0.35">
      <c r="A3825">
        <v>3821</v>
      </c>
      <c r="B3825">
        <v>3822</v>
      </c>
      <c r="F3825" s="64" t="s">
        <v>6137</v>
      </c>
      <c r="G3825" s="64"/>
      <c r="H3825" s="64"/>
      <c r="I3825" s="64">
        <v>0</v>
      </c>
      <c r="N3825" s="4">
        <v>0</v>
      </c>
      <c r="O3825" s="58">
        <v>0</v>
      </c>
      <c r="P3825" s="58">
        <v>0</v>
      </c>
      <c r="Q3825" s="58">
        <v>0</v>
      </c>
      <c r="R3825" s="58">
        <v>0</v>
      </c>
      <c r="S3825" s="58">
        <v>0</v>
      </c>
      <c r="T3825" s="58">
        <v>0</v>
      </c>
      <c r="U3825" s="58">
        <v>0</v>
      </c>
      <c r="V3825" s="58">
        <v>0</v>
      </c>
      <c r="AG3825" t="s">
        <v>3531</v>
      </c>
      <c r="AM3825" s="1" t="str">
        <f t="shared" si="206"/>
        <v>3823_C0005_3001.jpg</v>
      </c>
    </row>
    <row r="3826" spans="1:39" x14ac:dyDescent="0.35">
      <c r="A3826">
        <v>3822</v>
      </c>
      <c r="B3826">
        <v>3823</v>
      </c>
      <c r="F3826" s="64" t="s">
        <v>6138</v>
      </c>
      <c r="G3826" s="64"/>
      <c r="H3826" s="64"/>
      <c r="I3826" s="64">
        <v>0</v>
      </c>
      <c r="N3826" s="4">
        <v>0</v>
      </c>
      <c r="O3826" s="58">
        <v>0</v>
      </c>
      <c r="P3826" s="58">
        <v>0</v>
      </c>
      <c r="Q3826" s="58">
        <v>0</v>
      </c>
      <c r="R3826" s="58">
        <v>0</v>
      </c>
      <c r="S3826" s="58">
        <v>0</v>
      </c>
      <c r="T3826" s="58">
        <v>0</v>
      </c>
      <c r="U3826" s="58">
        <v>0</v>
      </c>
      <c r="V3826" s="58">
        <v>0</v>
      </c>
      <c r="AG3826" t="s">
        <v>3532</v>
      </c>
      <c r="AM3826" s="1" t="str">
        <f t="shared" si="206"/>
        <v>3824_C0005_2996.jpg</v>
      </c>
    </row>
    <row r="3827" spans="1:39" x14ac:dyDescent="0.35">
      <c r="A3827">
        <v>3823</v>
      </c>
      <c r="B3827">
        <v>3824</v>
      </c>
      <c r="F3827" s="64" t="s">
        <v>6139</v>
      </c>
      <c r="G3827" s="64"/>
      <c r="H3827" s="64"/>
      <c r="I3827" s="64">
        <v>0</v>
      </c>
      <c r="N3827" s="4">
        <v>0</v>
      </c>
      <c r="O3827" s="58">
        <v>0</v>
      </c>
      <c r="P3827" s="58">
        <v>0</v>
      </c>
      <c r="Q3827" s="58">
        <v>0</v>
      </c>
      <c r="R3827" s="58">
        <v>0</v>
      </c>
      <c r="S3827" s="58">
        <v>0</v>
      </c>
      <c r="T3827" s="58">
        <v>0</v>
      </c>
      <c r="U3827" s="58">
        <v>0</v>
      </c>
      <c r="V3827" s="58">
        <v>0</v>
      </c>
      <c r="AG3827" t="s">
        <v>3533</v>
      </c>
      <c r="AM3827" s="1" t="str">
        <f t="shared" si="206"/>
        <v>3825_C0005_2992.jpg</v>
      </c>
    </row>
    <row r="3828" spans="1:39" x14ac:dyDescent="0.35">
      <c r="A3828">
        <v>3824</v>
      </c>
      <c r="B3828">
        <v>3825</v>
      </c>
      <c r="F3828" s="64" t="s">
        <v>6140</v>
      </c>
      <c r="G3828" s="64"/>
      <c r="H3828" s="64"/>
      <c r="I3828" s="64">
        <v>0</v>
      </c>
      <c r="N3828" s="4">
        <v>0</v>
      </c>
      <c r="O3828" s="58">
        <v>0</v>
      </c>
      <c r="P3828" s="58">
        <v>0</v>
      </c>
      <c r="Q3828" s="58">
        <v>0</v>
      </c>
      <c r="R3828" s="58">
        <v>0</v>
      </c>
      <c r="S3828" s="58">
        <v>0</v>
      </c>
      <c r="T3828" s="58">
        <v>0</v>
      </c>
      <c r="U3828" s="58">
        <v>0</v>
      </c>
      <c r="V3828" s="58">
        <v>0</v>
      </c>
      <c r="AG3828" t="s">
        <v>3534</v>
      </c>
      <c r="AM3828" s="1" t="str">
        <f t="shared" si="206"/>
        <v>3826_C0005_2987.jpg</v>
      </c>
    </row>
    <row r="3829" spans="1:39" x14ac:dyDescent="0.35">
      <c r="A3829">
        <v>3825</v>
      </c>
      <c r="B3829">
        <v>3826</v>
      </c>
      <c r="F3829" s="64" t="s">
        <v>6141</v>
      </c>
      <c r="G3829" s="64"/>
      <c r="H3829" s="64"/>
      <c r="I3829" s="64">
        <v>0</v>
      </c>
      <c r="N3829" s="4">
        <v>0</v>
      </c>
      <c r="O3829" s="58">
        <v>0</v>
      </c>
      <c r="P3829" s="58">
        <v>0</v>
      </c>
      <c r="Q3829" s="58">
        <v>0</v>
      </c>
      <c r="R3829" s="58">
        <v>0</v>
      </c>
      <c r="S3829" s="58">
        <v>0</v>
      </c>
      <c r="T3829" s="58">
        <v>0</v>
      </c>
      <c r="U3829" s="58">
        <v>0</v>
      </c>
      <c r="V3829" s="58">
        <v>0</v>
      </c>
      <c r="AG3829" t="s">
        <v>3535</v>
      </c>
      <c r="AM3829" s="1" t="str">
        <f t="shared" si="206"/>
        <v>3827_C0005_2984.jpg</v>
      </c>
    </row>
    <row r="3830" spans="1:39" x14ac:dyDescent="0.35">
      <c r="A3830">
        <v>3826</v>
      </c>
      <c r="B3830">
        <v>3827</v>
      </c>
      <c r="F3830" s="64" t="s">
        <v>6142</v>
      </c>
      <c r="G3830" s="64"/>
      <c r="H3830" s="64"/>
      <c r="I3830" s="64">
        <v>0</v>
      </c>
      <c r="N3830" s="4">
        <v>0</v>
      </c>
      <c r="O3830" s="58">
        <v>0</v>
      </c>
      <c r="P3830" s="58">
        <v>0</v>
      </c>
      <c r="Q3830" s="58">
        <v>0</v>
      </c>
      <c r="R3830" s="58">
        <v>0</v>
      </c>
      <c r="S3830" s="58">
        <v>0</v>
      </c>
      <c r="T3830" s="58">
        <v>0</v>
      </c>
      <c r="U3830" s="58">
        <v>0</v>
      </c>
      <c r="V3830" s="58">
        <v>0</v>
      </c>
      <c r="AG3830" t="s">
        <v>3536</v>
      </c>
      <c r="AM3830" s="1" t="str">
        <f t="shared" si="206"/>
        <v>3828_C0005_2980.jpg</v>
      </c>
    </row>
    <row r="3831" spans="1:39" x14ac:dyDescent="0.35">
      <c r="A3831">
        <v>3827</v>
      </c>
      <c r="B3831">
        <v>3828</v>
      </c>
      <c r="F3831" s="64" t="s">
        <v>6143</v>
      </c>
      <c r="G3831" s="64"/>
      <c r="H3831" s="64"/>
      <c r="I3831" s="64">
        <v>0</v>
      </c>
      <c r="N3831" s="4">
        <v>0</v>
      </c>
      <c r="O3831" s="58">
        <v>0</v>
      </c>
      <c r="P3831" s="58">
        <v>0</v>
      </c>
      <c r="Q3831" s="58">
        <v>0</v>
      </c>
      <c r="R3831" s="58">
        <v>0</v>
      </c>
      <c r="S3831" s="58">
        <v>0</v>
      </c>
      <c r="T3831" s="58">
        <v>0</v>
      </c>
      <c r="U3831" s="58">
        <v>0</v>
      </c>
      <c r="V3831" s="58">
        <v>0</v>
      </c>
      <c r="AG3831" t="s">
        <v>3537</v>
      </c>
      <c r="AM3831" s="1" t="str">
        <f t="shared" si="206"/>
        <v>3829_C0005_2976.jpg</v>
      </c>
    </row>
    <row r="3832" spans="1:39" x14ac:dyDescent="0.35">
      <c r="A3832">
        <v>3828</v>
      </c>
      <c r="B3832">
        <v>3829</v>
      </c>
      <c r="F3832" s="64" t="s">
        <v>6144</v>
      </c>
      <c r="G3832" s="64"/>
      <c r="H3832" s="64"/>
      <c r="I3832" s="64">
        <v>0</v>
      </c>
      <c r="N3832" s="4">
        <v>0</v>
      </c>
      <c r="O3832" s="58">
        <v>0</v>
      </c>
      <c r="P3832" s="58">
        <v>0</v>
      </c>
      <c r="Q3832" s="58">
        <v>0</v>
      </c>
      <c r="R3832" s="58">
        <v>0</v>
      </c>
      <c r="S3832" s="58">
        <v>0</v>
      </c>
      <c r="T3832" s="58">
        <v>0</v>
      </c>
      <c r="U3832" s="58">
        <v>0</v>
      </c>
      <c r="V3832" s="58">
        <v>0</v>
      </c>
      <c r="AG3832" t="s">
        <v>3538</v>
      </c>
      <c r="AM3832" s="1" t="str">
        <f t="shared" si="206"/>
        <v>3830_C0005_2974.jpg</v>
      </c>
    </row>
    <row r="3833" spans="1:39" x14ac:dyDescent="0.35">
      <c r="A3833">
        <v>3829</v>
      </c>
      <c r="B3833">
        <v>3830</v>
      </c>
      <c r="F3833" s="64" t="s">
        <v>6145</v>
      </c>
      <c r="G3833" s="64"/>
      <c r="H3833" s="64"/>
      <c r="I3833" s="64">
        <v>0</v>
      </c>
      <c r="N3833" s="4">
        <v>0</v>
      </c>
      <c r="O3833" s="58">
        <v>0</v>
      </c>
      <c r="P3833" s="58">
        <v>0</v>
      </c>
      <c r="Q3833" s="58">
        <v>0</v>
      </c>
      <c r="R3833" s="58">
        <v>0</v>
      </c>
      <c r="S3833" s="58">
        <v>0</v>
      </c>
      <c r="T3833" s="58">
        <v>0</v>
      </c>
      <c r="U3833" s="58">
        <v>0</v>
      </c>
      <c r="V3833" s="58">
        <v>0</v>
      </c>
      <c r="AG3833" t="s">
        <v>3539</v>
      </c>
      <c r="AM3833" s="1" t="str">
        <f t="shared" si="206"/>
        <v>3831_C0005_2970.jpg</v>
      </c>
    </row>
    <row r="3834" spans="1:39" x14ac:dyDescent="0.35">
      <c r="A3834">
        <v>3830</v>
      </c>
      <c r="B3834">
        <v>3831</v>
      </c>
      <c r="F3834" s="64" t="s">
        <v>6146</v>
      </c>
      <c r="G3834" s="64"/>
      <c r="H3834" s="64"/>
      <c r="I3834" s="64">
        <v>0</v>
      </c>
      <c r="N3834" s="4">
        <v>0</v>
      </c>
      <c r="O3834" s="58">
        <v>0</v>
      </c>
      <c r="P3834" s="58">
        <v>0</v>
      </c>
      <c r="Q3834" s="58">
        <v>0</v>
      </c>
      <c r="R3834" s="58">
        <v>0</v>
      </c>
      <c r="S3834" s="58">
        <v>0</v>
      </c>
      <c r="T3834" s="58">
        <v>0</v>
      </c>
      <c r="U3834" s="58">
        <v>0</v>
      </c>
      <c r="V3834" s="58">
        <v>0</v>
      </c>
      <c r="AG3834" t="s">
        <v>3540</v>
      </c>
      <c r="AM3834" s="1" t="str">
        <f t="shared" si="206"/>
        <v>3832_C0005_2967.jpg</v>
      </c>
    </row>
    <row r="3835" spans="1:39" x14ac:dyDescent="0.35">
      <c r="A3835">
        <v>3831</v>
      </c>
      <c r="B3835">
        <v>3832</v>
      </c>
      <c r="F3835" s="64" t="s">
        <v>6147</v>
      </c>
      <c r="G3835" s="64"/>
      <c r="H3835" s="64"/>
      <c r="I3835" s="64">
        <v>0</v>
      </c>
      <c r="N3835" s="4">
        <v>0</v>
      </c>
      <c r="O3835" s="58">
        <v>0</v>
      </c>
      <c r="P3835" s="58">
        <v>0</v>
      </c>
      <c r="Q3835" s="58">
        <v>0</v>
      </c>
      <c r="R3835" s="58">
        <v>0</v>
      </c>
      <c r="S3835" s="58">
        <v>0</v>
      </c>
      <c r="T3835" s="58">
        <v>0</v>
      </c>
      <c r="U3835" s="58">
        <v>0</v>
      </c>
      <c r="V3835" s="58">
        <v>0</v>
      </c>
      <c r="AG3835" t="s">
        <v>3541</v>
      </c>
      <c r="AM3835" s="1" t="str">
        <f t="shared" si="206"/>
        <v>3833_C0005_2964.jpg</v>
      </c>
    </row>
    <row r="3836" spans="1:39" x14ac:dyDescent="0.35">
      <c r="A3836">
        <v>3832</v>
      </c>
      <c r="B3836">
        <v>3833</v>
      </c>
      <c r="F3836" s="64" t="s">
        <v>6148</v>
      </c>
      <c r="G3836" s="64"/>
      <c r="H3836" s="64"/>
      <c r="I3836" s="64">
        <v>0</v>
      </c>
      <c r="N3836" s="4">
        <v>0</v>
      </c>
      <c r="O3836" s="58">
        <v>0</v>
      </c>
      <c r="P3836" s="58">
        <v>0</v>
      </c>
      <c r="Q3836" s="58">
        <v>0</v>
      </c>
      <c r="R3836" s="58">
        <v>0</v>
      </c>
      <c r="S3836" s="58">
        <v>0</v>
      </c>
      <c r="T3836" s="58">
        <v>0</v>
      </c>
      <c r="U3836" s="58">
        <v>0</v>
      </c>
      <c r="V3836" s="58">
        <v>0</v>
      </c>
      <c r="AG3836" t="s">
        <v>3542</v>
      </c>
      <c r="AM3836" s="1" t="str">
        <f t="shared" si="206"/>
        <v>3834_C0005_2961.jpg</v>
      </c>
    </row>
    <row r="3837" spans="1:39" x14ac:dyDescent="0.35">
      <c r="A3837">
        <v>3833</v>
      </c>
      <c r="B3837">
        <v>3834</v>
      </c>
      <c r="F3837" s="64" t="s">
        <v>6149</v>
      </c>
      <c r="G3837" s="64"/>
      <c r="H3837" s="64"/>
      <c r="I3837" s="64">
        <v>0</v>
      </c>
      <c r="N3837" s="4">
        <v>0</v>
      </c>
      <c r="O3837" s="58">
        <v>0</v>
      </c>
      <c r="P3837" s="58">
        <v>0</v>
      </c>
      <c r="Q3837" s="58">
        <v>0</v>
      </c>
      <c r="R3837" s="58">
        <v>0</v>
      </c>
      <c r="S3837" s="58">
        <v>0</v>
      </c>
      <c r="T3837" s="58">
        <v>0</v>
      </c>
      <c r="U3837" s="58">
        <v>0</v>
      </c>
      <c r="V3837" s="58">
        <v>0</v>
      </c>
      <c r="AG3837" t="s">
        <v>3543</v>
      </c>
      <c r="AM3837" s="1" t="str">
        <f t="shared" si="206"/>
        <v>3835_C0005_2958.jpg</v>
      </c>
    </row>
    <row r="3838" spans="1:39" x14ac:dyDescent="0.35">
      <c r="A3838">
        <v>3834</v>
      </c>
      <c r="B3838">
        <v>3835</v>
      </c>
      <c r="F3838" s="64" t="s">
        <v>6150</v>
      </c>
      <c r="G3838" s="64"/>
      <c r="H3838" s="64"/>
      <c r="I3838" s="64">
        <v>0</v>
      </c>
      <c r="N3838" s="4">
        <v>0</v>
      </c>
      <c r="O3838" s="58">
        <v>0</v>
      </c>
      <c r="P3838" s="58">
        <v>0</v>
      </c>
      <c r="Q3838" s="58">
        <v>0</v>
      </c>
      <c r="R3838" s="58">
        <v>0</v>
      </c>
      <c r="S3838" s="58">
        <v>0</v>
      </c>
      <c r="T3838" s="58">
        <v>0</v>
      </c>
      <c r="U3838" s="58">
        <v>0</v>
      </c>
      <c r="V3838" s="58">
        <v>0</v>
      </c>
      <c r="AG3838" t="s">
        <v>3544</v>
      </c>
      <c r="AM3838" s="1" t="str">
        <f t="shared" si="206"/>
        <v>3836_C0005_2955.jpg</v>
      </c>
    </row>
    <row r="3839" spans="1:39" x14ac:dyDescent="0.35">
      <c r="A3839">
        <v>3835</v>
      </c>
      <c r="B3839">
        <v>3836</v>
      </c>
      <c r="F3839" s="64" t="s">
        <v>6151</v>
      </c>
      <c r="G3839" s="64"/>
      <c r="H3839" s="64"/>
      <c r="I3839" s="64">
        <v>0</v>
      </c>
      <c r="N3839" s="4">
        <v>0</v>
      </c>
      <c r="O3839" s="58">
        <v>0</v>
      </c>
      <c r="P3839" s="58">
        <v>0</v>
      </c>
      <c r="Q3839" s="58">
        <v>0</v>
      </c>
      <c r="R3839" s="58">
        <v>0</v>
      </c>
      <c r="S3839" s="58">
        <v>0</v>
      </c>
      <c r="T3839" s="58">
        <v>0</v>
      </c>
      <c r="U3839" s="58">
        <v>0</v>
      </c>
      <c r="V3839" s="58">
        <v>0</v>
      </c>
      <c r="AG3839" t="s">
        <v>3545</v>
      </c>
      <c r="AM3839" s="1" t="str">
        <f t="shared" si="206"/>
        <v>3837_C0005_2952.jpg</v>
      </c>
    </row>
    <row r="3840" spans="1:39" x14ac:dyDescent="0.35">
      <c r="A3840">
        <v>3836</v>
      </c>
      <c r="B3840">
        <v>3837</v>
      </c>
      <c r="F3840" s="64" t="s">
        <v>6152</v>
      </c>
      <c r="G3840" s="64"/>
      <c r="H3840" s="64"/>
      <c r="I3840" s="64">
        <v>0</v>
      </c>
      <c r="N3840" s="4">
        <v>0</v>
      </c>
      <c r="O3840" s="58">
        <v>0</v>
      </c>
      <c r="P3840" s="58">
        <v>0</v>
      </c>
      <c r="Q3840" s="58">
        <v>0</v>
      </c>
      <c r="R3840" s="58">
        <v>0</v>
      </c>
      <c r="S3840" s="58">
        <v>0</v>
      </c>
      <c r="T3840" s="58">
        <v>0</v>
      </c>
      <c r="U3840" s="58">
        <v>0</v>
      </c>
      <c r="V3840" s="58">
        <v>0</v>
      </c>
      <c r="AG3840" t="s">
        <v>3546</v>
      </c>
      <c r="AM3840" s="1" t="str">
        <f t="shared" si="206"/>
        <v>3838_C0005_2949.jpg</v>
      </c>
    </row>
    <row r="3841" spans="1:39" x14ac:dyDescent="0.35">
      <c r="A3841">
        <v>3837</v>
      </c>
      <c r="B3841">
        <v>3838</v>
      </c>
      <c r="F3841" s="64" t="s">
        <v>6153</v>
      </c>
      <c r="G3841" s="64"/>
      <c r="H3841" s="64"/>
      <c r="I3841" s="64">
        <v>0</v>
      </c>
      <c r="N3841" s="4">
        <v>0</v>
      </c>
      <c r="O3841" s="58">
        <v>0</v>
      </c>
      <c r="P3841" s="58">
        <v>0</v>
      </c>
      <c r="Q3841" s="58">
        <v>0</v>
      </c>
      <c r="R3841" s="58">
        <v>0</v>
      </c>
      <c r="S3841" s="58">
        <v>0</v>
      </c>
      <c r="T3841" s="58">
        <v>0</v>
      </c>
      <c r="U3841" s="58">
        <v>0</v>
      </c>
      <c r="V3841" s="58">
        <v>0</v>
      </c>
      <c r="AG3841" t="s">
        <v>3547</v>
      </c>
      <c r="AM3841" s="1" t="str">
        <f t="shared" si="206"/>
        <v>3839_C0005_2946.jpg</v>
      </c>
    </row>
    <row r="3842" spans="1:39" x14ac:dyDescent="0.35">
      <c r="A3842">
        <v>3838</v>
      </c>
      <c r="B3842">
        <v>3839</v>
      </c>
      <c r="F3842" s="64" t="s">
        <v>6154</v>
      </c>
      <c r="G3842" s="64"/>
      <c r="H3842" s="64"/>
      <c r="I3842" s="64">
        <v>0</v>
      </c>
      <c r="N3842" s="4">
        <v>0</v>
      </c>
      <c r="O3842" s="58">
        <v>0</v>
      </c>
      <c r="P3842" s="58">
        <v>0</v>
      </c>
      <c r="Q3842" s="58">
        <v>0</v>
      </c>
      <c r="R3842" s="58">
        <v>0</v>
      </c>
      <c r="S3842" s="58">
        <v>0</v>
      </c>
      <c r="T3842" s="58">
        <v>0</v>
      </c>
      <c r="U3842" s="58">
        <v>0</v>
      </c>
      <c r="V3842" s="58">
        <v>0</v>
      </c>
      <c r="AG3842" t="s">
        <v>3548</v>
      </c>
      <c r="AM3842" s="1" t="str">
        <f t="shared" si="206"/>
        <v>3840_C0005_2941.jpg</v>
      </c>
    </row>
    <row r="3843" spans="1:39" x14ac:dyDescent="0.35">
      <c r="A3843">
        <v>3839</v>
      </c>
      <c r="B3843">
        <v>3840</v>
      </c>
      <c r="F3843" s="64" t="s">
        <v>6155</v>
      </c>
      <c r="G3843" s="64"/>
      <c r="H3843" s="64"/>
      <c r="I3843" s="64">
        <v>0</v>
      </c>
      <c r="N3843" s="4">
        <v>0</v>
      </c>
      <c r="O3843" s="58">
        <v>0</v>
      </c>
      <c r="P3843" s="58">
        <v>0</v>
      </c>
      <c r="Q3843" s="58">
        <v>0</v>
      </c>
      <c r="R3843" s="58">
        <v>0</v>
      </c>
      <c r="S3843" s="58">
        <v>0</v>
      </c>
      <c r="T3843" s="58">
        <v>0</v>
      </c>
      <c r="U3843" s="58">
        <v>0</v>
      </c>
      <c r="V3843" s="58">
        <v>0</v>
      </c>
      <c r="AG3843" t="s">
        <v>3549</v>
      </c>
      <c r="AM3843" s="1" t="str">
        <f t="shared" si="206"/>
        <v>3841_C0005_2938.jpg</v>
      </c>
    </row>
    <row r="3844" spans="1:39" x14ac:dyDescent="0.35">
      <c r="A3844">
        <v>3840</v>
      </c>
      <c r="B3844">
        <v>3841</v>
      </c>
      <c r="F3844" s="64" t="s">
        <v>6156</v>
      </c>
      <c r="G3844" s="64"/>
      <c r="H3844" s="64"/>
      <c r="I3844" s="64">
        <v>0</v>
      </c>
      <c r="N3844" s="4">
        <v>0</v>
      </c>
      <c r="O3844" s="58">
        <v>0</v>
      </c>
      <c r="P3844" s="58">
        <v>0</v>
      </c>
      <c r="Q3844" s="58">
        <v>0</v>
      </c>
      <c r="R3844" s="58">
        <v>0</v>
      </c>
      <c r="S3844" s="58">
        <v>0</v>
      </c>
      <c r="T3844" s="58">
        <v>0</v>
      </c>
      <c r="U3844" s="58">
        <v>0</v>
      </c>
      <c r="V3844" s="58">
        <v>0</v>
      </c>
      <c r="AG3844" t="s">
        <v>3550</v>
      </c>
      <c r="AM3844" s="1" t="str">
        <f t="shared" si="206"/>
        <v>3842_C0005_2934.jpg</v>
      </c>
    </row>
    <row r="3845" spans="1:39" x14ac:dyDescent="0.35">
      <c r="A3845">
        <v>3841</v>
      </c>
      <c r="B3845">
        <v>3842</v>
      </c>
      <c r="F3845" s="64" t="s">
        <v>6157</v>
      </c>
      <c r="G3845" s="64"/>
      <c r="H3845" s="64"/>
      <c r="I3845" s="64">
        <v>0</v>
      </c>
      <c r="N3845" s="4">
        <v>0</v>
      </c>
      <c r="O3845" s="58">
        <v>0</v>
      </c>
      <c r="P3845" s="58">
        <v>0</v>
      </c>
      <c r="Q3845" s="58">
        <v>0</v>
      </c>
      <c r="R3845" s="58">
        <v>0</v>
      </c>
      <c r="S3845" s="58">
        <v>0</v>
      </c>
      <c r="T3845" s="58">
        <v>0</v>
      </c>
      <c r="U3845" s="58">
        <v>0</v>
      </c>
      <c r="V3845" s="58">
        <v>0</v>
      </c>
      <c r="AG3845" t="s">
        <v>3551</v>
      </c>
      <c r="AM3845" s="1" t="str">
        <f t="shared" si="206"/>
        <v>3843_C0005_2930.jpg</v>
      </c>
    </row>
    <row r="3846" spans="1:39" x14ac:dyDescent="0.35">
      <c r="A3846">
        <v>3842</v>
      </c>
      <c r="B3846">
        <v>3843</v>
      </c>
      <c r="F3846" s="64" t="s">
        <v>6158</v>
      </c>
      <c r="G3846" s="64"/>
      <c r="H3846" s="64"/>
      <c r="I3846" s="64">
        <v>0</v>
      </c>
      <c r="N3846" s="4">
        <v>0</v>
      </c>
      <c r="O3846" s="58">
        <v>0</v>
      </c>
      <c r="P3846" s="58">
        <v>0</v>
      </c>
      <c r="Q3846" s="58">
        <v>0</v>
      </c>
      <c r="R3846" s="58">
        <v>0</v>
      </c>
      <c r="S3846" s="58">
        <v>0</v>
      </c>
      <c r="T3846" s="58">
        <v>0</v>
      </c>
      <c r="U3846" s="58">
        <v>0</v>
      </c>
      <c r="V3846" s="58">
        <v>0</v>
      </c>
      <c r="AG3846" t="s">
        <v>3552</v>
      </c>
      <c r="AM3846" s="1" t="str">
        <f t="shared" si="206"/>
        <v>3844_C0005_2927.jpg</v>
      </c>
    </row>
    <row r="3847" spans="1:39" x14ac:dyDescent="0.35">
      <c r="A3847">
        <v>3843</v>
      </c>
      <c r="B3847">
        <v>3844</v>
      </c>
      <c r="F3847" s="64" t="s">
        <v>6159</v>
      </c>
      <c r="G3847" s="64"/>
      <c r="H3847" s="64"/>
      <c r="I3847" s="64">
        <v>0</v>
      </c>
      <c r="N3847" s="4">
        <v>0</v>
      </c>
      <c r="O3847" s="58">
        <v>0</v>
      </c>
      <c r="P3847" s="58">
        <v>0</v>
      </c>
      <c r="Q3847" s="58">
        <v>0</v>
      </c>
      <c r="R3847" s="58">
        <v>0</v>
      </c>
      <c r="S3847" s="58">
        <v>0</v>
      </c>
      <c r="T3847" s="58">
        <v>0</v>
      </c>
      <c r="U3847" s="58">
        <v>0</v>
      </c>
      <c r="V3847" s="58">
        <v>0</v>
      </c>
      <c r="AG3847" t="s">
        <v>3553</v>
      </c>
      <c r="AM3847" s="1" t="str">
        <f t="shared" si="206"/>
        <v>3845_C0005_2923.jpg</v>
      </c>
    </row>
    <row r="3848" spans="1:39" x14ac:dyDescent="0.35">
      <c r="A3848">
        <v>3844</v>
      </c>
      <c r="B3848">
        <v>3845</v>
      </c>
      <c r="F3848" s="64" t="s">
        <v>6160</v>
      </c>
      <c r="G3848" s="64"/>
      <c r="H3848" s="64"/>
      <c r="I3848" s="64">
        <v>0</v>
      </c>
      <c r="N3848" s="4">
        <v>0</v>
      </c>
      <c r="O3848" s="58">
        <v>0</v>
      </c>
      <c r="P3848" s="58">
        <v>0</v>
      </c>
      <c r="Q3848" s="58">
        <v>0</v>
      </c>
      <c r="R3848" s="58">
        <v>0</v>
      </c>
      <c r="S3848" s="58">
        <v>0</v>
      </c>
      <c r="T3848" s="58">
        <v>0</v>
      </c>
      <c r="U3848" s="58">
        <v>0</v>
      </c>
      <c r="V3848" s="58">
        <v>0</v>
      </c>
      <c r="AG3848" t="s">
        <v>3554</v>
      </c>
      <c r="AM3848" s="1" t="str">
        <f t="shared" si="206"/>
        <v>3846_C0005_2920.jpg</v>
      </c>
    </row>
    <row r="3849" spans="1:39" x14ac:dyDescent="0.35">
      <c r="A3849">
        <v>3845</v>
      </c>
      <c r="B3849">
        <v>3846</v>
      </c>
      <c r="F3849" s="64" t="s">
        <v>6161</v>
      </c>
      <c r="G3849" s="64"/>
      <c r="H3849" s="64"/>
      <c r="I3849" s="64">
        <v>0</v>
      </c>
      <c r="N3849" s="4">
        <v>0</v>
      </c>
      <c r="O3849" s="58">
        <v>0</v>
      </c>
      <c r="P3849" s="58">
        <v>0</v>
      </c>
      <c r="Q3849" s="58">
        <v>0</v>
      </c>
      <c r="R3849" s="58">
        <v>0</v>
      </c>
      <c r="S3849" s="58">
        <v>0</v>
      </c>
      <c r="T3849" s="58">
        <v>0</v>
      </c>
      <c r="U3849" s="58">
        <v>0</v>
      </c>
      <c r="V3849" s="58">
        <v>0</v>
      </c>
      <c r="AG3849" t="s">
        <v>3555</v>
      </c>
      <c r="AM3849" s="1" t="str">
        <f t="shared" si="206"/>
        <v>3847_C0005_2917.jpg</v>
      </c>
    </row>
    <row r="3850" spans="1:39" x14ac:dyDescent="0.35">
      <c r="A3850">
        <v>3846</v>
      </c>
      <c r="B3850">
        <v>3847</v>
      </c>
      <c r="F3850" s="64" t="s">
        <v>6162</v>
      </c>
      <c r="G3850" s="64"/>
      <c r="H3850" s="64"/>
      <c r="I3850" s="64">
        <v>0</v>
      </c>
      <c r="N3850" s="4">
        <v>0</v>
      </c>
      <c r="O3850" s="58">
        <v>0</v>
      </c>
      <c r="P3850" s="58">
        <v>0</v>
      </c>
      <c r="Q3850" s="58">
        <v>0</v>
      </c>
      <c r="R3850" s="58">
        <v>0</v>
      </c>
      <c r="S3850" s="58">
        <v>0</v>
      </c>
      <c r="T3850" s="58">
        <v>0</v>
      </c>
      <c r="U3850" s="58">
        <v>0</v>
      </c>
      <c r="V3850" s="58">
        <v>0</v>
      </c>
      <c r="AG3850" t="s">
        <v>3556</v>
      </c>
      <c r="AM3850" s="1" t="str">
        <f t="shared" si="206"/>
        <v>3848_C0005_2913.jpg</v>
      </c>
    </row>
    <row r="3851" spans="1:39" x14ac:dyDescent="0.35">
      <c r="A3851">
        <v>3847</v>
      </c>
      <c r="B3851">
        <v>3848</v>
      </c>
      <c r="F3851" s="64" t="s">
        <v>6163</v>
      </c>
      <c r="G3851" s="64"/>
      <c r="H3851" s="64"/>
      <c r="I3851" s="64">
        <v>0</v>
      </c>
      <c r="N3851" s="4">
        <v>0</v>
      </c>
      <c r="O3851" s="58">
        <v>0</v>
      </c>
      <c r="P3851" s="58">
        <v>0</v>
      </c>
      <c r="Q3851" s="58">
        <v>0</v>
      </c>
      <c r="R3851" s="58">
        <v>0</v>
      </c>
      <c r="S3851" s="58">
        <v>0</v>
      </c>
      <c r="T3851" s="58">
        <v>0</v>
      </c>
      <c r="U3851" s="58">
        <v>0</v>
      </c>
      <c r="V3851" s="58">
        <v>0</v>
      </c>
      <c r="AG3851" t="s">
        <v>3557</v>
      </c>
      <c r="AM3851" s="1" t="str">
        <f t="shared" si="206"/>
        <v>3849_C0005_2909.jpg</v>
      </c>
    </row>
    <row r="3852" spans="1:39" x14ac:dyDescent="0.35">
      <c r="A3852">
        <v>3848</v>
      </c>
      <c r="B3852">
        <v>3849</v>
      </c>
      <c r="F3852" s="64" t="s">
        <v>6164</v>
      </c>
      <c r="G3852" s="64"/>
      <c r="H3852" s="64"/>
      <c r="I3852" s="64">
        <v>0</v>
      </c>
      <c r="N3852" s="4">
        <v>0</v>
      </c>
      <c r="O3852" s="58">
        <v>0</v>
      </c>
      <c r="P3852" s="58">
        <v>0</v>
      </c>
      <c r="Q3852" s="58">
        <v>0</v>
      </c>
      <c r="R3852" s="58">
        <v>0</v>
      </c>
      <c r="S3852" s="58">
        <v>0</v>
      </c>
      <c r="T3852" s="58">
        <v>0</v>
      </c>
      <c r="U3852" s="58">
        <v>0</v>
      </c>
      <c r="V3852" s="58">
        <v>0</v>
      </c>
      <c r="AG3852" t="s">
        <v>3558</v>
      </c>
      <c r="AM3852" s="1" t="str">
        <f t="shared" si="206"/>
        <v>3850_C0005_2906.jpg</v>
      </c>
    </row>
    <row r="3853" spans="1:39" x14ac:dyDescent="0.35">
      <c r="A3853">
        <v>3849</v>
      </c>
      <c r="B3853">
        <v>3850</v>
      </c>
      <c r="F3853" s="64" t="s">
        <v>6165</v>
      </c>
      <c r="G3853" s="64"/>
      <c r="H3853" s="64"/>
      <c r="I3853" s="64">
        <v>0</v>
      </c>
      <c r="N3853" s="4">
        <v>0</v>
      </c>
      <c r="O3853" s="58">
        <v>0</v>
      </c>
      <c r="P3853" s="58">
        <v>0</v>
      </c>
      <c r="Q3853" s="58">
        <v>0</v>
      </c>
      <c r="R3853" s="58">
        <v>0</v>
      </c>
      <c r="S3853" s="58">
        <v>0</v>
      </c>
      <c r="T3853" s="58">
        <v>0</v>
      </c>
      <c r="U3853" s="58">
        <v>0</v>
      </c>
      <c r="V3853" s="58">
        <v>0</v>
      </c>
      <c r="AG3853" t="s">
        <v>3559</v>
      </c>
      <c r="AM3853" s="1" t="str">
        <f t="shared" si="206"/>
        <v>3851_C0005_2902.jpg</v>
      </c>
    </row>
    <row r="3854" spans="1:39" x14ac:dyDescent="0.35">
      <c r="A3854">
        <v>3850</v>
      </c>
      <c r="B3854">
        <v>3851</v>
      </c>
      <c r="F3854" s="64" t="s">
        <v>6166</v>
      </c>
      <c r="G3854" s="64"/>
      <c r="H3854" s="64"/>
      <c r="I3854" s="64">
        <v>0</v>
      </c>
      <c r="N3854" s="4">
        <v>0</v>
      </c>
      <c r="O3854" s="58">
        <v>0</v>
      </c>
      <c r="P3854" s="58">
        <v>0</v>
      </c>
      <c r="Q3854" s="58">
        <v>0</v>
      </c>
      <c r="R3854" s="58">
        <v>0</v>
      </c>
      <c r="S3854" s="58">
        <v>0</v>
      </c>
      <c r="T3854" s="58">
        <v>0</v>
      </c>
      <c r="U3854" s="58">
        <v>0</v>
      </c>
      <c r="V3854" s="58">
        <v>0</v>
      </c>
      <c r="AG3854" t="s">
        <v>3560</v>
      </c>
      <c r="AM3854" s="1" t="str">
        <f t="shared" si="206"/>
        <v>3852_C0005_2899.jpg</v>
      </c>
    </row>
    <row r="3855" spans="1:39" x14ac:dyDescent="0.35">
      <c r="A3855">
        <v>3851</v>
      </c>
      <c r="B3855">
        <v>3852</v>
      </c>
      <c r="F3855" s="64" t="s">
        <v>6167</v>
      </c>
      <c r="G3855" s="64"/>
      <c r="H3855" s="64"/>
      <c r="I3855" s="64">
        <v>0</v>
      </c>
      <c r="N3855" s="4">
        <v>0</v>
      </c>
      <c r="O3855" s="58">
        <v>0</v>
      </c>
      <c r="P3855" s="58">
        <v>0</v>
      </c>
      <c r="Q3855" s="58">
        <v>0</v>
      </c>
      <c r="R3855" s="58">
        <v>0</v>
      </c>
      <c r="S3855" s="58">
        <v>0</v>
      </c>
      <c r="T3855" s="58">
        <v>0</v>
      </c>
      <c r="U3855" s="58">
        <v>0</v>
      </c>
      <c r="V3855" s="58">
        <v>0</v>
      </c>
      <c r="AG3855" t="s">
        <v>3561</v>
      </c>
      <c r="AM3855" s="1" t="str">
        <f t="shared" si="206"/>
        <v>3853_C0005_2896.jpg</v>
      </c>
    </row>
    <row r="3856" spans="1:39" x14ac:dyDescent="0.35">
      <c r="A3856">
        <v>3852</v>
      </c>
      <c r="B3856">
        <v>3853</v>
      </c>
      <c r="F3856" s="64" t="s">
        <v>6168</v>
      </c>
      <c r="G3856" s="64"/>
      <c r="H3856" s="64"/>
      <c r="I3856" s="64">
        <v>0</v>
      </c>
      <c r="N3856" s="4">
        <v>0</v>
      </c>
      <c r="O3856" s="58">
        <v>0</v>
      </c>
      <c r="P3856" s="58">
        <v>0</v>
      </c>
      <c r="Q3856" s="58">
        <v>0</v>
      </c>
      <c r="R3856" s="58">
        <v>0</v>
      </c>
      <c r="S3856" s="58">
        <v>0</v>
      </c>
      <c r="T3856" s="58">
        <v>0</v>
      </c>
      <c r="U3856" s="58">
        <v>0</v>
      </c>
      <c r="V3856" s="58">
        <v>0</v>
      </c>
      <c r="AG3856" t="s">
        <v>3562</v>
      </c>
      <c r="AM3856" s="1" t="str">
        <f t="shared" si="206"/>
        <v>3854_C0005_2893.jpg</v>
      </c>
    </row>
    <row r="3857" spans="1:39" x14ac:dyDescent="0.35">
      <c r="A3857">
        <v>3853</v>
      </c>
      <c r="B3857">
        <v>3854</v>
      </c>
      <c r="F3857" s="64" t="s">
        <v>6169</v>
      </c>
      <c r="G3857" s="64"/>
      <c r="H3857" s="64"/>
      <c r="I3857" s="64">
        <v>0</v>
      </c>
      <c r="N3857" s="4">
        <v>0</v>
      </c>
      <c r="O3857" s="58">
        <v>0</v>
      </c>
      <c r="P3857" s="58">
        <v>0</v>
      </c>
      <c r="Q3857" s="58">
        <v>0</v>
      </c>
      <c r="R3857" s="58">
        <v>0</v>
      </c>
      <c r="S3857" s="58">
        <v>0</v>
      </c>
      <c r="T3857" s="58">
        <v>0</v>
      </c>
      <c r="U3857" s="58">
        <v>0</v>
      </c>
      <c r="V3857" s="58">
        <v>0</v>
      </c>
      <c r="AG3857" t="s">
        <v>3563</v>
      </c>
      <c r="AM3857" s="1" t="str">
        <f t="shared" si="206"/>
        <v>3855_C0005_2890.jpg</v>
      </c>
    </row>
    <row r="3858" spans="1:39" x14ac:dyDescent="0.35">
      <c r="A3858">
        <v>3854</v>
      </c>
      <c r="B3858">
        <v>3855</v>
      </c>
      <c r="F3858" s="64" t="s">
        <v>6170</v>
      </c>
      <c r="G3858" s="64"/>
      <c r="H3858" s="64"/>
      <c r="I3858" s="64">
        <v>0</v>
      </c>
      <c r="N3858" s="4">
        <v>0</v>
      </c>
      <c r="O3858" s="58">
        <v>0</v>
      </c>
      <c r="P3858" s="58">
        <v>0</v>
      </c>
      <c r="Q3858" s="58">
        <v>0</v>
      </c>
      <c r="R3858" s="58">
        <v>0</v>
      </c>
      <c r="S3858" s="58">
        <v>0</v>
      </c>
      <c r="T3858" s="58">
        <v>0</v>
      </c>
      <c r="U3858" s="58">
        <v>0</v>
      </c>
      <c r="V3858" s="58">
        <v>0</v>
      </c>
      <c r="AG3858" t="s">
        <v>3564</v>
      </c>
      <c r="AM3858" s="1" t="str">
        <f t="shared" si="206"/>
        <v>3856_C0005_2886.jpg</v>
      </c>
    </row>
    <row r="3859" spans="1:39" x14ac:dyDescent="0.35">
      <c r="A3859">
        <v>3855</v>
      </c>
      <c r="B3859">
        <v>3856</v>
      </c>
      <c r="F3859" s="64" t="s">
        <v>6171</v>
      </c>
      <c r="G3859" s="64"/>
      <c r="H3859" s="64"/>
      <c r="I3859" s="64">
        <v>0</v>
      </c>
      <c r="N3859" s="4">
        <v>0</v>
      </c>
      <c r="O3859" s="58">
        <v>0</v>
      </c>
      <c r="P3859" s="58">
        <v>0</v>
      </c>
      <c r="Q3859" s="58">
        <v>0</v>
      </c>
      <c r="R3859" s="58">
        <v>0</v>
      </c>
      <c r="S3859" s="58">
        <v>0</v>
      </c>
      <c r="T3859" s="58">
        <v>0</v>
      </c>
      <c r="U3859" s="58">
        <v>0</v>
      </c>
      <c r="V3859" s="58">
        <v>0</v>
      </c>
      <c r="AG3859" t="s">
        <v>3565</v>
      </c>
      <c r="AM3859" s="1" t="str">
        <f t="shared" si="206"/>
        <v>3857_C0005_2881.jpg</v>
      </c>
    </row>
    <row r="3860" spans="1:39" x14ac:dyDescent="0.35">
      <c r="A3860">
        <v>3856</v>
      </c>
      <c r="B3860">
        <v>3857</v>
      </c>
      <c r="F3860" s="64" t="s">
        <v>6172</v>
      </c>
      <c r="G3860" s="64"/>
      <c r="H3860" s="64"/>
      <c r="I3860" s="64">
        <v>0</v>
      </c>
      <c r="N3860" s="4">
        <v>0</v>
      </c>
      <c r="O3860" s="58">
        <v>0</v>
      </c>
      <c r="P3860" s="58">
        <v>0</v>
      </c>
      <c r="Q3860" s="58">
        <v>0</v>
      </c>
      <c r="R3860" s="58">
        <v>0</v>
      </c>
      <c r="S3860" s="58">
        <v>0</v>
      </c>
      <c r="T3860" s="58">
        <v>0</v>
      </c>
      <c r="U3860" s="58">
        <v>0</v>
      </c>
      <c r="V3860" s="58">
        <v>0</v>
      </c>
      <c r="AG3860" t="s">
        <v>3566</v>
      </c>
      <c r="AM3860" s="1" t="str">
        <f t="shared" si="206"/>
        <v>3858_C0005_2878.jpg</v>
      </c>
    </row>
    <row r="3861" spans="1:39" x14ac:dyDescent="0.35">
      <c r="A3861">
        <v>3857</v>
      </c>
      <c r="B3861">
        <v>3858</v>
      </c>
      <c r="F3861" s="64" t="s">
        <v>6173</v>
      </c>
      <c r="G3861" s="64"/>
      <c r="H3861" s="64"/>
      <c r="I3861" s="64">
        <v>0</v>
      </c>
      <c r="N3861" s="4">
        <v>0</v>
      </c>
      <c r="O3861" s="58">
        <v>0</v>
      </c>
      <c r="P3861" s="58">
        <v>0</v>
      </c>
      <c r="Q3861" s="58">
        <v>0</v>
      </c>
      <c r="R3861" s="58">
        <v>0</v>
      </c>
      <c r="S3861" s="58">
        <v>0</v>
      </c>
      <c r="T3861" s="58">
        <v>0</v>
      </c>
      <c r="U3861" s="58">
        <v>0</v>
      </c>
      <c r="V3861" s="58">
        <v>0</v>
      </c>
      <c r="AG3861" t="s">
        <v>3567</v>
      </c>
      <c r="AM3861" s="1" t="str">
        <f t="shared" si="206"/>
        <v>3859_C0005_2874.jpg</v>
      </c>
    </row>
    <row r="3862" spans="1:39" x14ac:dyDescent="0.35">
      <c r="A3862">
        <v>3858</v>
      </c>
      <c r="B3862">
        <v>3859</v>
      </c>
      <c r="F3862" s="64" t="s">
        <v>6174</v>
      </c>
      <c r="G3862" s="64"/>
      <c r="H3862" s="64"/>
      <c r="I3862" s="64">
        <v>0</v>
      </c>
      <c r="N3862" s="4">
        <v>0</v>
      </c>
      <c r="O3862" s="58">
        <v>0</v>
      </c>
      <c r="P3862" s="58">
        <v>0</v>
      </c>
      <c r="Q3862" s="58">
        <v>0</v>
      </c>
      <c r="R3862" s="58">
        <v>0</v>
      </c>
      <c r="S3862" s="58">
        <v>0</v>
      </c>
      <c r="T3862" s="58">
        <v>0</v>
      </c>
      <c r="U3862" s="58">
        <v>0</v>
      </c>
      <c r="V3862" s="58">
        <v>0</v>
      </c>
      <c r="AG3862" t="s">
        <v>3568</v>
      </c>
      <c r="AM3862" s="1" t="str">
        <f t="shared" si="206"/>
        <v>3860_C0005_2870.jpg</v>
      </c>
    </row>
    <row r="3863" spans="1:39" x14ac:dyDescent="0.35">
      <c r="A3863">
        <v>3859</v>
      </c>
      <c r="B3863">
        <v>3860</v>
      </c>
      <c r="F3863" s="64" t="s">
        <v>6175</v>
      </c>
      <c r="G3863" s="64"/>
      <c r="H3863" s="64"/>
      <c r="I3863" s="64">
        <v>0</v>
      </c>
      <c r="N3863" s="4">
        <v>0</v>
      </c>
      <c r="O3863" s="58">
        <v>0</v>
      </c>
      <c r="P3863" s="58">
        <v>0</v>
      </c>
      <c r="Q3863" s="58">
        <v>0</v>
      </c>
      <c r="R3863" s="58">
        <v>0</v>
      </c>
      <c r="S3863" s="58">
        <v>0</v>
      </c>
      <c r="T3863" s="58">
        <v>0</v>
      </c>
      <c r="U3863" s="58">
        <v>0</v>
      </c>
      <c r="V3863" s="58">
        <v>0</v>
      </c>
      <c r="AG3863" t="s">
        <v>3569</v>
      </c>
      <c r="AM3863" s="1" t="str">
        <f t="shared" si="206"/>
        <v>3861_C0005_2867.jpg</v>
      </c>
    </row>
    <row r="3864" spans="1:39" x14ac:dyDescent="0.35">
      <c r="A3864">
        <v>3860</v>
      </c>
      <c r="B3864">
        <v>3861</v>
      </c>
      <c r="F3864" s="64" t="s">
        <v>6176</v>
      </c>
      <c r="G3864" s="64"/>
      <c r="H3864" s="64"/>
      <c r="I3864" s="64">
        <v>0</v>
      </c>
      <c r="N3864" s="4">
        <v>0</v>
      </c>
      <c r="O3864" s="58">
        <v>0</v>
      </c>
      <c r="P3864" s="58">
        <v>0</v>
      </c>
      <c r="Q3864" s="58">
        <v>0</v>
      </c>
      <c r="R3864" s="58">
        <v>0</v>
      </c>
      <c r="S3864" s="58">
        <v>0</v>
      </c>
      <c r="T3864" s="58">
        <v>0</v>
      </c>
      <c r="U3864" s="58">
        <v>0</v>
      </c>
      <c r="V3864" s="58">
        <v>0</v>
      </c>
      <c r="AG3864" t="s">
        <v>3570</v>
      </c>
      <c r="AM3864" s="1" t="str">
        <f t="shared" si="206"/>
        <v>3862_C0005_2862.jpg</v>
      </c>
    </row>
    <row r="3865" spans="1:39" x14ac:dyDescent="0.35">
      <c r="A3865">
        <v>3861</v>
      </c>
      <c r="B3865">
        <v>3862</v>
      </c>
      <c r="F3865" s="64" t="s">
        <v>6177</v>
      </c>
      <c r="G3865" s="64"/>
      <c r="H3865" s="64"/>
      <c r="I3865" s="64">
        <v>0</v>
      </c>
      <c r="N3865" s="4">
        <v>0</v>
      </c>
      <c r="O3865" s="58">
        <v>0</v>
      </c>
      <c r="P3865" s="58">
        <v>0</v>
      </c>
      <c r="Q3865" s="58">
        <v>0</v>
      </c>
      <c r="R3865" s="58">
        <v>0</v>
      </c>
      <c r="S3865" s="58">
        <v>0</v>
      </c>
      <c r="T3865" s="58">
        <v>0</v>
      </c>
      <c r="U3865" s="58">
        <v>0</v>
      </c>
      <c r="V3865" s="58">
        <v>0</v>
      </c>
      <c r="AG3865" t="s">
        <v>3571</v>
      </c>
      <c r="AM3865" s="1" t="str">
        <f t="shared" si="206"/>
        <v>3863_C0005_2859.jpg</v>
      </c>
    </row>
    <row r="3866" spans="1:39" x14ac:dyDescent="0.35">
      <c r="A3866">
        <v>3862</v>
      </c>
      <c r="B3866">
        <v>3863</v>
      </c>
      <c r="F3866" s="64" t="s">
        <v>6178</v>
      </c>
      <c r="G3866" s="64"/>
      <c r="H3866" s="64"/>
      <c r="I3866" s="64">
        <v>0</v>
      </c>
      <c r="N3866" s="4">
        <v>0</v>
      </c>
      <c r="O3866" s="58">
        <v>0</v>
      </c>
      <c r="P3866" s="58">
        <v>0</v>
      </c>
      <c r="Q3866" s="58">
        <v>0</v>
      </c>
      <c r="R3866" s="58">
        <v>0</v>
      </c>
      <c r="S3866" s="58">
        <v>0</v>
      </c>
      <c r="T3866" s="58">
        <v>0</v>
      </c>
      <c r="U3866" s="58">
        <v>0</v>
      </c>
      <c r="V3866" s="58">
        <v>0</v>
      </c>
      <c r="AG3866" t="s">
        <v>3572</v>
      </c>
      <c r="AM3866" s="1" t="str">
        <f t="shared" si="206"/>
        <v>3864_C0005_2856.jpg</v>
      </c>
    </row>
    <row r="3867" spans="1:39" x14ac:dyDescent="0.35">
      <c r="A3867">
        <v>3863</v>
      </c>
      <c r="B3867">
        <v>3864</v>
      </c>
      <c r="F3867" s="64" t="s">
        <v>6179</v>
      </c>
      <c r="G3867" s="64"/>
      <c r="H3867" s="64"/>
      <c r="I3867" s="64">
        <v>0</v>
      </c>
      <c r="N3867" s="4">
        <v>0</v>
      </c>
      <c r="O3867" s="58">
        <v>0</v>
      </c>
      <c r="P3867" s="58">
        <v>0</v>
      </c>
      <c r="Q3867" s="58">
        <v>0</v>
      </c>
      <c r="R3867" s="58">
        <v>0</v>
      </c>
      <c r="S3867" s="58">
        <v>0</v>
      </c>
      <c r="T3867" s="58">
        <v>0</v>
      </c>
      <c r="U3867" s="58">
        <v>0</v>
      </c>
      <c r="V3867" s="58">
        <v>0</v>
      </c>
      <c r="AG3867" t="s">
        <v>3573</v>
      </c>
      <c r="AM3867" s="1" t="str">
        <f t="shared" si="206"/>
        <v>3865_C0005_2852.jpg</v>
      </c>
    </row>
    <row r="3868" spans="1:39" x14ac:dyDescent="0.35">
      <c r="A3868">
        <v>3864</v>
      </c>
      <c r="B3868">
        <v>3865</v>
      </c>
      <c r="F3868" s="64" t="s">
        <v>6180</v>
      </c>
      <c r="G3868" s="64"/>
      <c r="H3868" s="64"/>
      <c r="I3868" s="64">
        <v>0</v>
      </c>
      <c r="N3868" s="4">
        <v>0</v>
      </c>
      <c r="O3868" s="58">
        <v>0</v>
      </c>
      <c r="P3868" s="58">
        <v>0</v>
      </c>
      <c r="Q3868" s="58">
        <v>0</v>
      </c>
      <c r="R3868" s="58">
        <v>0</v>
      </c>
      <c r="S3868" s="58">
        <v>0</v>
      </c>
      <c r="T3868" s="58">
        <v>0</v>
      </c>
      <c r="U3868" s="58">
        <v>0</v>
      </c>
      <c r="V3868" s="58">
        <v>0</v>
      </c>
      <c r="AG3868" t="s">
        <v>3574</v>
      </c>
      <c r="AM3868" s="1" t="str">
        <f t="shared" si="206"/>
        <v>3866_C0005_2849.jpg</v>
      </c>
    </row>
    <row r="3869" spans="1:39" x14ac:dyDescent="0.35">
      <c r="A3869">
        <v>3865</v>
      </c>
      <c r="B3869">
        <v>3866</v>
      </c>
      <c r="F3869" s="64" t="s">
        <v>6181</v>
      </c>
      <c r="G3869" s="64"/>
      <c r="H3869" s="64"/>
      <c r="I3869" s="64">
        <v>0</v>
      </c>
      <c r="N3869" s="4">
        <v>0</v>
      </c>
      <c r="O3869" s="58">
        <v>0</v>
      </c>
      <c r="P3869" s="58">
        <v>0</v>
      </c>
      <c r="Q3869" s="58">
        <v>0</v>
      </c>
      <c r="R3869" s="58">
        <v>0</v>
      </c>
      <c r="S3869" s="58">
        <v>0</v>
      </c>
      <c r="T3869" s="58">
        <v>0</v>
      </c>
      <c r="U3869" s="58">
        <v>0</v>
      </c>
      <c r="V3869" s="58">
        <v>0</v>
      </c>
      <c r="AG3869" t="s">
        <v>3575</v>
      </c>
      <c r="AM3869" s="1" t="str">
        <f t="shared" si="206"/>
        <v>3867_C0005_2844.jpg</v>
      </c>
    </row>
    <row r="3870" spans="1:39" x14ac:dyDescent="0.35">
      <c r="A3870">
        <v>3866</v>
      </c>
      <c r="B3870">
        <v>3867</v>
      </c>
      <c r="F3870" s="64" t="s">
        <v>6182</v>
      </c>
      <c r="G3870" s="64"/>
      <c r="H3870" s="64"/>
      <c r="I3870" s="64">
        <v>0</v>
      </c>
      <c r="N3870" s="4">
        <v>0</v>
      </c>
      <c r="O3870" s="58">
        <v>0</v>
      </c>
      <c r="P3870" s="58">
        <v>0</v>
      </c>
      <c r="Q3870" s="58">
        <v>0</v>
      </c>
      <c r="R3870" s="58">
        <v>0</v>
      </c>
      <c r="S3870" s="58">
        <v>0</v>
      </c>
      <c r="T3870" s="58">
        <v>0</v>
      </c>
      <c r="U3870" s="58">
        <v>0</v>
      </c>
      <c r="V3870" s="58">
        <v>0</v>
      </c>
      <c r="AG3870" t="s">
        <v>3576</v>
      </c>
      <c r="AM3870" s="1" t="str">
        <f t="shared" si="206"/>
        <v>3868_C0005_2841.jpg</v>
      </c>
    </row>
    <row r="3871" spans="1:39" x14ac:dyDescent="0.35">
      <c r="A3871">
        <v>3867</v>
      </c>
      <c r="B3871">
        <v>3868</v>
      </c>
      <c r="F3871" s="64" t="s">
        <v>6183</v>
      </c>
      <c r="G3871" s="64"/>
      <c r="H3871" s="64"/>
      <c r="I3871" s="64">
        <v>0</v>
      </c>
      <c r="N3871" s="4">
        <v>0</v>
      </c>
      <c r="O3871" s="58">
        <v>0</v>
      </c>
      <c r="P3871" s="58">
        <v>0</v>
      </c>
      <c r="Q3871" s="58">
        <v>0</v>
      </c>
      <c r="R3871" s="58">
        <v>0</v>
      </c>
      <c r="S3871" s="58">
        <v>0</v>
      </c>
      <c r="T3871" s="58">
        <v>0</v>
      </c>
      <c r="U3871" s="58">
        <v>0</v>
      </c>
      <c r="V3871" s="58">
        <v>0</v>
      </c>
      <c r="AG3871" t="s">
        <v>3577</v>
      </c>
      <c r="AM3871" s="1" t="str">
        <f t="shared" si="206"/>
        <v>3869_C0005_2838.jpg</v>
      </c>
    </row>
    <row r="3872" spans="1:39" x14ac:dyDescent="0.35">
      <c r="A3872">
        <v>3868</v>
      </c>
      <c r="B3872">
        <v>3869</v>
      </c>
      <c r="F3872" s="64" t="s">
        <v>6184</v>
      </c>
      <c r="G3872" s="64"/>
      <c r="H3872" s="64"/>
      <c r="I3872" s="64">
        <v>0</v>
      </c>
      <c r="N3872" s="4">
        <v>0</v>
      </c>
      <c r="O3872" s="58">
        <v>0</v>
      </c>
      <c r="P3872" s="58">
        <v>0</v>
      </c>
      <c r="Q3872" s="58">
        <v>0</v>
      </c>
      <c r="R3872" s="58">
        <v>0</v>
      </c>
      <c r="S3872" s="58">
        <v>0</v>
      </c>
      <c r="T3872" s="58">
        <v>0</v>
      </c>
      <c r="U3872" s="58">
        <v>0</v>
      </c>
      <c r="V3872" s="58">
        <v>0</v>
      </c>
      <c r="AG3872" t="s">
        <v>3578</v>
      </c>
      <c r="AM3872" s="1" t="str">
        <f t="shared" si="206"/>
        <v>3870_C0005_2834.jpg</v>
      </c>
    </row>
    <row r="3873" spans="1:39" x14ac:dyDescent="0.35">
      <c r="A3873">
        <v>3869</v>
      </c>
      <c r="B3873">
        <v>3870</v>
      </c>
      <c r="F3873" s="64" t="s">
        <v>6185</v>
      </c>
      <c r="G3873" s="64"/>
      <c r="H3873" s="64"/>
      <c r="I3873" s="64">
        <v>0</v>
      </c>
      <c r="N3873" s="4">
        <v>0</v>
      </c>
      <c r="O3873" s="58">
        <v>0</v>
      </c>
      <c r="P3873" s="58">
        <v>0</v>
      </c>
      <c r="Q3873" s="58">
        <v>0</v>
      </c>
      <c r="R3873" s="58">
        <v>0</v>
      </c>
      <c r="S3873" s="58">
        <v>0</v>
      </c>
      <c r="T3873" s="58">
        <v>0</v>
      </c>
      <c r="U3873" s="58">
        <v>0</v>
      </c>
      <c r="V3873" s="58">
        <v>0</v>
      </c>
      <c r="AG3873" t="s">
        <v>3579</v>
      </c>
      <c r="AM3873" s="1" t="str">
        <f t="shared" si="206"/>
        <v>3871_C0005_2830.jpg</v>
      </c>
    </row>
    <row r="3874" spans="1:39" x14ac:dyDescent="0.35">
      <c r="A3874">
        <v>3870</v>
      </c>
      <c r="B3874">
        <v>3871</v>
      </c>
      <c r="F3874" s="64" t="s">
        <v>6186</v>
      </c>
      <c r="G3874" s="64"/>
      <c r="H3874" s="64"/>
      <c r="I3874" s="64">
        <v>0</v>
      </c>
      <c r="N3874" s="4">
        <v>0</v>
      </c>
      <c r="O3874" s="58">
        <v>0</v>
      </c>
      <c r="P3874" s="58">
        <v>0</v>
      </c>
      <c r="Q3874" s="58">
        <v>0</v>
      </c>
      <c r="R3874" s="58">
        <v>0</v>
      </c>
      <c r="S3874" s="58">
        <v>0</v>
      </c>
      <c r="T3874" s="58">
        <v>0</v>
      </c>
      <c r="U3874" s="58">
        <v>0</v>
      </c>
      <c r="V3874" s="58">
        <v>0</v>
      </c>
      <c r="AG3874" t="s">
        <v>3580</v>
      </c>
      <c r="AM3874" s="1" t="str">
        <f t="shared" si="206"/>
        <v>3872_C0005_2826.jpg</v>
      </c>
    </row>
    <row r="3875" spans="1:39" x14ac:dyDescent="0.35">
      <c r="A3875">
        <v>3871</v>
      </c>
      <c r="B3875">
        <v>3872</v>
      </c>
      <c r="F3875" s="64" t="s">
        <v>6187</v>
      </c>
      <c r="G3875" s="64"/>
      <c r="H3875" s="64"/>
      <c r="I3875" s="64">
        <v>0</v>
      </c>
      <c r="N3875" s="4">
        <v>0</v>
      </c>
      <c r="O3875" s="58">
        <v>0</v>
      </c>
      <c r="P3875" s="58">
        <v>0</v>
      </c>
      <c r="Q3875" s="58">
        <v>0</v>
      </c>
      <c r="R3875" s="58">
        <v>0</v>
      </c>
      <c r="S3875" s="58">
        <v>0</v>
      </c>
      <c r="T3875" s="58">
        <v>0</v>
      </c>
      <c r="U3875" s="58">
        <v>0</v>
      </c>
      <c r="V3875" s="58">
        <v>0</v>
      </c>
      <c r="AG3875" t="s">
        <v>3581</v>
      </c>
      <c r="AM3875" s="1" t="str">
        <f t="shared" si="206"/>
        <v>3873_C0005_2823.jpg</v>
      </c>
    </row>
    <row r="3876" spans="1:39" x14ac:dyDescent="0.35">
      <c r="A3876">
        <v>3872</v>
      </c>
      <c r="B3876">
        <v>3873</v>
      </c>
      <c r="F3876" s="64" t="s">
        <v>6188</v>
      </c>
      <c r="G3876" s="64"/>
      <c r="H3876" s="64"/>
      <c r="I3876" s="64">
        <v>0</v>
      </c>
      <c r="N3876" s="4">
        <v>0</v>
      </c>
      <c r="O3876" s="58">
        <v>0</v>
      </c>
      <c r="P3876" s="58">
        <v>0</v>
      </c>
      <c r="Q3876" s="58">
        <v>0</v>
      </c>
      <c r="R3876" s="58">
        <v>0</v>
      </c>
      <c r="S3876" s="58">
        <v>0</v>
      </c>
      <c r="T3876" s="58">
        <v>0</v>
      </c>
      <c r="U3876" s="58">
        <v>0</v>
      </c>
      <c r="V3876" s="58">
        <v>0</v>
      </c>
      <c r="AG3876" t="s">
        <v>3582</v>
      </c>
      <c r="AM3876" s="1" t="str">
        <f t="shared" si="206"/>
        <v>3874_C0005_2820.jpg</v>
      </c>
    </row>
    <row r="3877" spans="1:39" x14ac:dyDescent="0.35">
      <c r="A3877">
        <v>3873</v>
      </c>
      <c r="B3877">
        <v>3874</v>
      </c>
      <c r="F3877" s="64" t="s">
        <v>6189</v>
      </c>
      <c r="G3877" s="64"/>
      <c r="H3877" s="64"/>
      <c r="I3877" s="64">
        <v>0</v>
      </c>
      <c r="N3877" s="4">
        <v>0</v>
      </c>
      <c r="O3877" s="58">
        <v>0</v>
      </c>
      <c r="P3877" s="58">
        <v>0</v>
      </c>
      <c r="Q3877" s="58">
        <v>0</v>
      </c>
      <c r="R3877" s="58">
        <v>0</v>
      </c>
      <c r="S3877" s="58">
        <v>0</v>
      </c>
      <c r="T3877" s="58">
        <v>0</v>
      </c>
      <c r="U3877" s="58">
        <v>0</v>
      </c>
      <c r="V3877" s="58">
        <v>0</v>
      </c>
      <c r="AG3877" t="s">
        <v>3583</v>
      </c>
      <c r="AM3877" s="1" t="str">
        <f t="shared" si="206"/>
        <v>3875_C0005_2817.jpg</v>
      </c>
    </row>
    <row r="3878" spans="1:39" x14ac:dyDescent="0.35">
      <c r="A3878">
        <v>3874</v>
      </c>
      <c r="B3878">
        <v>3875</v>
      </c>
      <c r="F3878" s="64" t="s">
        <v>6190</v>
      </c>
      <c r="G3878" s="64"/>
      <c r="H3878" s="64"/>
      <c r="I3878" s="64">
        <v>0</v>
      </c>
      <c r="N3878" s="4">
        <v>0</v>
      </c>
      <c r="O3878" s="58">
        <v>0</v>
      </c>
      <c r="P3878" s="58">
        <v>0</v>
      </c>
      <c r="Q3878" s="58">
        <v>0</v>
      </c>
      <c r="R3878" s="58">
        <v>0</v>
      </c>
      <c r="S3878" s="58">
        <v>0</v>
      </c>
      <c r="T3878" s="58">
        <v>0</v>
      </c>
      <c r="U3878" s="58">
        <v>0</v>
      </c>
      <c r="V3878" s="58">
        <v>0</v>
      </c>
      <c r="AG3878" t="s">
        <v>3584</v>
      </c>
      <c r="AM3878" s="1" t="str">
        <f t="shared" si="206"/>
        <v>3876_C0005_2815.jpg</v>
      </c>
    </row>
    <row r="3879" spans="1:39" x14ac:dyDescent="0.35">
      <c r="A3879">
        <v>3875</v>
      </c>
      <c r="B3879">
        <v>3876</v>
      </c>
      <c r="F3879" s="64" t="s">
        <v>6191</v>
      </c>
      <c r="G3879" s="64"/>
      <c r="H3879" s="64"/>
      <c r="I3879" s="64">
        <v>0</v>
      </c>
      <c r="N3879" s="4">
        <v>0</v>
      </c>
      <c r="O3879" s="58">
        <v>0</v>
      </c>
      <c r="P3879" s="58">
        <v>0</v>
      </c>
      <c r="Q3879" s="58">
        <v>0</v>
      </c>
      <c r="R3879" s="58">
        <v>0</v>
      </c>
      <c r="S3879" s="58">
        <v>0</v>
      </c>
      <c r="T3879" s="58">
        <v>0</v>
      </c>
      <c r="U3879" s="58">
        <v>0</v>
      </c>
      <c r="V3879" s="58">
        <v>0</v>
      </c>
      <c r="AG3879" t="s">
        <v>3585</v>
      </c>
      <c r="AM3879" s="1" t="str">
        <f t="shared" si="206"/>
        <v>3877_C0005_2812.jpg</v>
      </c>
    </row>
    <row r="3880" spans="1:39" x14ac:dyDescent="0.35">
      <c r="A3880">
        <v>3876</v>
      </c>
      <c r="B3880">
        <v>3877</v>
      </c>
      <c r="F3880" s="64" t="s">
        <v>6192</v>
      </c>
      <c r="G3880" s="64"/>
      <c r="H3880" s="64"/>
      <c r="I3880" s="64">
        <v>0</v>
      </c>
      <c r="N3880" s="4">
        <v>0</v>
      </c>
      <c r="O3880" s="58">
        <v>0</v>
      </c>
      <c r="P3880" s="58">
        <v>0</v>
      </c>
      <c r="Q3880" s="58">
        <v>0</v>
      </c>
      <c r="R3880" s="58">
        <v>0</v>
      </c>
      <c r="S3880" s="58">
        <v>0</v>
      </c>
      <c r="T3880" s="58">
        <v>0</v>
      </c>
      <c r="U3880" s="58">
        <v>0</v>
      </c>
      <c r="V3880" s="58">
        <v>0</v>
      </c>
      <c r="AG3880" t="s">
        <v>3586</v>
      </c>
      <c r="AM3880" s="1" t="str">
        <f t="shared" si="206"/>
        <v>3878_C0005_2809.jpg</v>
      </c>
    </row>
    <row r="3881" spans="1:39" x14ac:dyDescent="0.35">
      <c r="A3881">
        <v>3877</v>
      </c>
      <c r="B3881">
        <v>3878</v>
      </c>
      <c r="F3881" s="64" t="s">
        <v>6193</v>
      </c>
      <c r="G3881" s="64"/>
      <c r="H3881" s="64"/>
      <c r="I3881" s="64">
        <v>0</v>
      </c>
      <c r="N3881" s="4">
        <v>0</v>
      </c>
      <c r="O3881" s="58">
        <v>0</v>
      </c>
      <c r="P3881" s="58">
        <v>0</v>
      </c>
      <c r="Q3881" s="58">
        <v>0</v>
      </c>
      <c r="R3881" s="58">
        <v>0</v>
      </c>
      <c r="S3881" s="58">
        <v>0</v>
      </c>
      <c r="T3881" s="58">
        <v>0</v>
      </c>
      <c r="U3881" s="58">
        <v>0</v>
      </c>
      <c r="V3881" s="58">
        <v>0</v>
      </c>
      <c r="AG3881" t="s">
        <v>3587</v>
      </c>
      <c r="AM3881" s="1" t="str">
        <f t="shared" ref="AM3881:AM3944" si="207">HYPERLINK("E:\CAFNEC_GBRF\2023\JohnstoneRiver\Frames_for_Analysis\" &amp; F3882, F3882)</f>
        <v>3879_C0005_2806.jpg</v>
      </c>
    </row>
    <row r="3882" spans="1:39" x14ac:dyDescent="0.35">
      <c r="A3882">
        <v>3878</v>
      </c>
      <c r="B3882">
        <v>3879</v>
      </c>
      <c r="F3882" s="64" t="s">
        <v>6194</v>
      </c>
      <c r="G3882" s="64"/>
      <c r="H3882" s="64"/>
      <c r="I3882" s="64">
        <v>0</v>
      </c>
      <c r="N3882" s="4">
        <v>0</v>
      </c>
      <c r="O3882" s="58">
        <v>0</v>
      </c>
      <c r="P3882" s="58">
        <v>0</v>
      </c>
      <c r="Q3882" s="58">
        <v>0</v>
      </c>
      <c r="R3882" s="58">
        <v>0</v>
      </c>
      <c r="S3882" s="58">
        <v>0</v>
      </c>
      <c r="T3882" s="58">
        <v>0</v>
      </c>
      <c r="U3882" s="58">
        <v>0</v>
      </c>
      <c r="V3882" s="58">
        <v>0</v>
      </c>
      <c r="AG3882" t="s">
        <v>3588</v>
      </c>
      <c r="AM3882" s="1" t="str">
        <f t="shared" si="207"/>
        <v>3880_C0005_2804.jpg</v>
      </c>
    </row>
    <row r="3883" spans="1:39" x14ac:dyDescent="0.35">
      <c r="A3883">
        <v>3879</v>
      </c>
      <c r="B3883">
        <v>3880</v>
      </c>
      <c r="F3883" s="64" t="s">
        <v>6195</v>
      </c>
      <c r="G3883" s="64"/>
      <c r="H3883" s="64"/>
      <c r="I3883" s="64">
        <v>0</v>
      </c>
      <c r="N3883" s="4">
        <v>0</v>
      </c>
      <c r="O3883" s="58">
        <v>0</v>
      </c>
      <c r="P3883" s="58">
        <v>0</v>
      </c>
      <c r="Q3883" s="58">
        <v>0</v>
      </c>
      <c r="R3883" s="58">
        <v>0</v>
      </c>
      <c r="S3883" s="58">
        <v>0</v>
      </c>
      <c r="T3883" s="58">
        <v>0</v>
      </c>
      <c r="U3883" s="58">
        <v>0</v>
      </c>
      <c r="V3883" s="58">
        <v>0</v>
      </c>
      <c r="AG3883" t="s">
        <v>3589</v>
      </c>
      <c r="AM3883" s="1" t="str">
        <f t="shared" si="207"/>
        <v>3881_C0005_2801.jpg</v>
      </c>
    </row>
    <row r="3884" spans="1:39" x14ac:dyDescent="0.35">
      <c r="A3884">
        <v>3880</v>
      </c>
      <c r="B3884">
        <v>3881</v>
      </c>
      <c r="F3884" s="64" t="s">
        <v>6196</v>
      </c>
      <c r="G3884" s="64"/>
      <c r="H3884" s="64"/>
      <c r="I3884" s="64">
        <v>0</v>
      </c>
      <c r="N3884" s="4">
        <v>0</v>
      </c>
      <c r="O3884" s="58">
        <v>0</v>
      </c>
      <c r="P3884" s="58">
        <v>0</v>
      </c>
      <c r="Q3884" s="58">
        <v>0</v>
      </c>
      <c r="R3884" s="58">
        <v>0</v>
      </c>
      <c r="S3884" s="58">
        <v>0</v>
      </c>
      <c r="T3884" s="58">
        <v>0</v>
      </c>
      <c r="U3884" s="58">
        <v>0</v>
      </c>
      <c r="V3884" s="58">
        <v>0</v>
      </c>
      <c r="AG3884" t="s">
        <v>3590</v>
      </c>
      <c r="AM3884" s="1" t="str">
        <f t="shared" si="207"/>
        <v>3882_C0005_2798.jpg</v>
      </c>
    </row>
    <row r="3885" spans="1:39" x14ac:dyDescent="0.35">
      <c r="A3885">
        <v>3881</v>
      </c>
      <c r="B3885">
        <v>3882</v>
      </c>
      <c r="F3885" s="64" t="s">
        <v>6197</v>
      </c>
      <c r="G3885" s="64"/>
      <c r="H3885" s="64"/>
      <c r="I3885" s="64">
        <v>0</v>
      </c>
      <c r="N3885" s="4">
        <v>0</v>
      </c>
      <c r="O3885" s="58">
        <v>0</v>
      </c>
      <c r="P3885" s="58">
        <v>0</v>
      </c>
      <c r="Q3885" s="58">
        <v>0</v>
      </c>
      <c r="R3885" s="58">
        <v>0</v>
      </c>
      <c r="S3885" s="58">
        <v>0</v>
      </c>
      <c r="T3885" s="58">
        <v>0</v>
      </c>
      <c r="U3885" s="58">
        <v>0</v>
      </c>
      <c r="V3885" s="58">
        <v>0</v>
      </c>
      <c r="AG3885" t="s">
        <v>3591</v>
      </c>
      <c r="AM3885" s="1" t="str">
        <f t="shared" si="207"/>
        <v>3883_C0005_2796.jpg</v>
      </c>
    </row>
    <row r="3886" spans="1:39" x14ac:dyDescent="0.35">
      <c r="A3886">
        <v>3882</v>
      </c>
      <c r="B3886">
        <v>3883</v>
      </c>
      <c r="F3886" s="64" t="s">
        <v>6198</v>
      </c>
      <c r="G3886" s="64"/>
      <c r="H3886" s="64"/>
      <c r="I3886" s="64">
        <v>0</v>
      </c>
      <c r="N3886" s="4">
        <v>0</v>
      </c>
      <c r="O3886" s="58">
        <v>0</v>
      </c>
      <c r="P3886" s="58">
        <v>0</v>
      </c>
      <c r="Q3886" s="58">
        <v>0</v>
      </c>
      <c r="R3886" s="58">
        <v>0</v>
      </c>
      <c r="S3886" s="58">
        <v>0</v>
      </c>
      <c r="T3886" s="58">
        <v>0</v>
      </c>
      <c r="U3886" s="58">
        <v>0</v>
      </c>
      <c r="V3886" s="58">
        <v>0</v>
      </c>
      <c r="AG3886" t="s">
        <v>3592</v>
      </c>
      <c r="AM3886" s="1" t="str">
        <f t="shared" si="207"/>
        <v>3884_C0005_2792.jpg</v>
      </c>
    </row>
    <row r="3887" spans="1:39" x14ac:dyDescent="0.35">
      <c r="A3887">
        <v>3883</v>
      </c>
      <c r="B3887">
        <v>3884</v>
      </c>
      <c r="F3887" s="64" t="s">
        <v>6199</v>
      </c>
      <c r="G3887" s="64"/>
      <c r="H3887" s="64"/>
      <c r="I3887" s="64">
        <v>0</v>
      </c>
      <c r="N3887" s="4">
        <v>0</v>
      </c>
      <c r="O3887" s="58">
        <v>0</v>
      </c>
      <c r="P3887" s="58">
        <v>0</v>
      </c>
      <c r="Q3887" s="58">
        <v>0</v>
      </c>
      <c r="R3887" s="58">
        <v>0</v>
      </c>
      <c r="S3887" s="58">
        <v>0</v>
      </c>
      <c r="T3887" s="58">
        <v>0</v>
      </c>
      <c r="U3887" s="58">
        <v>0</v>
      </c>
      <c r="V3887" s="58">
        <v>0</v>
      </c>
      <c r="AG3887" t="s">
        <v>3593</v>
      </c>
      <c r="AM3887" s="1" t="str">
        <f t="shared" si="207"/>
        <v>3885_C0005_2789.jpg</v>
      </c>
    </row>
    <row r="3888" spans="1:39" x14ac:dyDescent="0.35">
      <c r="A3888">
        <v>3884</v>
      </c>
      <c r="B3888">
        <v>3885</v>
      </c>
      <c r="F3888" s="64" t="s">
        <v>6200</v>
      </c>
      <c r="G3888" s="64"/>
      <c r="H3888" s="64"/>
      <c r="I3888" s="64">
        <v>0</v>
      </c>
      <c r="N3888" s="4">
        <v>0</v>
      </c>
      <c r="O3888" s="58">
        <v>0</v>
      </c>
      <c r="P3888" s="58">
        <v>0</v>
      </c>
      <c r="Q3888" s="58">
        <v>0</v>
      </c>
      <c r="R3888" s="58">
        <v>0</v>
      </c>
      <c r="S3888" s="58">
        <v>0</v>
      </c>
      <c r="T3888" s="58">
        <v>0</v>
      </c>
      <c r="U3888" s="58">
        <v>0</v>
      </c>
      <c r="V3888" s="58">
        <v>0</v>
      </c>
      <c r="AG3888" t="s">
        <v>3594</v>
      </c>
      <c r="AM3888" s="1" t="str">
        <f t="shared" si="207"/>
        <v>3886_C0005_2785.jpg</v>
      </c>
    </row>
    <row r="3889" spans="1:39" x14ac:dyDescent="0.35">
      <c r="A3889">
        <v>3885</v>
      </c>
      <c r="B3889">
        <v>3886</v>
      </c>
      <c r="F3889" s="64" t="s">
        <v>6201</v>
      </c>
      <c r="G3889" s="64"/>
      <c r="H3889" s="64"/>
      <c r="I3889" s="64">
        <v>0</v>
      </c>
      <c r="N3889" s="4">
        <v>0</v>
      </c>
      <c r="O3889" s="58">
        <v>0</v>
      </c>
      <c r="P3889" s="58">
        <v>0</v>
      </c>
      <c r="Q3889" s="58">
        <v>0</v>
      </c>
      <c r="R3889" s="58">
        <v>0</v>
      </c>
      <c r="S3889" s="58">
        <v>0</v>
      </c>
      <c r="T3889" s="58">
        <v>0</v>
      </c>
      <c r="U3889" s="58">
        <v>0</v>
      </c>
      <c r="V3889" s="58">
        <v>0</v>
      </c>
      <c r="AG3889" t="s">
        <v>3595</v>
      </c>
      <c r="AM3889" s="1" t="str">
        <f t="shared" si="207"/>
        <v>3887_C0005_2783.jpg</v>
      </c>
    </row>
    <row r="3890" spans="1:39" x14ac:dyDescent="0.35">
      <c r="A3890">
        <v>3886</v>
      </c>
      <c r="B3890">
        <v>3887</v>
      </c>
      <c r="F3890" s="64" t="s">
        <v>6202</v>
      </c>
      <c r="G3890" s="64"/>
      <c r="H3890" s="64"/>
      <c r="I3890" s="64">
        <v>0</v>
      </c>
      <c r="N3890" s="4">
        <v>0</v>
      </c>
      <c r="O3890" s="58">
        <v>0</v>
      </c>
      <c r="P3890" s="58">
        <v>0</v>
      </c>
      <c r="Q3890" s="58">
        <v>0</v>
      </c>
      <c r="R3890" s="58">
        <v>0</v>
      </c>
      <c r="S3890" s="58">
        <v>0</v>
      </c>
      <c r="T3890" s="58">
        <v>0</v>
      </c>
      <c r="U3890" s="58">
        <v>0</v>
      </c>
      <c r="V3890" s="58">
        <v>0</v>
      </c>
      <c r="AG3890" t="s">
        <v>3596</v>
      </c>
      <c r="AM3890" s="1" t="str">
        <f t="shared" si="207"/>
        <v>3888_C0005_2780.jpg</v>
      </c>
    </row>
    <row r="3891" spans="1:39" x14ac:dyDescent="0.35">
      <c r="A3891">
        <v>3887</v>
      </c>
      <c r="B3891">
        <v>3888</v>
      </c>
      <c r="F3891" s="64" t="s">
        <v>6203</v>
      </c>
      <c r="G3891" s="64"/>
      <c r="H3891" s="64"/>
      <c r="I3891" s="64">
        <v>0</v>
      </c>
      <c r="N3891" s="4">
        <v>0</v>
      </c>
      <c r="O3891" s="58">
        <v>0</v>
      </c>
      <c r="P3891" s="58">
        <v>0</v>
      </c>
      <c r="Q3891" s="58">
        <v>0</v>
      </c>
      <c r="R3891" s="58">
        <v>0</v>
      </c>
      <c r="S3891" s="58">
        <v>0</v>
      </c>
      <c r="T3891" s="58">
        <v>0</v>
      </c>
      <c r="U3891" s="58">
        <v>0</v>
      </c>
      <c r="V3891" s="58">
        <v>0</v>
      </c>
      <c r="AG3891" t="s">
        <v>3597</v>
      </c>
      <c r="AM3891" s="1" t="str">
        <f t="shared" si="207"/>
        <v>3889_C0005_2777.jpg</v>
      </c>
    </row>
    <row r="3892" spans="1:39" x14ac:dyDescent="0.35">
      <c r="A3892">
        <v>3888</v>
      </c>
      <c r="B3892">
        <v>3889</v>
      </c>
      <c r="F3892" s="64" t="s">
        <v>6204</v>
      </c>
      <c r="G3892" s="64"/>
      <c r="H3892" s="64"/>
      <c r="I3892" s="64">
        <v>0</v>
      </c>
      <c r="N3892" s="4">
        <v>0</v>
      </c>
      <c r="O3892" s="58">
        <v>0</v>
      </c>
      <c r="P3892" s="58">
        <v>0</v>
      </c>
      <c r="Q3892" s="58">
        <v>0</v>
      </c>
      <c r="R3892" s="58">
        <v>0</v>
      </c>
      <c r="S3892" s="58">
        <v>0</v>
      </c>
      <c r="T3892" s="58">
        <v>0</v>
      </c>
      <c r="U3892" s="58">
        <v>0</v>
      </c>
      <c r="V3892" s="58">
        <v>0</v>
      </c>
      <c r="AG3892" t="s">
        <v>3598</v>
      </c>
      <c r="AM3892" s="1" t="str">
        <f t="shared" si="207"/>
        <v>3890_C0005_2774.jpg</v>
      </c>
    </row>
    <row r="3893" spans="1:39" x14ac:dyDescent="0.35">
      <c r="A3893">
        <v>3889</v>
      </c>
      <c r="B3893">
        <v>3890</v>
      </c>
      <c r="F3893" s="64" t="s">
        <v>6205</v>
      </c>
      <c r="G3893" s="64"/>
      <c r="H3893" s="64"/>
      <c r="I3893" s="64">
        <v>0</v>
      </c>
      <c r="N3893" s="4">
        <v>0</v>
      </c>
      <c r="O3893" s="58">
        <v>0</v>
      </c>
      <c r="P3893" s="58">
        <v>0</v>
      </c>
      <c r="Q3893" s="58">
        <v>0</v>
      </c>
      <c r="R3893" s="58">
        <v>0</v>
      </c>
      <c r="S3893" s="58">
        <v>0</v>
      </c>
      <c r="T3893" s="58">
        <v>0</v>
      </c>
      <c r="U3893" s="58">
        <v>0</v>
      </c>
      <c r="V3893" s="58">
        <v>0</v>
      </c>
      <c r="AG3893" t="s">
        <v>3599</v>
      </c>
      <c r="AM3893" s="1" t="str">
        <f t="shared" si="207"/>
        <v>3891_C0005_2772.jpg</v>
      </c>
    </row>
    <row r="3894" spans="1:39" x14ac:dyDescent="0.35">
      <c r="A3894">
        <v>3890</v>
      </c>
      <c r="B3894">
        <v>3891</v>
      </c>
      <c r="F3894" s="64" t="s">
        <v>6206</v>
      </c>
      <c r="G3894" s="64"/>
      <c r="H3894" s="64"/>
      <c r="I3894" s="64">
        <v>0</v>
      </c>
      <c r="N3894" s="4">
        <v>0</v>
      </c>
      <c r="O3894" s="58">
        <v>0</v>
      </c>
      <c r="P3894" s="58">
        <v>0</v>
      </c>
      <c r="Q3894" s="58">
        <v>0</v>
      </c>
      <c r="R3894" s="58">
        <v>0</v>
      </c>
      <c r="S3894" s="58">
        <v>0</v>
      </c>
      <c r="T3894" s="58">
        <v>0</v>
      </c>
      <c r="U3894" s="58">
        <v>0</v>
      </c>
      <c r="V3894" s="58">
        <v>0</v>
      </c>
      <c r="AG3894" t="s">
        <v>3600</v>
      </c>
      <c r="AM3894" s="1" t="str">
        <f t="shared" si="207"/>
        <v>3892_C0005_2768.jpg</v>
      </c>
    </row>
    <row r="3895" spans="1:39" x14ac:dyDescent="0.35">
      <c r="A3895">
        <v>3891</v>
      </c>
      <c r="B3895">
        <v>3892</v>
      </c>
      <c r="F3895" s="64" t="s">
        <v>6207</v>
      </c>
      <c r="G3895" s="64"/>
      <c r="H3895" s="64"/>
      <c r="I3895" s="64">
        <v>0</v>
      </c>
      <c r="N3895" s="4">
        <v>0</v>
      </c>
      <c r="O3895" s="58">
        <v>0</v>
      </c>
      <c r="P3895" s="58">
        <v>0</v>
      </c>
      <c r="Q3895" s="58">
        <v>0</v>
      </c>
      <c r="R3895" s="58">
        <v>0</v>
      </c>
      <c r="S3895" s="58">
        <v>0</v>
      </c>
      <c r="T3895" s="58">
        <v>0</v>
      </c>
      <c r="U3895" s="58">
        <v>0</v>
      </c>
      <c r="V3895" s="58">
        <v>0</v>
      </c>
      <c r="AG3895" t="s">
        <v>3601</v>
      </c>
      <c r="AM3895" s="1" t="str">
        <f t="shared" si="207"/>
        <v>3893_C0005_2766.jpg</v>
      </c>
    </row>
    <row r="3896" spans="1:39" x14ac:dyDescent="0.35">
      <c r="A3896">
        <v>3892</v>
      </c>
      <c r="B3896">
        <v>3893</v>
      </c>
      <c r="F3896" s="64" t="s">
        <v>6208</v>
      </c>
      <c r="G3896" s="64"/>
      <c r="H3896" s="64"/>
      <c r="I3896" s="64">
        <v>0</v>
      </c>
      <c r="N3896" s="4">
        <v>0</v>
      </c>
      <c r="O3896" s="58">
        <v>0</v>
      </c>
      <c r="P3896" s="58">
        <v>0</v>
      </c>
      <c r="Q3896" s="58">
        <v>0</v>
      </c>
      <c r="R3896" s="58">
        <v>0</v>
      </c>
      <c r="S3896" s="58">
        <v>0</v>
      </c>
      <c r="T3896" s="58">
        <v>0</v>
      </c>
      <c r="U3896" s="58">
        <v>0</v>
      </c>
      <c r="V3896" s="58">
        <v>0</v>
      </c>
      <c r="AG3896" t="s">
        <v>3602</v>
      </c>
      <c r="AM3896" s="1" t="str">
        <f t="shared" si="207"/>
        <v>3894_C0005_2762.jpg</v>
      </c>
    </row>
    <row r="3897" spans="1:39" x14ac:dyDescent="0.35">
      <c r="A3897">
        <v>3893</v>
      </c>
      <c r="B3897">
        <v>3894</v>
      </c>
      <c r="F3897" s="64" t="s">
        <v>6209</v>
      </c>
      <c r="G3897" s="64"/>
      <c r="H3897" s="64"/>
      <c r="I3897" s="64">
        <v>0</v>
      </c>
      <c r="N3897" s="4">
        <v>0</v>
      </c>
      <c r="O3897" s="58">
        <v>0</v>
      </c>
      <c r="P3897" s="58">
        <v>0</v>
      </c>
      <c r="Q3897" s="58">
        <v>0</v>
      </c>
      <c r="R3897" s="58">
        <v>0</v>
      </c>
      <c r="S3897" s="58">
        <v>0</v>
      </c>
      <c r="T3897" s="58">
        <v>0</v>
      </c>
      <c r="U3897" s="58">
        <v>0</v>
      </c>
      <c r="V3897" s="58">
        <v>0</v>
      </c>
      <c r="AG3897" t="s">
        <v>3603</v>
      </c>
      <c r="AM3897" s="1" t="str">
        <f t="shared" si="207"/>
        <v>3895_C0005_2760.jpg</v>
      </c>
    </row>
    <row r="3898" spans="1:39" x14ac:dyDescent="0.35">
      <c r="A3898">
        <v>3894</v>
      </c>
      <c r="B3898">
        <v>3895</v>
      </c>
      <c r="F3898" s="64" t="s">
        <v>6210</v>
      </c>
      <c r="G3898" s="64"/>
      <c r="H3898" s="64"/>
      <c r="I3898" s="64">
        <v>0</v>
      </c>
      <c r="N3898" s="4">
        <v>0</v>
      </c>
      <c r="O3898" s="58">
        <v>0</v>
      </c>
      <c r="P3898" s="58">
        <v>0</v>
      </c>
      <c r="Q3898" s="58">
        <v>0</v>
      </c>
      <c r="R3898" s="58">
        <v>0</v>
      </c>
      <c r="S3898" s="58">
        <v>0</v>
      </c>
      <c r="T3898" s="58">
        <v>0</v>
      </c>
      <c r="U3898" s="58">
        <v>0</v>
      </c>
      <c r="V3898" s="58">
        <v>0</v>
      </c>
      <c r="AG3898" t="s">
        <v>3604</v>
      </c>
      <c r="AM3898" s="1" t="str">
        <f t="shared" si="207"/>
        <v>3896_C0005_2756.jpg</v>
      </c>
    </row>
    <row r="3899" spans="1:39" x14ac:dyDescent="0.35">
      <c r="A3899">
        <v>3895</v>
      </c>
      <c r="B3899">
        <v>3896</v>
      </c>
      <c r="F3899" s="64" t="s">
        <v>6211</v>
      </c>
      <c r="G3899" s="64"/>
      <c r="H3899" s="64"/>
      <c r="I3899" s="64">
        <v>0</v>
      </c>
      <c r="N3899" s="4">
        <v>0</v>
      </c>
      <c r="O3899" s="58">
        <v>0</v>
      </c>
      <c r="P3899" s="58">
        <v>0</v>
      </c>
      <c r="Q3899" s="58">
        <v>0</v>
      </c>
      <c r="R3899" s="58">
        <v>0</v>
      </c>
      <c r="S3899" s="58">
        <v>0</v>
      </c>
      <c r="T3899" s="58">
        <v>0</v>
      </c>
      <c r="U3899" s="58">
        <v>0</v>
      </c>
      <c r="V3899" s="58">
        <v>0</v>
      </c>
      <c r="AG3899" t="s">
        <v>3605</v>
      </c>
      <c r="AM3899" s="1" t="str">
        <f t="shared" si="207"/>
        <v>3897_C0005_2753.jpg</v>
      </c>
    </row>
    <row r="3900" spans="1:39" x14ac:dyDescent="0.35">
      <c r="A3900">
        <v>3896</v>
      </c>
      <c r="B3900">
        <v>3897</v>
      </c>
      <c r="F3900" s="64" t="s">
        <v>6212</v>
      </c>
      <c r="G3900" s="64"/>
      <c r="H3900" s="64"/>
      <c r="I3900" s="64">
        <v>0</v>
      </c>
      <c r="N3900" s="4">
        <v>0</v>
      </c>
      <c r="O3900" s="58">
        <v>0</v>
      </c>
      <c r="P3900" s="58">
        <v>0</v>
      </c>
      <c r="Q3900" s="58">
        <v>0</v>
      </c>
      <c r="R3900" s="58">
        <v>0</v>
      </c>
      <c r="S3900" s="58">
        <v>0</v>
      </c>
      <c r="T3900" s="58">
        <v>0</v>
      </c>
      <c r="U3900" s="58">
        <v>0</v>
      </c>
      <c r="V3900" s="58">
        <v>0</v>
      </c>
      <c r="AG3900" t="s">
        <v>3606</v>
      </c>
      <c r="AM3900" s="1" t="str">
        <f t="shared" si="207"/>
        <v>3898_C0005_2749.jpg</v>
      </c>
    </row>
    <row r="3901" spans="1:39" x14ac:dyDescent="0.35">
      <c r="A3901">
        <v>3897</v>
      </c>
      <c r="B3901">
        <v>3898</v>
      </c>
      <c r="F3901" s="64" t="s">
        <v>6213</v>
      </c>
      <c r="G3901" s="64"/>
      <c r="H3901" s="64"/>
      <c r="I3901" s="64">
        <v>0</v>
      </c>
      <c r="N3901" s="4">
        <v>0</v>
      </c>
      <c r="O3901" s="58">
        <v>0</v>
      </c>
      <c r="P3901" s="58">
        <v>0</v>
      </c>
      <c r="Q3901" s="58">
        <v>0</v>
      </c>
      <c r="R3901" s="58">
        <v>0</v>
      </c>
      <c r="S3901" s="58">
        <v>0</v>
      </c>
      <c r="T3901" s="58">
        <v>0</v>
      </c>
      <c r="U3901" s="58">
        <v>0</v>
      </c>
      <c r="V3901" s="58">
        <v>0</v>
      </c>
      <c r="AG3901" t="s">
        <v>3607</v>
      </c>
      <c r="AM3901" s="1" t="str">
        <f t="shared" si="207"/>
        <v>3899_C0005_2746.jpg</v>
      </c>
    </row>
    <row r="3902" spans="1:39" x14ac:dyDescent="0.35">
      <c r="A3902">
        <v>3898</v>
      </c>
      <c r="B3902">
        <v>3899</v>
      </c>
      <c r="F3902" s="64" t="s">
        <v>6214</v>
      </c>
      <c r="G3902" s="64"/>
      <c r="H3902" s="64"/>
      <c r="I3902" s="64">
        <v>0</v>
      </c>
      <c r="N3902" s="4">
        <v>0</v>
      </c>
      <c r="O3902" s="58">
        <v>0</v>
      </c>
      <c r="P3902" s="58">
        <v>0</v>
      </c>
      <c r="Q3902" s="58">
        <v>0</v>
      </c>
      <c r="R3902" s="58">
        <v>0</v>
      </c>
      <c r="S3902" s="58">
        <v>0</v>
      </c>
      <c r="T3902" s="58">
        <v>0</v>
      </c>
      <c r="U3902" s="58">
        <v>0</v>
      </c>
      <c r="V3902" s="58">
        <v>0</v>
      </c>
      <c r="AG3902" t="s">
        <v>3608</v>
      </c>
      <c r="AM3902" s="1" t="str">
        <f t="shared" si="207"/>
        <v>3900_C0005_2742.jpg</v>
      </c>
    </row>
    <row r="3903" spans="1:39" x14ac:dyDescent="0.35">
      <c r="A3903">
        <v>3899</v>
      </c>
      <c r="B3903">
        <v>3900</v>
      </c>
      <c r="F3903" s="64" t="s">
        <v>6215</v>
      </c>
      <c r="G3903" s="64"/>
      <c r="H3903" s="64"/>
      <c r="I3903" s="64">
        <v>0</v>
      </c>
      <c r="N3903" s="4">
        <v>0</v>
      </c>
      <c r="O3903" s="58">
        <v>0</v>
      </c>
      <c r="P3903" s="58">
        <v>0</v>
      </c>
      <c r="Q3903" s="58">
        <v>0</v>
      </c>
      <c r="R3903" s="58">
        <v>0</v>
      </c>
      <c r="S3903" s="58">
        <v>0</v>
      </c>
      <c r="T3903" s="58">
        <v>0</v>
      </c>
      <c r="U3903" s="58">
        <v>0</v>
      </c>
      <c r="V3903" s="58">
        <v>0</v>
      </c>
      <c r="AG3903" t="s">
        <v>3609</v>
      </c>
      <c r="AM3903" s="1" t="str">
        <f t="shared" si="207"/>
        <v>3901_C0005_2739.jpg</v>
      </c>
    </row>
    <row r="3904" spans="1:39" x14ac:dyDescent="0.35">
      <c r="A3904">
        <v>3900</v>
      </c>
      <c r="B3904">
        <v>3901</v>
      </c>
      <c r="F3904" s="64" t="s">
        <v>6216</v>
      </c>
      <c r="G3904" s="64"/>
      <c r="H3904" s="64"/>
      <c r="I3904" s="64">
        <v>0</v>
      </c>
      <c r="N3904" s="4">
        <v>0</v>
      </c>
      <c r="O3904" s="58">
        <v>0</v>
      </c>
      <c r="P3904" s="58">
        <v>0</v>
      </c>
      <c r="Q3904" s="58">
        <v>0</v>
      </c>
      <c r="R3904" s="58">
        <v>0</v>
      </c>
      <c r="S3904" s="58">
        <v>0</v>
      </c>
      <c r="T3904" s="58">
        <v>0</v>
      </c>
      <c r="U3904" s="58">
        <v>0</v>
      </c>
      <c r="V3904" s="58">
        <v>0</v>
      </c>
      <c r="AG3904" t="s">
        <v>3610</v>
      </c>
      <c r="AM3904" s="1" t="str">
        <f t="shared" si="207"/>
        <v>3902_C0005_2736.jpg</v>
      </c>
    </row>
    <row r="3905" spans="1:39" x14ac:dyDescent="0.35">
      <c r="A3905">
        <v>3901</v>
      </c>
      <c r="B3905">
        <v>3902</v>
      </c>
      <c r="F3905" s="64" t="s">
        <v>6217</v>
      </c>
      <c r="G3905" s="64"/>
      <c r="H3905" s="64"/>
      <c r="I3905" s="64">
        <v>0</v>
      </c>
      <c r="N3905" s="4">
        <v>0</v>
      </c>
      <c r="O3905" s="58">
        <v>0</v>
      </c>
      <c r="P3905" s="58">
        <v>0</v>
      </c>
      <c r="Q3905" s="58">
        <v>0</v>
      </c>
      <c r="R3905" s="58">
        <v>0</v>
      </c>
      <c r="S3905" s="58">
        <v>0</v>
      </c>
      <c r="T3905" s="58">
        <v>0</v>
      </c>
      <c r="U3905" s="58">
        <v>0</v>
      </c>
      <c r="V3905" s="58">
        <v>0</v>
      </c>
      <c r="AG3905" t="s">
        <v>3611</v>
      </c>
      <c r="AM3905" s="1" t="str">
        <f t="shared" si="207"/>
        <v>3903_C0005_2732.jpg</v>
      </c>
    </row>
    <row r="3906" spans="1:39" x14ac:dyDescent="0.35">
      <c r="A3906">
        <v>3902</v>
      </c>
      <c r="B3906">
        <v>3903</v>
      </c>
      <c r="F3906" s="64" t="s">
        <v>6218</v>
      </c>
      <c r="G3906" s="64"/>
      <c r="H3906" s="64"/>
      <c r="I3906" s="64">
        <v>0</v>
      </c>
      <c r="N3906" s="4">
        <v>0</v>
      </c>
      <c r="O3906" s="58">
        <v>0</v>
      </c>
      <c r="P3906" s="58">
        <v>0</v>
      </c>
      <c r="Q3906" s="58">
        <v>0</v>
      </c>
      <c r="R3906" s="58">
        <v>0</v>
      </c>
      <c r="S3906" s="58">
        <v>0</v>
      </c>
      <c r="T3906" s="58">
        <v>0</v>
      </c>
      <c r="U3906" s="58">
        <v>0</v>
      </c>
      <c r="V3906" s="58">
        <v>0</v>
      </c>
      <c r="AG3906" t="s">
        <v>3612</v>
      </c>
      <c r="AM3906" s="1" t="str">
        <f t="shared" si="207"/>
        <v>3904_C0005_2730.jpg</v>
      </c>
    </row>
    <row r="3907" spans="1:39" x14ac:dyDescent="0.35">
      <c r="A3907">
        <v>3903</v>
      </c>
      <c r="B3907">
        <v>3904</v>
      </c>
      <c r="F3907" s="64" t="s">
        <v>6219</v>
      </c>
      <c r="G3907" s="64"/>
      <c r="H3907" s="64"/>
      <c r="I3907" s="64">
        <v>0</v>
      </c>
      <c r="N3907" s="4">
        <v>0</v>
      </c>
      <c r="O3907" s="58">
        <v>0</v>
      </c>
      <c r="P3907" s="58">
        <v>0</v>
      </c>
      <c r="Q3907" s="58">
        <v>0</v>
      </c>
      <c r="R3907" s="58">
        <v>0</v>
      </c>
      <c r="S3907" s="58">
        <v>0</v>
      </c>
      <c r="T3907" s="58">
        <v>0</v>
      </c>
      <c r="U3907" s="58">
        <v>0</v>
      </c>
      <c r="V3907" s="58">
        <v>0</v>
      </c>
      <c r="AG3907" t="s">
        <v>3613</v>
      </c>
      <c r="AM3907" s="1" t="str">
        <f t="shared" si="207"/>
        <v>3905_C0005_2726.jpg</v>
      </c>
    </row>
    <row r="3908" spans="1:39" x14ac:dyDescent="0.35">
      <c r="A3908">
        <v>3904</v>
      </c>
      <c r="B3908">
        <v>3905</v>
      </c>
      <c r="F3908" s="64" t="s">
        <v>6220</v>
      </c>
      <c r="G3908" s="64"/>
      <c r="H3908" s="64"/>
      <c r="I3908" s="64">
        <v>0</v>
      </c>
      <c r="N3908" s="4">
        <v>0</v>
      </c>
      <c r="O3908" s="58">
        <v>0</v>
      </c>
      <c r="P3908" s="58">
        <v>0</v>
      </c>
      <c r="Q3908" s="58">
        <v>0</v>
      </c>
      <c r="R3908" s="58">
        <v>0</v>
      </c>
      <c r="S3908" s="58">
        <v>0</v>
      </c>
      <c r="T3908" s="58">
        <v>0</v>
      </c>
      <c r="U3908" s="58">
        <v>0</v>
      </c>
      <c r="V3908" s="58">
        <v>0</v>
      </c>
      <c r="AG3908" t="s">
        <v>3614</v>
      </c>
      <c r="AM3908" s="1" t="str">
        <f t="shared" si="207"/>
        <v>3906_C0005_2722.jpg</v>
      </c>
    </row>
    <row r="3909" spans="1:39" x14ac:dyDescent="0.35">
      <c r="A3909">
        <v>3905</v>
      </c>
      <c r="B3909">
        <v>3906</v>
      </c>
      <c r="F3909" s="64" t="s">
        <v>6221</v>
      </c>
      <c r="G3909" s="64"/>
      <c r="H3909" s="64"/>
      <c r="I3909" s="64">
        <v>0</v>
      </c>
      <c r="N3909" s="4">
        <v>0</v>
      </c>
      <c r="O3909" s="58">
        <v>0</v>
      </c>
      <c r="P3909" s="58">
        <v>0</v>
      </c>
      <c r="Q3909" s="58">
        <v>0</v>
      </c>
      <c r="R3909" s="58">
        <v>0</v>
      </c>
      <c r="S3909" s="58">
        <v>0</v>
      </c>
      <c r="T3909" s="58">
        <v>0</v>
      </c>
      <c r="U3909" s="58">
        <v>0</v>
      </c>
      <c r="V3909" s="58">
        <v>0</v>
      </c>
      <c r="AG3909" t="s">
        <v>3615</v>
      </c>
      <c r="AM3909" s="1" t="str">
        <f t="shared" si="207"/>
        <v>3907_C0005_2718.jpg</v>
      </c>
    </row>
    <row r="3910" spans="1:39" x14ac:dyDescent="0.35">
      <c r="A3910">
        <v>3906</v>
      </c>
      <c r="B3910">
        <v>3907</v>
      </c>
      <c r="F3910" s="64" t="s">
        <v>6222</v>
      </c>
      <c r="G3910" s="64"/>
      <c r="H3910" s="64"/>
      <c r="I3910" s="64">
        <v>0</v>
      </c>
      <c r="N3910" s="4">
        <v>0</v>
      </c>
      <c r="O3910" s="58">
        <v>0</v>
      </c>
      <c r="P3910" s="58">
        <v>0</v>
      </c>
      <c r="Q3910" s="58">
        <v>0</v>
      </c>
      <c r="R3910" s="58">
        <v>0</v>
      </c>
      <c r="S3910" s="58">
        <v>0</v>
      </c>
      <c r="T3910" s="58">
        <v>0</v>
      </c>
      <c r="U3910" s="58">
        <v>0</v>
      </c>
      <c r="V3910" s="58">
        <v>0</v>
      </c>
      <c r="AG3910" t="s">
        <v>3616</v>
      </c>
      <c r="AM3910" s="1" t="str">
        <f t="shared" si="207"/>
        <v>3908_C0005_2714.jpg</v>
      </c>
    </row>
    <row r="3911" spans="1:39" x14ac:dyDescent="0.35">
      <c r="A3911">
        <v>3907</v>
      </c>
      <c r="B3911">
        <v>3908</v>
      </c>
      <c r="F3911" s="64" t="s">
        <v>6223</v>
      </c>
      <c r="G3911" s="64"/>
      <c r="H3911" s="64"/>
      <c r="I3911" s="64">
        <v>0</v>
      </c>
      <c r="N3911" s="4">
        <v>0</v>
      </c>
      <c r="O3911" s="58">
        <v>0</v>
      </c>
      <c r="P3911" s="58">
        <v>0</v>
      </c>
      <c r="Q3911" s="58">
        <v>0</v>
      </c>
      <c r="R3911" s="58">
        <v>0</v>
      </c>
      <c r="S3911" s="58">
        <v>0</v>
      </c>
      <c r="T3911" s="58">
        <v>0</v>
      </c>
      <c r="U3911" s="58">
        <v>0</v>
      </c>
      <c r="V3911" s="58">
        <v>0</v>
      </c>
      <c r="AG3911" t="s">
        <v>3617</v>
      </c>
      <c r="AM3911" s="1" t="str">
        <f t="shared" si="207"/>
        <v>3909_C0005_2711.jpg</v>
      </c>
    </row>
    <row r="3912" spans="1:39" x14ac:dyDescent="0.35">
      <c r="A3912">
        <v>3908</v>
      </c>
      <c r="B3912">
        <v>3909</v>
      </c>
      <c r="F3912" s="64" t="s">
        <v>6224</v>
      </c>
      <c r="G3912" s="64"/>
      <c r="H3912" s="64"/>
      <c r="I3912" s="64">
        <v>0</v>
      </c>
      <c r="N3912" s="4">
        <v>0</v>
      </c>
      <c r="O3912" s="58">
        <v>0</v>
      </c>
      <c r="P3912" s="58">
        <v>0</v>
      </c>
      <c r="Q3912" s="58">
        <v>0</v>
      </c>
      <c r="R3912" s="58">
        <v>0</v>
      </c>
      <c r="S3912" s="58">
        <v>0</v>
      </c>
      <c r="T3912" s="58">
        <v>0</v>
      </c>
      <c r="U3912" s="58">
        <v>0</v>
      </c>
      <c r="V3912" s="58">
        <v>0</v>
      </c>
      <c r="AG3912" t="s">
        <v>3618</v>
      </c>
      <c r="AM3912" s="1" t="str">
        <f t="shared" si="207"/>
        <v>3910_C0005_2707.jpg</v>
      </c>
    </row>
    <row r="3913" spans="1:39" x14ac:dyDescent="0.35">
      <c r="A3913">
        <v>3909</v>
      </c>
      <c r="B3913">
        <v>3910</v>
      </c>
      <c r="F3913" s="64" t="s">
        <v>6225</v>
      </c>
      <c r="G3913" s="64"/>
      <c r="H3913" s="64"/>
      <c r="I3913" s="64">
        <v>0</v>
      </c>
      <c r="N3913" s="4">
        <v>0</v>
      </c>
      <c r="O3913" s="58">
        <v>0</v>
      </c>
      <c r="P3913" s="58">
        <v>0</v>
      </c>
      <c r="Q3913" s="58">
        <v>0</v>
      </c>
      <c r="R3913" s="58">
        <v>0</v>
      </c>
      <c r="S3913" s="58">
        <v>0</v>
      </c>
      <c r="T3913" s="58">
        <v>0</v>
      </c>
      <c r="U3913" s="58">
        <v>0</v>
      </c>
      <c r="V3913" s="58">
        <v>0</v>
      </c>
      <c r="AG3913" t="s">
        <v>3619</v>
      </c>
      <c r="AM3913" s="1" t="str">
        <f t="shared" si="207"/>
        <v>3911_C0005_2703.jpg</v>
      </c>
    </row>
    <row r="3914" spans="1:39" x14ac:dyDescent="0.35">
      <c r="A3914">
        <v>3910</v>
      </c>
      <c r="B3914">
        <v>3911</v>
      </c>
      <c r="F3914" s="64" t="s">
        <v>6226</v>
      </c>
      <c r="G3914" s="64"/>
      <c r="H3914" s="64"/>
      <c r="I3914" s="64">
        <v>0</v>
      </c>
      <c r="N3914" s="4">
        <v>0</v>
      </c>
      <c r="O3914" s="58">
        <v>0</v>
      </c>
      <c r="P3914" s="58">
        <v>0</v>
      </c>
      <c r="Q3914" s="58">
        <v>0</v>
      </c>
      <c r="R3914" s="58">
        <v>0</v>
      </c>
      <c r="S3914" s="58">
        <v>0</v>
      </c>
      <c r="T3914" s="58">
        <v>0</v>
      </c>
      <c r="U3914" s="58">
        <v>0</v>
      </c>
      <c r="V3914" s="58">
        <v>0</v>
      </c>
      <c r="AG3914" t="s">
        <v>3620</v>
      </c>
      <c r="AM3914" s="1" t="str">
        <f t="shared" si="207"/>
        <v>3912_C0005_2699.jpg</v>
      </c>
    </row>
    <row r="3915" spans="1:39" x14ac:dyDescent="0.35">
      <c r="A3915">
        <v>3911</v>
      </c>
      <c r="B3915">
        <v>3912</v>
      </c>
      <c r="F3915" s="64" t="s">
        <v>6227</v>
      </c>
      <c r="G3915" s="64"/>
      <c r="H3915" s="64"/>
      <c r="I3915" s="64">
        <v>0</v>
      </c>
      <c r="N3915" s="4">
        <v>0</v>
      </c>
      <c r="O3915" s="58">
        <v>0</v>
      </c>
      <c r="P3915" s="58">
        <v>0</v>
      </c>
      <c r="Q3915" s="58">
        <v>0</v>
      </c>
      <c r="R3915" s="58">
        <v>0</v>
      </c>
      <c r="S3915" s="58">
        <v>0</v>
      </c>
      <c r="T3915" s="58">
        <v>0</v>
      </c>
      <c r="U3915" s="58">
        <v>0</v>
      </c>
      <c r="V3915" s="58">
        <v>0</v>
      </c>
      <c r="AG3915" t="s">
        <v>3621</v>
      </c>
      <c r="AM3915" s="1" t="str">
        <f t="shared" si="207"/>
        <v>3913_C0005_2695.jpg</v>
      </c>
    </row>
    <row r="3916" spans="1:39" x14ac:dyDescent="0.35">
      <c r="A3916">
        <v>3912</v>
      </c>
      <c r="B3916">
        <v>3913</v>
      </c>
      <c r="F3916" s="64" t="s">
        <v>6228</v>
      </c>
      <c r="G3916" s="64"/>
      <c r="H3916" s="64"/>
      <c r="I3916" s="64">
        <v>0</v>
      </c>
      <c r="N3916" s="4">
        <v>0</v>
      </c>
      <c r="O3916" s="58">
        <v>0</v>
      </c>
      <c r="P3916" s="58">
        <v>0</v>
      </c>
      <c r="Q3916" s="58">
        <v>0</v>
      </c>
      <c r="R3916" s="58">
        <v>0</v>
      </c>
      <c r="S3916" s="58">
        <v>0</v>
      </c>
      <c r="T3916" s="58">
        <v>0</v>
      </c>
      <c r="U3916" s="58">
        <v>0</v>
      </c>
      <c r="V3916" s="58">
        <v>0</v>
      </c>
      <c r="AG3916" t="s">
        <v>3622</v>
      </c>
      <c r="AM3916" s="1" t="str">
        <f t="shared" si="207"/>
        <v>3914_C0005_2691.jpg</v>
      </c>
    </row>
    <row r="3917" spans="1:39" x14ac:dyDescent="0.35">
      <c r="A3917">
        <v>3913</v>
      </c>
      <c r="B3917">
        <v>3914</v>
      </c>
      <c r="F3917" s="64" t="s">
        <v>6229</v>
      </c>
      <c r="G3917" s="64"/>
      <c r="H3917" s="64"/>
      <c r="I3917" s="64">
        <v>0</v>
      </c>
      <c r="N3917" s="4">
        <v>0</v>
      </c>
      <c r="O3917" s="58">
        <v>0</v>
      </c>
      <c r="P3917" s="58">
        <v>0</v>
      </c>
      <c r="Q3917" s="58">
        <v>0</v>
      </c>
      <c r="R3917" s="58">
        <v>0</v>
      </c>
      <c r="S3917" s="58">
        <v>0</v>
      </c>
      <c r="T3917" s="58">
        <v>0</v>
      </c>
      <c r="U3917" s="58">
        <v>0</v>
      </c>
      <c r="V3917" s="58">
        <v>0</v>
      </c>
      <c r="AG3917" t="s">
        <v>3623</v>
      </c>
      <c r="AM3917" s="1" t="str">
        <f t="shared" si="207"/>
        <v>3915_C0005_2687.jpg</v>
      </c>
    </row>
    <row r="3918" spans="1:39" x14ac:dyDescent="0.35">
      <c r="A3918">
        <v>3914</v>
      </c>
      <c r="B3918">
        <v>3915</v>
      </c>
      <c r="F3918" s="64" t="s">
        <v>6230</v>
      </c>
      <c r="G3918" s="64"/>
      <c r="H3918" s="64"/>
      <c r="I3918" s="64">
        <v>0</v>
      </c>
      <c r="N3918" s="4">
        <v>0</v>
      </c>
      <c r="O3918" s="58">
        <v>0</v>
      </c>
      <c r="P3918" s="58">
        <v>0</v>
      </c>
      <c r="Q3918" s="58">
        <v>0</v>
      </c>
      <c r="R3918" s="58">
        <v>0</v>
      </c>
      <c r="S3918" s="58">
        <v>0</v>
      </c>
      <c r="T3918" s="58">
        <v>0</v>
      </c>
      <c r="U3918" s="58">
        <v>0</v>
      </c>
      <c r="V3918" s="58">
        <v>0</v>
      </c>
      <c r="AG3918" t="s">
        <v>3624</v>
      </c>
      <c r="AM3918" s="1" t="str">
        <f t="shared" si="207"/>
        <v>3916_C0005_2683.jpg</v>
      </c>
    </row>
    <row r="3919" spans="1:39" x14ac:dyDescent="0.35">
      <c r="A3919">
        <v>3915</v>
      </c>
      <c r="B3919">
        <v>3916</v>
      </c>
      <c r="F3919" s="64" t="s">
        <v>6231</v>
      </c>
      <c r="G3919" s="64"/>
      <c r="H3919" s="64"/>
      <c r="I3919" s="64">
        <v>0</v>
      </c>
      <c r="N3919" s="4">
        <v>0</v>
      </c>
      <c r="O3919" s="58">
        <v>0</v>
      </c>
      <c r="P3919" s="58">
        <v>0</v>
      </c>
      <c r="Q3919" s="58">
        <v>0</v>
      </c>
      <c r="R3919" s="58">
        <v>0</v>
      </c>
      <c r="S3919" s="58">
        <v>0</v>
      </c>
      <c r="T3919" s="58">
        <v>0</v>
      </c>
      <c r="U3919" s="58">
        <v>0</v>
      </c>
      <c r="V3919" s="58">
        <v>0</v>
      </c>
      <c r="AG3919" t="s">
        <v>3625</v>
      </c>
      <c r="AM3919" s="1" t="str">
        <f t="shared" si="207"/>
        <v>3917_C0005_2680.jpg</v>
      </c>
    </row>
    <row r="3920" spans="1:39" x14ac:dyDescent="0.35">
      <c r="A3920">
        <v>3916</v>
      </c>
      <c r="B3920">
        <v>3917</v>
      </c>
      <c r="F3920" s="64" t="s">
        <v>6232</v>
      </c>
      <c r="G3920" s="64"/>
      <c r="H3920" s="64"/>
      <c r="I3920" s="64">
        <v>0</v>
      </c>
      <c r="N3920" s="4">
        <v>0</v>
      </c>
      <c r="O3920" s="58">
        <v>0</v>
      </c>
      <c r="P3920" s="58">
        <v>0</v>
      </c>
      <c r="Q3920" s="58">
        <v>0</v>
      </c>
      <c r="R3920" s="58">
        <v>0</v>
      </c>
      <c r="S3920" s="58">
        <v>0</v>
      </c>
      <c r="T3920" s="58">
        <v>0</v>
      </c>
      <c r="U3920" s="58">
        <v>0</v>
      </c>
      <c r="V3920" s="58">
        <v>0</v>
      </c>
      <c r="AG3920" t="s">
        <v>3626</v>
      </c>
      <c r="AM3920" s="1" t="str">
        <f t="shared" si="207"/>
        <v>3918_C0005_2676.jpg</v>
      </c>
    </row>
    <row r="3921" spans="1:39" x14ac:dyDescent="0.35">
      <c r="A3921">
        <v>3917</v>
      </c>
      <c r="B3921">
        <v>3918</v>
      </c>
      <c r="F3921" s="64" t="s">
        <v>6233</v>
      </c>
      <c r="G3921" s="64"/>
      <c r="H3921" s="64"/>
      <c r="I3921" s="64">
        <v>0</v>
      </c>
      <c r="N3921" s="4">
        <v>0</v>
      </c>
      <c r="O3921" s="58">
        <v>0</v>
      </c>
      <c r="P3921" s="58">
        <v>0</v>
      </c>
      <c r="Q3921" s="58">
        <v>0</v>
      </c>
      <c r="R3921" s="58">
        <v>0</v>
      </c>
      <c r="S3921" s="58">
        <v>0</v>
      </c>
      <c r="T3921" s="58">
        <v>0</v>
      </c>
      <c r="U3921" s="58">
        <v>0</v>
      </c>
      <c r="V3921" s="58">
        <v>0</v>
      </c>
      <c r="AG3921" t="s">
        <v>3627</v>
      </c>
      <c r="AM3921" s="1" t="str">
        <f t="shared" si="207"/>
        <v>3919_C0005_2673.jpg</v>
      </c>
    </row>
    <row r="3922" spans="1:39" x14ac:dyDescent="0.35">
      <c r="A3922">
        <v>3918</v>
      </c>
      <c r="B3922">
        <v>3919</v>
      </c>
      <c r="F3922" s="64" t="s">
        <v>6234</v>
      </c>
      <c r="G3922" s="64"/>
      <c r="H3922" s="64"/>
      <c r="I3922" s="64">
        <v>0</v>
      </c>
      <c r="N3922" s="4">
        <v>0</v>
      </c>
      <c r="O3922" s="58">
        <v>0</v>
      </c>
      <c r="P3922" s="58">
        <v>0</v>
      </c>
      <c r="Q3922" s="58">
        <v>0</v>
      </c>
      <c r="R3922" s="58">
        <v>0</v>
      </c>
      <c r="S3922" s="58">
        <v>0</v>
      </c>
      <c r="T3922" s="58">
        <v>0</v>
      </c>
      <c r="U3922" s="58">
        <v>0</v>
      </c>
      <c r="V3922" s="58">
        <v>0</v>
      </c>
      <c r="AG3922" t="s">
        <v>3628</v>
      </c>
      <c r="AM3922" s="1" t="str">
        <f t="shared" si="207"/>
        <v>3920_C0005_2669.jpg</v>
      </c>
    </row>
    <row r="3923" spans="1:39" x14ac:dyDescent="0.35">
      <c r="A3923">
        <v>3919</v>
      </c>
      <c r="B3923">
        <v>3920</v>
      </c>
      <c r="F3923" s="64" t="s">
        <v>6235</v>
      </c>
      <c r="G3923" s="64"/>
      <c r="H3923" s="64"/>
      <c r="I3923" s="64">
        <v>0</v>
      </c>
      <c r="N3923" s="4">
        <v>0</v>
      </c>
      <c r="O3923" s="58">
        <v>0</v>
      </c>
      <c r="P3923" s="58">
        <v>0</v>
      </c>
      <c r="Q3923" s="58">
        <v>0</v>
      </c>
      <c r="R3923" s="58">
        <v>0</v>
      </c>
      <c r="S3923" s="58">
        <v>0</v>
      </c>
      <c r="T3923" s="58">
        <v>0</v>
      </c>
      <c r="U3923" s="58">
        <v>0</v>
      </c>
      <c r="V3923" s="58">
        <v>0</v>
      </c>
      <c r="AG3923" t="s">
        <v>3629</v>
      </c>
      <c r="AM3923" s="1" t="str">
        <f t="shared" si="207"/>
        <v>3921_C0005_2665.jpg</v>
      </c>
    </row>
    <row r="3924" spans="1:39" x14ac:dyDescent="0.35">
      <c r="A3924">
        <v>3920</v>
      </c>
      <c r="B3924">
        <v>3921</v>
      </c>
      <c r="F3924" s="64" t="s">
        <v>6236</v>
      </c>
      <c r="G3924" s="64"/>
      <c r="H3924" s="64"/>
      <c r="I3924" s="64">
        <v>0</v>
      </c>
      <c r="N3924" s="4">
        <v>0</v>
      </c>
      <c r="O3924" s="58">
        <v>0</v>
      </c>
      <c r="P3924" s="58">
        <v>0</v>
      </c>
      <c r="Q3924" s="58">
        <v>0</v>
      </c>
      <c r="R3924" s="58">
        <v>0</v>
      </c>
      <c r="S3924" s="58">
        <v>0</v>
      </c>
      <c r="T3924" s="58">
        <v>0</v>
      </c>
      <c r="U3924" s="58">
        <v>0</v>
      </c>
      <c r="V3924" s="58">
        <v>0</v>
      </c>
      <c r="AG3924" t="s">
        <v>3630</v>
      </c>
      <c r="AM3924" s="1" t="str">
        <f t="shared" si="207"/>
        <v>3922_C0005_2662.jpg</v>
      </c>
    </row>
    <row r="3925" spans="1:39" x14ac:dyDescent="0.35">
      <c r="A3925">
        <v>3921</v>
      </c>
      <c r="B3925">
        <v>3922</v>
      </c>
      <c r="F3925" s="64" t="s">
        <v>6237</v>
      </c>
      <c r="G3925" s="64"/>
      <c r="H3925" s="64"/>
      <c r="I3925" s="64">
        <v>0</v>
      </c>
      <c r="N3925" s="4">
        <v>0</v>
      </c>
      <c r="O3925" s="58">
        <v>0</v>
      </c>
      <c r="P3925" s="58">
        <v>0</v>
      </c>
      <c r="Q3925" s="58">
        <v>0</v>
      </c>
      <c r="R3925" s="58">
        <v>0</v>
      </c>
      <c r="S3925" s="58">
        <v>0</v>
      </c>
      <c r="T3925" s="58">
        <v>0</v>
      </c>
      <c r="U3925" s="58">
        <v>0</v>
      </c>
      <c r="V3925" s="58">
        <v>0</v>
      </c>
      <c r="AG3925" t="s">
        <v>3631</v>
      </c>
      <c r="AM3925" s="1" t="str">
        <f t="shared" si="207"/>
        <v>3923_C0005_2659.jpg</v>
      </c>
    </row>
    <row r="3926" spans="1:39" x14ac:dyDescent="0.35">
      <c r="A3926">
        <v>3922</v>
      </c>
      <c r="B3926">
        <v>3923</v>
      </c>
      <c r="F3926" s="64" t="s">
        <v>6238</v>
      </c>
      <c r="G3926" s="64"/>
      <c r="H3926" s="64"/>
      <c r="I3926" s="64">
        <v>0</v>
      </c>
      <c r="N3926" s="4">
        <v>0</v>
      </c>
      <c r="O3926" s="58">
        <v>0</v>
      </c>
      <c r="P3926" s="58">
        <v>0</v>
      </c>
      <c r="Q3926" s="58">
        <v>0</v>
      </c>
      <c r="R3926" s="58">
        <v>0</v>
      </c>
      <c r="S3926" s="58">
        <v>0</v>
      </c>
      <c r="T3926" s="58">
        <v>0</v>
      </c>
      <c r="U3926" s="58">
        <v>0</v>
      </c>
      <c r="V3926" s="58">
        <v>0</v>
      </c>
      <c r="AG3926" t="s">
        <v>3632</v>
      </c>
      <c r="AM3926" s="1" t="str">
        <f t="shared" si="207"/>
        <v>3924_C0005_2655.jpg</v>
      </c>
    </row>
    <row r="3927" spans="1:39" x14ac:dyDescent="0.35">
      <c r="A3927">
        <v>3923</v>
      </c>
      <c r="B3927">
        <v>3924</v>
      </c>
      <c r="F3927" s="64" t="s">
        <v>6239</v>
      </c>
      <c r="G3927" s="64"/>
      <c r="H3927" s="64"/>
      <c r="I3927" s="64">
        <v>0</v>
      </c>
      <c r="N3927" s="4">
        <v>0</v>
      </c>
      <c r="O3927" s="58">
        <v>0</v>
      </c>
      <c r="P3927" s="58">
        <v>0</v>
      </c>
      <c r="Q3927" s="58">
        <v>0</v>
      </c>
      <c r="R3927" s="58">
        <v>0</v>
      </c>
      <c r="S3927" s="58">
        <v>0</v>
      </c>
      <c r="T3927" s="58">
        <v>0</v>
      </c>
      <c r="U3927" s="58">
        <v>0</v>
      </c>
      <c r="V3927" s="58">
        <v>0</v>
      </c>
      <c r="AG3927" t="s">
        <v>3633</v>
      </c>
      <c r="AM3927" s="1" t="str">
        <f t="shared" si="207"/>
        <v>3925_C0005_2652.jpg</v>
      </c>
    </row>
    <row r="3928" spans="1:39" x14ac:dyDescent="0.35">
      <c r="A3928">
        <v>3924</v>
      </c>
      <c r="B3928">
        <v>3925</v>
      </c>
      <c r="F3928" s="64" t="s">
        <v>6240</v>
      </c>
      <c r="G3928" s="64"/>
      <c r="H3928" s="64"/>
      <c r="I3928" s="64">
        <v>0</v>
      </c>
      <c r="N3928" s="4">
        <v>0</v>
      </c>
      <c r="O3928" s="58">
        <v>0</v>
      </c>
      <c r="P3928" s="58">
        <v>0</v>
      </c>
      <c r="Q3928" s="58">
        <v>0</v>
      </c>
      <c r="R3928" s="58">
        <v>0</v>
      </c>
      <c r="S3928" s="58">
        <v>0</v>
      </c>
      <c r="T3928" s="58">
        <v>0</v>
      </c>
      <c r="U3928" s="58">
        <v>0</v>
      </c>
      <c r="V3928" s="58">
        <v>0</v>
      </c>
      <c r="AG3928" t="s">
        <v>3634</v>
      </c>
      <c r="AM3928" s="1" t="str">
        <f t="shared" si="207"/>
        <v>3926_C0005_2648.jpg</v>
      </c>
    </row>
    <row r="3929" spans="1:39" x14ac:dyDescent="0.35">
      <c r="A3929">
        <v>3925</v>
      </c>
      <c r="B3929">
        <v>3926</v>
      </c>
      <c r="F3929" s="64" t="s">
        <v>6241</v>
      </c>
      <c r="G3929" s="64"/>
      <c r="H3929" s="64"/>
      <c r="I3929" s="64">
        <v>0</v>
      </c>
      <c r="N3929" s="4">
        <v>0</v>
      </c>
      <c r="O3929" s="58">
        <v>0</v>
      </c>
      <c r="P3929" s="58">
        <v>0</v>
      </c>
      <c r="Q3929" s="58">
        <v>0</v>
      </c>
      <c r="R3929" s="58">
        <v>0</v>
      </c>
      <c r="S3929" s="58">
        <v>0</v>
      </c>
      <c r="T3929" s="58">
        <v>0</v>
      </c>
      <c r="U3929" s="58">
        <v>0</v>
      </c>
      <c r="V3929" s="58">
        <v>0</v>
      </c>
      <c r="AG3929" t="s">
        <v>3635</v>
      </c>
      <c r="AM3929" s="1" t="str">
        <f t="shared" si="207"/>
        <v>3927_C0005_2643.jpg</v>
      </c>
    </row>
    <row r="3930" spans="1:39" x14ac:dyDescent="0.35">
      <c r="A3930">
        <v>3926</v>
      </c>
      <c r="B3930">
        <v>3927</v>
      </c>
      <c r="F3930" s="64" t="s">
        <v>6242</v>
      </c>
      <c r="G3930" s="64"/>
      <c r="H3930" s="64"/>
      <c r="I3930" s="64">
        <v>0</v>
      </c>
      <c r="N3930" s="4">
        <v>0</v>
      </c>
      <c r="O3930" s="58">
        <v>0</v>
      </c>
      <c r="P3930" s="58">
        <v>0</v>
      </c>
      <c r="Q3930" s="58">
        <v>0</v>
      </c>
      <c r="R3930" s="58">
        <v>0</v>
      </c>
      <c r="S3930" s="58">
        <v>0</v>
      </c>
      <c r="T3930" s="58">
        <v>0</v>
      </c>
      <c r="U3930" s="58">
        <v>0</v>
      </c>
      <c r="V3930" s="58">
        <v>0</v>
      </c>
      <c r="AG3930" t="s">
        <v>3636</v>
      </c>
      <c r="AM3930" s="1" t="str">
        <f t="shared" si="207"/>
        <v>3928_C0005_2639.jpg</v>
      </c>
    </row>
    <row r="3931" spans="1:39" x14ac:dyDescent="0.35">
      <c r="A3931">
        <v>3927</v>
      </c>
      <c r="B3931">
        <v>3928</v>
      </c>
      <c r="F3931" s="64" t="s">
        <v>6243</v>
      </c>
      <c r="G3931" s="64"/>
      <c r="H3931" s="64"/>
      <c r="I3931" s="64">
        <v>0</v>
      </c>
      <c r="N3931" s="4">
        <v>0</v>
      </c>
      <c r="O3931" s="58">
        <v>0</v>
      </c>
      <c r="P3931" s="58">
        <v>0</v>
      </c>
      <c r="Q3931" s="58">
        <v>0</v>
      </c>
      <c r="R3931" s="58">
        <v>0</v>
      </c>
      <c r="S3931" s="58">
        <v>0</v>
      </c>
      <c r="T3931" s="58">
        <v>0</v>
      </c>
      <c r="U3931" s="58">
        <v>0</v>
      </c>
      <c r="V3931" s="58">
        <v>0</v>
      </c>
      <c r="AG3931" t="s">
        <v>3637</v>
      </c>
      <c r="AM3931" s="1" t="str">
        <f t="shared" si="207"/>
        <v>3929_C0005_2635.jpg</v>
      </c>
    </row>
    <row r="3932" spans="1:39" x14ac:dyDescent="0.35">
      <c r="A3932">
        <v>3928</v>
      </c>
      <c r="B3932">
        <v>3929</v>
      </c>
      <c r="F3932" s="64" t="s">
        <v>6244</v>
      </c>
      <c r="G3932" s="64"/>
      <c r="H3932" s="64"/>
      <c r="I3932" s="64">
        <v>0</v>
      </c>
      <c r="N3932" s="4">
        <v>0</v>
      </c>
      <c r="O3932" s="58">
        <v>0</v>
      </c>
      <c r="P3932" s="58">
        <v>0</v>
      </c>
      <c r="Q3932" s="58">
        <v>0</v>
      </c>
      <c r="R3932" s="58">
        <v>0</v>
      </c>
      <c r="S3932" s="58">
        <v>0</v>
      </c>
      <c r="T3932" s="58">
        <v>0</v>
      </c>
      <c r="U3932" s="58">
        <v>0</v>
      </c>
      <c r="V3932" s="58">
        <v>0</v>
      </c>
      <c r="AG3932" t="s">
        <v>3638</v>
      </c>
      <c r="AM3932" s="1" t="str">
        <f t="shared" si="207"/>
        <v>3930_C0005_2630.jpg</v>
      </c>
    </row>
    <row r="3933" spans="1:39" x14ac:dyDescent="0.35">
      <c r="A3933">
        <v>3929</v>
      </c>
      <c r="B3933">
        <v>3930</v>
      </c>
      <c r="F3933" s="64" t="s">
        <v>6245</v>
      </c>
      <c r="G3933" s="64"/>
      <c r="H3933" s="64"/>
      <c r="I3933" s="64">
        <v>0</v>
      </c>
      <c r="N3933" s="4">
        <v>0</v>
      </c>
      <c r="O3933" s="58">
        <v>0</v>
      </c>
      <c r="P3933" s="58">
        <v>0</v>
      </c>
      <c r="Q3933" s="58">
        <v>0</v>
      </c>
      <c r="R3933" s="58">
        <v>0</v>
      </c>
      <c r="S3933" s="58">
        <v>0</v>
      </c>
      <c r="T3933" s="58">
        <v>0</v>
      </c>
      <c r="U3933" s="58">
        <v>0</v>
      </c>
      <c r="V3933" s="58">
        <v>0</v>
      </c>
      <c r="AG3933" t="s">
        <v>3639</v>
      </c>
      <c r="AM3933" s="1" t="str">
        <f t="shared" si="207"/>
        <v>3931_C0005_2627.jpg</v>
      </c>
    </row>
    <row r="3934" spans="1:39" x14ac:dyDescent="0.35">
      <c r="A3934">
        <v>3930</v>
      </c>
      <c r="B3934">
        <v>3931</v>
      </c>
      <c r="F3934" s="64" t="s">
        <v>6246</v>
      </c>
      <c r="G3934" s="64"/>
      <c r="H3934" s="64"/>
      <c r="I3934" s="64">
        <v>0</v>
      </c>
      <c r="N3934" s="4">
        <v>0</v>
      </c>
      <c r="O3934" s="58">
        <v>0</v>
      </c>
      <c r="P3934" s="58">
        <v>0</v>
      </c>
      <c r="Q3934" s="58">
        <v>0</v>
      </c>
      <c r="R3934" s="58">
        <v>0</v>
      </c>
      <c r="S3934" s="58">
        <v>0</v>
      </c>
      <c r="T3934" s="58">
        <v>0</v>
      </c>
      <c r="U3934" s="58">
        <v>0</v>
      </c>
      <c r="V3934" s="58">
        <v>0</v>
      </c>
      <c r="AG3934" t="s">
        <v>3640</v>
      </c>
      <c r="AM3934" s="1" t="str">
        <f t="shared" si="207"/>
        <v>3932_C0005_2623.jpg</v>
      </c>
    </row>
    <row r="3935" spans="1:39" x14ac:dyDescent="0.35">
      <c r="A3935">
        <v>3931</v>
      </c>
      <c r="B3935">
        <v>3932</v>
      </c>
      <c r="F3935" s="64" t="s">
        <v>6247</v>
      </c>
      <c r="G3935" s="64"/>
      <c r="H3935" s="64"/>
      <c r="I3935" s="64">
        <v>0</v>
      </c>
      <c r="N3935" s="4">
        <v>0</v>
      </c>
      <c r="O3935" s="58">
        <v>0</v>
      </c>
      <c r="P3935" s="58">
        <v>0</v>
      </c>
      <c r="Q3935" s="58">
        <v>0</v>
      </c>
      <c r="R3935" s="58">
        <v>0</v>
      </c>
      <c r="S3935" s="58">
        <v>0</v>
      </c>
      <c r="T3935" s="58">
        <v>0</v>
      </c>
      <c r="U3935" s="58">
        <v>0</v>
      </c>
      <c r="V3935" s="58">
        <v>0</v>
      </c>
      <c r="AG3935" t="s">
        <v>3641</v>
      </c>
      <c r="AM3935" s="1" t="str">
        <f t="shared" si="207"/>
        <v>3933_C0005_2619.jpg</v>
      </c>
    </row>
    <row r="3936" spans="1:39" x14ac:dyDescent="0.35">
      <c r="A3936">
        <v>3932</v>
      </c>
      <c r="B3936">
        <v>3933</v>
      </c>
      <c r="F3936" s="64" t="s">
        <v>6248</v>
      </c>
      <c r="G3936" s="64"/>
      <c r="H3936" s="64"/>
      <c r="I3936" s="64">
        <v>0</v>
      </c>
      <c r="N3936" s="4">
        <v>0</v>
      </c>
      <c r="O3936" s="58">
        <v>0</v>
      </c>
      <c r="P3936" s="58">
        <v>0</v>
      </c>
      <c r="Q3936" s="58">
        <v>0</v>
      </c>
      <c r="R3936" s="58">
        <v>0</v>
      </c>
      <c r="S3936" s="58">
        <v>0</v>
      </c>
      <c r="T3936" s="58">
        <v>0</v>
      </c>
      <c r="U3936" s="58">
        <v>0</v>
      </c>
      <c r="V3936" s="58">
        <v>0</v>
      </c>
      <c r="AG3936" t="s">
        <v>3642</v>
      </c>
      <c r="AM3936" s="1" t="str">
        <f t="shared" si="207"/>
        <v>3934_C0005_2616.jpg</v>
      </c>
    </row>
    <row r="3937" spans="1:39" x14ac:dyDescent="0.35">
      <c r="A3937">
        <v>3933</v>
      </c>
      <c r="B3937">
        <v>3934</v>
      </c>
      <c r="F3937" s="64" t="s">
        <v>6249</v>
      </c>
      <c r="G3937" s="64"/>
      <c r="H3937" s="64"/>
      <c r="I3937" s="64">
        <v>0</v>
      </c>
      <c r="N3937" s="4">
        <v>0</v>
      </c>
      <c r="O3937" s="58">
        <v>0</v>
      </c>
      <c r="P3937" s="58">
        <v>0</v>
      </c>
      <c r="Q3937" s="58">
        <v>0</v>
      </c>
      <c r="R3937" s="58">
        <v>0</v>
      </c>
      <c r="S3937" s="58">
        <v>0</v>
      </c>
      <c r="T3937" s="58">
        <v>0</v>
      </c>
      <c r="U3937" s="58">
        <v>0</v>
      </c>
      <c r="V3937" s="58">
        <v>0</v>
      </c>
      <c r="AG3937" t="s">
        <v>3643</v>
      </c>
      <c r="AM3937" s="1" t="str">
        <f t="shared" si="207"/>
        <v>3935_C0005_2612.jpg</v>
      </c>
    </row>
    <row r="3938" spans="1:39" x14ac:dyDescent="0.35">
      <c r="A3938">
        <v>3934</v>
      </c>
      <c r="B3938">
        <v>3935</v>
      </c>
      <c r="F3938" s="64" t="s">
        <v>6250</v>
      </c>
      <c r="G3938" s="64"/>
      <c r="H3938" s="64"/>
      <c r="I3938" s="64">
        <v>0</v>
      </c>
      <c r="N3938" s="4">
        <v>0</v>
      </c>
      <c r="O3938" s="58">
        <v>0</v>
      </c>
      <c r="P3938" s="58">
        <v>0</v>
      </c>
      <c r="Q3938" s="58">
        <v>0</v>
      </c>
      <c r="R3938" s="58">
        <v>0</v>
      </c>
      <c r="S3938" s="58">
        <v>0</v>
      </c>
      <c r="T3938" s="58">
        <v>0</v>
      </c>
      <c r="U3938" s="58">
        <v>0</v>
      </c>
      <c r="V3938" s="58">
        <v>0</v>
      </c>
      <c r="AG3938" t="s">
        <v>3644</v>
      </c>
      <c r="AM3938" s="1" t="str">
        <f t="shared" si="207"/>
        <v>3936_C0005_2608.jpg</v>
      </c>
    </row>
    <row r="3939" spans="1:39" x14ac:dyDescent="0.35">
      <c r="A3939">
        <v>3935</v>
      </c>
      <c r="B3939">
        <v>3936</v>
      </c>
      <c r="F3939" s="64" t="s">
        <v>6251</v>
      </c>
      <c r="G3939" s="64"/>
      <c r="H3939" s="64"/>
      <c r="I3939" s="64">
        <v>0</v>
      </c>
      <c r="N3939" s="4">
        <v>0</v>
      </c>
      <c r="O3939" s="58">
        <v>0</v>
      </c>
      <c r="P3939" s="58">
        <v>0</v>
      </c>
      <c r="Q3939" s="58">
        <v>0</v>
      </c>
      <c r="R3939" s="58">
        <v>0</v>
      </c>
      <c r="S3939" s="58">
        <v>0</v>
      </c>
      <c r="T3939" s="58">
        <v>0</v>
      </c>
      <c r="U3939" s="58">
        <v>0</v>
      </c>
      <c r="V3939" s="58">
        <v>0</v>
      </c>
      <c r="AG3939" t="s">
        <v>3645</v>
      </c>
      <c r="AM3939" s="1" t="str">
        <f t="shared" si="207"/>
        <v>3937_C0005_2604.jpg</v>
      </c>
    </row>
    <row r="3940" spans="1:39" x14ac:dyDescent="0.35">
      <c r="A3940">
        <v>3936</v>
      </c>
      <c r="B3940">
        <v>3937</v>
      </c>
      <c r="F3940" s="64" t="s">
        <v>6252</v>
      </c>
      <c r="G3940" s="64"/>
      <c r="H3940" s="64"/>
      <c r="I3940" s="64">
        <v>0</v>
      </c>
      <c r="N3940" s="4">
        <v>0</v>
      </c>
      <c r="O3940" s="58">
        <v>0</v>
      </c>
      <c r="P3940" s="58">
        <v>0</v>
      </c>
      <c r="Q3940" s="58">
        <v>0</v>
      </c>
      <c r="R3940" s="58">
        <v>0</v>
      </c>
      <c r="S3940" s="58">
        <v>0</v>
      </c>
      <c r="T3940" s="58">
        <v>0</v>
      </c>
      <c r="U3940" s="58">
        <v>0</v>
      </c>
      <c r="V3940" s="58">
        <v>0</v>
      </c>
      <c r="AG3940" t="s">
        <v>3646</v>
      </c>
      <c r="AM3940" s="1" t="str">
        <f t="shared" si="207"/>
        <v>3938_C0005_2599.jpg</v>
      </c>
    </row>
    <row r="3941" spans="1:39" x14ac:dyDescent="0.35">
      <c r="A3941">
        <v>3937</v>
      </c>
      <c r="B3941">
        <v>3938</v>
      </c>
      <c r="F3941" s="64" t="s">
        <v>6253</v>
      </c>
      <c r="G3941" s="64"/>
      <c r="H3941" s="64"/>
      <c r="I3941" s="64">
        <v>0</v>
      </c>
      <c r="N3941" s="4">
        <v>0</v>
      </c>
      <c r="O3941" s="58">
        <v>0</v>
      </c>
      <c r="P3941" s="58">
        <v>0</v>
      </c>
      <c r="Q3941" s="58">
        <v>0</v>
      </c>
      <c r="R3941" s="58">
        <v>0</v>
      </c>
      <c r="S3941" s="58">
        <v>0</v>
      </c>
      <c r="T3941" s="58">
        <v>0</v>
      </c>
      <c r="U3941" s="58">
        <v>0</v>
      </c>
      <c r="V3941" s="58">
        <v>0</v>
      </c>
      <c r="AG3941" t="s">
        <v>3647</v>
      </c>
      <c r="AM3941" s="1" t="str">
        <f t="shared" si="207"/>
        <v>3939_C0005_2596.jpg</v>
      </c>
    </row>
    <row r="3942" spans="1:39" x14ac:dyDescent="0.35">
      <c r="A3942">
        <v>3938</v>
      </c>
      <c r="B3942">
        <v>3939</v>
      </c>
      <c r="F3942" s="64" t="s">
        <v>6254</v>
      </c>
      <c r="G3942" s="64"/>
      <c r="H3942" s="64"/>
      <c r="I3942" s="64">
        <v>0</v>
      </c>
      <c r="N3942" s="4">
        <v>0</v>
      </c>
      <c r="O3942" s="58">
        <v>0</v>
      </c>
      <c r="P3942" s="58">
        <v>0</v>
      </c>
      <c r="Q3942" s="58">
        <v>0</v>
      </c>
      <c r="R3942" s="58">
        <v>0</v>
      </c>
      <c r="S3942" s="58">
        <v>0</v>
      </c>
      <c r="T3942" s="58">
        <v>0</v>
      </c>
      <c r="U3942" s="58">
        <v>0</v>
      </c>
      <c r="V3942" s="58">
        <v>0</v>
      </c>
      <c r="AG3942" t="s">
        <v>3648</v>
      </c>
      <c r="AM3942" s="1" t="str">
        <f t="shared" si="207"/>
        <v>3940_C0005_2592.jpg</v>
      </c>
    </row>
    <row r="3943" spans="1:39" x14ac:dyDescent="0.35">
      <c r="A3943">
        <v>3939</v>
      </c>
      <c r="B3943">
        <v>3940</v>
      </c>
      <c r="F3943" s="64" t="s">
        <v>6255</v>
      </c>
      <c r="G3943" s="64"/>
      <c r="H3943" s="64"/>
      <c r="I3943" s="64">
        <v>0</v>
      </c>
      <c r="N3943" s="4">
        <v>0</v>
      </c>
      <c r="O3943" s="58">
        <v>0</v>
      </c>
      <c r="P3943" s="58">
        <v>0</v>
      </c>
      <c r="Q3943" s="58">
        <v>0</v>
      </c>
      <c r="R3943" s="58">
        <v>0</v>
      </c>
      <c r="S3943" s="58">
        <v>0</v>
      </c>
      <c r="T3943" s="58">
        <v>0</v>
      </c>
      <c r="U3943" s="58">
        <v>0</v>
      </c>
      <c r="V3943" s="58">
        <v>0</v>
      </c>
      <c r="AG3943" t="s">
        <v>3649</v>
      </c>
      <c r="AM3943" s="1" t="str">
        <f t="shared" si="207"/>
        <v>3941_C0005_2589.jpg</v>
      </c>
    </row>
    <row r="3944" spans="1:39" x14ac:dyDescent="0.35">
      <c r="A3944">
        <v>3940</v>
      </c>
      <c r="B3944">
        <v>3941</v>
      </c>
      <c r="F3944" s="64" t="s">
        <v>6256</v>
      </c>
      <c r="G3944" s="64"/>
      <c r="H3944" s="64"/>
      <c r="I3944" s="64">
        <v>0</v>
      </c>
      <c r="N3944" s="4">
        <v>0</v>
      </c>
      <c r="O3944" s="58">
        <v>0</v>
      </c>
      <c r="P3944" s="58">
        <v>0</v>
      </c>
      <c r="Q3944" s="58">
        <v>0</v>
      </c>
      <c r="R3944" s="58">
        <v>0</v>
      </c>
      <c r="S3944" s="58">
        <v>0</v>
      </c>
      <c r="T3944" s="58">
        <v>0</v>
      </c>
      <c r="U3944" s="58">
        <v>0</v>
      </c>
      <c r="V3944" s="58">
        <v>0</v>
      </c>
      <c r="AG3944" t="s">
        <v>3650</v>
      </c>
      <c r="AM3944" s="1" t="str">
        <f t="shared" si="207"/>
        <v>3942_C0005_2585.jpg</v>
      </c>
    </row>
    <row r="3945" spans="1:39" x14ac:dyDescent="0.35">
      <c r="A3945">
        <v>3941</v>
      </c>
      <c r="B3945">
        <v>3942</v>
      </c>
      <c r="F3945" s="64" t="s">
        <v>6257</v>
      </c>
      <c r="G3945" s="64"/>
      <c r="H3945" s="64"/>
      <c r="I3945" s="64">
        <v>0</v>
      </c>
      <c r="N3945" s="4">
        <v>0</v>
      </c>
      <c r="O3945" s="58">
        <v>0</v>
      </c>
      <c r="P3945" s="58">
        <v>0</v>
      </c>
      <c r="Q3945" s="58">
        <v>0</v>
      </c>
      <c r="R3945" s="58">
        <v>1</v>
      </c>
      <c r="S3945" s="58">
        <v>0</v>
      </c>
      <c r="T3945" s="58">
        <v>0</v>
      </c>
      <c r="U3945" s="58">
        <v>0</v>
      </c>
      <c r="V3945" s="58">
        <v>0</v>
      </c>
      <c r="AG3945" t="s">
        <v>3651</v>
      </c>
      <c r="AM3945" s="1" t="str">
        <f t="shared" ref="AM3945:AM4008" si="208">HYPERLINK("E:\CAFNEC_GBRF\2023\JohnstoneRiver\Frames_for_Analysis\" &amp; F3946, F3946)</f>
        <v>3943_C0005_2581.jpg</v>
      </c>
    </row>
    <row r="3946" spans="1:39" x14ac:dyDescent="0.35">
      <c r="A3946">
        <v>3942</v>
      </c>
      <c r="B3946">
        <v>3943</v>
      </c>
      <c r="F3946" s="64" t="s">
        <v>6258</v>
      </c>
      <c r="G3946" s="64"/>
      <c r="H3946" s="64"/>
      <c r="I3946" s="64">
        <v>0</v>
      </c>
      <c r="N3946" s="4">
        <v>0</v>
      </c>
      <c r="O3946" s="58">
        <v>0</v>
      </c>
      <c r="P3946" s="58">
        <v>0</v>
      </c>
      <c r="Q3946" s="58">
        <v>0</v>
      </c>
      <c r="R3946" s="58">
        <v>0</v>
      </c>
      <c r="S3946" s="58">
        <v>0</v>
      </c>
      <c r="T3946" s="58">
        <v>0</v>
      </c>
      <c r="U3946" s="58">
        <v>0</v>
      </c>
      <c r="V3946" s="58">
        <v>0</v>
      </c>
      <c r="AG3946" t="s">
        <v>3652</v>
      </c>
      <c r="AM3946" s="1" t="str">
        <f t="shared" si="208"/>
        <v>3944_C0005_2577.jpg</v>
      </c>
    </row>
    <row r="3947" spans="1:39" x14ac:dyDescent="0.35">
      <c r="A3947">
        <v>3943</v>
      </c>
      <c r="B3947">
        <v>3944</v>
      </c>
      <c r="F3947" s="64" t="s">
        <v>6259</v>
      </c>
      <c r="G3947" s="64"/>
      <c r="H3947" s="64"/>
      <c r="I3947" s="64">
        <v>0</v>
      </c>
      <c r="N3947" s="4">
        <v>0</v>
      </c>
      <c r="O3947" s="58">
        <v>0</v>
      </c>
      <c r="P3947" s="58">
        <v>0</v>
      </c>
      <c r="Q3947" s="58">
        <v>0</v>
      </c>
      <c r="R3947" s="58">
        <v>0</v>
      </c>
      <c r="S3947" s="58">
        <v>0</v>
      </c>
      <c r="T3947" s="58">
        <v>0</v>
      </c>
      <c r="U3947" s="58">
        <v>0</v>
      </c>
      <c r="V3947" s="58">
        <v>0</v>
      </c>
      <c r="AG3947" t="s">
        <v>3653</v>
      </c>
      <c r="AM3947" s="1" t="str">
        <f t="shared" si="208"/>
        <v>3945_C0005_2574.jpg</v>
      </c>
    </row>
    <row r="3948" spans="1:39" x14ac:dyDescent="0.35">
      <c r="A3948">
        <v>3944</v>
      </c>
      <c r="B3948">
        <v>3945</v>
      </c>
      <c r="F3948" s="64" t="s">
        <v>6260</v>
      </c>
      <c r="G3948" s="64"/>
      <c r="H3948" s="64"/>
      <c r="I3948" s="64">
        <v>0</v>
      </c>
      <c r="N3948" s="4">
        <v>0</v>
      </c>
      <c r="O3948" s="58">
        <v>0</v>
      </c>
      <c r="P3948" s="58">
        <v>0</v>
      </c>
      <c r="Q3948" s="58">
        <v>0</v>
      </c>
      <c r="R3948" s="58">
        <v>0</v>
      </c>
      <c r="S3948" s="58">
        <v>0</v>
      </c>
      <c r="T3948" s="58">
        <v>0</v>
      </c>
      <c r="U3948" s="58">
        <v>0</v>
      </c>
      <c r="V3948" s="58">
        <v>0</v>
      </c>
      <c r="AG3948" t="s">
        <v>3654</v>
      </c>
      <c r="AM3948" s="1" t="str">
        <f t="shared" si="208"/>
        <v>3946_C0005_2571.jpg</v>
      </c>
    </row>
    <row r="3949" spans="1:39" x14ac:dyDescent="0.35">
      <c r="A3949">
        <v>3945</v>
      </c>
      <c r="B3949">
        <v>3946</v>
      </c>
      <c r="F3949" s="64" t="s">
        <v>6261</v>
      </c>
      <c r="G3949" s="64"/>
      <c r="H3949" s="64"/>
      <c r="I3949" s="64">
        <v>0</v>
      </c>
      <c r="N3949" s="4">
        <v>0</v>
      </c>
      <c r="O3949" s="58">
        <v>0</v>
      </c>
      <c r="P3949" s="58">
        <v>0</v>
      </c>
      <c r="Q3949" s="58">
        <v>0</v>
      </c>
      <c r="R3949" s="58">
        <v>0</v>
      </c>
      <c r="S3949" s="58">
        <v>0</v>
      </c>
      <c r="T3949" s="58">
        <v>0</v>
      </c>
      <c r="U3949" s="58">
        <v>0</v>
      </c>
      <c r="V3949" s="58">
        <v>0</v>
      </c>
      <c r="AG3949" t="s">
        <v>3655</v>
      </c>
      <c r="AM3949" s="1" t="str">
        <f t="shared" si="208"/>
        <v>3947_C0005_2568.jpg</v>
      </c>
    </row>
    <row r="3950" spans="1:39" x14ac:dyDescent="0.35">
      <c r="A3950">
        <v>3946</v>
      </c>
      <c r="B3950">
        <v>3947</v>
      </c>
      <c r="F3950" s="64" t="s">
        <v>6262</v>
      </c>
      <c r="G3950" s="64"/>
      <c r="H3950" s="64"/>
      <c r="I3950" s="64">
        <v>0</v>
      </c>
      <c r="N3950" s="4">
        <v>0</v>
      </c>
      <c r="O3950" s="58">
        <v>0</v>
      </c>
      <c r="P3950" s="58">
        <v>0</v>
      </c>
      <c r="Q3950" s="58">
        <v>0</v>
      </c>
      <c r="R3950" s="58">
        <v>0</v>
      </c>
      <c r="S3950" s="58">
        <v>0</v>
      </c>
      <c r="T3950" s="58">
        <v>0</v>
      </c>
      <c r="U3950" s="58">
        <v>0</v>
      </c>
      <c r="V3950" s="58">
        <v>0</v>
      </c>
      <c r="AG3950" t="s">
        <v>3656</v>
      </c>
      <c r="AM3950" s="1" t="str">
        <f t="shared" si="208"/>
        <v>3948_C0005_2564.jpg</v>
      </c>
    </row>
    <row r="3951" spans="1:39" x14ac:dyDescent="0.35">
      <c r="A3951">
        <v>3947</v>
      </c>
      <c r="B3951">
        <v>3948</v>
      </c>
      <c r="F3951" s="64" t="s">
        <v>6263</v>
      </c>
      <c r="G3951" s="64"/>
      <c r="H3951" s="64"/>
      <c r="I3951" s="64">
        <v>0</v>
      </c>
      <c r="N3951" s="4">
        <v>0</v>
      </c>
      <c r="O3951" s="58">
        <v>0</v>
      </c>
      <c r="P3951" s="58">
        <v>0</v>
      </c>
      <c r="Q3951" s="58">
        <v>0</v>
      </c>
      <c r="R3951" s="58">
        <v>0</v>
      </c>
      <c r="S3951" s="58">
        <v>0</v>
      </c>
      <c r="T3951" s="58">
        <v>0</v>
      </c>
      <c r="U3951" s="58">
        <v>0</v>
      </c>
      <c r="V3951" s="58">
        <v>0</v>
      </c>
      <c r="AG3951" t="s">
        <v>3657</v>
      </c>
      <c r="AM3951" s="1" t="str">
        <f t="shared" si="208"/>
        <v>3949_C0005_2560.jpg</v>
      </c>
    </row>
    <row r="3952" spans="1:39" x14ac:dyDescent="0.35">
      <c r="A3952">
        <v>3948</v>
      </c>
      <c r="B3952">
        <v>3949</v>
      </c>
      <c r="F3952" s="64" t="s">
        <v>6264</v>
      </c>
      <c r="G3952" s="64"/>
      <c r="H3952" s="64"/>
      <c r="I3952" s="64">
        <v>0</v>
      </c>
      <c r="N3952" s="4">
        <v>0</v>
      </c>
      <c r="O3952" s="58">
        <v>0</v>
      </c>
      <c r="P3952" s="58">
        <v>0</v>
      </c>
      <c r="Q3952" s="58">
        <v>0</v>
      </c>
      <c r="R3952" s="58">
        <v>0</v>
      </c>
      <c r="S3952" s="58">
        <v>0</v>
      </c>
      <c r="T3952" s="58">
        <v>0</v>
      </c>
      <c r="U3952" s="58">
        <v>0</v>
      </c>
      <c r="V3952" s="58">
        <v>0</v>
      </c>
      <c r="AG3952" t="s">
        <v>3658</v>
      </c>
      <c r="AM3952" s="1" t="str">
        <f t="shared" si="208"/>
        <v>3950_C0005_2556.jpg</v>
      </c>
    </row>
    <row r="3953" spans="1:39" x14ac:dyDescent="0.35">
      <c r="A3953">
        <v>3949</v>
      </c>
      <c r="B3953">
        <v>3950</v>
      </c>
      <c r="F3953" s="64" t="s">
        <v>6265</v>
      </c>
      <c r="G3953" s="64"/>
      <c r="H3953" s="64"/>
      <c r="I3953" s="64">
        <v>0</v>
      </c>
      <c r="N3953" s="4">
        <v>0</v>
      </c>
      <c r="O3953" s="58">
        <v>0</v>
      </c>
      <c r="P3953" s="58">
        <v>0</v>
      </c>
      <c r="Q3953" s="58">
        <v>0</v>
      </c>
      <c r="R3953" s="58">
        <v>0</v>
      </c>
      <c r="S3953" s="58">
        <v>0</v>
      </c>
      <c r="T3953" s="58">
        <v>0</v>
      </c>
      <c r="U3953" s="58">
        <v>0</v>
      </c>
      <c r="V3953" s="58">
        <v>0</v>
      </c>
      <c r="AG3953" t="s">
        <v>3659</v>
      </c>
      <c r="AM3953" s="1" t="str">
        <f t="shared" si="208"/>
        <v>3951_C0005_2552.jpg</v>
      </c>
    </row>
    <row r="3954" spans="1:39" x14ac:dyDescent="0.35">
      <c r="A3954">
        <v>3950</v>
      </c>
      <c r="B3954">
        <v>3951</v>
      </c>
      <c r="F3954" s="64" t="s">
        <v>6266</v>
      </c>
      <c r="G3954" s="64"/>
      <c r="H3954" s="64"/>
      <c r="I3954" s="64">
        <v>0</v>
      </c>
      <c r="N3954" s="4">
        <v>0</v>
      </c>
      <c r="O3954" s="58">
        <v>0</v>
      </c>
      <c r="P3954" s="58">
        <v>0</v>
      </c>
      <c r="Q3954" s="58">
        <v>0</v>
      </c>
      <c r="R3954" s="58">
        <v>0</v>
      </c>
      <c r="S3954" s="58">
        <v>0</v>
      </c>
      <c r="T3954" s="58">
        <v>0</v>
      </c>
      <c r="U3954" s="58">
        <v>0</v>
      </c>
      <c r="V3954" s="58">
        <v>0</v>
      </c>
      <c r="AG3954" t="s">
        <v>3660</v>
      </c>
      <c r="AM3954" s="1" t="str">
        <f t="shared" si="208"/>
        <v>3952_C0005_2550.jpg</v>
      </c>
    </row>
    <row r="3955" spans="1:39" x14ac:dyDescent="0.35">
      <c r="A3955">
        <v>3951</v>
      </c>
      <c r="B3955">
        <v>3952</v>
      </c>
      <c r="F3955" s="64" t="s">
        <v>6267</v>
      </c>
      <c r="G3955" s="64"/>
      <c r="H3955" s="64"/>
      <c r="I3955" s="64">
        <v>0</v>
      </c>
      <c r="N3955" s="4">
        <v>0</v>
      </c>
      <c r="O3955" s="58">
        <v>0</v>
      </c>
      <c r="P3955" s="58">
        <v>0</v>
      </c>
      <c r="Q3955" s="58">
        <v>0</v>
      </c>
      <c r="R3955" s="58">
        <v>0</v>
      </c>
      <c r="S3955" s="58">
        <v>0</v>
      </c>
      <c r="T3955" s="58">
        <v>0</v>
      </c>
      <c r="U3955" s="58">
        <v>0</v>
      </c>
      <c r="V3955" s="58">
        <v>0</v>
      </c>
      <c r="AG3955" t="s">
        <v>3661</v>
      </c>
      <c r="AM3955" s="1" t="str">
        <f t="shared" si="208"/>
        <v>3953_C0005_2546.jpg</v>
      </c>
    </row>
    <row r="3956" spans="1:39" x14ac:dyDescent="0.35">
      <c r="A3956">
        <v>3952</v>
      </c>
      <c r="B3956">
        <v>3953</v>
      </c>
      <c r="F3956" s="64" t="s">
        <v>6268</v>
      </c>
      <c r="G3956" s="64"/>
      <c r="H3956" s="64"/>
      <c r="I3956" s="64">
        <v>0</v>
      </c>
      <c r="N3956" s="4">
        <v>0</v>
      </c>
      <c r="O3956" s="58">
        <v>0</v>
      </c>
      <c r="P3956" s="58">
        <v>0</v>
      </c>
      <c r="Q3956" s="58">
        <v>0</v>
      </c>
      <c r="R3956" s="58">
        <v>0</v>
      </c>
      <c r="S3956" s="58">
        <v>0</v>
      </c>
      <c r="T3956" s="58">
        <v>0</v>
      </c>
      <c r="U3956" s="58">
        <v>0</v>
      </c>
      <c r="V3956" s="58">
        <v>0</v>
      </c>
      <c r="AG3956" t="s">
        <v>3662</v>
      </c>
      <c r="AM3956" s="1" t="str">
        <f t="shared" si="208"/>
        <v>3954_C0005_2543.jpg</v>
      </c>
    </row>
    <row r="3957" spans="1:39" x14ac:dyDescent="0.35">
      <c r="A3957">
        <v>3953</v>
      </c>
      <c r="B3957">
        <v>3954</v>
      </c>
      <c r="F3957" s="64" t="s">
        <v>6269</v>
      </c>
      <c r="G3957" s="64"/>
      <c r="H3957" s="64"/>
      <c r="I3957" s="64">
        <v>0</v>
      </c>
      <c r="N3957" s="4">
        <v>0</v>
      </c>
      <c r="O3957" s="58">
        <v>0</v>
      </c>
      <c r="P3957" s="58">
        <v>0</v>
      </c>
      <c r="Q3957" s="58">
        <v>0</v>
      </c>
      <c r="R3957" s="58">
        <v>0</v>
      </c>
      <c r="S3957" s="58">
        <v>0</v>
      </c>
      <c r="T3957" s="58">
        <v>0</v>
      </c>
      <c r="U3957" s="58">
        <v>0</v>
      </c>
      <c r="V3957" s="58">
        <v>0</v>
      </c>
      <c r="AG3957" t="s">
        <v>3663</v>
      </c>
      <c r="AM3957" s="1" t="str">
        <f t="shared" si="208"/>
        <v>3955_C0005_2539.jpg</v>
      </c>
    </row>
    <row r="3958" spans="1:39" x14ac:dyDescent="0.35">
      <c r="A3958">
        <v>3954</v>
      </c>
      <c r="B3958">
        <v>3955</v>
      </c>
      <c r="F3958" s="64" t="s">
        <v>6270</v>
      </c>
      <c r="G3958" s="64"/>
      <c r="H3958" s="64"/>
      <c r="I3958" s="64">
        <v>0</v>
      </c>
      <c r="N3958" s="4">
        <v>0</v>
      </c>
      <c r="O3958" s="58">
        <v>0</v>
      </c>
      <c r="P3958" s="58">
        <v>0</v>
      </c>
      <c r="Q3958" s="58">
        <v>0</v>
      </c>
      <c r="R3958" s="58">
        <v>0</v>
      </c>
      <c r="S3958" s="58">
        <v>0</v>
      </c>
      <c r="T3958" s="58">
        <v>0</v>
      </c>
      <c r="U3958" s="58">
        <v>0</v>
      </c>
      <c r="V3958" s="58">
        <v>0</v>
      </c>
      <c r="AG3958" t="s">
        <v>3664</v>
      </c>
      <c r="AM3958" s="1" t="str">
        <f t="shared" si="208"/>
        <v>3956_C0005_2537.jpg</v>
      </c>
    </row>
    <row r="3959" spans="1:39" x14ac:dyDescent="0.35">
      <c r="A3959">
        <v>3955</v>
      </c>
      <c r="B3959">
        <v>3956</v>
      </c>
      <c r="F3959" s="64" t="s">
        <v>6271</v>
      </c>
      <c r="G3959" s="64"/>
      <c r="H3959" s="64"/>
      <c r="I3959" s="64">
        <v>0</v>
      </c>
      <c r="N3959" s="4">
        <v>0</v>
      </c>
      <c r="O3959" s="58">
        <v>0</v>
      </c>
      <c r="P3959" s="58">
        <v>0</v>
      </c>
      <c r="Q3959" s="58">
        <v>0</v>
      </c>
      <c r="R3959" s="58">
        <v>0</v>
      </c>
      <c r="S3959" s="58">
        <v>0</v>
      </c>
      <c r="T3959" s="58">
        <v>0</v>
      </c>
      <c r="U3959" s="58">
        <v>0</v>
      </c>
      <c r="V3959" s="58">
        <v>0</v>
      </c>
      <c r="AG3959" t="s">
        <v>3665</v>
      </c>
      <c r="AM3959" s="1" t="str">
        <f t="shared" si="208"/>
        <v>3957_C0005_2535.jpg</v>
      </c>
    </row>
    <row r="3960" spans="1:39" x14ac:dyDescent="0.35">
      <c r="A3960">
        <v>3956</v>
      </c>
      <c r="B3960">
        <v>3957</v>
      </c>
      <c r="F3960" s="64" t="s">
        <v>6272</v>
      </c>
      <c r="G3960" s="64"/>
      <c r="H3960" s="64"/>
      <c r="I3960" s="64">
        <v>0</v>
      </c>
      <c r="N3960" s="4">
        <v>0</v>
      </c>
      <c r="O3960" s="58">
        <v>0</v>
      </c>
      <c r="P3960" s="58">
        <v>0</v>
      </c>
      <c r="Q3960" s="58">
        <v>0</v>
      </c>
      <c r="R3960" s="58">
        <v>0</v>
      </c>
      <c r="S3960" s="58">
        <v>0</v>
      </c>
      <c r="T3960" s="58">
        <v>0</v>
      </c>
      <c r="U3960" s="58">
        <v>0</v>
      </c>
      <c r="V3960" s="58">
        <v>0</v>
      </c>
      <c r="AG3960" t="s">
        <v>3666</v>
      </c>
      <c r="AM3960" s="1" t="str">
        <f t="shared" si="208"/>
        <v>3958_C0005_2531.jpg</v>
      </c>
    </row>
    <row r="3961" spans="1:39" x14ac:dyDescent="0.35">
      <c r="A3961">
        <v>3957</v>
      </c>
      <c r="B3961">
        <v>3958</v>
      </c>
      <c r="F3961" s="64" t="s">
        <v>6273</v>
      </c>
      <c r="G3961" s="64"/>
      <c r="H3961" s="64"/>
      <c r="I3961" s="64">
        <v>0</v>
      </c>
      <c r="N3961" s="4">
        <v>0</v>
      </c>
      <c r="O3961" s="58">
        <v>0</v>
      </c>
      <c r="P3961" s="58">
        <v>0</v>
      </c>
      <c r="Q3961" s="58">
        <v>0</v>
      </c>
      <c r="R3961" s="58">
        <v>0</v>
      </c>
      <c r="S3961" s="58">
        <v>0</v>
      </c>
      <c r="T3961" s="58">
        <v>0</v>
      </c>
      <c r="U3961" s="58">
        <v>0</v>
      </c>
      <c r="V3961" s="58">
        <v>0</v>
      </c>
      <c r="AG3961" t="s">
        <v>3667</v>
      </c>
      <c r="AM3961" s="1" t="str">
        <f t="shared" si="208"/>
        <v>3959_C0005_2528.jpg</v>
      </c>
    </row>
    <row r="3962" spans="1:39" x14ac:dyDescent="0.35">
      <c r="A3962">
        <v>3958</v>
      </c>
      <c r="B3962">
        <v>3959</v>
      </c>
      <c r="F3962" s="64" t="s">
        <v>6274</v>
      </c>
      <c r="G3962" s="64"/>
      <c r="H3962" s="64"/>
      <c r="I3962" s="64">
        <v>0</v>
      </c>
      <c r="N3962" s="4">
        <v>0</v>
      </c>
      <c r="O3962" s="58">
        <v>0</v>
      </c>
      <c r="P3962" s="58">
        <v>0</v>
      </c>
      <c r="Q3962" s="58">
        <v>0</v>
      </c>
      <c r="R3962" s="58">
        <v>0</v>
      </c>
      <c r="S3962" s="58">
        <v>0</v>
      </c>
      <c r="T3962" s="58">
        <v>0</v>
      </c>
      <c r="U3962" s="58">
        <v>0</v>
      </c>
      <c r="V3962" s="58">
        <v>0</v>
      </c>
      <c r="AG3962" t="s">
        <v>3668</v>
      </c>
      <c r="AM3962" s="1" t="str">
        <f t="shared" si="208"/>
        <v>3960_C0005_2524.jpg</v>
      </c>
    </row>
    <row r="3963" spans="1:39" x14ac:dyDescent="0.35">
      <c r="A3963">
        <v>3959</v>
      </c>
      <c r="B3963">
        <v>3960</v>
      </c>
      <c r="F3963" s="64" t="s">
        <v>6275</v>
      </c>
      <c r="G3963" s="64"/>
      <c r="H3963" s="64"/>
      <c r="I3963" s="64">
        <v>0</v>
      </c>
      <c r="N3963" s="4">
        <v>0</v>
      </c>
      <c r="O3963" s="58">
        <v>0</v>
      </c>
      <c r="P3963" s="58">
        <v>0</v>
      </c>
      <c r="Q3963" s="58">
        <v>0</v>
      </c>
      <c r="R3963" s="58">
        <v>0</v>
      </c>
      <c r="S3963" s="58">
        <v>0</v>
      </c>
      <c r="T3963" s="58">
        <v>0</v>
      </c>
      <c r="U3963" s="58">
        <v>0</v>
      </c>
      <c r="V3963" s="58">
        <v>0</v>
      </c>
      <c r="AG3963" t="s">
        <v>3669</v>
      </c>
      <c r="AM3963" s="1" t="str">
        <f t="shared" si="208"/>
        <v>3961_C0005_2521.jpg</v>
      </c>
    </row>
    <row r="3964" spans="1:39" x14ac:dyDescent="0.35">
      <c r="A3964">
        <v>3960</v>
      </c>
      <c r="B3964">
        <v>3961</v>
      </c>
      <c r="F3964" s="64" t="s">
        <v>6276</v>
      </c>
      <c r="G3964" s="64"/>
      <c r="H3964" s="64"/>
      <c r="I3964" s="64">
        <v>0</v>
      </c>
      <c r="N3964" s="4">
        <v>0</v>
      </c>
      <c r="O3964" s="58">
        <v>0</v>
      </c>
      <c r="P3964" s="58">
        <v>0</v>
      </c>
      <c r="Q3964" s="58">
        <v>0</v>
      </c>
      <c r="R3964" s="58">
        <v>0</v>
      </c>
      <c r="S3964" s="58">
        <v>0</v>
      </c>
      <c r="T3964" s="58">
        <v>0</v>
      </c>
      <c r="U3964" s="58">
        <v>0</v>
      </c>
      <c r="V3964" s="58">
        <v>0</v>
      </c>
      <c r="AG3964" t="s">
        <v>3670</v>
      </c>
      <c r="AM3964" s="1" t="str">
        <f t="shared" si="208"/>
        <v>3962_C0005_2518.jpg</v>
      </c>
    </row>
    <row r="3965" spans="1:39" x14ac:dyDescent="0.35">
      <c r="A3965">
        <v>3961</v>
      </c>
      <c r="B3965">
        <v>3962</v>
      </c>
      <c r="F3965" s="64" t="s">
        <v>6277</v>
      </c>
      <c r="G3965" s="64"/>
      <c r="H3965" s="64"/>
      <c r="I3965" s="64">
        <v>0</v>
      </c>
      <c r="N3965" s="4">
        <v>0</v>
      </c>
      <c r="O3965" s="58">
        <v>0</v>
      </c>
      <c r="P3965" s="58">
        <v>0</v>
      </c>
      <c r="Q3965" s="58">
        <v>0</v>
      </c>
      <c r="R3965" s="58">
        <v>0</v>
      </c>
      <c r="S3965" s="58">
        <v>0</v>
      </c>
      <c r="T3965" s="58">
        <v>0</v>
      </c>
      <c r="U3965" s="58">
        <v>0</v>
      </c>
      <c r="V3965" s="58">
        <v>0</v>
      </c>
      <c r="AG3965" t="s">
        <v>3671</v>
      </c>
      <c r="AM3965" s="1" t="str">
        <f t="shared" si="208"/>
        <v>3963_C0005_2515.jpg</v>
      </c>
    </row>
    <row r="3966" spans="1:39" x14ac:dyDescent="0.35">
      <c r="A3966">
        <v>3962</v>
      </c>
      <c r="B3966">
        <v>3963</v>
      </c>
      <c r="F3966" s="64" t="s">
        <v>6278</v>
      </c>
      <c r="G3966" s="64"/>
      <c r="H3966" s="64"/>
      <c r="I3966" s="64">
        <v>0</v>
      </c>
      <c r="N3966" s="4">
        <v>0</v>
      </c>
      <c r="O3966" s="58">
        <v>0</v>
      </c>
      <c r="P3966" s="58">
        <v>0</v>
      </c>
      <c r="Q3966" s="58">
        <v>0</v>
      </c>
      <c r="R3966" s="58">
        <v>0</v>
      </c>
      <c r="S3966" s="58">
        <v>0</v>
      </c>
      <c r="T3966" s="58">
        <v>0</v>
      </c>
      <c r="U3966" s="58">
        <v>0</v>
      </c>
      <c r="V3966" s="58">
        <v>0</v>
      </c>
      <c r="AG3966" t="s">
        <v>3672</v>
      </c>
      <c r="AM3966" s="1" t="str">
        <f t="shared" si="208"/>
        <v>3964_C0005_2510.jpg</v>
      </c>
    </row>
    <row r="3967" spans="1:39" x14ac:dyDescent="0.35">
      <c r="A3967">
        <v>3963</v>
      </c>
      <c r="B3967">
        <v>3964</v>
      </c>
      <c r="F3967" s="64" t="s">
        <v>6279</v>
      </c>
      <c r="G3967" s="64"/>
      <c r="H3967" s="64"/>
      <c r="I3967" s="64">
        <v>0</v>
      </c>
      <c r="N3967" s="4">
        <v>0</v>
      </c>
      <c r="O3967" s="58">
        <v>0</v>
      </c>
      <c r="P3967" s="58">
        <v>0</v>
      </c>
      <c r="Q3967" s="58">
        <v>0</v>
      </c>
      <c r="R3967" s="58">
        <v>0</v>
      </c>
      <c r="S3967" s="58">
        <v>0</v>
      </c>
      <c r="T3967" s="58">
        <v>0</v>
      </c>
      <c r="U3967" s="58">
        <v>0</v>
      </c>
      <c r="V3967" s="58">
        <v>0</v>
      </c>
      <c r="AG3967" t="s">
        <v>3673</v>
      </c>
      <c r="AM3967" s="1" t="str">
        <f t="shared" si="208"/>
        <v>3965_C0005_2506.jpg</v>
      </c>
    </row>
    <row r="3968" spans="1:39" x14ac:dyDescent="0.35">
      <c r="A3968">
        <v>3964</v>
      </c>
      <c r="B3968">
        <v>3965</v>
      </c>
      <c r="F3968" s="64" t="s">
        <v>6280</v>
      </c>
      <c r="G3968" s="64"/>
      <c r="H3968" s="64"/>
      <c r="I3968" s="64">
        <v>0</v>
      </c>
      <c r="N3968" s="4">
        <v>0</v>
      </c>
      <c r="O3968" s="58">
        <v>0</v>
      </c>
      <c r="P3968" s="58">
        <v>0</v>
      </c>
      <c r="Q3968" s="58">
        <v>0</v>
      </c>
      <c r="R3968" s="58">
        <v>0</v>
      </c>
      <c r="S3968" s="58">
        <v>0</v>
      </c>
      <c r="T3968" s="58">
        <v>0</v>
      </c>
      <c r="U3968" s="58">
        <v>0</v>
      </c>
      <c r="V3968" s="58">
        <v>0</v>
      </c>
      <c r="AG3968" t="s">
        <v>3674</v>
      </c>
      <c r="AM3968" s="1" t="str">
        <f t="shared" si="208"/>
        <v>3966_C0005_2502.jpg</v>
      </c>
    </row>
    <row r="3969" spans="1:39" x14ac:dyDescent="0.35">
      <c r="A3969">
        <v>3965</v>
      </c>
      <c r="B3969">
        <v>3966</v>
      </c>
      <c r="F3969" s="64" t="s">
        <v>6281</v>
      </c>
      <c r="G3969" s="64"/>
      <c r="H3969" s="64"/>
      <c r="I3969" s="64">
        <v>0</v>
      </c>
      <c r="N3969" s="4">
        <v>0</v>
      </c>
      <c r="O3969" s="58">
        <v>0</v>
      </c>
      <c r="P3969" s="58">
        <v>0</v>
      </c>
      <c r="Q3969" s="58">
        <v>0</v>
      </c>
      <c r="R3969" s="58">
        <v>0</v>
      </c>
      <c r="S3969" s="58">
        <v>0</v>
      </c>
      <c r="T3969" s="58">
        <v>0</v>
      </c>
      <c r="U3969" s="58">
        <v>0</v>
      </c>
      <c r="V3969" s="58">
        <v>0</v>
      </c>
      <c r="AG3969" t="s">
        <v>3675</v>
      </c>
      <c r="AM3969" s="1" t="str">
        <f t="shared" si="208"/>
        <v>3967_C0005_2498.jpg</v>
      </c>
    </row>
    <row r="3970" spans="1:39" x14ac:dyDescent="0.35">
      <c r="A3970">
        <v>3966</v>
      </c>
      <c r="B3970">
        <v>3967</v>
      </c>
      <c r="F3970" s="64" t="s">
        <v>6282</v>
      </c>
      <c r="G3970" s="64"/>
      <c r="H3970" s="64"/>
      <c r="I3970" s="64">
        <v>0</v>
      </c>
      <c r="N3970" s="4">
        <v>0</v>
      </c>
      <c r="O3970" s="58">
        <v>0</v>
      </c>
      <c r="P3970" s="58">
        <v>0</v>
      </c>
      <c r="Q3970" s="58">
        <v>0</v>
      </c>
      <c r="R3970" s="58">
        <v>0</v>
      </c>
      <c r="S3970" s="58">
        <v>0</v>
      </c>
      <c r="T3970" s="58">
        <v>0</v>
      </c>
      <c r="U3970" s="58">
        <v>0</v>
      </c>
      <c r="V3970" s="58">
        <v>0</v>
      </c>
      <c r="AG3970" t="s">
        <v>3676</v>
      </c>
      <c r="AM3970" s="1" t="str">
        <f t="shared" si="208"/>
        <v>3968_C0005_2494.jpg</v>
      </c>
    </row>
    <row r="3971" spans="1:39" x14ac:dyDescent="0.35">
      <c r="A3971">
        <v>3967</v>
      </c>
      <c r="B3971">
        <v>3968</v>
      </c>
      <c r="F3971" s="64" t="s">
        <v>6283</v>
      </c>
      <c r="G3971" s="64"/>
      <c r="H3971" s="64"/>
      <c r="I3971" s="64">
        <v>0</v>
      </c>
      <c r="N3971" s="4">
        <v>0</v>
      </c>
      <c r="O3971" s="58">
        <v>0</v>
      </c>
      <c r="P3971" s="58">
        <v>0</v>
      </c>
      <c r="Q3971" s="58">
        <v>0</v>
      </c>
      <c r="R3971" s="58">
        <v>0</v>
      </c>
      <c r="S3971" s="58">
        <v>0</v>
      </c>
      <c r="T3971" s="58">
        <v>0</v>
      </c>
      <c r="U3971" s="58">
        <v>0</v>
      </c>
      <c r="V3971" s="58">
        <v>0</v>
      </c>
      <c r="AG3971" t="s">
        <v>3677</v>
      </c>
      <c r="AM3971" s="1" t="str">
        <f t="shared" si="208"/>
        <v>3969_C0005_2491.jpg</v>
      </c>
    </row>
    <row r="3972" spans="1:39" x14ac:dyDescent="0.35">
      <c r="A3972">
        <v>3968</v>
      </c>
      <c r="B3972">
        <v>3969</v>
      </c>
      <c r="F3972" s="64" t="s">
        <v>6284</v>
      </c>
      <c r="G3972" s="64"/>
      <c r="H3972" s="64"/>
      <c r="I3972" s="64">
        <v>0</v>
      </c>
      <c r="N3972" s="4">
        <v>0</v>
      </c>
      <c r="O3972" s="58">
        <v>0</v>
      </c>
      <c r="P3972" s="58">
        <v>0</v>
      </c>
      <c r="Q3972" s="58">
        <v>0</v>
      </c>
      <c r="R3972" s="58">
        <v>0</v>
      </c>
      <c r="S3972" s="58">
        <v>0</v>
      </c>
      <c r="T3972" s="58">
        <v>0</v>
      </c>
      <c r="U3972" s="58">
        <v>0</v>
      </c>
      <c r="V3972" s="58">
        <v>0</v>
      </c>
      <c r="AG3972" t="s">
        <v>3678</v>
      </c>
      <c r="AM3972" s="1" t="str">
        <f t="shared" si="208"/>
        <v>3970_C0005_2487.jpg</v>
      </c>
    </row>
    <row r="3973" spans="1:39" x14ac:dyDescent="0.35">
      <c r="A3973">
        <v>3969</v>
      </c>
      <c r="B3973">
        <v>3970</v>
      </c>
      <c r="F3973" s="64" t="s">
        <v>6285</v>
      </c>
      <c r="G3973" s="64"/>
      <c r="H3973" s="64"/>
      <c r="I3973" s="64">
        <v>0</v>
      </c>
      <c r="N3973" s="4">
        <v>0</v>
      </c>
      <c r="O3973" s="58">
        <v>0</v>
      </c>
      <c r="P3973" s="58">
        <v>0</v>
      </c>
      <c r="Q3973" s="58">
        <v>0</v>
      </c>
      <c r="R3973" s="58">
        <v>0</v>
      </c>
      <c r="S3973" s="58">
        <v>0</v>
      </c>
      <c r="T3973" s="58">
        <v>0</v>
      </c>
      <c r="U3973" s="58">
        <v>0</v>
      </c>
      <c r="V3973" s="58">
        <v>0</v>
      </c>
      <c r="AG3973" t="s">
        <v>3679</v>
      </c>
      <c r="AM3973" s="1" t="str">
        <f t="shared" si="208"/>
        <v>3971_C0005_2484.jpg</v>
      </c>
    </row>
    <row r="3974" spans="1:39" x14ac:dyDescent="0.35">
      <c r="A3974">
        <v>3970</v>
      </c>
      <c r="B3974">
        <v>3971</v>
      </c>
      <c r="F3974" s="64" t="s">
        <v>6286</v>
      </c>
      <c r="G3974" s="64"/>
      <c r="H3974" s="64"/>
      <c r="I3974" s="64">
        <v>0</v>
      </c>
      <c r="N3974" s="4">
        <v>0</v>
      </c>
      <c r="O3974" s="58">
        <v>0</v>
      </c>
      <c r="P3974" s="58">
        <v>0</v>
      </c>
      <c r="Q3974" s="58">
        <v>0</v>
      </c>
      <c r="R3974" s="58">
        <v>0</v>
      </c>
      <c r="S3974" s="58">
        <v>0</v>
      </c>
      <c r="T3974" s="58">
        <v>0</v>
      </c>
      <c r="U3974" s="58">
        <v>0</v>
      </c>
      <c r="V3974" s="58">
        <v>0</v>
      </c>
      <c r="AG3974" t="s">
        <v>3680</v>
      </c>
      <c r="AM3974" s="1" t="str">
        <f t="shared" si="208"/>
        <v>3972_C0005_2481.jpg</v>
      </c>
    </row>
    <row r="3975" spans="1:39" x14ac:dyDescent="0.35">
      <c r="A3975">
        <v>3971</v>
      </c>
      <c r="B3975">
        <v>3972</v>
      </c>
      <c r="F3975" s="64" t="s">
        <v>6287</v>
      </c>
      <c r="G3975" s="64"/>
      <c r="H3975" s="64"/>
      <c r="I3975" s="64">
        <v>0</v>
      </c>
      <c r="N3975" s="4">
        <v>0</v>
      </c>
      <c r="O3975" s="58">
        <v>0</v>
      </c>
      <c r="P3975" s="58">
        <v>0</v>
      </c>
      <c r="Q3975" s="58">
        <v>0</v>
      </c>
      <c r="R3975" s="58">
        <v>0</v>
      </c>
      <c r="S3975" s="58">
        <v>0</v>
      </c>
      <c r="T3975" s="58">
        <v>0</v>
      </c>
      <c r="U3975" s="58">
        <v>0</v>
      </c>
      <c r="V3975" s="58">
        <v>0</v>
      </c>
      <c r="AG3975" t="s">
        <v>3681</v>
      </c>
      <c r="AM3975" s="1" t="str">
        <f t="shared" si="208"/>
        <v>3973_C0005_2478.jpg</v>
      </c>
    </row>
    <row r="3976" spans="1:39" x14ac:dyDescent="0.35">
      <c r="A3976">
        <v>3972</v>
      </c>
      <c r="B3976">
        <v>3973</v>
      </c>
      <c r="F3976" s="64" t="s">
        <v>6288</v>
      </c>
      <c r="G3976" s="64"/>
      <c r="H3976" s="64"/>
      <c r="I3976" s="64">
        <v>0</v>
      </c>
      <c r="N3976" s="4">
        <v>0</v>
      </c>
      <c r="O3976" s="58">
        <v>0</v>
      </c>
      <c r="P3976" s="58">
        <v>0</v>
      </c>
      <c r="Q3976" s="58">
        <v>0</v>
      </c>
      <c r="R3976" s="58">
        <v>0</v>
      </c>
      <c r="S3976" s="58">
        <v>0</v>
      </c>
      <c r="T3976" s="58">
        <v>0</v>
      </c>
      <c r="U3976" s="58">
        <v>0</v>
      </c>
      <c r="V3976" s="58">
        <v>0</v>
      </c>
      <c r="AG3976" t="s">
        <v>3682</v>
      </c>
      <c r="AM3976" s="1" t="str">
        <f t="shared" si="208"/>
        <v>3974_C0005_2475.jpg</v>
      </c>
    </row>
    <row r="3977" spans="1:39" x14ac:dyDescent="0.35">
      <c r="A3977">
        <v>3973</v>
      </c>
      <c r="B3977">
        <v>3974</v>
      </c>
      <c r="F3977" s="64" t="s">
        <v>6289</v>
      </c>
      <c r="G3977" s="64"/>
      <c r="H3977" s="64"/>
      <c r="I3977" s="64">
        <v>0</v>
      </c>
      <c r="N3977" s="4">
        <v>0</v>
      </c>
      <c r="O3977" s="58">
        <v>0</v>
      </c>
      <c r="P3977" s="58">
        <v>0</v>
      </c>
      <c r="Q3977" s="58">
        <v>0</v>
      </c>
      <c r="R3977" s="58">
        <v>0</v>
      </c>
      <c r="S3977" s="58">
        <v>0</v>
      </c>
      <c r="T3977" s="58">
        <v>0</v>
      </c>
      <c r="U3977" s="58">
        <v>0</v>
      </c>
      <c r="V3977" s="58">
        <v>0</v>
      </c>
      <c r="AG3977" t="s">
        <v>3683</v>
      </c>
      <c r="AM3977" s="1" t="str">
        <f t="shared" si="208"/>
        <v>3975_C0005_2472.jpg</v>
      </c>
    </row>
    <row r="3978" spans="1:39" x14ac:dyDescent="0.35">
      <c r="A3978">
        <v>3974</v>
      </c>
      <c r="B3978">
        <v>3975</v>
      </c>
      <c r="F3978" s="64" t="s">
        <v>6290</v>
      </c>
      <c r="G3978" s="64"/>
      <c r="H3978" s="64"/>
      <c r="I3978" s="64">
        <v>0</v>
      </c>
      <c r="N3978" s="4">
        <v>0</v>
      </c>
      <c r="O3978" s="58">
        <v>0</v>
      </c>
      <c r="P3978" s="58">
        <v>0</v>
      </c>
      <c r="Q3978" s="58">
        <v>0</v>
      </c>
      <c r="R3978" s="58">
        <v>0</v>
      </c>
      <c r="S3978" s="58">
        <v>0</v>
      </c>
      <c r="T3978" s="58">
        <v>0</v>
      </c>
      <c r="U3978" s="58">
        <v>0</v>
      </c>
      <c r="V3978" s="58">
        <v>0</v>
      </c>
      <c r="AG3978" t="s">
        <v>3684</v>
      </c>
      <c r="AM3978" s="1" t="str">
        <f t="shared" si="208"/>
        <v>3976_C0005_2469.jpg</v>
      </c>
    </row>
    <row r="3979" spans="1:39" x14ac:dyDescent="0.35">
      <c r="A3979">
        <v>3975</v>
      </c>
      <c r="B3979">
        <v>3976</v>
      </c>
      <c r="F3979" s="64" t="s">
        <v>6291</v>
      </c>
      <c r="G3979" s="64"/>
      <c r="H3979" s="64"/>
      <c r="I3979" s="64">
        <v>0</v>
      </c>
      <c r="N3979" s="4">
        <v>0</v>
      </c>
      <c r="O3979" s="58">
        <v>0</v>
      </c>
      <c r="P3979" s="58">
        <v>0</v>
      </c>
      <c r="Q3979" s="58">
        <v>0</v>
      </c>
      <c r="R3979" s="58">
        <v>0</v>
      </c>
      <c r="S3979" s="58">
        <v>0</v>
      </c>
      <c r="T3979" s="58">
        <v>0</v>
      </c>
      <c r="U3979" s="58">
        <v>0</v>
      </c>
      <c r="V3979" s="58">
        <v>0</v>
      </c>
      <c r="AG3979" t="s">
        <v>3685</v>
      </c>
      <c r="AM3979" s="1" t="str">
        <f t="shared" si="208"/>
        <v>3977_C0005_2466.jpg</v>
      </c>
    </row>
    <row r="3980" spans="1:39" x14ac:dyDescent="0.35">
      <c r="A3980">
        <v>3976</v>
      </c>
      <c r="B3980">
        <v>3977</v>
      </c>
      <c r="F3980" s="64" t="s">
        <v>6292</v>
      </c>
      <c r="G3980" s="64"/>
      <c r="H3980" s="64"/>
      <c r="I3980" s="64">
        <v>0</v>
      </c>
      <c r="N3980" s="4">
        <v>0</v>
      </c>
      <c r="O3980" s="58">
        <v>0</v>
      </c>
      <c r="P3980" s="58">
        <v>0</v>
      </c>
      <c r="Q3980" s="58">
        <v>0</v>
      </c>
      <c r="R3980" s="58">
        <v>0</v>
      </c>
      <c r="S3980" s="58">
        <v>0</v>
      </c>
      <c r="T3980" s="58">
        <v>0</v>
      </c>
      <c r="U3980" s="58">
        <v>0</v>
      </c>
      <c r="V3980" s="58">
        <v>0</v>
      </c>
      <c r="AG3980" t="s">
        <v>3686</v>
      </c>
      <c r="AM3980" s="1" t="str">
        <f t="shared" si="208"/>
        <v>3978_C0005_2462.jpg</v>
      </c>
    </row>
    <row r="3981" spans="1:39" x14ac:dyDescent="0.35">
      <c r="A3981">
        <v>3977</v>
      </c>
      <c r="B3981">
        <v>3978</v>
      </c>
      <c r="F3981" s="64" t="s">
        <v>6293</v>
      </c>
      <c r="G3981" s="64"/>
      <c r="H3981" s="64"/>
      <c r="I3981" s="64">
        <v>0</v>
      </c>
      <c r="N3981" s="4">
        <v>0</v>
      </c>
      <c r="O3981" s="58">
        <v>0</v>
      </c>
      <c r="P3981" s="58">
        <v>0</v>
      </c>
      <c r="Q3981" s="58">
        <v>0</v>
      </c>
      <c r="R3981" s="58">
        <v>0</v>
      </c>
      <c r="S3981" s="58">
        <v>0</v>
      </c>
      <c r="T3981" s="58">
        <v>0</v>
      </c>
      <c r="U3981" s="58">
        <v>0</v>
      </c>
      <c r="V3981" s="58">
        <v>0</v>
      </c>
      <c r="AG3981" t="s">
        <v>3687</v>
      </c>
      <c r="AM3981" s="1" t="str">
        <f t="shared" si="208"/>
        <v>3979_C0005_2458.jpg</v>
      </c>
    </row>
    <row r="3982" spans="1:39" x14ac:dyDescent="0.35">
      <c r="A3982">
        <v>3978</v>
      </c>
      <c r="B3982">
        <v>3979</v>
      </c>
      <c r="F3982" s="64" t="s">
        <v>6294</v>
      </c>
      <c r="G3982" s="64"/>
      <c r="H3982" s="64"/>
      <c r="I3982" s="64">
        <v>0</v>
      </c>
      <c r="N3982" s="4">
        <v>0</v>
      </c>
      <c r="O3982" s="58">
        <v>0</v>
      </c>
      <c r="P3982" s="58">
        <v>0</v>
      </c>
      <c r="Q3982" s="58">
        <v>0</v>
      </c>
      <c r="R3982" s="58">
        <v>0</v>
      </c>
      <c r="S3982" s="58">
        <v>0</v>
      </c>
      <c r="T3982" s="58">
        <v>0</v>
      </c>
      <c r="U3982" s="58">
        <v>0</v>
      </c>
      <c r="V3982" s="58">
        <v>0</v>
      </c>
      <c r="AG3982" t="s">
        <v>3688</v>
      </c>
      <c r="AM3982" s="1" t="str">
        <f t="shared" si="208"/>
        <v>3980_C0005_2453.jpg</v>
      </c>
    </row>
    <row r="3983" spans="1:39" x14ac:dyDescent="0.35">
      <c r="A3983">
        <v>3979</v>
      </c>
      <c r="B3983">
        <v>3980</v>
      </c>
      <c r="F3983" s="64" t="s">
        <v>6295</v>
      </c>
      <c r="G3983" s="64"/>
      <c r="H3983" s="64"/>
      <c r="I3983" s="64">
        <v>0</v>
      </c>
      <c r="N3983" s="4">
        <v>0</v>
      </c>
      <c r="O3983" s="58">
        <v>0</v>
      </c>
      <c r="P3983" s="58">
        <v>0</v>
      </c>
      <c r="Q3983" s="58">
        <v>0</v>
      </c>
      <c r="R3983" s="58">
        <v>0</v>
      </c>
      <c r="S3983" s="58">
        <v>0</v>
      </c>
      <c r="T3983" s="58">
        <v>0</v>
      </c>
      <c r="U3983" s="58">
        <v>0</v>
      </c>
      <c r="V3983" s="58">
        <v>0</v>
      </c>
      <c r="AG3983" t="s">
        <v>3689</v>
      </c>
      <c r="AM3983" s="1" t="str">
        <f t="shared" si="208"/>
        <v>3981_C0005_2449.jpg</v>
      </c>
    </row>
    <row r="3984" spans="1:39" x14ac:dyDescent="0.35">
      <c r="A3984">
        <v>3980</v>
      </c>
      <c r="B3984">
        <v>3981</v>
      </c>
      <c r="F3984" s="64" t="s">
        <v>6296</v>
      </c>
      <c r="G3984" s="64"/>
      <c r="H3984" s="64"/>
      <c r="I3984" s="64">
        <v>0</v>
      </c>
      <c r="N3984" s="4">
        <v>0</v>
      </c>
      <c r="O3984" s="58">
        <v>0</v>
      </c>
      <c r="P3984" s="58">
        <v>0</v>
      </c>
      <c r="Q3984" s="58">
        <v>0</v>
      </c>
      <c r="R3984" s="58">
        <v>0</v>
      </c>
      <c r="S3984" s="58">
        <v>0</v>
      </c>
      <c r="T3984" s="58">
        <v>0</v>
      </c>
      <c r="U3984" s="58">
        <v>0</v>
      </c>
      <c r="V3984" s="58">
        <v>0</v>
      </c>
      <c r="AG3984" t="s">
        <v>3690</v>
      </c>
      <c r="AM3984" s="1" t="str">
        <f t="shared" si="208"/>
        <v>3982_C0005_2445.jpg</v>
      </c>
    </row>
    <row r="3985" spans="1:39" x14ac:dyDescent="0.35">
      <c r="A3985">
        <v>3981</v>
      </c>
      <c r="B3985">
        <v>3982</v>
      </c>
      <c r="F3985" s="64" t="s">
        <v>6297</v>
      </c>
      <c r="G3985" s="64"/>
      <c r="H3985" s="64"/>
      <c r="I3985" s="64">
        <v>0</v>
      </c>
      <c r="N3985" s="4">
        <v>0</v>
      </c>
      <c r="O3985" s="58">
        <v>0</v>
      </c>
      <c r="P3985" s="58">
        <v>0</v>
      </c>
      <c r="Q3985" s="58">
        <v>0</v>
      </c>
      <c r="R3985" s="58">
        <v>0</v>
      </c>
      <c r="S3985" s="58">
        <v>0</v>
      </c>
      <c r="T3985" s="58">
        <v>0</v>
      </c>
      <c r="U3985" s="58">
        <v>0</v>
      </c>
      <c r="V3985" s="58">
        <v>0</v>
      </c>
      <c r="AG3985" t="s">
        <v>3691</v>
      </c>
      <c r="AM3985" s="1" t="str">
        <f t="shared" si="208"/>
        <v>3983_C0005_2442.jpg</v>
      </c>
    </row>
    <row r="3986" spans="1:39" x14ac:dyDescent="0.35">
      <c r="A3986">
        <v>3982</v>
      </c>
      <c r="B3986">
        <v>3983</v>
      </c>
      <c r="F3986" s="64" t="s">
        <v>6298</v>
      </c>
      <c r="G3986" s="64"/>
      <c r="H3986" s="64"/>
      <c r="I3986" s="64">
        <v>0</v>
      </c>
      <c r="N3986" s="4">
        <v>0</v>
      </c>
      <c r="O3986" s="58">
        <v>0</v>
      </c>
      <c r="P3986" s="58">
        <v>0</v>
      </c>
      <c r="Q3986" s="58">
        <v>0</v>
      </c>
      <c r="R3986" s="58">
        <v>0</v>
      </c>
      <c r="S3986" s="58">
        <v>0</v>
      </c>
      <c r="T3986" s="58">
        <v>0</v>
      </c>
      <c r="U3986" s="58">
        <v>0</v>
      </c>
      <c r="V3986" s="58">
        <v>0</v>
      </c>
      <c r="AG3986" t="s">
        <v>3692</v>
      </c>
      <c r="AM3986" s="1" t="str">
        <f t="shared" si="208"/>
        <v>3984_C0005_2438.jpg</v>
      </c>
    </row>
    <row r="3987" spans="1:39" x14ac:dyDescent="0.35">
      <c r="A3987">
        <v>3983</v>
      </c>
      <c r="B3987">
        <v>3984</v>
      </c>
      <c r="F3987" s="64" t="s">
        <v>6299</v>
      </c>
      <c r="G3987" s="64"/>
      <c r="H3987" s="64"/>
      <c r="I3987" s="64">
        <v>0</v>
      </c>
      <c r="N3987" s="4">
        <v>0</v>
      </c>
      <c r="O3987" s="58">
        <v>0</v>
      </c>
      <c r="P3987" s="58">
        <v>0</v>
      </c>
      <c r="Q3987" s="58">
        <v>0</v>
      </c>
      <c r="R3987" s="58">
        <v>0</v>
      </c>
      <c r="S3987" s="58">
        <v>0</v>
      </c>
      <c r="T3987" s="58">
        <v>0</v>
      </c>
      <c r="U3987" s="58">
        <v>0</v>
      </c>
      <c r="V3987" s="58">
        <v>0</v>
      </c>
      <c r="AG3987" t="s">
        <v>3693</v>
      </c>
      <c r="AM3987" s="1" t="str">
        <f t="shared" si="208"/>
        <v>3985_C0005_2434.jpg</v>
      </c>
    </row>
    <row r="3988" spans="1:39" x14ac:dyDescent="0.35">
      <c r="A3988">
        <v>3984</v>
      </c>
      <c r="B3988">
        <v>3985</v>
      </c>
      <c r="F3988" s="64" t="s">
        <v>6300</v>
      </c>
      <c r="G3988" s="64"/>
      <c r="H3988" s="64"/>
      <c r="I3988" s="64">
        <v>0</v>
      </c>
      <c r="N3988" s="4">
        <v>0</v>
      </c>
      <c r="O3988" s="58">
        <v>0</v>
      </c>
      <c r="P3988" s="58">
        <v>0</v>
      </c>
      <c r="Q3988" s="58">
        <v>0</v>
      </c>
      <c r="R3988" s="58">
        <v>0</v>
      </c>
      <c r="S3988" s="58">
        <v>0</v>
      </c>
      <c r="T3988" s="58">
        <v>0</v>
      </c>
      <c r="U3988" s="58">
        <v>0</v>
      </c>
      <c r="V3988" s="58">
        <v>0</v>
      </c>
      <c r="AG3988" t="s">
        <v>3694</v>
      </c>
      <c r="AM3988" s="1" t="str">
        <f t="shared" si="208"/>
        <v>3986_C0005_2430.jpg</v>
      </c>
    </row>
    <row r="3989" spans="1:39" x14ac:dyDescent="0.35">
      <c r="A3989">
        <v>3985</v>
      </c>
      <c r="B3989">
        <v>3986</v>
      </c>
      <c r="F3989" s="64" t="s">
        <v>6301</v>
      </c>
      <c r="G3989" s="64"/>
      <c r="H3989" s="64"/>
      <c r="I3989" s="64">
        <v>0</v>
      </c>
      <c r="N3989" s="4">
        <v>0</v>
      </c>
      <c r="O3989" s="58">
        <v>0</v>
      </c>
      <c r="P3989" s="58">
        <v>0</v>
      </c>
      <c r="Q3989" s="58">
        <v>0</v>
      </c>
      <c r="R3989" s="58">
        <v>0</v>
      </c>
      <c r="S3989" s="58">
        <v>0</v>
      </c>
      <c r="T3989" s="58">
        <v>0</v>
      </c>
      <c r="U3989" s="58">
        <v>0</v>
      </c>
      <c r="V3989" s="58">
        <v>0</v>
      </c>
      <c r="AG3989" t="s">
        <v>3695</v>
      </c>
      <c r="AM3989" s="1" t="str">
        <f t="shared" si="208"/>
        <v>3987_C0005_2426.jpg</v>
      </c>
    </row>
    <row r="3990" spans="1:39" x14ac:dyDescent="0.35">
      <c r="A3990">
        <v>3986</v>
      </c>
      <c r="B3990">
        <v>3987</v>
      </c>
      <c r="F3990" s="64" t="s">
        <v>6302</v>
      </c>
      <c r="G3990" s="64"/>
      <c r="H3990" s="64"/>
      <c r="I3990" s="64">
        <v>0</v>
      </c>
      <c r="N3990" s="4">
        <v>0</v>
      </c>
      <c r="O3990" s="58">
        <v>0</v>
      </c>
      <c r="P3990" s="58">
        <v>0</v>
      </c>
      <c r="Q3990" s="58">
        <v>0</v>
      </c>
      <c r="R3990" s="58">
        <v>0</v>
      </c>
      <c r="S3990" s="58">
        <v>0</v>
      </c>
      <c r="T3990" s="58">
        <v>0</v>
      </c>
      <c r="U3990" s="58">
        <v>0</v>
      </c>
      <c r="V3990" s="58">
        <v>0</v>
      </c>
      <c r="AG3990" t="s">
        <v>3696</v>
      </c>
      <c r="AM3990" s="1" t="str">
        <f t="shared" si="208"/>
        <v>3988_C0005_2422.jpg</v>
      </c>
    </row>
    <row r="3991" spans="1:39" x14ac:dyDescent="0.35">
      <c r="A3991">
        <v>3987</v>
      </c>
      <c r="B3991">
        <v>3988</v>
      </c>
      <c r="F3991" s="64" t="s">
        <v>6303</v>
      </c>
      <c r="G3991" s="64"/>
      <c r="H3991" s="64"/>
      <c r="I3991" s="64">
        <v>0</v>
      </c>
      <c r="N3991" s="4">
        <v>0</v>
      </c>
      <c r="O3991" s="58">
        <v>0</v>
      </c>
      <c r="P3991" s="58">
        <v>0</v>
      </c>
      <c r="Q3991" s="58">
        <v>0</v>
      </c>
      <c r="R3991" s="58">
        <v>0</v>
      </c>
      <c r="S3991" s="58">
        <v>0</v>
      </c>
      <c r="T3991" s="58">
        <v>0</v>
      </c>
      <c r="U3991" s="58">
        <v>0</v>
      </c>
      <c r="V3991" s="58">
        <v>0</v>
      </c>
      <c r="AG3991" t="s">
        <v>3697</v>
      </c>
      <c r="AM3991" s="1" t="str">
        <f t="shared" si="208"/>
        <v>3989_C0005_2418.jpg</v>
      </c>
    </row>
    <row r="3992" spans="1:39" x14ac:dyDescent="0.35">
      <c r="A3992">
        <v>3988</v>
      </c>
      <c r="B3992">
        <v>3989</v>
      </c>
      <c r="F3992" s="64" t="s">
        <v>6304</v>
      </c>
      <c r="G3992" s="64"/>
      <c r="H3992" s="64"/>
      <c r="I3992" s="64">
        <v>0</v>
      </c>
      <c r="N3992" s="4">
        <v>0</v>
      </c>
      <c r="O3992" s="58">
        <v>0</v>
      </c>
      <c r="P3992" s="58">
        <v>0</v>
      </c>
      <c r="Q3992" s="58">
        <v>0</v>
      </c>
      <c r="R3992" s="58">
        <v>0</v>
      </c>
      <c r="S3992" s="58">
        <v>0</v>
      </c>
      <c r="T3992" s="58">
        <v>0</v>
      </c>
      <c r="U3992" s="58">
        <v>0</v>
      </c>
      <c r="V3992" s="58">
        <v>0</v>
      </c>
      <c r="AG3992" t="s">
        <v>3698</v>
      </c>
      <c r="AM3992" s="1" t="str">
        <f t="shared" si="208"/>
        <v>3990_C0005_2414.jpg</v>
      </c>
    </row>
    <row r="3993" spans="1:39" x14ac:dyDescent="0.35">
      <c r="A3993">
        <v>3989</v>
      </c>
      <c r="B3993">
        <v>3990</v>
      </c>
      <c r="F3993" s="64" t="s">
        <v>6305</v>
      </c>
      <c r="G3993" s="64"/>
      <c r="H3993" s="64"/>
      <c r="I3993" s="64">
        <v>0</v>
      </c>
      <c r="N3993" s="4">
        <v>0</v>
      </c>
      <c r="O3993" s="58">
        <v>0</v>
      </c>
      <c r="P3993" s="58">
        <v>0</v>
      </c>
      <c r="Q3993" s="58">
        <v>0</v>
      </c>
      <c r="R3993" s="58">
        <v>0</v>
      </c>
      <c r="S3993" s="58">
        <v>0</v>
      </c>
      <c r="T3993" s="58">
        <v>0</v>
      </c>
      <c r="U3993" s="58">
        <v>0</v>
      </c>
      <c r="V3993" s="58">
        <v>0</v>
      </c>
      <c r="AG3993" t="s">
        <v>3699</v>
      </c>
      <c r="AM3993" s="1" t="str">
        <f t="shared" si="208"/>
        <v>3991_C0005_2410.jpg</v>
      </c>
    </row>
    <row r="3994" spans="1:39" x14ac:dyDescent="0.35">
      <c r="A3994">
        <v>3990</v>
      </c>
      <c r="B3994">
        <v>3991</v>
      </c>
      <c r="F3994" s="64" t="s">
        <v>6306</v>
      </c>
      <c r="G3994" s="64"/>
      <c r="H3994" s="64"/>
      <c r="I3994" s="64">
        <v>0</v>
      </c>
      <c r="N3994" s="4">
        <v>0</v>
      </c>
      <c r="O3994" s="58">
        <v>0</v>
      </c>
      <c r="P3994" s="58">
        <v>0</v>
      </c>
      <c r="Q3994" s="58">
        <v>0</v>
      </c>
      <c r="R3994" s="58">
        <v>0</v>
      </c>
      <c r="S3994" s="58">
        <v>0</v>
      </c>
      <c r="T3994" s="58">
        <v>0</v>
      </c>
      <c r="U3994" s="58">
        <v>0</v>
      </c>
      <c r="V3994" s="58">
        <v>0</v>
      </c>
      <c r="AG3994" t="s">
        <v>3700</v>
      </c>
      <c r="AM3994" s="1" t="str">
        <f t="shared" si="208"/>
        <v>3992_C0005_2405.jpg</v>
      </c>
    </row>
    <row r="3995" spans="1:39" x14ac:dyDescent="0.35">
      <c r="A3995">
        <v>3991</v>
      </c>
      <c r="B3995">
        <v>3992</v>
      </c>
      <c r="F3995" s="64" t="s">
        <v>6307</v>
      </c>
      <c r="G3995" s="64"/>
      <c r="H3995" s="64"/>
      <c r="I3995" s="64">
        <v>0</v>
      </c>
      <c r="N3995" s="4">
        <v>0</v>
      </c>
      <c r="O3995" s="58">
        <v>0</v>
      </c>
      <c r="P3995" s="58">
        <v>0</v>
      </c>
      <c r="Q3995" s="58">
        <v>0</v>
      </c>
      <c r="R3995" s="58">
        <v>0</v>
      </c>
      <c r="S3995" s="58">
        <v>0</v>
      </c>
      <c r="T3995" s="58">
        <v>0</v>
      </c>
      <c r="U3995" s="58">
        <v>0</v>
      </c>
      <c r="V3995" s="58">
        <v>0</v>
      </c>
      <c r="AG3995" t="s">
        <v>3701</v>
      </c>
      <c r="AM3995" s="1" t="str">
        <f t="shared" si="208"/>
        <v>3993_C0005_2401.jpg</v>
      </c>
    </row>
    <row r="3996" spans="1:39" x14ac:dyDescent="0.35">
      <c r="A3996">
        <v>3992</v>
      </c>
      <c r="B3996">
        <v>3993</v>
      </c>
      <c r="F3996" s="64" t="s">
        <v>6308</v>
      </c>
      <c r="G3996" s="64"/>
      <c r="H3996" s="64"/>
      <c r="I3996" s="64">
        <v>0</v>
      </c>
      <c r="N3996" s="4">
        <v>0</v>
      </c>
      <c r="O3996" s="58">
        <v>0</v>
      </c>
      <c r="P3996" s="58">
        <v>0</v>
      </c>
      <c r="Q3996" s="58">
        <v>0</v>
      </c>
      <c r="R3996" s="58">
        <v>0</v>
      </c>
      <c r="S3996" s="58">
        <v>0</v>
      </c>
      <c r="T3996" s="58">
        <v>0</v>
      </c>
      <c r="U3996" s="58">
        <v>0</v>
      </c>
      <c r="V3996" s="58">
        <v>0</v>
      </c>
      <c r="AG3996" t="s">
        <v>3702</v>
      </c>
      <c r="AM3996" s="1" t="str">
        <f t="shared" si="208"/>
        <v>3994_C0005_2396.jpg</v>
      </c>
    </row>
    <row r="3997" spans="1:39" x14ac:dyDescent="0.35">
      <c r="A3997">
        <v>3993</v>
      </c>
      <c r="B3997">
        <v>3994</v>
      </c>
      <c r="F3997" s="64" t="s">
        <v>6309</v>
      </c>
      <c r="G3997" s="64"/>
      <c r="H3997" s="64"/>
      <c r="I3997" s="64">
        <v>0</v>
      </c>
      <c r="N3997" s="4">
        <v>0</v>
      </c>
      <c r="O3997" s="58">
        <v>0</v>
      </c>
      <c r="P3997" s="58">
        <v>0</v>
      </c>
      <c r="Q3997" s="58">
        <v>0</v>
      </c>
      <c r="R3997" s="58">
        <v>0</v>
      </c>
      <c r="S3997" s="58">
        <v>0</v>
      </c>
      <c r="T3997" s="58">
        <v>0</v>
      </c>
      <c r="U3997" s="58">
        <v>0</v>
      </c>
      <c r="V3997" s="58">
        <v>0</v>
      </c>
      <c r="AG3997" t="s">
        <v>3703</v>
      </c>
      <c r="AM3997" s="1" t="str">
        <f t="shared" si="208"/>
        <v>3995_C0005_2392.jpg</v>
      </c>
    </row>
    <row r="3998" spans="1:39" x14ac:dyDescent="0.35">
      <c r="A3998">
        <v>3994</v>
      </c>
      <c r="B3998">
        <v>3995</v>
      </c>
      <c r="F3998" s="64" t="s">
        <v>6310</v>
      </c>
      <c r="G3998" s="64"/>
      <c r="H3998" s="64"/>
      <c r="I3998" s="64">
        <v>0</v>
      </c>
      <c r="N3998" s="4">
        <v>0</v>
      </c>
      <c r="O3998" s="58">
        <v>0</v>
      </c>
      <c r="P3998" s="58">
        <v>0</v>
      </c>
      <c r="Q3998" s="58">
        <v>0</v>
      </c>
      <c r="R3998" s="58">
        <v>0</v>
      </c>
      <c r="S3998" s="58">
        <v>0</v>
      </c>
      <c r="T3998" s="58">
        <v>0</v>
      </c>
      <c r="U3998" s="58">
        <v>0</v>
      </c>
      <c r="V3998" s="58">
        <v>0</v>
      </c>
      <c r="AG3998" t="s">
        <v>3704</v>
      </c>
      <c r="AM3998" s="1" t="str">
        <f t="shared" si="208"/>
        <v>3996_C0005_2388.jpg</v>
      </c>
    </row>
    <row r="3999" spans="1:39" x14ac:dyDescent="0.35">
      <c r="A3999">
        <v>3995</v>
      </c>
      <c r="B3999">
        <v>3996</v>
      </c>
      <c r="F3999" s="64" t="s">
        <v>6311</v>
      </c>
      <c r="G3999" s="64"/>
      <c r="H3999" s="64"/>
      <c r="I3999" s="64">
        <v>0</v>
      </c>
      <c r="N3999" s="4">
        <v>0</v>
      </c>
      <c r="O3999" s="58">
        <v>0</v>
      </c>
      <c r="P3999" s="58">
        <v>0</v>
      </c>
      <c r="Q3999" s="58">
        <v>0</v>
      </c>
      <c r="R3999" s="58">
        <v>0</v>
      </c>
      <c r="S3999" s="58">
        <v>0</v>
      </c>
      <c r="T3999" s="58">
        <v>0</v>
      </c>
      <c r="U3999" s="58">
        <v>0</v>
      </c>
      <c r="V3999" s="58">
        <v>0</v>
      </c>
      <c r="AG3999" t="s">
        <v>3705</v>
      </c>
      <c r="AM3999" s="1" t="str">
        <f t="shared" si="208"/>
        <v>3997_C0005_2384.jpg</v>
      </c>
    </row>
    <row r="4000" spans="1:39" x14ac:dyDescent="0.35">
      <c r="A4000">
        <v>3996</v>
      </c>
      <c r="B4000">
        <v>3997</v>
      </c>
      <c r="F4000" s="64" t="s">
        <v>6312</v>
      </c>
      <c r="G4000" s="64"/>
      <c r="H4000" s="64"/>
      <c r="I4000" s="64">
        <v>0</v>
      </c>
      <c r="N4000" s="4">
        <v>0</v>
      </c>
      <c r="O4000" s="58">
        <v>0</v>
      </c>
      <c r="P4000" s="58">
        <v>0</v>
      </c>
      <c r="Q4000" s="58">
        <v>0</v>
      </c>
      <c r="R4000" s="58">
        <v>0</v>
      </c>
      <c r="S4000" s="58">
        <v>0</v>
      </c>
      <c r="T4000" s="58">
        <v>0</v>
      </c>
      <c r="U4000" s="58">
        <v>0</v>
      </c>
      <c r="V4000" s="58">
        <v>0</v>
      </c>
      <c r="AG4000" t="s">
        <v>3706</v>
      </c>
      <c r="AM4000" s="1" t="str">
        <f t="shared" si="208"/>
        <v>3998_C0005_2381.jpg</v>
      </c>
    </row>
    <row r="4001" spans="1:39" x14ac:dyDescent="0.35">
      <c r="A4001">
        <v>3997</v>
      </c>
      <c r="B4001">
        <v>3998</v>
      </c>
      <c r="F4001" s="64" t="s">
        <v>6313</v>
      </c>
      <c r="G4001" s="64"/>
      <c r="H4001" s="64"/>
      <c r="I4001" s="64">
        <v>0</v>
      </c>
      <c r="N4001" s="4">
        <v>0</v>
      </c>
      <c r="O4001" s="58">
        <v>0</v>
      </c>
      <c r="P4001" s="58">
        <v>0</v>
      </c>
      <c r="Q4001" s="58">
        <v>0</v>
      </c>
      <c r="R4001" s="58">
        <v>0</v>
      </c>
      <c r="S4001" s="58">
        <v>0</v>
      </c>
      <c r="T4001" s="58">
        <v>0</v>
      </c>
      <c r="U4001" s="58">
        <v>0</v>
      </c>
      <c r="V4001" s="58">
        <v>0</v>
      </c>
      <c r="AG4001" t="s">
        <v>3707</v>
      </c>
      <c r="AM4001" s="1" t="str">
        <f t="shared" si="208"/>
        <v>3999_C0005_2377.jpg</v>
      </c>
    </row>
    <row r="4002" spans="1:39" x14ac:dyDescent="0.35">
      <c r="A4002">
        <v>3998</v>
      </c>
      <c r="B4002">
        <v>3999</v>
      </c>
      <c r="F4002" s="64" t="s">
        <v>6314</v>
      </c>
      <c r="G4002" s="64"/>
      <c r="H4002" s="64"/>
      <c r="I4002" s="64">
        <v>0</v>
      </c>
      <c r="N4002" s="4">
        <v>0</v>
      </c>
      <c r="O4002" s="58">
        <v>0</v>
      </c>
      <c r="P4002" s="58">
        <v>0</v>
      </c>
      <c r="Q4002" s="58">
        <v>0</v>
      </c>
      <c r="R4002" s="58">
        <v>0</v>
      </c>
      <c r="S4002" s="58">
        <v>0</v>
      </c>
      <c r="T4002" s="58">
        <v>0</v>
      </c>
      <c r="U4002" s="58">
        <v>0</v>
      </c>
      <c r="V4002" s="58">
        <v>0</v>
      </c>
      <c r="AG4002" t="s">
        <v>3708</v>
      </c>
      <c r="AM4002" s="1" t="str">
        <f t="shared" si="208"/>
        <v>4000_C0005_2374.jpg</v>
      </c>
    </row>
    <row r="4003" spans="1:39" x14ac:dyDescent="0.35">
      <c r="A4003">
        <v>3999</v>
      </c>
      <c r="B4003">
        <v>4000</v>
      </c>
      <c r="F4003" s="64" t="s">
        <v>6315</v>
      </c>
      <c r="G4003" s="64"/>
      <c r="H4003" s="64"/>
      <c r="I4003" s="64">
        <v>0</v>
      </c>
      <c r="N4003" s="4">
        <v>0</v>
      </c>
      <c r="O4003" s="58">
        <v>0</v>
      </c>
      <c r="P4003" s="58">
        <v>0</v>
      </c>
      <c r="Q4003" s="58">
        <v>0</v>
      </c>
      <c r="R4003" s="58">
        <v>0</v>
      </c>
      <c r="S4003" s="58">
        <v>0</v>
      </c>
      <c r="T4003" s="58">
        <v>0</v>
      </c>
      <c r="U4003" s="58">
        <v>0</v>
      </c>
      <c r="V4003" s="58">
        <v>0</v>
      </c>
      <c r="AG4003" t="s">
        <v>3709</v>
      </c>
      <c r="AM4003" s="1" t="str">
        <f t="shared" si="208"/>
        <v>4001_C0005_2370.jpg</v>
      </c>
    </row>
    <row r="4004" spans="1:39" x14ac:dyDescent="0.35">
      <c r="A4004">
        <v>4000</v>
      </c>
      <c r="B4004">
        <v>4001</v>
      </c>
      <c r="F4004" s="64" t="s">
        <v>6316</v>
      </c>
      <c r="G4004" s="64"/>
      <c r="H4004" s="64"/>
      <c r="I4004" s="64">
        <v>0</v>
      </c>
      <c r="N4004" s="4">
        <v>0</v>
      </c>
      <c r="O4004" s="58">
        <v>0</v>
      </c>
      <c r="P4004" s="58">
        <v>0</v>
      </c>
      <c r="Q4004" s="58">
        <v>0</v>
      </c>
      <c r="R4004" s="58">
        <v>0</v>
      </c>
      <c r="S4004" s="58">
        <v>0</v>
      </c>
      <c r="T4004" s="58">
        <v>0</v>
      </c>
      <c r="U4004" s="58">
        <v>0</v>
      </c>
      <c r="V4004" s="58">
        <v>0</v>
      </c>
      <c r="AG4004" t="s">
        <v>3710</v>
      </c>
      <c r="AM4004" s="1" t="str">
        <f t="shared" si="208"/>
        <v>4002_C0005_2366.jpg</v>
      </c>
    </row>
    <row r="4005" spans="1:39" x14ac:dyDescent="0.35">
      <c r="A4005">
        <v>4001</v>
      </c>
      <c r="B4005">
        <v>4002</v>
      </c>
      <c r="F4005" s="64" t="s">
        <v>6317</v>
      </c>
      <c r="G4005" s="64"/>
      <c r="H4005" s="64"/>
      <c r="I4005" s="64">
        <v>0</v>
      </c>
      <c r="N4005" s="4">
        <v>0</v>
      </c>
      <c r="O4005" s="58">
        <v>0</v>
      </c>
      <c r="P4005" s="58">
        <v>0</v>
      </c>
      <c r="Q4005" s="58">
        <v>0</v>
      </c>
      <c r="R4005" s="58">
        <v>0</v>
      </c>
      <c r="S4005" s="58">
        <v>0</v>
      </c>
      <c r="T4005" s="58">
        <v>0</v>
      </c>
      <c r="U4005" s="58">
        <v>0</v>
      </c>
      <c r="V4005" s="58">
        <v>0</v>
      </c>
      <c r="AG4005" t="s">
        <v>3711</v>
      </c>
      <c r="AM4005" s="1" t="str">
        <f t="shared" si="208"/>
        <v>4003_C0005_2362.jpg</v>
      </c>
    </row>
    <row r="4006" spans="1:39" x14ac:dyDescent="0.35">
      <c r="A4006">
        <v>4002</v>
      </c>
      <c r="B4006">
        <v>4003</v>
      </c>
      <c r="F4006" s="64" t="s">
        <v>6318</v>
      </c>
      <c r="G4006" s="64"/>
      <c r="H4006" s="64"/>
      <c r="I4006" s="64">
        <v>0</v>
      </c>
      <c r="N4006" s="4">
        <v>0</v>
      </c>
      <c r="O4006" s="58">
        <v>0</v>
      </c>
      <c r="P4006" s="58">
        <v>0</v>
      </c>
      <c r="Q4006" s="58">
        <v>0</v>
      </c>
      <c r="R4006" s="58">
        <v>0</v>
      </c>
      <c r="S4006" s="58">
        <v>0</v>
      </c>
      <c r="T4006" s="58">
        <v>0</v>
      </c>
      <c r="U4006" s="58">
        <v>0</v>
      </c>
      <c r="V4006" s="58">
        <v>0</v>
      </c>
      <c r="AG4006" t="s">
        <v>3712</v>
      </c>
      <c r="AM4006" s="1" t="str">
        <f t="shared" si="208"/>
        <v>4004_C0005_2359.jpg</v>
      </c>
    </row>
    <row r="4007" spans="1:39" x14ac:dyDescent="0.35">
      <c r="A4007">
        <v>4003</v>
      </c>
      <c r="B4007">
        <v>4004</v>
      </c>
      <c r="F4007" s="64" t="s">
        <v>6319</v>
      </c>
      <c r="G4007" s="64"/>
      <c r="H4007" s="64"/>
      <c r="I4007" s="64">
        <v>0</v>
      </c>
      <c r="N4007" s="4">
        <v>0</v>
      </c>
      <c r="O4007" s="58">
        <v>0</v>
      </c>
      <c r="P4007" s="58">
        <v>0</v>
      </c>
      <c r="Q4007" s="58">
        <v>0</v>
      </c>
      <c r="R4007" s="58">
        <v>0</v>
      </c>
      <c r="S4007" s="58">
        <v>0</v>
      </c>
      <c r="T4007" s="58">
        <v>0</v>
      </c>
      <c r="U4007" s="58">
        <v>0</v>
      </c>
      <c r="V4007" s="58">
        <v>0</v>
      </c>
      <c r="AG4007" t="s">
        <v>3713</v>
      </c>
      <c r="AM4007" s="1" t="str">
        <f t="shared" si="208"/>
        <v>4005_C0005_2354.jpg</v>
      </c>
    </row>
    <row r="4008" spans="1:39" x14ac:dyDescent="0.35">
      <c r="A4008">
        <v>4004</v>
      </c>
      <c r="B4008">
        <v>4005</v>
      </c>
      <c r="F4008" s="64" t="s">
        <v>6320</v>
      </c>
      <c r="G4008" s="64"/>
      <c r="H4008" s="64"/>
      <c r="I4008" s="64">
        <v>0</v>
      </c>
      <c r="N4008" s="4">
        <v>0</v>
      </c>
      <c r="O4008" s="58">
        <v>0</v>
      </c>
      <c r="P4008" s="58">
        <v>0</v>
      </c>
      <c r="Q4008" s="58">
        <v>0</v>
      </c>
      <c r="R4008" s="58">
        <v>0</v>
      </c>
      <c r="S4008" s="58">
        <v>0</v>
      </c>
      <c r="T4008" s="58">
        <v>0</v>
      </c>
      <c r="U4008" s="58">
        <v>0</v>
      </c>
      <c r="V4008" s="58">
        <v>0</v>
      </c>
      <c r="AG4008" t="s">
        <v>3714</v>
      </c>
      <c r="AM4008" s="1" t="str">
        <f t="shared" si="208"/>
        <v>4006_C0005_2350.jpg</v>
      </c>
    </row>
    <row r="4009" spans="1:39" x14ac:dyDescent="0.35">
      <c r="A4009">
        <v>4005</v>
      </c>
      <c r="B4009">
        <v>4006</v>
      </c>
      <c r="F4009" s="64" t="s">
        <v>6321</v>
      </c>
      <c r="G4009" s="64"/>
      <c r="H4009" s="64"/>
      <c r="I4009" s="64">
        <v>0</v>
      </c>
      <c r="N4009" s="4">
        <v>0</v>
      </c>
      <c r="O4009" s="58">
        <v>0</v>
      </c>
      <c r="P4009" s="58">
        <v>0</v>
      </c>
      <c r="Q4009" s="58">
        <v>0</v>
      </c>
      <c r="R4009" s="58">
        <v>0</v>
      </c>
      <c r="S4009" s="58">
        <v>0</v>
      </c>
      <c r="T4009" s="58">
        <v>0</v>
      </c>
      <c r="U4009" s="58">
        <v>0</v>
      </c>
      <c r="V4009" s="58">
        <v>0</v>
      </c>
      <c r="AG4009" t="s">
        <v>3715</v>
      </c>
      <c r="AM4009" s="1" t="str">
        <f t="shared" ref="AM4009:AM4072" si="209">HYPERLINK("E:\CAFNEC_GBRF\2023\JohnstoneRiver\Frames_for_Analysis\" &amp; F4010, F4010)</f>
        <v>4007_C0005_2345.jpg</v>
      </c>
    </row>
    <row r="4010" spans="1:39" x14ac:dyDescent="0.35">
      <c r="A4010">
        <v>4006</v>
      </c>
      <c r="B4010">
        <v>4007</v>
      </c>
      <c r="F4010" s="64" t="s">
        <v>6322</v>
      </c>
      <c r="G4010" s="64"/>
      <c r="H4010" s="64"/>
      <c r="I4010" s="64">
        <v>0</v>
      </c>
      <c r="N4010" s="4">
        <v>0</v>
      </c>
      <c r="O4010" s="58">
        <v>0</v>
      </c>
      <c r="P4010" s="58">
        <v>0</v>
      </c>
      <c r="Q4010" s="58">
        <v>0</v>
      </c>
      <c r="R4010" s="58">
        <v>0</v>
      </c>
      <c r="S4010" s="58">
        <v>0</v>
      </c>
      <c r="T4010" s="58">
        <v>0</v>
      </c>
      <c r="U4010" s="58">
        <v>0</v>
      </c>
      <c r="V4010" s="58">
        <v>0</v>
      </c>
      <c r="AG4010" t="s">
        <v>3716</v>
      </c>
      <c r="AM4010" s="1" t="str">
        <f t="shared" si="209"/>
        <v>4008_C0005_2341.jpg</v>
      </c>
    </row>
    <row r="4011" spans="1:39" x14ac:dyDescent="0.35">
      <c r="A4011">
        <v>4007</v>
      </c>
      <c r="B4011">
        <v>4008</v>
      </c>
      <c r="F4011" s="64" t="s">
        <v>6323</v>
      </c>
      <c r="G4011" s="64"/>
      <c r="H4011" s="64"/>
      <c r="I4011" s="64">
        <v>0</v>
      </c>
      <c r="N4011" s="4">
        <v>0</v>
      </c>
      <c r="O4011" s="58">
        <v>0</v>
      </c>
      <c r="P4011" s="58">
        <v>0</v>
      </c>
      <c r="Q4011" s="58">
        <v>0</v>
      </c>
      <c r="R4011" s="58">
        <v>0</v>
      </c>
      <c r="S4011" s="58">
        <v>0</v>
      </c>
      <c r="T4011" s="58">
        <v>0</v>
      </c>
      <c r="U4011" s="58">
        <v>0</v>
      </c>
      <c r="V4011" s="58">
        <v>0</v>
      </c>
      <c r="AG4011" t="s">
        <v>3717</v>
      </c>
      <c r="AM4011" s="1" t="str">
        <f t="shared" si="209"/>
        <v>4009_C0005_2337.jpg</v>
      </c>
    </row>
    <row r="4012" spans="1:39" x14ac:dyDescent="0.35">
      <c r="A4012">
        <v>4008</v>
      </c>
      <c r="B4012">
        <v>4009</v>
      </c>
      <c r="F4012" s="64" t="s">
        <v>6324</v>
      </c>
      <c r="G4012" s="64"/>
      <c r="H4012" s="64"/>
      <c r="I4012" s="64">
        <v>0</v>
      </c>
      <c r="N4012" s="4">
        <v>0</v>
      </c>
      <c r="O4012" s="58">
        <v>0</v>
      </c>
      <c r="P4012" s="58">
        <v>0</v>
      </c>
      <c r="Q4012" s="58">
        <v>0</v>
      </c>
      <c r="R4012" s="58">
        <v>0</v>
      </c>
      <c r="S4012" s="58">
        <v>0</v>
      </c>
      <c r="T4012" s="58">
        <v>0</v>
      </c>
      <c r="U4012" s="58">
        <v>0</v>
      </c>
      <c r="V4012" s="58">
        <v>0</v>
      </c>
      <c r="AG4012" t="s">
        <v>3718</v>
      </c>
      <c r="AM4012" s="1" t="str">
        <f t="shared" si="209"/>
        <v>4010_C0005_2332.jpg</v>
      </c>
    </row>
    <row r="4013" spans="1:39" x14ac:dyDescent="0.35">
      <c r="A4013">
        <v>4009</v>
      </c>
      <c r="B4013">
        <v>4010</v>
      </c>
      <c r="F4013" s="64" t="s">
        <v>6325</v>
      </c>
      <c r="G4013" s="64"/>
      <c r="H4013" s="64"/>
      <c r="I4013" s="64">
        <v>0</v>
      </c>
      <c r="N4013" s="4">
        <v>0</v>
      </c>
      <c r="O4013" s="58">
        <v>0</v>
      </c>
      <c r="P4013" s="58">
        <v>0</v>
      </c>
      <c r="Q4013" s="58">
        <v>0</v>
      </c>
      <c r="R4013" s="58">
        <v>0</v>
      </c>
      <c r="S4013" s="58">
        <v>0</v>
      </c>
      <c r="T4013" s="58">
        <v>0</v>
      </c>
      <c r="U4013" s="58">
        <v>0</v>
      </c>
      <c r="V4013" s="58">
        <v>0</v>
      </c>
      <c r="AG4013" t="s">
        <v>3719</v>
      </c>
      <c r="AM4013" s="1" t="str">
        <f t="shared" si="209"/>
        <v>4011_C0005_2327.jpg</v>
      </c>
    </row>
    <row r="4014" spans="1:39" x14ac:dyDescent="0.35">
      <c r="A4014">
        <v>4010</v>
      </c>
      <c r="B4014">
        <v>4011</v>
      </c>
      <c r="F4014" s="64" t="s">
        <v>6326</v>
      </c>
      <c r="G4014" s="64"/>
      <c r="H4014" s="64"/>
      <c r="I4014" s="64">
        <v>0</v>
      </c>
      <c r="N4014" s="4">
        <v>0</v>
      </c>
      <c r="O4014" s="58">
        <v>0</v>
      </c>
      <c r="P4014" s="58">
        <v>0</v>
      </c>
      <c r="Q4014" s="58">
        <v>0</v>
      </c>
      <c r="R4014" s="58">
        <v>0</v>
      </c>
      <c r="S4014" s="58">
        <v>0</v>
      </c>
      <c r="T4014" s="58">
        <v>0</v>
      </c>
      <c r="U4014" s="58">
        <v>0</v>
      </c>
      <c r="V4014" s="58">
        <v>0</v>
      </c>
      <c r="AG4014" t="s">
        <v>3720</v>
      </c>
      <c r="AM4014" s="1" t="str">
        <f t="shared" si="209"/>
        <v>4012_C0005_2323.jpg</v>
      </c>
    </row>
    <row r="4015" spans="1:39" x14ac:dyDescent="0.35">
      <c r="A4015">
        <v>4011</v>
      </c>
      <c r="B4015">
        <v>4012</v>
      </c>
      <c r="F4015" s="64" t="s">
        <v>6327</v>
      </c>
      <c r="G4015" s="64"/>
      <c r="H4015" s="64"/>
      <c r="I4015" s="64">
        <v>0</v>
      </c>
      <c r="N4015" s="4">
        <v>0</v>
      </c>
      <c r="O4015" s="58">
        <v>0</v>
      </c>
      <c r="P4015" s="58">
        <v>0</v>
      </c>
      <c r="Q4015" s="58">
        <v>0</v>
      </c>
      <c r="R4015" s="58">
        <v>0</v>
      </c>
      <c r="S4015" s="58">
        <v>0</v>
      </c>
      <c r="T4015" s="58">
        <v>0</v>
      </c>
      <c r="U4015" s="58">
        <v>0</v>
      </c>
      <c r="V4015" s="58">
        <v>0</v>
      </c>
      <c r="AG4015" t="s">
        <v>3721</v>
      </c>
      <c r="AM4015" s="1" t="str">
        <f t="shared" si="209"/>
        <v>4013_C0005_2319.jpg</v>
      </c>
    </row>
    <row r="4016" spans="1:39" x14ac:dyDescent="0.35">
      <c r="A4016">
        <v>4012</v>
      </c>
      <c r="B4016">
        <v>4013</v>
      </c>
      <c r="F4016" s="64" t="s">
        <v>6328</v>
      </c>
      <c r="G4016" s="64"/>
      <c r="H4016" s="64"/>
      <c r="I4016" s="64">
        <v>0</v>
      </c>
      <c r="N4016" s="4">
        <v>0</v>
      </c>
      <c r="O4016" s="58">
        <v>0</v>
      </c>
      <c r="P4016" s="58">
        <v>0</v>
      </c>
      <c r="Q4016" s="58">
        <v>0</v>
      </c>
      <c r="R4016" s="58">
        <v>0</v>
      </c>
      <c r="S4016" s="58">
        <v>0</v>
      </c>
      <c r="T4016" s="58">
        <v>0</v>
      </c>
      <c r="U4016" s="58">
        <v>0</v>
      </c>
      <c r="V4016" s="58">
        <v>0</v>
      </c>
      <c r="AG4016" t="s">
        <v>3722</v>
      </c>
      <c r="AM4016" s="1" t="str">
        <f t="shared" si="209"/>
        <v>4014_C0005_2315.jpg</v>
      </c>
    </row>
    <row r="4017" spans="1:39" x14ac:dyDescent="0.35">
      <c r="A4017">
        <v>4013</v>
      </c>
      <c r="B4017">
        <v>4014</v>
      </c>
      <c r="F4017" s="64" t="s">
        <v>6329</v>
      </c>
      <c r="G4017" s="64"/>
      <c r="H4017" s="64"/>
      <c r="I4017" s="64">
        <v>0</v>
      </c>
      <c r="N4017" s="4">
        <v>0</v>
      </c>
      <c r="O4017" s="58">
        <v>0</v>
      </c>
      <c r="P4017" s="58">
        <v>0</v>
      </c>
      <c r="Q4017" s="58">
        <v>0</v>
      </c>
      <c r="R4017" s="58">
        <v>0</v>
      </c>
      <c r="S4017" s="58">
        <v>0</v>
      </c>
      <c r="T4017" s="58">
        <v>0</v>
      </c>
      <c r="U4017" s="58">
        <v>0</v>
      </c>
      <c r="V4017" s="58">
        <v>0</v>
      </c>
      <c r="AG4017" t="s">
        <v>3723</v>
      </c>
      <c r="AM4017" s="1" t="str">
        <f t="shared" si="209"/>
        <v>4015_C0005_2312.jpg</v>
      </c>
    </row>
    <row r="4018" spans="1:39" x14ac:dyDescent="0.35">
      <c r="A4018">
        <v>4014</v>
      </c>
      <c r="B4018">
        <v>4015</v>
      </c>
      <c r="F4018" s="64" t="s">
        <v>6330</v>
      </c>
      <c r="G4018" s="64"/>
      <c r="H4018" s="64"/>
      <c r="I4018" s="64">
        <v>0</v>
      </c>
      <c r="N4018" s="4">
        <v>0</v>
      </c>
      <c r="O4018" s="58">
        <v>0</v>
      </c>
      <c r="P4018" s="58">
        <v>0</v>
      </c>
      <c r="Q4018" s="58">
        <v>0</v>
      </c>
      <c r="R4018" s="58">
        <v>0</v>
      </c>
      <c r="S4018" s="58">
        <v>0</v>
      </c>
      <c r="T4018" s="58">
        <v>0</v>
      </c>
      <c r="U4018" s="58">
        <v>0</v>
      </c>
      <c r="V4018" s="58">
        <v>0</v>
      </c>
      <c r="AG4018" t="s">
        <v>3724</v>
      </c>
      <c r="AM4018" s="1" t="str">
        <f t="shared" si="209"/>
        <v>4016_C0005_2307.jpg</v>
      </c>
    </row>
    <row r="4019" spans="1:39" x14ac:dyDescent="0.35">
      <c r="A4019">
        <v>4015</v>
      </c>
      <c r="B4019">
        <v>4016</v>
      </c>
      <c r="F4019" s="64" t="s">
        <v>6331</v>
      </c>
      <c r="G4019" s="64"/>
      <c r="H4019" s="64"/>
      <c r="I4019" s="64">
        <v>0</v>
      </c>
      <c r="N4019" s="4">
        <v>0</v>
      </c>
      <c r="O4019" s="58">
        <v>0</v>
      </c>
      <c r="P4019" s="58">
        <v>0</v>
      </c>
      <c r="Q4019" s="58">
        <v>0</v>
      </c>
      <c r="R4019" s="58">
        <v>0</v>
      </c>
      <c r="S4019" s="58">
        <v>0</v>
      </c>
      <c r="T4019" s="58">
        <v>0</v>
      </c>
      <c r="U4019" s="58">
        <v>0</v>
      </c>
      <c r="V4019" s="58">
        <v>0</v>
      </c>
      <c r="AG4019" t="s">
        <v>3725</v>
      </c>
      <c r="AM4019" s="1" t="str">
        <f t="shared" si="209"/>
        <v>4017_C0005_2303.jpg</v>
      </c>
    </row>
    <row r="4020" spans="1:39" x14ac:dyDescent="0.35">
      <c r="A4020">
        <v>4016</v>
      </c>
      <c r="B4020">
        <v>4017</v>
      </c>
      <c r="F4020" s="64" t="s">
        <v>6332</v>
      </c>
      <c r="G4020" s="64"/>
      <c r="H4020" s="64"/>
      <c r="I4020" s="64">
        <v>0</v>
      </c>
      <c r="N4020" s="4">
        <v>0</v>
      </c>
      <c r="O4020" s="58">
        <v>0</v>
      </c>
      <c r="P4020" s="58">
        <v>0</v>
      </c>
      <c r="Q4020" s="58">
        <v>0</v>
      </c>
      <c r="R4020" s="58">
        <v>0</v>
      </c>
      <c r="S4020" s="58">
        <v>0</v>
      </c>
      <c r="T4020" s="58">
        <v>0</v>
      </c>
      <c r="U4020" s="58">
        <v>0</v>
      </c>
      <c r="V4020" s="58">
        <v>0</v>
      </c>
      <c r="AG4020" t="s">
        <v>3726</v>
      </c>
      <c r="AM4020" s="1" t="str">
        <f t="shared" si="209"/>
        <v>4018_C0005_2299.jpg</v>
      </c>
    </row>
    <row r="4021" spans="1:39" x14ac:dyDescent="0.35">
      <c r="A4021">
        <v>4017</v>
      </c>
      <c r="B4021">
        <v>4018</v>
      </c>
      <c r="F4021" s="64" t="s">
        <v>6333</v>
      </c>
      <c r="G4021" s="64"/>
      <c r="H4021" s="64"/>
      <c r="I4021" s="64">
        <v>0</v>
      </c>
      <c r="N4021" s="4">
        <v>0</v>
      </c>
      <c r="O4021" s="58">
        <v>0</v>
      </c>
      <c r="P4021" s="58">
        <v>0</v>
      </c>
      <c r="Q4021" s="58">
        <v>0</v>
      </c>
      <c r="R4021" s="58">
        <v>0</v>
      </c>
      <c r="S4021" s="58">
        <v>0</v>
      </c>
      <c r="T4021" s="58">
        <v>0</v>
      </c>
      <c r="U4021" s="58">
        <v>0</v>
      </c>
      <c r="V4021" s="58">
        <v>0</v>
      </c>
      <c r="AG4021" t="s">
        <v>3727</v>
      </c>
      <c r="AM4021" s="1" t="str">
        <f t="shared" si="209"/>
        <v>4019_C0005_2295.jpg</v>
      </c>
    </row>
    <row r="4022" spans="1:39" x14ac:dyDescent="0.35">
      <c r="A4022">
        <v>4018</v>
      </c>
      <c r="B4022">
        <v>4019</v>
      </c>
      <c r="F4022" s="64" t="s">
        <v>6334</v>
      </c>
      <c r="G4022" s="64"/>
      <c r="H4022" s="64"/>
      <c r="I4022" s="64">
        <v>0</v>
      </c>
      <c r="N4022" s="4">
        <v>0</v>
      </c>
      <c r="O4022" s="58">
        <v>0</v>
      </c>
      <c r="P4022" s="58">
        <v>0</v>
      </c>
      <c r="Q4022" s="58">
        <v>0</v>
      </c>
      <c r="R4022" s="58">
        <v>0</v>
      </c>
      <c r="S4022" s="58">
        <v>0</v>
      </c>
      <c r="T4022" s="58">
        <v>0</v>
      </c>
      <c r="U4022" s="58">
        <v>0</v>
      </c>
      <c r="V4022" s="58">
        <v>0</v>
      </c>
      <c r="AG4022" t="s">
        <v>3728</v>
      </c>
      <c r="AM4022" s="1" t="str">
        <f t="shared" si="209"/>
        <v>4020_C0005_2292.jpg</v>
      </c>
    </row>
    <row r="4023" spans="1:39" x14ac:dyDescent="0.35">
      <c r="A4023">
        <v>4019</v>
      </c>
      <c r="B4023">
        <v>4020</v>
      </c>
      <c r="F4023" s="64" t="s">
        <v>6335</v>
      </c>
      <c r="G4023" s="64"/>
      <c r="H4023" s="64"/>
      <c r="I4023" s="64">
        <v>0</v>
      </c>
      <c r="N4023" s="4">
        <v>0</v>
      </c>
      <c r="O4023" s="58">
        <v>0</v>
      </c>
      <c r="P4023" s="58">
        <v>0</v>
      </c>
      <c r="Q4023" s="58">
        <v>0</v>
      </c>
      <c r="R4023" s="58">
        <v>0</v>
      </c>
      <c r="S4023" s="58">
        <v>0</v>
      </c>
      <c r="T4023" s="58">
        <v>0</v>
      </c>
      <c r="U4023" s="58">
        <v>0</v>
      </c>
      <c r="V4023" s="58">
        <v>0</v>
      </c>
      <c r="AG4023" t="s">
        <v>3729</v>
      </c>
      <c r="AM4023" s="1" t="str">
        <f t="shared" si="209"/>
        <v>4021_C0005_2289.jpg</v>
      </c>
    </row>
    <row r="4024" spans="1:39" x14ac:dyDescent="0.35">
      <c r="A4024">
        <v>4020</v>
      </c>
      <c r="B4024">
        <v>4021</v>
      </c>
      <c r="F4024" s="64" t="s">
        <v>6336</v>
      </c>
      <c r="G4024" s="64"/>
      <c r="H4024" s="64"/>
      <c r="I4024" s="64">
        <v>0</v>
      </c>
      <c r="N4024" s="4">
        <v>0</v>
      </c>
      <c r="O4024" s="58">
        <v>0</v>
      </c>
      <c r="P4024" s="58">
        <v>0</v>
      </c>
      <c r="Q4024" s="58">
        <v>0</v>
      </c>
      <c r="R4024" s="58">
        <v>0</v>
      </c>
      <c r="S4024" s="58">
        <v>0</v>
      </c>
      <c r="T4024" s="58">
        <v>0</v>
      </c>
      <c r="U4024" s="58">
        <v>0</v>
      </c>
      <c r="V4024" s="58">
        <v>0</v>
      </c>
      <c r="AG4024" t="s">
        <v>3730</v>
      </c>
      <c r="AM4024" s="1" t="str">
        <f t="shared" si="209"/>
        <v>4022_C0005_2285.jpg</v>
      </c>
    </row>
    <row r="4025" spans="1:39" x14ac:dyDescent="0.35">
      <c r="A4025">
        <v>4021</v>
      </c>
      <c r="B4025">
        <v>4022</v>
      </c>
      <c r="F4025" s="64" t="s">
        <v>6337</v>
      </c>
      <c r="G4025" s="64"/>
      <c r="H4025" s="64"/>
      <c r="I4025" s="64">
        <v>0</v>
      </c>
      <c r="N4025" s="4">
        <v>0</v>
      </c>
      <c r="O4025" s="58">
        <v>0</v>
      </c>
      <c r="P4025" s="58">
        <v>0</v>
      </c>
      <c r="Q4025" s="58">
        <v>0</v>
      </c>
      <c r="R4025" s="58">
        <v>0</v>
      </c>
      <c r="S4025" s="58">
        <v>0</v>
      </c>
      <c r="T4025" s="58">
        <v>0</v>
      </c>
      <c r="U4025" s="58">
        <v>0</v>
      </c>
      <c r="V4025" s="58">
        <v>0</v>
      </c>
      <c r="AG4025" t="s">
        <v>3731</v>
      </c>
      <c r="AM4025" s="1" t="str">
        <f t="shared" si="209"/>
        <v>4023_C0005_2281.jpg</v>
      </c>
    </row>
    <row r="4026" spans="1:39" x14ac:dyDescent="0.35">
      <c r="A4026">
        <v>4022</v>
      </c>
      <c r="B4026">
        <v>4023</v>
      </c>
      <c r="F4026" s="64" t="s">
        <v>6338</v>
      </c>
      <c r="G4026" s="64"/>
      <c r="H4026" s="64"/>
      <c r="I4026" s="64">
        <v>0</v>
      </c>
      <c r="N4026" s="4">
        <v>0</v>
      </c>
      <c r="O4026" s="58">
        <v>0</v>
      </c>
      <c r="P4026" s="58">
        <v>0</v>
      </c>
      <c r="Q4026" s="58">
        <v>0</v>
      </c>
      <c r="R4026" s="58">
        <v>0</v>
      </c>
      <c r="S4026" s="58">
        <v>0</v>
      </c>
      <c r="T4026" s="58">
        <v>0</v>
      </c>
      <c r="U4026" s="58">
        <v>0</v>
      </c>
      <c r="V4026" s="58">
        <v>0</v>
      </c>
      <c r="AG4026" t="s">
        <v>3732</v>
      </c>
      <c r="AM4026" s="1" t="str">
        <f t="shared" si="209"/>
        <v>4024_C0005_2277.jpg</v>
      </c>
    </row>
    <row r="4027" spans="1:39" x14ac:dyDescent="0.35">
      <c r="A4027">
        <v>4023</v>
      </c>
      <c r="B4027">
        <v>4024</v>
      </c>
      <c r="F4027" s="64" t="s">
        <v>6339</v>
      </c>
      <c r="G4027" s="64"/>
      <c r="H4027" s="64"/>
      <c r="I4027" s="64">
        <v>0</v>
      </c>
      <c r="N4027" s="4">
        <v>0</v>
      </c>
      <c r="O4027" s="58">
        <v>0</v>
      </c>
      <c r="P4027" s="58">
        <v>0</v>
      </c>
      <c r="Q4027" s="58">
        <v>0</v>
      </c>
      <c r="R4027" s="58">
        <v>0</v>
      </c>
      <c r="S4027" s="58">
        <v>0</v>
      </c>
      <c r="T4027" s="58">
        <v>0</v>
      </c>
      <c r="U4027" s="58">
        <v>0</v>
      </c>
      <c r="V4027" s="58">
        <v>0</v>
      </c>
      <c r="AG4027" t="s">
        <v>3733</v>
      </c>
      <c r="AM4027" s="1" t="str">
        <f t="shared" si="209"/>
        <v>4025_C0005_2273.jpg</v>
      </c>
    </row>
    <row r="4028" spans="1:39" x14ac:dyDescent="0.35">
      <c r="A4028">
        <v>4024</v>
      </c>
      <c r="B4028">
        <v>4025</v>
      </c>
      <c r="F4028" s="64" t="s">
        <v>6340</v>
      </c>
      <c r="G4028" s="64"/>
      <c r="H4028" s="64"/>
      <c r="I4028" s="64">
        <v>0</v>
      </c>
      <c r="N4028" s="4">
        <v>0</v>
      </c>
      <c r="O4028" s="58">
        <v>0</v>
      </c>
      <c r="P4028" s="58">
        <v>0</v>
      </c>
      <c r="Q4028" s="58">
        <v>0</v>
      </c>
      <c r="R4028" s="58">
        <v>0</v>
      </c>
      <c r="S4028" s="58">
        <v>0</v>
      </c>
      <c r="T4028" s="58">
        <v>0</v>
      </c>
      <c r="U4028" s="58">
        <v>0</v>
      </c>
      <c r="V4028" s="58">
        <v>0</v>
      </c>
      <c r="AG4028" t="s">
        <v>3734</v>
      </c>
      <c r="AM4028" s="1" t="str">
        <f t="shared" si="209"/>
        <v>4026_C0005_2268.jpg</v>
      </c>
    </row>
    <row r="4029" spans="1:39" x14ac:dyDescent="0.35">
      <c r="A4029">
        <v>4025</v>
      </c>
      <c r="B4029">
        <v>4026</v>
      </c>
      <c r="F4029" s="64" t="s">
        <v>6341</v>
      </c>
      <c r="G4029" s="64"/>
      <c r="H4029" s="64"/>
      <c r="I4029" s="64">
        <v>0</v>
      </c>
      <c r="N4029" s="4">
        <v>0</v>
      </c>
      <c r="O4029" s="58">
        <v>0</v>
      </c>
      <c r="P4029" s="58">
        <v>0</v>
      </c>
      <c r="Q4029" s="58">
        <v>0</v>
      </c>
      <c r="R4029" s="58">
        <v>0</v>
      </c>
      <c r="S4029" s="58">
        <v>0</v>
      </c>
      <c r="T4029" s="58">
        <v>0</v>
      </c>
      <c r="U4029" s="58">
        <v>0</v>
      </c>
      <c r="V4029" s="58">
        <v>0</v>
      </c>
      <c r="AG4029" t="s">
        <v>3735</v>
      </c>
      <c r="AM4029" s="1" t="str">
        <f t="shared" si="209"/>
        <v>4027_C0005_2262.jpg</v>
      </c>
    </row>
    <row r="4030" spans="1:39" x14ac:dyDescent="0.35">
      <c r="A4030">
        <v>4026</v>
      </c>
      <c r="B4030">
        <v>4027</v>
      </c>
      <c r="F4030" s="64" t="s">
        <v>6342</v>
      </c>
      <c r="G4030" s="64"/>
      <c r="H4030" s="64"/>
      <c r="I4030" s="64">
        <v>0</v>
      </c>
      <c r="N4030" s="4">
        <v>0</v>
      </c>
      <c r="O4030" s="58">
        <v>0</v>
      </c>
      <c r="P4030" s="58">
        <v>0</v>
      </c>
      <c r="Q4030" s="58">
        <v>0</v>
      </c>
      <c r="R4030" s="58">
        <v>0</v>
      </c>
      <c r="S4030" s="58">
        <v>0</v>
      </c>
      <c r="T4030" s="58">
        <v>0</v>
      </c>
      <c r="U4030" s="58">
        <v>0</v>
      </c>
      <c r="V4030" s="58">
        <v>0</v>
      </c>
      <c r="AG4030" t="s">
        <v>3736</v>
      </c>
      <c r="AM4030" s="1" t="str">
        <f t="shared" si="209"/>
        <v>4028_C0005_2255.jpg</v>
      </c>
    </row>
    <row r="4031" spans="1:39" x14ac:dyDescent="0.35">
      <c r="A4031">
        <v>4027</v>
      </c>
      <c r="B4031">
        <v>4028</v>
      </c>
      <c r="F4031" s="64" t="s">
        <v>6343</v>
      </c>
      <c r="G4031" s="64"/>
      <c r="H4031" s="64"/>
      <c r="I4031" s="64">
        <v>0</v>
      </c>
      <c r="N4031" s="4">
        <v>0</v>
      </c>
      <c r="O4031" s="58">
        <v>0</v>
      </c>
      <c r="P4031" s="58">
        <v>0</v>
      </c>
      <c r="Q4031" s="58">
        <v>0</v>
      </c>
      <c r="R4031" s="58">
        <v>0</v>
      </c>
      <c r="S4031" s="58">
        <v>0</v>
      </c>
      <c r="T4031" s="58">
        <v>0</v>
      </c>
      <c r="U4031" s="58">
        <v>0</v>
      </c>
      <c r="V4031" s="58">
        <v>0</v>
      </c>
      <c r="AG4031" t="s">
        <v>3737</v>
      </c>
      <c r="AM4031" s="1" t="str">
        <f t="shared" si="209"/>
        <v>4029_C0005_2251.jpg</v>
      </c>
    </row>
    <row r="4032" spans="1:39" x14ac:dyDescent="0.35">
      <c r="A4032">
        <v>4028</v>
      </c>
      <c r="B4032">
        <v>4029</v>
      </c>
      <c r="F4032" s="64" t="s">
        <v>6344</v>
      </c>
      <c r="G4032" s="64"/>
      <c r="H4032" s="64"/>
      <c r="I4032" s="64">
        <v>0</v>
      </c>
      <c r="N4032" s="4">
        <v>0</v>
      </c>
      <c r="O4032" s="58">
        <v>0</v>
      </c>
      <c r="P4032" s="58">
        <v>0</v>
      </c>
      <c r="Q4032" s="58">
        <v>0</v>
      </c>
      <c r="R4032" s="58">
        <v>0</v>
      </c>
      <c r="S4032" s="58">
        <v>0</v>
      </c>
      <c r="T4032" s="58">
        <v>0</v>
      </c>
      <c r="U4032" s="58">
        <v>0</v>
      </c>
      <c r="V4032" s="58">
        <v>0</v>
      </c>
      <c r="AG4032" t="s">
        <v>3738</v>
      </c>
      <c r="AM4032" s="1" t="str">
        <f t="shared" si="209"/>
        <v>4030_C0005_2243.jpg</v>
      </c>
    </row>
    <row r="4033" spans="1:39" x14ac:dyDescent="0.35">
      <c r="A4033">
        <v>4029</v>
      </c>
      <c r="B4033">
        <v>4030</v>
      </c>
      <c r="F4033" s="64" t="s">
        <v>6345</v>
      </c>
      <c r="G4033" s="64"/>
      <c r="H4033" s="64"/>
      <c r="I4033" s="64">
        <v>0</v>
      </c>
      <c r="N4033" s="4">
        <v>0</v>
      </c>
      <c r="O4033" s="58">
        <v>0</v>
      </c>
      <c r="P4033" s="58">
        <v>0</v>
      </c>
      <c r="Q4033" s="58">
        <v>0</v>
      </c>
      <c r="R4033" s="58">
        <v>0</v>
      </c>
      <c r="S4033" s="58">
        <v>0</v>
      </c>
      <c r="T4033" s="58">
        <v>0</v>
      </c>
      <c r="U4033" s="58">
        <v>0</v>
      </c>
      <c r="V4033" s="58">
        <v>0</v>
      </c>
      <c r="AG4033" t="s">
        <v>3739</v>
      </c>
      <c r="AM4033" s="1" t="str">
        <f t="shared" si="209"/>
        <v>4031_C0005_2241.jpg</v>
      </c>
    </row>
    <row r="4034" spans="1:39" x14ac:dyDescent="0.35">
      <c r="A4034">
        <v>4030</v>
      </c>
      <c r="B4034">
        <v>4031</v>
      </c>
      <c r="F4034" s="64" t="s">
        <v>6346</v>
      </c>
      <c r="G4034" s="64"/>
      <c r="H4034" s="64"/>
      <c r="I4034" s="64">
        <v>0</v>
      </c>
      <c r="N4034" s="4">
        <v>0</v>
      </c>
      <c r="O4034" s="58">
        <v>0</v>
      </c>
      <c r="P4034" s="58">
        <v>0</v>
      </c>
      <c r="Q4034" s="58">
        <v>0</v>
      </c>
      <c r="R4034" s="58">
        <v>0</v>
      </c>
      <c r="S4034" s="58">
        <v>0</v>
      </c>
      <c r="T4034" s="58">
        <v>0</v>
      </c>
      <c r="U4034" s="58">
        <v>0</v>
      </c>
      <c r="V4034" s="58">
        <v>0</v>
      </c>
      <c r="AG4034" t="s">
        <v>3740</v>
      </c>
      <c r="AM4034" s="1" t="str">
        <f t="shared" si="209"/>
        <v>4032_C0005_2238.jpg</v>
      </c>
    </row>
    <row r="4035" spans="1:39" x14ac:dyDescent="0.35">
      <c r="A4035">
        <v>4031</v>
      </c>
      <c r="B4035">
        <v>4032</v>
      </c>
      <c r="F4035" s="64" t="s">
        <v>6347</v>
      </c>
      <c r="G4035" s="64"/>
      <c r="H4035" s="64"/>
      <c r="I4035" s="64">
        <v>0</v>
      </c>
      <c r="N4035" s="4">
        <v>0</v>
      </c>
      <c r="O4035" s="58">
        <v>0</v>
      </c>
      <c r="P4035" s="58">
        <v>0</v>
      </c>
      <c r="Q4035" s="58">
        <v>0</v>
      </c>
      <c r="R4035" s="58">
        <v>0</v>
      </c>
      <c r="S4035" s="58">
        <v>0</v>
      </c>
      <c r="T4035" s="58">
        <v>0</v>
      </c>
      <c r="U4035" s="58">
        <v>0</v>
      </c>
      <c r="V4035" s="58">
        <v>0</v>
      </c>
      <c r="AG4035" t="s">
        <v>3741</v>
      </c>
      <c r="AM4035" s="1" t="str">
        <f t="shared" si="209"/>
        <v>4033_C0005_2232.jpg</v>
      </c>
    </row>
    <row r="4036" spans="1:39" x14ac:dyDescent="0.35">
      <c r="A4036">
        <v>4032</v>
      </c>
      <c r="B4036">
        <v>4033</v>
      </c>
      <c r="F4036" s="64" t="s">
        <v>6348</v>
      </c>
      <c r="G4036" s="64"/>
      <c r="H4036" s="64"/>
      <c r="I4036" s="64">
        <v>0</v>
      </c>
      <c r="N4036" s="4">
        <v>0</v>
      </c>
      <c r="O4036" s="58">
        <v>0</v>
      </c>
      <c r="P4036" s="58">
        <v>0</v>
      </c>
      <c r="Q4036" s="58">
        <v>0</v>
      </c>
      <c r="R4036" s="58">
        <v>0</v>
      </c>
      <c r="S4036" s="58">
        <v>0</v>
      </c>
      <c r="T4036" s="58">
        <v>0</v>
      </c>
      <c r="U4036" s="58">
        <v>0</v>
      </c>
      <c r="V4036" s="58">
        <v>0</v>
      </c>
      <c r="AG4036" t="s">
        <v>3742</v>
      </c>
      <c r="AM4036" s="1" t="str">
        <f t="shared" si="209"/>
        <v>4034_C0005_2229.jpg</v>
      </c>
    </row>
    <row r="4037" spans="1:39" x14ac:dyDescent="0.35">
      <c r="A4037">
        <v>4033</v>
      </c>
      <c r="B4037">
        <v>4034</v>
      </c>
      <c r="F4037" s="64" t="s">
        <v>6349</v>
      </c>
      <c r="G4037" s="64"/>
      <c r="H4037" s="64"/>
      <c r="I4037" s="64">
        <v>0</v>
      </c>
      <c r="N4037" s="4">
        <v>0</v>
      </c>
      <c r="O4037" s="58">
        <v>0</v>
      </c>
      <c r="P4037" s="58">
        <v>0</v>
      </c>
      <c r="Q4037" s="58">
        <v>0</v>
      </c>
      <c r="R4037" s="58">
        <v>0</v>
      </c>
      <c r="S4037" s="58">
        <v>0</v>
      </c>
      <c r="T4037" s="58">
        <v>0</v>
      </c>
      <c r="U4037" s="58">
        <v>0</v>
      </c>
      <c r="V4037" s="58">
        <v>0</v>
      </c>
      <c r="AG4037" t="s">
        <v>3743</v>
      </c>
      <c r="AM4037" s="1" t="str">
        <f t="shared" si="209"/>
        <v>4035_C0005_2225.jpg</v>
      </c>
    </row>
    <row r="4038" spans="1:39" x14ac:dyDescent="0.35">
      <c r="A4038">
        <v>4034</v>
      </c>
      <c r="B4038">
        <v>4035</v>
      </c>
      <c r="F4038" s="64" t="s">
        <v>6350</v>
      </c>
      <c r="G4038" s="64"/>
      <c r="H4038" s="64"/>
      <c r="I4038" s="64">
        <v>0</v>
      </c>
      <c r="N4038" s="4">
        <v>0</v>
      </c>
      <c r="O4038" s="58">
        <v>0</v>
      </c>
      <c r="P4038" s="58">
        <v>0</v>
      </c>
      <c r="Q4038" s="58">
        <v>0</v>
      </c>
      <c r="R4038" s="58">
        <v>0</v>
      </c>
      <c r="S4038" s="58">
        <v>0</v>
      </c>
      <c r="T4038" s="58">
        <v>0</v>
      </c>
      <c r="U4038" s="58">
        <v>0</v>
      </c>
      <c r="V4038" s="58">
        <v>0</v>
      </c>
      <c r="AG4038" t="s">
        <v>3744</v>
      </c>
      <c r="AM4038" s="1" t="str">
        <f t="shared" si="209"/>
        <v>4036_C0005_2218.jpg</v>
      </c>
    </row>
    <row r="4039" spans="1:39" x14ac:dyDescent="0.35">
      <c r="A4039">
        <v>4035</v>
      </c>
      <c r="B4039">
        <v>4036</v>
      </c>
      <c r="F4039" s="64" t="s">
        <v>6351</v>
      </c>
      <c r="G4039" s="64"/>
      <c r="H4039" s="64"/>
      <c r="I4039" s="64">
        <v>0</v>
      </c>
      <c r="N4039" s="4">
        <v>0</v>
      </c>
      <c r="O4039" s="58">
        <v>0</v>
      </c>
      <c r="P4039" s="58">
        <v>0</v>
      </c>
      <c r="Q4039" s="58">
        <v>0</v>
      </c>
      <c r="R4039" s="58">
        <v>0</v>
      </c>
      <c r="S4039" s="58">
        <v>0</v>
      </c>
      <c r="T4039" s="58">
        <v>0</v>
      </c>
      <c r="U4039" s="58">
        <v>0</v>
      </c>
      <c r="V4039" s="58">
        <v>0</v>
      </c>
      <c r="AG4039" t="s">
        <v>3745</v>
      </c>
      <c r="AM4039" s="1" t="str">
        <f t="shared" si="209"/>
        <v>4037_C0005_2212.jpg</v>
      </c>
    </row>
    <row r="4040" spans="1:39" x14ac:dyDescent="0.35">
      <c r="A4040">
        <v>4036</v>
      </c>
      <c r="B4040">
        <v>4037</v>
      </c>
      <c r="F4040" s="64" t="s">
        <v>6352</v>
      </c>
      <c r="G4040" s="64"/>
      <c r="H4040" s="64"/>
      <c r="I4040" s="64">
        <v>0</v>
      </c>
      <c r="N4040" s="4">
        <v>0</v>
      </c>
      <c r="O4040" s="58">
        <v>0</v>
      </c>
      <c r="P4040" s="58">
        <v>0</v>
      </c>
      <c r="Q4040" s="58">
        <v>0</v>
      </c>
      <c r="R4040" s="58">
        <v>0</v>
      </c>
      <c r="S4040" s="58">
        <v>0</v>
      </c>
      <c r="T4040" s="58">
        <v>0</v>
      </c>
      <c r="U4040" s="58">
        <v>0</v>
      </c>
      <c r="V4040" s="58">
        <v>0</v>
      </c>
      <c r="AG4040" t="s">
        <v>3746</v>
      </c>
      <c r="AM4040" s="1" t="str">
        <f t="shared" si="209"/>
        <v>4038_C0005_2208.jpg</v>
      </c>
    </row>
    <row r="4041" spans="1:39" x14ac:dyDescent="0.35">
      <c r="A4041">
        <v>4037</v>
      </c>
      <c r="B4041">
        <v>4038</v>
      </c>
      <c r="F4041" s="64" t="s">
        <v>6353</v>
      </c>
      <c r="G4041" s="64"/>
      <c r="H4041" s="64"/>
      <c r="I4041" s="64">
        <v>0</v>
      </c>
      <c r="N4041" s="4">
        <v>0</v>
      </c>
      <c r="O4041" s="58">
        <v>0</v>
      </c>
      <c r="P4041" s="58">
        <v>0</v>
      </c>
      <c r="Q4041" s="58">
        <v>0</v>
      </c>
      <c r="R4041" s="58">
        <v>0</v>
      </c>
      <c r="S4041" s="58">
        <v>0</v>
      </c>
      <c r="T4041" s="58">
        <v>0</v>
      </c>
      <c r="U4041" s="58">
        <v>0</v>
      </c>
      <c r="V4041" s="58">
        <v>0</v>
      </c>
      <c r="AG4041" t="s">
        <v>3747</v>
      </c>
      <c r="AM4041" s="1" t="str">
        <f t="shared" si="209"/>
        <v>4039_C0005_2204.jpg</v>
      </c>
    </row>
    <row r="4042" spans="1:39" x14ac:dyDescent="0.35">
      <c r="A4042">
        <v>4038</v>
      </c>
      <c r="B4042">
        <v>4039</v>
      </c>
      <c r="F4042" s="64" t="s">
        <v>6354</v>
      </c>
      <c r="G4042" s="64"/>
      <c r="H4042" s="64"/>
      <c r="I4042" s="64">
        <v>0</v>
      </c>
      <c r="N4042" s="4">
        <v>0</v>
      </c>
      <c r="O4042" s="58">
        <v>0</v>
      </c>
      <c r="P4042" s="58">
        <v>0</v>
      </c>
      <c r="Q4042" s="58">
        <v>0</v>
      </c>
      <c r="R4042" s="58">
        <v>0</v>
      </c>
      <c r="S4042" s="58">
        <v>0</v>
      </c>
      <c r="T4042" s="58">
        <v>0</v>
      </c>
      <c r="U4042" s="58">
        <v>0</v>
      </c>
      <c r="V4042" s="58">
        <v>0</v>
      </c>
      <c r="AG4042" t="s">
        <v>3748</v>
      </c>
      <c r="AM4042" s="1" t="str">
        <f t="shared" si="209"/>
        <v>4040_C0005_2201.jpg</v>
      </c>
    </row>
    <row r="4043" spans="1:39" x14ac:dyDescent="0.35">
      <c r="A4043">
        <v>4039</v>
      </c>
      <c r="B4043">
        <v>4040</v>
      </c>
      <c r="F4043" s="64" t="s">
        <v>6355</v>
      </c>
      <c r="G4043" s="64"/>
      <c r="H4043" s="64"/>
      <c r="I4043" s="64">
        <v>0</v>
      </c>
      <c r="N4043" s="4">
        <v>0</v>
      </c>
      <c r="O4043" s="58">
        <v>0</v>
      </c>
      <c r="P4043" s="58">
        <v>0</v>
      </c>
      <c r="Q4043" s="58">
        <v>0</v>
      </c>
      <c r="R4043" s="58">
        <v>0</v>
      </c>
      <c r="S4043" s="58">
        <v>0</v>
      </c>
      <c r="T4043" s="58">
        <v>0</v>
      </c>
      <c r="U4043" s="58">
        <v>0</v>
      </c>
      <c r="V4043" s="58">
        <v>0</v>
      </c>
      <c r="AG4043" t="s">
        <v>3749</v>
      </c>
      <c r="AM4043" s="1" t="str">
        <f t="shared" si="209"/>
        <v>4041_C0005_2196.jpg</v>
      </c>
    </row>
    <row r="4044" spans="1:39" x14ac:dyDescent="0.35">
      <c r="A4044">
        <v>4040</v>
      </c>
      <c r="B4044">
        <v>4041</v>
      </c>
      <c r="F4044" s="64" t="s">
        <v>6356</v>
      </c>
      <c r="G4044" s="64"/>
      <c r="H4044" s="64"/>
      <c r="I4044" s="64">
        <v>0</v>
      </c>
      <c r="N4044" s="4">
        <v>0</v>
      </c>
      <c r="O4044" s="58">
        <v>0</v>
      </c>
      <c r="P4044" s="58">
        <v>0</v>
      </c>
      <c r="Q4044" s="58">
        <v>0</v>
      </c>
      <c r="R4044" s="58">
        <v>0</v>
      </c>
      <c r="S4044" s="58">
        <v>0</v>
      </c>
      <c r="T4044" s="58">
        <v>0</v>
      </c>
      <c r="U4044" s="58">
        <v>0</v>
      </c>
      <c r="V4044" s="58">
        <v>0</v>
      </c>
      <c r="AG4044" t="s">
        <v>3750</v>
      </c>
      <c r="AM4044" s="1" t="str">
        <f t="shared" si="209"/>
        <v>4042_C0005_2192.jpg</v>
      </c>
    </row>
    <row r="4045" spans="1:39" x14ac:dyDescent="0.35">
      <c r="A4045">
        <v>4041</v>
      </c>
      <c r="B4045">
        <v>4042</v>
      </c>
      <c r="F4045" s="64" t="s">
        <v>6357</v>
      </c>
      <c r="G4045" s="64"/>
      <c r="H4045" s="64"/>
      <c r="I4045" s="64">
        <v>0</v>
      </c>
      <c r="N4045" s="4">
        <v>0</v>
      </c>
      <c r="O4045" s="58">
        <v>0</v>
      </c>
      <c r="P4045" s="58">
        <v>0</v>
      </c>
      <c r="Q4045" s="58">
        <v>1</v>
      </c>
      <c r="R4045" s="58">
        <v>0</v>
      </c>
      <c r="S4045" s="58">
        <v>0</v>
      </c>
      <c r="T4045" s="58">
        <v>0</v>
      </c>
      <c r="U4045" s="58">
        <v>0</v>
      </c>
      <c r="V4045" s="58">
        <v>0</v>
      </c>
      <c r="AG4045" t="s">
        <v>3751</v>
      </c>
      <c r="AM4045" s="1" t="str">
        <f t="shared" si="209"/>
        <v>4043_C0005_2189.jpg</v>
      </c>
    </row>
    <row r="4046" spans="1:39" x14ac:dyDescent="0.35">
      <c r="A4046">
        <v>4042</v>
      </c>
      <c r="B4046">
        <v>4043</v>
      </c>
      <c r="F4046" s="64" t="s">
        <v>6358</v>
      </c>
      <c r="G4046" s="64"/>
      <c r="H4046" s="64"/>
      <c r="I4046" s="64">
        <v>0</v>
      </c>
      <c r="N4046" s="4">
        <v>0</v>
      </c>
      <c r="O4046" s="58">
        <v>0</v>
      </c>
      <c r="P4046" s="58">
        <v>0</v>
      </c>
      <c r="Q4046" s="58">
        <v>0</v>
      </c>
      <c r="R4046" s="58">
        <v>0</v>
      </c>
      <c r="S4046" s="58">
        <v>0</v>
      </c>
      <c r="T4046" s="58">
        <v>0</v>
      </c>
      <c r="U4046" s="58">
        <v>0</v>
      </c>
      <c r="V4046" s="58">
        <v>0</v>
      </c>
      <c r="AG4046" t="s">
        <v>3752</v>
      </c>
      <c r="AM4046" s="1" t="str">
        <f t="shared" si="209"/>
        <v>4044_C0005_2185.jpg</v>
      </c>
    </row>
    <row r="4047" spans="1:39" x14ac:dyDescent="0.35">
      <c r="A4047">
        <v>4043</v>
      </c>
      <c r="B4047">
        <v>4044</v>
      </c>
      <c r="F4047" s="64" t="s">
        <v>6359</v>
      </c>
      <c r="G4047" s="64"/>
      <c r="H4047" s="64"/>
      <c r="I4047" s="64">
        <v>0</v>
      </c>
      <c r="N4047" s="4">
        <v>0</v>
      </c>
      <c r="O4047" s="58">
        <v>0</v>
      </c>
      <c r="P4047" s="58">
        <v>0</v>
      </c>
      <c r="Q4047" s="58">
        <v>0</v>
      </c>
      <c r="R4047" s="58">
        <v>0</v>
      </c>
      <c r="S4047" s="58">
        <v>0</v>
      </c>
      <c r="T4047" s="58">
        <v>0</v>
      </c>
      <c r="U4047" s="58">
        <v>0</v>
      </c>
      <c r="V4047" s="58">
        <v>0</v>
      </c>
      <c r="AG4047" t="s">
        <v>3753</v>
      </c>
      <c r="AM4047" s="1" t="str">
        <f t="shared" si="209"/>
        <v>4045_C0005_2183.jpg</v>
      </c>
    </row>
    <row r="4048" spans="1:39" x14ac:dyDescent="0.35">
      <c r="A4048">
        <v>4044</v>
      </c>
      <c r="B4048">
        <v>4045</v>
      </c>
      <c r="F4048" s="64" t="s">
        <v>6360</v>
      </c>
      <c r="G4048" s="64"/>
      <c r="H4048" s="64"/>
      <c r="I4048" s="64">
        <v>0</v>
      </c>
      <c r="N4048" s="4">
        <v>0</v>
      </c>
      <c r="O4048" s="58">
        <v>1</v>
      </c>
      <c r="P4048" s="58">
        <v>0</v>
      </c>
      <c r="Q4048" s="58">
        <v>0</v>
      </c>
      <c r="R4048" s="58">
        <v>0</v>
      </c>
      <c r="S4048" s="58">
        <v>0</v>
      </c>
      <c r="T4048" s="58">
        <v>0</v>
      </c>
      <c r="U4048" s="58">
        <v>0</v>
      </c>
      <c r="V4048" s="58">
        <v>0</v>
      </c>
      <c r="AG4048" t="s">
        <v>3754</v>
      </c>
      <c r="AM4048" s="1" t="str">
        <f t="shared" si="209"/>
        <v>4046_C0005_2178.jpg</v>
      </c>
    </row>
    <row r="4049" spans="1:39" x14ac:dyDescent="0.35">
      <c r="A4049">
        <v>4045</v>
      </c>
      <c r="B4049">
        <v>4046</v>
      </c>
      <c r="F4049" s="64" t="s">
        <v>6361</v>
      </c>
      <c r="G4049" s="64"/>
      <c r="H4049" s="64"/>
      <c r="I4049" s="64">
        <v>0</v>
      </c>
      <c r="N4049" s="4">
        <v>0</v>
      </c>
      <c r="O4049" s="58">
        <v>0</v>
      </c>
      <c r="P4049" s="58">
        <v>0</v>
      </c>
      <c r="Q4049" s="58">
        <v>0</v>
      </c>
      <c r="R4049" s="58">
        <v>0</v>
      </c>
      <c r="S4049" s="58">
        <v>0</v>
      </c>
      <c r="T4049" s="58">
        <v>0</v>
      </c>
      <c r="U4049" s="58">
        <v>0</v>
      </c>
      <c r="V4049" s="58">
        <v>0</v>
      </c>
      <c r="AG4049" t="s">
        <v>3755</v>
      </c>
      <c r="AM4049" s="1" t="str">
        <f t="shared" si="209"/>
        <v>4047_C0005_2176.jpg</v>
      </c>
    </row>
    <row r="4050" spans="1:39" x14ac:dyDescent="0.35">
      <c r="A4050">
        <v>4046</v>
      </c>
      <c r="B4050">
        <v>4047</v>
      </c>
      <c r="F4050" s="64" t="s">
        <v>6362</v>
      </c>
      <c r="G4050" s="64"/>
      <c r="H4050" s="64"/>
      <c r="I4050" s="64">
        <v>0</v>
      </c>
      <c r="N4050" s="4">
        <v>0</v>
      </c>
      <c r="O4050" s="58">
        <v>0</v>
      </c>
      <c r="P4050" s="58">
        <v>0</v>
      </c>
      <c r="Q4050" s="58">
        <v>0</v>
      </c>
      <c r="R4050" s="58">
        <v>0</v>
      </c>
      <c r="S4050" s="58">
        <v>0</v>
      </c>
      <c r="T4050" s="58">
        <v>0</v>
      </c>
      <c r="U4050" s="58">
        <v>0</v>
      </c>
      <c r="V4050" s="58">
        <v>0</v>
      </c>
      <c r="AG4050" t="s">
        <v>3756</v>
      </c>
      <c r="AM4050" s="1" t="str">
        <f t="shared" si="209"/>
        <v>4048_C0005_2172.jpg</v>
      </c>
    </row>
    <row r="4051" spans="1:39" x14ac:dyDescent="0.35">
      <c r="A4051">
        <v>4047</v>
      </c>
      <c r="B4051">
        <v>4048</v>
      </c>
      <c r="F4051" s="64" t="s">
        <v>6363</v>
      </c>
      <c r="G4051" s="64"/>
      <c r="H4051" s="64"/>
      <c r="I4051" s="64">
        <v>0</v>
      </c>
      <c r="N4051" s="4">
        <v>0</v>
      </c>
      <c r="O4051" s="58">
        <v>0</v>
      </c>
      <c r="P4051" s="58">
        <v>0</v>
      </c>
      <c r="Q4051" s="58">
        <v>0</v>
      </c>
      <c r="R4051" s="58">
        <v>0</v>
      </c>
      <c r="S4051" s="58">
        <v>0</v>
      </c>
      <c r="T4051" s="58">
        <v>0</v>
      </c>
      <c r="U4051" s="58">
        <v>0</v>
      </c>
      <c r="V4051" s="58">
        <v>0</v>
      </c>
      <c r="AG4051" t="s">
        <v>3757</v>
      </c>
      <c r="AM4051" s="1" t="str">
        <f t="shared" si="209"/>
        <v>4049_C0005_2169.jpg</v>
      </c>
    </row>
    <row r="4052" spans="1:39" x14ac:dyDescent="0.35">
      <c r="A4052">
        <v>4048</v>
      </c>
      <c r="B4052">
        <v>4049</v>
      </c>
      <c r="F4052" s="64" t="s">
        <v>6364</v>
      </c>
      <c r="G4052" s="64"/>
      <c r="H4052" s="64"/>
      <c r="I4052" s="64">
        <v>0</v>
      </c>
      <c r="N4052" s="4">
        <v>0</v>
      </c>
      <c r="O4052" s="58">
        <v>0</v>
      </c>
      <c r="P4052" s="58">
        <v>0</v>
      </c>
      <c r="Q4052" s="58">
        <v>0</v>
      </c>
      <c r="R4052" s="58">
        <v>0</v>
      </c>
      <c r="S4052" s="58">
        <v>0</v>
      </c>
      <c r="T4052" s="58">
        <v>0</v>
      </c>
      <c r="U4052" s="58">
        <v>0</v>
      </c>
      <c r="V4052" s="58">
        <v>0</v>
      </c>
      <c r="AG4052" t="s">
        <v>3758</v>
      </c>
      <c r="AM4052" s="1" t="str">
        <f t="shared" si="209"/>
        <v>4050_C0005_2166.jpg</v>
      </c>
    </row>
    <row r="4053" spans="1:39" x14ac:dyDescent="0.35">
      <c r="A4053">
        <v>4049</v>
      </c>
      <c r="B4053">
        <v>4050</v>
      </c>
      <c r="F4053" s="64" t="s">
        <v>6365</v>
      </c>
      <c r="G4053" s="64"/>
      <c r="H4053" s="64"/>
      <c r="I4053" s="64">
        <v>0</v>
      </c>
      <c r="N4053" s="4">
        <v>0</v>
      </c>
      <c r="O4053" s="58">
        <v>0</v>
      </c>
      <c r="P4053" s="58">
        <v>0</v>
      </c>
      <c r="Q4053" s="58">
        <v>0</v>
      </c>
      <c r="R4053" s="58">
        <v>0</v>
      </c>
      <c r="S4053" s="58">
        <v>0</v>
      </c>
      <c r="T4053" s="58">
        <v>0</v>
      </c>
      <c r="U4053" s="58">
        <v>0</v>
      </c>
      <c r="V4053" s="58">
        <v>0</v>
      </c>
      <c r="AG4053" t="s">
        <v>3759</v>
      </c>
      <c r="AM4053" s="1" t="str">
        <f t="shared" si="209"/>
        <v>4051_C0005_2162.jpg</v>
      </c>
    </row>
    <row r="4054" spans="1:39" x14ac:dyDescent="0.35">
      <c r="A4054">
        <v>4050</v>
      </c>
      <c r="B4054">
        <v>4051</v>
      </c>
      <c r="F4054" s="64" t="s">
        <v>6366</v>
      </c>
      <c r="G4054" s="64"/>
      <c r="H4054" s="64"/>
      <c r="I4054" s="64">
        <v>0</v>
      </c>
      <c r="N4054" s="4">
        <v>0</v>
      </c>
      <c r="O4054" s="58">
        <v>0</v>
      </c>
      <c r="P4054" s="58">
        <v>0</v>
      </c>
      <c r="Q4054" s="58">
        <v>0</v>
      </c>
      <c r="R4054" s="58">
        <v>0</v>
      </c>
      <c r="S4054" s="58">
        <v>0</v>
      </c>
      <c r="T4054" s="58">
        <v>0</v>
      </c>
      <c r="U4054" s="58">
        <v>0</v>
      </c>
      <c r="V4054" s="58">
        <v>0</v>
      </c>
      <c r="AG4054" t="s">
        <v>3760</v>
      </c>
      <c r="AM4054" s="1" t="str">
        <f t="shared" si="209"/>
        <v>4052_C0005_2158.jpg</v>
      </c>
    </row>
    <row r="4055" spans="1:39" x14ac:dyDescent="0.35">
      <c r="A4055">
        <v>4051</v>
      </c>
      <c r="B4055">
        <v>4052</v>
      </c>
      <c r="F4055" s="64" t="s">
        <v>6367</v>
      </c>
      <c r="G4055" s="64"/>
      <c r="H4055" s="64"/>
      <c r="I4055" s="64">
        <v>0</v>
      </c>
      <c r="N4055" s="4">
        <v>0</v>
      </c>
      <c r="O4055" s="58">
        <v>0</v>
      </c>
      <c r="P4055" s="58">
        <v>0</v>
      </c>
      <c r="Q4055" s="58">
        <v>0</v>
      </c>
      <c r="R4055" s="58">
        <v>0</v>
      </c>
      <c r="S4055" s="58">
        <v>0</v>
      </c>
      <c r="T4055" s="58">
        <v>0</v>
      </c>
      <c r="U4055" s="58">
        <v>0</v>
      </c>
      <c r="V4055" s="58">
        <v>0</v>
      </c>
      <c r="AG4055" t="s">
        <v>3761</v>
      </c>
      <c r="AM4055" s="1" t="str">
        <f t="shared" si="209"/>
        <v>4053_C0005_2154.jpg</v>
      </c>
    </row>
    <row r="4056" spans="1:39" x14ac:dyDescent="0.35">
      <c r="A4056">
        <v>4052</v>
      </c>
      <c r="B4056">
        <v>4053</v>
      </c>
      <c r="F4056" s="64" t="s">
        <v>6368</v>
      </c>
      <c r="G4056" s="64"/>
      <c r="H4056" s="64"/>
      <c r="I4056" s="64">
        <v>0</v>
      </c>
      <c r="N4056" s="4">
        <v>0</v>
      </c>
      <c r="O4056" s="58">
        <v>0</v>
      </c>
      <c r="P4056" s="58">
        <v>0</v>
      </c>
      <c r="Q4056" s="58">
        <v>0</v>
      </c>
      <c r="R4056" s="58">
        <v>0</v>
      </c>
      <c r="S4056" s="58">
        <v>0</v>
      </c>
      <c r="T4056" s="58">
        <v>0</v>
      </c>
      <c r="U4056" s="58">
        <v>0</v>
      </c>
      <c r="V4056" s="58">
        <v>0</v>
      </c>
      <c r="AG4056" t="s">
        <v>3762</v>
      </c>
      <c r="AM4056" s="1" t="str">
        <f t="shared" si="209"/>
        <v>4054_C0005_2149.jpg</v>
      </c>
    </row>
    <row r="4057" spans="1:39" x14ac:dyDescent="0.35">
      <c r="A4057">
        <v>4053</v>
      </c>
      <c r="B4057">
        <v>4054</v>
      </c>
      <c r="F4057" s="64" t="s">
        <v>6369</v>
      </c>
      <c r="G4057" s="64"/>
      <c r="H4057" s="64"/>
      <c r="I4057" s="64">
        <v>0</v>
      </c>
      <c r="N4057" s="4">
        <v>0</v>
      </c>
      <c r="O4057" s="58">
        <v>0</v>
      </c>
      <c r="P4057" s="58">
        <v>0</v>
      </c>
      <c r="Q4057" s="58">
        <v>0</v>
      </c>
      <c r="R4057" s="58">
        <v>0</v>
      </c>
      <c r="S4057" s="58">
        <v>0</v>
      </c>
      <c r="T4057" s="58">
        <v>0</v>
      </c>
      <c r="U4057" s="58">
        <v>0</v>
      </c>
      <c r="V4057" s="58">
        <v>0</v>
      </c>
      <c r="AG4057" t="s">
        <v>3763</v>
      </c>
      <c r="AM4057" s="1" t="str">
        <f t="shared" si="209"/>
        <v>4055_C0005_2144.jpg</v>
      </c>
    </row>
    <row r="4058" spans="1:39" x14ac:dyDescent="0.35">
      <c r="A4058">
        <v>4054</v>
      </c>
      <c r="B4058">
        <v>4055</v>
      </c>
      <c r="F4058" s="64" t="s">
        <v>6370</v>
      </c>
      <c r="G4058" s="64"/>
      <c r="H4058" s="64"/>
      <c r="I4058" s="64">
        <v>0</v>
      </c>
      <c r="N4058" s="4">
        <v>0</v>
      </c>
      <c r="O4058" s="58">
        <v>0</v>
      </c>
      <c r="P4058" s="58">
        <v>0</v>
      </c>
      <c r="Q4058" s="58">
        <v>2</v>
      </c>
      <c r="R4058" s="58">
        <v>0</v>
      </c>
      <c r="S4058" s="58">
        <v>0</v>
      </c>
      <c r="T4058" s="58">
        <v>0</v>
      </c>
      <c r="U4058" s="58">
        <v>0</v>
      </c>
      <c r="V4058" s="58">
        <v>0</v>
      </c>
      <c r="AG4058" t="s">
        <v>3764</v>
      </c>
      <c r="AM4058" s="1" t="str">
        <f t="shared" si="209"/>
        <v>4056_C0005_2140.jpg</v>
      </c>
    </row>
    <row r="4059" spans="1:39" x14ac:dyDescent="0.35">
      <c r="A4059">
        <v>4055</v>
      </c>
      <c r="B4059">
        <v>4056</v>
      </c>
      <c r="F4059" s="64" t="s">
        <v>6371</v>
      </c>
      <c r="G4059" s="64"/>
      <c r="H4059" s="64"/>
      <c r="I4059" s="64">
        <v>0</v>
      </c>
      <c r="N4059" s="4">
        <v>0</v>
      </c>
      <c r="O4059" s="58">
        <v>0</v>
      </c>
      <c r="P4059" s="58">
        <v>0</v>
      </c>
      <c r="Q4059" s="58">
        <v>2</v>
      </c>
      <c r="R4059" s="58">
        <v>0</v>
      </c>
      <c r="S4059" s="58">
        <v>0</v>
      </c>
      <c r="T4059" s="58">
        <v>0</v>
      </c>
      <c r="U4059" s="58">
        <v>0</v>
      </c>
      <c r="V4059" s="58">
        <v>0</v>
      </c>
      <c r="AG4059" t="s">
        <v>3765</v>
      </c>
      <c r="AM4059" s="1" t="str">
        <f t="shared" si="209"/>
        <v>4057_C0005_2135.jpg</v>
      </c>
    </row>
    <row r="4060" spans="1:39" x14ac:dyDescent="0.35">
      <c r="A4060">
        <v>4056</v>
      </c>
      <c r="B4060">
        <v>4057</v>
      </c>
      <c r="F4060" s="64" t="s">
        <v>6372</v>
      </c>
      <c r="G4060" s="64"/>
      <c r="H4060" s="64"/>
      <c r="I4060" s="64">
        <v>0</v>
      </c>
      <c r="N4060" s="4">
        <v>0</v>
      </c>
      <c r="O4060" s="58">
        <v>0</v>
      </c>
      <c r="P4060" s="58">
        <v>0</v>
      </c>
      <c r="Q4060" s="58">
        <v>2</v>
      </c>
      <c r="R4060" s="58">
        <v>0</v>
      </c>
      <c r="S4060" s="58">
        <v>0</v>
      </c>
      <c r="T4060" s="58">
        <v>0</v>
      </c>
      <c r="U4060" s="58">
        <v>0</v>
      </c>
      <c r="V4060" s="58">
        <v>0</v>
      </c>
      <c r="AG4060" t="s">
        <v>3766</v>
      </c>
      <c r="AM4060" s="1" t="str">
        <f t="shared" si="209"/>
        <v>4058_C0005_2132.jpg</v>
      </c>
    </row>
    <row r="4061" spans="1:39" x14ac:dyDescent="0.35">
      <c r="A4061">
        <v>4057</v>
      </c>
      <c r="B4061">
        <v>4058</v>
      </c>
      <c r="F4061" s="64" t="s">
        <v>6373</v>
      </c>
      <c r="G4061" s="64"/>
      <c r="H4061" s="64"/>
      <c r="I4061" s="64">
        <v>0</v>
      </c>
      <c r="N4061" s="4">
        <v>0</v>
      </c>
      <c r="O4061" s="58">
        <v>0</v>
      </c>
      <c r="P4061" s="58">
        <v>0</v>
      </c>
      <c r="Q4061" s="58">
        <v>2</v>
      </c>
      <c r="R4061" s="58">
        <v>0</v>
      </c>
      <c r="S4061" s="58">
        <v>0</v>
      </c>
      <c r="T4061" s="58">
        <v>0</v>
      </c>
      <c r="U4061" s="58">
        <v>0</v>
      </c>
      <c r="V4061" s="58">
        <v>0</v>
      </c>
      <c r="AG4061" t="s">
        <v>3767</v>
      </c>
      <c r="AM4061" s="1" t="str">
        <f t="shared" si="209"/>
        <v>4059_C0005_2127.jpg</v>
      </c>
    </row>
    <row r="4062" spans="1:39" x14ac:dyDescent="0.35">
      <c r="A4062">
        <v>4058</v>
      </c>
      <c r="B4062">
        <v>4059</v>
      </c>
      <c r="F4062" s="64" t="s">
        <v>6374</v>
      </c>
      <c r="G4062" s="64"/>
      <c r="H4062" s="64"/>
      <c r="I4062" s="64">
        <v>0</v>
      </c>
      <c r="N4062" s="4">
        <v>0</v>
      </c>
      <c r="O4062" s="58">
        <v>0</v>
      </c>
      <c r="P4062" s="58">
        <v>0</v>
      </c>
      <c r="Q4062" s="58">
        <v>2</v>
      </c>
      <c r="R4062" s="58">
        <v>0</v>
      </c>
      <c r="S4062" s="58">
        <v>0</v>
      </c>
      <c r="T4062" s="58">
        <v>0</v>
      </c>
      <c r="U4062" s="58">
        <v>0</v>
      </c>
      <c r="V4062" s="58">
        <v>0</v>
      </c>
      <c r="AG4062" t="s">
        <v>3768</v>
      </c>
      <c r="AM4062" s="1" t="str">
        <f t="shared" si="209"/>
        <v>4060_C0005_2124.jpg</v>
      </c>
    </row>
    <row r="4063" spans="1:39" x14ac:dyDescent="0.35">
      <c r="A4063">
        <v>4059</v>
      </c>
      <c r="B4063">
        <v>4060</v>
      </c>
      <c r="F4063" s="64" t="s">
        <v>6375</v>
      </c>
      <c r="G4063" s="64"/>
      <c r="H4063" s="64"/>
      <c r="I4063" s="64">
        <v>0</v>
      </c>
      <c r="N4063" s="4">
        <v>0</v>
      </c>
      <c r="O4063" s="58">
        <v>0</v>
      </c>
      <c r="P4063" s="58">
        <v>0</v>
      </c>
      <c r="Q4063" s="58">
        <v>2</v>
      </c>
      <c r="R4063" s="58">
        <v>0</v>
      </c>
      <c r="S4063" s="58">
        <v>0</v>
      </c>
      <c r="T4063" s="58">
        <v>0</v>
      </c>
      <c r="U4063" s="58">
        <v>0</v>
      </c>
      <c r="V4063" s="58">
        <v>0</v>
      </c>
      <c r="AG4063" t="s">
        <v>3769</v>
      </c>
      <c r="AM4063" s="1" t="str">
        <f t="shared" si="209"/>
        <v>4061_C0005_2120.jpg</v>
      </c>
    </row>
    <row r="4064" spans="1:39" x14ac:dyDescent="0.35">
      <c r="A4064">
        <v>4060</v>
      </c>
      <c r="B4064">
        <v>4061</v>
      </c>
      <c r="F4064" s="64" t="s">
        <v>6376</v>
      </c>
      <c r="G4064" s="64"/>
      <c r="H4064" s="64"/>
      <c r="I4064" s="64">
        <v>0</v>
      </c>
      <c r="N4064" s="4">
        <v>0</v>
      </c>
      <c r="O4064" s="58">
        <v>0</v>
      </c>
      <c r="P4064" s="58">
        <v>0</v>
      </c>
      <c r="Q4064" s="58">
        <v>2</v>
      </c>
      <c r="R4064" s="58">
        <v>0</v>
      </c>
      <c r="S4064" s="58">
        <v>0</v>
      </c>
      <c r="T4064" s="58">
        <v>0</v>
      </c>
      <c r="U4064" s="58">
        <v>0</v>
      </c>
      <c r="V4064" s="58">
        <v>0</v>
      </c>
      <c r="AG4064" t="s">
        <v>3770</v>
      </c>
      <c r="AM4064" s="1" t="str">
        <f t="shared" si="209"/>
        <v>4062_C0005_2117.jpg</v>
      </c>
    </row>
    <row r="4065" spans="1:39" x14ac:dyDescent="0.35">
      <c r="A4065">
        <v>4061</v>
      </c>
      <c r="B4065">
        <v>4062</v>
      </c>
      <c r="F4065" s="64" t="s">
        <v>6377</v>
      </c>
      <c r="G4065" s="64"/>
      <c r="H4065" s="64"/>
      <c r="I4065" s="64">
        <v>0</v>
      </c>
      <c r="N4065" s="4">
        <v>0</v>
      </c>
      <c r="O4065" s="58">
        <v>0</v>
      </c>
      <c r="P4065" s="58">
        <v>0</v>
      </c>
      <c r="Q4065" s="58">
        <v>2</v>
      </c>
      <c r="R4065" s="58">
        <v>0</v>
      </c>
      <c r="S4065" s="58">
        <v>0</v>
      </c>
      <c r="T4065" s="58">
        <v>0</v>
      </c>
      <c r="U4065" s="58">
        <v>0</v>
      </c>
      <c r="V4065" s="58">
        <v>0</v>
      </c>
      <c r="AG4065" t="s">
        <v>3771</v>
      </c>
      <c r="AM4065" s="1" t="str">
        <f t="shared" si="209"/>
        <v>4063_C0005_2113.jpg</v>
      </c>
    </row>
    <row r="4066" spans="1:39" x14ac:dyDescent="0.35">
      <c r="A4066">
        <v>4062</v>
      </c>
      <c r="B4066">
        <v>4063</v>
      </c>
      <c r="F4066" s="64" t="s">
        <v>6378</v>
      </c>
      <c r="G4066" s="64"/>
      <c r="H4066" s="64"/>
      <c r="I4066" s="64">
        <v>0</v>
      </c>
      <c r="N4066" s="4">
        <v>0</v>
      </c>
      <c r="O4066" s="58">
        <v>0</v>
      </c>
      <c r="P4066" s="58">
        <v>0</v>
      </c>
      <c r="Q4066" s="58">
        <v>2</v>
      </c>
      <c r="R4066" s="58">
        <v>0</v>
      </c>
      <c r="S4066" s="58">
        <v>0</v>
      </c>
      <c r="T4066" s="58">
        <v>0</v>
      </c>
      <c r="U4066" s="58">
        <v>0</v>
      </c>
      <c r="V4066" s="58">
        <v>0</v>
      </c>
      <c r="AG4066" t="s">
        <v>3772</v>
      </c>
      <c r="AM4066" s="1" t="str">
        <f t="shared" si="209"/>
        <v>4064_C0005_2110.jpg</v>
      </c>
    </row>
    <row r="4067" spans="1:39" x14ac:dyDescent="0.35">
      <c r="A4067">
        <v>4063</v>
      </c>
      <c r="B4067">
        <v>4064</v>
      </c>
      <c r="F4067" s="64" t="s">
        <v>6379</v>
      </c>
      <c r="G4067" s="64"/>
      <c r="H4067" s="64"/>
      <c r="I4067" s="64">
        <v>0</v>
      </c>
      <c r="N4067" s="4">
        <v>0</v>
      </c>
      <c r="O4067" s="58">
        <v>1</v>
      </c>
      <c r="P4067" s="58">
        <v>0</v>
      </c>
      <c r="Q4067" s="58">
        <v>2</v>
      </c>
      <c r="R4067" s="58">
        <v>0</v>
      </c>
      <c r="S4067" s="58">
        <v>0</v>
      </c>
      <c r="T4067" s="58">
        <v>0</v>
      </c>
      <c r="U4067" s="58">
        <v>0</v>
      </c>
      <c r="V4067" s="58">
        <v>0</v>
      </c>
      <c r="AG4067" t="s">
        <v>3773</v>
      </c>
      <c r="AM4067" s="1" t="str">
        <f t="shared" si="209"/>
        <v>4065_C0005_2106.jpg</v>
      </c>
    </row>
    <row r="4068" spans="1:39" x14ac:dyDescent="0.35">
      <c r="A4068">
        <v>4064</v>
      </c>
      <c r="B4068">
        <v>4065</v>
      </c>
      <c r="F4068" s="64" t="s">
        <v>6380</v>
      </c>
      <c r="G4068" s="64"/>
      <c r="H4068" s="64"/>
      <c r="I4068" s="64">
        <v>0</v>
      </c>
      <c r="N4068" s="4">
        <v>0</v>
      </c>
      <c r="O4068" s="58">
        <v>0</v>
      </c>
      <c r="P4068" s="58">
        <v>0</v>
      </c>
      <c r="Q4068" s="58">
        <v>2</v>
      </c>
      <c r="R4068" s="58">
        <v>0</v>
      </c>
      <c r="S4068" s="58">
        <v>0</v>
      </c>
      <c r="T4068" s="58">
        <v>0</v>
      </c>
      <c r="U4068" s="58">
        <v>0</v>
      </c>
      <c r="V4068" s="58">
        <v>0</v>
      </c>
      <c r="AG4068" t="s">
        <v>3774</v>
      </c>
      <c r="AM4068" s="1" t="str">
        <f t="shared" si="209"/>
        <v>4066_C0005_2103.jpg</v>
      </c>
    </row>
    <row r="4069" spans="1:39" x14ac:dyDescent="0.35">
      <c r="A4069">
        <v>4065</v>
      </c>
      <c r="B4069">
        <v>4066</v>
      </c>
      <c r="F4069" s="64" t="s">
        <v>6381</v>
      </c>
      <c r="G4069" s="64"/>
      <c r="H4069" s="64"/>
      <c r="I4069" s="64">
        <v>0</v>
      </c>
      <c r="N4069" s="4">
        <v>0</v>
      </c>
      <c r="O4069" s="58">
        <v>0</v>
      </c>
      <c r="P4069" s="58">
        <v>0</v>
      </c>
      <c r="Q4069" s="58">
        <v>0</v>
      </c>
      <c r="R4069" s="58">
        <v>0</v>
      </c>
      <c r="S4069" s="58">
        <v>0</v>
      </c>
      <c r="T4069" s="58">
        <v>0</v>
      </c>
      <c r="U4069" s="58">
        <v>0</v>
      </c>
      <c r="V4069" s="58">
        <v>0</v>
      </c>
      <c r="AG4069" t="s">
        <v>3775</v>
      </c>
      <c r="AM4069" s="1" t="str">
        <f t="shared" si="209"/>
        <v>4067_C0005_2100.jpg</v>
      </c>
    </row>
    <row r="4070" spans="1:39" x14ac:dyDescent="0.35">
      <c r="A4070">
        <v>4066</v>
      </c>
      <c r="B4070">
        <v>4067</v>
      </c>
      <c r="F4070" s="64" t="s">
        <v>6382</v>
      </c>
      <c r="G4070" s="64"/>
      <c r="H4070" s="64"/>
      <c r="I4070" s="64">
        <v>0</v>
      </c>
      <c r="N4070" s="4">
        <v>0</v>
      </c>
      <c r="O4070" s="58">
        <v>0</v>
      </c>
      <c r="P4070" s="58">
        <v>0</v>
      </c>
      <c r="Q4070" s="58">
        <v>0</v>
      </c>
      <c r="R4070" s="58">
        <v>0</v>
      </c>
      <c r="S4070" s="58">
        <v>0</v>
      </c>
      <c r="T4070" s="58">
        <v>0</v>
      </c>
      <c r="U4070" s="58">
        <v>0</v>
      </c>
      <c r="V4070" s="58">
        <v>0</v>
      </c>
      <c r="AG4070" t="s">
        <v>3776</v>
      </c>
      <c r="AM4070" s="1" t="str">
        <f t="shared" si="209"/>
        <v>4068_C0005_2095.jpg</v>
      </c>
    </row>
    <row r="4071" spans="1:39" x14ac:dyDescent="0.35">
      <c r="A4071">
        <v>4067</v>
      </c>
      <c r="B4071">
        <v>4068</v>
      </c>
      <c r="F4071" s="64" t="s">
        <v>6383</v>
      </c>
      <c r="G4071" s="64"/>
      <c r="H4071" s="64"/>
      <c r="I4071" s="64">
        <v>0</v>
      </c>
      <c r="N4071" s="4">
        <v>0</v>
      </c>
      <c r="O4071" s="58">
        <v>0</v>
      </c>
      <c r="P4071" s="58">
        <v>0</v>
      </c>
      <c r="Q4071" s="58">
        <v>0</v>
      </c>
      <c r="R4071" s="58">
        <v>0</v>
      </c>
      <c r="S4071" s="58">
        <v>0</v>
      </c>
      <c r="T4071" s="58">
        <v>0</v>
      </c>
      <c r="U4071" s="58">
        <v>0</v>
      </c>
      <c r="V4071" s="58">
        <v>0</v>
      </c>
      <c r="AG4071" t="s">
        <v>3777</v>
      </c>
      <c r="AM4071" s="1" t="str">
        <f t="shared" si="209"/>
        <v>4069_C0005_2091.jpg</v>
      </c>
    </row>
    <row r="4072" spans="1:39" x14ac:dyDescent="0.35">
      <c r="A4072">
        <v>4068</v>
      </c>
      <c r="B4072">
        <v>4069</v>
      </c>
      <c r="F4072" s="64" t="s">
        <v>6384</v>
      </c>
      <c r="G4072" s="64"/>
      <c r="H4072" s="64"/>
      <c r="I4072" s="64">
        <v>0</v>
      </c>
      <c r="N4072" s="4">
        <v>0</v>
      </c>
      <c r="O4072" s="58">
        <v>0</v>
      </c>
      <c r="P4072" s="58">
        <v>0</v>
      </c>
      <c r="Q4072" s="58">
        <v>0</v>
      </c>
      <c r="R4072" s="58">
        <v>0</v>
      </c>
      <c r="S4072" s="58">
        <v>0</v>
      </c>
      <c r="T4072" s="58">
        <v>0</v>
      </c>
      <c r="U4072" s="58">
        <v>0</v>
      </c>
      <c r="V4072" s="58">
        <v>0</v>
      </c>
      <c r="AG4072" t="s">
        <v>3778</v>
      </c>
      <c r="AM4072" s="1" t="str">
        <f t="shared" si="209"/>
        <v>4070_C0005_2088.jpg</v>
      </c>
    </row>
    <row r="4073" spans="1:39" x14ac:dyDescent="0.35">
      <c r="A4073">
        <v>4069</v>
      </c>
      <c r="B4073">
        <v>4070</v>
      </c>
      <c r="F4073" s="64" t="s">
        <v>6385</v>
      </c>
      <c r="G4073" s="64"/>
      <c r="H4073" s="64"/>
      <c r="I4073" s="64">
        <v>0</v>
      </c>
      <c r="N4073" s="4">
        <v>0</v>
      </c>
      <c r="O4073" s="58">
        <v>0</v>
      </c>
      <c r="P4073" s="58">
        <v>0</v>
      </c>
      <c r="Q4073" s="58">
        <v>0</v>
      </c>
      <c r="R4073" s="58">
        <v>0</v>
      </c>
      <c r="S4073" s="58">
        <v>0</v>
      </c>
      <c r="T4073" s="58">
        <v>0</v>
      </c>
      <c r="U4073" s="58">
        <v>0</v>
      </c>
      <c r="V4073" s="58">
        <v>0</v>
      </c>
      <c r="AG4073" t="s">
        <v>3779</v>
      </c>
      <c r="AM4073" s="1" t="str">
        <f t="shared" ref="AM4073:AM4136" si="210">HYPERLINK("E:\CAFNEC_GBRF\2023\JohnstoneRiver\Frames_for_Analysis\" &amp; F4074, F4074)</f>
        <v>4071_C0005_2083.jpg</v>
      </c>
    </row>
    <row r="4074" spans="1:39" x14ac:dyDescent="0.35">
      <c r="A4074">
        <v>4070</v>
      </c>
      <c r="B4074">
        <v>4071</v>
      </c>
      <c r="F4074" s="64" t="s">
        <v>6386</v>
      </c>
      <c r="G4074" s="64"/>
      <c r="H4074" s="64"/>
      <c r="I4074" s="64">
        <v>0</v>
      </c>
      <c r="N4074" s="4">
        <v>0</v>
      </c>
      <c r="O4074" s="58">
        <v>0</v>
      </c>
      <c r="P4074" s="58">
        <v>0</v>
      </c>
      <c r="Q4074" s="58">
        <v>0</v>
      </c>
      <c r="R4074" s="58">
        <v>0</v>
      </c>
      <c r="S4074" s="58">
        <v>0</v>
      </c>
      <c r="T4074" s="58">
        <v>0</v>
      </c>
      <c r="U4074" s="58">
        <v>0</v>
      </c>
      <c r="V4074" s="58">
        <v>0</v>
      </c>
      <c r="AG4074" t="s">
        <v>3780</v>
      </c>
      <c r="AM4074" s="1" t="str">
        <f t="shared" si="210"/>
        <v>4072_C0005_2079.jpg</v>
      </c>
    </row>
    <row r="4075" spans="1:39" x14ac:dyDescent="0.35">
      <c r="A4075">
        <v>4071</v>
      </c>
      <c r="B4075">
        <v>4072</v>
      </c>
      <c r="F4075" s="64" t="s">
        <v>6387</v>
      </c>
      <c r="G4075" s="64"/>
      <c r="H4075" s="64"/>
      <c r="I4075" s="64">
        <v>0</v>
      </c>
      <c r="N4075" s="4">
        <v>0</v>
      </c>
      <c r="O4075" s="58">
        <v>0</v>
      </c>
      <c r="P4075" s="58">
        <v>0</v>
      </c>
      <c r="Q4075" s="58">
        <v>0</v>
      </c>
      <c r="R4075" s="58">
        <v>0</v>
      </c>
      <c r="S4075" s="58">
        <v>0</v>
      </c>
      <c r="T4075" s="58">
        <v>0</v>
      </c>
      <c r="U4075" s="58">
        <v>0</v>
      </c>
      <c r="V4075" s="58">
        <v>0</v>
      </c>
      <c r="AG4075" t="s">
        <v>3781</v>
      </c>
      <c r="AM4075" s="1" t="str">
        <f t="shared" si="210"/>
        <v>4073_C0005_2074.jpg</v>
      </c>
    </row>
    <row r="4076" spans="1:39" x14ac:dyDescent="0.35">
      <c r="A4076">
        <v>4072</v>
      </c>
      <c r="B4076">
        <v>4073</v>
      </c>
      <c r="F4076" s="64" t="s">
        <v>6388</v>
      </c>
      <c r="G4076" s="64"/>
      <c r="H4076" s="64"/>
      <c r="I4076" s="64">
        <v>0</v>
      </c>
      <c r="N4076" s="4">
        <v>0</v>
      </c>
      <c r="O4076" s="58">
        <v>0</v>
      </c>
      <c r="P4076" s="58">
        <v>0</v>
      </c>
      <c r="Q4076" s="58">
        <v>0</v>
      </c>
      <c r="R4076" s="58">
        <v>0</v>
      </c>
      <c r="S4076" s="58">
        <v>0</v>
      </c>
      <c r="T4076" s="58">
        <v>0</v>
      </c>
      <c r="U4076" s="58">
        <v>0</v>
      </c>
      <c r="V4076" s="58">
        <v>0</v>
      </c>
      <c r="AG4076" t="s">
        <v>3782</v>
      </c>
      <c r="AM4076" s="1" t="str">
        <f t="shared" si="210"/>
        <v>4074_C0005_2071.jpg</v>
      </c>
    </row>
    <row r="4077" spans="1:39" x14ac:dyDescent="0.35">
      <c r="A4077">
        <v>4073</v>
      </c>
      <c r="B4077">
        <v>4074</v>
      </c>
      <c r="F4077" s="64" t="s">
        <v>6389</v>
      </c>
      <c r="G4077" s="64"/>
      <c r="H4077" s="64"/>
      <c r="I4077" s="64">
        <v>0</v>
      </c>
      <c r="N4077" s="4">
        <v>0</v>
      </c>
      <c r="O4077" s="58">
        <v>0</v>
      </c>
      <c r="P4077" s="58">
        <v>0</v>
      </c>
      <c r="Q4077" s="58">
        <v>0</v>
      </c>
      <c r="R4077" s="58">
        <v>0</v>
      </c>
      <c r="S4077" s="58">
        <v>0</v>
      </c>
      <c r="T4077" s="58">
        <v>0</v>
      </c>
      <c r="U4077" s="58">
        <v>0</v>
      </c>
      <c r="V4077" s="58">
        <v>0</v>
      </c>
      <c r="AG4077" t="s">
        <v>3783</v>
      </c>
      <c r="AM4077" s="1" t="str">
        <f t="shared" si="210"/>
        <v>4075_C0005_2067.jpg</v>
      </c>
    </row>
    <row r="4078" spans="1:39" x14ac:dyDescent="0.35">
      <c r="A4078">
        <v>4074</v>
      </c>
      <c r="B4078">
        <v>4075</v>
      </c>
      <c r="F4078" s="64" t="s">
        <v>6390</v>
      </c>
      <c r="G4078" s="64"/>
      <c r="H4078" s="64"/>
      <c r="I4078" s="64">
        <v>0</v>
      </c>
      <c r="N4078" s="4">
        <v>0</v>
      </c>
      <c r="O4078" s="58">
        <v>0</v>
      </c>
      <c r="P4078" s="58">
        <v>0</v>
      </c>
      <c r="Q4078" s="58">
        <v>0</v>
      </c>
      <c r="R4078" s="58">
        <v>0</v>
      </c>
      <c r="S4078" s="58">
        <v>0</v>
      </c>
      <c r="T4078" s="58">
        <v>0</v>
      </c>
      <c r="U4078" s="58">
        <v>0</v>
      </c>
      <c r="V4078" s="58">
        <v>0</v>
      </c>
      <c r="AG4078" t="s">
        <v>3784</v>
      </c>
      <c r="AM4078" s="1" t="str">
        <f t="shared" si="210"/>
        <v>4076_C0005_2063.jpg</v>
      </c>
    </row>
    <row r="4079" spans="1:39" x14ac:dyDescent="0.35">
      <c r="A4079">
        <v>4075</v>
      </c>
      <c r="B4079">
        <v>4076</v>
      </c>
      <c r="F4079" s="64" t="s">
        <v>6391</v>
      </c>
      <c r="G4079" s="64"/>
      <c r="H4079" s="64"/>
      <c r="I4079" s="64">
        <v>0</v>
      </c>
      <c r="N4079" s="4">
        <v>0</v>
      </c>
      <c r="O4079" s="58">
        <v>0</v>
      </c>
      <c r="P4079" s="58">
        <v>0</v>
      </c>
      <c r="Q4079" s="58">
        <v>0</v>
      </c>
      <c r="R4079" s="58">
        <v>0</v>
      </c>
      <c r="S4079" s="58">
        <v>0</v>
      </c>
      <c r="T4079" s="58">
        <v>0</v>
      </c>
      <c r="U4079" s="58">
        <v>0</v>
      </c>
      <c r="V4079" s="58">
        <v>0</v>
      </c>
      <c r="AG4079" t="s">
        <v>3785</v>
      </c>
      <c r="AM4079" s="1" t="str">
        <f t="shared" si="210"/>
        <v>4077_C0005_2058.jpg</v>
      </c>
    </row>
    <row r="4080" spans="1:39" x14ac:dyDescent="0.35">
      <c r="A4080">
        <v>4076</v>
      </c>
      <c r="B4080">
        <v>4077</v>
      </c>
      <c r="F4080" s="64" t="s">
        <v>6392</v>
      </c>
      <c r="G4080" s="64"/>
      <c r="H4080" s="64"/>
      <c r="I4080" s="64">
        <v>0</v>
      </c>
      <c r="N4080" s="4">
        <v>0</v>
      </c>
      <c r="O4080" s="58">
        <v>0</v>
      </c>
      <c r="P4080" s="58">
        <v>0</v>
      </c>
      <c r="Q4080" s="58">
        <v>0</v>
      </c>
      <c r="R4080" s="58">
        <v>0</v>
      </c>
      <c r="S4080" s="58">
        <v>0</v>
      </c>
      <c r="T4080" s="58">
        <v>0</v>
      </c>
      <c r="U4080" s="58">
        <v>0</v>
      </c>
      <c r="V4080" s="58">
        <v>0</v>
      </c>
      <c r="AG4080" t="s">
        <v>3786</v>
      </c>
      <c r="AM4080" s="1" t="str">
        <f t="shared" si="210"/>
        <v>4078_C0005_2054.jpg</v>
      </c>
    </row>
    <row r="4081" spans="1:39" x14ac:dyDescent="0.35">
      <c r="A4081">
        <v>4077</v>
      </c>
      <c r="B4081">
        <v>4078</v>
      </c>
      <c r="F4081" s="64" t="s">
        <v>6393</v>
      </c>
      <c r="G4081" s="64"/>
      <c r="H4081" s="64"/>
      <c r="I4081" s="64">
        <v>0</v>
      </c>
      <c r="N4081" s="4">
        <v>0</v>
      </c>
      <c r="O4081" s="58">
        <v>0</v>
      </c>
      <c r="P4081" s="58">
        <v>0</v>
      </c>
      <c r="Q4081" s="58">
        <v>0</v>
      </c>
      <c r="R4081" s="58">
        <v>0</v>
      </c>
      <c r="S4081" s="58">
        <v>0</v>
      </c>
      <c r="T4081" s="58">
        <v>0</v>
      </c>
      <c r="U4081" s="58">
        <v>0</v>
      </c>
      <c r="V4081" s="58">
        <v>0</v>
      </c>
      <c r="AG4081" t="s">
        <v>3787</v>
      </c>
      <c r="AM4081" s="1" t="str">
        <f t="shared" si="210"/>
        <v>4079_C0005_2051.jpg</v>
      </c>
    </row>
    <row r="4082" spans="1:39" x14ac:dyDescent="0.35">
      <c r="A4082">
        <v>4078</v>
      </c>
      <c r="B4082">
        <v>4079</v>
      </c>
      <c r="F4082" s="64" t="s">
        <v>6394</v>
      </c>
      <c r="G4082" s="64"/>
      <c r="H4082" s="64"/>
      <c r="I4082" s="64">
        <v>0</v>
      </c>
      <c r="N4082" s="4">
        <v>0</v>
      </c>
      <c r="O4082" s="58">
        <v>0</v>
      </c>
      <c r="P4082" s="58">
        <v>0</v>
      </c>
      <c r="Q4082" s="58">
        <v>2</v>
      </c>
      <c r="R4082" s="58">
        <v>0</v>
      </c>
      <c r="S4082" s="58">
        <v>0</v>
      </c>
      <c r="T4082" s="58">
        <v>0</v>
      </c>
      <c r="U4082" s="58">
        <v>0</v>
      </c>
      <c r="V4082" s="58">
        <v>0</v>
      </c>
      <c r="AG4082" t="s">
        <v>3788</v>
      </c>
      <c r="AM4082" s="1" t="str">
        <f t="shared" si="210"/>
        <v>4080_C0005_2046.jpg</v>
      </c>
    </row>
    <row r="4083" spans="1:39" x14ac:dyDescent="0.35">
      <c r="A4083">
        <v>4079</v>
      </c>
      <c r="B4083">
        <v>4080</v>
      </c>
      <c r="F4083" s="64" t="s">
        <v>6395</v>
      </c>
      <c r="G4083" s="64"/>
      <c r="H4083" s="64"/>
      <c r="I4083" s="64">
        <v>0</v>
      </c>
      <c r="N4083" s="4">
        <v>0</v>
      </c>
      <c r="O4083" s="58">
        <v>0</v>
      </c>
      <c r="P4083" s="58">
        <v>0</v>
      </c>
      <c r="Q4083" s="58">
        <v>0</v>
      </c>
      <c r="R4083" s="58">
        <v>0</v>
      </c>
      <c r="S4083" s="58">
        <v>0</v>
      </c>
      <c r="T4083" s="58">
        <v>0</v>
      </c>
      <c r="U4083" s="58">
        <v>0</v>
      </c>
      <c r="V4083" s="58">
        <v>0</v>
      </c>
      <c r="AG4083" t="s">
        <v>3789</v>
      </c>
      <c r="AM4083" s="1" t="str">
        <f t="shared" si="210"/>
        <v>4081_C0005_2042.jpg</v>
      </c>
    </row>
    <row r="4084" spans="1:39" x14ac:dyDescent="0.35">
      <c r="A4084">
        <v>4080</v>
      </c>
      <c r="B4084">
        <v>4081</v>
      </c>
      <c r="F4084" s="64" t="s">
        <v>6396</v>
      </c>
      <c r="G4084" s="64"/>
      <c r="H4084" s="64"/>
      <c r="I4084" s="64">
        <v>0</v>
      </c>
      <c r="N4084" s="4">
        <v>0</v>
      </c>
      <c r="O4084" s="58">
        <v>0</v>
      </c>
      <c r="P4084" s="58">
        <v>0</v>
      </c>
      <c r="Q4084" s="58">
        <v>0</v>
      </c>
      <c r="R4084" s="58">
        <v>0</v>
      </c>
      <c r="S4084" s="58">
        <v>0</v>
      </c>
      <c r="T4084" s="58">
        <v>0</v>
      </c>
      <c r="U4084" s="58">
        <v>0</v>
      </c>
      <c r="V4084" s="58">
        <v>0</v>
      </c>
      <c r="AG4084" t="s">
        <v>3790</v>
      </c>
      <c r="AM4084" s="1" t="str">
        <f t="shared" si="210"/>
        <v>4082_C0005_2037.jpg</v>
      </c>
    </row>
    <row r="4085" spans="1:39" x14ac:dyDescent="0.35">
      <c r="A4085">
        <v>4081</v>
      </c>
      <c r="B4085">
        <v>4082</v>
      </c>
      <c r="F4085" s="64" t="s">
        <v>6397</v>
      </c>
      <c r="G4085" s="64"/>
      <c r="H4085" s="64"/>
      <c r="I4085" s="64">
        <v>0</v>
      </c>
      <c r="N4085" s="4">
        <v>0</v>
      </c>
      <c r="O4085" s="58">
        <v>0</v>
      </c>
      <c r="P4085" s="58">
        <v>0</v>
      </c>
      <c r="Q4085" s="58">
        <v>0</v>
      </c>
      <c r="R4085" s="58">
        <v>0</v>
      </c>
      <c r="S4085" s="58">
        <v>0</v>
      </c>
      <c r="T4085" s="58">
        <v>0</v>
      </c>
      <c r="U4085" s="58">
        <v>0</v>
      </c>
      <c r="V4085" s="58">
        <v>0</v>
      </c>
      <c r="AG4085" t="s">
        <v>3791</v>
      </c>
      <c r="AM4085" s="1" t="str">
        <f t="shared" si="210"/>
        <v>4083_C0005_2032.jpg</v>
      </c>
    </row>
    <row r="4086" spans="1:39" x14ac:dyDescent="0.35">
      <c r="A4086">
        <v>4082</v>
      </c>
      <c r="B4086">
        <v>4083</v>
      </c>
      <c r="F4086" s="64" t="s">
        <v>6398</v>
      </c>
      <c r="G4086" s="64"/>
      <c r="H4086" s="64"/>
      <c r="I4086" s="64">
        <v>0</v>
      </c>
      <c r="N4086" s="4">
        <v>0</v>
      </c>
      <c r="O4086" s="58">
        <v>0</v>
      </c>
      <c r="P4086" s="58">
        <v>0</v>
      </c>
      <c r="Q4086" s="58">
        <v>0</v>
      </c>
      <c r="R4086" s="58">
        <v>0</v>
      </c>
      <c r="S4086" s="58">
        <v>0</v>
      </c>
      <c r="T4086" s="58">
        <v>0</v>
      </c>
      <c r="U4086" s="58">
        <v>0</v>
      </c>
      <c r="V4086" s="58">
        <v>0</v>
      </c>
      <c r="AG4086" t="s">
        <v>3792</v>
      </c>
      <c r="AM4086" s="1" t="str">
        <f t="shared" si="210"/>
        <v>4084_C0005_2028.jpg</v>
      </c>
    </row>
    <row r="4087" spans="1:39" x14ac:dyDescent="0.35">
      <c r="A4087">
        <v>4083</v>
      </c>
      <c r="B4087">
        <v>4084</v>
      </c>
      <c r="F4087" s="64" t="s">
        <v>6399</v>
      </c>
      <c r="G4087" s="64"/>
      <c r="H4087" s="64"/>
      <c r="I4087" s="64">
        <v>0</v>
      </c>
      <c r="N4087" s="4">
        <v>0</v>
      </c>
      <c r="O4087" s="58">
        <v>0</v>
      </c>
      <c r="P4087" s="58">
        <v>0</v>
      </c>
      <c r="Q4087" s="58">
        <v>0</v>
      </c>
      <c r="R4087" s="58">
        <v>0</v>
      </c>
      <c r="S4087" s="58">
        <v>0</v>
      </c>
      <c r="T4087" s="58">
        <v>0</v>
      </c>
      <c r="U4087" s="58">
        <v>0</v>
      </c>
      <c r="V4087" s="58">
        <v>0</v>
      </c>
      <c r="AG4087" t="s">
        <v>3793</v>
      </c>
      <c r="AM4087" s="1" t="str">
        <f t="shared" si="210"/>
        <v>4085_C0005_2024.jpg</v>
      </c>
    </row>
    <row r="4088" spans="1:39" x14ac:dyDescent="0.35">
      <c r="A4088">
        <v>4084</v>
      </c>
      <c r="B4088">
        <v>4085</v>
      </c>
      <c r="F4088" s="64" t="s">
        <v>6400</v>
      </c>
      <c r="G4088" s="64"/>
      <c r="H4088" s="64"/>
      <c r="I4088" s="64">
        <v>0</v>
      </c>
      <c r="N4088" s="4">
        <v>0</v>
      </c>
      <c r="O4088" s="58">
        <v>0</v>
      </c>
      <c r="P4088" s="58">
        <v>0</v>
      </c>
      <c r="Q4088" s="58">
        <v>2</v>
      </c>
      <c r="R4088" s="58">
        <v>0</v>
      </c>
      <c r="S4088" s="58">
        <v>0</v>
      </c>
      <c r="T4088" s="58">
        <v>0</v>
      </c>
      <c r="U4088" s="58">
        <v>0</v>
      </c>
      <c r="V4088" s="58">
        <v>0</v>
      </c>
      <c r="AG4088" t="s">
        <v>3794</v>
      </c>
      <c r="AM4088" s="1" t="str">
        <f t="shared" si="210"/>
        <v>4086_C0005_2021.jpg</v>
      </c>
    </row>
    <row r="4089" spans="1:39" x14ac:dyDescent="0.35">
      <c r="A4089">
        <v>4085</v>
      </c>
      <c r="B4089">
        <v>4086</v>
      </c>
      <c r="F4089" s="64" t="s">
        <v>6401</v>
      </c>
      <c r="G4089" s="64"/>
      <c r="H4089" s="64"/>
      <c r="I4089" s="64">
        <v>0</v>
      </c>
      <c r="N4089" s="4">
        <v>0</v>
      </c>
      <c r="O4089" s="58">
        <v>0</v>
      </c>
      <c r="P4089" s="58">
        <v>0</v>
      </c>
      <c r="Q4089" s="58">
        <v>0</v>
      </c>
      <c r="R4089" s="58">
        <v>0</v>
      </c>
      <c r="S4089" s="58">
        <v>0</v>
      </c>
      <c r="T4089" s="58">
        <v>0</v>
      </c>
      <c r="U4089" s="58">
        <v>0</v>
      </c>
      <c r="V4089" s="58">
        <v>0</v>
      </c>
      <c r="AG4089" t="s">
        <v>3795</v>
      </c>
      <c r="AM4089" s="1" t="str">
        <f t="shared" si="210"/>
        <v>4087_C0005_2016.jpg</v>
      </c>
    </row>
    <row r="4090" spans="1:39" x14ac:dyDescent="0.35">
      <c r="A4090">
        <v>4086</v>
      </c>
      <c r="B4090">
        <v>4087</v>
      </c>
      <c r="F4090" s="64" t="s">
        <v>6402</v>
      </c>
      <c r="G4090" s="64"/>
      <c r="H4090" s="64"/>
      <c r="I4090" s="64">
        <v>0</v>
      </c>
      <c r="N4090" s="4">
        <v>0</v>
      </c>
      <c r="O4090" s="58">
        <v>0</v>
      </c>
      <c r="P4090" s="58">
        <v>0</v>
      </c>
      <c r="Q4090" s="58">
        <v>0</v>
      </c>
      <c r="R4090" s="58">
        <v>0</v>
      </c>
      <c r="S4090" s="58">
        <v>0</v>
      </c>
      <c r="T4090" s="58">
        <v>0</v>
      </c>
      <c r="U4090" s="58">
        <v>0</v>
      </c>
      <c r="V4090" s="58">
        <v>0</v>
      </c>
      <c r="AG4090" t="s">
        <v>3796</v>
      </c>
      <c r="AM4090" s="1" t="str">
        <f t="shared" si="210"/>
        <v>4088_C0005_2014.jpg</v>
      </c>
    </row>
    <row r="4091" spans="1:39" x14ac:dyDescent="0.35">
      <c r="A4091">
        <v>4087</v>
      </c>
      <c r="B4091">
        <v>4088</v>
      </c>
      <c r="F4091" s="64" t="s">
        <v>6403</v>
      </c>
      <c r="G4091" s="64"/>
      <c r="H4091" s="64"/>
      <c r="I4091" s="64">
        <v>0</v>
      </c>
      <c r="N4091" s="4">
        <v>0</v>
      </c>
      <c r="O4091" s="58">
        <v>0</v>
      </c>
      <c r="P4091" s="58">
        <v>0</v>
      </c>
      <c r="Q4091" s="58">
        <v>0</v>
      </c>
      <c r="R4091" s="58">
        <v>0</v>
      </c>
      <c r="S4091" s="58">
        <v>0</v>
      </c>
      <c r="T4091" s="58">
        <v>0</v>
      </c>
      <c r="U4091" s="58">
        <v>0</v>
      </c>
      <c r="V4091" s="58">
        <v>0</v>
      </c>
      <c r="AG4091" t="s">
        <v>3797</v>
      </c>
      <c r="AM4091" s="1" t="str">
        <f t="shared" si="210"/>
        <v>4089_C0005_2011.jpg</v>
      </c>
    </row>
    <row r="4092" spans="1:39" x14ac:dyDescent="0.35">
      <c r="A4092">
        <v>4088</v>
      </c>
      <c r="B4092">
        <v>4089</v>
      </c>
      <c r="F4092" s="64" t="s">
        <v>6404</v>
      </c>
      <c r="G4092" s="64"/>
      <c r="H4092" s="64"/>
      <c r="I4092" s="64">
        <v>0</v>
      </c>
      <c r="N4092" s="4">
        <v>0</v>
      </c>
      <c r="O4092" s="58">
        <v>0</v>
      </c>
      <c r="P4092" s="58">
        <v>0</v>
      </c>
      <c r="Q4092" s="58">
        <v>0</v>
      </c>
      <c r="R4092" s="58">
        <v>0</v>
      </c>
      <c r="S4092" s="58">
        <v>0</v>
      </c>
      <c r="T4092" s="58">
        <v>0</v>
      </c>
      <c r="U4092" s="58">
        <v>0</v>
      </c>
      <c r="V4092" s="58">
        <v>0</v>
      </c>
      <c r="AG4092" t="s">
        <v>3798</v>
      </c>
      <c r="AM4092" s="1" t="str">
        <f t="shared" si="210"/>
        <v>4090_C0005_2006.jpg</v>
      </c>
    </row>
    <row r="4093" spans="1:39" x14ac:dyDescent="0.35">
      <c r="A4093">
        <v>4089</v>
      </c>
      <c r="B4093">
        <v>4090</v>
      </c>
      <c r="F4093" s="64" t="s">
        <v>6405</v>
      </c>
      <c r="G4093" s="64"/>
      <c r="H4093" s="64"/>
      <c r="I4093" s="64">
        <v>0</v>
      </c>
      <c r="N4093" s="4">
        <v>0</v>
      </c>
      <c r="O4093" s="58">
        <v>0</v>
      </c>
      <c r="P4093" s="58">
        <v>0</v>
      </c>
      <c r="Q4093" s="58">
        <v>0</v>
      </c>
      <c r="R4093" s="58">
        <v>0</v>
      </c>
      <c r="S4093" s="58">
        <v>0</v>
      </c>
      <c r="T4093" s="58">
        <v>0</v>
      </c>
      <c r="U4093" s="58">
        <v>0</v>
      </c>
      <c r="V4093" s="58">
        <v>0</v>
      </c>
      <c r="AG4093" t="s">
        <v>3799</v>
      </c>
      <c r="AM4093" s="1" t="str">
        <f t="shared" si="210"/>
        <v>4091_C0005_2003.jpg</v>
      </c>
    </row>
    <row r="4094" spans="1:39" x14ac:dyDescent="0.35">
      <c r="A4094">
        <v>4090</v>
      </c>
      <c r="B4094">
        <v>4091</v>
      </c>
      <c r="F4094" s="64" t="s">
        <v>6406</v>
      </c>
      <c r="G4094" s="64"/>
      <c r="H4094" s="64"/>
      <c r="I4094" s="64">
        <v>0</v>
      </c>
      <c r="N4094" s="4">
        <v>0</v>
      </c>
      <c r="O4094" s="58">
        <v>0</v>
      </c>
      <c r="P4094" s="58">
        <v>0</v>
      </c>
      <c r="Q4094" s="58">
        <v>0</v>
      </c>
      <c r="R4094" s="58">
        <v>0</v>
      </c>
      <c r="S4094" s="58">
        <v>0</v>
      </c>
      <c r="T4094" s="58">
        <v>0</v>
      </c>
      <c r="U4094" s="58">
        <v>0</v>
      </c>
      <c r="V4094" s="58">
        <v>0</v>
      </c>
      <c r="AG4094" t="s">
        <v>3800</v>
      </c>
      <c r="AM4094" s="1" t="str">
        <f t="shared" si="210"/>
        <v>4092_C0005_1999.jpg</v>
      </c>
    </row>
    <row r="4095" spans="1:39" x14ac:dyDescent="0.35">
      <c r="A4095">
        <v>4091</v>
      </c>
      <c r="B4095">
        <v>4092</v>
      </c>
      <c r="F4095" s="64" t="s">
        <v>6407</v>
      </c>
      <c r="G4095" s="64"/>
      <c r="H4095" s="64"/>
      <c r="I4095" s="64">
        <v>0</v>
      </c>
      <c r="N4095" s="4">
        <v>0</v>
      </c>
      <c r="O4095" s="58">
        <v>0</v>
      </c>
      <c r="P4095" s="58">
        <v>0</v>
      </c>
      <c r="Q4095" s="58">
        <v>0</v>
      </c>
      <c r="R4095" s="58">
        <v>0</v>
      </c>
      <c r="S4095" s="58">
        <v>0</v>
      </c>
      <c r="T4095" s="58">
        <v>0</v>
      </c>
      <c r="U4095" s="58">
        <v>0</v>
      </c>
      <c r="V4095" s="58">
        <v>0</v>
      </c>
      <c r="AG4095" t="s">
        <v>3801</v>
      </c>
      <c r="AM4095" s="1" t="str">
        <f t="shared" si="210"/>
        <v>4093_C0005_1996.jpg</v>
      </c>
    </row>
    <row r="4096" spans="1:39" x14ac:dyDescent="0.35">
      <c r="A4096">
        <v>4092</v>
      </c>
      <c r="B4096">
        <v>4093</v>
      </c>
      <c r="F4096" s="64" t="s">
        <v>6408</v>
      </c>
      <c r="G4096" s="64"/>
      <c r="H4096" s="64"/>
      <c r="I4096" s="64">
        <v>0</v>
      </c>
      <c r="N4096" s="4">
        <v>0</v>
      </c>
      <c r="O4096" s="58">
        <v>0</v>
      </c>
      <c r="P4096" s="58">
        <v>0</v>
      </c>
      <c r="Q4096" s="58">
        <v>0</v>
      </c>
      <c r="R4096" s="58">
        <v>0</v>
      </c>
      <c r="S4096" s="58">
        <v>0</v>
      </c>
      <c r="T4096" s="58">
        <v>0</v>
      </c>
      <c r="U4096" s="58">
        <v>0</v>
      </c>
      <c r="V4096" s="58">
        <v>0</v>
      </c>
      <c r="AG4096" t="s">
        <v>3802</v>
      </c>
      <c r="AM4096" s="1" t="str">
        <f t="shared" si="210"/>
        <v>4094_C0005_1991.jpg</v>
      </c>
    </row>
    <row r="4097" spans="1:39" x14ac:dyDescent="0.35">
      <c r="A4097">
        <v>4093</v>
      </c>
      <c r="B4097">
        <v>4094</v>
      </c>
      <c r="F4097" s="64" t="s">
        <v>6409</v>
      </c>
      <c r="G4097" s="64"/>
      <c r="H4097" s="64"/>
      <c r="I4097" s="64">
        <v>0</v>
      </c>
      <c r="N4097" s="4">
        <v>0</v>
      </c>
      <c r="O4097" s="58">
        <v>0</v>
      </c>
      <c r="P4097" s="58">
        <v>0</v>
      </c>
      <c r="Q4097" s="58">
        <v>0</v>
      </c>
      <c r="R4097" s="58">
        <v>0</v>
      </c>
      <c r="S4097" s="58">
        <v>0</v>
      </c>
      <c r="T4097" s="58">
        <v>0</v>
      </c>
      <c r="U4097" s="58">
        <v>0</v>
      </c>
      <c r="V4097" s="58">
        <v>0</v>
      </c>
      <c r="AG4097" t="s">
        <v>3803</v>
      </c>
      <c r="AM4097" s="1" t="str">
        <f t="shared" si="210"/>
        <v>4095_C0005_1987.jpg</v>
      </c>
    </row>
    <row r="4098" spans="1:39" x14ac:dyDescent="0.35">
      <c r="A4098">
        <v>4094</v>
      </c>
      <c r="B4098">
        <v>4095</v>
      </c>
      <c r="F4098" s="64" t="s">
        <v>6410</v>
      </c>
      <c r="G4098" s="64"/>
      <c r="H4098" s="64"/>
      <c r="I4098" s="64">
        <v>0</v>
      </c>
      <c r="N4098" s="4">
        <v>0</v>
      </c>
      <c r="O4098" s="58">
        <v>0</v>
      </c>
      <c r="P4098" s="58">
        <v>0</v>
      </c>
      <c r="Q4098" s="58">
        <v>2</v>
      </c>
      <c r="R4098" s="58">
        <v>0</v>
      </c>
      <c r="S4098" s="58">
        <v>0</v>
      </c>
      <c r="T4098" s="58">
        <v>0</v>
      </c>
      <c r="U4098" s="58">
        <v>0</v>
      </c>
      <c r="V4098" s="58">
        <v>0</v>
      </c>
      <c r="AG4098" t="s">
        <v>3804</v>
      </c>
      <c r="AM4098" s="1" t="str">
        <f t="shared" si="210"/>
        <v>4096_C0005_1983.jpg</v>
      </c>
    </row>
    <row r="4099" spans="1:39" x14ac:dyDescent="0.35">
      <c r="A4099">
        <v>4095</v>
      </c>
      <c r="B4099">
        <v>4096</v>
      </c>
      <c r="F4099" s="64" t="s">
        <v>6411</v>
      </c>
      <c r="G4099" s="64"/>
      <c r="H4099" s="64"/>
      <c r="I4099" s="64">
        <v>0</v>
      </c>
      <c r="N4099" s="4">
        <v>0</v>
      </c>
      <c r="O4099" s="58">
        <v>0</v>
      </c>
      <c r="P4099" s="58">
        <v>0</v>
      </c>
      <c r="Q4099" s="58">
        <v>2</v>
      </c>
      <c r="R4099" s="58">
        <v>0</v>
      </c>
      <c r="S4099" s="58">
        <v>0</v>
      </c>
      <c r="T4099" s="58">
        <v>0</v>
      </c>
      <c r="U4099" s="58">
        <v>0</v>
      </c>
      <c r="V4099" s="58">
        <v>0</v>
      </c>
      <c r="AG4099" t="s">
        <v>3805</v>
      </c>
      <c r="AM4099" s="1" t="str">
        <f t="shared" si="210"/>
        <v>4097_C0005_1977.jpg</v>
      </c>
    </row>
    <row r="4100" spans="1:39" x14ac:dyDescent="0.35">
      <c r="A4100">
        <v>4096</v>
      </c>
      <c r="B4100">
        <v>4097</v>
      </c>
      <c r="F4100" s="64" t="s">
        <v>6412</v>
      </c>
      <c r="G4100" s="64"/>
      <c r="H4100" s="64"/>
      <c r="I4100" s="64">
        <v>0</v>
      </c>
      <c r="N4100" s="4">
        <v>0</v>
      </c>
      <c r="O4100" s="58">
        <v>0</v>
      </c>
      <c r="P4100" s="58">
        <v>0</v>
      </c>
      <c r="Q4100" s="58">
        <v>2</v>
      </c>
      <c r="R4100" s="58">
        <v>0</v>
      </c>
      <c r="S4100" s="58">
        <v>0</v>
      </c>
      <c r="T4100" s="58">
        <v>0</v>
      </c>
      <c r="U4100" s="58">
        <v>0</v>
      </c>
      <c r="V4100" s="58">
        <v>0</v>
      </c>
      <c r="AG4100" t="s">
        <v>3806</v>
      </c>
      <c r="AM4100" s="1" t="str">
        <f t="shared" si="210"/>
        <v>4098_C0005_1973.jpg</v>
      </c>
    </row>
    <row r="4101" spans="1:39" x14ac:dyDescent="0.35">
      <c r="A4101">
        <v>4097</v>
      </c>
      <c r="B4101">
        <v>4098</v>
      </c>
      <c r="F4101" s="64" t="s">
        <v>6413</v>
      </c>
      <c r="G4101" s="64"/>
      <c r="H4101" s="64"/>
      <c r="I4101" s="64">
        <v>0</v>
      </c>
      <c r="N4101" s="4">
        <v>0</v>
      </c>
      <c r="O4101" s="58">
        <v>0</v>
      </c>
      <c r="P4101" s="58">
        <v>0</v>
      </c>
      <c r="Q4101" s="58">
        <v>2</v>
      </c>
      <c r="R4101" s="58">
        <v>1</v>
      </c>
      <c r="S4101" s="58">
        <v>0</v>
      </c>
      <c r="T4101" s="58">
        <v>0</v>
      </c>
      <c r="U4101" s="58">
        <v>0</v>
      </c>
      <c r="V4101" s="58">
        <v>0</v>
      </c>
      <c r="AG4101" t="s">
        <v>3807</v>
      </c>
      <c r="AM4101" s="1" t="str">
        <f t="shared" si="210"/>
        <v>4099_C0005_1969.jpg</v>
      </c>
    </row>
    <row r="4102" spans="1:39" x14ac:dyDescent="0.35">
      <c r="A4102">
        <v>4098</v>
      </c>
      <c r="B4102">
        <v>4099</v>
      </c>
      <c r="F4102" s="64" t="s">
        <v>6414</v>
      </c>
      <c r="G4102" s="64"/>
      <c r="H4102" s="64"/>
      <c r="I4102" s="64">
        <v>0</v>
      </c>
      <c r="N4102" s="4">
        <v>0</v>
      </c>
      <c r="O4102" s="58">
        <v>0</v>
      </c>
      <c r="P4102" s="58">
        <v>0</v>
      </c>
      <c r="Q4102" s="58">
        <v>2</v>
      </c>
      <c r="R4102" s="58">
        <v>0</v>
      </c>
      <c r="S4102" s="58">
        <v>0</v>
      </c>
      <c r="T4102" s="58">
        <v>0</v>
      </c>
      <c r="U4102" s="58">
        <v>0</v>
      </c>
      <c r="V4102" s="58">
        <v>0</v>
      </c>
      <c r="AG4102" t="s">
        <v>3808</v>
      </c>
      <c r="AM4102" s="1" t="str">
        <f t="shared" si="210"/>
        <v>4100_C0005_1964.jpg</v>
      </c>
    </row>
    <row r="4103" spans="1:39" x14ac:dyDescent="0.35">
      <c r="A4103">
        <v>4099</v>
      </c>
      <c r="B4103">
        <v>4100</v>
      </c>
      <c r="F4103" s="64" t="s">
        <v>6415</v>
      </c>
      <c r="G4103" s="64"/>
      <c r="H4103" s="64"/>
      <c r="I4103" s="64">
        <v>0</v>
      </c>
      <c r="N4103" s="4">
        <v>0</v>
      </c>
      <c r="O4103" s="58">
        <v>0</v>
      </c>
      <c r="P4103" s="58">
        <v>0</v>
      </c>
      <c r="Q4103" s="58">
        <v>2</v>
      </c>
      <c r="R4103" s="58">
        <v>0</v>
      </c>
      <c r="S4103" s="58">
        <v>0</v>
      </c>
      <c r="T4103" s="58">
        <v>0</v>
      </c>
      <c r="U4103" s="58">
        <v>0</v>
      </c>
      <c r="V4103" s="58">
        <v>0</v>
      </c>
      <c r="AG4103" t="s">
        <v>3809</v>
      </c>
      <c r="AM4103" s="1" t="str">
        <f t="shared" si="210"/>
        <v>4101_C0005_1960.jpg</v>
      </c>
    </row>
    <row r="4104" spans="1:39" x14ac:dyDescent="0.35">
      <c r="A4104">
        <v>4100</v>
      </c>
      <c r="B4104">
        <v>4101</v>
      </c>
      <c r="F4104" s="64" t="s">
        <v>6416</v>
      </c>
      <c r="G4104" s="64"/>
      <c r="H4104" s="64"/>
      <c r="I4104" s="64">
        <v>0</v>
      </c>
      <c r="N4104" s="4">
        <v>0</v>
      </c>
      <c r="O4104" s="58">
        <v>0</v>
      </c>
      <c r="P4104" s="58">
        <v>0</v>
      </c>
      <c r="Q4104" s="58">
        <v>2</v>
      </c>
      <c r="R4104" s="58">
        <v>0</v>
      </c>
      <c r="S4104" s="58">
        <v>0</v>
      </c>
      <c r="T4104" s="58">
        <v>0</v>
      </c>
      <c r="U4104" s="58">
        <v>0</v>
      </c>
      <c r="V4104" s="58">
        <v>0</v>
      </c>
      <c r="AG4104" t="s">
        <v>3810</v>
      </c>
      <c r="AM4104" s="1" t="str">
        <f t="shared" si="210"/>
        <v>4102_C0005_1956.jpg</v>
      </c>
    </row>
    <row r="4105" spans="1:39" x14ac:dyDescent="0.35">
      <c r="A4105">
        <v>4101</v>
      </c>
      <c r="B4105">
        <v>4102</v>
      </c>
      <c r="F4105" s="64" t="s">
        <v>6417</v>
      </c>
      <c r="G4105" s="64"/>
      <c r="H4105" s="64"/>
      <c r="I4105" s="64">
        <v>0</v>
      </c>
      <c r="N4105" s="4">
        <v>0</v>
      </c>
      <c r="O4105" s="58">
        <v>0</v>
      </c>
      <c r="P4105" s="58">
        <v>0</v>
      </c>
      <c r="Q4105" s="58">
        <v>0</v>
      </c>
      <c r="R4105" s="58">
        <v>0</v>
      </c>
      <c r="S4105" s="58">
        <v>0</v>
      </c>
      <c r="T4105" s="58">
        <v>0</v>
      </c>
      <c r="U4105" s="58">
        <v>0</v>
      </c>
      <c r="V4105" s="58">
        <v>0</v>
      </c>
      <c r="AG4105" t="s">
        <v>3811</v>
      </c>
      <c r="AM4105" s="1" t="str">
        <f t="shared" si="210"/>
        <v>4103_C0005_1952.jpg</v>
      </c>
    </row>
    <row r="4106" spans="1:39" x14ac:dyDescent="0.35">
      <c r="A4106">
        <v>4102</v>
      </c>
      <c r="B4106">
        <v>4103</v>
      </c>
      <c r="F4106" s="64" t="s">
        <v>6418</v>
      </c>
      <c r="G4106" s="64"/>
      <c r="H4106" s="64"/>
      <c r="I4106" s="64">
        <v>0</v>
      </c>
      <c r="N4106" s="4">
        <v>0</v>
      </c>
      <c r="O4106" s="58">
        <v>0</v>
      </c>
      <c r="P4106" s="58">
        <v>0</v>
      </c>
      <c r="Q4106" s="58">
        <v>0</v>
      </c>
      <c r="R4106" s="58">
        <v>0</v>
      </c>
      <c r="S4106" s="58">
        <v>0</v>
      </c>
      <c r="T4106" s="58">
        <v>0</v>
      </c>
      <c r="U4106" s="58">
        <v>0</v>
      </c>
      <c r="V4106" s="58">
        <v>0</v>
      </c>
      <c r="AG4106" t="s">
        <v>3812</v>
      </c>
      <c r="AM4106" s="1" t="str">
        <f t="shared" si="210"/>
        <v>4104_C0005_1946.jpg</v>
      </c>
    </row>
    <row r="4107" spans="1:39" x14ac:dyDescent="0.35">
      <c r="A4107">
        <v>4103</v>
      </c>
      <c r="B4107">
        <v>4104</v>
      </c>
      <c r="F4107" s="64" t="s">
        <v>6419</v>
      </c>
      <c r="G4107" s="64"/>
      <c r="H4107" s="64"/>
      <c r="I4107" s="64">
        <v>0</v>
      </c>
      <c r="N4107" s="4">
        <v>0</v>
      </c>
      <c r="O4107" s="58">
        <v>0</v>
      </c>
      <c r="P4107" s="58">
        <v>0</v>
      </c>
      <c r="Q4107" s="58">
        <v>0</v>
      </c>
      <c r="R4107" s="58">
        <v>0</v>
      </c>
      <c r="S4107" s="58">
        <v>0</v>
      </c>
      <c r="T4107" s="58">
        <v>0</v>
      </c>
      <c r="U4107" s="58">
        <v>0</v>
      </c>
      <c r="V4107" s="58">
        <v>0</v>
      </c>
      <c r="AG4107" t="s">
        <v>3813</v>
      </c>
      <c r="AM4107" s="1" t="str">
        <f t="shared" si="210"/>
        <v>4105_C0005_1943.jpg</v>
      </c>
    </row>
    <row r="4108" spans="1:39" x14ac:dyDescent="0.35">
      <c r="A4108">
        <v>4104</v>
      </c>
      <c r="B4108">
        <v>4105</v>
      </c>
      <c r="F4108" s="64" t="s">
        <v>6420</v>
      </c>
      <c r="G4108" s="64"/>
      <c r="H4108" s="64"/>
      <c r="I4108" s="64">
        <v>0</v>
      </c>
      <c r="N4108" s="4">
        <v>0</v>
      </c>
      <c r="O4108" s="58">
        <v>0</v>
      </c>
      <c r="P4108" s="58">
        <v>0</v>
      </c>
      <c r="Q4108" s="58">
        <v>0</v>
      </c>
      <c r="R4108" s="58">
        <v>0</v>
      </c>
      <c r="S4108" s="58">
        <v>0</v>
      </c>
      <c r="T4108" s="58">
        <v>0</v>
      </c>
      <c r="U4108" s="58">
        <v>0</v>
      </c>
      <c r="V4108" s="58">
        <v>0</v>
      </c>
      <c r="AG4108" t="s">
        <v>3814</v>
      </c>
      <c r="AM4108" s="1" t="str">
        <f t="shared" si="210"/>
        <v>4106_C0005_1938.jpg</v>
      </c>
    </row>
    <row r="4109" spans="1:39" x14ac:dyDescent="0.35">
      <c r="A4109">
        <v>4105</v>
      </c>
      <c r="B4109">
        <v>4106</v>
      </c>
      <c r="F4109" s="64" t="s">
        <v>6421</v>
      </c>
      <c r="G4109" s="64"/>
      <c r="H4109" s="64"/>
      <c r="I4109" s="64">
        <v>0</v>
      </c>
      <c r="N4109" s="4">
        <v>0</v>
      </c>
      <c r="O4109" s="58">
        <v>0</v>
      </c>
      <c r="P4109" s="58">
        <v>0</v>
      </c>
      <c r="Q4109" s="58">
        <v>0</v>
      </c>
      <c r="R4109" s="58">
        <v>0</v>
      </c>
      <c r="S4109" s="58">
        <v>0</v>
      </c>
      <c r="T4109" s="58">
        <v>0</v>
      </c>
      <c r="U4109" s="58">
        <v>0</v>
      </c>
      <c r="V4109" s="58">
        <v>0</v>
      </c>
      <c r="AG4109" t="s">
        <v>3815</v>
      </c>
      <c r="AM4109" s="1" t="str">
        <f t="shared" si="210"/>
        <v>4107_C0005_1933.jpg</v>
      </c>
    </row>
    <row r="4110" spans="1:39" x14ac:dyDescent="0.35">
      <c r="A4110">
        <v>4106</v>
      </c>
      <c r="B4110">
        <v>4107</v>
      </c>
      <c r="F4110" s="64" t="s">
        <v>6422</v>
      </c>
      <c r="G4110" s="64"/>
      <c r="H4110" s="64"/>
      <c r="I4110" s="64">
        <v>0</v>
      </c>
      <c r="N4110" s="4">
        <v>0</v>
      </c>
      <c r="O4110" s="58">
        <v>0</v>
      </c>
      <c r="P4110" s="58">
        <v>0</v>
      </c>
      <c r="Q4110" s="58">
        <v>0</v>
      </c>
      <c r="R4110" s="58">
        <v>0</v>
      </c>
      <c r="S4110" s="58">
        <v>0</v>
      </c>
      <c r="T4110" s="58">
        <v>0</v>
      </c>
      <c r="U4110" s="58">
        <v>0</v>
      </c>
      <c r="V4110" s="58">
        <v>0</v>
      </c>
      <c r="AG4110" t="s">
        <v>3816</v>
      </c>
      <c r="AM4110" s="1" t="str">
        <f t="shared" si="210"/>
        <v>4108_C0005_1930.jpg</v>
      </c>
    </row>
    <row r="4111" spans="1:39" x14ac:dyDescent="0.35">
      <c r="A4111">
        <v>4107</v>
      </c>
      <c r="B4111">
        <v>4108</v>
      </c>
      <c r="F4111" s="64" t="s">
        <v>6423</v>
      </c>
      <c r="G4111" s="64"/>
      <c r="H4111" s="64"/>
      <c r="I4111" s="64">
        <v>0</v>
      </c>
      <c r="N4111" s="4">
        <v>0</v>
      </c>
      <c r="O4111" s="58">
        <v>0</v>
      </c>
      <c r="P4111" s="58">
        <v>0</v>
      </c>
      <c r="Q4111" s="58">
        <v>0</v>
      </c>
      <c r="R4111" s="58">
        <v>0</v>
      </c>
      <c r="S4111" s="58">
        <v>0</v>
      </c>
      <c r="T4111" s="58">
        <v>0</v>
      </c>
      <c r="U4111" s="58">
        <v>0</v>
      </c>
      <c r="V4111" s="58">
        <v>0</v>
      </c>
      <c r="AG4111" t="s">
        <v>3817</v>
      </c>
      <c r="AM4111" s="1" t="str">
        <f t="shared" si="210"/>
        <v>4109_C0005_1926.jpg</v>
      </c>
    </row>
    <row r="4112" spans="1:39" x14ac:dyDescent="0.35">
      <c r="A4112">
        <v>4108</v>
      </c>
      <c r="B4112">
        <v>4109</v>
      </c>
      <c r="F4112" s="64" t="s">
        <v>6424</v>
      </c>
      <c r="G4112" s="64"/>
      <c r="H4112" s="64"/>
      <c r="I4112" s="64">
        <v>0</v>
      </c>
      <c r="N4112" s="4">
        <v>0</v>
      </c>
      <c r="O4112" s="58">
        <v>0</v>
      </c>
      <c r="P4112" s="58">
        <v>0</v>
      </c>
      <c r="Q4112" s="58">
        <v>0</v>
      </c>
      <c r="R4112" s="58">
        <v>0</v>
      </c>
      <c r="S4112" s="58">
        <v>0</v>
      </c>
      <c r="T4112" s="58">
        <v>0</v>
      </c>
      <c r="U4112" s="58">
        <v>0</v>
      </c>
      <c r="V4112" s="58">
        <v>0</v>
      </c>
      <c r="AG4112" t="s">
        <v>3818</v>
      </c>
      <c r="AM4112" s="1" t="str">
        <f t="shared" si="210"/>
        <v>4110_C0005_1923.jpg</v>
      </c>
    </row>
    <row r="4113" spans="1:39" x14ac:dyDescent="0.35">
      <c r="A4113">
        <v>4109</v>
      </c>
      <c r="B4113">
        <v>4110</v>
      </c>
      <c r="F4113" s="64" t="s">
        <v>6425</v>
      </c>
      <c r="G4113" s="64"/>
      <c r="H4113" s="64"/>
      <c r="I4113" s="64">
        <v>0</v>
      </c>
      <c r="N4113" s="4">
        <v>0</v>
      </c>
      <c r="O4113" s="58">
        <v>0</v>
      </c>
      <c r="P4113" s="58">
        <v>0</v>
      </c>
      <c r="Q4113" s="58">
        <v>0</v>
      </c>
      <c r="R4113" s="58">
        <v>0</v>
      </c>
      <c r="S4113" s="58">
        <v>0</v>
      </c>
      <c r="T4113" s="58">
        <v>0</v>
      </c>
      <c r="U4113" s="58">
        <v>0</v>
      </c>
      <c r="V4113" s="58">
        <v>0</v>
      </c>
      <c r="AG4113" t="s">
        <v>3819</v>
      </c>
      <c r="AM4113" s="1" t="str">
        <f t="shared" si="210"/>
        <v>4111_C0005_1918.jpg</v>
      </c>
    </row>
    <row r="4114" spans="1:39" x14ac:dyDescent="0.35">
      <c r="A4114">
        <v>4110</v>
      </c>
      <c r="B4114">
        <v>4111</v>
      </c>
      <c r="F4114" s="64" t="s">
        <v>6426</v>
      </c>
      <c r="G4114" s="64"/>
      <c r="H4114" s="64"/>
      <c r="I4114" s="64">
        <v>0</v>
      </c>
      <c r="N4114" s="4">
        <v>0</v>
      </c>
      <c r="O4114" s="58">
        <v>0</v>
      </c>
      <c r="P4114" s="58">
        <v>0</v>
      </c>
      <c r="Q4114" s="58">
        <v>0</v>
      </c>
      <c r="R4114" s="58">
        <v>0</v>
      </c>
      <c r="S4114" s="58">
        <v>0</v>
      </c>
      <c r="T4114" s="58">
        <v>0</v>
      </c>
      <c r="U4114" s="58">
        <v>0</v>
      </c>
      <c r="V4114" s="58">
        <v>0</v>
      </c>
      <c r="AG4114" t="s">
        <v>3820</v>
      </c>
      <c r="AM4114" s="1" t="str">
        <f t="shared" si="210"/>
        <v>4112_C0005_1915.jpg</v>
      </c>
    </row>
    <row r="4115" spans="1:39" x14ac:dyDescent="0.35">
      <c r="A4115">
        <v>4111</v>
      </c>
      <c r="B4115">
        <v>4112</v>
      </c>
      <c r="F4115" s="64" t="s">
        <v>6427</v>
      </c>
      <c r="G4115" s="64"/>
      <c r="H4115" s="64"/>
      <c r="I4115" s="64">
        <v>0</v>
      </c>
      <c r="N4115" s="4">
        <v>0</v>
      </c>
      <c r="O4115" s="58">
        <v>0</v>
      </c>
      <c r="P4115" s="58">
        <v>0</v>
      </c>
      <c r="Q4115" s="58">
        <v>0</v>
      </c>
      <c r="R4115" s="58">
        <v>0</v>
      </c>
      <c r="S4115" s="58">
        <v>0</v>
      </c>
      <c r="T4115" s="58">
        <v>0</v>
      </c>
      <c r="U4115" s="58">
        <v>0</v>
      </c>
      <c r="V4115" s="58">
        <v>0</v>
      </c>
      <c r="AG4115" t="s">
        <v>3821</v>
      </c>
      <c r="AM4115" s="1" t="str">
        <f t="shared" si="210"/>
        <v>4113_C0005_1910.jpg</v>
      </c>
    </row>
    <row r="4116" spans="1:39" x14ac:dyDescent="0.35">
      <c r="A4116">
        <v>4112</v>
      </c>
      <c r="B4116">
        <v>4113</v>
      </c>
      <c r="F4116" s="64" t="s">
        <v>6428</v>
      </c>
      <c r="G4116" s="64"/>
      <c r="H4116" s="64"/>
      <c r="I4116" s="64">
        <v>0</v>
      </c>
      <c r="N4116" s="4">
        <v>0</v>
      </c>
      <c r="O4116" s="58">
        <v>0</v>
      </c>
      <c r="P4116" s="58">
        <v>0</v>
      </c>
      <c r="Q4116" s="58">
        <v>0</v>
      </c>
      <c r="R4116" s="58">
        <v>0</v>
      </c>
      <c r="S4116" s="58">
        <v>0</v>
      </c>
      <c r="T4116" s="58">
        <v>0</v>
      </c>
      <c r="U4116" s="58">
        <v>0</v>
      </c>
      <c r="V4116" s="58">
        <v>0</v>
      </c>
      <c r="AG4116" t="s">
        <v>3822</v>
      </c>
      <c r="AM4116" s="1" t="str">
        <f t="shared" si="210"/>
        <v>4114_C0005_1906.jpg</v>
      </c>
    </row>
    <row r="4117" spans="1:39" x14ac:dyDescent="0.35">
      <c r="A4117">
        <v>4113</v>
      </c>
      <c r="B4117">
        <v>4114</v>
      </c>
      <c r="F4117" s="64" t="s">
        <v>6429</v>
      </c>
      <c r="G4117" s="64"/>
      <c r="H4117" s="64"/>
      <c r="I4117" s="64">
        <v>0</v>
      </c>
      <c r="N4117" s="4">
        <v>0</v>
      </c>
      <c r="O4117" s="58">
        <v>0</v>
      </c>
      <c r="P4117" s="58">
        <v>0</v>
      </c>
      <c r="Q4117" s="58">
        <v>0</v>
      </c>
      <c r="R4117" s="58">
        <v>0</v>
      </c>
      <c r="S4117" s="58">
        <v>0</v>
      </c>
      <c r="T4117" s="58">
        <v>0</v>
      </c>
      <c r="U4117" s="58">
        <v>0</v>
      </c>
      <c r="V4117" s="58">
        <v>0</v>
      </c>
      <c r="AG4117" t="s">
        <v>3823</v>
      </c>
      <c r="AM4117" s="1" t="str">
        <f t="shared" si="210"/>
        <v>4115_C0005_1901.jpg</v>
      </c>
    </row>
    <row r="4118" spans="1:39" x14ac:dyDescent="0.35">
      <c r="A4118">
        <v>4114</v>
      </c>
      <c r="B4118">
        <v>4115</v>
      </c>
      <c r="F4118" s="64" t="s">
        <v>6430</v>
      </c>
      <c r="G4118" s="64"/>
      <c r="H4118" s="64"/>
      <c r="I4118" s="64">
        <v>0</v>
      </c>
      <c r="N4118" s="4">
        <v>0</v>
      </c>
      <c r="O4118" s="58">
        <v>0</v>
      </c>
      <c r="P4118" s="58">
        <v>0</v>
      </c>
      <c r="Q4118" s="58">
        <v>0</v>
      </c>
      <c r="R4118" s="58">
        <v>0</v>
      </c>
      <c r="S4118" s="58">
        <v>0</v>
      </c>
      <c r="T4118" s="58">
        <v>0</v>
      </c>
      <c r="U4118" s="58">
        <v>0</v>
      </c>
      <c r="V4118" s="58">
        <v>0</v>
      </c>
      <c r="AG4118" t="s">
        <v>3824</v>
      </c>
      <c r="AM4118" s="1" t="str">
        <f t="shared" si="210"/>
        <v>4116_C0005_1898.jpg</v>
      </c>
    </row>
    <row r="4119" spans="1:39" x14ac:dyDescent="0.35">
      <c r="A4119">
        <v>4115</v>
      </c>
      <c r="B4119">
        <v>4116</v>
      </c>
      <c r="F4119" s="64" t="s">
        <v>6431</v>
      </c>
      <c r="G4119" s="64"/>
      <c r="H4119" s="64"/>
      <c r="I4119" s="64">
        <v>0</v>
      </c>
      <c r="N4119" s="4">
        <v>0</v>
      </c>
      <c r="O4119" s="58">
        <v>0</v>
      </c>
      <c r="P4119" s="58">
        <v>0</v>
      </c>
      <c r="Q4119" s="58">
        <v>0</v>
      </c>
      <c r="R4119" s="58">
        <v>0</v>
      </c>
      <c r="S4119" s="58">
        <v>0</v>
      </c>
      <c r="T4119" s="58">
        <v>0</v>
      </c>
      <c r="U4119" s="58">
        <v>0</v>
      </c>
      <c r="V4119" s="58">
        <v>0</v>
      </c>
      <c r="AG4119" t="s">
        <v>3825</v>
      </c>
      <c r="AM4119" s="1" t="str">
        <f t="shared" si="210"/>
        <v>4117_C0005_1894.jpg</v>
      </c>
    </row>
    <row r="4120" spans="1:39" x14ac:dyDescent="0.35">
      <c r="A4120">
        <v>4116</v>
      </c>
      <c r="B4120">
        <v>4117</v>
      </c>
      <c r="F4120" s="64" t="s">
        <v>6432</v>
      </c>
      <c r="G4120" s="64"/>
      <c r="H4120" s="64"/>
      <c r="I4120" s="64">
        <v>0</v>
      </c>
      <c r="N4120" s="4">
        <v>0</v>
      </c>
      <c r="O4120" s="58">
        <v>0</v>
      </c>
      <c r="P4120" s="58">
        <v>0</v>
      </c>
      <c r="Q4120" s="58">
        <v>0</v>
      </c>
      <c r="R4120" s="58">
        <v>0</v>
      </c>
      <c r="S4120" s="58">
        <v>0</v>
      </c>
      <c r="T4120" s="58">
        <v>0</v>
      </c>
      <c r="U4120" s="58">
        <v>0</v>
      </c>
      <c r="V4120" s="58">
        <v>0</v>
      </c>
      <c r="AG4120" t="s">
        <v>3826</v>
      </c>
      <c r="AM4120" s="1" t="str">
        <f t="shared" si="210"/>
        <v>4118_C0005_1890.jpg</v>
      </c>
    </row>
    <row r="4121" spans="1:39" x14ac:dyDescent="0.35">
      <c r="A4121">
        <v>4117</v>
      </c>
      <c r="B4121">
        <v>4118</v>
      </c>
      <c r="F4121" s="64" t="s">
        <v>6433</v>
      </c>
      <c r="G4121" s="64"/>
      <c r="H4121" s="64"/>
      <c r="I4121" s="64">
        <v>0</v>
      </c>
      <c r="N4121" s="4">
        <v>0</v>
      </c>
      <c r="O4121" s="58">
        <v>0</v>
      </c>
      <c r="P4121" s="58">
        <v>0</v>
      </c>
      <c r="Q4121" s="58">
        <v>0</v>
      </c>
      <c r="R4121" s="58">
        <v>0</v>
      </c>
      <c r="S4121" s="58">
        <v>0</v>
      </c>
      <c r="T4121" s="58">
        <v>0</v>
      </c>
      <c r="U4121" s="58">
        <v>0</v>
      </c>
      <c r="V4121" s="58">
        <v>0</v>
      </c>
      <c r="AG4121" t="s">
        <v>3827</v>
      </c>
      <c r="AM4121" s="1" t="str">
        <f t="shared" si="210"/>
        <v>4119_C0005_1887.jpg</v>
      </c>
    </row>
    <row r="4122" spans="1:39" x14ac:dyDescent="0.35">
      <c r="A4122">
        <v>4118</v>
      </c>
      <c r="B4122">
        <v>4119</v>
      </c>
      <c r="F4122" s="64" t="s">
        <v>6434</v>
      </c>
      <c r="G4122" s="64"/>
      <c r="H4122" s="64"/>
      <c r="I4122" s="64">
        <v>0</v>
      </c>
      <c r="N4122" s="4">
        <v>0</v>
      </c>
      <c r="O4122" s="58">
        <v>0</v>
      </c>
      <c r="P4122" s="58">
        <v>0</v>
      </c>
      <c r="Q4122" s="58">
        <v>0</v>
      </c>
      <c r="R4122" s="58">
        <v>0</v>
      </c>
      <c r="S4122" s="58">
        <v>0</v>
      </c>
      <c r="T4122" s="58">
        <v>0</v>
      </c>
      <c r="U4122" s="58">
        <v>0</v>
      </c>
      <c r="V4122" s="58">
        <v>0</v>
      </c>
      <c r="AG4122" t="s">
        <v>3828</v>
      </c>
      <c r="AM4122" s="1" t="str">
        <f t="shared" si="210"/>
        <v>4120_C0005_1883.jpg</v>
      </c>
    </row>
    <row r="4123" spans="1:39" x14ac:dyDescent="0.35">
      <c r="A4123">
        <v>4119</v>
      </c>
      <c r="B4123">
        <v>4120</v>
      </c>
      <c r="F4123" s="64" t="s">
        <v>6435</v>
      </c>
      <c r="G4123" s="64"/>
      <c r="H4123" s="64"/>
      <c r="I4123" s="64">
        <v>0</v>
      </c>
      <c r="N4123" s="4">
        <v>0</v>
      </c>
      <c r="O4123" s="58">
        <v>0</v>
      </c>
      <c r="P4123" s="58">
        <v>0</v>
      </c>
      <c r="Q4123" s="58">
        <v>0</v>
      </c>
      <c r="R4123" s="58">
        <v>0</v>
      </c>
      <c r="S4123" s="58">
        <v>0</v>
      </c>
      <c r="T4123" s="58">
        <v>0</v>
      </c>
      <c r="U4123" s="58">
        <v>0</v>
      </c>
      <c r="V4123" s="58">
        <v>0</v>
      </c>
      <c r="AG4123" t="s">
        <v>3829</v>
      </c>
      <c r="AM4123" s="1" t="str">
        <f t="shared" si="210"/>
        <v>4121_C0005_1879.jpg</v>
      </c>
    </row>
    <row r="4124" spans="1:39" x14ac:dyDescent="0.35">
      <c r="A4124">
        <v>4120</v>
      </c>
      <c r="B4124">
        <v>4121</v>
      </c>
      <c r="F4124" s="64" t="s">
        <v>6436</v>
      </c>
      <c r="G4124" s="64"/>
      <c r="H4124" s="64"/>
      <c r="I4124" s="64">
        <v>0</v>
      </c>
      <c r="N4124" s="4">
        <v>0</v>
      </c>
      <c r="O4124" s="58">
        <v>0</v>
      </c>
      <c r="P4124" s="58">
        <v>0</v>
      </c>
      <c r="Q4124" s="58">
        <v>0</v>
      </c>
      <c r="R4124" s="58">
        <v>0</v>
      </c>
      <c r="S4124" s="58">
        <v>0</v>
      </c>
      <c r="T4124" s="58">
        <v>0</v>
      </c>
      <c r="U4124" s="58">
        <v>0</v>
      </c>
      <c r="V4124" s="58">
        <v>0</v>
      </c>
      <c r="AG4124" t="s">
        <v>3830</v>
      </c>
      <c r="AM4124" s="1" t="str">
        <f t="shared" si="210"/>
        <v>4122_C0005_1875.jpg</v>
      </c>
    </row>
    <row r="4125" spans="1:39" x14ac:dyDescent="0.35">
      <c r="A4125">
        <v>4121</v>
      </c>
      <c r="B4125">
        <v>4122</v>
      </c>
      <c r="F4125" s="64" t="s">
        <v>6437</v>
      </c>
      <c r="G4125" s="64"/>
      <c r="H4125" s="64"/>
      <c r="I4125" s="64">
        <v>0</v>
      </c>
      <c r="N4125" s="4">
        <v>0</v>
      </c>
      <c r="O4125" s="58">
        <v>0</v>
      </c>
      <c r="P4125" s="58">
        <v>0</v>
      </c>
      <c r="Q4125" s="58">
        <v>0</v>
      </c>
      <c r="R4125" s="58">
        <v>0</v>
      </c>
      <c r="S4125" s="58">
        <v>0</v>
      </c>
      <c r="T4125" s="58">
        <v>0</v>
      </c>
      <c r="U4125" s="58">
        <v>0</v>
      </c>
      <c r="V4125" s="58">
        <v>0</v>
      </c>
      <c r="AG4125" t="s">
        <v>3831</v>
      </c>
      <c r="AM4125" s="1" t="str">
        <f t="shared" si="210"/>
        <v>4123_C0005_1872.jpg</v>
      </c>
    </row>
    <row r="4126" spans="1:39" x14ac:dyDescent="0.35">
      <c r="A4126">
        <v>4122</v>
      </c>
      <c r="B4126">
        <v>4123</v>
      </c>
      <c r="F4126" s="64" t="s">
        <v>6438</v>
      </c>
      <c r="G4126" s="64"/>
      <c r="H4126" s="64"/>
      <c r="I4126" s="64">
        <v>0</v>
      </c>
      <c r="N4126" s="4">
        <v>0</v>
      </c>
      <c r="O4126" s="58">
        <v>0</v>
      </c>
      <c r="P4126" s="58">
        <v>0</v>
      </c>
      <c r="Q4126" s="58">
        <v>0</v>
      </c>
      <c r="R4126" s="58">
        <v>0</v>
      </c>
      <c r="S4126" s="58">
        <v>0</v>
      </c>
      <c r="T4126" s="58">
        <v>0</v>
      </c>
      <c r="U4126" s="58">
        <v>0</v>
      </c>
      <c r="V4126" s="58">
        <v>0</v>
      </c>
      <c r="AG4126" t="s">
        <v>3832</v>
      </c>
      <c r="AM4126" s="1" t="str">
        <f t="shared" si="210"/>
        <v>4124_C0005_1868.jpg</v>
      </c>
    </row>
    <row r="4127" spans="1:39" x14ac:dyDescent="0.35">
      <c r="A4127">
        <v>4123</v>
      </c>
      <c r="B4127">
        <v>4124</v>
      </c>
      <c r="F4127" s="64" t="s">
        <v>6439</v>
      </c>
      <c r="G4127" s="64"/>
      <c r="H4127" s="64"/>
      <c r="I4127" s="64">
        <v>0</v>
      </c>
      <c r="N4127" s="4">
        <v>0</v>
      </c>
      <c r="O4127" s="58">
        <v>0</v>
      </c>
      <c r="P4127" s="58">
        <v>0</v>
      </c>
      <c r="Q4127" s="58">
        <v>0</v>
      </c>
      <c r="R4127" s="58">
        <v>0</v>
      </c>
      <c r="S4127" s="58">
        <v>0</v>
      </c>
      <c r="T4127" s="58">
        <v>0</v>
      </c>
      <c r="U4127" s="58">
        <v>0</v>
      </c>
      <c r="V4127" s="58">
        <v>0</v>
      </c>
      <c r="AG4127" t="s">
        <v>3833</v>
      </c>
      <c r="AM4127" s="1" t="str">
        <f t="shared" si="210"/>
        <v>4125_C0005_1865.jpg</v>
      </c>
    </row>
    <row r="4128" spans="1:39" x14ac:dyDescent="0.35">
      <c r="A4128">
        <v>4124</v>
      </c>
      <c r="B4128">
        <v>4125</v>
      </c>
      <c r="F4128" s="64" t="s">
        <v>6440</v>
      </c>
      <c r="G4128" s="64"/>
      <c r="H4128" s="64"/>
      <c r="I4128" s="64">
        <v>0</v>
      </c>
      <c r="N4128" s="4">
        <v>0</v>
      </c>
      <c r="O4128" s="58">
        <v>0</v>
      </c>
      <c r="P4128" s="58">
        <v>0</v>
      </c>
      <c r="Q4128" s="58">
        <v>0</v>
      </c>
      <c r="R4128" s="58">
        <v>0</v>
      </c>
      <c r="S4128" s="58">
        <v>0</v>
      </c>
      <c r="T4128" s="58">
        <v>0</v>
      </c>
      <c r="U4128" s="58">
        <v>0</v>
      </c>
      <c r="V4128" s="58">
        <v>0</v>
      </c>
      <c r="AG4128" t="s">
        <v>3834</v>
      </c>
      <c r="AM4128" s="1" t="str">
        <f t="shared" si="210"/>
        <v>4126_C0005_1861.jpg</v>
      </c>
    </row>
    <row r="4129" spans="1:39" x14ac:dyDescent="0.35">
      <c r="A4129">
        <v>4125</v>
      </c>
      <c r="B4129">
        <v>4126</v>
      </c>
      <c r="F4129" s="64" t="s">
        <v>6441</v>
      </c>
      <c r="G4129" s="64"/>
      <c r="H4129" s="64"/>
      <c r="I4129" s="64">
        <v>0</v>
      </c>
      <c r="N4129" s="4">
        <v>0</v>
      </c>
      <c r="O4129" s="58">
        <v>0</v>
      </c>
      <c r="P4129" s="58">
        <v>0</v>
      </c>
      <c r="Q4129" s="58">
        <v>0</v>
      </c>
      <c r="R4129" s="58">
        <v>0</v>
      </c>
      <c r="S4129" s="58">
        <v>0</v>
      </c>
      <c r="T4129" s="58">
        <v>0</v>
      </c>
      <c r="U4129" s="58">
        <v>0</v>
      </c>
      <c r="V4129" s="58">
        <v>0</v>
      </c>
      <c r="AG4129" t="s">
        <v>3835</v>
      </c>
      <c r="AM4129" s="1" t="str">
        <f t="shared" si="210"/>
        <v>4127_C0005_1858.jpg</v>
      </c>
    </row>
    <row r="4130" spans="1:39" x14ac:dyDescent="0.35">
      <c r="A4130">
        <v>4126</v>
      </c>
      <c r="B4130">
        <v>4127</v>
      </c>
      <c r="F4130" s="64" t="s">
        <v>6442</v>
      </c>
      <c r="G4130" s="64"/>
      <c r="H4130" s="64"/>
      <c r="I4130" s="64">
        <v>0</v>
      </c>
      <c r="N4130" s="4">
        <v>0</v>
      </c>
      <c r="O4130" s="58">
        <v>0</v>
      </c>
      <c r="P4130" s="58">
        <v>0</v>
      </c>
      <c r="Q4130" s="58">
        <v>0</v>
      </c>
      <c r="R4130" s="58">
        <v>0</v>
      </c>
      <c r="S4130" s="58">
        <v>0</v>
      </c>
      <c r="T4130" s="58">
        <v>0</v>
      </c>
      <c r="U4130" s="58">
        <v>0</v>
      </c>
      <c r="V4130" s="58">
        <v>0</v>
      </c>
      <c r="AG4130" t="s">
        <v>3836</v>
      </c>
      <c r="AM4130" s="1" t="str">
        <f t="shared" si="210"/>
        <v>4128_C0005_1855.jpg</v>
      </c>
    </row>
    <row r="4131" spans="1:39" x14ac:dyDescent="0.35">
      <c r="A4131">
        <v>4127</v>
      </c>
      <c r="B4131">
        <v>4128</v>
      </c>
      <c r="F4131" s="64" t="s">
        <v>6443</v>
      </c>
      <c r="G4131" s="64"/>
      <c r="H4131" s="64"/>
      <c r="I4131" s="64">
        <v>0</v>
      </c>
      <c r="N4131" s="4">
        <v>0</v>
      </c>
      <c r="O4131" s="58">
        <v>0</v>
      </c>
      <c r="P4131" s="58">
        <v>0</v>
      </c>
      <c r="Q4131" s="58">
        <v>0</v>
      </c>
      <c r="R4131" s="58">
        <v>0</v>
      </c>
      <c r="S4131" s="58">
        <v>0</v>
      </c>
      <c r="T4131" s="58">
        <v>0</v>
      </c>
      <c r="U4131" s="58">
        <v>0</v>
      </c>
      <c r="V4131" s="58">
        <v>0</v>
      </c>
      <c r="AG4131" t="s">
        <v>3837</v>
      </c>
      <c r="AM4131" s="1" t="str">
        <f t="shared" si="210"/>
        <v>4129_C0005_1852.jpg</v>
      </c>
    </row>
    <row r="4132" spans="1:39" x14ac:dyDescent="0.35">
      <c r="A4132">
        <v>4128</v>
      </c>
      <c r="B4132">
        <v>4129</v>
      </c>
      <c r="F4132" s="64" t="s">
        <v>6444</v>
      </c>
      <c r="G4132" s="64"/>
      <c r="H4132" s="64"/>
      <c r="I4132" s="64">
        <v>0</v>
      </c>
      <c r="N4132" s="4">
        <v>0</v>
      </c>
      <c r="O4132" s="58">
        <v>0</v>
      </c>
      <c r="P4132" s="58">
        <v>0</v>
      </c>
      <c r="Q4132" s="58">
        <v>0</v>
      </c>
      <c r="R4132" s="58">
        <v>0</v>
      </c>
      <c r="S4132" s="58">
        <v>0</v>
      </c>
      <c r="T4132" s="58">
        <v>0</v>
      </c>
      <c r="U4132" s="58">
        <v>0</v>
      </c>
      <c r="V4132" s="58">
        <v>0</v>
      </c>
      <c r="AG4132" t="s">
        <v>3838</v>
      </c>
      <c r="AM4132" s="1" t="str">
        <f t="shared" si="210"/>
        <v>4130_C0005_1849.jpg</v>
      </c>
    </row>
    <row r="4133" spans="1:39" x14ac:dyDescent="0.35">
      <c r="A4133">
        <v>4129</v>
      </c>
      <c r="B4133">
        <v>4130</v>
      </c>
      <c r="F4133" s="64" t="s">
        <v>6445</v>
      </c>
      <c r="G4133" s="64"/>
      <c r="H4133" s="64"/>
      <c r="I4133" s="64">
        <v>0</v>
      </c>
      <c r="N4133" s="4">
        <v>0</v>
      </c>
      <c r="O4133" s="58">
        <v>0</v>
      </c>
      <c r="P4133" s="58">
        <v>0</v>
      </c>
      <c r="Q4133" s="58">
        <v>0</v>
      </c>
      <c r="R4133" s="58">
        <v>0</v>
      </c>
      <c r="S4133" s="58">
        <v>0</v>
      </c>
      <c r="T4133" s="58">
        <v>0</v>
      </c>
      <c r="U4133" s="58">
        <v>0</v>
      </c>
      <c r="V4133" s="58">
        <v>0</v>
      </c>
      <c r="AG4133" t="s">
        <v>3839</v>
      </c>
      <c r="AM4133" s="1" t="str">
        <f t="shared" si="210"/>
        <v>4131_C0005_1845.jpg</v>
      </c>
    </row>
    <row r="4134" spans="1:39" x14ac:dyDescent="0.35">
      <c r="A4134">
        <v>4130</v>
      </c>
      <c r="B4134">
        <v>4131</v>
      </c>
      <c r="F4134" s="64" t="s">
        <v>6446</v>
      </c>
      <c r="G4134" s="64"/>
      <c r="H4134" s="64"/>
      <c r="I4134" s="64">
        <v>0</v>
      </c>
      <c r="N4134" s="4">
        <v>0</v>
      </c>
      <c r="O4134" s="58">
        <v>0</v>
      </c>
      <c r="P4134" s="58">
        <v>0</v>
      </c>
      <c r="Q4134" s="58">
        <v>0</v>
      </c>
      <c r="R4134" s="58">
        <v>0</v>
      </c>
      <c r="S4134" s="58">
        <v>0</v>
      </c>
      <c r="T4134" s="58">
        <v>0</v>
      </c>
      <c r="U4134" s="58">
        <v>0</v>
      </c>
      <c r="V4134" s="58">
        <v>0</v>
      </c>
      <c r="AG4134" t="s">
        <v>3840</v>
      </c>
      <c r="AM4134" s="1" t="str">
        <f t="shared" si="210"/>
        <v>4132_C0005_1840.jpg</v>
      </c>
    </row>
    <row r="4135" spans="1:39" x14ac:dyDescent="0.35">
      <c r="A4135">
        <v>4131</v>
      </c>
      <c r="B4135">
        <v>4132</v>
      </c>
      <c r="F4135" s="64" t="s">
        <v>6447</v>
      </c>
      <c r="G4135" s="64"/>
      <c r="H4135" s="64"/>
      <c r="I4135" s="64">
        <v>0</v>
      </c>
      <c r="N4135" s="4">
        <v>0</v>
      </c>
      <c r="O4135" s="58">
        <v>0</v>
      </c>
      <c r="P4135" s="58">
        <v>0</v>
      </c>
      <c r="Q4135" s="58">
        <v>0</v>
      </c>
      <c r="R4135" s="58">
        <v>0</v>
      </c>
      <c r="S4135" s="58">
        <v>0</v>
      </c>
      <c r="T4135" s="58">
        <v>0</v>
      </c>
      <c r="U4135" s="58">
        <v>0</v>
      </c>
      <c r="V4135" s="58">
        <v>0</v>
      </c>
      <c r="AG4135" t="s">
        <v>3841</v>
      </c>
      <c r="AM4135" s="1" t="str">
        <f t="shared" si="210"/>
        <v>4133_C0005_1836.jpg</v>
      </c>
    </row>
    <row r="4136" spans="1:39" x14ac:dyDescent="0.35">
      <c r="A4136">
        <v>4132</v>
      </c>
      <c r="B4136">
        <v>4133</v>
      </c>
      <c r="F4136" s="64" t="s">
        <v>6448</v>
      </c>
      <c r="G4136" s="64"/>
      <c r="H4136" s="64"/>
      <c r="I4136" s="64">
        <v>0</v>
      </c>
      <c r="N4136" s="4">
        <v>0</v>
      </c>
      <c r="O4136" s="58">
        <v>0</v>
      </c>
      <c r="P4136" s="58">
        <v>0</v>
      </c>
      <c r="Q4136" s="58">
        <v>0</v>
      </c>
      <c r="R4136" s="58">
        <v>0</v>
      </c>
      <c r="S4136" s="58">
        <v>0</v>
      </c>
      <c r="T4136" s="58">
        <v>0</v>
      </c>
      <c r="U4136" s="58">
        <v>0</v>
      </c>
      <c r="V4136" s="58">
        <v>0</v>
      </c>
      <c r="AG4136" t="s">
        <v>3842</v>
      </c>
      <c r="AM4136" s="1" t="str">
        <f t="shared" si="210"/>
        <v>4134_C0005_1833.jpg</v>
      </c>
    </row>
    <row r="4137" spans="1:39" x14ac:dyDescent="0.35">
      <c r="A4137">
        <v>4133</v>
      </c>
      <c r="B4137">
        <v>4134</v>
      </c>
      <c r="F4137" s="64" t="s">
        <v>6449</v>
      </c>
      <c r="G4137" s="64"/>
      <c r="H4137" s="64"/>
      <c r="I4137" s="64">
        <v>0</v>
      </c>
      <c r="N4137" s="4">
        <v>0</v>
      </c>
      <c r="O4137" s="58">
        <v>0</v>
      </c>
      <c r="P4137" s="58">
        <v>0</v>
      </c>
      <c r="Q4137" s="58">
        <v>0</v>
      </c>
      <c r="R4137" s="58">
        <v>0</v>
      </c>
      <c r="S4137" s="58">
        <v>0</v>
      </c>
      <c r="T4137" s="58">
        <v>0</v>
      </c>
      <c r="U4137" s="58">
        <v>0</v>
      </c>
      <c r="V4137" s="58">
        <v>0</v>
      </c>
      <c r="AG4137" t="s">
        <v>3843</v>
      </c>
      <c r="AM4137" s="1" t="str">
        <f t="shared" ref="AM4137:AM4176" si="211">HYPERLINK("E:\CAFNEC_GBRF\2023\JohnstoneRiver\Frames_for_Analysis\" &amp; F4138, F4138)</f>
        <v>4135_C0005_1828.jpg</v>
      </c>
    </row>
    <row r="4138" spans="1:39" x14ac:dyDescent="0.35">
      <c r="A4138">
        <v>4134</v>
      </c>
      <c r="B4138">
        <v>4135</v>
      </c>
      <c r="F4138" s="64" t="s">
        <v>6450</v>
      </c>
      <c r="G4138" s="64"/>
      <c r="H4138" s="64"/>
      <c r="I4138" s="64">
        <v>0</v>
      </c>
      <c r="N4138" s="4">
        <v>0</v>
      </c>
      <c r="O4138" s="58">
        <v>0</v>
      </c>
      <c r="P4138" s="58">
        <v>0</v>
      </c>
      <c r="Q4138" s="58">
        <v>0</v>
      </c>
      <c r="R4138" s="58">
        <v>0</v>
      </c>
      <c r="S4138" s="58">
        <v>0</v>
      </c>
      <c r="T4138" s="58">
        <v>0</v>
      </c>
      <c r="U4138" s="58">
        <v>0</v>
      </c>
      <c r="V4138" s="58">
        <v>0</v>
      </c>
      <c r="AG4138" t="s">
        <v>3844</v>
      </c>
      <c r="AM4138" s="1" t="str">
        <f t="shared" si="211"/>
        <v>4136_C0005_1825.jpg</v>
      </c>
    </row>
    <row r="4139" spans="1:39" x14ac:dyDescent="0.35">
      <c r="A4139">
        <v>4135</v>
      </c>
      <c r="B4139">
        <v>4136</v>
      </c>
      <c r="F4139" s="64" t="s">
        <v>6451</v>
      </c>
      <c r="G4139" s="64"/>
      <c r="H4139" s="64"/>
      <c r="I4139" s="64">
        <v>0</v>
      </c>
      <c r="N4139" s="4">
        <v>0</v>
      </c>
      <c r="O4139" s="58">
        <v>0</v>
      </c>
      <c r="P4139" s="58">
        <v>0</v>
      </c>
      <c r="Q4139" s="58">
        <v>0</v>
      </c>
      <c r="R4139" s="58">
        <v>0</v>
      </c>
      <c r="S4139" s="58">
        <v>0</v>
      </c>
      <c r="T4139" s="58">
        <v>0</v>
      </c>
      <c r="U4139" s="58">
        <v>0</v>
      </c>
      <c r="V4139" s="58">
        <v>0</v>
      </c>
      <c r="AG4139" t="s">
        <v>3845</v>
      </c>
      <c r="AM4139" s="1" t="str">
        <f t="shared" si="211"/>
        <v>4137_C0005_1820.jpg</v>
      </c>
    </row>
    <row r="4140" spans="1:39" x14ac:dyDescent="0.35">
      <c r="A4140">
        <v>4136</v>
      </c>
      <c r="B4140">
        <v>4137</v>
      </c>
      <c r="F4140" s="64" t="s">
        <v>6452</v>
      </c>
      <c r="G4140" s="64"/>
      <c r="H4140" s="64"/>
      <c r="I4140" s="64">
        <v>0</v>
      </c>
      <c r="N4140" s="4">
        <v>0</v>
      </c>
      <c r="O4140" s="58">
        <v>0</v>
      </c>
      <c r="P4140" s="58">
        <v>0</v>
      </c>
      <c r="Q4140" s="58">
        <v>0</v>
      </c>
      <c r="R4140" s="58">
        <v>0</v>
      </c>
      <c r="S4140" s="58">
        <v>0</v>
      </c>
      <c r="T4140" s="58">
        <v>0</v>
      </c>
      <c r="U4140" s="58">
        <v>0</v>
      </c>
      <c r="V4140" s="58">
        <v>0</v>
      </c>
      <c r="AG4140" t="s">
        <v>3846</v>
      </c>
      <c r="AM4140" s="1" t="str">
        <f t="shared" si="211"/>
        <v>4138_C0005_1813.jpg</v>
      </c>
    </row>
    <row r="4141" spans="1:39" x14ac:dyDescent="0.35">
      <c r="A4141">
        <v>4137</v>
      </c>
      <c r="B4141">
        <v>4138</v>
      </c>
      <c r="F4141" s="64" t="s">
        <v>6453</v>
      </c>
      <c r="G4141" s="64"/>
      <c r="H4141" s="64"/>
      <c r="I4141" s="64">
        <v>0</v>
      </c>
      <c r="N4141" s="4">
        <v>0</v>
      </c>
      <c r="O4141" s="58">
        <v>0</v>
      </c>
      <c r="P4141" s="58">
        <v>0</v>
      </c>
      <c r="Q4141" s="58">
        <v>0</v>
      </c>
      <c r="R4141" s="58">
        <v>0</v>
      </c>
      <c r="S4141" s="58">
        <v>0</v>
      </c>
      <c r="T4141" s="58">
        <v>0</v>
      </c>
      <c r="U4141" s="58">
        <v>0</v>
      </c>
      <c r="V4141" s="58">
        <v>0</v>
      </c>
      <c r="AG4141" t="s">
        <v>3847</v>
      </c>
      <c r="AM4141" s="1" t="str">
        <f t="shared" si="211"/>
        <v>4139_C0005_1809.jpg</v>
      </c>
    </row>
    <row r="4142" spans="1:39" x14ac:dyDescent="0.35">
      <c r="A4142">
        <v>4138</v>
      </c>
      <c r="B4142">
        <v>4139</v>
      </c>
      <c r="F4142" s="64" t="s">
        <v>6454</v>
      </c>
      <c r="G4142" s="64"/>
      <c r="H4142" s="64"/>
      <c r="I4142" s="64">
        <v>0</v>
      </c>
      <c r="N4142" s="4">
        <v>0</v>
      </c>
      <c r="O4142" s="58">
        <v>0</v>
      </c>
      <c r="P4142" s="58">
        <v>0</v>
      </c>
      <c r="Q4142" s="58">
        <v>0</v>
      </c>
      <c r="R4142" s="58">
        <v>0</v>
      </c>
      <c r="S4142" s="58">
        <v>0</v>
      </c>
      <c r="T4142" s="58">
        <v>0</v>
      </c>
      <c r="U4142" s="58">
        <v>0</v>
      </c>
      <c r="V4142" s="58">
        <v>0</v>
      </c>
      <c r="AG4142" t="s">
        <v>3848</v>
      </c>
      <c r="AM4142" s="1" t="str">
        <f t="shared" si="211"/>
        <v>4140_C0005_1805.jpg</v>
      </c>
    </row>
    <row r="4143" spans="1:39" x14ac:dyDescent="0.35">
      <c r="A4143">
        <v>4139</v>
      </c>
      <c r="B4143">
        <v>4140</v>
      </c>
      <c r="F4143" s="64" t="s">
        <v>6455</v>
      </c>
      <c r="G4143" s="64"/>
      <c r="H4143" s="64"/>
      <c r="I4143" s="64">
        <v>0</v>
      </c>
      <c r="N4143" s="4">
        <v>0</v>
      </c>
      <c r="O4143" s="58">
        <v>0</v>
      </c>
      <c r="P4143" s="58">
        <v>0</v>
      </c>
      <c r="Q4143" s="58">
        <v>1</v>
      </c>
      <c r="R4143" s="58">
        <v>0</v>
      </c>
      <c r="S4143" s="58">
        <v>0</v>
      </c>
      <c r="T4143" s="58">
        <v>0</v>
      </c>
      <c r="U4143" s="58">
        <v>0</v>
      </c>
      <c r="V4143" s="58">
        <v>0</v>
      </c>
      <c r="AG4143" t="s">
        <v>3849</v>
      </c>
      <c r="AM4143" s="1" t="str">
        <f t="shared" si="211"/>
        <v>4141_C0005_1801.jpg</v>
      </c>
    </row>
    <row r="4144" spans="1:39" x14ac:dyDescent="0.35">
      <c r="A4144">
        <v>4140</v>
      </c>
      <c r="B4144">
        <v>4141</v>
      </c>
      <c r="F4144" s="64" t="s">
        <v>6456</v>
      </c>
      <c r="G4144" s="64"/>
      <c r="H4144" s="64"/>
      <c r="I4144" s="64">
        <v>0</v>
      </c>
      <c r="N4144" s="4">
        <v>0</v>
      </c>
      <c r="O4144" s="58">
        <v>0</v>
      </c>
      <c r="P4144" s="58">
        <v>0</v>
      </c>
      <c r="Q4144" s="58">
        <v>0</v>
      </c>
      <c r="R4144" s="58">
        <v>0</v>
      </c>
      <c r="S4144" s="58">
        <v>0</v>
      </c>
      <c r="T4144" s="58">
        <v>0</v>
      </c>
      <c r="U4144" s="58">
        <v>0</v>
      </c>
      <c r="V4144" s="58">
        <v>0</v>
      </c>
      <c r="AG4144" t="s">
        <v>3850</v>
      </c>
      <c r="AM4144" s="1" t="str">
        <f t="shared" si="211"/>
        <v>4142_C0005_1798.jpg</v>
      </c>
    </row>
    <row r="4145" spans="1:39" x14ac:dyDescent="0.35">
      <c r="A4145">
        <v>4141</v>
      </c>
      <c r="B4145">
        <v>4142</v>
      </c>
      <c r="F4145" s="64" t="s">
        <v>6457</v>
      </c>
      <c r="G4145" s="64"/>
      <c r="H4145" s="64"/>
      <c r="I4145" s="64">
        <v>0</v>
      </c>
      <c r="N4145" s="4">
        <v>0</v>
      </c>
      <c r="O4145" s="58">
        <v>0</v>
      </c>
      <c r="P4145" s="58">
        <v>0</v>
      </c>
      <c r="Q4145" s="58">
        <v>0</v>
      </c>
      <c r="R4145" s="58">
        <v>0</v>
      </c>
      <c r="S4145" s="58">
        <v>0</v>
      </c>
      <c r="T4145" s="58">
        <v>0</v>
      </c>
      <c r="U4145" s="58">
        <v>0</v>
      </c>
      <c r="V4145" s="58">
        <v>0</v>
      </c>
      <c r="AG4145" t="s">
        <v>3851</v>
      </c>
      <c r="AM4145" s="1" t="str">
        <f t="shared" si="211"/>
        <v>4143_C0005_1793.jpg</v>
      </c>
    </row>
    <row r="4146" spans="1:39" x14ac:dyDescent="0.35">
      <c r="A4146">
        <v>4142</v>
      </c>
      <c r="B4146">
        <v>4143</v>
      </c>
      <c r="F4146" s="64" t="s">
        <v>6458</v>
      </c>
      <c r="G4146" s="64"/>
      <c r="H4146" s="64"/>
      <c r="I4146" s="64">
        <v>0</v>
      </c>
      <c r="N4146" s="4">
        <v>0</v>
      </c>
      <c r="O4146" s="58">
        <v>0</v>
      </c>
      <c r="P4146" s="58">
        <v>0</v>
      </c>
      <c r="Q4146" s="58">
        <v>0</v>
      </c>
      <c r="R4146" s="58">
        <v>0</v>
      </c>
      <c r="S4146" s="58">
        <v>0</v>
      </c>
      <c r="T4146" s="58">
        <v>0</v>
      </c>
      <c r="U4146" s="58">
        <v>0</v>
      </c>
      <c r="V4146" s="58">
        <v>0</v>
      </c>
      <c r="AG4146" t="s">
        <v>3852</v>
      </c>
      <c r="AM4146" s="1" t="str">
        <f t="shared" si="211"/>
        <v>4144_C0005_1791.jpg</v>
      </c>
    </row>
    <row r="4147" spans="1:39" x14ac:dyDescent="0.35">
      <c r="A4147">
        <v>4143</v>
      </c>
      <c r="B4147">
        <v>4144</v>
      </c>
      <c r="F4147" s="64" t="s">
        <v>6459</v>
      </c>
      <c r="G4147" s="64"/>
      <c r="H4147" s="64"/>
      <c r="I4147" s="64">
        <v>0</v>
      </c>
      <c r="N4147" s="4">
        <v>0</v>
      </c>
      <c r="O4147" s="58">
        <v>0</v>
      </c>
      <c r="P4147" s="58">
        <v>0</v>
      </c>
      <c r="Q4147" s="58">
        <v>1</v>
      </c>
      <c r="R4147" s="58">
        <v>0</v>
      </c>
      <c r="S4147" s="58">
        <v>1</v>
      </c>
      <c r="T4147" s="58">
        <v>0</v>
      </c>
      <c r="U4147" s="58">
        <v>0</v>
      </c>
      <c r="V4147" s="58">
        <v>0</v>
      </c>
      <c r="AG4147" t="s">
        <v>3853</v>
      </c>
      <c r="AM4147" s="1" t="str">
        <f t="shared" si="211"/>
        <v>4145_C0005_1788.jpg</v>
      </c>
    </row>
    <row r="4148" spans="1:39" x14ac:dyDescent="0.35">
      <c r="A4148">
        <v>4144</v>
      </c>
      <c r="B4148">
        <v>4145</v>
      </c>
      <c r="F4148" s="64" t="s">
        <v>6460</v>
      </c>
      <c r="G4148" s="64"/>
      <c r="H4148" s="64"/>
      <c r="I4148" s="64">
        <v>0</v>
      </c>
      <c r="N4148" s="4">
        <v>0</v>
      </c>
      <c r="O4148" s="58">
        <v>0</v>
      </c>
      <c r="P4148" s="58">
        <v>0</v>
      </c>
      <c r="Q4148" s="58">
        <v>1</v>
      </c>
      <c r="R4148" s="58">
        <v>0</v>
      </c>
      <c r="S4148" s="58">
        <v>1</v>
      </c>
      <c r="T4148" s="58">
        <v>0</v>
      </c>
      <c r="U4148" s="58">
        <v>0</v>
      </c>
      <c r="V4148" s="58">
        <v>0</v>
      </c>
      <c r="AG4148" t="s">
        <v>3854</v>
      </c>
      <c r="AM4148" s="1" t="str">
        <f t="shared" si="211"/>
        <v>4146_C0005_1784.jpg</v>
      </c>
    </row>
    <row r="4149" spans="1:39" x14ac:dyDescent="0.35">
      <c r="A4149">
        <v>4145</v>
      </c>
      <c r="B4149">
        <v>4146</v>
      </c>
      <c r="F4149" s="64" t="s">
        <v>6461</v>
      </c>
      <c r="G4149" s="64"/>
      <c r="H4149" s="64"/>
      <c r="I4149" s="64">
        <v>0</v>
      </c>
      <c r="N4149" s="4">
        <v>0</v>
      </c>
      <c r="O4149" s="58">
        <v>0</v>
      </c>
      <c r="P4149" s="58">
        <v>0</v>
      </c>
      <c r="Q4149" s="58">
        <v>0</v>
      </c>
      <c r="R4149" s="58">
        <v>1</v>
      </c>
      <c r="S4149" s="58">
        <v>0</v>
      </c>
      <c r="T4149" s="58">
        <v>0</v>
      </c>
      <c r="U4149" s="58">
        <v>0</v>
      </c>
      <c r="V4149" s="58">
        <v>0</v>
      </c>
      <c r="AG4149" t="s">
        <v>3855</v>
      </c>
      <c r="AM4149" s="1" t="str">
        <f t="shared" si="211"/>
        <v>4147_C0005_1780.jpg</v>
      </c>
    </row>
    <row r="4150" spans="1:39" x14ac:dyDescent="0.35">
      <c r="A4150">
        <v>4146</v>
      </c>
      <c r="B4150">
        <v>4147</v>
      </c>
      <c r="F4150" s="64" t="s">
        <v>6462</v>
      </c>
      <c r="G4150" s="64"/>
      <c r="H4150" s="64"/>
      <c r="I4150" s="64">
        <v>0</v>
      </c>
      <c r="N4150" s="4">
        <v>0</v>
      </c>
      <c r="O4150" s="58">
        <v>0</v>
      </c>
      <c r="P4150" s="58">
        <v>0</v>
      </c>
      <c r="Q4150" s="58">
        <v>0</v>
      </c>
      <c r="R4150" s="58">
        <v>0</v>
      </c>
      <c r="S4150" s="58">
        <v>0</v>
      </c>
      <c r="T4150" s="58">
        <v>0</v>
      </c>
      <c r="U4150" s="58">
        <v>0</v>
      </c>
      <c r="V4150" s="58">
        <v>0</v>
      </c>
      <c r="AG4150" t="s">
        <v>3856</v>
      </c>
      <c r="AM4150" s="1" t="str">
        <f t="shared" si="211"/>
        <v>4148_C0005_1777.jpg</v>
      </c>
    </row>
    <row r="4151" spans="1:39" x14ac:dyDescent="0.35">
      <c r="A4151">
        <v>4147</v>
      </c>
      <c r="B4151">
        <v>4148</v>
      </c>
      <c r="F4151" s="64" t="s">
        <v>6463</v>
      </c>
      <c r="G4151" s="64"/>
      <c r="H4151" s="64"/>
      <c r="I4151" s="64">
        <v>0</v>
      </c>
      <c r="N4151" s="4">
        <v>0</v>
      </c>
      <c r="O4151" s="58">
        <v>0</v>
      </c>
      <c r="P4151" s="58">
        <v>0</v>
      </c>
      <c r="Q4151" s="58">
        <v>0</v>
      </c>
      <c r="R4151" s="58">
        <v>0</v>
      </c>
      <c r="S4151" s="58">
        <v>0</v>
      </c>
      <c r="T4151" s="58">
        <v>0</v>
      </c>
      <c r="U4151" s="58">
        <v>0</v>
      </c>
      <c r="V4151" s="58">
        <v>0</v>
      </c>
      <c r="AG4151" t="s">
        <v>3857</v>
      </c>
      <c r="AM4151" s="1" t="str">
        <f t="shared" si="211"/>
        <v>4149_C0005_1772.jpg</v>
      </c>
    </row>
    <row r="4152" spans="1:39" x14ac:dyDescent="0.35">
      <c r="A4152">
        <v>4148</v>
      </c>
      <c r="B4152">
        <v>4149</v>
      </c>
      <c r="F4152" s="64" t="s">
        <v>6464</v>
      </c>
      <c r="G4152" s="64"/>
      <c r="H4152" s="64"/>
      <c r="I4152" s="64">
        <v>0</v>
      </c>
      <c r="N4152" s="4">
        <v>0</v>
      </c>
      <c r="O4152" s="58">
        <v>0</v>
      </c>
      <c r="P4152" s="58">
        <v>0</v>
      </c>
      <c r="Q4152" s="58">
        <v>0</v>
      </c>
      <c r="R4152" s="58">
        <v>0</v>
      </c>
      <c r="S4152" s="58">
        <v>0</v>
      </c>
      <c r="T4152" s="58">
        <v>0</v>
      </c>
      <c r="U4152" s="58">
        <v>0</v>
      </c>
      <c r="V4152" s="58">
        <v>0</v>
      </c>
      <c r="AG4152" t="s">
        <v>3858</v>
      </c>
      <c r="AM4152" s="1" t="str">
        <f t="shared" si="211"/>
        <v>4150_C0005_1768.jpg</v>
      </c>
    </row>
    <row r="4153" spans="1:39" x14ac:dyDescent="0.35">
      <c r="A4153">
        <v>4149</v>
      </c>
      <c r="B4153">
        <v>4150</v>
      </c>
      <c r="F4153" s="64" t="s">
        <v>6465</v>
      </c>
      <c r="G4153" s="64"/>
      <c r="H4153" s="64"/>
      <c r="I4153" s="64">
        <v>0</v>
      </c>
      <c r="N4153" s="4">
        <v>0</v>
      </c>
      <c r="O4153" s="58">
        <v>0</v>
      </c>
      <c r="P4153" s="58">
        <v>0</v>
      </c>
      <c r="Q4153" s="58">
        <v>0</v>
      </c>
      <c r="R4153" s="58">
        <v>0</v>
      </c>
      <c r="S4153" s="58">
        <v>1</v>
      </c>
      <c r="T4153" s="58">
        <v>0</v>
      </c>
      <c r="U4153" s="58">
        <v>0</v>
      </c>
      <c r="V4153" s="58">
        <v>0</v>
      </c>
      <c r="AG4153" t="s">
        <v>3859</v>
      </c>
      <c r="AM4153" s="1" t="str">
        <f t="shared" si="211"/>
        <v>4151_C0005_1765.jpg</v>
      </c>
    </row>
    <row r="4154" spans="1:39" x14ac:dyDescent="0.35">
      <c r="A4154">
        <v>4150</v>
      </c>
      <c r="B4154">
        <v>4151</v>
      </c>
      <c r="F4154" s="64" t="s">
        <v>6466</v>
      </c>
      <c r="G4154" s="64"/>
      <c r="H4154" s="64"/>
      <c r="I4154" s="64">
        <v>0</v>
      </c>
      <c r="N4154" s="4">
        <v>0</v>
      </c>
      <c r="O4154" s="58">
        <v>0</v>
      </c>
      <c r="P4154" s="58">
        <v>0</v>
      </c>
      <c r="Q4154" s="58">
        <v>0</v>
      </c>
      <c r="R4154" s="58">
        <v>0</v>
      </c>
      <c r="S4154" s="58">
        <v>0</v>
      </c>
      <c r="T4154" s="58">
        <v>0</v>
      </c>
      <c r="U4154" s="58">
        <v>0</v>
      </c>
      <c r="V4154" s="58">
        <v>0</v>
      </c>
      <c r="AG4154" t="s">
        <v>3860</v>
      </c>
      <c r="AM4154" s="1" t="str">
        <f t="shared" si="211"/>
        <v>4152_C0005_1761.jpg</v>
      </c>
    </row>
    <row r="4155" spans="1:39" x14ac:dyDescent="0.35">
      <c r="A4155">
        <v>4151</v>
      </c>
      <c r="B4155">
        <v>4152</v>
      </c>
      <c r="F4155" s="64" t="s">
        <v>6467</v>
      </c>
      <c r="G4155" s="64"/>
      <c r="H4155" s="64"/>
      <c r="I4155" s="64">
        <v>0</v>
      </c>
      <c r="N4155" s="4">
        <v>0</v>
      </c>
      <c r="O4155" s="58">
        <v>0</v>
      </c>
      <c r="P4155" s="58">
        <v>0</v>
      </c>
      <c r="Q4155" s="58">
        <v>0</v>
      </c>
      <c r="R4155" s="58">
        <v>0</v>
      </c>
      <c r="S4155" s="58">
        <v>0</v>
      </c>
      <c r="T4155" s="58">
        <v>0</v>
      </c>
      <c r="U4155" s="58">
        <v>0</v>
      </c>
      <c r="V4155" s="58">
        <v>0</v>
      </c>
      <c r="AG4155" t="s">
        <v>3861</v>
      </c>
      <c r="AM4155" s="1" t="str">
        <f t="shared" si="211"/>
        <v>4153_C0005_1757.jpg</v>
      </c>
    </row>
    <row r="4156" spans="1:39" x14ac:dyDescent="0.35">
      <c r="A4156">
        <v>4152</v>
      </c>
      <c r="B4156">
        <v>4153</v>
      </c>
      <c r="F4156" s="64" t="s">
        <v>6468</v>
      </c>
      <c r="G4156" s="64"/>
      <c r="H4156" s="64"/>
      <c r="I4156" s="64">
        <v>0</v>
      </c>
      <c r="N4156" s="4">
        <v>0</v>
      </c>
      <c r="O4156" s="58">
        <v>0</v>
      </c>
      <c r="P4156" s="58">
        <v>0</v>
      </c>
      <c r="Q4156" s="58">
        <v>0</v>
      </c>
      <c r="R4156" s="58">
        <v>0</v>
      </c>
      <c r="S4156" s="58">
        <v>0</v>
      </c>
      <c r="T4156" s="58">
        <v>0</v>
      </c>
      <c r="U4156" s="58">
        <v>0</v>
      </c>
      <c r="V4156" s="58">
        <v>0</v>
      </c>
      <c r="AG4156" t="s">
        <v>3862</v>
      </c>
      <c r="AM4156" s="1" t="str">
        <f t="shared" si="211"/>
        <v>4154_C0005_1752.jpg</v>
      </c>
    </row>
    <row r="4157" spans="1:39" x14ac:dyDescent="0.35">
      <c r="A4157">
        <v>4153</v>
      </c>
      <c r="B4157">
        <v>4154</v>
      </c>
      <c r="F4157" s="64" t="s">
        <v>6469</v>
      </c>
      <c r="G4157" s="64"/>
      <c r="H4157" s="64"/>
      <c r="I4157" s="64">
        <v>0</v>
      </c>
      <c r="N4157" s="4">
        <v>0</v>
      </c>
      <c r="O4157" s="58">
        <v>0</v>
      </c>
      <c r="P4157" s="58">
        <v>0</v>
      </c>
      <c r="Q4157" s="58">
        <v>0</v>
      </c>
      <c r="R4157" s="58">
        <v>0</v>
      </c>
      <c r="S4157" s="58">
        <v>0</v>
      </c>
      <c r="T4157" s="58">
        <v>0</v>
      </c>
      <c r="U4157" s="58">
        <v>0</v>
      </c>
      <c r="V4157" s="58">
        <v>0</v>
      </c>
      <c r="AG4157" t="s">
        <v>3863</v>
      </c>
      <c r="AM4157" s="1" t="str">
        <f t="shared" si="211"/>
        <v>4155_C0005_1750.jpg</v>
      </c>
    </row>
    <row r="4158" spans="1:39" x14ac:dyDescent="0.35">
      <c r="A4158">
        <v>4154</v>
      </c>
      <c r="B4158">
        <v>4155</v>
      </c>
      <c r="F4158" s="64" t="s">
        <v>6470</v>
      </c>
      <c r="G4158" s="64"/>
      <c r="H4158" s="64"/>
      <c r="I4158" s="64">
        <v>0</v>
      </c>
      <c r="N4158" s="4">
        <v>0</v>
      </c>
      <c r="O4158" s="58">
        <v>0</v>
      </c>
      <c r="P4158" s="58">
        <v>0</v>
      </c>
      <c r="Q4158" s="58">
        <v>0</v>
      </c>
      <c r="R4158" s="58">
        <v>0</v>
      </c>
      <c r="S4158" s="58">
        <v>0</v>
      </c>
      <c r="T4158" s="58">
        <v>0</v>
      </c>
      <c r="U4158" s="58">
        <v>0</v>
      </c>
      <c r="V4158" s="58">
        <v>0</v>
      </c>
      <c r="AG4158" t="s">
        <v>3864</v>
      </c>
      <c r="AM4158" s="1" t="str">
        <f t="shared" si="211"/>
        <v>4156_C0005_1746.jpg</v>
      </c>
    </row>
    <row r="4159" spans="1:39" x14ac:dyDescent="0.35">
      <c r="A4159">
        <v>4155</v>
      </c>
      <c r="B4159">
        <v>4156</v>
      </c>
      <c r="F4159" s="64" t="s">
        <v>6471</v>
      </c>
      <c r="G4159" s="64"/>
      <c r="H4159" s="64"/>
      <c r="I4159" s="64">
        <v>0</v>
      </c>
      <c r="N4159" s="4">
        <v>0</v>
      </c>
      <c r="O4159" s="58">
        <v>0</v>
      </c>
      <c r="P4159" s="58">
        <v>0</v>
      </c>
      <c r="Q4159" s="58">
        <v>0</v>
      </c>
      <c r="R4159" s="58">
        <v>0</v>
      </c>
      <c r="S4159" s="58">
        <v>0</v>
      </c>
      <c r="T4159" s="58">
        <v>0</v>
      </c>
      <c r="U4159" s="58">
        <v>0</v>
      </c>
      <c r="V4159" s="58">
        <v>0</v>
      </c>
      <c r="AG4159" t="s">
        <v>3865</v>
      </c>
      <c r="AM4159" s="1" t="str">
        <f t="shared" si="211"/>
        <v>4157_C0005_1744.jpg</v>
      </c>
    </row>
    <row r="4160" spans="1:39" x14ac:dyDescent="0.35">
      <c r="A4160">
        <v>4156</v>
      </c>
      <c r="B4160">
        <v>4157</v>
      </c>
      <c r="F4160" s="64" t="s">
        <v>6472</v>
      </c>
      <c r="G4160" s="64"/>
      <c r="H4160" s="64"/>
      <c r="I4160" s="64">
        <v>0</v>
      </c>
      <c r="N4160" s="4">
        <v>0</v>
      </c>
      <c r="O4160" s="58">
        <v>0</v>
      </c>
      <c r="P4160" s="58">
        <v>0</v>
      </c>
      <c r="Q4160" s="58">
        <v>0</v>
      </c>
      <c r="R4160" s="58">
        <v>0</v>
      </c>
      <c r="S4160" s="58">
        <v>0</v>
      </c>
      <c r="T4160" s="58">
        <v>0</v>
      </c>
      <c r="U4160" s="58">
        <v>0</v>
      </c>
      <c r="V4160" s="58">
        <v>0</v>
      </c>
      <c r="AG4160" t="s">
        <v>3866</v>
      </c>
      <c r="AM4160" s="1" t="str">
        <f t="shared" si="211"/>
        <v>4158_C0005_1738.jpg</v>
      </c>
    </row>
    <row r="4161" spans="1:39" x14ac:dyDescent="0.35">
      <c r="A4161">
        <v>4157</v>
      </c>
      <c r="B4161">
        <v>4158</v>
      </c>
      <c r="F4161" s="64" t="s">
        <v>6473</v>
      </c>
      <c r="G4161" s="64"/>
      <c r="H4161" s="64"/>
      <c r="I4161" s="64">
        <v>0</v>
      </c>
      <c r="N4161" s="4">
        <v>0</v>
      </c>
      <c r="O4161" s="58">
        <v>0</v>
      </c>
      <c r="P4161" s="58">
        <v>0</v>
      </c>
      <c r="Q4161" s="58">
        <v>0</v>
      </c>
      <c r="R4161" s="58">
        <v>0</v>
      </c>
      <c r="S4161" s="58">
        <v>0</v>
      </c>
      <c r="T4161" s="58">
        <v>0</v>
      </c>
      <c r="U4161" s="58">
        <v>0</v>
      </c>
      <c r="V4161" s="58">
        <v>0</v>
      </c>
      <c r="AG4161" t="s">
        <v>3867</v>
      </c>
      <c r="AM4161" s="1" t="str">
        <f t="shared" si="211"/>
        <v>4159_C0005_1736.jpg</v>
      </c>
    </row>
    <row r="4162" spans="1:39" x14ac:dyDescent="0.35">
      <c r="A4162">
        <v>4158</v>
      </c>
      <c r="B4162">
        <v>4159</v>
      </c>
      <c r="F4162" s="64" t="s">
        <v>6474</v>
      </c>
      <c r="G4162" s="64"/>
      <c r="H4162" s="64"/>
      <c r="I4162" s="64">
        <v>0</v>
      </c>
      <c r="N4162" s="4">
        <v>0</v>
      </c>
      <c r="O4162" s="58">
        <v>0</v>
      </c>
      <c r="P4162" s="58">
        <v>0</v>
      </c>
      <c r="Q4162" s="58">
        <v>0</v>
      </c>
      <c r="R4162" s="58">
        <v>0</v>
      </c>
      <c r="S4162" s="58">
        <v>0</v>
      </c>
      <c r="T4162" s="58">
        <v>0</v>
      </c>
      <c r="U4162" s="58">
        <v>0</v>
      </c>
      <c r="V4162" s="58">
        <v>0</v>
      </c>
      <c r="AG4162" t="s">
        <v>3868</v>
      </c>
      <c r="AM4162" s="1" t="str">
        <f t="shared" si="211"/>
        <v>4160_C0005_1734.jpg</v>
      </c>
    </row>
    <row r="4163" spans="1:39" x14ac:dyDescent="0.35">
      <c r="A4163">
        <v>4159</v>
      </c>
      <c r="B4163">
        <v>4160</v>
      </c>
      <c r="F4163" s="64" t="s">
        <v>6475</v>
      </c>
      <c r="G4163" s="64"/>
      <c r="H4163" s="64"/>
      <c r="I4163" s="64">
        <v>0</v>
      </c>
      <c r="N4163" s="4">
        <v>0</v>
      </c>
      <c r="O4163" s="58">
        <v>0</v>
      </c>
      <c r="P4163" s="58">
        <v>0</v>
      </c>
      <c r="Q4163" s="58">
        <v>0</v>
      </c>
      <c r="R4163" s="58">
        <v>0</v>
      </c>
      <c r="S4163" s="58">
        <v>0</v>
      </c>
      <c r="T4163" s="58">
        <v>0</v>
      </c>
      <c r="U4163" s="58">
        <v>0</v>
      </c>
      <c r="V4163" s="58">
        <v>0</v>
      </c>
      <c r="AG4163" t="s">
        <v>3869</v>
      </c>
      <c r="AM4163" s="1" t="str">
        <f t="shared" si="211"/>
        <v>4161_C0005_1728.jpg</v>
      </c>
    </row>
    <row r="4164" spans="1:39" x14ac:dyDescent="0.35">
      <c r="A4164">
        <v>4160</v>
      </c>
      <c r="B4164">
        <v>4161</v>
      </c>
      <c r="F4164" s="64" t="s">
        <v>6476</v>
      </c>
      <c r="G4164" s="64"/>
      <c r="H4164" s="64"/>
      <c r="I4164" s="64">
        <v>0</v>
      </c>
      <c r="N4164" s="4">
        <v>0</v>
      </c>
      <c r="O4164" s="58">
        <v>0</v>
      </c>
      <c r="P4164" s="58">
        <v>0</v>
      </c>
      <c r="Q4164" s="58">
        <v>0</v>
      </c>
      <c r="R4164" s="58">
        <v>0</v>
      </c>
      <c r="S4164" s="58">
        <v>0</v>
      </c>
      <c r="T4164" s="58">
        <v>0</v>
      </c>
      <c r="U4164" s="58">
        <v>0</v>
      </c>
      <c r="V4164" s="58">
        <v>0</v>
      </c>
      <c r="AG4164" t="s">
        <v>3870</v>
      </c>
      <c r="AM4164" s="1" t="str">
        <f t="shared" si="211"/>
        <v>4162_C0005_1725.jpg</v>
      </c>
    </row>
    <row r="4165" spans="1:39" x14ac:dyDescent="0.35">
      <c r="A4165">
        <v>4161</v>
      </c>
      <c r="B4165">
        <v>4162</v>
      </c>
      <c r="F4165" s="64" t="s">
        <v>6477</v>
      </c>
      <c r="G4165" s="64"/>
      <c r="H4165" s="64"/>
      <c r="I4165" s="64">
        <v>0</v>
      </c>
      <c r="N4165" s="4">
        <v>0</v>
      </c>
      <c r="O4165" s="58">
        <v>0</v>
      </c>
      <c r="P4165" s="58">
        <v>0</v>
      </c>
      <c r="Q4165" s="58">
        <v>0</v>
      </c>
      <c r="R4165" s="58">
        <v>0</v>
      </c>
      <c r="S4165" s="58">
        <v>0</v>
      </c>
      <c r="T4165" s="58">
        <v>0</v>
      </c>
      <c r="U4165" s="58">
        <v>0</v>
      </c>
      <c r="V4165" s="58">
        <v>0</v>
      </c>
      <c r="AG4165" t="s">
        <v>3871</v>
      </c>
      <c r="AM4165" s="1" t="str">
        <f t="shared" si="211"/>
        <v>4163_C0005_1718.jpg</v>
      </c>
    </row>
    <row r="4166" spans="1:39" x14ac:dyDescent="0.35">
      <c r="A4166">
        <v>4162</v>
      </c>
      <c r="B4166">
        <v>4163</v>
      </c>
      <c r="F4166" s="64" t="s">
        <v>6478</v>
      </c>
      <c r="G4166" s="64"/>
      <c r="H4166" s="64"/>
      <c r="I4166" s="64">
        <v>0</v>
      </c>
      <c r="N4166" s="4">
        <v>0</v>
      </c>
      <c r="O4166" s="58">
        <v>0</v>
      </c>
      <c r="P4166" s="58">
        <v>0</v>
      </c>
      <c r="Q4166" s="58">
        <v>0</v>
      </c>
      <c r="R4166" s="58">
        <v>0</v>
      </c>
      <c r="S4166" s="58">
        <v>0</v>
      </c>
      <c r="T4166" s="58">
        <v>0</v>
      </c>
      <c r="U4166" s="58">
        <v>0</v>
      </c>
      <c r="V4166" s="58">
        <v>0</v>
      </c>
      <c r="AG4166" t="s">
        <v>3872</v>
      </c>
      <c r="AM4166" s="1" t="str">
        <f t="shared" si="211"/>
        <v>4164_C0005_1715.jpg</v>
      </c>
    </row>
    <row r="4167" spans="1:39" x14ac:dyDescent="0.35">
      <c r="A4167">
        <v>4163</v>
      </c>
      <c r="B4167">
        <v>4164</v>
      </c>
      <c r="F4167" s="64" t="s">
        <v>6479</v>
      </c>
      <c r="G4167" s="64"/>
      <c r="H4167" s="64"/>
      <c r="I4167" s="64">
        <v>0</v>
      </c>
      <c r="N4167" s="4">
        <v>0</v>
      </c>
      <c r="O4167" s="58">
        <v>0</v>
      </c>
      <c r="P4167" s="58">
        <v>0</v>
      </c>
      <c r="Q4167" s="58">
        <v>0</v>
      </c>
      <c r="R4167" s="58">
        <v>0</v>
      </c>
      <c r="S4167" s="58">
        <v>0</v>
      </c>
      <c r="T4167" s="58">
        <v>0</v>
      </c>
      <c r="U4167" s="58">
        <v>0</v>
      </c>
      <c r="V4167" s="58">
        <v>0</v>
      </c>
      <c r="AG4167" t="s">
        <v>3873</v>
      </c>
      <c r="AM4167" s="1" t="str">
        <f t="shared" si="211"/>
        <v>4165_C0005_1713.jpg</v>
      </c>
    </row>
    <row r="4168" spans="1:39" x14ac:dyDescent="0.35">
      <c r="A4168">
        <v>4164</v>
      </c>
      <c r="B4168">
        <v>4165</v>
      </c>
      <c r="F4168" s="64" t="s">
        <v>6480</v>
      </c>
      <c r="G4168" s="64"/>
      <c r="H4168" s="64"/>
      <c r="I4168" s="64">
        <v>0</v>
      </c>
      <c r="N4168" s="4">
        <v>0</v>
      </c>
      <c r="O4168" s="58">
        <v>0</v>
      </c>
      <c r="P4168" s="58">
        <v>0</v>
      </c>
      <c r="Q4168" s="58">
        <v>0</v>
      </c>
      <c r="R4168" s="58">
        <v>0</v>
      </c>
      <c r="S4168" s="58">
        <v>0</v>
      </c>
      <c r="T4168" s="58">
        <v>0</v>
      </c>
      <c r="U4168" s="58">
        <v>0</v>
      </c>
      <c r="V4168" s="58">
        <v>0</v>
      </c>
      <c r="AG4168" t="s">
        <v>3874</v>
      </c>
      <c r="AM4168" s="1" t="str">
        <f t="shared" si="211"/>
        <v>4166_C0005_1708.jpg</v>
      </c>
    </row>
    <row r="4169" spans="1:39" x14ac:dyDescent="0.35">
      <c r="A4169">
        <v>4165</v>
      </c>
      <c r="B4169">
        <v>4166</v>
      </c>
      <c r="F4169" s="64" t="s">
        <v>6481</v>
      </c>
      <c r="G4169" s="64"/>
      <c r="H4169" s="64"/>
      <c r="I4169" s="64">
        <v>0</v>
      </c>
      <c r="N4169" s="4">
        <v>0</v>
      </c>
      <c r="O4169" s="58">
        <v>0</v>
      </c>
      <c r="P4169" s="58">
        <v>0</v>
      </c>
      <c r="Q4169" s="58">
        <v>0</v>
      </c>
      <c r="R4169" s="58">
        <v>0</v>
      </c>
      <c r="S4169" s="58">
        <v>0</v>
      </c>
      <c r="T4169" s="58">
        <v>0</v>
      </c>
      <c r="U4169" s="58">
        <v>0</v>
      </c>
      <c r="V4169" s="58">
        <v>0</v>
      </c>
      <c r="AG4169" t="s">
        <v>3875</v>
      </c>
      <c r="AM4169" s="1" t="str">
        <f t="shared" si="211"/>
        <v>4167_C0005_1705.jpg</v>
      </c>
    </row>
    <row r="4170" spans="1:39" x14ac:dyDescent="0.35">
      <c r="A4170">
        <v>4166</v>
      </c>
      <c r="B4170">
        <v>4167</v>
      </c>
      <c r="F4170" s="64" t="s">
        <v>6482</v>
      </c>
      <c r="G4170" s="64"/>
      <c r="H4170" s="64"/>
      <c r="I4170" s="64">
        <v>0</v>
      </c>
      <c r="N4170" s="4">
        <v>0</v>
      </c>
      <c r="O4170" s="58">
        <v>0</v>
      </c>
      <c r="P4170" s="58">
        <v>0</v>
      </c>
      <c r="Q4170" s="58">
        <v>0</v>
      </c>
      <c r="R4170" s="58">
        <v>0</v>
      </c>
      <c r="S4170" s="58">
        <v>0</v>
      </c>
      <c r="T4170" s="58">
        <v>0</v>
      </c>
      <c r="U4170" s="58">
        <v>0</v>
      </c>
      <c r="V4170" s="58">
        <v>0</v>
      </c>
      <c r="AG4170" t="s">
        <v>3876</v>
      </c>
      <c r="AM4170" s="1" t="str">
        <f t="shared" si="211"/>
        <v>4168_C0005_1700.jpg</v>
      </c>
    </row>
    <row r="4171" spans="1:39" x14ac:dyDescent="0.35">
      <c r="A4171">
        <v>4167</v>
      </c>
      <c r="B4171">
        <v>4168</v>
      </c>
      <c r="F4171" s="64" t="s">
        <v>6483</v>
      </c>
      <c r="G4171" s="64"/>
      <c r="H4171" s="64"/>
      <c r="I4171" s="64">
        <v>0</v>
      </c>
      <c r="N4171" s="4">
        <v>0</v>
      </c>
      <c r="O4171" s="58">
        <v>0</v>
      </c>
      <c r="P4171" s="58">
        <v>0</v>
      </c>
      <c r="Q4171" s="58">
        <v>0</v>
      </c>
      <c r="R4171" s="58">
        <v>0</v>
      </c>
      <c r="S4171" s="58">
        <v>0</v>
      </c>
      <c r="T4171" s="58">
        <v>0</v>
      </c>
      <c r="U4171" s="58">
        <v>0</v>
      </c>
      <c r="V4171" s="58">
        <v>0</v>
      </c>
      <c r="AG4171" t="s">
        <v>3877</v>
      </c>
      <c r="AM4171" s="1" t="str">
        <f t="shared" si="211"/>
        <v>4169_C0005_1699.jpg</v>
      </c>
    </row>
    <row r="4172" spans="1:39" x14ac:dyDescent="0.35">
      <c r="A4172">
        <v>4168</v>
      </c>
      <c r="B4172">
        <v>4169</v>
      </c>
      <c r="F4172" s="64" t="s">
        <v>6484</v>
      </c>
      <c r="G4172" s="64"/>
      <c r="H4172" s="64"/>
      <c r="I4172" s="64">
        <v>0</v>
      </c>
      <c r="N4172" s="4">
        <v>0</v>
      </c>
      <c r="O4172" s="58">
        <v>0</v>
      </c>
      <c r="P4172" s="58">
        <v>0</v>
      </c>
      <c r="Q4172" s="58">
        <v>0</v>
      </c>
      <c r="R4172" s="58">
        <v>0</v>
      </c>
      <c r="S4172" s="58">
        <v>0</v>
      </c>
      <c r="T4172" s="58">
        <v>0</v>
      </c>
      <c r="U4172" s="58">
        <v>0</v>
      </c>
      <c r="V4172" s="58">
        <v>0</v>
      </c>
      <c r="AG4172" t="s">
        <v>3878</v>
      </c>
      <c r="AM4172" s="1" t="str">
        <f t="shared" si="211"/>
        <v>4170_C0005_1698.jpg</v>
      </c>
    </row>
    <row r="4173" spans="1:39" x14ac:dyDescent="0.35">
      <c r="A4173">
        <v>4169</v>
      </c>
      <c r="B4173">
        <v>4170</v>
      </c>
      <c r="F4173" s="64" t="s">
        <v>6485</v>
      </c>
      <c r="G4173" s="64"/>
      <c r="H4173" s="64"/>
      <c r="I4173" s="64">
        <v>0</v>
      </c>
      <c r="N4173" s="4">
        <v>0</v>
      </c>
      <c r="O4173" s="58">
        <v>0</v>
      </c>
      <c r="P4173" s="58">
        <v>0</v>
      </c>
      <c r="Q4173" s="58">
        <v>0</v>
      </c>
      <c r="R4173" s="58">
        <v>0</v>
      </c>
      <c r="S4173" s="58">
        <v>0</v>
      </c>
      <c r="T4173" s="58">
        <v>0</v>
      </c>
      <c r="U4173" s="58">
        <v>0</v>
      </c>
      <c r="V4173" s="58">
        <v>0</v>
      </c>
      <c r="AG4173" t="s">
        <v>3879</v>
      </c>
      <c r="AM4173" s="1" t="str">
        <f t="shared" si="211"/>
        <v>4171_C0005_1695.jpg</v>
      </c>
    </row>
    <row r="4174" spans="1:39" x14ac:dyDescent="0.35">
      <c r="A4174">
        <v>4170</v>
      </c>
      <c r="B4174">
        <v>4171</v>
      </c>
      <c r="F4174" s="64" t="s">
        <v>6486</v>
      </c>
      <c r="G4174" s="64"/>
      <c r="H4174" s="64"/>
      <c r="I4174" s="64">
        <v>0</v>
      </c>
      <c r="N4174" s="4">
        <v>0</v>
      </c>
      <c r="O4174" s="58">
        <v>0</v>
      </c>
      <c r="P4174" s="58">
        <v>0</v>
      </c>
      <c r="Q4174" s="58">
        <v>0</v>
      </c>
      <c r="R4174" s="58">
        <v>0</v>
      </c>
      <c r="S4174" s="58">
        <v>0</v>
      </c>
      <c r="T4174" s="58">
        <v>0</v>
      </c>
      <c r="U4174" s="58">
        <v>0</v>
      </c>
      <c r="V4174" s="58">
        <v>0</v>
      </c>
      <c r="AG4174" t="s">
        <v>3880</v>
      </c>
      <c r="AM4174" s="1" t="str">
        <f t="shared" si="211"/>
        <v>4172_C0005_1693.jpg</v>
      </c>
    </row>
    <row r="4175" spans="1:39" x14ac:dyDescent="0.35">
      <c r="A4175">
        <v>4171</v>
      </c>
      <c r="B4175">
        <v>4172</v>
      </c>
      <c r="F4175" s="64" t="s">
        <v>6487</v>
      </c>
      <c r="G4175" s="64"/>
      <c r="H4175" s="64"/>
      <c r="I4175" s="64">
        <v>0</v>
      </c>
      <c r="N4175" s="4">
        <v>0</v>
      </c>
      <c r="O4175" s="58">
        <v>0</v>
      </c>
      <c r="P4175" s="58">
        <v>0</v>
      </c>
      <c r="Q4175" s="58">
        <v>0</v>
      </c>
      <c r="R4175" s="58">
        <v>0</v>
      </c>
      <c r="S4175" s="58">
        <v>0</v>
      </c>
      <c r="T4175" s="58">
        <v>0</v>
      </c>
      <c r="U4175" s="58">
        <v>0</v>
      </c>
      <c r="V4175" s="58">
        <v>0</v>
      </c>
      <c r="AG4175" t="s">
        <v>3881</v>
      </c>
      <c r="AM4175" s="1" t="str">
        <f t="shared" si="211"/>
        <v>4173_C0005_1689.jpg</v>
      </c>
    </row>
    <row r="4176" spans="1:39" x14ac:dyDescent="0.35">
      <c r="A4176">
        <v>4172</v>
      </c>
      <c r="B4176">
        <v>4173</v>
      </c>
      <c r="F4176" s="64" t="s">
        <v>6488</v>
      </c>
      <c r="G4176" s="64"/>
      <c r="H4176" s="64"/>
      <c r="I4176" s="64">
        <v>0</v>
      </c>
      <c r="N4176" s="4">
        <v>0</v>
      </c>
      <c r="O4176" s="58">
        <v>0</v>
      </c>
      <c r="P4176" s="58">
        <v>0</v>
      </c>
      <c r="Q4176" s="58">
        <v>0</v>
      </c>
      <c r="R4176" s="58">
        <v>0</v>
      </c>
      <c r="S4176" s="58">
        <v>0</v>
      </c>
      <c r="T4176" s="58">
        <v>0</v>
      </c>
      <c r="U4176" s="58">
        <v>0</v>
      </c>
      <c r="V4176" s="58">
        <v>0</v>
      </c>
      <c r="AG4176" t="s">
        <v>3882</v>
      </c>
      <c r="AM4176" s="1" t="str">
        <f t="shared" si="211"/>
        <v>4174_C0005_1687.jpg</v>
      </c>
    </row>
    <row r="4177" spans="1:39" x14ac:dyDescent="0.35">
      <c r="A4177">
        <v>4173</v>
      </c>
      <c r="B4177">
        <v>4174</v>
      </c>
      <c r="F4177" s="64" t="s">
        <v>6489</v>
      </c>
      <c r="G4177" s="64"/>
      <c r="H4177" s="64"/>
      <c r="I4177" s="64">
        <v>0</v>
      </c>
      <c r="N4177" s="4">
        <v>0</v>
      </c>
      <c r="O4177" s="58">
        <v>0</v>
      </c>
      <c r="P4177" s="58">
        <v>0</v>
      </c>
      <c r="Q4177" s="58">
        <v>0</v>
      </c>
      <c r="R4177" s="58">
        <v>0</v>
      </c>
      <c r="S4177" s="58">
        <v>0</v>
      </c>
      <c r="T4177" s="58">
        <v>0</v>
      </c>
      <c r="U4177" s="58">
        <v>0</v>
      </c>
      <c r="V4177" s="58">
        <v>0</v>
      </c>
      <c r="AG4177" t="s">
        <v>3883</v>
      </c>
      <c r="AM4177" s="1"/>
    </row>
    <row r="4178" spans="1:39" x14ac:dyDescent="0.35">
      <c r="A4178">
        <v>4174</v>
      </c>
      <c r="B4178">
        <v>4175</v>
      </c>
      <c r="F4178" s="64"/>
      <c r="G4178" s="64"/>
      <c r="H4178" s="64" t="s">
        <v>26</v>
      </c>
      <c r="I4178" s="64"/>
      <c r="N4178" s="4"/>
      <c r="AG4178" t="s">
        <v>3884</v>
      </c>
      <c r="AM4178" s="1" t="str">
        <f>HYPERLINK("E:\CAFNEC_GBRF\2023\JohnstoneRiver\Frames_for_Analysis\" &amp; F4179, F4179)</f>
        <v>4176_C0005_1682.jpg</v>
      </c>
    </row>
    <row r="4179" spans="1:39" x14ac:dyDescent="0.35">
      <c r="A4179">
        <v>4175</v>
      </c>
      <c r="B4179">
        <v>4176</v>
      </c>
      <c r="F4179" s="64" t="s">
        <v>6490</v>
      </c>
      <c r="G4179" s="64"/>
      <c r="H4179" s="64"/>
      <c r="I4179" s="64">
        <v>0</v>
      </c>
      <c r="N4179" s="4">
        <v>0</v>
      </c>
      <c r="O4179" s="58">
        <v>0</v>
      </c>
      <c r="P4179" s="58">
        <v>0</v>
      </c>
      <c r="Q4179" s="58">
        <v>0</v>
      </c>
      <c r="R4179" s="58">
        <v>0</v>
      </c>
      <c r="S4179" s="58">
        <v>0</v>
      </c>
      <c r="T4179" s="58">
        <v>0</v>
      </c>
      <c r="U4179" s="58">
        <v>0</v>
      </c>
      <c r="V4179" s="58">
        <v>0</v>
      </c>
      <c r="AG4179" t="s">
        <v>3885</v>
      </c>
      <c r="AM4179" s="1"/>
    </row>
    <row r="4180" spans="1:39" x14ac:dyDescent="0.35">
      <c r="A4180">
        <v>4176</v>
      </c>
      <c r="B4180">
        <v>4177</v>
      </c>
      <c r="F4180" s="64"/>
      <c r="G4180" s="64"/>
      <c r="H4180" s="64" t="s">
        <v>26</v>
      </c>
      <c r="I4180" s="64"/>
      <c r="N4180" s="4"/>
      <c r="AG4180" t="s">
        <v>3886</v>
      </c>
      <c r="AM4180" s="1"/>
    </row>
    <row r="4181" spans="1:39" x14ac:dyDescent="0.35">
      <c r="A4181">
        <v>4177</v>
      </c>
      <c r="B4181">
        <v>4178</v>
      </c>
      <c r="F4181" s="64"/>
      <c r="G4181" s="64"/>
      <c r="H4181" s="64" t="s">
        <v>26</v>
      </c>
      <c r="I4181" s="64"/>
      <c r="N4181" s="4"/>
      <c r="AG4181" t="s">
        <v>3887</v>
      </c>
      <c r="AM4181" s="1"/>
    </row>
    <row r="4182" spans="1:39" x14ac:dyDescent="0.35">
      <c r="A4182">
        <v>4178</v>
      </c>
      <c r="B4182">
        <v>4179</v>
      </c>
      <c r="F4182" s="64"/>
      <c r="G4182" s="64"/>
      <c r="H4182" s="64" t="s">
        <v>26</v>
      </c>
      <c r="I4182" s="64"/>
      <c r="N4182" s="4"/>
      <c r="AG4182" t="s">
        <v>3888</v>
      </c>
      <c r="AM4182" s="1"/>
    </row>
    <row r="4183" spans="1:39" x14ac:dyDescent="0.35">
      <c r="A4183">
        <v>4179</v>
      </c>
      <c r="B4183">
        <v>4180</v>
      </c>
      <c r="F4183" s="64"/>
      <c r="G4183" s="64"/>
      <c r="H4183" s="64" t="s">
        <v>26</v>
      </c>
      <c r="I4183" s="64"/>
      <c r="N4183" s="4"/>
      <c r="AG4183" t="s">
        <v>3889</v>
      </c>
      <c r="AM4183" s="1" t="str">
        <f t="shared" ref="AM4183:AM4214" si="212">HYPERLINK("E:\CAFNEC_GBRF\2023\JohnstoneRiver\Frames_for_Analysis\" &amp; F4184, F4184)</f>
        <v>4181_C0005_1676.jpg</v>
      </c>
    </row>
    <row r="4184" spans="1:39" x14ac:dyDescent="0.35">
      <c r="A4184">
        <v>4180</v>
      </c>
      <c r="B4184">
        <v>4181</v>
      </c>
      <c r="F4184" s="64" t="s">
        <v>6491</v>
      </c>
      <c r="G4184" s="64"/>
      <c r="H4184" s="64"/>
      <c r="I4184" s="64">
        <v>0</v>
      </c>
      <c r="N4184" s="4">
        <v>0</v>
      </c>
      <c r="O4184" s="58">
        <v>0</v>
      </c>
      <c r="P4184" s="58">
        <v>0</v>
      </c>
      <c r="Q4184" s="58">
        <v>0</v>
      </c>
      <c r="R4184" s="58">
        <v>0</v>
      </c>
      <c r="S4184" s="58">
        <v>0</v>
      </c>
      <c r="T4184" s="58">
        <v>0</v>
      </c>
      <c r="U4184" s="58">
        <v>0</v>
      </c>
      <c r="V4184" s="58">
        <v>0</v>
      </c>
      <c r="AG4184" t="s">
        <v>3890</v>
      </c>
      <c r="AM4184" s="1" t="str">
        <f t="shared" si="212"/>
        <v>4182_C0005_1674.jpg</v>
      </c>
    </row>
    <row r="4185" spans="1:39" x14ac:dyDescent="0.35">
      <c r="A4185">
        <v>4181</v>
      </c>
      <c r="B4185">
        <v>4182</v>
      </c>
      <c r="F4185" s="64" t="s">
        <v>6492</v>
      </c>
      <c r="G4185" s="64"/>
      <c r="H4185" s="64"/>
      <c r="I4185" s="64">
        <v>0</v>
      </c>
      <c r="N4185" s="4">
        <v>0</v>
      </c>
      <c r="O4185" s="58">
        <v>0</v>
      </c>
      <c r="P4185" s="58">
        <v>0</v>
      </c>
      <c r="Q4185" s="58">
        <v>0</v>
      </c>
      <c r="R4185" s="58">
        <v>0</v>
      </c>
      <c r="S4185" s="58">
        <v>0</v>
      </c>
      <c r="T4185" s="58">
        <v>0</v>
      </c>
      <c r="U4185" s="58">
        <v>0</v>
      </c>
      <c r="V4185" s="58">
        <v>0</v>
      </c>
      <c r="AG4185" t="s">
        <v>3891</v>
      </c>
      <c r="AM4185" s="1" t="str">
        <f t="shared" si="212"/>
        <v>4183_C0005_1670.jpg</v>
      </c>
    </row>
    <row r="4186" spans="1:39" x14ac:dyDescent="0.35">
      <c r="A4186">
        <v>4182</v>
      </c>
      <c r="B4186">
        <v>4183</v>
      </c>
      <c r="F4186" s="64" t="s">
        <v>6493</v>
      </c>
      <c r="G4186" s="64"/>
      <c r="H4186" s="64"/>
      <c r="I4186" s="64">
        <v>0</v>
      </c>
      <c r="N4186" s="4">
        <v>0</v>
      </c>
      <c r="O4186" s="58">
        <v>0</v>
      </c>
      <c r="P4186" s="58">
        <v>0</v>
      </c>
      <c r="Q4186" s="58">
        <v>0</v>
      </c>
      <c r="R4186" s="58">
        <v>0</v>
      </c>
      <c r="S4186" s="58">
        <v>0</v>
      </c>
      <c r="T4186" s="58">
        <v>0</v>
      </c>
      <c r="U4186" s="58">
        <v>0</v>
      </c>
      <c r="V4186" s="58">
        <v>0</v>
      </c>
      <c r="AG4186" t="s">
        <v>3892</v>
      </c>
      <c r="AM4186" s="1" t="str">
        <f t="shared" si="212"/>
        <v>4184_C0005_1667.jpg</v>
      </c>
    </row>
    <row r="4187" spans="1:39" x14ac:dyDescent="0.35">
      <c r="A4187">
        <v>4183</v>
      </c>
      <c r="B4187">
        <v>4184</v>
      </c>
      <c r="F4187" s="64" t="s">
        <v>6494</v>
      </c>
      <c r="G4187" s="64"/>
      <c r="H4187" s="64"/>
      <c r="I4187" s="64">
        <v>0</v>
      </c>
      <c r="N4187" s="4">
        <v>0</v>
      </c>
      <c r="O4187" s="58">
        <v>0</v>
      </c>
      <c r="P4187" s="58">
        <v>0</v>
      </c>
      <c r="Q4187" s="58">
        <v>0</v>
      </c>
      <c r="R4187" s="58">
        <v>0</v>
      </c>
      <c r="S4187" s="58">
        <v>0</v>
      </c>
      <c r="T4187" s="58">
        <v>0</v>
      </c>
      <c r="U4187" s="58">
        <v>0</v>
      </c>
      <c r="V4187" s="58">
        <v>0</v>
      </c>
      <c r="AG4187" t="s">
        <v>3893</v>
      </c>
      <c r="AM4187" s="1" t="str">
        <f t="shared" si="212"/>
        <v>4185_C0005_1664.jpg</v>
      </c>
    </row>
    <row r="4188" spans="1:39" x14ac:dyDescent="0.35">
      <c r="A4188">
        <v>4184</v>
      </c>
      <c r="B4188">
        <v>4185</v>
      </c>
      <c r="F4188" s="64" t="s">
        <v>6495</v>
      </c>
      <c r="G4188" s="64"/>
      <c r="H4188" s="64"/>
      <c r="I4188" s="64">
        <v>0</v>
      </c>
      <c r="N4188" s="4">
        <v>0</v>
      </c>
      <c r="O4188" s="58">
        <v>0</v>
      </c>
      <c r="P4188" s="58">
        <v>0</v>
      </c>
      <c r="Q4188" s="58">
        <v>0</v>
      </c>
      <c r="R4188" s="58">
        <v>0</v>
      </c>
      <c r="S4188" s="58">
        <v>0</v>
      </c>
      <c r="T4188" s="58">
        <v>0</v>
      </c>
      <c r="U4188" s="58">
        <v>0</v>
      </c>
      <c r="V4188" s="58">
        <v>0</v>
      </c>
      <c r="AG4188" t="s">
        <v>3894</v>
      </c>
      <c r="AM4188" s="1" t="str">
        <f t="shared" si="212"/>
        <v>4186_C0005_1662.jpg</v>
      </c>
    </row>
    <row r="4189" spans="1:39" x14ac:dyDescent="0.35">
      <c r="A4189">
        <v>4185</v>
      </c>
      <c r="B4189">
        <v>4186</v>
      </c>
      <c r="F4189" s="64" t="s">
        <v>6496</v>
      </c>
      <c r="G4189" s="64"/>
      <c r="H4189" s="64"/>
      <c r="I4189" s="64">
        <v>0</v>
      </c>
      <c r="N4189" s="4">
        <v>0</v>
      </c>
      <c r="O4189" s="58">
        <v>0</v>
      </c>
      <c r="P4189" s="58">
        <v>0</v>
      </c>
      <c r="Q4189" s="58">
        <v>0</v>
      </c>
      <c r="R4189" s="58">
        <v>0</v>
      </c>
      <c r="S4189" s="58">
        <v>0</v>
      </c>
      <c r="T4189" s="58">
        <v>0</v>
      </c>
      <c r="U4189" s="58">
        <v>0</v>
      </c>
      <c r="V4189" s="58">
        <v>0</v>
      </c>
      <c r="AG4189" t="s">
        <v>3895</v>
      </c>
      <c r="AM4189" s="1" t="str">
        <f t="shared" si="212"/>
        <v>4187_C0005_1659.jpg</v>
      </c>
    </row>
    <row r="4190" spans="1:39" x14ac:dyDescent="0.35">
      <c r="A4190">
        <v>4186</v>
      </c>
      <c r="B4190">
        <v>4187</v>
      </c>
      <c r="F4190" s="64" t="s">
        <v>6497</v>
      </c>
      <c r="G4190" s="64"/>
      <c r="H4190" s="64"/>
      <c r="I4190" s="64">
        <v>0</v>
      </c>
      <c r="N4190" s="4">
        <v>0</v>
      </c>
      <c r="O4190" s="58">
        <v>0</v>
      </c>
      <c r="P4190" s="58">
        <v>0</v>
      </c>
      <c r="Q4190" s="58">
        <v>0</v>
      </c>
      <c r="R4190" s="58">
        <v>0</v>
      </c>
      <c r="S4190" s="58">
        <v>0</v>
      </c>
      <c r="T4190" s="58">
        <v>0</v>
      </c>
      <c r="U4190" s="58">
        <v>0</v>
      </c>
      <c r="V4190" s="58">
        <v>0</v>
      </c>
      <c r="AG4190" t="s">
        <v>3896</v>
      </c>
      <c r="AM4190" s="1" t="str">
        <f t="shared" si="212"/>
        <v>4188_C0005_1655.jpg</v>
      </c>
    </row>
    <row r="4191" spans="1:39" x14ac:dyDescent="0.35">
      <c r="A4191">
        <v>4187</v>
      </c>
      <c r="B4191">
        <v>4188</v>
      </c>
      <c r="F4191" s="64" t="s">
        <v>6498</v>
      </c>
      <c r="G4191" s="64"/>
      <c r="H4191" s="64"/>
      <c r="I4191" s="64">
        <v>0</v>
      </c>
      <c r="N4191" s="4">
        <v>0</v>
      </c>
      <c r="O4191" s="58">
        <v>0</v>
      </c>
      <c r="P4191" s="58">
        <v>0</v>
      </c>
      <c r="Q4191" s="58">
        <v>0</v>
      </c>
      <c r="R4191" s="58">
        <v>0</v>
      </c>
      <c r="S4191" s="58">
        <v>0</v>
      </c>
      <c r="T4191" s="58">
        <v>0</v>
      </c>
      <c r="U4191" s="58">
        <v>0</v>
      </c>
      <c r="V4191" s="58">
        <v>0</v>
      </c>
      <c r="AG4191" t="s">
        <v>3897</v>
      </c>
      <c r="AM4191" s="1" t="str">
        <f t="shared" si="212"/>
        <v>4189_C0005_1650.jpg</v>
      </c>
    </row>
    <row r="4192" spans="1:39" x14ac:dyDescent="0.35">
      <c r="A4192">
        <v>4188</v>
      </c>
      <c r="B4192">
        <v>4189</v>
      </c>
      <c r="F4192" s="64" t="s">
        <v>6499</v>
      </c>
      <c r="G4192" s="64"/>
      <c r="H4192" s="64"/>
      <c r="I4192" s="64">
        <v>0</v>
      </c>
      <c r="N4192" s="4">
        <v>0</v>
      </c>
      <c r="O4192" s="58">
        <v>0</v>
      </c>
      <c r="P4192" s="58">
        <v>0</v>
      </c>
      <c r="Q4192" s="58">
        <v>0</v>
      </c>
      <c r="R4192" s="58">
        <v>0</v>
      </c>
      <c r="S4192" s="58">
        <v>0</v>
      </c>
      <c r="T4192" s="58">
        <v>0</v>
      </c>
      <c r="U4192" s="58">
        <v>0</v>
      </c>
      <c r="V4192" s="58">
        <v>0</v>
      </c>
      <c r="AG4192" t="s">
        <v>3898</v>
      </c>
      <c r="AM4192" s="1" t="str">
        <f t="shared" si="212"/>
        <v>4190_C0005_1647.jpg</v>
      </c>
    </row>
    <row r="4193" spans="1:39" x14ac:dyDescent="0.35">
      <c r="A4193">
        <v>4189</v>
      </c>
      <c r="B4193">
        <v>4190</v>
      </c>
      <c r="F4193" s="64" t="s">
        <v>6500</v>
      </c>
      <c r="G4193" s="64"/>
      <c r="H4193" s="64"/>
      <c r="I4193" s="64">
        <v>0</v>
      </c>
      <c r="N4193" s="4">
        <v>0</v>
      </c>
      <c r="O4193" s="58">
        <v>0</v>
      </c>
      <c r="P4193" s="58">
        <v>0</v>
      </c>
      <c r="Q4193" s="58">
        <v>0</v>
      </c>
      <c r="R4193" s="58">
        <v>0</v>
      </c>
      <c r="S4193" s="58">
        <v>0</v>
      </c>
      <c r="T4193" s="58">
        <v>0</v>
      </c>
      <c r="U4193" s="58">
        <v>0</v>
      </c>
      <c r="V4193" s="58">
        <v>0</v>
      </c>
      <c r="AG4193" t="s">
        <v>3899</v>
      </c>
      <c r="AM4193" s="1" t="str">
        <f t="shared" si="212"/>
        <v>4191_C0005_1641.jpg</v>
      </c>
    </row>
    <row r="4194" spans="1:39" x14ac:dyDescent="0.35">
      <c r="A4194">
        <v>4190</v>
      </c>
      <c r="B4194">
        <v>4191</v>
      </c>
      <c r="F4194" s="64" t="s">
        <v>6501</v>
      </c>
      <c r="G4194" s="64"/>
      <c r="H4194" s="64"/>
      <c r="I4194" s="64">
        <v>0</v>
      </c>
      <c r="N4194" s="4">
        <v>0</v>
      </c>
      <c r="O4194" s="58">
        <v>0</v>
      </c>
      <c r="P4194" s="58">
        <v>0</v>
      </c>
      <c r="Q4194" s="58">
        <v>0</v>
      </c>
      <c r="R4194" s="58">
        <v>0</v>
      </c>
      <c r="S4194" s="58">
        <v>0</v>
      </c>
      <c r="T4194" s="58">
        <v>0</v>
      </c>
      <c r="U4194" s="58">
        <v>0</v>
      </c>
      <c r="V4194" s="58">
        <v>0</v>
      </c>
      <c r="AG4194" t="s">
        <v>3900</v>
      </c>
      <c r="AM4194" s="1" t="str">
        <f t="shared" si="212"/>
        <v>4192_C0005_1638.jpg</v>
      </c>
    </row>
    <row r="4195" spans="1:39" x14ac:dyDescent="0.35">
      <c r="A4195">
        <v>4191</v>
      </c>
      <c r="B4195">
        <v>4192</v>
      </c>
      <c r="F4195" s="64" t="s">
        <v>6502</v>
      </c>
      <c r="G4195" s="64"/>
      <c r="H4195" s="64"/>
      <c r="I4195" s="64">
        <v>0</v>
      </c>
      <c r="N4195" s="4">
        <v>0</v>
      </c>
      <c r="O4195" s="58">
        <v>0</v>
      </c>
      <c r="P4195" s="58">
        <v>0</v>
      </c>
      <c r="Q4195" s="58">
        <v>0</v>
      </c>
      <c r="R4195" s="58">
        <v>0</v>
      </c>
      <c r="S4195" s="58">
        <v>0</v>
      </c>
      <c r="T4195" s="58">
        <v>0</v>
      </c>
      <c r="U4195" s="58">
        <v>0</v>
      </c>
      <c r="V4195" s="58">
        <v>0</v>
      </c>
      <c r="AG4195" t="s">
        <v>3901</v>
      </c>
      <c r="AM4195" s="1" t="str">
        <f t="shared" si="212"/>
        <v>4193_C0005_1634.jpg</v>
      </c>
    </row>
    <row r="4196" spans="1:39" x14ac:dyDescent="0.35">
      <c r="A4196">
        <v>4192</v>
      </c>
      <c r="B4196">
        <v>4193</v>
      </c>
      <c r="F4196" s="64" t="s">
        <v>6503</v>
      </c>
      <c r="G4196" s="64"/>
      <c r="H4196" s="64"/>
      <c r="I4196" s="64">
        <v>0</v>
      </c>
      <c r="N4196" s="4">
        <v>0</v>
      </c>
      <c r="O4196" s="58">
        <v>0</v>
      </c>
      <c r="P4196" s="58">
        <v>0</v>
      </c>
      <c r="Q4196" s="58">
        <v>0</v>
      </c>
      <c r="R4196" s="58">
        <v>0</v>
      </c>
      <c r="S4196" s="58">
        <v>0</v>
      </c>
      <c r="T4196" s="58">
        <v>0</v>
      </c>
      <c r="U4196" s="58">
        <v>0</v>
      </c>
      <c r="V4196" s="58">
        <v>0</v>
      </c>
      <c r="AG4196" t="s">
        <v>3902</v>
      </c>
      <c r="AM4196" s="1" t="str">
        <f t="shared" si="212"/>
        <v>4194_C0005_1631.jpg</v>
      </c>
    </row>
    <row r="4197" spans="1:39" x14ac:dyDescent="0.35">
      <c r="A4197">
        <v>4193</v>
      </c>
      <c r="B4197">
        <v>4194</v>
      </c>
      <c r="F4197" s="64" t="s">
        <v>6504</v>
      </c>
      <c r="G4197" s="64"/>
      <c r="H4197" s="64"/>
      <c r="I4197" s="64">
        <v>0</v>
      </c>
      <c r="N4197" s="4">
        <v>0</v>
      </c>
      <c r="O4197" s="58">
        <v>0</v>
      </c>
      <c r="P4197" s="58">
        <v>0</v>
      </c>
      <c r="Q4197" s="58">
        <v>0</v>
      </c>
      <c r="R4197" s="58">
        <v>0</v>
      </c>
      <c r="S4197" s="58">
        <v>0</v>
      </c>
      <c r="T4197" s="58">
        <v>0</v>
      </c>
      <c r="U4197" s="58">
        <v>0</v>
      </c>
      <c r="V4197" s="58">
        <v>0</v>
      </c>
      <c r="AG4197" t="s">
        <v>3903</v>
      </c>
      <c r="AM4197" s="1" t="str">
        <f t="shared" si="212"/>
        <v>4195_C0005_1627.jpg</v>
      </c>
    </row>
    <row r="4198" spans="1:39" x14ac:dyDescent="0.35">
      <c r="A4198">
        <v>4194</v>
      </c>
      <c r="B4198">
        <v>4195</v>
      </c>
      <c r="F4198" s="64" t="s">
        <v>6505</v>
      </c>
      <c r="G4198" s="64"/>
      <c r="H4198" s="64"/>
      <c r="I4198" s="64">
        <v>0</v>
      </c>
      <c r="N4198" s="4">
        <v>0</v>
      </c>
      <c r="O4198" s="58">
        <v>0</v>
      </c>
      <c r="P4198" s="58">
        <v>0</v>
      </c>
      <c r="Q4198" s="58">
        <v>0</v>
      </c>
      <c r="R4198" s="58">
        <v>0</v>
      </c>
      <c r="S4198" s="58">
        <v>0</v>
      </c>
      <c r="T4198" s="58">
        <v>0</v>
      </c>
      <c r="U4198" s="58">
        <v>0</v>
      </c>
      <c r="V4198" s="58">
        <v>0</v>
      </c>
      <c r="AG4198" t="s">
        <v>3904</v>
      </c>
      <c r="AM4198" s="1" t="str">
        <f t="shared" si="212"/>
        <v>4196_C0005_1622.jpg</v>
      </c>
    </row>
    <row r="4199" spans="1:39" x14ac:dyDescent="0.35">
      <c r="A4199">
        <v>4195</v>
      </c>
      <c r="B4199">
        <v>4196</v>
      </c>
      <c r="F4199" s="64" t="s">
        <v>6506</v>
      </c>
      <c r="G4199" s="64"/>
      <c r="H4199" s="64"/>
      <c r="I4199" s="64">
        <v>0</v>
      </c>
      <c r="N4199" s="4">
        <v>0</v>
      </c>
      <c r="O4199" s="58">
        <v>0</v>
      </c>
      <c r="P4199" s="58">
        <v>0</v>
      </c>
      <c r="Q4199" s="58">
        <v>0</v>
      </c>
      <c r="R4199" s="58">
        <v>0</v>
      </c>
      <c r="S4199" s="58">
        <v>0</v>
      </c>
      <c r="T4199" s="58">
        <v>0</v>
      </c>
      <c r="U4199" s="58">
        <v>0</v>
      </c>
      <c r="V4199" s="58">
        <v>0</v>
      </c>
      <c r="AG4199" t="s">
        <v>3905</v>
      </c>
      <c r="AM4199" s="1" t="str">
        <f t="shared" si="212"/>
        <v>4197_C0005_1618.jpg</v>
      </c>
    </row>
    <row r="4200" spans="1:39" x14ac:dyDescent="0.35">
      <c r="A4200">
        <v>4196</v>
      </c>
      <c r="B4200">
        <v>4197</v>
      </c>
      <c r="F4200" s="64" t="s">
        <v>6507</v>
      </c>
      <c r="G4200" s="64"/>
      <c r="H4200" s="64"/>
      <c r="I4200" s="64">
        <v>0</v>
      </c>
      <c r="N4200" s="4">
        <v>0</v>
      </c>
      <c r="O4200" s="58">
        <v>0</v>
      </c>
      <c r="P4200" s="58">
        <v>0</v>
      </c>
      <c r="Q4200" s="58">
        <v>0</v>
      </c>
      <c r="R4200" s="58">
        <v>0</v>
      </c>
      <c r="S4200" s="58">
        <v>0</v>
      </c>
      <c r="T4200" s="58">
        <v>0</v>
      </c>
      <c r="U4200" s="58">
        <v>0</v>
      </c>
      <c r="V4200" s="58">
        <v>0</v>
      </c>
      <c r="AG4200" t="s">
        <v>3906</v>
      </c>
      <c r="AM4200" s="1" t="str">
        <f t="shared" si="212"/>
        <v>4198_C0005_1612.jpg</v>
      </c>
    </row>
    <row r="4201" spans="1:39" x14ac:dyDescent="0.35">
      <c r="A4201">
        <v>4197</v>
      </c>
      <c r="B4201">
        <v>4198</v>
      </c>
      <c r="F4201" s="64" t="s">
        <v>6508</v>
      </c>
      <c r="G4201" s="64"/>
      <c r="H4201" s="64"/>
      <c r="I4201" s="64">
        <v>0</v>
      </c>
      <c r="N4201" s="4">
        <v>0</v>
      </c>
      <c r="O4201" s="58">
        <v>0</v>
      </c>
      <c r="P4201" s="58">
        <v>0</v>
      </c>
      <c r="Q4201" s="58">
        <v>0</v>
      </c>
      <c r="R4201" s="58">
        <v>0</v>
      </c>
      <c r="S4201" s="58">
        <v>0</v>
      </c>
      <c r="T4201" s="58">
        <v>0</v>
      </c>
      <c r="U4201" s="58">
        <v>0</v>
      </c>
      <c r="V4201" s="58">
        <v>0</v>
      </c>
      <c r="AG4201" t="s">
        <v>3907</v>
      </c>
      <c r="AM4201" s="1" t="str">
        <f t="shared" si="212"/>
        <v>4199_C0005_1608.jpg</v>
      </c>
    </row>
    <row r="4202" spans="1:39" x14ac:dyDescent="0.35">
      <c r="A4202">
        <v>4198</v>
      </c>
      <c r="B4202">
        <v>4199</v>
      </c>
      <c r="F4202" s="64" t="s">
        <v>6509</v>
      </c>
      <c r="G4202" s="64"/>
      <c r="H4202" s="64"/>
      <c r="I4202" s="64">
        <v>0</v>
      </c>
      <c r="N4202" s="4">
        <v>0</v>
      </c>
      <c r="O4202" s="58">
        <v>0</v>
      </c>
      <c r="P4202" s="58">
        <v>0</v>
      </c>
      <c r="Q4202" s="58">
        <v>0</v>
      </c>
      <c r="R4202" s="58">
        <v>0</v>
      </c>
      <c r="S4202" s="58">
        <v>0</v>
      </c>
      <c r="T4202" s="58">
        <v>0</v>
      </c>
      <c r="U4202" s="58">
        <v>0</v>
      </c>
      <c r="V4202" s="58">
        <v>0</v>
      </c>
      <c r="AG4202" t="s">
        <v>3908</v>
      </c>
      <c r="AM4202" s="1" t="str">
        <f t="shared" si="212"/>
        <v>4200_C0005_1604.jpg</v>
      </c>
    </row>
    <row r="4203" spans="1:39" x14ac:dyDescent="0.35">
      <c r="A4203">
        <v>4199</v>
      </c>
      <c r="B4203">
        <v>4200</v>
      </c>
      <c r="F4203" s="64" t="s">
        <v>6510</v>
      </c>
      <c r="G4203" s="64"/>
      <c r="H4203" s="64"/>
      <c r="I4203" s="64">
        <v>0</v>
      </c>
      <c r="N4203" s="4">
        <v>0</v>
      </c>
      <c r="O4203" s="58">
        <v>0</v>
      </c>
      <c r="P4203" s="58">
        <v>0</v>
      </c>
      <c r="Q4203" s="58">
        <v>0</v>
      </c>
      <c r="R4203" s="58">
        <v>0</v>
      </c>
      <c r="S4203" s="58">
        <v>0</v>
      </c>
      <c r="T4203" s="58">
        <v>0</v>
      </c>
      <c r="U4203" s="58">
        <v>0</v>
      </c>
      <c r="V4203" s="58">
        <v>0</v>
      </c>
      <c r="AG4203" t="s">
        <v>3909</v>
      </c>
      <c r="AM4203" s="1" t="str">
        <f t="shared" si="212"/>
        <v>4201_C0005_1600.jpg</v>
      </c>
    </row>
    <row r="4204" spans="1:39" x14ac:dyDescent="0.35">
      <c r="A4204">
        <v>4200</v>
      </c>
      <c r="B4204">
        <v>4201</v>
      </c>
      <c r="F4204" s="64" t="s">
        <v>6511</v>
      </c>
      <c r="G4204" s="64"/>
      <c r="H4204" s="64"/>
      <c r="I4204" s="64">
        <v>0</v>
      </c>
      <c r="N4204" s="4">
        <v>0</v>
      </c>
      <c r="O4204" s="58">
        <v>0</v>
      </c>
      <c r="P4204" s="58">
        <v>0</v>
      </c>
      <c r="Q4204" s="58">
        <v>0</v>
      </c>
      <c r="R4204" s="58">
        <v>0</v>
      </c>
      <c r="S4204" s="58">
        <v>0</v>
      </c>
      <c r="T4204" s="58">
        <v>0</v>
      </c>
      <c r="U4204" s="58">
        <v>0</v>
      </c>
      <c r="V4204" s="58">
        <v>0</v>
      </c>
      <c r="AG4204" t="s">
        <v>3910</v>
      </c>
      <c r="AM4204" s="1" t="str">
        <f t="shared" si="212"/>
        <v>4202_C0005_1595.jpg</v>
      </c>
    </row>
    <row r="4205" spans="1:39" x14ac:dyDescent="0.35">
      <c r="A4205">
        <v>4201</v>
      </c>
      <c r="B4205">
        <v>4202</v>
      </c>
      <c r="F4205" s="64" t="s">
        <v>6512</v>
      </c>
      <c r="G4205" s="64"/>
      <c r="H4205" s="64"/>
      <c r="I4205" s="64">
        <v>0</v>
      </c>
      <c r="N4205" s="4">
        <v>0</v>
      </c>
      <c r="O4205" s="58">
        <v>0</v>
      </c>
      <c r="P4205" s="58">
        <v>0</v>
      </c>
      <c r="Q4205" s="58">
        <v>0</v>
      </c>
      <c r="R4205" s="58">
        <v>0</v>
      </c>
      <c r="S4205" s="58">
        <v>0</v>
      </c>
      <c r="T4205" s="58">
        <v>0</v>
      </c>
      <c r="U4205" s="58">
        <v>0</v>
      </c>
      <c r="V4205" s="58">
        <v>0</v>
      </c>
      <c r="AG4205" t="s">
        <v>3911</v>
      </c>
      <c r="AM4205" s="1" t="str">
        <f t="shared" si="212"/>
        <v>4203_C0005_1592.jpg</v>
      </c>
    </row>
    <row r="4206" spans="1:39" x14ac:dyDescent="0.35">
      <c r="A4206">
        <v>4202</v>
      </c>
      <c r="B4206">
        <v>4203</v>
      </c>
      <c r="F4206" s="64" t="s">
        <v>6513</v>
      </c>
      <c r="G4206" s="64"/>
      <c r="H4206" s="64"/>
      <c r="I4206" s="64">
        <v>0</v>
      </c>
      <c r="N4206" s="4">
        <v>0</v>
      </c>
      <c r="O4206" s="58">
        <v>0</v>
      </c>
      <c r="P4206" s="58">
        <v>0</v>
      </c>
      <c r="Q4206" s="58">
        <v>0</v>
      </c>
      <c r="R4206" s="58">
        <v>0</v>
      </c>
      <c r="S4206" s="58">
        <v>0</v>
      </c>
      <c r="T4206" s="58">
        <v>0</v>
      </c>
      <c r="U4206" s="58">
        <v>0</v>
      </c>
      <c r="V4206" s="58">
        <v>0</v>
      </c>
      <c r="AG4206" t="s">
        <v>3912</v>
      </c>
      <c r="AM4206" s="1" t="str">
        <f t="shared" si="212"/>
        <v>4204_C0005_1588.jpg</v>
      </c>
    </row>
    <row r="4207" spans="1:39" x14ac:dyDescent="0.35">
      <c r="A4207">
        <v>4203</v>
      </c>
      <c r="B4207">
        <v>4204</v>
      </c>
      <c r="F4207" s="64" t="s">
        <v>6514</v>
      </c>
      <c r="G4207" s="64"/>
      <c r="H4207" s="64"/>
      <c r="I4207" s="64">
        <v>0</v>
      </c>
      <c r="N4207" s="4">
        <v>0</v>
      </c>
      <c r="O4207" s="58">
        <v>0</v>
      </c>
      <c r="P4207" s="58">
        <v>0</v>
      </c>
      <c r="Q4207" s="58">
        <v>0</v>
      </c>
      <c r="R4207" s="58">
        <v>0</v>
      </c>
      <c r="S4207" s="58">
        <v>0</v>
      </c>
      <c r="T4207" s="58">
        <v>0</v>
      </c>
      <c r="U4207" s="58">
        <v>0</v>
      </c>
      <c r="V4207" s="58">
        <v>0</v>
      </c>
      <c r="AG4207" t="s">
        <v>3913</v>
      </c>
      <c r="AM4207" s="1" t="str">
        <f t="shared" si="212"/>
        <v>4205_C0005_1584.jpg</v>
      </c>
    </row>
    <row r="4208" spans="1:39" x14ac:dyDescent="0.35">
      <c r="A4208">
        <v>4204</v>
      </c>
      <c r="B4208">
        <v>4205</v>
      </c>
      <c r="F4208" s="64" t="s">
        <v>6515</v>
      </c>
      <c r="G4208" s="64"/>
      <c r="H4208" s="64"/>
      <c r="I4208" s="64">
        <v>0</v>
      </c>
      <c r="N4208" s="4">
        <v>0</v>
      </c>
      <c r="O4208" s="58">
        <v>0</v>
      </c>
      <c r="P4208" s="58">
        <v>0</v>
      </c>
      <c r="Q4208" s="58">
        <v>0</v>
      </c>
      <c r="R4208" s="58">
        <v>0</v>
      </c>
      <c r="S4208" s="58">
        <v>0</v>
      </c>
      <c r="T4208" s="58">
        <v>0</v>
      </c>
      <c r="U4208" s="58">
        <v>0</v>
      </c>
      <c r="V4208" s="58">
        <v>0</v>
      </c>
      <c r="AG4208" t="s">
        <v>3914</v>
      </c>
      <c r="AM4208" s="1" t="str">
        <f t="shared" si="212"/>
        <v>4206_C0005_1580.jpg</v>
      </c>
    </row>
    <row r="4209" spans="1:39" x14ac:dyDescent="0.35">
      <c r="A4209">
        <v>4205</v>
      </c>
      <c r="B4209">
        <v>4206</v>
      </c>
      <c r="F4209" s="64" t="s">
        <v>6516</v>
      </c>
      <c r="G4209" s="64"/>
      <c r="H4209" s="64"/>
      <c r="I4209" s="64">
        <v>0</v>
      </c>
      <c r="N4209" s="4">
        <v>0</v>
      </c>
      <c r="O4209" s="58">
        <v>0</v>
      </c>
      <c r="P4209" s="58">
        <v>0</v>
      </c>
      <c r="Q4209" s="58">
        <v>0</v>
      </c>
      <c r="R4209" s="58">
        <v>0</v>
      </c>
      <c r="S4209" s="58">
        <v>0</v>
      </c>
      <c r="T4209" s="58">
        <v>0</v>
      </c>
      <c r="U4209" s="58">
        <v>0</v>
      </c>
      <c r="V4209" s="58">
        <v>0</v>
      </c>
      <c r="AG4209" t="s">
        <v>3915</v>
      </c>
      <c r="AM4209" s="1" t="str">
        <f t="shared" si="212"/>
        <v>4207_C0005_1575.jpg</v>
      </c>
    </row>
    <row r="4210" spans="1:39" x14ac:dyDescent="0.35">
      <c r="A4210">
        <v>4206</v>
      </c>
      <c r="B4210">
        <v>4207</v>
      </c>
      <c r="F4210" s="64" t="s">
        <v>6517</v>
      </c>
      <c r="G4210" s="64"/>
      <c r="H4210" s="64"/>
      <c r="I4210" s="64">
        <v>0</v>
      </c>
      <c r="N4210" s="4">
        <v>0</v>
      </c>
      <c r="O4210" s="58">
        <v>0</v>
      </c>
      <c r="P4210" s="58">
        <v>0</v>
      </c>
      <c r="Q4210" s="58">
        <v>0</v>
      </c>
      <c r="R4210" s="58">
        <v>0</v>
      </c>
      <c r="S4210" s="58">
        <v>0</v>
      </c>
      <c r="T4210" s="58">
        <v>0</v>
      </c>
      <c r="U4210" s="58">
        <v>0</v>
      </c>
      <c r="V4210" s="58">
        <v>0</v>
      </c>
      <c r="AG4210" t="s">
        <v>3916</v>
      </c>
      <c r="AM4210" s="1" t="str">
        <f t="shared" si="212"/>
        <v>4208_C0005_1571.jpg</v>
      </c>
    </row>
    <row r="4211" spans="1:39" x14ac:dyDescent="0.35">
      <c r="A4211">
        <v>4207</v>
      </c>
      <c r="B4211">
        <v>4208</v>
      </c>
      <c r="F4211" s="64" t="s">
        <v>6518</v>
      </c>
      <c r="G4211" s="64"/>
      <c r="H4211" s="64"/>
      <c r="I4211" s="64">
        <v>0</v>
      </c>
      <c r="N4211" s="4">
        <v>0</v>
      </c>
      <c r="O4211" s="58">
        <v>0</v>
      </c>
      <c r="P4211" s="58">
        <v>0</v>
      </c>
      <c r="Q4211" s="58">
        <v>0</v>
      </c>
      <c r="R4211" s="58">
        <v>0</v>
      </c>
      <c r="S4211" s="58">
        <v>0</v>
      </c>
      <c r="T4211" s="58">
        <v>0</v>
      </c>
      <c r="U4211" s="58">
        <v>0</v>
      </c>
      <c r="V4211" s="58">
        <v>0</v>
      </c>
      <c r="AG4211" t="s">
        <v>3917</v>
      </c>
      <c r="AM4211" s="1" t="str">
        <f t="shared" si="212"/>
        <v>4209_C0005_1567.jpg</v>
      </c>
    </row>
    <row r="4212" spans="1:39" x14ac:dyDescent="0.35">
      <c r="A4212">
        <v>4208</v>
      </c>
      <c r="B4212">
        <v>4209</v>
      </c>
      <c r="F4212" s="64" t="s">
        <v>6519</v>
      </c>
      <c r="G4212" s="64"/>
      <c r="H4212" s="64"/>
      <c r="I4212" s="64">
        <v>0</v>
      </c>
      <c r="N4212" s="4">
        <v>0</v>
      </c>
      <c r="O4212" s="58">
        <v>0</v>
      </c>
      <c r="P4212" s="58">
        <v>0</v>
      </c>
      <c r="Q4212" s="58">
        <v>0</v>
      </c>
      <c r="R4212" s="58">
        <v>0</v>
      </c>
      <c r="S4212" s="58">
        <v>0</v>
      </c>
      <c r="T4212" s="58">
        <v>0</v>
      </c>
      <c r="U4212" s="58">
        <v>0</v>
      </c>
      <c r="V4212" s="58">
        <v>0</v>
      </c>
      <c r="AG4212" t="s">
        <v>3918</v>
      </c>
      <c r="AM4212" s="1" t="str">
        <f t="shared" si="212"/>
        <v>4210_C0005_1564.jpg</v>
      </c>
    </row>
    <row r="4213" spans="1:39" x14ac:dyDescent="0.35">
      <c r="A4213">
        <v>4209</v>
      </c>
      <c r="B4213">
        <v>4210</v>
      </c>
      <c r="F4213" s="64" t="s">
        <v>6520</v>
      </c>
      <c r="G4213" s="64"/>
      <c r="H4213" s="64"/>
      <c r="I4213" s="64">
        <v>0</v>
      </c>
      <c r="N4213" s="4">
        <v>0</v>
      </c>
      <c r="O4213" s="58">
        <v>0</v>
      </c>
      <c r="P4213" s="58">
        <v>0</v>
      </c>
      <c r="Q4213" s="58">
        <v>0</v>
      </c>
      <c r="R4213" s="58">
        <v>0</v>
      </c>
      <c r="S4213" s="58">
        <v>0</v>
      </c>
      <c r="T4213" s="58">
        <v>0</v>
      </c>
      <c r="U4213" s="58">
        <v>0</v>
      </c>
      <c r="V4213" s="58">
        <v>0</v>
      </c>
      <c r="AG4213" t="s">
        <v>3919</v>
      </c>
      <c r="AM4213" s="1" t="str">
        <f t="shared" si="212"/>
        <v>4211_C0005_1560.jpg</v>
      </c>
    </row>
    <row r="4214" spans="1:39" x14ac:dyDescent="0.35">
      <c r="A4214">
        <v>4210</v>
      </c>
      <c r="B4214">
        <v>4211</v>
      </c>
      <c r="F4214" s="64" t="s">
        <v>6521</v>
      </c>
      <c r="G4214" s="64"/>
      <c r="H4214" s="64"/>
      <c r="I4214" s="64">
        <v>0</v>
      </c>
      <c r="N4214" s="4">
        <v>0</v>
      </c>
      <c r="O4214" s="58">
        <v>0</v>
      </c>
      <c r="P4214" s="58">
        <v>0</v>
      </c>
      <c r="Q4214" s="58">
        <v>0</v>
      </c>
      <c r="R4214" s="58">
        <v>0</v>
      </c>
      <c r="S4214" s="58">
        <v>0</v>
      </c>
      <c r="T4214" s="58">
        <v>0</v>
      </c>
      <c r="U4214" s="58">
        <v>0</v>
      </c>
      <c r="V4214" s="58">
        <v>0</v>
      </c>
      <c r="AG4214" t="s">
        <v>3920</v>
      </c>
      <c r="AM4214" s="1" t="str">
        <f t="shared" si="212"/>
        <v>4212_C0005_1556.jpg</v>
      </c>
    </row>
    <row r="4215" spans="1:39" x14ac:dyDescent="0.35">
      <c r="A4215">
        <v>4211</v>
      </c>
      <c r="B4215">
        <v>4212</v>
      </c>
      <c r="F4215" s="64" t="s">
        <v>6522</v>
      </c>
      <c r="G4215" s="64"/>
      <c r="H4215" s="64"/>
      <c r="I4215" s="64">
        <v>0</v>
      </c>
      <c r="N4215" s="4">
        <v>0</v>
      </c>
      <c r="O4215" s="58">
        <v>0</v>
      </c>
      <c r="P4215" s="58">
        <v>0</v>
      </c>
      <c r="Q4215" s="58">
        <v>0</v>
      </c>
      <c r="R4215" s="58">
        <v>0</v>
      </c>
      <c r="S4215" s="58">
        <v>0</v>
      </c>
      <c r="T4215" s="58">
        <v>0</v>
      </c>
      <c r="U4215" s="58">
        <v>0</v>
      </c>
      <c r="V4215" s="58">
        <v>0</v>
      </c>
      <c r="AG4215" t="s">
        <v>3921</v>
      </c>
      <c r="AM4215" s="1" t="str">
        <f t="shared" ref="AM4215:AM4246" si="213">HYPERLINK("E:\CAFNEC_GBRF\2023\JohnstoneRiver\Frames_for_Analysis\" &amp; F4216, F4216)</f>
        <v>4213_C0005_1553.jpg</v>
      </c>
    </row>
    <row r="4216" spans="1:39" x14ac:dyDescent="0.35">
      <c r="A4216">
        <v>4212</v>
      </c>
      <c r="B4216">
        <v>4213</v>
      </c>
      <c r="F4216" s="64" t="s">
        <v>6523</v>
      </c>
      <c r="G4216" s="64"/>
      <c r="H4216" s="64"/>
      <c r="I4216" s="64">
        <v>0</v>
      </c>
      <c r="N4216" s="4">
        <v>0</v>
      </c>
      <c r="O4216" s="58">
        <v>0</v>
      </c>
      <c r="P4216" s="58">
        <v>0</v>
      </c>
      <c r="Q4216" s="58">
        <v>0</v>
      </c>
      <c r="R4216" s="58">
        <v>0</v>
      </c>
      <c r="S4216" s="58">
        <v>0</v>
      </c>
      <c r="T4216" s="58">
        <v>0</v>
      </c>
      <c r="U4216" s="58">
        <v>0</v>
      </c>
      <c r="V4216" s="58">
        <v>0</v>
      </c>
      <c r="AG4216" t="s">
        <v>3922</v>
      </c>
      <c r="AM4216" s="1" t="str">
        <f t="shared" si="213"/>
        <v>4214_C0005_1550.jpg</v>
      </c>
    </row>
    <row r="4217" spans="1:39" x14ac:dyDescent="0.35">
      <c r="A4217">
        <v>4213</v>
      </c>
      <c r="B4217">
        <v>4214</v>
      </c>
      <c r="F4217" s="64" t="s">
        <v>6524</v>
      </c>
      <c r="G4217" s="64"/>
      <c r="H4217" s="64"/>
      <c r="I4217" s="64">
        <v>0</v>
      </c>
      <c r="N4217" s="4">
        <v>0</v>
      </c>
      <c r="O4217" s="58">
        <v>0</v>
      </c>
      <c r="P4217" s="58">
        <v>0</v>
      </c>
      <c r="Q4217" s="58">
        <v>0</v>
      </c>
      <c r="R4217" s="58">
        <v>0</v>
      </c>
      <c r="S4217" s="58">
        <v>0</v>
      </c>
      <c r="T4217" s="58">
        <v>0</v>
      </c>
      <c r="U4217" s="58">
        <v>0</v>
      </c>
      <c r="V4217" s="58">
        <v>0</v>
      </c>
      <c r="AG4217" t="s">
        <v>3923</v>
      </c>
      <c r="AM4217" s="1" t="str">
        <f t="shared" si="213"/>
        <v>4215_C0005_1544.jpg</v>
      </c>
    </row>
    <row r="4218" spans="1:39" x14ac:dyDescent="0.35">
      <c r="A4218">
        <v>4214</v>
      </c>
      <c r="B4218">
        <v>4215</v>
      </c>
      <c r="F4218" s="64" t="s">
        <v>6525</v>
      </c>
      <c r="G4218" s="64"/>
      <c r="H4218" s="64"/>
      <c r="I4218" s="64">
        <v>0</v>
      </c>
      <c r="N4218" s="4">
        <v>0</v>
      </c>
      <c r="O4218" s="58">
        <v>0</v>
      </c>
      <c r="P4218" s="58">
        <v>0</v>
      </c>
      <c r="Q4218" s="58">
        <v>0</v>
      </c>
      <c r="R4218" s="58">
        <v>0</v>
      </c>
      <c r="S4218" s="58">
        <v>0</v>
      </c>
      <c r="T4218" s="58">
        <v>0</v>
      </c>
      <c r="U4218" s="58">
        <v>0</v>
      </c>
      <c r="V4218" s="58">
        <v>0</v>
      </c>
      <c r="AG4218" t="s">
        <v>3924</v>
      </c>
      <c r="AM4218" s="1" t="str">
        <f t="shared" si="213"/>
        <v>4216_C0005_1542.jpg</v>
      </c>
    </row>
    <row r="4219" spans="1:39" x14ac:dyDescent="0.35">
      <c r="A4219">
        <v>4215</v>
      </c>
      <c r="B4219">
        <v>4216</v>
      </c>
      <c r="F4219" s="64" t="s">
        <v>6526</v>
      </c>
      <c r="G4219" s="64"/>
      <c r="H4219" s="64"/>
      <c r="I4219" s="64">
        <v>0</v>
      </c>
      <c r="N4219" s="4">
        <v>0</v>
      </c>
      <c r="O4219" s="58">
        <v>0</v>
      </c>
      <c r="P4219" s="58">
        <v>0</v>
      </c>
      <c r="Q4219" s="58">
        <v>0</v>
      </c>
      <c r="R4219" s="58">
        <v>0</v>
      </c>
      <c r="S4219" s="58">
        <v>0</v>
      </c>
      <c r="T4219" s="58">
        <v>0</v>
      </c>
      <c r="U4219" s="58">
        <v>0</v>
      </c>
      <c r="V4219" s="58">
        <v>0</v>
      </c>
      <c r="AG4219" t="s">
        <v>3925</v>
      </c>
      <c r="AM4219" s="1" t="str">
        <f t="shared" si="213"/>
        <v>4217_C0005_1539.jpg</v>
      </c>
    </row>
    <row r="4220" spans="1:39" x14ac:dyDescent="0.35">
      <c r="A4220">
        <v>4216</v>
      </c>
      <c r="B4220">
        <v>4217</v>
      </c>
      <c r="F4220" s="64" t="s">
        <v>6527</v>
      </c>
      <c r="G4220" s="64"/>
      <c r="H4220" s="64"/>
      <c r="I4220" s="64">
        <v>0</v>
      </c>
      <c r="N4220" s="4">
        <v>0</v>
      </c>
      <c r="O4220" s="58">
        <v>0</v>
      </c>
      <c r="P4220" s="58">
        <v>0</v>
      </c>
      <c r="Q4220" s="58">
        <v>0</v>
      </c>
      <c r="R4220" s="58">
        <v>0</v>
      </c>
      <c r="S4220" s="58">
        <v>0</v>
      </c>
      <c r="T4220" s="58">
        <v>0</v>
      </c>
      <c r="U4220" s="58">
        <v>0</v>
      </c>
      <c r="V4220" s="58">
        <v>0</v>
      </c>
      <c r="AG4220" t="s">
        <v>3926</v>
      </c>
      <c r="AM4220" s="1" t="str">
        <f t="shared" si="213"/>
        <v>4218_C0005_1536.jpg</v>
      </c>
    </row>
    <row r="4221" spans="1:39" x14ac:dyDescent="0.35">
      <c r="A4221">
        <v>4217</v>
      </c>
      <c r="B4221">
        <v>4218</v>
      </c>
      <c r="F4221" s="64" t="s">
        <v>6528</v>
      </c>
      <c r="G4221" s="64"/>
      <c r="H4221" s="64"/>
      <c r="I4221" s="64">
        <v>0</v>
      </c>
      <c r="N4221" s="4">
        <v>0</v>
      </c>
      <c r="O4221" s="58">
        <v>0</v>
      </c>
      <c r="P4221" s="58">
        <v>0</v>
      </c>
      <c r="Q4221" s="58">
        <v>0</v>
      </c>
      <c r="R4221" s="58">
        <v>0</v>
      </c>
      <c r="S4221" s="58">
        <v>0</v>
      </c>
      <c r="T4221" s="58">
        <v>0</v>
      </c>
      <c r="U4221" s="58">
        <v>0</v>
      </c>
      <c r="V4221" s="58">
        <v>0</v>
      </c>
      <c r="AG4221" t="s">
        <v>3927</v>
      </c>
      <c r="AM4221" s="1" t="str">
        <f t="shared" si="213"/>
        <v>4219_C0005_1531.jpg</v>
      </c>
    </row>
    <row r="4222" spans="1:39" x14ac:dyDescent="0.35">
      <c r="A4222">
        <v>4218</v>
      </c>
      <c r="B4222">
        <v>4219</v>
      </c>
      <c r="F4222" s="64" t="s">
        <v>6529</v>
      </c>
      <c r="G4222" s="64"/>
      <c r="H4222" s="64"/>
      <c r="I4222" s="64">
        <v>0</v>
      </c>
      <c r="N4222" s="4">
        <v>0</v>
      </c>
      <c r="O4222" s="58">
        <v>0</v>
      </c>
      <c r="P4222" s="58">
        <v>0</v>
      </c>
      <c r="Q4222" s="58">
        <v>0</v>
      </c>
      <c r="R4222" s="58">
        <v>0</v>
      </c>
      <c r="S4222" s="58">
        <v>0</v>
      </c>
      <c r="T4222" s="58">
        <v>0</v>
      </c>
      <c r="U4222" s="58">
        <v>0</v>
      </c>
      <c r="V4222" s="58">
        <v>0</v>
      </c>
      <c r="AG4222" t="s">
        <v>3928</v>
      </c>
      <c r="AM4222" s="1" t="str">
        <f t="shared" si="213"/>
        <v>4220_C0005_1528.jpg</v>
      </c>
    </row>
    <row r="4223" spans="1:39" x14ac:dyDescent="0.35">
      <c r="A4223">
        <v>4219</v>
      </c>
      <c r="B4223">
        <v>4220</v>
      </c>
      <c r="F4223" s="64" t="s">
        <v>6530</v>
      </c>
      <c r="G4223" s="64"/>
      <c r="H4223" s="64"/>
      <c r="I4223" s="64">
        <v>0</v>
      </c>
      <c r="N4223" s="4">
        <v>0</v>
      </c>
      <c r="O4223" s="58">
        <v>0</v>
      </c>
      <c r="P4223" s="58">
        <v>0</v>
      </c>
      <c r="Q4223" s="58">
        <v>0</v>
      </c>
      <c r="R4223" s="58">
        <v>0</v>
      </c>
      <c r="S4223" s="58">
        <v>0</v>
      </c>
      <c r="T4223" s="58">
        <v>0</v>
      </c>
      <c r="U4223" s="58">
        <v>0</v>
      </c>
      <c r="V4223" s="58">
        <v>0</v>
      </c>
      <c r="AG4223" t="s">
        <v>3929</v>
      </c>
      <c r="AM4223" s="1" t="str">
        <f t="shared" si="213"/>
        <v>4221_C0005_1523.jpg</v>
      </c>
    </row>
    <row r="4224" spans="1:39" x14ac:dyDescent="0.35">
      <c r="A4224">
        <v>4220</v>
      </c>
      <c r="B4224">
        <v>4221</v>
      </c>
      <c r="F4224" s="64" t="s">
        <v>6531</v>
      </c>
      <c r="G4224" s="64"/>
      <c r="H4224" s="64"/>
      <c r="I4224" s="64">
        <v>0</v>
      </c>
      <c r="N4224" s="4">
        <v>0</v>
      </c>
      <c r="O4224" s="58">
        <v>0</v>
      </c>
      <c r="P4224" s="58">
        <v>0</v>
      </c>
      <c r="Q4224" s="58">
        <v>0</v>
      </c>
      <c r="R4224" s="58">
        <v>0</v>
      </c>
      <c r="S4224" s="58">
        <v>0</v>
      </c>
      <c r="T4224" s="58">
        <v>0</v>
      </c>
      <c r="U4224" s="58">
        <v>0</v>
      </c>
      <c r="V4224" s="58">
        <v>0</v>
      </c>
      <c r="AG4224" t="s">
        <v>3930</v>
      </c>
      <c r="AM4224" s="1" t="str">
        <f t="shared" si="213"/>
        <v>4222_C0005_1520.jpg</v>
      </c>
    </row>
    <row r="4225" spans="1:39" x14ac:dyDescent="0.35">
      <c r="A4225">
        <v>4221</v>
      </c>
      <c r="B4225">
        <v>4222</v>
      </c>
      <c r="F4225" s="64" t="s">
        <v>6532</v>
      </c>
      <c r="G4225" s="64"/>
      <c r="H4225" s="64"/>
      <c r="I4225" s="64">
        <v>0</v>
      </c>
      <c r="N4225" s="4">
        <v>0</v>
      </c>
      <c r="O4225" s="58">
        <v>0</v>
      </c>
      <c r="P4225" s="58">
        <v>0</v>
      </c>
      <c r="Q4225" s="58">
        <v>0</v>
      </c>
      <c r="R4225" s="58">
        <v>0</v>
      </c>
      <c r="S4225" s="58">
        <v>0</v>
      </c>
      <c r="T4225" s="58">
        <v>0</v>
      </c>
      <c r="U4225" s="58">
        <v>0</v>
      </c>
      <c r="V4225" s="58">
        <v>0</v>
      </c>
      <c r="AG4225" t="s">
        <v>3931</v>
      </c>
      <c r="AM4225" s="1" t="str">
        <f t="shared" si="213"/>
        <v>4223_C0005_1516.jpg</v>
      </c>
    </row>
    <row r="4226" spans="1:39" x14ac:dyDescent="0.35">
      <c r="A4226">
        <v>4222</v>
      </c>
      <c r="B4226">
        <v>4223</v>
      </c>
      <c r="F4226" s="64" t="s">
        <v>6533</v>
      </c>
      <c r="G4226" s="64"/>
      <c r="H4226" s="64"/>
      <c r="I4226" s="64">
        <v>0</v>
      </c>
      <c r="N4226" s="4">
        <v>0</v>
      </c>
      <c r="O4226" s="58">
        <v>0</v>
      </c>
      <c r="P4226" s="58">
        <v>0</v>
      </c>
      <c r="Q4226" s="58">
        <v>0</v>
      </c>
      <c r="R4226" s="58">
        <v>0</v>
      </c>
      <c r="S4226" s="58">
        <v>0</v>
      </c>
      <c r="T4226" s="58">
        <v>0</v>
      </c>
      <c r="U4226" s="58">
        <v>0</v>
      </c>
      <c r="V4226" s="58">
        <v>0</v>
      </c>
      <c r="AG4226" t="s">
        <v>3932</v>
      </c>
      <c r="AM4226" s="1" t="str">
        <f t="shared" si="213"/>
        <v>4224_C0005_1512.jpg</v>
      </c>
    </row>
    <row r="4227" spans="1:39" x14ac:dyDescent="0.35">
      <c r="A4227">
        <v>4223</v>
      </c>
      <c r="B4227">
        <v>4224</v>
      </c>
      <c r="F4227" s="64" t="s">
        <v>6534</v>
      </c>
      <c r="G4227" s="64"/>
      <c r="H4227" s="64"/>
      <c r="I4227" s="64">
        <v>0</v>
      </c>
      <c r="N4227" s="4">
        <v>0</v>
      </c>
      <c r="O4227" s="58">
        <v>0</v>
      </c>
      <c r="P4227" s="58">
        <v>0</v>
      </c>
      <c r="Q4227" s="58">
        <v>0</v>
      </c>
      <c r="R4227" s="58">
        <v>0</v>
      </c>
      <c r="S4227" s="58">
        <v>0</v>
      </c>
      <c r="T4227" s="58">
        <v>0</v>
      </c>
      <c r="U4227" s="58">
        <v>0</v>
      </c>
      <c r="V4227" s="58">
        <v>0</v>
      </c>
      <c r="AG4227" t="s">
        <v>3933</v>
      </c>
      <c r="AM4227" s="1" t="str">
        <f t="shared" si="213"/>
        <v>4225_C0005_1507.jpg</v>
      </c>
    </row>
    <row r="4228" spans="1:39" x14ac:dyDescent="0.35">
      <c r="A4228">
        <v>4224</v>
      </c>
      <c r="B4228">
        <v>4225</v>
      </c>
      <c r="F4228" s="64" t="s">
        <v>6535</v>
      </c>
      <c r="G4228" s="64"/>
      <c r="H4228" s="64"/>
      <c r="I4228" s="64">
        <v>0</v>
      </c>
      <c r="N4228" s="4">
        <v>0</v>
      </c>
      <c r="O4228" s="58">
        <v>0</v>
      </c>
      <c r="P4228" s="58">
        <v>0</v>
      </c>
      <c r="Q4228" s="58">
        <v>0</v>
      </c>
      <c r="R4228" s="58">
        <v>0</v>
      </c>
      <c r="S4228" s="58">
        <v>0</v>
      </c>
      <c r="T4228" s="58">
        <v>0</v>
      </c>
      <c r="U4228" s="58">
        <v>0</v>
      </c>
      <c r="V4228" s="58">
        <v>0</v>
      </c>
      <c r="AG4228" t="s">
        <v>3934</v>
      </c>
      <c r="AM4228" s="1" t="str">
        <f t="shared" si="213"/>
        <v>4226_C0005_1502.jpg</v>
      </c>
    </row>
    <row r="4229" spans="1:39" x14ac:dyDescent="0.35">
      <c r="A4229">
        <v>4225</v>
      </c>
      <c r="B4229">
        <v>4226</v>
      </c>
      <c r="F4229" s="64" t="s">
        <v>6536</v>
      </c>
      <c r="G4229" s="64"/>
      <c r="H4229" s="64"/>
      <c r="I4229" s="64">
        <v>0</v>
      </c>
      <c r="N4229" s="4">
        <v>0</v>
      </c>
      <c r="O4229" s="58">
        <v>0</v>
      </c>
      <c r="P4229" s="58">
        <v>0</v>
      </c>
      <c r="Q4229" s="58">
        <v>0</v>
      </c>
      <c r="R4229" s="58">
        <v>0</v>
      </c>
      <c r="S4229" s="58">
        <v>0</v>
      </c>
      <c r="T4229" s="58">
        <v>0</v>
      </c>
      <c r="U4229" s="58">
        <v>0</v>
      </c>
      <c r="V4229" s="58">
        <v>0</v>
      </c>
      <c r="AG4229" t="s">
        <v>3935</v>
      </c>
      <c r="AM4229" s="1" t="str">
        <f t="shared" si="213"/>
        <v>4227_C0005_1498.jpg</v>
      </c>
    </row>
    <row r="4230" spans="1:39" x14ac:dyDescent="0.35">
      <c r="A4230">
        <v>4226</v>
      </c>
      <c r="B4230">
        <v>4227</v>
      </c>
      <c r="F4230" s="64" t="s">
        <v>6537</v>
      </c>
      <c r="G4230" s="64"/>
      <c r="H4230" s="64"/>
      <c r="I4230" s="64">
        <v>0</v>
      </c>
      <c r="N4230" s="4">
        <v>0</v>
      </c>
      <c r="O4230" s="58">
        <v>0</v>
      </c>
      <c r="P4230" s="58">
        <v>0</v>
      </c>
      <c r="Q4230" s="58">
        <v>0</v>
      </c>
      <c r="R4230" s="58">
        <v>0</v>
      </c>
      <c r="S4230" s="58">
        <v>0</v>
      </c>
      <c r="T4230" s="58">
        <v>0</v>
      </c>
      <c r="U4230" s="58">
        <v>0</v>
      </c>
      <c r="V4230" s="58">
        <v>0</v>
      </c>
      <c r="AG4230" t="s">
        <v>3936</v>
      </c>
      <c r="AM4230" s="1" t="str">
        <f t="shared" si="213"/>
        <v>4228_C0005_1494.jpg</v>
      </c>
    </row>
    <row r="4231" spans="1:39" x14ac:dyDescent="0.35">
      <c r="A4231">
        <v>4227</v>
      </c>
      <c r="B4231">
        <v>4228</v>
      </c>
      <c r="F4231" s="64" t="s">
        <v>6538</v>
      </c>
      <c r="G4231" s="64"/>
      <c r="H4231" s="64"/>
      <c r="I4231" s="64">
        <v>0</v>
      </c>
      <c r="N4231" s="4">
        <v>0</v>
      </c>
      <c r="O4231" s="58">
        <v>0</v>
      </c>
      <c r="P4231" s="58">
        <v>0</v>
      </c>
      <c r="Q4231" s="58">
        <v>0</v>
      </c>
      <c r="R4231" s="58">
        <v>1</v>
      </c>
      <c r="S4231" s="58">
        <v>0</v>
      </c>
      <c r="T4231" s="58">
        <v>0</v>
      </c>
      <c r="U4231" s="58">
        <v>0</v>
      </c>
      <c r="V4231" s="58">
        <v>0</v>
      </c>
      <c r="AG4231" t="s">
        <v>3937</v>
      </c>
      <c r="AM4231" s="1" t="str">
        <f t="shared" si="213"/>
        <v>4229_C0005_1490.jpg</v>
      </c>
    </row>
    <row r="4232" spans="1:39" x14ac:dyDescent="0.35">
      <c r="A4232">
        <v>4228</v>
      </c>
      <c r="B4232">
        <v>4229</v>
      </c>
      <c r="F4232" s="64" t="s">
        <v>6539</v>
      </c>
      <c r="G4232" s="64"/>
      <c r="H4232" s="64"/>
      <c r="I4232" s="64">
        <v>0</v>
      </c>
      <c r="N4232" s="4">
        <v>0</v>
      </c>
      <c r="O4232" s="58">
        <v>0</v>
      </c>
      <c r="P4232" s="58">
        <v>0</v>
      </c>
      <c r="Q4232" s="58">
        <v>0</v>
      </c>
      <c r="R4232" s="58">
        <v>0</v>
      </c>
      <c r="S4232" s="58">
        <v>0</v>
      </c>
      <c r="T4232" s="58">
        <v>0</v>
      </c>
      <c r="U4232" s="58">
        <v>0</v>
      </c>
      <c r="V4232" s="58">
        <v>0</v>
      </c>
      <c r="AG4232" t="s">
        <v>3938</v>
      </c>
      <c r="AM4232" s="1" t="str">
        <f t="shared" si="213"/>
        <v>4230_C0005_1486.jpg</v>
      </c>
    </row>
    <row r="4233" spans="1:39" x14ac:dyDescent="0.35">
      <c r="A4233">
        <v>4229</v>
      </c>
      <c r="B4233">
        <v>4230</v>
      </c>
      <c r="F4233" s="64" t="s">
        <v>6540</v>
      </c>
      <c r="G4233" s="64"/>
      <c r="H4233" s="64"/>
      <c r="I4233" s="64">
        <v>0</v>
      </c>
      <c r="N4233" s="4">
        <v>0</v>
      </c>
      <c r="O4233" s="58">
        <v>0</v>
      </c>
      <c r="P4233" s="58">
        <v>0</v>
      </c>
      <c r="Q4233" s="58">
        <v>0</v>
      </c>
      <c r="R4233" s="58">
        <v>0</v>
      </c>
      <c r="S4233" s="58">
        <v>0</v>
      </c>
      <c r="T4233" s="58">
        <v>0</v>
      </c>
      <c r="U4233" s="58">
        <v>0</v>
      </c>
      <c r="V4233" s="58">
        <v>0</v>
      </c>
      <c r="AG4233" t="s">
        <v>3939</v>
      </c>
      <c r="AM4233" s="1" t="str">
        <f t="shared" si="213"/>
        <v>4231_C0005_1484.jpg</v>
      </c>
    </row>
    <row r="4234" spans="1:39" x14ac:dyDescent="0.35">
      <c r="A4234">
        <v>4230</v>
      </c>
      <c r="B4234">
        <v>4231</v>
      </c>
      <c r="F4234" s="64" t="s">
        <v>6541</v>
      </c>
      <c r="G4234" s="64"/>
      <c r="H4234" s="64"/>
      <c r="I4234" s="64">
        <v>0</v>
      </c>
      <c r="N4234" s="4">
        <v>0</v>
      </c>
      <c r="O4234" s="58">
        <v>0</v>
      </c>
      <c r="P4234" s="58">
        <v>0</v>
      </c>
      <c r="Q4234" s="58">
        <v>0</v>
      </c>
      <c r="R4234" s="58">
        <v>0</v>
      </c>
      <c r="S4234" s="58">
        <v>0</v>
      </c>
      <c r="T4234" s="58">
        <v>0</v>
      </c>
      <c r="U4234" s="58">
        <v>0</v>
      </c>
      <c r="V4234" s="58">
        <v>0</v>
      </c>
      <c r="AG4234" t="s">
        <v>3940</v>
      </c>
      <c r="AM4234" s="1" t="str">
        <f t="shared" si="213"/>
        <v>4232_C0005_1479.jpg</v>
      </c>
    </row>
    <row r="4235" spans="1:39" x14ac:dyDescent="0.35">
      <c r="A4235">
        <v>4231</v>
      </c>
      <c r="B4235">
        <v>4232</v>
      </c>
      <c r="F4235" s="64" t="s">
        <v>6542</v>
      </c>
      <c r="G4235" s="64"/>
      <c r="H4235" s="64"/>
      <c r="I4235" s="64">
        <v>0</v>
      </c>
      <c r="N4235" s="4">
        <v>0</v>
      </c>
      <c r="O4235" s="58">
        <v>0</v>
      </c>
      <c r="P4235" s="58">
        <v>0</v>
      </c>
      <c r="Q4235" s="58">
        <v>0</v>
      </c>
      <c r="R4235" s="58">
        <v>0</v>
      </c>
      <c r="S4235" s="58">
        <v>0</v>
      </c>
      <c r="T4235" s="58">
        <v>0</v>
      </c>
      <c r="U4235" s="58">
        <v>0</v>
      </c>
      <c r="V4235" s="58">
        <v>0</v>
      </c>
      <c r="AG4235" t="s">
        <v>3941</v>
      </c>
      <c r="AM4235" s="1" t="str">
        <f t="shared" si="213"/>
        <v>4233_C0005_1476.jpg</v>
      </c>
    </row>
    <row r="4236" spans="1:39" x14ac:dyDescent="0.35">
      <c r="A4236">
        <v>4232</v>
      </c>
      <c r="B4236">
        <v>4233</v>
      </c>
      <c r="F4236" s="64" t="s">
        <v>6543</v>
      </c>
      <c r="G4236" s="64"/>
      <c r="H4236" s="64"/>
      <c r="I4236" s="64">
        <v>0</v>
      </c>
      <c r="N4236" s="4">
        <v>0</v>
      </c>
      <c r="O4236" s="58">
        <v>0</v>
      </c>
      <c r="P4236" s="58">
        <v>0</v>
      </c>
      <c r="Q4236" s="58">
        <v>0</v>
      </c>
      <c r="R4236" s="58">
        <v>0</v>
      </c>
      <c r="S4236" s="58">
        <v>0</v>
      </c>
      <c r="T4236" s="58">
        <v>0</v>
      </c>
      <c r="U4236" s="58">
        <v>0</v>
      </c>
      <c r="V4236" s="58">
        <v>0</v>
      </c>
      <c r="AG4236" t="s">
        <v>3942</v>
      </c>
      <c r="AM4236" s="1" t="str">
        <f t="shared" si="213"/>
        <v>4234_C0005_1472.jpg</v>
      </c>
    </row>
    <row r="4237" spans="1:39" x14ac:dyDescent="0.35">
      <c r="A4237">
        <v>4233</v>
      </c>
      <c r="B4237">
        <v>4234</v>
      </c>
      <c r="F4237" s="64" t="s">
        <v>6544</v>
      </c>
      <c r="G4237" s="64"/>
      <c r="H4237" s="64"/>
      <c r="I4237" s="64">
        <v>0</v>
      </c>
      <c r="N4237" s="4">
        <v>0</v>
      </c>
      <c r="O4237" s="58">
        <v>0</v>
      </c>
      <c r="P4237" s="58">
        <v>0</v>
      </c>
      <c r="Q4237" s="58">
        <v>0</v>
      </c>
      <c r="R4237" s="58">
        <v>0</v>
      </c>
      <c r="S4237" s="58">
        <v>0</v>
      </c>
      <c r="T4237" s="58">
        <v>0</v>
      </c>
      <c r="U4237" s="58">
        <v>0</v>
      </c>
      <c r="V4237" s="58">
        <v>0</v>
      </c>
      <c r="AG4237" t="s">
        <v>3943</v>
      </c>
      <c r="AM4237" s="1" t="str">
        <f t="shared" si="213"/>
        <v>4235_C0005_1468.jpg</v>
      </c>
    </row>
    <row r="4238" spans="1:39" x14ac:dyDescent="0.35">
      <c r="A4238">
        <v>4234</v>
      </c>
      <c r="B4238">
        <v>4235</v>
      </c>
      <c r="F4238" s="64" t="s">
        <v>6545</v>
      </c>
      <c r="G4238" s="64"/>
      <c r="H4238" s="64"/>
      <c r="I4238" s="64">
        <v>0</v>
      </c>
      <c r="N4238" s="4">
        <v>0</v>
      </c>
      <c r="O4238" s="58">
        <v>0</v>
      </c>
      <c r="P4238" s="58">
        <v>0</v>
      </c>
      <c r="Q4238" s="58">
        <v>0</v>
      </c>
      <c r="R4238" s="58">
        <v>0</v>
      </c>
      <c r="S4238" s="58">
        <v>0</v>
      </c>
      <c r="T4238" s="58">
        <v>0</v>
      </c>
      <c r="U4238" s="58">
        <v>0</v>
      </c>
      <c r="V4238" s="58">
        <v>0</v>
      </c>
      <c r="AG4238" t="s">
        <v>3944</v>
      </c>
      <c r="AM4238" s="1" t="str">
        <f t="shared" si="213"/>
        <v>4236_C0005_1465.jpg</v>
      </c>
    </row>
    <row r="4239" spans="1:39" x14ac:dyDescent="0.35">
      <c r="A4239">
        <v>4235</v>
      </c>
      <c r="B4239">
        <v>4236</v>
      </c>
      <c r="F4239" s="64" t="s">
        <v>6546</v>
      </c>
      <c r="G4239" s="64"/>
      <c r="H4239" s="64"/>
      <c r="I4239" s="64">
        <v>0</v>
      </c>
      <c r="N4239" s="4">
        <v>0</v>
      </c>
      <c r="O4239" s="58">
        <v>0</v>
      </c>
      <c r="P4239" s="58">
        <v>0</v>
      </c>
      <c r="Q4239" s="58">
        <v>0</v>
      </c>
      <c r="R4239" s="58">
        <v>0</v>
      </c>
      <c r="S4239" s="58">
        <v>0</v>
      </c>
      <c r="T4239" s="58">
        <v>0</v>
      </c>
      <c r="U4239" s="58">
        <v>0</v>
      </c>
      <c r="V4239" s="58">
        <v>0</v>
      </c>
      <c r="AG4239" t="s">
        <v>3945</v>
      </c>
      <c r="AM4239" s="1" t="str">
        <f t="shared" si="213"/>
        <v>4237_C0005_1460.jpg</v>
      </c>
    </row>
    <row r="4240" spans="1:39" x14ac:dyDescent="0.35">
      <c r="A4240">
        <v>4236</v>
      </c>
      <c r="B4240">
        <v>4237</v>
      </c>
      <c r="F4240" s="64" t="s">
        <v>6547</v>
      </c>
      <c r="G4240" s="64"/>
      <c r="H4240" s="64"/>
      <c r="I4240" s="64">
        <v>0</v>
      </c>
      <c r="N4240" s="4">
        <v>0</v>
      </c>
      <c r="O4240" s="58">
        <v>0</v>
      </c>
      <c r="P4240" s="58">
        <v>0</v>
      </c>
      <c r="Q4240" s="58">
        <v>0</v>
      </c>
      <c r="R4240" s="58">
        <v>0</v>
      </c>
      <c r="S4240" s="58">
        <v>0</v>
      </c>
      <c r="T4240" s="58">
        <v>0</v>
      </c>
      <c r="U4240" s="58">
        <v>0</v>
      </c>
      <c r="V4240" s="58">
        <v>0</v>
      </c>
      <c r="AG4240" t="s">
        <v>3946</v>
      </c>
      <c r="AM4240" s="1" t="str">
        <f t="shared" si="213"/>
        <v>4238_C0005_1455.jpg</v>
      </c>
    </row>
    <row r="4241" spans="1:39" x14ac:dyDescent="0.35">
      <c r="A4241">
        <v>4237</v>
      </c>
      <c r="B4241">
        <v>4238</v>
      </c>
      <c r="F4241" s="64" t="s">
        <v>6548</v>
      </c>
      <c r="G4241" s="64"/>
      <c r="H4241" s="64"/>
      <c r="I4241" s="64">
        <v>0</v>
      </c>
      <c r="N4241" s="4">
        <v>0</v>
      </c>
      <c r="O4241" s="58">
        <v>0</v>
      </c>
      <c r="P4241" s="58">
        <v>0</v>
      </c>
      <c r="Q4241" s="58">
        <v>0</v>
      </c>
      <c r="R4241" s="58">
        <v>0</v>
      </c>
      <c r="S4241" s="58">
        <v>0</v>
      </c>
      <c r="T4241" s="58">
        <v>0</v>
      </c>
      <c r="U4241" s="58">
        <v>0</v>
      </c>
      <c r="V4241" s="58">
        <v>0</v>
      </c>
      <c r="AG4241" t="s">
        <v>3947</v>
      </c>
      <c r="AM4241" s="1" t="str">
        <f t="shared" si="213"/>
        <v>4239_C0005_1452.jpg</v>
      </c>
    </row>
    <row r="4242" spans="1:39" x14ac:dyDescent="0.35">
      <c r="A4242">
        <v>4238</v>
      </c>
      <c r="B4242">
        <v>4239</v>
      </c>
      <c r="F4242" s="64" t="s">
        <v>6549</v>
      </c>
      <c r="G4242" s="64"/>
      <c r="H4242" s="64"/>
      <c r="I4242" s="64">
        <v>0</v>
      </c>
      <c r="N4242" s="4">
        <v>0</v>
      </c>
      <c r="O4242" s="58">
        <v>0</v>
      </c>
      <c r="P4242" s="58">
        <v>0</v>
      </c>
      <c r="Q4242" s="58">
        <v>0</v>
      </c>
      <c r="R4242" s="58">
        <v>0</v>
      </c>
      <c r="S4242" s="58">
        <v>0</v>
      </c>
      <c r="T4242" s="58">
        <v>0</v>
      </c>
      <c r="U4242" s="58">
        <v>0</v>
      </c>
      <c r="V4242" s="58">
        <v>0</v>
      </c>
      <c r="AG4242" t="s">
        <v>3948</v>
      </c>
      <c r="AM4242" s="1" t="str">
        <f t="shared" si="213"/>
        <v>4240_C0005_1448.jpg</v>
      </c>
    </row>
    <row r="4243" spans="1:39" x14ac:dyDescent="0.35">
      <c r="A4243">
        <v>4239</v>
      </c>
      <c r="B4243">
        <v>4240</v>
      </c>
      <c r="F4243" s="64" t="s">
        <v>6550</v>
      </c>
      <c r="G4243" s="64"/>
      <c r="H4243" s="64"/>
      <c r="I4243" s="64">
        <v>0</v>
      </c>
      <c r="N4243" s="4">
        <v>0</v>
      </c>
      <c r="O4243" s="58">
        <v>0</v>
      </c>
      <c r="P4243" s="58">
        <v>0</v>
      </c>
      <c r="Q4243" s="58">
        <v>0</v>
      </c>
      <c r="R4243" s="58">
        <v>0</v>
      </c>
      <c r="S4243" s="58">
        <v>0</v>
      </c>
      <c r="T4243" s="58">
        <v>0</v>
      </c>
      <c r="U4243" s="58">
        <v>0</v>
      </c>
      <c r="V4243" s="58">
        <v>0</v>
      </c>
      <c r="AG4243" t="s">
        <v>3949</v>
      </c>
      <c r="AM4243" s="1" t="str">
        <f t="shared" si="213"/>
        <v>4241_C0005_1445.jpg</v>
      </c>
    </row>
    <row r="4244" spans="1:39" x14ac:dyDescent="0.35">
      <c r="A4244">
        <v>4240</v>
      </c>
      <c r="B4244">
        <v>4241</v>
      </c>
      <c r="F4244" s="64" t="s">
        <v>6551</v>
      </c>
      <c r="G4244" s="64"/>
      <c r="H4244" s="64"/>
      <c r="I4244" s="64">
        <v>0</v>
      </c>
      <c r="N4244" s="4">
        <v>0</v>
      </c>
      <c r="O4244" s="58">
        <v>0</v>
      </c>
      <c r="P4244" s="58">
        <v>0</v>
      </c>
      <c r="Q4244" s="58">
        <v>0</v>
      </c>
      <c r="R4244" s="58">
        <v>0</v>
      </c>
      <c r="S4244" s="58">
        <v>0</v>
      </c>
      <c r="T4244" s="58">
        <v>0</v>
      </c>
      <c r="U4244" s="58">
        <v>0</v>
      </c>
      <c r="V4244" s="58">
        <v>0</v>
      </c>
      <c r="AG4244" t="s">
        <v>3950</v>
      </c>
      <c r="AM4244" s="1" t="str">
        <f t="shared" si="213"/>
        <v>4242_C0005_1442.jpg</v>
      </c>
    </row>
    <row r="4245" spans="1:39" x14ac:dyDescent="0.35">
      <c r="A4245">
        <v>4241</v>
      </c>
      <c r="B4245">
        <v>4242</v>
      </c>
      <c r="F4245" s="64" t="s">
        <v>6552</v>
      </c>
      <c r="G4245" s="64"/>
      <c r="H4245" s="64"/>
      <c r="I4245" s="64">
        <v>0</v>
      </c>
      <c r="N4245" s="4">
        <v>0</v>
      </c>
      <c r="O4245" s="58">
        <v>0</v>
      </c>
      <c r="P4245" s="58">
        <v>0</v>
      </c>
      <c r="Q4245" s="58">
        <v>0</v>
      </c>
      <c r="R4245" s="58">
        <v>0</v>
      </c>
      <c r="S4245" s="58">
        <v>0</v>
      </c>
      <c r="T4245" s="58">
        <v>0</v>
      </c>
      <c r="U4245" s="58">
        <v>0</v>
      </c>
      <c r="V4245" s="58">
        <v>0</v>
      </c>
      <c r="AG4245" t="s">
        <v>3951</v>
      </c>
      <c r="AM4245" s="1" t="str">
        <f t="shared" si="213"/>
        <v>4243_C0005_1433.jpg</v>
      </c>
    </row>
    <row r="4246" spans="1:39" x14ac:dyDescent="0.35">
      <c r="A4246">
        <v>4242</v>
      </c>
      <c r="B4246">
        <v>4243</v>
      </c>
      <c r="F4246" s="64" t="s">
        <v>6553</v>
      </c>
      <c r="G4246" s="64"/>
      <c r="H4246" s="64"/>
      <c r="I4246" s="64">
        <v>0</v>
      </c>
      <c r="N4246" s="4">
        <v>0</v>
      </c>
      <c r="O4246" s="58">
        <v>0</v>
      </c>
      <c r="P4246" s="58">
        <v>0</v>
      </c>
      <c r="Q4246" s="58">
        <v>0</v>
      </c>
      <c r="R4246" s="58">
        <v>0</v>
      </c>
      <c r="S4246" s="58">
        <v>0</v>
      </c>
      <c r="T4246" s="58">
        <v>0</v>
      </c>
      <c r="U4246" s="58">
        <v>0</v>
      </c>
      <c r="V4246" s="58">
        <v>0</v>
      </c>
      <c r="AG4246" t="s">
        <v>3952</v>
      </c>
      <c r="AM4246" s="1" t="str">
        <f t="shared" si="213"/>
        <v>4244_C0005_1431.jpg</v>
      </c>
    </row>
    <row r="4247" spans="1:39" x14ac:dyDescent="0.35">
      <c r="A4247">
        <v>4243</v>
      </c>
      <c r="B4247">
        <v>4244</v>
      </c>
      <c r="F4247" s="64" t="s">
        <v>6554</v>
      </c>
      <c r="G4247" s="64"/>
      <c r="H4247" s="64"/>
      <c r="I4247" s="64">
        <v>0</v>
      </c>
      <c r="N4247" s="4">
        <v>0</v>
      </c>
      <c r="O4247" s="58">
        <v>0</v>
      </c>
      <c r="P4247" s="58">
        <v>0</v>
      </c>
      <c r="Q4247" s="58">
        <v>0</v>
      </c>
      <c r="R4247" s="58">
        <v>0</v>
      </c>
      <c r="S4247" s="58">
        <v>0</v>
      </c>
      <c r="T4247" s="58">
        <v>0</v>
      </c>
      <c r="U4247" s="58">
        <v>0</v>
      </c>
      <c r="V4247" s="58">
        <v>0</v>
      </c>
      <c r="AG4247" t="s">
        <v>3953</v>
      </c>
      <c r="AM4247" s="1" t="str">
        <f t="shared" ref="AM4247:AM4257" si="214">HYPERLINK("E:\CAFNEC_GBRF\2023\JohnstoneRiver\Frames_for_Analysis\" &amp; F4248, F4248)</f>
        <v>4245_C0005_1424.jpg</v>
      </c>
    </row>
    <row r="4248" spans="1:39" x14ac:dyDescent="0.35">
      <c r="A4248">
        <v>4244</v>
      </c>
      <c r="B4248">
        <v>4245</v>
      </c>
      <c r="F4248" s="64" t="s">
        <v>6555</v>
      </c>
      <c r="G4248" s="64"/>
      <c r="H4248" s="64"/>
      <c r="I4248" s="64">
        <v>0</v>
      </c>
      <c r="N4248" s="4">
        <v>0</v>
      </c>
      <c r="O4248" s="58">
        <v>0</v>
      </c>
      <c r="P4248" s="58">
        <v>0</v>
      </c>
      <c r="Q4248" s="58">
        <v>0</v>
      </c>
      <c r="R4248" s="58">
        <v>0</v>
      </c>
      <c r="S4248" s="58">
        <v>0</v>
      </c>
      <c r="T4248" s="58">
        <v>0</v>
      </c>
      <c r="U4248" s="58">
        <v>0</v>
      </c>
      <c r="V4248" s="58">
        <v>0</v>
      </c>
      <c r="AG4248" t="s">
        <v>3954</v>
      </c>
      <c r="AM4248" s="1" t="str">
        <f t="shared" si="214"/>
        <v>4246_C0005_1418.jpg</v>
      </c>
    </row>
    <row r="4249" spans="1:39" x14ac:dyDescent="0.35">
      <c r="A4249">
        <v>4245</v>
      </c>
      <c r="B4249">
        <v>4246</v>
      </c>
      <c r="F4249" s="64" t="s">
        <v>6556</v>
      </c>
      <c r="G4249" s="64"/>
      <c r="H4249" s="64"/>
      <c r="I4249" s="64">
        <v>0</v>
      </c>
      <c r="N4249" s="4">
        <v>0</v>
      </c>
      <c r="O4249" s="58">
        <v>0</v>
      </c>
      <c r="P4249" s="58">
        <v>0</v>
      </c>
      <c r="Q4249" s="58">
        <v>0</v>
      </c>
      <c r="R4249" s="58">
        <v>0</v>
      </c>
      <c r="S4249" s="58">
        <v>0</v>
      </c>
      <c r="T4249" s="58">
        <v>0</v>
      </c>
      <c r="U4249" s="58">
        <v>0</v>
      </c>
      <c r="V4249" s="58">
        <v>0</v>
      </c>
      <c r="AG4249" t="s">
        <v>3955</v>
      </c>
      <c r="AM4249" s="1" t="str">
        <f t="shared" si="214"/>
        <v>4247_C0005_1417.jpg</v>
      </c>
    </row>
    <row r="4250" spans="1:39" x14ac:dyDescent="0.35">
      <c r="A4250">
        <v>4246</v>
      </c>
      <c r="B4250">
        <v>4247</v>
      </c>
      <c r="F4250" s="64" t="s">
        <v>6557</v>
      </c>
      <c r="G4250" s="64"/>
      <c r="H4250" s="64"/>
      <c r="I4250" s="64">
        <v>0</v>
      </c>
      <c r="N4250" s="4">
        <v>0</v>
      </c>
      <c r="O4250" s="58">
        <v>0</v>
      </c>
      <c r="P4250" s="58">
        <v>0</v>
      </c>
      <c r="Q4250" s="58">
        <v>0</v>
      </c>
      <c r="R4250" s="58">
        <v>0</v>
      </c>
      <c r="S4250" s="58">
        <v>0</v>
      </c>
      <c r="T4250" s="58">
        <v>0</v>
      </c>
      <c r="U4250" s="58">
        <v>0</v>
      </c>
      <c r="V4250" s="58">
        <v>0</v>
      </c>
      <c r="AG4250" t="s">
        <v>3956</v>
      </c>
      <c r="AM4250" s="1" t="str">
        <f t="shared" si="214"/>
        <v>4248_C0005_1405.jpg</v>
      </c>
    </row>
    <row r="4251" spans="1:39" x14ac:dyDescent="0.35">
      <c r="A4251">
        <v>4247</v>
      </c>
      <c r="B4251">
        <v>4248</v>
      </c>
      <c r="F4251" s="64" t="s">
        <v>6558</v>
      </c>
      <c r="G4251" s="64"/>
      <c r="H4251" s="64"/>
      <c r="I4251" s="64">
        <v>0</v>
      </c>
      <c r="N4251" s="4">
        <v>0</v>
      </c>
      <c r="O4251" s="58">
        <v>0</v>
      </c>
      <c r="P4251" s="58">
        <v>0</v>
      </c>
      <c r="Q4251" s="58">
        <v>0</v>
      </c>
      <c r="R4251" s="58">
        <v>0</v>
      </c>
      <c r="S4251" s="58">
        <v>0</v>
      </c>
      <c r="T4251" s="58">
        <v>0</v>
      </c>
      <c r="U4251" s="58">
        <v>0</v>
      </c>
      <c r="V4251" s="58">
        <v>0</v>
      </c>
      <c r="AM4251" s="1" t="str">
        <f t="shared" si="214"/>
        <v>4249_C0005_1396.jpg</v>
      </c>
    </row>
    <row r="4252" spans="1:39" x14ac:dyDescent="0.35">
      <c r="A4252">
        <v>4248</v>
      </c>
      <c r="B4252">
        <v>4249</v>
      </c>
      <c r="F4252" s="64" t="s">
        <v>6559</v>
      </c>
      <c r="G4252" s="64"/>
      <c r="H4252" s="64"/>
      <c r="I4252" s="64">
        <v>0</v>
      </c>
      <c r="N4252" s="4">
        <v>0</v>
      </c>
      <c r="O4252" s="58">
        <v>0</v>
      </c>
      <c r="P4252" s="58">
        <v>0</v>
      </c>
      <c r="Q4252" s="58">
        <v>0</v>
      </c>
      <c r="R4252" s="58">
        <v>0</v>
      </c>
      <c r="S4252" s="58">
        <v>0</v>
      </c>
      <c r="T4252" s="58">
        <v>0</v>
      </c>
      <c r="U4252" s="58">
        <v>0</v>
      </c>
      <c r="V4252" s="58">
        <v>0</v>
      </c>
      <c r="AM4252" s="1" t="str">
        <f t="shared" si="214"/>
        <v>4250_C0005_1389.jpg</v>
      </c>
    </row>
    <row r="4253" spans="1:39" x14ac:dyDescent="0.35">
      <c r="A4253">
        <v>4249</v>
      </c>
      <c r="B4253">
        <v>4250</v>
      </c>
      <c r="F4253" s="64" t="s">
        <v>6560</v>
      </c>
      <c r="G4253" s="64"/>
      <c r="H4253" s="64"/>
      <c r="I4253" s="64">
        <v>0</v>
      </c>
      <c r="N4253" s="4">
        <v>0</v>
      </c>
      <c r="O4253" s="58">
        <v>0</v>
      </c>
      <c r="P4253" s="58">
        <v>0</v>
      </c>
      <c r="Q4253" s="58">
        <v>0</v>
      </c>
      <c r="R4253" s="58">
        <v>0</v>
      </c>
      <c r="S4253" s="58">
        <v>0</v>
      </c>
      <c r="T4253" s="58">
        <v>0</v>
      </c>
      <c r="U4253" s="58">
        <v>0</v>
      </c>
      <c r="V4253" s="58">
        <v>0</v>
      </c>
      <c r="AM4253" s="1" t="str">
        <f t="shared" si="214"/>
        <v>4251_C0005_1383.jpg</v>
      </c>
    </row>
    <row r="4254" spans="1:39" x14ac:dyDescent="0.35">
      <c r="A4254">
        <v>4250</v>
      </c>
      <c r="B4254">
        <v>4251</v>
      </c>
      <c r="F4254" s="64" t="s">
        <v>6561</v>
      </c>
      <c r="G4254" s="64"/>
      <c r="H4254" s="64"/>
      <c r="I4254" s="64">
        <v>0</v>
      </c>
      <c r="N4254" s="4">
        <v>0</v>
      </c>
      <c r="O4254" s="58">
        <v>0</v>
      </c>
      <c r="P4254" s="58">
        <v>0</v>
      </c>
      <c r="Q4254" s="58">
        <v>0</v>
      </c>
      <c r="R4254" s="58">
        <v>0</v>
      </c>
      <c r="S4254" s="58">
        <v>0</v>
      </c>
      <c r="T4254" s="58">
        <v>0</v>
      </c>
      <c r="U4254" s="58">
        <v>0</v>
      </c>
      <c r="V4254" s="58">
        <v>0</v>
      </c>
      <c r="AM4254" s="1" t="str">
        <f t="shared" si="214"/>
        <v>4252_C0005_1376.jpg</v>
      </c>
    </row>
    <row r="4255" spans="1:39" x14ac:dyDescent="0.35">
      <c r="A4255">
        <v>4251</v>
      </c>
      <c r="B4255">
        <v>4252</v>
      </c>
      <c r="F4255" s="64" t="s">
        <v>6562</v>
      </c>
      <c r="G4255" s="64"/>
      <c r="H4255" s="64"/>
      <c r="I4255" s="64">
        <v>0</v>
      </c>
      <c r="N4255" s="4">
        <v>0</v>
      </c>
      <c r="O4255" s="58">
        <v>0</v>
      </c>
      <c r="P4255" s="58">
        <v>0</v>
      </c>
      <c r="Q4255" s="58">
        <v>0</v>
      </c>
      <c r="R4255" s="58">
        <v>0</v>
      </c>
      <c r="S4255" s="58">
        <v>0</v>
      </c>
      <c r="T4255" s="58">
        <v>0</v>
      </c>
      <c r="U4255" s="58">
        <v>0</v>
      </c>
      <c r="V4255" s="58">
        <v>0</v>
      </c>
      <c r="AM4255" s="1" t="str">
        <f t="shared" si="214"/>
        <v>4253_C0005_1370.jpg</v>
      </c>
    </row>
    <row r="4256" spans="1:39" x14ac:dyDescent="0.35">
      <c r="A4256">
        <v>4252</v>
      </c>
      <c r="B4256">
        <v>4253</v>
      </c>
      <c r="F4256" s="64" t="s">
        <v>6563</v>
      </c>
      <c r="G4256" s="64"/>
      <c r="H4256" s="64"/>
      <c r="I4256" s="64">
        <v>0</v>
      </c>
      <c r="N4256" s="4">
        <v>0</v>
      </c>
      <c r="O4256" s="58">
        <v>0</v>
      </c>
      <c r="P4256" s="58">
        <v>0</v>
      </c>
      <c r="Q4256" s="58">
        <v>0</v>
      </c>
      <c r="R4256" s="58">
        <v>0</v>
      </c>
      <c r="S4256" s="58">
        <v>0</v>
      </c>
      <c r="T4256" s="58">
        <v>0</v>
      </c>
      <c r="U4256" s="58">
        <v>0</v>
      </c>
      <c r="V4256" s="58">
        <v>0</v>
      </c>
      <c r="AM4256" s="1" t="str">
        <f t="shared" si="214"/>
        <v>4254_C0005_1356.jpg</v>
      </c>
    </row>
    <row r="4257" spans="1:39" x14ac:dyDescent="0.35">
      <c r="A4257">
        <v>4253</v>
      </c>
      <c r="B4257">
        <v>4254</v>
      </c>
      <c r="F4257" s="64" t="s">
        <v>6564</v>
      </c>
      <c r="G4257" s="64"/>
      <c r="H4257" s="64"/>
      <c r="I4257" s="64">
        <v>0</v>
      </c>
      <c r="N4257" s="4">
        <v>0</v>
      </c>
      <c r="O4257" s="58">
        <v>0</v>
      </c>
      <c r="P4257" s="58">
        <v>0</v>
      </c>
      <c r="Q4257" s="58">
        <v>0</v>
      </c>
      <c r="R4257" s="58">
        <v>0</v>
      </c>
      <c r="S4257" s="58">
        <v>0</v>
      </c>
      <c r="T4257" s="58">
        <v>0</v>
      </c>
      <c r="U4257" s="58">
        <v>0</v>
      </c>
      <c r="V4257" s="58">
        <v>0</v>
      </c>
      <c r="AM4257" s="1" t="str">
        <f t="shared" si="214"/>
        <v>4255_C0005_1352.jpg</v>
      </c>
    </row>
    <row r="4258" spans="1:39" x14ac:dyDescent="0.35">
      <c r="A4258">
        <v>4254</v>
      </c>
      <c r="B4258">
        <v>4255</v>
      </c>
      <c r="F4258" s="64" t="s">
        <v>6565</v>
      </c>
      <c r="G4258" s="64"/>
      <c r="H4258" s="64"/>
      <c r="I4258" s="64">
        <v>0</v>
      </c>
      <c r="N4258" s="4">
        <v>0</v>
      </c>
      <c r="O4258" s="58">
        <v>0</v>
      </c>
      <c r="P4258" s="58">
        <v>0</v>
      </c>
      <c r="Q4258" s="58">
        <v>0</v>
      </c>
      <c r="R4258" s="58">
        <v>0</v>
      </c>
      <c r="S4258" s="58">
        <v>0</v>
      </c>
      <c r="T4258" s="58">
        <v>0</v>
      </c>
      <c r="U4258" s="58">
        <v>0</v>
      </c>
      <c r="V4258" s="58">
        <v>0</v>
      </c>
      <c r="AM4258" s="1"/>
    </row>
    <row r="4259" spans="1:39" x14ac:dyDescent="0.35">
      <c r="A4259">
        <v>4255</v>
      </c>
      <c r="B4259">
        <v>4256</v>
      </c>
      <c r="F4259" s="64"/>
      <c r="G4259" s="64"/>
      <c r="H4259" s="64" t="s">
        <v>26</v>
      </c>
      <c r="I4259" s="64"/>
      <c r="N4259" s="4"/>
      <c r="AM4259" s="1"/>
    </row>
    <row r="4260" spans="1:39" x14ac:dyDescent="0.35">
      <c r="A4260">
        <v>4256</v>
      </c>
      <c r="B4260">
        <v>4257</v>
      </c>
      <c r="F4260" s="64"/>
      <c r="G4260" s="64"/>
      <c r="H4260" s="64" t="s">
        <v>26</v>
      </c>
      <c r="I4260" s="64"/>
      <c r="N4260" s="4"/>
      <c r="AM4260" s="1"/>
    </row>
    <row r="4261" spans="1:39" x14ac:dyDescent="0.35">
      <c r="A4261">
        <v>4257</v>
      </c>
      <c r="B4261">
        <v>4258</v>
      </c>
      <c r="F4261" s="64"/>
      <c r="G4261" s="64"/>
      <c r="H4261" s="64" t="s">
        <v>26</v>
      </c>
      <c r="I4261" s="64"/>
      <c r="N4261" s="4"/>
      <c r="AM4261" s="1"/>
    </row>
    <row r="4262" spans="1:39" x14ac:dyDescent="0.35">
      <c r="A4262">
        <v>4258</v>
      </c>
      <c r="B4262">
        <v>4259</v>
      </c>
      <c r="F4262" s="64"/>
      <c r="G4262" s="64"/>
      <c r="H4262" s="64" t="s">
        <v>26</v>
      </c>
      <c r="I4262" s="64"/>
      <c r="N4262" s="4"/>
      <c r="AM4262" s="1"/>
    </row>
    <row r="4263" spans="1:39" x14ac:dyDescent="0.35">
      <c r="A4263">
        <v>4259</v>
      </c>
      <c r="B4263">
        <v>4260</v>
      </c>
      <c r="F4263" s="64"/>
      <c r="G4263" s="64"/>
      <c r="H4263" s="64" t="s">
        <v>26</v>
      </c>
      <c r="I4263" s="64"/>
      <c r="N4263" s="4"/>
      <c r="AM4263" s="1"/>
    </row>
    <row r="4264" spans="1:39" x14ac:dyDescent="0.35">
      <c r="A4264">
        <v>4260</v>
      </c>
      <c r="B4264">
        <v>4261</v>
      </c>
      <c r="F4264" s="64"/>
      <c r="G4264" s="64"/>
      <c r="H4264" s="64" t="s">
        <v>26</v>
      </c>
      <c r="I4264" s="64"/>
      <c r="N4264" s="4"/>
      <c r="AM4264" s="1"/>
    </row>
    <row r="4265" spans="1:39" x14ac:dyDescent="0.35">
      <c r="A4265">
        <v>4261</v>
      </c>
      <c r="B4265">
        <v>4262</v>
      </c>
      <c r="F4265" s="64"/>
      <c r="G4265" s="64"/>
      <c r="H4265" s="64" t="s">
        <v>26</v>
      </c>
      <c r="I4265" s="64"/>
      <c r="N4265" s="4"/>
      <c r="AM4265" s="1"/>
    </row>
    <row r="4266" spans="1:39" x14ac:dyDescent="0.35">
      <c r="A4266">
        <v>4262</v>
      </c>
      <c r="B4266">
        <v>4263</v>
      </c>
      <c r="F4266" s="64"/>
      <c r="G4266" s="64"/>
      <c r="H4266" s="64" t="s">
        <v>26</v>
      </c>
      <c r="I4266" s="64"/>
      <c r="N4266" s="4"/>
      <c r="AM4266" s="1"/>
    </row>
    <row r="4267" spans="1:39" x14ac:dyDescent="0.35">
      <c r="A4267">
        <v>4263</v>
      </c>
      <c r="B4267">
        <v>4264</v>
      </c>
      <c r="F4267" s="64"/>
      <c r="G4267" s="64"/>
      <c r="H4267" s="64" t="s">
        <v>26</v>
      </c>
      <c r="I4267" s="64"/>
      <c r="N4267" s="4"/>
      <c r="AM4267" s="1"/>
    </row>
    <row r="4268" spans="1:39" x14ac:dyDescent="0.35">
      <c r="A4268">
        <v>4264</v>
      </c>
      <c r="B4268">
        <v>4265</v>
      </c>
      <c r="F4268" s="64"/>
      <c r="G4268" s="64"/>
      <c r="H4268" s="64" t="s">
        <v>26</v>
      </c>
      <c r="I4268" s="64"/>
      <c r="N4268" s="4"/>
      <c r="AM4268" s="1"/>
    </row>
    <row r="4269" spans="1:39" x14ac:dyDescent="0.35">
      <c r="A4269">
        <v>4265</v>
      </c>
      <c r="B4269">
        <v>4266</v>
      </c>
      <c r="F4269" s="64"/>
      <c r="G4269" s="64"/>
      <c r="H4269" s="64" t="s">
        <v>26</v>
      </c>
      <c r="I4269" s="64"/>
      <c r="N4269" s="4"/>
      <c r="AM4269" s="1"/>
    </row>
    <row r="4270" spans="1:39" x14ac:dyDescent="0.35">
      <c r="A4270">
        <v>4266</v>
      </c>
      <c r="B4270">
        <v>4267</v>
      </c>
      <c r="F4270" s="64"/>
      <c r="G4270" s="64"/>
      <c r="H4270" s="64" t="s">
        <v>26</v>
      </c>
      <c r="I4270" s="64"/>
      <c r="N4270" s="4"/>
      <c r="AM4270" s="1"/>
    </row>
    <row r="4271" spans="1:39" x14ac:dyDescent="0.35">
      <c r="A4271">
        <v>4267</v>
      </c>
      <c r="B4271">
        <v>4268</v>
      </c>
      <c r="F4271" s="64"/>
      <c r="G4271" s="64"/>
      <c r="H4271" s="64" t="s">
        <v>26</v>
      </c>
      <c r="I4271" s="64"/>
      <c r="N4271" s="4"/>
      <c r="AM4271" s="1"/>
    </row>
    <row r="4272" spans="1:39" x14ac:dyDescent="0.35">
      <c r="A4272">
        <v>4268</v>
      </c>
      <c r="B4272">
        <v>4269</v>
      </c>
      <c r="F4272" s="64"/>
      <c r="G4272" s="64"/>
      <c r="H4272" s="64" t="s">
        <v>26</v>
      </c>
      <c r="I4272" s="64"/>
      <c r="N4272" s="4"/>
      <c r="AM4272" s="1"/>
    </row>
    <row r="4273" spans="1:39" x14ac:dyDescent="0.35">
      <c r="A4273">
        <v>4269</v>
      </c>
      <c r="B4273">
        <v>4270</v>
      </c>
      <c r="F4273" s="64"/>
      <c r="G4273" s="64"/>
      <c r="H4273" s="64" t="s">
        <v>26</v>
      </c>
      <c r="I4273" s="64"/>
      <c r="N4273" s="4"/>
      <c r="AM4273" s="1"/>
    </row>
    <row r="4274" spans="1:39" x14ac:dyDescent="0.35">
      <c r="A4274">
        <v>4270</v>
      </c>
      <c r="B4274">
        <v>4271</v>
      </c>
      <c r="F4274" s="64"/>
      <c r="G4274" s="64"/>
      <c r="H4274" s="64" t="s">
        <v>26</v>
      </c>
      <c r="I4274" s="64"/>
      <c r="N4274" s="4"/>
      <c r="AM4274" s="1"/>
    </row>
    <row r="4275" spans="1:39" x14ac:dyDescent="0.35">
      <c r="A4275">
        <v>4271</v>
      </c>
      <c r="B4275">
        <v>4272</v>
      </c>
      <c r="F4275" s="64"/>
      <c r="G4275" s="64"/>
      <c r="H4275" s="64" t="s">
        <v>26</v>
      </c>
      <c r="I4275" s="64"/>
      <c r="N4275" s="4"/>
      <c r="AM4275" s="1"/>
    </row>
    <row r="4276" spans="1:39" x14ac:dyDescent="0.35">
      <c r="A4276">
        <v>4272</v>
      </c>
      <c r="B4276">
        <v>4273</v>
      </c>
      <c r="F4276" s="64"/>
      <c r="G4276" s="64"/>
      <c r="H4276" s="64" t="s">
        <v>26</v>
      </c>
      <c r="I4276" s="64"/>
      <c r="N4276" s="4"/>
      <c r="AM4276" s="1"/>
    </row>
    <row r="4277" spans="1:39" x14ac:dyDescent="0.35">
      <c r="A4277">
        <v>4273</v>
      </c>
      <c r="B4277">
        <v>4274</v>
      </c>
      <c r="F4277" s="64"/>
      <c r="G4277" s="64"/>
      <c r="H4277" s="64" t="s">
        <v>26</v>
      </c>
      <c r="I4277" s="64"/>
      <c r="N4277" s="4"/>
      <c r="AM4277" s="1"/>
    </row>
    <row r="4278" spans="1:39" x14ac:dyDescent="0.35">
      <c r="A4278">
        <v>4274</v>
      </c>
      <c r="B4278">
        <v>4275</v>
      </c>
      <c r="F4278" s="64"/>
      <c r="G4278" s="64"/>
      <c r="H4278" s="64" t="s">
        <v>26</v>
      </c>
      <c r="I4278" s="64"/>
      <c r="N4278" s="4"/>
      <c r="AM4278" s="1"/>
    </row>
    <row r="4279" spans="1:39" x14ac:dyDescent="0.35">
      <c r="A4279">
        <v>4275</v>
      </c>
      <c r="B4279">
        <v>4276</v>
      </c>
      <c r="F4279" s="64"/>
      <c r="G4279" s="64"/>
      <c r="H4279" s="64" t="s">
        <v>26</v>
      </c>
      <c r="I4279" s="64"/>
      <c r="N4279" s="4"/>
      <c r="AM4279" s="1"/>
    </row>
    <row r="4280" spans="1:39" x14ac:dyDescent="0.35">
      <c r="A4280">
        <v>4276</v>
      </c>
      <c r="B4280">
        <v>4277</v>
      </c>
      <c r="F4280" s="64"/>
      <c r="G4280" s="64"/>
      <c r="H4280" s="64" t="s">
        <v>26</v>
      </c>
      <c r="I4280" s="64"/>
      <c r="N4280" s="4"/>
      <c r="AM4280" s="1"/>
    </row>
    <row r="4281" spans="1:39" x14ac:dyDescent="0.35">
      <c r="A4281">
        <v>4277</v>
      </c>
      <c r="B4281">
        <v>4278</v>
      </c>
      <c r="F4281" s="64"/>
      <c r="G4281" s="64"/>
      <c r="H4281" s="64" t="s">
        <v>26</v>
      </c>
      <c r="I4281" s="64"/>
      <c r="N4281" s="4"/>
      <c r="AM4281" s="1"/>
    </row>
    <row r="4282" spans="1:39" x14ac:dyDescent="0.35">
      <c r="A4282">
        <v>4278</v>
      </c>
      <c r="B4282">
        <v>4279</v>
      </c>
      <c r="F4282" s="64"/>
      <c r="G4282" s="64"/>
      <c r="H4282" s="64" t="s">
        <v>26</v>
      </c>
      <c r="I4282" s="64"/>
      <c r="N4282" s="4"/>
      <c r="AM4282" s="1"/>
    </row>
    <row r="4283" spans="1:39" x14ac:dyDescent="0.35">
      <c r="A4283">
        <v>4279</v>
      </c>
      <c r="B4283">
        <v>4280</v>
      </c>
      <c r="F4283" s="64"/>
      <c r="G4283" s="64"/>
      <c r="H4283" s="64" t="s">
        <v>26</v>
      </c>
      <c r="I4283" s="64"/>
      <c r="N4283" s="4"/>
      <c r="AM4283" s="1"/>
    </row>
    <row r="4284" spans="1:39" x14ac:dyDescent="0.35">
      <c r="A4284">
        <v>4280</v>
      </c>
      <c r="B4284">
        <v>4281</v>
      </c>
      <c r="F4284" s="64"/>
      <c r="G4284" s="64"/>
      <c r="H4284" s="64" t="s">
        <v>26</v>
      </c>
      <c r="I4284" s="64"/>
      <c r="N4284" s="4"/>
      <c r="AM4284" s="1"/>
    </row>
    <row r="4285" spans="1:39" x14ac:dyDescent="0.35">
      <c r="A4285">
        <v>4281</v>
      </c>
      <c r="B4285">
        <v>4282</v>
      </c>
      <c r="F4285" s="64"/>
      <c r="G4285" s="64"/>
      <c r="H4285" s="64" t="s">
        <v>26</v>
      </c>
      <c r="I4285" s="64"/>
      <c r="N4285" s="4"/>
      <c r="AM4285" s="1"/>
    </row>
    <row r="4286" spans="1:39" x14ac:dyDescent="0.35">
      <c r="A4286">
        <v>4282</v>
      </c>
      <c r="B4286">
        <v>4283</v>
      </c>
      <c r="F4286" s="64"/>
      <c r="G4286" s="64"/>
      <c r="H4286" s="64" t="s">
        <v>26</v>
      </c>
      <c r="I4286" s="64"/>
      <c r="N4286" s="4"/>
      <c r="AM4286" s="1"/>
    </row>
    <row r="4287" spans="1:39" x14ac:dyDescent="0.35">
      <c r="A4287">
        <v>4283</v>
      </c>
      <c r="B4287">
        <v>4284</v>
      </c>
      <c r="F4287" s="64"/>
      <c r="G4287" s="64"/>
      <c r="H4287" s="64" t="s">
        <v>26</v>
      </c>
      <c r="I4287" s="64"/>
      <c r="N4287" s="4"/>
      <c r="AM4287" s="1"/>
    </row>
    <row r="4288" spans="1:39" x14ac:dyDescent="0.35">
      <c r="A4288">
        <v>4284</v>
      </c>
      <c r="B4288">
        <v>4285</v>
      </c>
      <c r="F4288" s="64"/>
      <c r="G4288" s="64"/>
      <c r="H4288" s="64" t="s">
        <v>26</v>
      </c>
      <c r="I4288" s="64"/>
      <c r="N4288" s="4"/>
      <c r="AM4288" s="1"/>
    </row>
    <row r="4289" spans="1:39" x14ac:dyDescent="0.35">
      <c r="A4289">
        <v>4285</v>
      </c>
      <c r="B4289">
        <v>4286</v>
      </c>
      <c r="F4289" s="64"/>
      <c r="G4289" s="64"/>
      <c r="H4289" s="64" t="s">
        <v>26</v>
      </c>
      <c r="I4289" s="64"/>
      <c r="N4289" s="4"/>
      <c r="AM4289" s="1"/>
    </row>
    <row r="4290" spans="1:39" x14ac:dyDescent="0.35">
      <c r="A4290">
        <v>4286</v>
      </c>
      <c r="B4290">
        <v>4287</v>
      </c>
      <c r="F4290" s="64"/>
      <c r="G4290" s="64"/>
      <c r="H4290" s="64" t="s">
        <v>26</v>
      </c>
      <c r="I4290" s="64"/>
      <c r="N4290" s="4"/>
      <c r="AM4290" s="1"/>
    </row>
    <row r="4291" spans="1:39" x14ac:dyDescent="0.35">
      <c r="A4291">
        <v>4287</v>
      </c>
      <c r="B4291">
        <v>4288</v>
      </c>
      <c r="F4291" s="64"/>
      <c r="G4291" s="64"/>
      <c r="H4291" s="64" t="s">
        <v>26</v>
      </c>
      <c r="I4291" s="64"/>
      <c r="N4291" s="4"/>
      <c r="AM4291" s="1"/>
    </row>
    <row r="4292" spans="1:39" x14ac:dyDescent="0.35">
      <c r="A4292">
        <v>4288</v>
      </c>
      <c r="B4292">
        <v>4289</v>
      </c>
      <c r="F4292" s="64"/>
      <c r="G4292" s="64"/>
      <c r="H4292" s="64" t="s">
        <v>26</v>
      </c>
      <c r="I4292" s="64"/>
      <c r="N4292" s="4"/>
      <c r="AM4292" s="1"/>
    </row>
    <row r="4293" spans="1:39" x14ac:dyDescent="0.35">
      <c r="A4293">
        <v>4289</v>
      </c>
      <c r="B4293">
        <v>4290</v>
      </c>
      <c r="F4293" s="64"/>
      <c r="G4293" s="64"/>
      <c r="H4293" s="64" t="s">
        <v>26</v>
      </c>
      <c r="I4293" s="64"/>
      <c r="N4293" s="4"/>
      <c r="AM4293" s="1"/>
    </row>
    <row r="4294" spans="1:39" x14ac:dyDescent="0.35">
      <c r="A4294">
        <v>4290</v>
      </c>
      <c r="B4294">
        <v>4291</v>
      </c>
      <c r="F4294" s="64"/>
      <c r="G4294" s="64"/>
      <c r="H4294" s="64" t="s">
        <v>26</v>
      </c>
      <c r="I4294" s="64"/>
      <c r="N4294" s="4"/>
      <c r="AM4294" s="1"/>
    </row>
    <row r="4295" spans="1:39" x14ac:dyDescent="0.35">
      <c r="A4295">
        <v>4291</v>
      </c>
      <c r="B4295">
        <v>4292</v>
      </c>
      <c r="F4295" s="64"/>
      <c r="G4295" s="64"/>
      <c r="H4295" s="64" t="s">
        <v>26</v>
      </c>
      <c r="I4295" s="64"/>
      <c r="N4295" s="4"/>
      <c r="AM4295" s="1"/>
    </row>
    <row r="4296" spans="1:39" x14ac:dyDescent="0.35">
      <c r="A4296">
        <v>4292</v>
      </c>
      <c r="B4296">
        <v>4293</v>
      </c>
      <c r="F4296" s="64"/>
      <c r="G4296" s="64"/>
      <c r="H4296" s="64" t="s">
        <v>26</v>
      </c>
      <c r="I4296" s="64"/>
      <c r="N4296" s="4"/>
      <c r="AM4296" s="1"/>
    </row>
    <row r="4297" spans="1:39" x14ac:dyDescent="0.35">
      <c r="A4297">
        <v>4293</v>
      </c>
      <c r="B4297">
        <v>4294</v>
      </c>
      <c r="F4297" s="64"/>
      <c r="G4297" s="64"/>
      <c r="H4297" s="64" t="s">
        <v>26</v>
      </c>
      <c r="I4297" s="64"/>
      <c r="N4297" s="4"/>
      <c r="AM4297" s="1"/>
    </row>
    <row r="4298" spans="1:39" x14ac:dyDescent="0.35">
      <c r="A4298">
        <v>4294</v>
      </c>
      <c r="B4298">
        <v>4295</v>
      </c>
      <c r="F4298" s="64"/>
      <c r="G4298" s="64"/>
      <c r="H4298" s="64" t="s">
        <v>26</v>
      </c>
      <c r="I4298" s="64"/>
      <c r="N4298" s="4"/>
      <c r="AM4298" s="1"/>
    </row>
    <row r="4299" spans="1:39" x14ac:dyDescent="0.35">
      <c r="A4299">
        <v>4295</v>
      </c>
      <c r="B4299">
        <v>4296</v>
      </c>
      <c r="F4299" s="64"/>
      <c r="G4299" s="64"/>
      <c r="H4299" s="64" t="s">
        <v>26</v>
      </c>
      <c r="I4299" s="64"/>
      <c r="N4299" s="4"/>
      <c r="AM4299" s="1"/>
    </row>
    <row r="4300" spans="1:39" x14ac:dyDescent="0.35">
      <c r="A4300">
        <v>4296</v>
      </c>
      <c r="B4300">
        <v>4297</v>
      </c>
      <c r="F4300" s="64"/>
      <c r="G4300" s="64"/>
      <c r="H4300" s="64" t="s">
        <v>26</v>
      </c>
      <c r="I4300" s="64"/>
      <c r="N4300" s="4"/>
      <c r="AM4300" s="1"/>
    </row>
    <row r="4301" spans="1:39" x14ac:dyDescent="0.35">
      <c r="A4301">
        <v>4297</v>
      </c>
      <c r="B4301">
        <v>4298</v>
      </c>
      <c r="F4301" s="64"/>
      <c r="G4301" s="64"/>
      <c r="H4301" s="64" t="s">
        <v>26</v>
      </c>
      <c r="I4301" s="64"/>
      <c r="N4301" s="4"/>
      <c r="AM4301" s="1"/>
    </row>
    <row r="4302" spans="1:39" x14ac:dyDescent="0.35">
      <c r="A4302">
        <v>4298</v>
      </c>
      <c r="B4302">
        <v>4299</v>
      </c>
      <c r="F4302" s="64"/>
      <c r="G4302" s="64"/>
      <c r="H4302" s="64" t="s">
        <v>26</v>
      </c>
      <c r="I4302" s="64"/>
      <c r="N4302" s="4"/>
      <c r="AM4302" s="1"/>
    </row>
    <row r="4303" spans="1:39" x14ac:dyDescent="0.35">
      <c r="A4303">
        <v>4299</v>
      </c>
      <c r="B4303">
        <v>4300</v>
      </c>
      <c r="F4303" s="64"/>
      <c r="G4303" s="64"/>
      <c r="H4303" s="64" t="s">
        <v>26</v>
      </c>
      <c r="I4303" s="64"/>
      <c r="N4303" s="4"/>
      <c r="AM4303" s="1"/>
    </row>
    <row r="4304" spans="1:39" x14ac:dyDescent="0.35">
      <c r="A4304">
        <v>4300</v>
      </c>
      <c r="B4304">
        <v>4301</v>
      </c>
      <c r="F4304" s="64"/>
      <c r="G4304" s="64"/>
      <c r="H4304" s="64" t="s">
        <v>26</v>
      </c>
      <c r="I4304" s="64"/>
      <c r="N4304" s="4"/>
      <c r="AM4304" s="1"/>
    </row>
    <row r="4305" spans="1:39" x14ac:dyDescent="0.35">
      <c r="A4305">
        <v>4301</v>
      </c>
      <c r="B4305">
        <v>4302</v>
      </c>
      <c r="F4305" s="64"/>
      <c r="G4305" s="64"/>
      <c r="H4305" s="64" t="s">
        <v>26</v>
      </c>
      <c r="I4305" s="64"/>
      <c r="N4305" s="4"/>
      <c r="AM4305" s="1"/>
    </row>
    <row r="4306" spans="1:39" x14ac:dyDescent="0.35">
      <c r="A4306">
        <v>4302</v>
      </c>
      <c r="B4306">
        <v>4303</v>
      </c>
      <c r="F4306" s="64"/>
      <c r="G4306" s="64"/>
      <c r="H4306" s="64" t="s">
        <v>26</v>
      </c>
      <c r="I4306" s="64"/>
      <c r="N4306" s="4"/>
      <c r="AM4306" s="1"/>
    </row>
    <row r="4307" spans="1:39" x14ac:dyDescent="0.35">
      <c r="A4307">
        <v>4303</v>
      </c>
      <c r="B4307">
        <v>4304</v>
      </c>
      <c r="F4307" s="64"/>
      <c r="G4307" s="64"/>
      <c r="H4307" s="64" t="s">
        <v>26</v>
      </c>
      <c r="I4307" s="64"/>
      <c r="N4307" s="4"/>
      <c r="AM4307" s="1"/>
    </row>
    <row r="4308" spans="1:39" x14ac:dyDescent="0.35">
      <c r="A4308">
        <v>4304</v>
      </c>
      <c r="B4308">
        <v>4305</v>
      </c>
      <c r="F4308" s="64"/>
      <c r="G4308" s="64"/>
      <c r="H4308" s="64" t="s">
        <v>26</v>
      </c>
      <c r="I4308" s="64"/>
      <c r="N4308" s="4"/>
      <c r="AM4308" s="1"/>
    </row>
    <row r="4309" spans="1:39" x14ac:dyDescent="0.35">
      <c r="A4309">
        <v>4305</v>
      </c>
      <c r="B4309">
        <v>4306</v>
      </c>
      <c r="F4309" s="64"/>
      <c r="G4309" s="64"/>
      <c r="H4309" s="64" t="s">
        <v>26</v>
      </c>
      <c r="I4309" s="64"/>
      <c r="N4309" s="4"/>
      <c r="AM4309" s="1"/>
    </row>
    <row r="4310" spans="1:39" x14ac:dyDescent="0.35">
      <c r="A4310">
        <v>4306</v>
      </c>
      <c r="B4310">
        <v>4307</v>
      </c>
      <c r="F4310" s="64"/>
      <c r="G4310" s="64"/>
      <c r="H4310" s="64" t="s">
        <v>26</v>
      </c>
      <c r="I4310" s="64"/>
      <c r="N4310" s="4"/>
      <c r="AM4310" s="1"/>
    </row>
    <row r="4311" spans="1:39" x14ac:dyDescent="0.35">
      <c r="A4311">
        <v>4307</v>
      </c>
      <c r="B4311">
        <v>4308</v>
      </c>
      <c r="F4311" s="64"/>
      <c r="G4311" s="64"/>
      <c r="H4311" s="64" t="s">
        <v>26</v>
      </c>
      <c r="I4311" s="64"/>
      <c r="N4311" s="4"/>
      <c r="AM4311" s="1"/>
    </row>
    <row r="4312" spans="1:39" x14ac:dyDescent="0.35">
      <c r="A4312">
        <v>4308</v>
      </c>
      <c r="B4312">
        <v>4309</v>
      </c>
      <c r="F4312" s="64"/>
      <c r="G4312" s="64"/>
      <c r="H4312" s="64" t="s">
        <v>26</v>
      </c>
      <c r="I4312" s="64"/>
      <c r="N4312" s="4"/>
      <c r="AM4312" s="1"/>
    </row>
    <row r="4313" spans="1:39" x14ac:dyDescent="0.35">
      <c r="A4313">
        <v>4309</v>
      </c>
      <c r="B4313">
        <v>4310</v>
      </c>
      <c r="F4313" s="64"/>
      <c r="G4313" s="64"/>
      <c r="H4313" s="64" t="s">
        <v>26</v>
      </c>
      <c r="I4313" s="64"/>
      <c r="N4313" s="4"/>
      <c r="AM4313" s="1"/>
    </row>
    <row r="4314" spans="1:39" x14ac:dyDescent="0.35">
      <c r="A4314">
        <v>4310</v>
      </c>
      <c r="B4314">
        <v>4311</v>
      </c>
      <c r="F4314" s="64"/>
      <c r="G4314" s="64"/>
      <c r="H4314" s="64" t="s">
        <v>26</v>
      </c>
      <c r="I4314" s="64"/>
      <c r="N4314" s="4"/>
      <c r="AM4314" s="1"/>
    </row>
    <row r="4315" spans="1:39" x14ac:dyDescent="0.35">
      <c r="A4315">
        <v>4311</v>
      </c>
      <c r="B4315">
        <v>4312</v>
      </c>
      <c r="F4315" s="64"/>
      <c r="G4315" s="64"/>
      <c r="H4315" s="64" t="s">
        <v>26</v>
      </c>
      <c r="I4315" s="64"/>
      <c r="N4315" s="4"/>
      <c r="AM4315" s="1"/>
    </row>
    <row r="4316" spans="1:39" x14ac:dyDescent="0.35">
      <c r="A4316">
        <v>4312</v>
      </c>
      <c r="B4316">
        <v>4313</v>
      </c>
      <c r="F4316" s="64"/>
      <c r="G4316" s="64"/>
      <c r="H4316" s="64" t="s">
        <v>26</v>
      </c>
      <c r="I4316" s="64"/>
      <c r="N4316" s="4"/>
      <c r="AM4316" s="1"/>
    </row>
    <row r="4317" spans="1:39" x14ac:dyDescent="0.35">
      <c r="A4317">
        <v>4313</v>
      </c>
      <c r="B4317">
        <v>4314</v>
      </c>
      <c r="F4317" s="64"/>
      <c r="G4317" s="64"/>
      <c r="H4317" s="64" t="s">
        <v>26</v>
      </c>
      <c r="I4317" s="64"/>
      <c r="N4317" s="4"/>
      <c r="AM4317" s="1"/>
    </row>
    <row r="4318" spans="1:39" x14ac:dyDescent="0.35">
      <c r="A4318">
        <v>4314</v>
      </c>
      <c r="B4318">
        <v>4315</v>
      </c>
      <c r="F4318" s="64"/>
      <c r="G4318" s="64"/>
      <c r="H4318" s="64" t="s">
        <v>26</v>
      </c>
      <c r="I4318" s="64"/>
      <c r="N4318" s="4"/>
      <c r="AM4318" s="1"/>
    </row>
    <row r="4319" spans="1:39" x14ac:dyDescent="0.35">
      <c r="A4319">
        <v>4315</v>
      </c>
      <c r="B4319">
        <v>4316</v>
      </c>
      <c r="F4319" s="64"/>
      <c r="G4319" s="64"/>
      <c r="H4319" s="64" t="s">
        <v>26</v>
      </c>
      <c r="I4319" s="64"/>
      <c r="N4319" s="4"/>
      <c r="AM4319" s="1"/>
    </row>
    <row r="4320" spans="1:39" x14ac:dyDescent="0.35">
      <c r="A4320">
        <v>4316</v>
      </c>
      <c r="B4320">
        <v>4317</v>
      </c>
      <c r="F4320" s="64"/>
      <c r="G4320" s="64"/>
      <c r="H4320" s="64" t="s">
        <v>26</v>
      </c>
      <c r="I4320" s="64"/>
      <c r="N4320" s="4"/>
      <c r="AM4320" s="1"/>
    </row>
    <row r="4321" spans="1:39" x14ac:dyDescent="0.35">
      <c r="A4321">
        <v>4317</v>
      </c>
      <c r="B4321">
        <v>4318</v>
      </c>
      <c r="F4321" s="64"/>
      <c r="G4321" s="64"/>
      <c r="H4321" s="64" t="s">
        <v>26</v>
      </c>
      <c r="I4321" s="64"/>
      <c r="N4321" s="4"/>
      <c r="AM4321" s="1"/>
    </row>
    <row r="4322" spans="1:39" x14ac:dyDescent="0.35">
      <c r="A4322">
        <v>4318</v>
      </c>
      <c r="B4322">
        <v>4319</v>
      </c>
      <c r="F4322" s="64"/>
      <c r="G4322" s="64"/>
      <c r="H4322" s="64" t="s">
        <v>26</v>
      </c>
      <c r="I4322" s="64"/>
      <c r="N4322" s="4"/>
      <c r="AM4322" s="1"/>
    </row>
    <row r="4323" spans="1:39" x14ac:dyDescent="0.35">
      <c r="A4323">
        <v>4319</v>
      </c>
      <c r="B4323">
        <v>4320</v>
      </c>
      <c r="F4323" s="64"/>
      <c r="G4323" s="64"/>
      <c r="H4323" s="64" t="s">
        <v>26</v>
      </c>
      <c r="I4323" s="64"/>
      <c r="N4323" s="4"/>
      <c r="AM4323" s="1"/>
    </row>
    <row r="4324" spans="1:39" x14ac:dyDescent="0.35">
      <c r="A4324">
        <v>4320</v>
      </c>
      <c r="B4324">
        <v>4321</v>
      </c>
      <c r="F4324" s="64"/>
      <c r="G4324" s="64"/>
      <c r="H4324" s="64" t="s">
        <v>26</v>
      </c>
      <c r="I4324" s="64"/>
      <c r="N4324" s="4"/>
      <c r="AM4324" s="1"/>
    </row>
    <row r="4325" spans="1:39" x14ac:dyDescent="0.35">
      <c r="A4325">
        <v>4321</v>
      </c>
      <c r="B4325">
        <v>4322</v>
      </c>
      <c r="F4325" s="64"/>
      <c r="G4325" s="64"/>
      <c r="H4325" s="64" t="s">
        <v>26</v>
      </c>
      <c r="I4325" s="64"/>
      <c r="N4325" s="4"/>
      <c r="AM4325" s="1"/>
    </row>
    <row r="4326" spans="1:39" x14ac:dyDescent="0.35">
      <c r="A4326">
        <v>4322</v>
      </c>
      <c r="B4326">
        <v>4323</v>
      </c>
      <c r="F4326" s="64"/>
      <c r="G4326" s="64"/>
      <c r="H4326" s="64" t="s">
        <v>26</v>
      </c>
      <c r="I4326" s="64"/>
      <c r="N4326" s="4"/>
      <c r="AM4326" s="1"/>
    </row>
    <row r="4327" spans="1:39" x14ac:dyDescent="0.35">
      <c r="A4327">
        <v>4323</v>
      </c>
      <c r="B4327">
        <v>4324</v>
      </c>
      <c r="F4327" s="64"/>
      <c r="G4327" s="64"/>
      <c r="H4327" s="64" t="s">
        <v>26</v>
      </c>
      <c r="I4327" s="64"/>
      <c r="N4327" s="4"/>
      <c r="AM4327" s="1"/>
    </row>
    <row r="4328" spans="1:39" x14ac:dyDescent="0.35">
      <c r="A4328">
        <v>4324</v>
      </c>
      <c r="B4328">
        <v>4325</v>
      </c>
      <c r="F4328" s="64"/>
      <c r="G4328" s="64"/>
      <c r="H4328" s="64" t="s">
        <v>26</v>
      </c>
      <c r="I4328" s="64"/>
      <c r="N4328" s="4"/>
      <c r="AM4328" s="1"/>
    </row>
    <row r="4329" spans="1:39" x14ac:dyDescent="0.35">
      <c r="A4329">
        <v>4325</v>
      </c>
      <c r="B4329">
        <v>4326</v>
      </c>
      <c r="F4329" s="64"/>
      <c r="G4329" s="64"/>
      <c r="H4329" s="64" t="s">
        <v>26</v>
      </c>
      <c r="I4329" s="64"/>
      <c r="N4329" s="4"/>
      <c r="AM4329" s="1"/>
    </row>
    <row r="4330" spans="1:39" x14ac:dyDescent="0.35">
      <c r="A4330">
        <v>4326</v>
      </c>
      <c r="B4330">
        <v>4327</v>
      </c>
      <c r="F4330" s="64"/>
      <c r="G4330" s="64"/>
      <c r="H4330" s="64" t="s">
        <v>26</v>
      </c>
      <c r="I4330" s="64"/>
      <c r="N4330" s="4"/>
      <c r="AM4330" s="1"/>
    </row>
    <row r="4331" spans="1:39" x14ac:dyDescent="0.35">
      <c r="A4331">
        <v>4327</v>
      </c>
      <c r="B4331">
        <v>4328</v>
      </c>
      <c r="F4331" s="64"/>
      <c r="G4331" s="64"/>
      <c r="H4331" s="64" t="s">
        <v>26</v>
      </c>
      <c r="I4331" s="64"/>
      <c r="N4331" s="4"/>
      <c r="AM4331" s="1"/>
    </row>
    <row r="4332" spans="1:39" x14ac:dyDescent="0.35">
      <c r="A4332">
        <v>4328</v>
      </c>
      <c r="B4332">
        <v>4329</v>
      </c>
      <c r="F4332" s="64"/>
      <c r="G4332" s="64"/>
      <c r="H4332" s="64" t="s">
        <v>26</v>
      </c>
      <c r="I4332" s="64"/>
      <c r="N4332" s="4"/>
      <c r="AM4332" s="1"/>
    </row>
    <row r="4333" spans="1:39" x14ac:dyDescent="0.35">
      <c r="A4333">
        <v>4329</v>
      </c>
      <c r="B4333">
        <v>4330</v>
      </c>
      <c r="F4333" s="64"/>
      <c r="G4333" s="64"/>
      <c r="H4333" s="64" t="s">
        <v>26</v>
      </c>
      <c r="I4333" s="64"/>
      <c r="N4333" s="4"/>
      <c r="AM4333" s="1"/>
    </row>
    <row r="4334" spans="1:39" x14ac:dyDescent="0.35">
      <c r="A4334">
        <v>4330</v>
      </c>
      <c r="B4334">
        <v>4331</v>
      </c>
      <c r="F4334" s="64"/>
      <c r="G4334" s="64"/>
      <c r="H4334" s="64" t="s">
        <v>26</v>
      </c>
      <c r="I4334" s="64"/>
      <c r="N4334" s="4"/>
      <c r="AM4334" s="1"/>
    </row>
    <row r="4335" spans="1:39" x14ac:dyDescent="0.35">
      <c r="A4335">
        <v>4331</v>
      </c>
      <c r="B4335">
        <v>4332</v>
      </c>
      <c r="F4335" s="64"/>
      <c r="G4335" s="64"/>
      <c r="H4335" s="64" t="s">
        <v>26</v>
      </c>
      <c r="I4335" s="64"/>
      <c r="N4335" s="4"/>
      <c r="AM4335" s="1"/>
    </row>
    <row r="4336" spans="1:39" x14ac:dyDescent="0.35">
      <c r="A4336">
        <v>4332</v>
      </c>
      <c r="B4336">
        <v>4333</v>
      </c>
      <c r="F4336" s="64"/>
      <c r="G4336" s="64"/>
      <c r="H4336" s="64" t="s">
        <v>26</v>
      </c>
      <c r="I4336" s="64"/>
      <c r="N4336" s="4"/>
      <c r="AM4336" s="1"/>
    </row>
    <row r="4337" spans="1:39" x14ac:dyDescent="0.35">
      <c r="A4337">
        <v>4333</v>
      </c>
      <c r="B4337">
        <v>4334</v>
      </c>
      <c r="F4337" s="64"/>
      <c r="G4337" s="64"/>
      <c r="H4337" s="64" t="s">
        <v>26</v>
      </c>
      <c r="I4337" s="64"/>
      <c r="N4337" s="4"/>
      <c r="AM4337" s="1"/>
    </row>
    <row r="4338" spans="1:39" x14ac:dyDescent="0.35">
      <c r="A4338">
        <v>4334</v>
      </c>
      <c r="B4338">
        <v>4335</v>
      </c>
      <c r="F4338" s="64"/>
      <c r="G4338" s="64"/>
      <c r="H4338" s="64" t="s">
        <v>26</v>
      </c>
      <c r="I4338" s="64"/>
      <c r="N4338" s="4"/>
      <c r="AM4338" s="1"/>
    </row>
    <row r="4339" spans="1:39" x14ac:dyDescent="0.35">
      <c r="A4339">
        <v>4335</v>
      </c>
      <c r="B4339">
        <v>4336</v>
      </c>
      <c r="F4339" s="64"/>
      <c r="G4339" s="64"/>
      <c r="H4339" s="64" t="s">
        <v>26</v>
      </c>
      <c r="I4339" s="64"/>
      <c r="N4339" s="4"/>
      <c r="AM4339" s="1"/>
    </row>
    <row r="4340" spans="1:39" x14ac:dyDescent="0.35">
      <c r="A4340">
        <v>4336</v>
      </c>
      <c r="B4340">
        <v>4337</v>
      </c>
      <c r="F4340" s="64"/>
      <c r="G4340" s="64"/>
      <c r="H4340" s="64" t="s">
        <v>26</v>
      </c>
      <c r="I4340" s="64"/>
      <c r="N4340" s="4"/>
      <c r="AM4340" s="1"/>
    </row>
    <row r="4341" spans="1:39" x14ac:dyDescent="0.35">
      <c r="A4341">
        <v>4337</v>
      </c>
      <c r="B4341">
        <v>4338</v>
      </c>
      <c r="F4341" s="64"/>
      <c r="G4341" s="64"/>
      <c r="H4341" s="64" t="s">
        <v>26</v>
      </c>
      <c r="I4341" s="64"/>
      <c r="N4341" s="4"/>
      <c r="AM4341" s="1"/>
    </row>
    <row r="4342" spans="1:39" x14ac:dyDescent="0.35">
      <c r="A4342">
        <v>4338</v>
      </c>
      <c r="B4342">
        <v>4339</v>
      </c>
      <c r="F4342" s="64"/>
      <c r="G4342" s="64"/>
      <c r="H4342" s="64" t="s">
        <v>26</v>
      </c>
      <c r="I4342" s="64"/>
      <c r="N4342" s="4"/>
      <c r="AM4342" s="1"/>
    </row>
    <row r="4343" spans="1:39" x14ac:dyDescent="0.35">
      <c r="A4343">
        <v>4339</v>
      </c>
      <c r="B4343">
        <v>4340</v>
      </c>
      <c r="F4343" s="64"/>
      <c r="G4343" s="64"/>
      <c r="H4343" s="64" t="s">
        <v>26</v>
      </c>
      <c r="I4343" s="64"/>
      <c r="N4343" s="4"/>
      <c r="AM4343" s="1"/>
    </row>
    <row r="4344" spans="1:39" x14ac:dyDescent="0.35">
      <c r="A4344">
        <v>4340</v>
      </c>
      <c r="B4344">
        <v>4341</v>
      </c>
      <c r="F4344" s="64"/>
      <c r="G4344" s="64"/>
      <c r="H4344" s="64" t="s">
        <v>26</v>
      </c>
      <c r="I4344" s="64"/>
      <c r="N4344" s="4"/>
      <c r="AM4344" s="1"/>
    </row>
    <row r="4345" spans="1:39" x14ac:dyDescent="0.35">
      <c r="A4345">
        <v>4341</v>
      </c>
      <c r="B4345">
        <v>4342</v>
      </c>
      <c r="F4345" s="64"/>
      <c r="G4345" s="64"/>
      <c r="H4345" s="64" t="s">
        <v>26</v>
      </c>
      <c r="I4345" s="64"/>
      <c r="N4345" s="4"/>
      <c r="AM4345" s="1"/>
    </row>
    <row r="4346" spans="1:39" x14ac:dyDescent="0.35">
      <c r="A4346">
        <v>4342</v>
      </c>
      <c r="B4346">
        <v>4343</v>
      </c>
      <c r="F4346" s="64"/>
      <c r="G4346" s="64"/>
      <c r="H4346" s="64" t="s">
        <v>26</v>
      </c>
      <c r="I4346" s="64"/>
      <c r="N4346" s="4"/>
      <c r="AM4346" s="1"/>
    </row>
    <row r="4347" spans="1:39" x14ac:dyDescent="0.35">
      <c r="A4347">
        <v>4343</v>
      </c>
      <c r="B4347">
        <v>4344</v>
      </c>
      <c r="F4347" s="64"/>
      <c r="G4347" s="64"/>
      <c r="H4347" s="64" t="s">
        <v>26</v>
      </c>
      <c r="I4347" s="64"/>
      <c r="N4347" s="4"/>
      <c r="AM4347" s="1"/>
    </row>
    <row r="4348" spans="1:39" x14ac:dyDescent="0.35">
      <c r="A4348">
        <v>4344</v>
      </c>
      <c r="B4348">
        <v>4345</v>
      </c>
      <c r="F4348" s="64"/>
      <c r="G4348" s="64"/>
      <c r="H4348" s="64" t="s">
        <v>26</v>
      </c>
      <c r="I4348" s="64"/>
      <c r="N4348" s="4"/>
      <c r="AM4348" s="1"/>
    </row>
    <row r="4349" spans="1:39" x14ac:dyDescent="0.35">
      <c r="A4349">
        <v>4345</v>
      </c>
      <c r="B4349">
        <v>4346</v>
      </c>
      <c r="F4349" s="64"/>
      <c r="G4349" s="64"/>
      <c r="H4349" s="64" t="s">
        <v>26</v>
      </c>
      <c r="I4349" s="64"/>
      <c r="N4349" s="4"/>
      <c r="AM4349" s="1"/>
    </row>
    <row r="4350" spans="1:39" x14ac:dyDescent="0.35">
      <c r="A4350">
        <v>4346</v>
      </c>
      <c r="B4350">
        <v>4347</v>
      </c>
      <c r="F4350" s="64"/>
      <c r="G4350" s="64"/>
      <c r="H4350" s="64" t="s">
        <v>26</v>
      </c>
      <c r="I4350" s="64"/>
      <c r="N4350" s="4"/>
      <c r="AM4350" s="1"/>
    </row>
    <row r="4351" spans="1:39" x14ac:dyDescent="0.35">
      <c r="A4351">
        <v>4347</v>
      </c>
      <c r="B4351">
        <v>4348</v>
      </c>
      <c r="F4351" s="64"/>
      <c r="G4351" s="64"/>
      <c r="H4351" s="64" t="s">
        <v>26</v>
      </c>
      <c r="I4351" s="64"/>
      <c r="N4351" s="4"/>
      <c r="AM4351" s="1"/>
    </row>
    <row r="4352" spans="1:39" x14ac:dyDescent="0.35">
      <c r="A4352">
        <v>4348</v>
      </c>
      <c r="B4352">
        <v>4349</v>
      </c>
      <c r="F4352" s="64"/>
      <c r="G4352" s="64"/>
      <c r="H4352" s="64" t="s">
        <v>26</v>
      </c>
      <c r="I4352" s="64"/>
      <c r="N4352" s="4"/>
      <c r="AM4352" s="1"/>
    </row>
    <row r="4353" spans="1:39" x14ac:dyDescent="0.35">
      <c r="A4353">
        <v>4349</v>
      </c>
      <c r="B4353">
        <v>4350</v>
      </c>
      <c r="F4353" s="64"/>
      <c r="G4353" s="64"/>
      <c r="H4353" s="64" t="s">
        <v>26</v>
      </c>
      <c r="I4353" s="64"/>
      <c r="N4353" s="4"/>
      <c r="AM4353" s="1"/>
    </row>
    <row r="4354" spans="1:39" x14ac:dyDescent="0.35">
      <c r="A4354">
        <v>4350</v>
      </c>
      <c r="B4354">
        <v>4351</v>
      </c>
      <c r="F4354" s="64"/>
      <c r="G4354" s="64"/>
      <c r="H4354" s="64" t="s">
        <v>26</v>
      </c>
      <c r="I4354" s="64"/>
      <c r="N4354" s="4"/>
      <c r="AM4354" s="1"/>
    </row>
    <row r="4355" spans="1:39" x14ac:dyDescent="0.35">
      <c r="A4355">
        <v>4351</v>
      </c>
      <c r="B4355">
        <v>4352</v>
      </c>
      <c r="F4355" s="64"/>
      <c r="G4355" s="64"/>
      <c r="H4355" s="64" t="s">
        <v>26</v>
      </c>
      <c r="I4355" s="64"/>
      <c r="N4355" s="4"/>
      <c r="AM4355" s="1"/>
    </row>
    <row r="4356" spans="1:39" x14ac:dyDescent="0.35">
      <c r="A4356">
        <v>4352</v>
      </c>
      <c r="B4356">
        <v>4353</v>
      </c>
      <c r="F4356" s="64"/>
      <c r="G4356" s="64"/>
      <c r="H4356" s="64" t="s">
        <v>26</v>
      </c>
      <c r="I4356" s="64"/>
      <c r="N4356" s="4"/>
      <c r="AM4356" s="1"/>
    </row>
    <row r="4357" spans="1:39" x14ac:dyDescent="0.35">
      <c r="A4357">
        <v>4353</v>
      </c>
      <c r="B4357">
        <v>4354</v>
      </c>
      <c r="F4357" s="64"/>
      <c r="G4357" s="64"/>
      <c r="H4357" s="64" t="s">
        <v>26</v>
      </c>
      <c r="I4357" s="64"/>
      <c r="N4357" s="4"/>
      <c r="AM4357" s="1"/>
    </row>
    <row r="4358" spans="1:39" x14ac:dyDescent="0.35">
      <c r="A4358">
        <v>4354</v>
      </c>
      <c r="B4358">
        <v>4355</v>
      </c>
      <c r="F4358" s="64"/>
      <c r="G4358" s="64"/>
      <c r="H4358" s="64" t="s">
        <v>26</v>
      </c>
      <c r="I4358" s="64"/>
      <c r="N4358" s="4"/>
      <c r="AM4358" s="1"/>
    </row>
    <row r="4359" spans="1:39" x14ac:dyDescent="0.35">
      <c r="A4359">
        <v>4355</v>
      </c>
      <c r="B4359">
        <v>4356</v>
      </c>
      <c r="F4359" s="64"/>
      <c r="G4359" s="64"/>
      <c r="H4359" s="64" t="s">
        <v>26</v>
      </c>
      <c r="I4359" s="64"/>
      <c r="N4359" s="4"/>
      <c r="AM4359" s="1"/>
    </row>
    <row r="4360" spans="1:39" x14ac:dyDescent="0.35">
      <c r="A4360">
        <v>4356</v>
      </c>
      <c r="B4360">
        <v>4357</v>
      </c>
      <c r="F4360" s="64"/>
      <c r="G4360" s="64"/>
      <c r="H4360" s="64" t="s">
        <v>26</v>
      </c>
      <c r="I4360" s="64"/>
      <c r="N4360" s="4"/>
      <c r="AM4360" s="1"/>
    </row>
    <row r="4361" spans="1:39" x14ac:dyDescent="0.35">
      <c r="A4361">
        <v>4357</v>
      </c>
      <c r="B4361">
        <v>4358</v>
      </c>
      <c r="F4361" s="64"/>
      <c r="G4361" s="64"/>
      <c r="H4361" s="64" t="s">
        <v>26</v>
      </c>
      <c r="I4361" s="64"/>
      <c r="N4361" s="4"/>
      <c r="AM4361" s="1"/>
    </row>
    <row r="4362" spans="1:39" x14ac:dyDescent="0.35">
      <c r="A4362">
        <v>4358</v>
      </c>
      <c r="B4362">
        <v>4359</v>
      </c>
      <c r="F4362" s="64"/>
      <c r="G4362" s="64"/>
      <c r="H4362" s="64" t="s">
        <v>26</v>
      </c>
      <c r="I4362" s="64"/>
      <c r="N4362" s="4"/>
      <c r="AM4362" s="1"/>
    </row>
    <row r="4363" spans="1:39" x14ac:dyDescent="0.35">
      <c r="A4363">
        <v>4359</v>
      </c>
      <c r="B4363">
        <v>4360</v>
      </c>
      <c r="F4363" s="64"/>
      <c r="G4363" s="64"/>
      <c r="H4363" s="64" t="s">
        <v>26</v>
      </c>
      <c r="I4363" s="64"/>
      <c r="N4363" s="4"/>
      <c r="AM4363" s="1"/>
    </row>
    <row r="4364" spans="1:39" x14ac:dyDescent="0.35">
      <c r="A4364">
        <v>4360</v>
      </c>
      <c r="B4364">
        <v>4361</v>
      </c>
      <c r="F4364" s="64"/>
      <c r="G4364" s="64"/>
      <c r="H4364" s="64" t="s">
        <v>26</v>
      </c>
      <c r="I4364" s="64"/>
      <c r="N4364" s="4"/>
      <c r="AM4364" s="1"/>
    </row>
    <row r="4365" spans="1:39" x14ac:dyDescent="0.35">
      <c r="A4365">
        <v>4361</v>
      </c>
      <c r="B4365">
        <v>4362</v>
      </c>
      <c r="F4365" s="64"/>
      <c r="G4365" s="64"/>
      <c r="H4365" s="64" t="s">
        <v>26</v>
      </c>
      <c r="I4365" s="64"/>
      <c r="N4365" s="4"/>
      <c r="AM4365" s="1"/>
    </row>
    <row r="4366" spans="1:39" x14ac:dyDescent="0.35">
      <c r="A4366">
        <v>4362</v>
      </c>
      <c r="B4366">
        <v>4363</v>
      </c>
      <c r="F4366" s="64"/>
      <c r="G4366" s="64"/>
      <c r="H4366" s="64" t="s">
        <v>26</v>
      </c>
      <c r="I4366" s="64"/>
      <c r="N4366" s="4"/>
      <c r="AM4366" s="1"/>
    </row>
    <row r="4367" spans="1:39" x14ac:dyDescent="0.35">
      <c r="A4367">
        <v>4363</v>
      </c>
      <c r="B4367">
        <v>4364</v>
      </c>
      <c r="F4367" s="64"/>
      <c r="G4367" s="64"/>
      <c r="H4367" s="64" t="s">
        <v>26</v>
      </c>
      <c r="I4367" s="64"/>
      <c r="N4367" s="4"/>
      <c r="AM4367" s="1"/>
    </row>
    <row r="4368" spans="1:39" x14ac:dyDescent="0.35">
      <c r="A4368">
        <v>4364</v>
      </c>
      <c r="B4368">
        <v>4365</v>
      </c>
      <c r="F4368" s="64"/>
      <c r="G4368" s="64"/>
      <c r="H4368" s="64" t="s">
        <v>26</v>
      </c>
      <c r="I4368" s="64"/>
      <c r="N4368" s="4"/>
      <c r="AM4368" s="1"/>
    </row>
    <row r="4369" spans="1:39" x14ac:dyDescent="0.35">
      <c r="A4369">
        <v>4365</v>
      </c>
      <c r="B4369">
        <v>4366</v>
      </c>
      <c r="F4369" s="64"/>
      <c r="G4369" s="64"/>
      <c r="H4369" s="64" t="s">
        <v>26</v>
      </c>
      <c r="I4369" s="64"/>
      <c r="N4369" s="4"/>
      <c r="AM4369" s="1"/>
    </row>
    <row r="4370" spans="1:39" x14ac:dyDescent="0.35">
      <c r="A4370">
        <v>4366</v>
      </c>
      <c r="B4370">
        <v>4367</v>
      </c>
      <c r="F4370" s="64"/>
      <c r="G4370" s="64"/>
      <c r="H4370" s="64" t="s">
        <v>26</v>
      </c>
      <c r="I4370" s="64"/>
      <c r="N4370" s="4"/>
      <c r="AM4370" s="1"/>
    </row>
    <row r="4371" spans="1:39" x14ac:dyDescent="0.35">
      <c r="A4371">
        <v>4367</v>
      </c>
      <c r="B4371">
        <v>4368</v>
      </c>
      <c r="F4371" s="64"/>
      <c r="G4371" s="64"/>
      <c r="H4371" s="64" t="s">
        <v>26</v>
      </c>
      <c r="I4371" s="64"/>
      <c r="N4371" s="4"/>
      <c r="AM4371" s="1"/>
    </row>
    <row r="4372" spans="1:39" x14ac:dyDescent="0.35">
      <c r="A4372">
        <v>4368</v>
      </c>
      <c r="B4372">
        <v>4369</v>
      </c>
      <c r="F4372" s="64"/>
      <c r="G4372" s="64"/>
      <c r="H4372" s="64" t="s">
        <v>26</v>
      </c>
      <c r="I4372" s="64"/>
      <c r="N4372" s="4"/>
      <c r="AM4372" s="1"/>
    </row>
    <row r="4373" spans="1:39" x14ac:dyDescent="0.35">
      <c r="A4373">
        <v>4369</v>
      </c>
      <c r="B4373">
        <v>4370</v>
      </c>
      <c r="F4373" s="64"/>
      <c r="G4373" s="64"/>
      <c r="H4373" s="64" t="s">
        <v>26</v>
      </c>
      <c r="I4373" s="64"/>
      <c r="N4373" s="4"/>
      <c r="AM4373" s="1"/>
    </row>
    <row r="4374" spans="1:39" x14ac:dyDescent="0.35">
      <c r="A4374">
        <v>4370</v>
      </c>
      <c r="B4374">
        <v>4371</v>
      </c>
      <c r="F4374" s="64"/>
      <c r="G4374" s="64"/>
      <c r="H4374" s="64" t="s">
        <v>26</v>
      </c>
      <c r="I4374" s="64"/>
      <c r="N4374" s="4"/>
      <c r="AM4374" s="1"/>
    </row>
    <row r="4375" spans="1:39" x14ac:dyDescent="0.35">
      <c r="A4375">
        <v>4371</v>
      </c>
      <c r="B4375">
        <v>4372</v>
      </c>
      <c r="F4375" s="64"/>
      <c r="G4375" s="64"/>
      <c r="H4375" s="64" t="s">
        <v>26</v>
      </c>
      <c r="I4375" s="64"/>
      <c r="N4375" s="4"/>
      <c r="AM4375" s="1"/>
    </row>
    <row r="4376" spans="1:39" x14ac:dyDescent="0.35">
      <c r="A4376">
        <v>4372</v>
      </c>
      <c r="B4376">
        <v>4373</v>
      </c>
      <c r="F4376" s="64"/>
      <c r="G4376" s="64"/>
      <c r="H4376" s="64" t="s">
        <v>26</v>
      </c>
      <c r="I4376" s="64"/>
      <c r="N4376" s="4"/>
      <c r="AM4376" s="1"/>
    </row>
    <row r="4377" spans="1:39" x14ac:dyDescent="0.35">
      <c r="A4377">
        <v>4373</v>
      </c>
      <c r="B4377">
        <v>4374</v>
      </c>
      <c r="F4377" s="64"/>
      <c r="G4377" s="64"/>
      <c r="H4377" s="64" t="s">
        <v>26</v>
      </c>
      <c r="I4377" s="64"/>
      <c r="N4377" s="4"/>
      <c r="AM4377" s="1"/>
    </row>
    <row r="4378" spans="1:39" x14ac:dyDescent="0.35">
      <c r="A4378">
        <v>4374</v>
      </c>
      <c r="B4378">
        <v>4375</v>
      </c>
      <c r="F4378" s="64"/>
      <c r="G4378" s="64"/>
      <c r="H4378" s="64" t="s">
        <v>26</v>
      </c>
      <c r="I4378" s="64"/>
      <c r="N4378" s="4"/>
      <c r="AM4378" s="1"/>
    </row>
    <row r="4379" spans="1:39" x14ac:dyDescent="0.35">
      <c r="A4379">
        <v>4375</v>
      </c>
      <c r="B4379">
        <v>4376</v>
      </c>
      <c r="F4379" s="64"/>
      <c r="G4379" s="64"/>
      <c r="H4379" s="64" t="s">
        <v>26</v>
      </c>
      <c r="I4379" s="64"/>
      <c r="N4379" s="4"/>
      <c r="AM4379" s="1"/>
    </row>
    <row r="4380" spans="1:39" x14ac:dyDescent="0.35">
      <c r="A4380">
        <v>4376</v>
      </c>
      <c r="B4380">
        <v>4377</v>
      </c>
      <c r="F4380" s="64"/>
      <c r="G4380" s="64"/>
      <c r="H4380" s="64" t="s">
        <v>26</v>
      </c>
      <c r="I4380" s="64"/>
      <c r="N4380" s="4"/>
      <c r="AM4380" s="1"/>
    </row>
    <row r="4381" spans="1:39" x14ac:dyDescent="0.35">
      <c r="A4381">
        <v>4377</v>
      </c>
      <c r="B4381">
        <v>4378</v>
      </c>
      <c r="F4381" s="64"/>
      <c r="G4381" s="64"/>
      <c r="H4381" s="64" t="s">
        <v>26</v>
      </c>
      <c r="I4381" s="64"/>
      <c r="N4381" s="4"/>
      <c r="AM4381" s="1"/>
    </row>
    <row r="4382" spans="1:39" x14ac:dyDescent="0.35">
      <c r="A4382">
        <v>4378</v>
      </c>
      <c r="B4382">
        <v>4379</v>
      </c>
      <c r="F4382" s="64"/>
      <c r="G4382" s="64"/>
      <c r="H4382" s="64" t="s">
        <v>26</v>
      </c>
      <c r="I4382" s="64"/>
      <c r="N4382" s="4"/>
      <c r="AM4382" s="1"/>
    </row>
    <row r="4383" spans="1:39" x14ac:dyDescent="0.35">
      <c r="A4383">
        <v>4379</v>
      </c>
      <c r="B4383">
        <v>4380</v>
      </c>
      <c r="F4383" s="64"/>
      <c r="G4383" s="64"/>
      <c r="H4383" s="64" t="s">
        <v>26</v>
      </c>
      <c r="I4383" s="64"/>
      <c r="N4383" s="4"/>
      <c r="AM4383" s="1"/>
    </row>
    <row r="4384" spans="1:39" x14ac:dyDescent="0.35">
      <c r="A4384">
        <v>4380</v>
      </c>
      <c r="B4384">
        <v>4381</v>
      </c>
      <c r="F4384" s="64"/>
      <c r="G4384" s="64"/>
      <c r="H4384" s="64" t="s">
        <v>26</v>
      </c>
      <c r="I4384" s="64"/>
      <c r="N4384" s="4"/>
      <c r="AM4384" s="1"/>
    </row>
    <row r="4385" spans="1:39" x14ac:dyDescent="0.35">
      <c r="A4385">
        <v>4381</v>
      </c>
      <c r="B4385">
        <v>4382</v>
      </c>
      <c r="F4385" s="64"/>
      <c r="G4385" s="64"/>
      <c r="H4385" s="64" t="s">
        <v>26</v>
      </c>
      <c r="I4385" s="64"/>
      <c r="N4385" s="4"/>
      <c r="AM4385" s="1"/>
    </row>
    <row r="4386" spans="1:39" x14ac:dyDescent="0.35">
      <c r="A4386">
        <v>4382</v>
      </c>
      <c r="B4386">
        <v>4383</v>
      </c>
      <c r="F4386" s="64"/>
      <c r="G4386" s="64"/>
      <c r="H4386" s="64" t="s">
        <v>26</v>
      </c>
      <c r="I4386" s="64"/>
      <c r="N4386" s="4"/>
      <c r="AM4386" s="1"/>
    </row>
    <row r="4387" spans="1:39" x14ac:dyDescent="0.35">
      <c r="A4387">
        <v>4383</v>
      </c>
      <c r="B4387">
        <v>4384</v>
      </c>
      <c r="F4387" s="64"/>
      <c r="G4387" s="64"/>
      <c r="H4387" s="64" t="s">
        <v>26</v>
      </c>
      <c r="I4387" s="64"/>
      <c r="N4387" s="4"/>
      <c r="AM4387" s="1"/>
    </row>
    <row r="4388" spans="1:39" x14ac:dyDescent="0.35">
      <c r="A4388">
        <v>4384</v>
      </c>
      <c r="B4388">
        <v>4385</v>
      </c>
      <c r="F4388" s="64"/>
      <c r="G4388" s="64"/>
      <c r="H4388" s="64" t="s">
        <v>26</v>
      </c>
      <c r="I4388" s="64"/>
      <c r="N4388" s="4"/>
      <c r="AM4388" s="1"/>
    </row>
    <row r="4389" spans="1:39" x14ac:dyDescent="0.35">
      <c r="A4389">
        <v>4385</v>
      </c>
      <c r="B4389">
        <v>4386</v>
      </c>
      <c r="F4389" s="64"/>
      <c r="G4389" s="64"/>
      <c r="H4389" s="64" t="s">
        <v>26</v>
      </c>
      <c r="I4389" s="64"/>
      <c r="N4389" s="4"/>
      <c r="AM4389" s="1"/>
    </row>
    <row r="4390" spans="1:39" x14ac:dyDescent="0.35">
      <c r="A4390">
        <v>4386</v>
      </c>
      <c r="B4390">
        <v>4387</v>
      </c>
      <c r="F4390" s="64"/>
      <c r="G4390" s="64"/>
      <c r="H4390" s="64" t="s">
        <v>26</v>
      </c>
      <c r="I4390" s="64"/>
      <c r="N4390" s="4"/>
      <c r="AM4390" s="1"/>
    </row>
    <row r="4391" spans="1:39" x14ac:dyDescent="0.35">
      <c r="A4391">
        <v>4387</v>
      </c>
      <c r="B4391">
        <v>4388</v>
      </c>
      <c r="F4391" s="64"/>
      <c r="G4391" s="64"/>
      <c r="H4391" s="64" t="s">
        <v>26</v>
      </c>
      <c r="I4391" s="64"/>
      <c r="N4391" s="4"/>
      <c r="AM4391" s="1"/>
    </row>
    <row r="4392" spans="1:39" x14ac:dyDescent="0.35">
      <c r="A4392">
        <v>4388</v>
      </c>
      <c r="B4392">
        <v>4389</v>
      </c>
      <c r="F4392" s="64"/>
      <c r="G4392" s="64"/>
      <c r="H4392" s="64" t="s">
        <v>26</v>
      </c>
      <c r="I4392" s="64"/>
      <c r="N4392" s="4"/>
      <c r="AM4392" s="1"/>
    </row>
    <row r="4393" spans="1:39" x14ac:dyDescent="0.35">
      <c r="A4393">
        <v>4389</v>
      </c>
      <c r="B4393">
        <v>4390</v>
      </c>
      <c r="F4393" s="64"/>
      <c r="G4393" s="64"/>
      <c r="H4393" s="64" t="s">
        <v>26</v>
      </c>
      <c r="I4393" s="64"/>
      <c r="N4393" s="4"/>
      <c r="AM4393" s="1"/>
    </row>
    <row r="4394" spans="1:39" x14ac:dyDescent="0.35">
      <c r="A4394">
        <v>4390</v>
      </c>
      <c r="B4394">
        <v>4391</v>
      </c>
      <c r="F4394" s="64"/>
      <c r="G4394" s="64"/>
      <c r="H4394" s="64" t="s">
        <v>26</v>
      </c>
      <c r="I4394" s="64"/>
      <c r="N4394" s="4"/>
      <c r="AM4394" s="1"/>
    </row>
    <row r="4395" spans="1:39" x14ac:dyDescent="0.35">
      <c r="A4395">
        <v>4391</v>
      </c>
      <c r="B4395">
        <v>4392</v>
      </c>
      <c r="F4395" s="64"/>
      <c r="G4395" s="64"/>
      <c r="H4395" s="64" t="s">
        <v>26</v>
      </c>
      <c r="I4395" s="64"/>
      <c r="N4395" s="4"/>
      <c r="AM4395" s="1"/>
    </row>
    <row r="4396" spans="1:39" x14ac:dyDescent="0.35">
      <c r="A4396">
        <v>4392</v>
      </c>
      <c r="B4396">
        <v>4393</v>
      </c>
      <c r="F4396" s="64"/>
      <c r="G4396" s="64"/>
      <c r="H4396" s="64" t="s">
        <v>26</v>
      </c>
      <c r="I4396" s="64"/>
      <c r="N4396" s="4"/>
      <c r="AM4396" s="1"/>
    </row>
    <row r="4397" spans="1:39" x14ac:dyDescent="0.35">
      <c r="A4397">
        <v>4393</v>
      </c>
      <c r="B4397">
        <v>4394</v>
      </c>
      <c r="F4397" s="64"/>
      <c r="G4397" s="64"/>
      <c r="H4397" s="64" t="s">
        <v>26</v>
      </c>
      <c r="I4397" s="64"/>
      <c r="N4397" s="4"/>
      <c r="AM4397" s="1"/>
    </row>
    <row r="4398" spans="1:39" x14ac:dyDescent="0.35">
      <c r="A4398">
        <v>4394</v>
      </c>
      <c r="B4398">
        <v>4395</v>
      </c>
      <c r="F4398" s="64"/>
      <c r="G4398" s="64"/>
      <c r="H4398" s="64" t="s">
        <v>26</v>
      </c>
      <c r="I4398" s="64"/>
      <c r="N4398" s="4"/>
      <c r="AM4398" s="1"/>
    </row>
    <row r="4399" spans="1:39" x14ac:dyDescent="0.35">
      <c r="A4399">
        <v>4395</v>
      </c>
      <c r="B4399">
        <v>4396</v>
      </c>
      <c r="F4399" s="64"/>
      <c r="G4399" s="64"/>
      <c r="H4399" s="64" t="s">
        <v>26</v>
      </c>
      <c r="I4399" s="64"/>
      <c r="N4399" s="4"/>
      <c r="AM4399" s="1"/>
    </row>
    <row r="4400" spans="1:39" x14ac:dyDescent="0.35">
      <c r="A4400">
        <v>4396</v>
      </c>
      <c r="B4400">
        <v>4397</v>
      </c>
      <c r="F4400" s="64"/>
      <c r="G4400" s="64"/>
      <c r="H4400" s="64" t="s">
        <v>26</v>
      </c>
      <c r="I4400" s="64"/>
      <c r="N4400" s="4"/>
      <c r="AM4400" s="1"/>
    </row>
    <row r="4401" spans="1:39" x14ac:dyDescent="0.35">
      <c r="A4401">
        <v>4397</v>
      </c>
      <c r="B4401">
        <v>4398</v>
      </c>
      <c r="F4401" s="64"/>
      <c r="G4401" s="64"/>
      <c r="H4401" s="64" t="s">
        <v>26</v>
      </c>
      <c r="I4401" s="64"/>
      <c r="N4401" s="4"/>
      <c r="AM4401" s="1"/>
    </row>
    <row r="4402" spans="1:39" x14ac:dyDescent="0.35">
      <c r="A4402">
        <v>4398</v>
      </c>
      <c r="B4402">
        <v>4399</v>
      </c>
      <c r="F4402" s="64"/>
      <c r="G4402" s="64"/>
      <c r="H4402" s="64" t="s">
        <v>26</v>
      </c>
      <c r="I4402" s="64"/>
      <c r="N4402" s="4"/>
      <c r="AM4402" s="1"/>
    </row>
    <row r="4403" spans="1:39" x14ac:dyDescent="0.35">
      <c r="A4403">
        <v>4399</v>
      </c>
      <c r="B4403">
        <v>4400</v>
      </c>
      <c r="F4403" s="64"/>
      <c r="G4403" s="64"/>
      <c r="H4403" s="64" t="s">
        <v>26</v>
      </c>
      <c r="I4403" s="64"/>
      <c r="N4403" s="4"/>
      <c r="AM4403" s="1"/>
    </row>
    <row r="4404" spans="1:39" x14ac:dyDescent="0.35">
      <c r="A4404">
        <v>4400</v>
      </c>
      <c r="B4404">
        <v>4401</v>
      </c>
      <c r="F4404" s="64"/>
      <c r="G4404" s="64"/>
      <c r="H4404" s="64" t="s">
        <v>26</v>
      </c>
      <c r="I4404" s="64"/>
      <c r="N4404" s="4"/>
      <c r="AM4404" s="1"/>
    </row>
    <row r="4405" spans="1:39" x14ac:dyDescent="0.35">
      <c r="A4405">
        <v>4401</v>
      </c>
      <c r="B4405">
        <v>4402</v>
      </c>
      <c r="F4405" s="64"/>
      <c r="G4405" s="64"/>
      <c r="H4405" s="64" t="s">
        <v>26</v>
      </c>
      <c r="I4405" s="64"/>
      <c r="N4405" s="4"/>
      <c r="AM4405" s="1"/>
    </row>
    <row r="4406" spans="1:39" x14ac:dyDescent="0.35">
      <c r="A4406">
        <v>4402</v>
      </c>
      <c r="B4406">
        <v>4403</v>
      </c>
      <c r="F4406" s="64"/>
      <c r="G4406" s="64"/>
      <c r="H4406" s="64" t="s">
        <v>26</v>
      </c>
      <c r="I4406" s="64"/>
      <c r="N4406" s="4"/>
      <c r="AM4406" s="1"/>
    </row>
    <row r="4407" spans="1:39" x14ac:dyDescent="0.35">
      <c r="A4407">
        <v>4403</v>
      </c>
      <c r="B4407">
        <v>4404</v>
      </c>
      <c r="F4407" s="64"/>
      <c r="G4407" s="64"/>
      <c r="H4407" s="64" t="s">
        <v>26</v>
      </c>
      <c r="I4407" s="64"/>
      <c r="N4407" s="4"/>
      <c r="AM4407" s="1"/>
    </row>
    <row r="4408" spans="1:39" x14ac:dyDescent="0.35">
      <c r="A4408">
        <v>4404</v>
      </c>
      <c r="B4408">
        <v>4405</v>
      </c>
      <c r="F4408" s="64"/>
      <c r="G4408" s="64"/>
      <c r="H4408" s="64" t="s">
        <v>26</v>
      </c>
      <c r="I4408" s="64"/>
      <c r="N4408" s="4"/>
      <c r="AM4408" s="1" t="str">
        <f>HYPERLINK("E:\CAFNEC_GBRF\2023\JohnstoneRiver\Frames_for_Analysis\" &amp; F4409, F4409)</f>
        <v>4406_C0005_1337.jpg</v>
      </c>
    </row>
    <row r="4409" spans="1:39" x14ac:dyDescent="0.35">
      <c r="A4409">
        <v>4405</v>
      </c>
      <c r="B4409">
        <v>4406</v>
      </c>
      <c r="F4409" s="64" t="s">
        <v>6566</v>
      </c>
      <c r="G4409" s="64"/>
      <c r="H4409" s="64"/>
      <c r="I4409" s="64">
        <v>0</v>
      </c>
      <c r="N4409" s="4">
        <v>0</v>
      </c>
      <c r="O4409" s="58">
        <v>0</v>
      </c>
      <c r="P4409" s="58">
        <v>0</v>
      </c>
      <c r="Q4409" s="58">
        <v>0</v>
      </c>
      <c r="R4409" s="58">
        <v>0</v>
      </c>
      <c r="S4409" s="58">
        <v>0</v>
      </c>
      <c r="T4409" s="58">
        <v>0</v>
      </c>
      <c r="U4409" s="58">
        <v>0</v>
      </c>
      <c r="V4409" s="58">
        <v>0</v>
      </c>
      <c r="AM4409" s="1" t="str">
        <f>HYPERLINK("E:\CAFNEC_GBRF\2023\JohnstoneRiver\Frames_for_Analysis\" &amp; F4410, F4410)</f>
        <v>4407_C0005_1335.jpg</v>
      </c>
    </row>
    <row r="4410" spans="1:39" x14ac:dyDescent="0.35">
      <c r="A4410">
        <v>4406</v>
      </c>
      <c r="B4410">
        <v>4407</v>
      </c>
      <c r="F4410" s="64" t="s">
        <v>6567</v>
      </c>
      <c r="G4410" s="64"/>
      <c r="H4410" s="64"/>
      <c r="I4410" s="64">
        <v>0</v>
      </c>
      <c r="N4410" s="4">
        <v>0</v>
      </c>
      <c r="O4410" s="58">
        <v>0</v>
      </c>
      <c r="P4410" s="58">
        <v>0</v>
      </c>
      <c r="Q4410" s="58">
        <v>0</v>
      </c>
      <c r="R4410" s="58">
        <v>0</v>
      </c>
      <c r="S4410" s="58">
        <v>0</v>
      </c>
      <c r="T4410" s="58">
        <v>0</v>
      </c>
      <c r="U4410" s="58">
        <v>0</v>
      </c>
      <c r="V4410" s="58">
        <v>0</v>
      </c>
      <c r="AM4410" s="1" t="str">
        <f>HYPERLINK("E:\CAFNEC_GBRF\2023\JohnstoneRiver\Frames_for_Analysis\" &amp; F4411, F4411)</f>
        <v>4408_C0005_1342.jpg</v>
      </c>
    </row>
    <row r="4411" spans="1:39" x14ac:dyDescent="0.35">
      <c r="A4411">
        <v>4407</v>
      </c>
      <c r="B4411">
        <v>4408</v>
      </c>
      <c r="F4411" s="64" t="s">
        <v>6568</v>
      </c>
      <c r="G4411" s="64"/>
      <c r="H4411" s="64"/>
      <c r="I4411" s="64">
        <v>0</v>
      </c>
      <c r="N4411" s="4">
        <v>0</v>
      </c>
      <c r="O4411" s="58">
        <v>0</v>
      </c>
      <c r="P4411" s="58">
        <v>0</v>
      </c>
      <c r="Q4411" s="58">
        <v>0</v>
      </c>
      <c r="R4411" s="58">
        <v>0</v>
      </c>
      <c r="S4411" s="58">
        <v>0</v>
      </c>
      <c r="T4411" s="58">
        <v>0</v>
      </c>
      <c r="U4411" s="58">
        <v>0</v>
      </c>
      <c r="V4411" s="58">
        <v>0</v>
      </c>
      <c r="AM4411" s="1"/>
    </row>
    <row r="4412" spans="1:39" x14ac:dyDescent="0.35">
      <c r="A4412">
        <v>4408</v>
      </c>
      <c r="B4412">
        <v>4409</v>
      </c>
      <c r="F4412" s="64"/>
      <c r="G4412" s="64"/>
      <c r="H4412" s="64" t="s">
        <v>26</v>
      </c>
      <c r="I4412" s="64"/>
      <c r="N4412" s="4"/>
      <c r="AM4412" s="1" t="str">
        <f t="shared" ref="AM4412:AM4475" si="215">HYPERLINK("E:\CAFNEC_GBRF\2023\JohnstoneRiver\Frames_for_Analysis\" &amp; F4413, F4413)</f>
        <v>4410_C0005_1330.jpg</v>
      </c>
    </row>
    <row r="4413" spans="1:39" x14ac:dyDescent="0.35">
      <c r="A4413">
        <v>4409</v>
      </c>
      <c r="B4413">
        <v>4410</v>
      </c>
      <c r="F4413" s="64" t="s">
        <v>6569</v>
      </c>
      <c r="G4413" s="64"/>
      <c r="H4413" s="64"/>
      <c r="I4413" s="64">
        <v>0</v>
      </c>
      <c r="N4413" s="4">
        <v>0</v>
      </c>
      <c r="O4413" s="58">
        <v>0</v>
      </c>
      <c r="P4413" s="58">
        <v>0</v>
      </c>
      <c r="Q4413" s="58">
        <v>0</v>
      </c>
      <c r="R4413" s="58">
        <v>0</v>
      </c>
      <c r="S4413" s="58">
        <v>0</v>
      </c>
      <c r="T4413" s="58">
        <v>0</v>
      </c>
      <c r="U4413" s="58">
        <v>0</v>
      </c>
      <c r="V4413" s="58">
        <v>0</v>
      </c>
      <c r="AM4413" s="1" t="str">
        <f t="shared" si="215"/>
        <v>4411_C0005_1328.jpg</v>
      </c>
    </row>
    <row r="4414" spans="1:39" x14ac:dyDescent="0.35">
      <c r="A4414">
        <v>4410</v>
      </c>
      <c r="B4414">
        <v>4411</v>
      </c>
      <c r="F4414" s="64" t="s">
        <v>6570</v>
      </c>
      <c r="G4414" s="64"/>
      <c r="H4414" s="64"/>
      <c r="I4414" s="64">
        <v>0</v>
      </c>
      <c r="N4414" s="4">
        <v>0</v>
      </c>
      <c r="O4414" s="58">
        <v>0</v>
      </c>
      <c r="P4414" s="58">
        <v>0</v>
      </c>
      <c r="Q4414" s="58">
        <v>0</v>
      </c>
      <c r="R4414" s="58">
        <v>0</v>
      </c>
      <c r="S4414" s="58">
        <v>0</v>
      </c>
      <c r="T4414" s="58">
        <v>0</v>
      </c>
      <c r="U4414" s="58">
        <v>0</v>
      </c>
      <c r="V4414" s="58">
        <v>0</v>
      </c>
      <c r="AM4414" s="1" t="str">
        <f t="shared" si="215"/>
        <v>4412_C0005_1323.jpg</v>
      </c>
    </row>
    <row r="4415" spans="1:39" x14ac:dyDescent="0.35">
      <c r="A4415">
        <v>4411</v>
      </c>
      <c r="B4415">
        <v>4412</v>
      </c>
      <c r="F4415" s="64" t="s">
        <v>6571</v>
      </c>
      <c r="G4415" s="64"/>
      <c r="H4415" s="64"/>
      <c r="I4415" s="64">
        <v>0</v>
      </c>
      <c r="N4415" s="4">
        <v>0</v>
      </c>
      <c r="O4415" s="58">
        <v>0</v>
      </c>
      <c r="P4415" s="58">
        <v>0</v>
      </c>
      <c r="Q4415" s="58">
        <v>0</v>
      </c>
      <c r="R4415" s="58">
        <v>0</v>
      </c>
      <c r="S4415" s="58">
        <v>0</v>
      </c>
      <c r="T4415" s="58">
        <v>0</v>
      </c>
      <c r="U4415" s="58">
        <v>0</v>
      </c>
      <c r="V4415" s="58">
        <v>0</v>
      </c>
      <c r="AM4415" s="1" t="str">
        <f t="shared" si="215"/>
        <v>4413_C0005_1321.jpg</v>
      </c>
    </row>
    <row r="4416" spans="1:39" x14ac:dyDescent="0.35">
      <c r="A4416">
        <v>4412</v>
      </c>
      <c r="B4416">
        <v>4413</v>
      </c>
      <c r="F4416" s="64" t="s">
        <v>6572</v>
      </c>
      <c r="G4416" s="64"/>
      <c r="H4416" s="64"/>
      <c r="I4416" s="64">
        <v>0</v>
      </c>
      <c r="N4416" s="4">
        <v>0</v>
      </c>
      <c r="O4416" s="58">
        <v>0</v>
      </c>
      <c r="P4416" s="58">
        <v>0</v>
      </c>
      <c r="Q4416" s="58">
        <v>0</v>
      </c>
      <c r="R4416" s="58">
        <v>0</v>
      </c>
      <c r="S4416" s="58">
        <v>0</v>
      </c>
      <c r="T4416" s="58">
        <v>0</v>
      </c>
      <c r="U4416" s="58">
        <v>0</v>
      </c>
      <c r="V4416" s="58">
        <v>0</v>
      </c>
      <c r="AM4416" s="1" t="str">
        <f t="shared" si="215"/>
        <v>4414_C0005_1316.jpg</v>
      </c>
    </row>
    <row r="4417" spans="1:39" x14ac:dyDescent="0.35">
      <c r="A4417">
        <v>4413</v>
      </c>
      <c r="B4417">
        <v>4414</v>
      </c>
      <c r="F4417" s="64" t="s">
        <v>6573</v>
      </c>
      <c r="G4417" s="64"/>
      <c r="H4417" s="64"/>
      <c r="I4417" s="64">
        <v>0</v>
      </c>
      <c r="N4417" s="4">
        <v>0</v>
      </c>
      <c r="O4417" s="58">
        <v>0</v>
      </c>
      <c r="P4417" s="58">
        <v>0</v>
      </c>
      <c r="Q4417" s="58">
        <v>0</v>
      </c>
      <c r="R4417" s="58">
        <v>0</v>
      </c>
      <c r="S4417" s="58">
        <v>0</v>
      </c>
      <c r="T4417" s="58">
        <v>0</v>
      </c>
      <c r="U4417" s="58">
        <v>0</v>
      </c>
      <c r="V4417" s="58">
        <v>0</v>
      </c>
      <c r="AM4417" s="1" t="str">
        <f t="shared" si="215"/>
        <v>4415_C0005_1313.jpg</v>
      </c>
    </row>
    <row r="4418" spans="1:39" x14ac:dyDescent="0.35">
      <c r="A4418">
        <v>4414</v>
      </c>
      <c r="B4418">
        <v>4415</v>
      </c>
      <c r="F4418" s="64" t="s">
        <v>6574</v>
      </c>
      <c r="G4418" s="64"/>
      <c r="H4418" s="64"/>
      <c r="I4418" s="64">
        <v>0</v>
      </c>
      <c r="N4418" s="4">
        <v>0</v>
      </c>
      <c r="O4418" s="58">
        <v>0</v>
      </c>
      <c r="P4418" s="58">
        <v>0</v>
      </c>
      <c r="Q4418" s="58">
        <v>0</v>
      </c>
      <c r="R4418" s="58">
        <v>0</v>
      </c>
      <c r="S4418" s="58">
        <v>0</v>
      </c>
      <c r="T4418" s="58">
        <v>0</v>
      </c>
      <c r="U4418" s="58">
        <v>0</v>
      </c>
      <c r="V4418" s="58">
        <v>0</v>
      </c>
      <c r="AM4418" s="1" t="str">
        <f t="shared" si="215"/>
        <v>4416_C0005_1311.jpg</v>
      </c>
    </row>
    <row r="4419" spans="1:39" x14ac:dyDescent="0.35">
      <c r="A4419">
        <v>4415</v>
      </c>
      <c r="B4419">
        <v>4416</v>
      </c>
      <c r="F4419" s="64" t="s">
        <v>6575</v>
      </c>
      <c r="G4419" s="64"/>
      <c r="H4419" s="64"/>
      <c r="I4419" s="64">
        <v>0</v>
      </c>
      <c r="N4419" s="4">
        <v>0</v>
      </c>
      <c r="O4419" s="58">
        <v>0</v>
      </c>
      <c r="P4419" s="58">
        <v>0</v>
      </c>
      <c r="Q4419" s="58">
        <v>0</v>
      </c>
      <c r="R4419" s="58">
        <v>0</v>
      </c>
      <c r="S4419" s="58">
        <v>0</v>
      </c>
      <c r="T4419" s="58">
        <v>0</v>
      </c>
      <c r="U4419" s="58">
        <v>0</v>
      </c>
      <c r="V4419" s="58">
        <v>0</v>
      </c>
      <c r="AM4419" s="1" t="str">
        <f t="shared" si="215"/>
        <v>4417_C0005_1310.jpg</v>
      </c>
    </row>
    <row r="4420" spans="1:39" x14ac:dyDescent="0.35">
      <c r="A4420">
        <v>4416</v>
      </c>
      <c r="B4420">
        <v>4417</v>
      </c>
      <c r="F4420" s="64" t="s">
        <v>6576</v>
      </c>
      <c r="G4420" s="64"/>
      <c r="H4420" s="64"/>
      <c r="I4420" s="64">
        <v>0</v>
      </c>
      <c r="N4420" s="4">
        <v>0</v>
      </c>
      <c r="O4420" s="58">
        <v>0</v>
      </c>
      <c r="P4420" s="58">
        <v>0</v>
      </c>
      <c r="Q4420" s="58">
        <v>0</v>
      </c>
      <c r="R4420" s="58">
        <v>0</v>
      </c>
      <c r="S4420" s="58">
        <v>0</v>
      </c>
      <c r="T4420" s="58">
        <v>0</v>
      </c>
      <c r="U4420" s="58">
        <v>0</v>
      </c>
      <c r="V4420" s="58">
        <v>0</v>
      </c>
      <c r="AM4420" s="1" t="str">
        <f t="shared" si="215"/>
        <v>4418_C0005_1308.jpg</v>
      </c>
    </row>
    <row r="4421" spans="1:39" x14ac:dyDescent="0.35">
      <c r="A4421">
        <v>4417</v>
      </c>
      <c r="B4421">
        <v>4418</v>
      </c>
      <c r="F4421" s="64" t="s">
        <v>6577</v>
      </c>
      <c r="G4421" s="64"/>
      <c r="H4421" s="64"/>
      <c r="I4421" s="64">
        <v>0</v>
      </c>
      <c r="N4421" s="4">
        <v>0</v>
      </c>
      <c r="O4421" s="58">
        <v>0</v>
      </c>
      <c r="P4421" s="58">
        <v>0</v>
      </c>
      <c r="Q4421" s="58">
        <v>0</v>
      </c>
      <c r="R4421" s="58">
        <v>0</v>
      </c>
      <c r="S4421" s="58">
        <v>0</v>
      </c>
      <c r="T4421" s="58">
        <v>0</v>
      </c>
      <c r="U4421" s="58">
        <v>0</v>
      </c>
      <c r="V4421" s="58">
        <v>0</v>
      </c>
      <c r="AM4421" s="1" t="str">
        <f t="shared" si="215"/>
        <v>4419_C0005_1305.jpg</v>
      </c>
    </row>
    <row r="4422" spans="1:39" x14ac:dyDescent="0.35">
      <c r="A4422">
        <v>4418</v>
      </c>
      <c r="B4422">
        <v>4419</v>
      </c>
      <c r="F4422" s="64" t="s">
        <v>6578</v>
      </c>
      <c r="G4422" s="64"/>
      <c r="H4422" s="64"/>
      <c r="I4422" s="64">
        <v>0</v>
      </c>
      <c r="N4422" s="4">
        <v>0</v>
      </c>
      <c r="O4422" s="58">
        <v>0</v>
      </c>
      <c r="P4422" s="58">
        <v>0</v>
      </c>
      <c r="Q4422" s="58">
        <v>0</v>
      </c>
      <c r="R4422" s="58">
        <v>0</v>
      </c>
      <c r="S4422" s="58">
        <v>0</v>
      </c>
      <c r="T4422" s="58">
        <v>0</v>
      </c>
      <c r="U4422" s="58">
        <v>0</v>
      </c>
      <c r="V4422" s="58">
        <v>0</v>
      </c>
      <c r="AM4422" s="1" t="str">
        <f t="shared" si="215"/>
        <v>4420_C0005_1304.jpg</v>
      </c>
    </row>
    <row r="4423" spans="1:39" x14ac:dyDescent="0.35">
      <c r="A4423">
        <v>4419</v>
      </c>
      <c r="B4423">
        <v>4420</v>
      </c>
      <c r="F4423" s="64" t="s">
        <v>6579</v>
      </c>
      <c r="G4423" s="64"/>
      <c r="H4423" s="64"/>
      <c r="I4423" s="64">
        <v>0</v>
      </c>
      <c r="N4423" s="4">
        <v>0</v>
      </c>
      <c r="O4423" s="58">
        <v>0</v>
      </c>
      <c r="P4423" s="58">
        <v>0</v>
      </c>
      <c r="Q4423" s="58">
        <v>0</v>
      </c>
      <c r="R4423" s="58">
        <v>0</v>
      </c>
      <c r="S4423" s="58">
        <v>0</v>
      </c>
      <c r="T4423" s="58">
        <v>0</v>
      </c>
      <c r="U4423" s="58">
        <v>0</v>
      </c>
      <c r="V4423" s="58">
        <v>0</v>
      </c>
      <c r="AM4423" s="1" t="str">
        <f t="shared" si="215"/>
        <v>4421_C0005_1302.jpg</v>
      </c>
    </row>
    <row r="4424" spans="1:39" x14ac:dyDescent="0.35">
      <c r="A4424">
        <v>4420</v>
      </c>
      <c r="B4424">
        <v>4421</v>
      </c>
      <c r="F4424" s="64" t="s">
        <v>6580</v>
      </c>
      <c r="G4424" s="64"/>
      <c r="H4424" s="64"/>
      <c r="I4424" s="64">
        <v>0</v>
      </c>
      <c r="N4424" s="4">
        <v>0</v>
      </c>
      <c r="O4424" s="58">
        <v>0</v>
      </c>
      <c r="P4424" s="58">
        <v>0</v>
      </c>
      <c r="Q4424" s="58">
        <v>0</v>
      </c>
      <c r="R4424" s="58">
        <v>0</v>
      </c>
      <c r="S4424" s="58">
        <v>0</v>
      </c>
      <c r="T4424" s="58">
        <v>0</v>
      </c>
      <c r="U4424" s="58">
        <v>0</v>
      </c>
      <c r="V4424" s="58">
        <v>0</v>
      </c>
      <c r="AM4424" s="1" t="str">
        <f t="shared" si="215"/>
        <v>4422_C0005_1300.jpg</v>
      </c>
    </row>
    <row r="4425" spans="1:39" x14ac:dyDescent="0.35">
      <c r="A4425">
        <v>4421</v>
      </c>
      <c r="B4425">
        <v>4422</v>
      </c>
      <c r="F4425" s="64" t="s">
        <v>6581</v>
      </c>
      <c r="G4425" s="64"/>
      <c r="H4425" s="64"/>
      <c r="I4425" s="64">
        <v>0</v>
      </c>
      <c r="N4425" s="4">
        <v>0</v>
      </c>
      <c r="O4425" s="58">
        <v>0</v>
      </c>
      <c r="P4425" s="58">
        <v>0</v>
      </c>
      <c r="Q4425" s="58">
        <v>0</v>
      </c>
      <c r="R4425" s="58">
        <v>0</v>
      </c>
      <c r="S4425" s="58">
        <v>0</v>
      </c>
      <c r="T4425" s="58">
        <v>0</v>
      </c>
      <c r="U4425" s="58">
        <v>0</v>
      </c>
      <c r="V4425" s="58">
        <v>0</v>
      </c>
      <c r="AM4425" s="1" t="str">
        <f t="shared" si="215"/>
        <v>4423_C0005_1297.jpg</v>
      </c>
    </row>
    <row r="4426" spans="1:39" x14ac:dyDescent="0.35">
      <c r="A4426">
        <v>4422</v>
      </c>
      <c r="B4426">
        <v>4423</v>
      </c>
      <c r="F4426" s="64" t="s">
        <v>6582</v>
      </c>
      <c r="G4426" s="64"/>
      <c r="H4426" s="64"/>
      <c r="I4426" s="64">
        <v>0</v>
      </c>
      <c r="N4426" s="4">
        <v>0</v>
      </c>
      <c r="O4426" s="58">
        <v>0</v>
      </c>
      <c r="P4426" s="58">
        <v>0</v>
      </c>
      <c r="Q4426" s="58">
        <v>0</v>
      </c>
      <c r="R4426" s="58">
        <v>0</v>
      </c>
      <c r="S4426" s="58">
        <v>0</v>
      </c>
      <c r="T4426" s="58">
        <v>0</v>
      </c>
      <c r="U4426" s="58">
        <v>0</v>
      </c>
      <c r="V4426" s="58">
        <v>0</v>
      </c>
      <c r="AM4426" s="1" t="str">
        <f t="shared" si="215"/>
        <v>4424_C0005_1295.jpg</v>
      </c>
    </row>
    <row r="4427" spans="1:39" x14ac:dyDescent="0.35">
      <c r="A4427">
        <v>4423</v>
      </c>
      <c r="B4427">
        <v>4424</v>
      </c>
      <c r="F4427" s="64" t="s">
        <v>6583</v>
      </c>
      <c r="G4427" s="64"/>
      <c r="H4427" s="64"/>
      <c r="I4427" s="64">
        <v>0</v>
      </c>
      <c r="N4427" s="4">
        <v>0</v>
      </c>
      <c r="O4427" s="58">
        <v>0</v>
      </c>
      <c r="P4427" s="58">
        <v>0</v>
      </c>
      <c r="Q4427" s="58">
        <v>0</v>
      </c>
      <c r="R4427" s="58">
        <v>0</v>
      </c>
      <c r="S4427" s="58">
        <v>0</v>
      </c>
      <c r="T4427" s="58">
        <v>0</v>
      </c>
      <c r="U4427" s="58">
        <v>0</v>
      </c>
      <c r="V4427" s="58">
        <v>0</v>
      </c>
      <c r="AM4427" s="1" t="str">
        <f t="shared" si="215"/>
        <v>4425_C0005_1293.jpg</v>
      </c>
    </row>
    <row r="4428" spans="1:39" x14ac:dyDescent="0.35">
      <c r="A4428">
        <v>4424</v>
      </c>
      <c r="B4428">
        <v>4425</v>
      </c>
      <c r="F4428" s="64" t="s">
        <v>6584</v>
      </c>
      <c r="G4428" s="64"/>
      <c r="H4428" s="64"/>
      <c r="I4428" s="64">
        <v>0</v>
      </c>
      <c r="N4428" s="4">
        <v>0</v>
      </c>
      <c r="O4428" s="58">
        <v>0</v>
      </c>
      <c r="P4428" s="58">
        <v>0</v>
      </c>
      <c r="Q4428" s="58">
        <v>0</v>
      </c>
      <c r="R4428" s="58">
        <v>0</v>
      </c>
      <c r="S4428" s="58">
        <v>0</v>
      </c>
      <c r="T4428" s="58">
        <v>0</v>
      </c>
      <c r="U4428" s="58">
        <v>0</v>
      </c>
      <c r="V4428" s="58">
        <v>0</v>
      </c>
      <c r="AM4428" s="1" t="str">
        <f t="shared" si="215"/>
        <v>4426_C0005_1290.jpg</v>
      </c>
    </row>
    <row r="4429" spans="1:39" x14ac:dyDescent="0.35">
      <c r="A4429">
        <v>4425</v>
      </c>
      <c r="B4429">
        <v>4426</v>
      </c>
      <c r="F4429" s="64" t="s">
        <v>6585</v>
      </c>
      <c r="G4429" s="64"/>
      <c r="H4429" s="64"/>
      <c r="I4429" s="64">
        <v>0</v>
      </c>
      <c r="N4429" s="4">
        <v>0</v>
      </c>
      <c r="O4429" s="58">
        <v>0</v>
      </c>
      <c r="P4429" s="58">
        <v>0</v>
      </c>
      <c r="Q4429" s="58">
        <v>0</v>
      </c>
      <c r="R4429" s="58">
        <v>0</v>
      </c>
      <c r="S4429" s="58">
        <v>0</v>
      </c>
      <c r="T4429" s="58">
        <v>0</v>
      </c>
      <c r="U4429" s="58">
        <v>0</v>
      </c>
      <c r="V4429" s="58">
        <v>0</v>
      </c>
      <c r="AM4429" s="1" t="str">
        <f t="shared" si="215"/>
        <v>4427_C0005_1287.jpg</v>
      </c>
    </row>
    <row r="4430" spans="1:39" x14ac:dyDescent="0.35">
      <c r="A4430">
        <v>4426</v>
      </c>
      <c r="B4430">
        <v>4427</v>
      </c>
      <c r="F4430" s="64" t="s">
        <v>6586</v>
      </c>
      <c r="G4430" s="64"/>
      <c r="H4430" s="64"/>
      <c r="I4430" s="64">
        <v>0</v>
      </c>
      <c r="N4430" s="4">
        <v>0</v>
      </c>
      <c r="O4430" s="58">
        <v>0</v>
      </c>
      <c r="P4430" s="58">
        <v>0</v>
      </c>
      <c r="Q4430" s="58">
        <v>0</v>
      </c>
      <c r="R4430" s="58">
        <v>0</v>
      </c>
      <c r="S4430" s="58">
        <v>0</v>
      </c>
      <c r="T4430" s="58">
        <v>0</v>
      </c>
      <c r="U4430" s="58">
        <v>0</v>
      </c>
      <c r="V4430" s="58">
        <v>0</v>
      </c>
      <c r="AM4430" s="1" t="str">
        <f t="shared" si="215"/>
        <v>4428_C0005_1285.jpg</v>
      </c>
    </row>
    <row r="4431" spans="1:39" x14ac:dyDescent="0.35">
      <c r="A4431">
        <v>4427</v>
      </c>
      <c r="B4431">
        <v>4428</v>
      </c>
      <c r="F4431" s="64" t="s">
        <v>6587</v>
      </c>
      <c r="G4431" s="64"/>
      <c r="H4431" s="64"/>
      <c r="I4431" s="64">
        <v>0</v>
      </c>
      <c r="N4431" s="4">
        <v>0</v>
      </c>
      <c r="O4431" s="58">
        <v>0</v>
      </c>
      <c r="P4431" s="58">
        <v>0</v>
      </c>
      <c r="Q4431" s="58">
        <v>0</v>
      </c>
      <c r="R4431" s="58">
        <v>0</v>
      </c>
      <c r="S4431" s="58">
        <v>0</v>
      </c>
      <c r="T4431" s="58">
        <v>0</v>
      </c>
      <c r="U4431" s="58">
        <v>0</v>
      </c>
      <c r="V4431" s="58">
        <v>0</v>
      </c>
      <c r="AM4431" s="1" t="str">
        <f t="shared" si="215"/>
        <v>4429_C0005_1283.jpg</v>
      </c>
    </row>
    <row r="4432" spans="1:39" x14ac:dyDescent="0.35">
      <c r="A4432">
        <v>4428</v>
      </c>
      <c r="B4432">
        <v>4429</v>
      </c>
      <c r="F4432" s="64" t="s">
        <v>6588</v>
      </c>
      <c r="G4432" s="64"/>
      <c r="H4432" s="64"/>
      <c r="I4432" s="64">
        <v>0</v>
      </c>
      <c r="N4432" s="4">
        <v>0</v>
      </c>
      <c r="O4432" s="58">
        <v>0</v>
      </c>
      <c r="P4432" s="58">
        <v>0</v>
      </c>
      <c r="Q4432" s="58">
        <v>0</v>
      </c>
      <c r="R4432" s="58">
        <v>0</v>
      </c>
      <c r="S4432" s="58">
        <v>0</v>
      </c>
      <c r="T4432" s="58">
        <v>0</v>
      </c>
      <c r="U4432" s="58">
        <v>0</v>
      </c>
      <c r="V4432" s="58">
        <v>0</v>
      </c>
      <c r="AM4432" s="1" t="str">
        <f t="shared" si="215"/>
        <v>4430_C0005_1278.jpg</v>
      </c>
    </row>
    <row r="4433" spans="1:39" x14ac:dyDescent="0.35">
      <c r="A4433">
        <v>4429</v>
      </c>
      <c r="B4433">
        <v>4430</v>
      </c>
      <c r="F4433" s="64" t="s">
        <v>6589</v>
      </c>
      <c r="G4433" s="64"/>
      <c r="H4433" s="64"/>
      <c r="I4433" s="64">
        <v>0</v>
      </c>
      <c r="N4433" s="4">
        <v>0</v>
      </c>
      <c r="O4433" s="58">
        <v>0</v>
      </c>
      <c r="P4433" s="58">
        <v>0</v>
      </c>
      <c r="Q4433" s="58">
        <v>0</v>
      </c>
      <c r="R4433" s="58">
        <v>0</v>
      </c>
      <c r="S4433" s="58">
        <v>0</v>
      </c>
      <c r="T4433" s="58">
        <v>0</v>
      </c>
      <c r="U4433" s="58">
        <v>0</v>
      </c>
      <c r="V4433" s="58">
        <v>0</v>
      </c>
      <c r="AM4433" s="1" t="str">
        <f t="shared" si="215"/>
        <v>4431_C0005_1273.jpg</v>
      </c>
    </row>
    <row r="4434" spans="1:39" x14ac:dyDescent="0.35">
      <c r="A4434">
        <v>4430</v>
      </c>
      <c r="B4434">
        <v>4431</v>
      </c>
      <c r="F4434" s="64" t="s">
        <v>6590</v>
      </c>
      <c r="G4434" s="64"/>
      <c r="H4434" s="64"/>
      <c r="I4434" s="64">
        <v>0</v>
      </c>
      <c r="N4434" s="4">
        <v>0</v>
      </c>
      <c r="O4434" s="58">
        <v>0</v>
      </c>
      <c r="P4434" s="58">
        <v>0</v>
      </c>
      <c r="Q4434" s="58">
        <v>0</v>
      </c>
      <c r="R4434" s="58">
        <v>0</v>
      </c>
      <c r="S4434" s="58">
        <v>0</v>
      </c>
      <c r="T4434" s="58">
        <v>0</v>
      </c>
      <c r="U4434" s="58">
        <v>0</v>
      </c>
      <c r="V4434" s="58">
        <v>0</v>
      </c>
      <c r="AM4434" s="1" t="str">
        <f t="shared" si="215"/>
        <v>4432_C0005_1269.jpg</v>
      </c>
    </row>
    <row r="4435" spans="1:39" x14ac:dyDescent="0.35">
      <c r="A4435">
        <v>4431</v>
      </c>
      <c r="B4435">
        <v>4432</v>
      </c>
      <c r="F4435" s="64" t="s">
        <v>6591</v>
      </c>
      <c r="G4435" s="64"/>
      <c r="H4435" s="64"/>
      <c r="I4435" s="64">
        <v>0</v>
      </c>
      <c r="N4435" s="4">
        <v>0</v>
      </c>
      <c r="O4435" s="58">
        <v>0</v>
      </c>
      <c r="P4435" s="58">
        <v>0</v>
      </c>
      <c r="Q4435" s="58">
        <v>0</v>
      </c>
      <c r="R4435" s="58">
        <v>0</v>
      </c>
      <c r="S4435" s="58">
        <v>0</v>
      </c>
      <c r="T4435" s="58">
        <v>0</v>
      </c>
      <c r="U4435" s="58">
        <v>0</v>
      </c>
      <c r="V4435" s="58">
        <v>0</v>
      </c>
      <c r="AM4435" s="1" t="str">
        <f t="shared" si="215"/>
        <v>4433_C0005_1264.jpg</v>
      </c>
    </row>
    <row r="4436" spans="1:39" x14ac:dyDescent="0.35">
      <c r="A4436">
        <v>4432</v>
      </c>
      <c r="B4436">
        <v>4433</v>
      </c>
      <c r="F4436" s="64" t="s">
        <v>6592</v>
      </c>
      <c r="G4436" s="64"/>
      <c r="H4436" s="64"/>
      <c r="I4436" s="64">
        <v>0</v>
      </c>
      <c r="N4436" s="4">
        <v>0</v>
      </c>
      <c r="O4436" s="58">
        <v>0</v>
      </c>
      <c r="P4436" s="58">
        <v>0</v>
      </c>
      <c r="Q4436" s="58">
        <v>0</v>
      </c>
      <c r="R4436" s="58">
        <v>0</v>
      </c>
      <c r="S4436" s="58">
        <v>0</v>
      </c>
      <c r="T4436" s="58">
        <v>0</v>
      </c>
      <c r="U4436" s="58">
        <v>0</v>
      </c>
      <c r="V4436" s="58">
        <v>0</v>
      </c>
      <c r="AM4436" s="1" t="str">
        <f t="shared" si="215"/>
        <v>4434_C0005_1260.jpg</v>
      </c>
    </row>
    <row r="4437" spans="1:39" x14ac:dyDescent="0.35">
      <c r="A4437">
        <v>4433</v>
      </c>
      <c r="B4437">
        <v>4434</v>
      </c>
      <c r="F4437" s="64" t="s">
        <v>6593</v>
      </c>
      <c r="G4437" s="64"/>
      <c r="H4437" s="64"/>
      <c r="I4437" s="64">
        <v>0</v>
      </c>
      <c r="N4437" s="4">
        <v>0</v>
      </c>
      <c r="O4437" s="58">
        <v>0</v>
      </c>
      <c r="P4437" s="58">
        <v>0</v>
      </c>
      <c r="Q4437" s="58">
        <v>0</v>
      </c>
      <c r="R4437" s="58">
        <v>0</v>
      </c>
      <c r="S4437" s="58">
        <v>0</v>
      </c>
      <c r="T4437" s="58">
        <v>0</v>
      </c>
      <c r="U4437" s="58">
        <v>0</v>
      </c>
      <c r="V4437" s="58">
        <v>0</v>
      </c>
      <c r="AM4437" s="1" t="str">
        <f t="shared" si="215"/>
        <v>4435_C0005_1252.jpg</v>
      </c>
    </row>
    <row r="4438" spans="1:39" x14ac:dyDescent="0.35">
      <c r="A4438">
        <v>4434</v>
      </c>
      <c r="B4438">
        <v>4435</v>
      </c>
      <c r="F4438" s="64" t="s">
        <v>6594</v>
      </c>
      <c r="G4438" s="64"/>
      <c r="H4438" s="64"/>
      <c r="I4438" s="64">
        <v>0</v>
      </c>
      <c r="N4438" s="4">
        <v>0</v>
      </c>
      <c r="O4438" s="58">
        <v>0</v>
      </c>
      <c r="P4438" s="58">
        <v>0</v>
      </c>
      <c r="Q4438" s="58">
        <v>0</v>
      </c>
      <c r="R4438" s="58">
        <v>0</v>
      </c>
      <c r="S4438" s="58">
        <v>0</v>
      </c>
      <c r="T4438" s="58">
        <v>0</v>
      </c>
      <c r="U4438" s="58">
        <v>0</v>
      </c>
      <c r="V4438" s="58">
        <v>0</v>
      </c>
      <c r="AM4438" s="1" t="str">
        <f t="shared" si="215"/>
        <v>4436_C0005_1247.jpg</v>
      </c>
    </row>
    <row r="4439" spans="1:39" x14ac:dyDescent="0.35">
      <c r="A4439">
        <v>4435</v>
      </c>
      <c r="B4439">
        <v>4436</v>
      </c>
      <c r="F4439" s="64" t="s">
        <v>6595</v>
      </c>
      <c r="G4439" s="64"/>
      <c r="H4439" s="64"/>
      <c r="I4439" s="64">
        <v>0</v>
      </c>
      <c r="N4439" s="4">
        <v>0</v>
      </c>
      <c r="O4439" s="58">
        <v>0</v>
      </c>
      <c r="P4439" s="58">
        <v>0</v>
      </c>
      <c r="Q4439" s="58">
        <v>0</v>
      </c>
      <c r="R4439" s="58">
        <v>0</v>
      </c>
      <c r="S4439" s="58">
        <v>0</v>
      </c>
      <c r="T4439" s="58">
        <v>0</v>
      </c>
      <c r="U4439" s="58">
        <v>0</v>
      </c>
      <c r="V4439" s="58">
        <v>0</v>
      </c>
      <c r="AM4439" s="1" t="str">
        <f t="shared" si="215"/>
        <v>4437_C0005_1244.jpg</v>
      </c>
    </row>
    <row r="4440" spans="1:39" x14ac:dyDescent="0.35">
      <c r="A4440">
        <v>4436</v>
      </c>
      <c r="B4440">
        <v>4437</v>
      </c>
      <c r="F4440" s="64" t="s">
        <v>6596</v>
      </c>
      <c r="G4440" s="64"/>
      <c r="H4440" s="64"/>
      <c r="I4440" s="64">
        <v>0</v>
      </c>
      <c r="N4440" s="4">
        <v>0</v>
      </c>
      <c r="O4440" s="58">
        <v>0</v>
      </c>
      <c r="P4440" s="58">
        <v>0</v>
      </c>
      <c r="Q4440" s="58">
        <v>0</v>
      </c>
      <c r="R4440" s="58">
        <v>0</v>
      </c>
      <c r="S4440" s="58">
        <v>0</v>
      </c>
      <c r="T4440" s="58">
        <v>0</v>
      </c>
      <c r="U4440" s="58">
        <v>0</v>
      </c>
      <c r="V4440" s="58">
        <v>0</v>
      </c>
      <c r="AM4440" s="1" t="str">
        <f t="shared" si="215"/>
        <v>4438_C0005_1239.jpg</v>
      </c>
    </row>
    <row r="4441" spans="1:39" x14ac:dyDescent="0.35">
      <c r="A4441">
        <v>4437</v>
      </c>
      <c r="B4441">
        <v>4438</v>
      </c>
      <c r="F4441" s="64" t="s">
        <v>6597</v>
      </c>
      <c r="G4441" s="64"/>
      <c r="H4441" s="64"/>
      <c r="I4441" s="64">
        <v>0</v>
      </c>
      <c r="N4441" s="4">
        <v>0</v>
      </c>
      <c r="O4441" s="58">
        <v>0</v>
      </c>
      <c r="P4441" s="58">
        <v>0</v>
      </c>
      <c r="Q4441" s="58">
        <v>0</v>
      </c>
      <c r="R4441" s="58">
        <v>0</v>
      </c>
      <c r="S4441" s="58">
        <v>0</v>
      </c>
      <c r="T4441" s="58">
        <v>0</v>
      </c>
      <c r="U4441" s="58">
        <v>0</v>
      </c>
      <c r="V4441" s="58">
        <v>0</v>
      </c>
      <c r="AM4441" s="1" t="str">
        <f t="shared" si="215"/>
        <v>4439_C0005_1235.jpg</v>
      </c>
    </row>
    <row r="4442" spans="1:39" x14ac:dyDescent="0.35">
      <c r="A4442">
        <v>4438</v>
      </c>
      <c r="B4442">
        <v>4439</v>
      </c>
      <c r="F4442" s="64" t="s">
        <v>6598</v>
      </c>
      <c r="G4442" s="64"/>
      <c r="H4442" s="64"/>
      <c r="I4442" s="64">
        <v>0</v>
      </c>
      <c r="N4442" s="4">
        <v>0</v>
      </c>
      <c r="O4442" s="58">
        <v>0</v>
      </c>
      <c r="P4442" s="58">
        <v>0</v>
      </c>
      <c r="Q4442" s="58">
        <v>0</v>
      </c>
      <c r="R4442" s="58">
        <v>0</v>
      </c>
      <c r="S4442" s="58">
        <v>0</v>
      </c>
      <c r="T4442" s="58">
        <v>0</v>
      </c>
      <c r="U4442" s="58">
        <v>0</v>
      </c>
      <c r="V4442" s="58">
        <v>0</v>
      </c>
      <c r="AM4442" s="1" t="str">
        <f t="shared" si="215"/>
        <v>4440_C0005_1231.jpg</v>
      </c>
    </row>
    <row r="4443" spans="1:39" x14ac:dyDescent="0.35">
      <c r="A4443">
        <v>4439</v>
      </c>
      <c r="B4443">
        <v>4440</v>
      </c>
      <c r="F4443" s="64" t="s">
        <v>6599</v>
      </c>
      <c r="G4443" s="64"/>
      <c r="H4443" s="64"/>
      <c r="I4443" s="64">
        <v>0</v>
      </c>
      <c r="N4443" s="4">
        <v>0</v>
      </c>
      <c r="O4443" s="58">
        <v>0</v>
      </c>
      <c r="P4443" s="58">
        <v>0</v>
      </c>
      <c r="Q4443" s="58">
        <v>0</v>
      </c>
      <c r="R4443" s="58">
        <v>0</v>
      </c>
      <c r="S4443" s="58">
        <v>0</v>
      </c>
      <c r="T4443" s="58">
        <v>0</v>
      </c>
      <c r="U4443" s="58">
        <v>0</v>
      </c>
      <c r="V4443" s="58">
        <v>0</v>
      </c>
      <c r="AM4443" s="1" t="str">
        <f t="shared" si="215"/>
        <v>4441_C0005_1227.jpg</v>
      </c>
    </row>
    <row r="4444" spans="1:39" x14ac:dyDescent="0.35">
      <c r="A4444">
        <v>4440</v>
      </c>
      <c r="B4444">
        <v>4441</v>
      </c>
      <c r="F4444" s="64" t="s">
        <v>6600</v>
      </c>
      <c r="G4444" s="64"/>
      <c r="H4444" s="64"/>
      <c r="I4444" s="64">
        <v>0</v>
      </c>
      <c r="N4444" s="4">
        <v>0</v>
      </c>
      <c r="O4444" s="58">
        <v>0</v>
      </c>
      <c r="P4444" s="58">
        <v>0</v>
      </c>
      <c r="Q4444" s="58">
        <v>0</v>
      </c>
      <c r="R4444" s="58">
        <v>0</v>
      </c>
      <c r="S4444" s="58">
        <v>0</v>
      </c>
      <c r="T4444" s="58">
        <v>0</v>
      </c>
      <c r="U4444" s="58">
        <v>0</v>
      </c>
      <c r="V4444" s="58">
        <v>0</v>
      </c>
      <c r="AM4444" s="1" t="str">
        <f t="shared" si="215"/>
        <v>4442_C0005_1224.jpg</v>
      </c>
    </row>
    <row r="4445" spans="1:39" x14ac:dyDescent="0.35">
      <c r="A4445">
        <v>4441</v>
      </c>
      <c r="B4445">
        <v>4442</v>
      </c>
      <c r="F4445" s="64" t="s">
        <v>6601</v>
      </c>
      <c r="G4445" s="64"/>
      <c r="H4445" s="64"/>
      <c r="I4445" s="64">
        <v>0</v>
      </c>
      <c r="N4445" s="4">
        <v>0</v>
      </c>
      <c r="O4445" s="58">
        <v>0</v>
      </c>
      <c r="P4445" s="58">
        <v>0</v>
      </c>
      <c r="Q4445" s="58">
        <v>0</v>
      </c>
      <c r="R4445" s="58">
        <v>0</v>
      </c>
      <c r="S4445" s="58">
        <v>0</v>
      </c>
      <c r="T4445" s="58">
        <v>0</v>
      </c>
      <c r="U4445" s="58">
        <v>0</v>
      </c>
      <c r="V4445" s="58">
        <v>0</v>
      </c>
      <c r="AM4445" s="1" t="str">
        <f t="shared" si="215"/>
        <v>4443_C0005_1222.jpg</v>
      </c>
    </row>
    <row r="4446" spans="1:39" x14ac:dyDescent="0.35">
      <c r="A4446">
        <v>4442</v>
      </c>
      <c r="B4446">
        <v>4443</v>
      </c>
      <c r="F4446" s="64" t="s">
        <v>6602</v>
      </c>
      <c r="G4446" s="64"/>
      <c r="H4446" s="64"/>
      <c r="I4446" s="64">
        <v>0</v>
      </c>
      <c r="N4446" s="4">
        <v>0</v>
      </c>
      <c r="O4446" s="58">
        <v>0</v>
      </c>
      <c r="P4446" s="58">
        <v>0</v>
      </c>
      <c r="Q4446" s="58">
        <v>0</v>
      </c>
      <c r="R4446" s="58">
        <v>0</v>
      </c>
      <c r="S4446" s="58">
        <v>0</v>
      </c>
      <c r="T4446" s="58">
        <v>0</v>
      </c>
      <c r="U4446" s="58">
        <v>0</v>
      </c>
      <c r="V4446" s="58">
        <v>0</v>
      </c>
      <c r="AM4446" s="1" t="str">
        <f t="shared" si="215"/>
        <v>4444_C0005_1219.jpg</v>
      </c>
    </row>
    <row r="4447" spans="1:39" x14ac:dyDescent="0.35">
      <c r="A4447">
        <v>4443</v>
      </c>
      <c r="B4447">
        <v>4444</v>
      </c>
      <c r="F4447" s="64" t="s">
        <v>6603</v>
      </c>
      <c r="G4447" s="64"/>
      <c r="H4447" s="64"/>
      <c r="I4447" s="64">
        <v>0</v>
      </c>
      <c r="N4447" s="4">
        <v>0</v>
      </c>
      <c r="O4447" s="58">
        <v>0</v>
      </c>
      <c r="P4447" s="58">
        <v>0</v>
      </c>
      <c r="Q4447" s="58">
        <v>0</v>
      </c>
      <c r="R4447" s="58">
        <v>0</v>
      </c>
      <c r="S4447" s="58">
        <v>0</v>
      </c>
      <c r="T4447" s="58">
        <v>0</v>
      </c>
      <c r="U4447" s="58">
        <v>0</v>
      </c>
      <c r="V4447" s="58">
        <v>0</v>
      </c>
      <c r="AM4447" s="1" t="str">
        <f t="shared" si="215"/>
        <v>4445_C0005_1214.jpg</v>
      </c>
    </row>
    <row r="4448" spans="1:39" x14ac:dyDescent="0.35">
      <c r="A4448">
        <v>4444</v>
      </c>
      <c r="B4448">
        <v>4445</v>
      </c>
      <c r="F4448" s="64" t="s">
        <v>6604</v>
      </c>
      <c r="G4448" s="64"/>
      <c r="H4448" s="64"/>
      <c r="I4448" s="64">
        <v>0</v>
      </c>
      <c r="N4448" s="4">
        <v>0</v>
      </c>
      <c r="O4448" s="58">
        <v>0</v>
      </c>
      <c r="P4448" s="58">
        <v>0</v>
      </c>
      <c r="Q4448" s="58">
        <v>0</v>
      </c>
      <c r="R4448" s="58">
        <v>0</v>
      </c>
      <c r="S4448" s="58">
        <v>0</v>
      </c>
      <c r="T4448" s="58">
        <v>0</v>
      </c>
      <c r="U4448" s="58">
        <v>0</v>
      </c>
      <c r="V4448" s="58">
        <v>0</v>
      </c>
      <c r="AM4448" s="1" t="str">
        <f t="shared" si="215"/>
        <v>4446_C0005_1210.jpg</v>
      </c>
    </row>
    <row r="4449" spans="1:39" x14ac:dyDescent="0.35">
      <c r="A4449">
        <v>4445</v>
      </c>
      <c r="B4449">
        <v>4446</v>
      </c>
      <c r="F4449" s="64" t="s">
        <v>6605</v>
      </c>
      <c r="G4449" s="64"/>
      <c r="H4449" s="64"/>
      <c r="I4449" s="64">
        <v>0</v>
      </c>
      <c r="N4449" s="4">
        <v>0</v>
      </c>
      <c r="O4449" s="58">
        <v>0</v>
      </c>
      <c r="P4449" s="58">
        <v>0</v>
      </c>
      <c r="Q4449" s="58">
        <v>0</v>
      </c>
      <c r="R4449" s="58">
        <v>0</v>
      </c>
      <c r="S4449" s="58">
        <v>0</v>
      </c>
      <c r="T4449" s="58">
        <v>0</v>
      </c>
      <c r="U4449" s="58">
        <v>0</v>
      </c>
      <c r="V4449" s="58">
        <v>0</v>
      </c>
      <c r="AM4449" s="1" t="str">
        <f t="shared" si="215"/>
        <v>4447_C0005_1206.jpg</v>
      </c>
    </row>
    <row r="4450" spans="1:39" x14ac:dyDescent="0.35">
      <c r="A4450">
        <v>4446</v>
      </c>
      <c r="B4450">
        <v>4447</v>
      </c>
      <c r="F4450" s="64" t="s">
        <v>6606</v>
      </c>
      <c r="G4450" s="64"/>
      <c r="H4450" s="64"/>
      <c r="I4450" s="64">
        <v>0</v>
      </c>
      <c r="N4450" s="4">
        <v>0</v>
      </c>
      <c r="O4450" s="58">
        <v>0</v>
      </c>
      <c r="P4450" s="58">
        <v>0</v>
      </c>
      <c r="Q4450" s="58">
        <v>0</v>
      </c>
      <c r="R4450" s="58">
        <v>0</v>
      </c>
      <c r="S4450" s="58">
        <v>0</v>
      </c>
      <c r="T4450" s="58">
        <v>0</v>
      </c>
      <c r="U4450" s="58">
        <v>0</v>
      </c>
      <c r="V4450" s="58">
        <v>0</v>
      </c>
      <c r="AM4450" s="1" t="str">
        <f t="shared" si="215"/>
        <v>4448_C0005_1203.jpg</v>
      </c>
    </row>
    <row r="4451" spans="1:39" x14ac:dyDescent="0.35">
      <c r="A4451">
        <v>4447</v>
      </c>
      <c r="B4451">
        <v>4448</v>
      </c>
      <c r="F4451" s="64" t="s">
        <v>6607</v>
      </c>
      <c r="G4451" s="64"/>
      <c r="H4451" s="64"/>
      <c r="I4451" s="64">
        <v>0</v>
      </c>
      <c r="N4451" s="4">
        <v>0</v>
      </c>
      <c r="O4451" s="58">
        <v>0</v>
      </c>
      <c r="P4451" s="58">
        <v>0</v>
      </c>
      <c r="Q4451" s="58">
        <v>0</v>
      </c>
      <c r="R4451" s="58">
        <v>0</v>
      </c>
      <c r="S4451" s="58">
        <v>0</v>
      </c>
      <c r="T4451" s="58">
        <v>0</v>
      </c>
      <c r="U4451" s="58">
        <v>0</v>
      </c>
      <c r="V4451" s="58">
        <v>0</v>
      </c>
      <c r="AM4451" s="1" t="str">
        <f t="shared" si="215"/>
        <v>4449_C0005_1199.jpg</v>
      </c>
    </row>
    <row r="4452" spans="1:39" x14ac:dyDescent="0.35">
      <c r="A4452">
        <v>4448</v>
      </c>
      <c r="B4452">
        <v>4449</v>
      </c>
      <c r="F4452" s="64" t="s">
        <v>6608</v>
      </c>
      <c r="G4452" s="64"/>
      <c r="H4452" s="64"/>
      <c r="I4452" s="64">
        <v>0</v>
      </c>
      <c r="N4452" s="4">
        <v>0</v>
      </c>
      <c r="O4452" s="58">
        <v>0</v>
      </c>
      <c r="P4452" s="58">
        <v>0</v>
      </c>
      <c r="Q4452" s="58">
        <v>0</v>
      </c>
      <c r="R4452" s="58">
        <v>0</v>
      </c>
      <c r="S4452" s="58">
        <v>0</v>
      </c>
      <c r="T4452" s="58">
        <v>0</v>
      </c>
      <c r="U4452" s="58">
        <v>0</v>
      </c>
      <c r="V4452" s="58">
        <v>0</v>
      </c>
      <c r="AM4452" s="1" t="str">
        <f t="shared" si="215"/>
        <v>4450_C0005_1195.jpg</v>
      </c>
    </row>
    <row r="4453" spans="1:39" x14ac:dyDescent="0.35">
      <c r="A4453">
        <v>4449</v>
      </c>
      <c r="B4453">
        <v>4450</v>
      </c>
      <c r="F4453" s="64" t="s">
        <v>6609</v>
      </c>
      <c r="G4453" s="64"/>
      <c r="H4453" s="64"/>
      <c r="I4453" s="64">
        <v>0</v>
      </c>
      <c r="N4453" s="4">
        <v>0</v>
      </c>
      <c r="O4453" s="58">
        <v>0</v>
      </c>
      <c r="P4453" s="58">
        <v>0</v>
      </c>
      <c r="Q4453" s="58">
        <v>0</v>
      </c>
      <c r="R4453" s="58">
        <v>0</v>
      </c>
      <c r="S4453" s="58">
        <v>0</v>
      </c>
      <c r="T4453" s="58">
        <v>0</v>
      </c>
      <c r="U4453" s="58">
        <v>0</v>
      </c>
      <c r="V4453" s="58">
        <v>0</v>
      </c>
      <c r="AM4453" s="1" t="str">
        <f t="shared" si="215"/>
        <v>4451_C0005_1192.jpg</v>
      </c>
    </row>
    <row r="4454" spans="1:39" x14ac:dyDescent="0.35">
      <c r="A4454">
        <v>4450</v>
      </c>
      <c r="B4454">
        <v>4451</v>
      </c>
      <c r="F4454" s="64" t="s">
        <v>6610</v>
      </c>
      <c r="G4454" s="64"/>
      <c r="H4454" s="64"/>
      <c r="I4454" s="64">
        <v>0</v>
      </c>
      <c r="N4454" s="4">
        <v>0</v>
      </c>
      <c r="O4454" s="58">
        <v>0</v>
      </c>
      <c r="P4454" s="58">
        <v>0</v>
      </c>
      <c r="Q4454" s="58">
        <v>0</v>
      </c>
      <c r="R4454" s="58">
        <v>0</v>
      </c>
      <c r="S4454" s="58">
        <v>0</v>
      </c>
      <c r="T4454" s="58">
        <v>0</v>
      </c>
      <c r="U4454" s="58">
        <v>0</v>
      </c>
      <c r="V4454" s="58">
        <v>0</v>
      </c>
      <c r="AM4454" s="1" t="str">
        <f t="shared" si="215"/>
        <v>4452_C0005_1189.jpg</v>
      </c>
    </row>
    <row r="4455" spans="1:39" x14ac:dyDescent="0.35">
      <c r="A4455">
        <v>4451</v>
      </c>
      <c r="B4455">
        <v>4452</v>
      </c>
      <c r="F4455" s="64" t="s">
        <v>6611</v>
      </c>
      <c r="G4455" s="64"/>
      <c r="H4455" s="64"/>
      <c r="I4455" s="64">
        <v>0</v>
      </c>
      <c r="N4455" s="4">
        <v>0</v>
      </c>
      <c r="O4455" s="58">
        <v>0</v>
      </c>
      <c r="P4455" s="58">
        <v>0</v>
      </c>
      <c r="Q4455" s="58">
        <v>0</v>
      </c>
      <c r="R4455" s="58">
        <v>0</v>
      </c>
      <c r="S4455" s="58">
        <v>0</v>
      </c>
      <c r="T4455" s="58">
        <v>0</v>
      </c>
      <c r="U4455" s="58">
        <v>0</v>
      </c>
      <c r="V4455" s="58">
        <v>0</v>
      </c>
      <c r="AM4455" s="1" t="str">
        <f t="shared" si="215"/>
        <v>4453_C0005_1187.jpg</v>
      </c>
    </row>
    <row r="4456" spans="1:39" x14ac:dyDescent="0.35">
      <c r="A4456">
        <v>4452</v>
      </c>
      <c r="B4456">
        <v>4453</v>
      </c>
      <c r="F4456" s="64" t="s">
        <v>6612</v>
      </c>
      <c r="G4456" s="64"/>
      <c r="H4456" s="64"/>
      <c r="I4456" s="64">
        <v>0</v>
      </c>
      <c r="N4456" s="4">
        <v>0</v>
      </c>
      <c r="O4456" s="58">
        <v>0</v>
      </c>
      <c r="P4456" s="58">
        <v>0</v>
      </c>
      <c r="Q4456" s="58">
        <v>0</v>
      </c>
      <c r="R4456" s="58">
        <v>0</v>
      </c>
      <c r="S4456" s="58">
        <v>0</v>
      </c>
      <c r="T4456" s="58">
        <v>0</v>
      </c>
      <c r="U4456" s="58">
        <v>0</v>
      </c>
      <c r="V4456" s="58">
        <v>0</v>
      </c>
      <c r="AM4456" s="1" t="str">
        <f t="shared" si="215"/>
        <v>4454_C0005_1183.jpg</v>
      </c>
    </row>
    <row r="4457" spans="1:39" x14ac:dyDescent="0.35">
      <c r="A4457">
        <v>4453</v>
      </c>
      <c r="B4457">
        <v>4454</v>
      </c>
      <c r="F4457" s="64" t="s">
        <v>6613</v>
      </c>
      <c r="G4457" s="64"/>
      <c r="H4457" s="64"/>
      <c r="I4457" s="64">
        <v>0</v>
      </c>
      <c r="N4457" s="4">
        <v>0</v>
      </c>
      <c r="O4457" s="58">
        <v>0</v>
      </c>
      <c r="P4457" s="58">
        <v>0</v>
      </c>
      <c r="Q4457" s="58">
        <v>0</v>
      </c>
      <c r="R4457" s="58">
        <v>0</v>
      </c>
      <c r="S4457" s="58">
        <v>0</v>
      </c>
      <c r="T4457" s="58">
        <v>0</v>
      </c>
      <c r="U4457" s="58">
        <v>0</v>
      </c>
      <c r="V4457" s="58">
        <v>0</v>
      </c>
      <c r="AM4457" s="1" t="str">
        <f t="shared" si="215"/>
        <v>4455_C0005_1179.jpg</v>
      </c>
    </row>
    <row r="4458" spans="1:39" x14ac:dyDescent="0.35">
      <c r="A4458">
        <v>4454</v>
      </c>
      <c r="B4458">
        <v>4455</v>
      </c>
      <c r="F4458" s="64" t="s">
        <v>6614</v>
      </c>
      <c r="G4458" s="64"/>
      <c r="H4458" s="64"/>
      <c r="I4458" s="64">
        <v>0</v>
      </c>
      <c r="N4458" s="4">
        <v>0</v>
      </c>
      <c r="O4458" s="58">
        <v>0</v>
      </c>
      <c r="P4458" s="58">
        <v>0</v>
      </c>
      <c r="Q4458" s="58">
        <v>0</v>
      </c>
      <c r="R4458" s="58">
        <v>0</v>
      </c>
      <c r="S4458" s="58">
        <v>0</v>
      </c>
      <c r="T4458" s="58">
        <v>0</v>
      </c>
      <c r="U4458" s="58">
        <v>0</v>
      </c>
      <c r="V4458" s="58">
        <v>0</v>
      </c>
      <c r="AM4458" s="1" t="str">
        <f t="shared" si="215"/>
        <v>4456_C0005_1177.jpg</v>
      </c>
    </row>
    <row r="4459" spans="1:39" x14ac:dyDescent="0.35">
      <c r="A4459">
        <v>4455</v>
      </c>
      <c r="B4459">
        <v>4456</v>
      </c>
      <c r="F4459" s="64" t="s">
        <v>6615</v>
      </c>
      <c r="G4459" s="64"/>
      <c r="H4459" s="64"/>
      <c r="I4459" s="64">
        <v>0</v>
      </c>
      <c r="N4459" s="4">
        <v>0</v>
      </c>
      <c r="O4459" s="58">
        <v>0</v>
      </c>
      <c r="P4459" s="58">
        <v>0</v>
      </c>
      <c r="Q4459" s="58">
        <v>0</v>
      </c>
      <c r="R4459" s="58">
        <v>0</v>
      </c>
      <c r="S4459" s="58">
        <v>0</v>
      </c>
      <c r="T4459" s="58">
        <v>0</v>
      </c>
      <c r="U4459" s="58">
        <v>0</v>
      </c>
      <c r="V4459" s="58">
        <v>0</v>
      </c>
      <c r="AM4459" s="1" t="str">
        <f t="shared" si="215"/>
        <v>4457_C0005_1176.jpg</v>
      </c>
    </row>
    <row r="4460" spans="1:39" x14ac:dyDescent="0.35">
      <c r="A4460">
        <v>4456</v>
      </c>
      <c r="B4460">
        <v>4457</v>
      </c>
      <c r="F4460" s="64" t="s">
        <v>6616</v>
      </c>
      <c r="G4460" s="64"/>
      <c r="H4460" s="64"/>
      <c r="I4460" s="64">
        <v>0</v>
      </c>
      <c r="N4460" s="4">
        <v>0</v>
      </c>
      <c r="O4460" s="58">
        <v>0</v>
      </c>
      <c r="P4460" s="58">
        <v>0</v>
      </c>
      <c r="Q4460" s="58">
        <v>0</v>
      </c>
      <c r="R4460" s="58">
        <v>0</v>
      </c>
      <c r="S4460" s="58">
        <v>0</v>
      </c>
      <c r="T4460" s="58">
        <v>0</v>
      </c>
      <c r="U4460" s="58">
        <v>0</v>
      </c>
      <c r="V4460" s="58">
        <v>0</v>
      </c>
      <c r="AM4460" s="1" t="str">
        <f t="shared" si="215"/>
        <v>4458_C0005_1172.jpg</v>
      </c>
    </row>
    <row r="4461" spans="1:39" x14ac:dyDescent="0.35">
      <c r="A4461">
        <v>4457</v>
      </c>
      <c r="B4461">
        <v>4458</v>
      </c>
      <c r="F4461" s="64" t="s">
        <v>6617</v>
      </c>
      <c r="G4461" s="64"/>
      <c r="H4461" s="64"/>
      <c r="I4461" s="64">
        <v>0</v>
      </c>
      <c r="N4461" s="4">
        <v>0</v>
      </c>
      <c r="O4461" s="58">
        <v>0</v>
      </c>
      <c r="P4461" s="58">
        <v>0</v>
      </c>
      <c r="Q4461" s="58">
        <v>0</v>
      </c>
      <c r="R4461" s="58">
        <v>0</v>
      </c>
      <c r="S4461" s="58">
        <v>0</v>
      </c>
      <c r="T4461" s="58">
        <v>0</v>
      </c>
      <c r="U4461" s="58">
        <v>0</v>
      </c>
      <c r="V4461" s="58">
        <v>0</v>
      </c>
      <c r="AM4461" s="1" t="str">
        <f t="shared" si="215"/>
        <v>4459_C0005_1170.jpg</v>
      </c>
    </row>
    <row r="4462" spans="1:39" x14ac:dyDescent="0.35">
      <c r="A4462">
        <v>4458</v>
      </c>
      <c r="B4462">
        <v>4459</v>
      </c>
      <c r="F4462" s="64" t="s">
        <v>6618</v>
      </c>
      <c r="G4462" s="64"/>
      <c r="H4462" s="64"/>
      <c r="I4462" s="64">
        <v>0</v>
      </c>
      <c r="N4462" s="4">
        <v>0</v>
      </c>
      <c r="O4462" s="58">
        <v>0</v>
      </c>
      <c r="P4462" s="58">
        <v>0</v>
      </c>
      <c r="Q4462" s="58">
        <v>0</v>
      </c>
      <c r="R4462" s="58">
        <v>0</v>
      </c>
      <c r="S4462" s="58">
        <v>0</v>
      </c>
      <c r="T4462" s="58">
        <v>0</v>
      </c>
      <c r="U4462" s="58">
        <v>0</v>
      </c>
      <c r="V4462" s="58">
        <v>0</v>
      </c>
      <c r="AM4462" s="1" t="str">
        <f t="shared" si="215"/>
        <v>4460_C0005_1165.jpg</v>
      </c>
    </row>
    <row r="4463" spans="1:39" x14ac:dyDescent="0.35">
      <c r="A4463">
        <v>4459</v>
      </c>
      <c r="B4463">
        <v>4460</v>
      </c>
      <c r="F4463" s="64" t="s">
        <v>6619</v>
      </c>
      <c r="G4463" s="64"/>
      <c r="H4463" s="64"/>
      <c r="I4463" s="64">
        <v>0</v>
      </c>
      <c r="N4463" s="4">
        <v>0</v>
      </c>
      <c r="O4463" s="58">
        <v>0</v>
      </c>
      <c r="P4463" s="58">
        <v>0</v>
      </c>
      <c r="Q4463" s="58">
        <v>0</v>
      </c>
      <c r="R4463" s="58">
        <v>0</v>
      </c>
      <c r="S4463" s="58">
        <v>0</v>
      </c>
      <c r="T4463" s="58">
        <v>0</v>
      </c>
      <c r="U4463" s="58">
        <v>0</v>
      </c>
      <c r="V4463" s="58">
        <v>0</v>
      </c>
      <c r="AM4463" s="1" t="str">
        <f t="shared" si="215"/>
        <v>4461_C0005_1162.jpg</v>
      </c>
    </row>
    <row r="4464" spans="1:39" x14ac:dyDescent="0.35">
      <c r="A4464">
        <v>4460</v>
      </c>
      <c r="B4464">
        <v>4461</v>
      </c>
      <c r="F4464" s="64" t="s">
        <v>6620</v>
      </c>
      <c r="G4464" s="64"/>
      <c r="H4464" s="64"/>
      <c r="I4464" s="64">
        <v>0</v>
      </c>
      <c r="N4464" s="4">
        <v>0</v>
      </c>
      <c r="O4464" s="58">
        <v>0</v>
      </c>
      <c r="P4464" s="58">
        <v>0</v>
      </c>
      <c r="Q4464" s="58">
        <v>0</v>
      </c>
      <c r="R4464" s="58">
        <v>0</v>
      </c>
      <c r="S4464" s="58">
        <v>0</v>
      </c>
      <c r="T4464" s="58">
        <v>0</v>
      </c>
      <c r="U4464" s="58">
        <v>0</v>
      </c>
      <c r="V4464" s="58">
        <v>0</v>
      </c>
      <c r="AM4464" s="1" t="str">
        <f t="shared" si="215"/>
        <v>4462_C0005_1159.jpg</v>
      </c>
    </row>
    <row r="4465" spans="1:39" x14ac:dyDescent="0.35">
      <c r="A4465">
        <v>4461</v>
      </c>
      <c r="B4465">
        <v>4462</v>
      </c>
      <c r="F4465" s="64" t="s">
        <v>6621</v>
      </c>
      <c r="G4465" s="64"/>
      <c r="H4465" s="64"/>
      <c r="I4465" s="64">
        <v>0</v>
      </c>
      <c r="N4465" s="4">
        <v>0</v>
      </c>
      <c r="O4465" s="58">
        <v>0</v>
      </c>
      <c r="P4465" s="58">
        <v>0</v>
      </c>
      <c r="Q4465" s="58">
        <v>0</v>
      </c>
      <c r="R4465" s="58">
        <v>0</v>
      </c>
      <c r="S4465" s="58">
        <v>0</v>
      </c>
      <c r="T4465" s="58">
        <v>0</v>
      </c>
      <c r="U4465" s="58">
        <v>0</v>
      </c>
      <c r="V4465" s="58">
        <v>0</v>
      </c>
      <c r="AM4465" s="1" t="str">
        <f t="shared" si="215"/>
        <v>4463_C0005_1154.jpg</v>
      </c>
    </row>
    <row r="4466" spans="1:39" x14ac:dyDescent="0.35">
      <c r="A4466">
        <v>4462</v>
      </c>
      <c r="B4466">
        <v>4463</v>
      </c>
      <c r="F4466" s="64" t="s">
        <v>6622</v>
      </c>
      <c r="G4466" s="64"/>
      <c r="H4466" s="64"/>
      <c r="I4466" s="64">
        <v>0</v>
      </c>
      <c r="N4466" s="4">
        <v>0</v>
      </c>
      <c r="O4466" s="58">
        <v>0</v>
      </c>
      <c r="P4466" s="58">
        <v>0</v>
      </c>
      <c r="Q4466" s="58">
        <v>0</v>
      </c>
      <c r="R4466" s="58">
        <v>0</v>
      </c>
      <c r="S4466" s="58">
        <v>0</v>
      </c>
      <c r="T4466" s="58">
        <v>0</v>
      </c>
      <c r="U4466" s="58">
        <v>0</v>
      </c>
      <c r="V4466" s="58">
        <v>0</v>
      </c>
      <c r="AM4466" s="1" t="str">
        <f t="shared" si="215"/>
        <v>4464_C0005_1151.jpg</v>
      </c>
    </row>
    <row r="4467" spans="1:39" x14ac:dyDescent="0.35">
      <c r="A4467">
        <v>4463</v>
      </c>
      <c r="B4467">
        <v>4464</v>
      </c>
      <c r="F4467" s="64" t="s">
        <v>6623</v>
      </c>
      <c r="G4467" s="64"/>
      <c r="H4467" s="64"/>
      <c r="I4467" s="64">
        <v>0</v>
      </c>
      <c r="N4467" s="4">
        <v>0</v>
      </c>
      <c r="O4467" s="58">
        <v>0</v>
      </c>
      <c r="P4467" s="58">
        <v>0</v>
      </c>
      <c r="Q4467" s="58">
        <v>0</v>
      </c>
      <c r="R4467" s="58">
        <v>0</v>
      </c>
      <c r="S4467" s="58">
        <v>0</v>
      </c>
      <c r="T4467" s="58">
        <v>0</v>
      </c>
      <c r="U4467" s="58">
        <v>0</v>
      </c>
      <c r="V4467" s="58">
        <v>0</v>
      </c>
      <c r="AM4467" s="1" t="str">
        <f t="shared" si="215"/>
        <v>4465_C0005_1147.jpg</v>
      </c>
    </row>
    <row r="4468" spans="1:39" x14ac:dyDescent="0.35">
      <c r="A4468">
        <v>4464</v>
      </c>
      <c r="B4468">
        <v>4465</v>
      </c>
      <c r="F4468" s="64" t="s">
        <v>6624</v>
      </c>
      <c r="G4468" s="64"/>
      <c r="H4468" s="64"/>
      <c r="I4468" s="64">
        <v>0</v>
      </c>
      <c r="N4468" s="4">
        <v>0</v>
      </c>
      <c r="O4468" s="58">
        <v>0</v>
      </c>
      <c r="P4468" s="58">
        <v>0</v>
      </c>
      <c r="Q4468" s="58">
        <v>0</v>
      </c>
      <c r="R4468" s="58">
        <v>0</v>
      </c>
      <c r="S4468" s="58">
        <v>0</v>
      </c>
      <c r="T4468" s="58">
        <v>0</v>
      </c>
      <c r="U4468" s="58">
        <v>0</v>
      </c>
      <c r="V4468" s="58">
        <v>0</v>
      </c>
      <c r="AM4468" s="1" t="str">
        <f t="shared" si="215"/>
        <v>4466_C0005_1144.jpg</v>
      </c>
    </row>
    <row r="4469" spans="1:39" x14ac:dyDescent="0.35">
      <c r="A4469">
        <v>4465</v>
      </c>
      <c r="B4469">
        <v>4466</v>
      </c>
      <c r="F4469" s="64" t="s">
        <v>6625</v>
      </c>
      <c r="G4469" s="64"/>
      <c r="H4469" s="64"/>
      <c r="I4469" s="64">
        <v>0</v>
      </c>
      <c r="N4469" s="4">
        <v>0</v>
      </c>
      <c r="O4469" s="58">
        <v>0</v>
      </c>
      <c r="P4469" s="58">
        <v>0</v>
      </c>
      <c r="Q4469" s="58">
        <v>0</v>
      </c>
      <c r="R4469" s="58">
        <v>0</v>
      </c>
      <c r="S4469" s="58">
        <v>0</v>
      </c>
      <c r="T4469" s="58">
        <v>0</v>
      </c>
      <c r="U4469" s="58">
        <v>0</v>
      </c>
      <c r="V4469" s="58">
        <v>0</v>
      </c>
      <c r="AM4469" s="1" t="str">
        <f t="shared" si="215"/>
        <v>4467_C0005_1140.jpg</v>
      </c>
    </row>
    <row r="4470" spans="1:39" x14ac:dyDescent="0.35">
      <c r="A4470">
        <v>4466</v>
      </c>
      <c r="B4470">
        <v>4467</v>
      </c>
      <c r="F4470" s="64" t="s">
        <v>6626</v>
      </c>
      <c r="G4470" s="64"/>
      <c r="H4470" s="64"/>
      <c r="I4470" s="64">
        <v>0</v>
      </c>
      <c r="N4470" s="4">
        <v>0</v>
      </c>
      <c r="O4470" s="58">
        <v>0</v>
      </c>
      <c r="P4470" s="58">
        <v>0</v>
      </c>
      <c r="Q4470" s="58">
        <v>0</v>
      </c>
      <c r="R4470" s="58">
        <v>0</v>
      </c>
      <c r="S4470" s="58">
        <v>0</v>
      </c>
      <c r="T4470" s="58">
        <v>0</v>
      </c>
      <c r="U4470" s="58">
        <v>0</v>
      </c>
      <c r="V4470" s="58">
        <v>0</v>
      </c>
      <c r="AM4470" s="1" t="str">
        <f t="shared" si="215"/>
        <v>4468_C0005_1136.jpg</v>
      </c>
    </row>
    <row r="4471" spans="1:39" x14ac:dyDescent="0.35">
      <c r="A4471">
        <v>4467</v>
      </c>
      <c r="B4471">
        <v>4468</v>
      </c>
      <c r="F4471" s="64" t="s">
        <v>6627</v>
      </c>
      <c r="G4471" s="64"/>
      <c r="H4471" s="64"/>
      <c r="I4471" s="64">
        <v>0</v>
      </c>
      <c r="N4471" s="4">
        <v>0</v>
      </c>
      <c r="O4471" s="58">
        <v>0</v>
      </c>
      <c r="P4471" s="58">
        <v>0</v>
      </c>
      <c r="Q4471" s="58">
        <v>0</v>
      </c>
      <c r="R4471" s="58">
        <v>0</v>
      </c>
      <c r="S4471" s="58">
        <v>0</v>
      </c>
      <c r="T4471" s="58">
        <v>0</v>
      </c>
      <c r="U4471" s="58">
        <v>0</v>
      </c>
      <c r="V4471" s="58">
        <v>0</v>
      </c>
      <c r="AM4471" s="1" t="str">
        <f t="shared" si="215"/>
        <v>4469_C0005_1134.jpg</v>
      </c>
    </row>
    <row r="4472" spans="1:39" x14ac:dyDescent="0.35">
      <c r="A4472">
        <v>4468</v>
      </c>
      <c r="B4472">
        <v>4469</v>
      </c>
      <c r="F4472" s="64" t="s">
        <v>6628</v>
      </c>
      <c r="G4472" s="64"/>
      <c r="H4472" s="64"/>
      <c r="I4472" s="64">
        <v>0</v>
      </c>
      <c r="N4472" s="4">
        <v>0</v>
      </c>
      <c r="O4472" s="58">
        <v>0</v>
      </c>
      <c r="P4472" s="58">
        <v>0</v>
      </c>
      <c r="Q4472" s="58">
        <v>0</v>
      </c>
      <c r="R4472" s="58">
        <v>0</v>
      </c>
      <c r="S4472" s="58">
        <v>0</v>
      </c>
      <c r="T4472" s="58">
        <v>0</v>
      </c>
      <c r="U4472" s="58">
        <v>0</v>
      </c>
      <c r="V4472" s="58">
        <v>0</v>
      </c>
      <c r="AM4472" s="1" t="str">
        <f t="shared" si="215"/>
        <v>4470_C0005_1129.jpg</v>
      </c>
    </row>
    <row r="4473" spans="1:39" x14ac:dyDescent="0.35">
      <c r="A4473">
        <v>4469</v>
      </c>
      <c r="B4473">
        <v>4470</v>
      </c>
      <c r="F4473" s="64" t="s">
        <v>6629</v>
      </c>
      <c r="G4473" s="64"/>
      <c r="H4473" s="64"/>
      <c r="I4473" s="64">
        <v>0</v>
      </c>
      <c r="N4473" s="4">
        <v>0</v>
      </c>
      <c r="O4473" s="58">
        <v>0</v>
      </c>
      <c r="P4473" s="58">
        <v>0</v>
      </c>
      <c r="Q4473" s="58">
        <v>0</v>
      </c>
      <c r="R4473" s="58">
        <v>0</v>
      </c>
      <c r="S4473" s="58">
        <v>0</v>
      </c>
      <c r="T4473" s="58">
        <v>0</v>
      </c>
      <c r="U4473" s="58">
        <v>0</v>
      </c>
      <c r="V4473" s="58">
        <v>0</v>
      </c>
      <c r="AM4473" s="1" t="str">
        <f t="shared" si="215"/>
        <v>4471_C0005_1126.jpg</v>
      </c>
    </row>
    <row r="4474" spans="1:39" x14ac:dyDescent="0.35">
      <c r="A4474">
        <v>4470</v>
      </c>
      <c r="B4474">
        <v>4471</v>
      </c>
      <c r="F4474" s="64" t="s">
        <v>6630</v>
      </c>
      <c r="G4474" s="64"/>
      <c r="H4474" s="64"/>
      <c r="I4474" s="64">
        <v>0</v>
      </c>
      <c r="N4474" s="4">
        <v>0</v>
      </c>
      <c r="O4474" s="58">
        <v>0</v>
      </c>
      <c r="P4474" s="58">
        <v>0</v>
      </c>
      <c r="Q4474" s="58">
        <v>0</v>
      </c>
      <c r="R4474" s="58">
        <v>0</v>
      </c>
      <c r="S4474" s="58">
        <v>0</v>
      </c>
      <c r="T4474" s="58">
        <v>0</v>
      </c>
      <c r="U4474" s="58">
        <v>0</v>
      </c>
      <c r="V4474" s="58">
        <v>0</v>
      </c>
      <c r="AM4474" s="1" t="str">
        <f t="shared" si="215"/>
        <v>4472_C0005_1123.jpg</v>
      </c>
    </row>
    <row r="4475" spans="1:39" x14ac:dyDescent="0.35">
      <c r="A4475">
        <v>4471</v>
      </c>
      <c r="B4475">
        <v>4472</v>
      </c>
      <c r="F4475" s="64" t="s">
        <v>6631</v>
      </c>
      <c r="G4475" s="64"/>
      <c r="H4475" s="64"/>
      <c r="I4475" s="64">
        <v>0</v>
      </c>
      <c r="N4475" s="4">
        <v>0</v>
      </c>
      <c r="O4475" s="58">
        <v>0</v>
      </c>
      <c r="P4475" s="58">
        <v>0</v>
      </c>
      <c r="Q4475" s="58">
        <v>0</v>
      </c>
      <c r="R4475" s="58">
        <v>0</v>
      </c>
      <c r="S4475" s="58">
        <v>0</v>
      </c>
      <c r="T4475" s="58">
        <v>0</v>
      </c>
      <c r="U4475" s="58">
        <v>0</v>
      </c>
      <c r="V4475" s="58">
        <v>0</v>
      </c>
      <c r="AM4475" s="1" t="str">
        <f t="shared" si="215"/>
        <v>4473_C0005_1119.jpg</v>
      </c>
    </row>
    <row r="4476" spans="1:39" x14ac:dyDescent="0.35">
      <c r="A4476">
        <v>4472</v>
      </c>
      <c r="B4476">
        <v>4473</v>
      </c>
      <c r="F4476" s="64" t="s">
        <v>6632</v>
      </c>
      <c r="G4476" s="64"/>
      <c r="H4476" s="64"/>
      <c r="I4476" s="64">
        <v>0</v>
      </c>
      <c r="N4476" s="4">
        <v>0</v>
      </c>
      <c r="O4476" s="58">
        <v>0</v>
      </c>
      <c r="P4476" s="58">
        <v>0</v>
      </c>
      <c r="Q4476" s="58">
        <v>0</v>
      </c>
      <c r="R4476" s="58">
        <v>0</v>
      </c>
      <c r="S4476" s="58">
        <v>0</v>
      </c>
      <c r="T4476" s="58">
        <v>0</v>
      </c>
      <c r="U4476" s="58">
        <v>0</v>
      </c>
      <c r="V4476" s="58">
        <v>0</v>
      </c>
      <c r="AM4476" s="1" t="str">
        <f t="shared" ref="AM4476:AM4539" si="216">HYPERLINK("E:\CAFNEC_GBRF\2023\JohnstoneRiver\Frames_for_Analysis\" &amp; F4477, F4477)</f>
        <v>4474_C0005_1115.jpg</v>
      </c>
    </row>
    <row r="4477" spans="1:39" x14ac:dyDescent="0.35">
      <c r="A4477">
        <v>4473</v>
      </c>
      <c r="B4477">
        <v>4474</v>
      </c>
      <c r="F4477" s="64" t="s">
        <v>6633</v>
      </c>
      <c r="G4477" s="64"/>
      <c r="H4477" s="64"/>
      <c r="I4477" s="64">
        <v>0</v>
      </c>
      <c r="N4477" s="4">
        <v>0</v>
      </c>
      <c r="O4477" s="58">
        <v>0</v>
      </c>
      <c r="P4477" s="58">
        <v>0</v>
      </c>
      <c r="Q4477" s="58">
        <v>0</v>
      </c>
      <c r="R4477" s="58">
        <v>0</v>
      </c>
      <c r="S4477" s="58">
        <v>0</v>
      </c>
      <c r="T4477" s="58">
        <v>0</v>
      </c>
      <c r="U4477" s="58">
        <v>0</v>
      </c>
      <c r="V4477" s="58">
        <v>0</v>
      </c>
      <c r="AM4477" s="1" t="str">
        <f t="shared" si="216"/>
        <v>4475_C0005_1112.jpg</v>
      </c>
    </row>
    <row r="4478" spans="1:39" x14ac:dyDescent="0.35">
      <c r="A4478">
        <v>4474</v>
      </c>
      <c r="B4478">
        <v>4475</v>
      </c>
      <c r="F4478" s="64" t="s">
        <v>6634</v>
      </c>
      <c r="G4478" s="64"/>
      <c r="H4478" s="64"/>
      <c r="I4478" s="64">
        <v>0</v>
      </c>
      <c r="N4478" s="4">
        <v>0</v>
      </c>
      <c r="O4478" s="58">
        <v>0</v>
      </c>
      <c r="P4478" s="58">
        <v>0</v>
      </c>
      <c r="Q4478" s="58">
        <v>0</v>
      </c>
      <c r="R4478" s="58">
        <v>0</v>
      </c>
      <c r="S4478" s="58">
        <v>0</v>
      </c>
      <c r="T4478" s="58">
        <v>0</v>
      </c>
      <c r="U4478" s="58">
        <v>0</v>
      </c>
      <c r="V4478" s="58">
        <v>0</v>
      </c>
      <c r="AM4478" s="1" t="str">
        <f t="shared" si="216"/>
        <v>4476_C0005_1109.jpg</v>
      </c>
    </row>
    <row r="4479" spans="1:39" x14ac:dyDescent="0.35">
      <c r="A4479">
        <v>4475</v>
      </c>
      <c r="B4479">
        <v>4476</v>
      </c>
      <c r="F4479" s="64" t="s">
        <v>6635</v>
      </c>
      <c r="G4479" s="64"/>
      <c r="H4479" s="64"/>
      <c r="I4479" s="64">
        <v>0</v>
      </c>
      <c r="N4479" s="4">
        <v>0</v>
      </c>
      <c r="O4479" s="58">
        <v>0</v>
      </c>
      <c r="P4479" s="58">
        <v>0</v>
      </c>
      <c r="Q4479" s="58">
        <v>0</v>
      </c>
      <c r="R4479" s="58">
        <v>0</v>
      </c>
      <c r="S4479" s="58">
        <v>0</v>
      </c>
      <c r="T4479" s="58">
        <v>0</v>
      </c>
      <c r="U4479" s="58">
        <v>0</v>
      </c>
      <c r="V4479" s="58">
        <v>0</v>
      </c>
      <c r="AM4479" s="1" t="str">
        <f t="shared" si="216"/>
        <v>4477_C0005_1106.jpg</v>
      </c>
    </row>
    <row r="4480" spans="1:39" x14ac:dyDescent="0.35">
      <c r="A4480">
        <v>4476</v>
      </c>
      <c r="B4480">
        <v>4477</v>
      </c>
      <c r="F4480" s="64" t="s">
        <v>6636</v>
      </c>
      <c r="G4480" s="64"/>
      <c r="H4480" s="64"/>
      <c r="I4480" s="64">
        <v>0</v>
      </c>
      <c r="N4480" s="4">
        <v>0</v>
      </c>
      <c r="O4480" s="58">
        <v>0</v>
      </c>
      <c r="P4480" s="58">
        <v>0</v>
      </c>
      <c r="Q4480" s="58">
        <v>0</v>
      </c>
      <c r="R4480" s="58">
        <v>0</v>
      </c>
      <c r="S4480" s="58">
        <v>0</v>
      </c>
      <c r="T4480" s="58">
        <v>0</v>
      </c>
      <c r="U4480" s="58">
        <v>0</v>
      </c>
      <c r="V4480" s="58">
        <v>0</v>
      </c>
      <c r="AM4480" s="1" t="str">
        <f t="shared" si="216"/>
        <v>4478_C0005_1103.jpg</v>
      </c>
    </row>
    <row r="4481" spans="1:39" x14ac:dyDescent="0.35">
      <c r="A4481">
        <v>4477</v>
      </c>
      <c r="B4481">
        <v>4478</v>
      </c>
      <c r="F4481" s="64" t="s">
        <v>6637</v>
      </c>
      <c r="G4481" s="64"/>
      <c r="H4481" s="64"/>
      <c r="I4481" s="64">
        <v>0</v>
      </c>
      <c r="N4481" s="4">
        <v>0</v>
      </c>
      <c r="O4481" s="58">
        <v>0</v>
      </c>
      <c r="P4481" s="58">
        <v>0</v>
      </c>
      <c r="Q4481" s="58">
        <v>0</v>
      </c>
      <c r="R4481" s="58">
        <v>0</v>
      </c>
      <c r="S4481" s="58">
        <v>0</v>
      </c>
      <c r="T4481" s="58">
        <v>0</v>
      </c>
      <c r="U4481" s="58">
        <v>0</v>
      </c>
      <c r="V4481" s="58">
        <v>0</v>
      </c>
      <c r="AM4481" s="1" t="str">
        <f t="shared" si="216"/>
        <v>4479_C0005_1097.jpg</v>
      </c>
    </row>
    <row r="4482" spans="1:39" x14ac:dyDescent="0.35">
      <c r="A4482">
        <v>4478</v>
      </c>
      <c r="B4482">
        <v>4479</v>
      </c>
      <c r="F4482" s="64" t="s">
        <v>6638</v>
      </c>
      <c r="G4482" s="64"/>
      <c r="H4482" s="64"/>
      <c r="I4482" s="64">
        <v>0</v>
      </c>
      <c r="N4482" s="4">
        <v>0</v>
      </c>
      <c r="O4482" s="58">
        <v>0</v>
      </c>
      <c r="P4482" s="58">
        <v>0</v>
      </c>
      <c r="Q4482" s="58">
        <v>0</v>
      </c>
      <c r="R4482" s="58">
        <v>0</v>
      </c>
      <c r="S4482" s="58">
        <v>0</v>
      </c>
      <c r="T4482" s="58">
        <v>0</v>
      </c>
      <c r="U4482" s="58">
        <v>0</v>
      </c>
      <c r="V4482" s="58">
        <v>0</v>
      </c>
      <c r="AM4482" s="1" t="str">
        <f t="shared" si="216"/>
        <v>4480_C0005_1093.jpg</v>
      </c>
    </row>
    <row r="4483" spans="1:39" x14ac:dyDescent="0.35">
      <c r="A4483">
        <v>4479</v>
      </c>
      <c r="B4483">
        <v>4480</v>
      </c>
      <c r="F4483" s="64" t="s">
        <v>6639</v>
      </c>
      <c r="G4483" s="64"/>
      <c r="H4483" s="64"/>
      <c r="I4483" s="64">
        <v>0</v>
      </c>
      <c r="N4483" s="4">
        <v>0</v>
      </c>
      <c r="O4483" s="58">
        <v>0</v>
      </c>
      <c r="P4483" s="58">
        <v>0</v>
      </c>
      <c r="Q4483" s="58">
        <v>0</v>
      </c>
      <c r="R4483" s="58">
        <v>0</v>
      </c>
      <c r="S4483" s="58">
        <v>0</v>
      </c>
      <c r="T4483" s="58">
        <v>0</v>
      </c>
      <c r="U4483" s="58">
        <v>0</v>
      </c>
      <c r="V4483" s="58">
        <v>0</v>
      </c>
      <c r="AM4483" s="1" t="str">
        <f t="shared" si="216"/>
        <v>4481_C0005_1089.jpg</v>
      </c>
    </row>
    <row r="4484" spans="1:39" x14ac:dyDescent="0.35">
      <c r="A4484">
        <v>4480</v>
      </c>
      <c r="B4484">
        <v>4481</v>
      </c>
      <c r="F4484" s="64" t="s">
        <v>6640</v>
      </c>
      <c r="G4484" s="64"/>
      <c r="H4484" s="64"/>
      <c r="I4484" s="64">
        <v>0</v>
      </c>
      <c r="N4484" s="4">
        <v>0</v>
      </c>
      <c r="O4484" s="58">
        <v>0</v>
      </c>
      <c r="P4484" s="58">
        <v>0</v>
      </c>
      <c r="Q4484" s="58">
        <v>0</v>
      </c>
      <c r="R4484" s="58">
        <v>0</v>
      </c>
      <c r="S4484" s="58">
        <v>0</v>
      </c>
      <c r="T4484" s="58">
        <v>0</v>
      </c>
      <c r="U4484" s="58">
        <v>0</v>
      </c>
      <c r="V4484" s="58">
        <v>0</v>
      </c>
      <c r="AM4484" s="1" t="str">
        <f t="shared" si="216"/>
        <v>4482_C0005_1085.jpg</v>
      </c>
    </row>
    <row r="4485" spans="1:39" x14ac:dyDescent="0.35">
      <c r="A4485">
        <v>4481</v>
      </c>
      <c r="B4485">
        <v>4482</v>
      </c>
      <c r="F4485" s="64" t="s">
        <v>6641</v>
      </c>
      <c r="G4485" s="64"/>
      <c r="H4485" s="64"/>
      <c r="I4485" s="64">
        <v>0</v>
      </c>
      <c r="N4485" s="4">
        <v>0</v>
      </c>
      <c r="O4485" s="58">
        <v>0</v>
      </c>
      <c r="P4485" s="58">
        <v>0</v>
      </c>
      <c r="Q4485" s="58">
        <v>0</v>
      </c>
      <c r="R4485" s="58">
        <v>0</v>
      </c>
      <c r="S4485" s="58">
        <v>0</v>
      </c>
      <c r="T4485" s="58">
        <v>0</v>
      </c>
      <c r="U4485" s="58">
        <v>0</v>
      </c>
      <c r="V4485" s="58">
        <v>0</v>
      </c>
      <c r="AM4485" s="1" t="str">
        <f t="shared" si="216"/>
        <v>4483_C0005_1081.jpg</v>
      </c>
    </row>
    <row r="4486" spans="1:39" x14ac:dyDescent="0.35">
      <c r="A4486">
        <v>4482</v>
      </c>
      <c r="B4486">
        <v>4483</v>
      </c>
      <c r="F4486" s="64" t="s">
        <v>6642</v>
      </c>
      <c r="G4486" s="64"/>
      <c r="H4486" s="64"/>
      <c r="I4486" s="64">
        <v>0</v>
      </c>
      <c r="N4486" s="4">
        <v>0</v>
      </c>
      <c r="O4486" s="58">
        <v>0</v>
      </c>
      <c r="P4486" s="58">
        <v>0</v>
      </c>
      <c r="Q4486" s="58">
        <v>0</v>
      </c>
      <c r="R4486" s="58">
        <v>0</v>
      </c>
      <c r="S4486" s="58">
        <v>0</v>
      </c>
      <c r="T4486" s="58">
        <v>0</v>
      </c>
      <c r="U4486" s="58">
        <v>0</v>
      </c>
      <c r="V4486" s="58">
        <v>0</v>
      </c>
      <c r="AM4486" s="1" t="str">
        <f t="shared" si="216"/>
        <v>4484_C0005_1076.jpg</v>
      </c>
    </row>
    <row r="4487" spans="1:39" x14ac:dyDescent="0.35">
      <c r="A4487">
        <v>4483</v>
      </c>
      <c r="B4487">
        <v>4484</v>
      </c>
      <c r="F4487" s="64" t="s">
        <v>6643</v>
      </c>
      <c r="G4487" s="64"/>
      <c r="H4487" s="64"/>
      <c r="I4487" s="64">
        <v>0</v>
      </c>
      <c r="N4487" s="4">
        <v>0</v>
      </c>
      <c r="O4487" s="58">
        <v>0</v>
      </c>
      <c r="P4487" s="58">
        <v>0</v>
      </c>
      <c r="Q4487" s="58">
        <v>0</v>
      </c>
      <c r="R4487" s="58">
        <v>0</v>
      </c>
      <c r="S4487" s="58">
        <v>0</v>
      </c>
      <c r="T4487" s="58">
        <v>0</v>
      </c>
      <c r="U4487" s="58">
        <v>0</v>
      </c>
      <c r="V4487" s="58">
        <v>0</v>
      </c>
      <c r="AM4487" s="1" t="str">
        <f t="shared" si="216"/>
        <v>4485_C0005_1072.jpg</v>
      </c>
    </row>
    <row r="4488" spans="1:39" x14ac:dyDescent="0.35">
      <c r="A4488">
        <v>4484</v>
      </c>
      <c r="B4488">
        <v>4485</v>
      </c>
      <c r="F4488" s="64" t="s">
        <v>6644</v>
      </c>
      <c r="G4488" s="64"/>
      <c r="H4488" s="64"/>
      <c r="I4488" s="64">
        <v>0</v>
      </c>
      <c r="N4488" s="4">
        <v>0</v>
      </c>
      <c r="O4488" s="58">
        <v>0</v>
      </c>
      <c r="P4488" s="58">
        <v>0</v>
      </c>
      <c r="Q4488" s="58">
        <v>0</v>
      </c>
      <c r="R4488" s="58">
        <v>0</v>
      </c>
      <c r="S4488" s="58">
        <v>0</v>
      </c>
      <c r="T4488" s="58">
        <v>0</v>
      </c>
      <c r="U4488" s="58">
        <v>0</v>
      </c>
      <c r="V4488" s="58">
        <v>0</v>
      </c>
      <c r="AM4488" s="1" t="str">
        <f t="shared" si="216"/>
        <v>4486_C0005_1067.jpg</v>
      </c>
    </row>
    <row r="4489" spans="1:39" x14ac:dyDescent="0.35">
      <c r="A4489">
        <v>4485</v>
      </c>
      <c r="B4489">
        <v>4486</v>
      </c>
      <c r="F4489" s="64" t="s">
        <v>6645</v>
      </c>
      <c r="G4489" s="64"/>
      <c r="H4489" s="64"/>
      <c r="I4489" s="64">
        <v>0</v>
      </c>
      <c r="N4489" s="4">
        <v>0</v>
      </c>
      <c r="O4489" s="58">
        <v>0</v>
      </c>
      <c r="P4489" s="58">
        <v>0</v>
      </c>
      <c r="Q4489" s="58">
        <v>0</v>
      </c>
      <c r="R4489" s="58">
        <v>0</v>
      </c>
      <c r="S4489" s="58">
        <v>0</v>
      </c>
      <c r="T4489" s="58">
        <v>0</v>
      </c>
      <c r="U4489" s="58">
        <v>0</v>
      </c>
      <c r="V4489" s="58">
        <v>0</v>
      </c>
      <c r="AM4489" s="1" t="str">
        <f t="shared" si="216"/>
        <v>4487_C0005_1063.jpg</v>
      </c>
    </row>
    <row r="4490" spans="1:39" x14ac:dyDescent="0.35">
      <c r="A4490">
        <v>4486</v>
      </c>
      <c r="B4490">
        <v>4487</v>
      </c>
      <c r="F4490" s="64" t="s">
        <v>6646</v>
      </c>
      <c r="G4490" s="64"/>
      <c r="H4490" s="64"/>
      <c r="I4490" s="64">
        <v>0</v>
      </c>
      <c r="N4490" s="4">
        <v>0</v>
      </c>
      <c r="O4490" s="58">
        <v>0</v>
      </c>
      <c r="P4490" s="58">
        <v>0</v>
      </c>
      <c r="Q4490" s="58">
        <v>0</v>
      </c>
      <c r="R4490" s="58">
        <v>0</v>
      </c>
      <c r="S4490" s="58">
        <v>0</v>
      </c>
      <c r="T4490" s="58">
        <v>0</v>
      </c>
      <c r="U4490" s="58">
        <v>0</v>
      </c>
      <c r="V4490" s="58">
        <v>0</v>
      </c>
      <c r="AM4490" s="1" t="str">
        <f t="shared" si="216"/>
        <v>4488_C0005_1059.jpg</v>
      </c>
    </row>
    <row r="4491" spans="1:39" x14ac:dyDescent="0.35">
      <c r="A4491">
        <v>4487</v>
      </c>
      <c r="B4491">
        <v>4488</v>
      </c>
      <c r="F4491" s="64" t="s">
        <v>6647</v>
      </c>
      <c r="G4491" s="64"/>
      <c r="H4491" s="64"/>
      <c r="I4491" s="64">
        <v>0</v>
      </c>
      <c r="N4491" s="4">
        <v>0</v>
      </c>
      <c r="O4491" s="58">
        <v>0</v>
      </c>
      <c r="P4491" s="58">
        <v>0</v>
      </c>
      <c r="Q4491" s="58">
        <v>0</v>
      </c>
      <c r="R4491" s="58">
        <v>0</v>
      </c>
      <c r="S4491" s="58">
        <v>0</v>
      </c>
      <c r="T4491" s="58">
        <v>0</v>
      </c>
      <c r="U4491" s="58">
        <v>0</v>
      </c>
      <c r="V4491" s="58">
        <v>0</v>
      </c>
      <c r="AM4491" s="1" t="str">
        <f t="shared" si="216"/>
        <v>4489_C0005_1055.jpg</v>
      </c>
    </row>
    <row r="4492" spans="1:39" x14ac:dyDescent="0.35">
      <c r="A4492">
        <v>4488</v>
      </c>
      <c r="B4492">
        <v>4489</v>
      </c>
      <c r="F4492" s="64" t="s">
        <v>6648</v>
      </c>
      <c r="G4492" s="64"/>
      <c r="H4492" s="64"/>
      <c r="I4492" s="64">
        <v>0</v>
      </c>
      <c r="N4492" s="4">
        <v>0</v>
      </c>
      <c r="O4492" s="58">
        <v>0</v>
      </c>
      <c r="P4492" s="58">
        <v>0</v>
      </c>
      <c r="Q4492" s="58">
        <v>0</v>
      </c>
      <c r="R4492" s="58">
        <v>0</v>
      </c>
      <c r="S4492" s="58">
        <v>0</v>
      </c>
      <c r="T4492" s="58">
        <v>0</v>
      </c>
      <c r="U4492" s="58">
        <v>0</v>
      </c>
      <c r="V4492" s="58">
        <v>0</v>
      </c>
      <c r="AM4492" s="1" t="str">
        <f t="shared" si="216"/>
        <v>4490_C0005_1051.jpg</v>
      </c>
    </row>
    <row r="4493" spans="1:39" x14ac:dyDescent="0.35">
      <c r="A4493">
        <v>4489</v>
      </c>
      <c r="B4493">
        <v>4490</v>
      </c>
      <c r="F4493" s="64" t="s">
        <v>6649</v>
      </c>
      <c r="G4493" s="64"/>
      <c r="H4493" s="64"/>
      <c r="I4493" s="64">
        <v>0</v>
      </c>
      <c r="N4493" s="4">
        <v>0</v>
      </c>
      <c r="O4493" s="58">
        <v>0</v>
      </c>
      <c r="P4493" s="58">
        <v>0</v>
      </c>
      <c r="Q4493" s="58">
        <v>0</v>
      </c>
      <c r="R4493" s="58">
        <v>0</v>
      </c>
      <c r="S4493" s="58">
        <v>0</v>
      </c>
      <c r="T4493" s="58">
        <v>0</v>
      </c>
      <c r="U4493" s="58">
        <v>0</v>
      </c>
      <c r="V4493" s="58">
        <v>0</v>
      </c>
      <c r="AM4493" s="1" t="str">
        <f t="shared" si="216"/>
        <v>4491_C0005_1047.jpg</v>
      </c>
    </row>
    <row r="4494" spans="1:39" x14ac:dyDescent="0.35">
      <c r="A4494">
        <v>4490</v>
      </c>
      <c r="B4494">
        <v>4491</v>
      </c>
      <c r="F4494" s="64" t="s">
        <v>6650</v>
      </c>
      <c r="G4494" s="64"/>
      <c r="H4494" s="64"/>
      <c r="I4494" s="64">
        <v>0</v>
      </c>
      <c r="N4494" s="4">
        <v>0</v>
      </c>
      <c r="O4494" s="58">
        <v>0</v>
      </c>
      <c r="P4494" s="58">
        <v>0</v>
      </c>
      <c r="Q4494" s="58">
        <v>0</v>
      </c>
      <c r="R4494" s="58">
        <v>0</v>
      </c>
      <c r="S4494" s="58">
        <v>0</v>
      </c>
      <c r="T4494" s="58">
        <v>0</v>
      </c>
      <c r="U4494" s="58">
        <v>0</v>
      </c>
      <c r="V4494" s="58">
        <v>0</v>
      </c>
      <c r="AM4494" s="1" t="str">
        <f t="shared" si="216"/>
        <v>4492_C0005_1043.jpg</v>
      </c>
    </row>
    <row r="4495" spans="1:39" x14ac:dyDescent="0.35">
      <c r="A4495">
        <v>4491</v>
      </c>
      <c r="B4495">
        <v>4492</v>
      </c>
      <c r="F4495" s="64" t="s">
        <v>6651</v>
      </c>
      <c r="G4495" s="64"/>
      <c r="H4495" s="64"/>
      <c r="I4495" s="64">
        <v>0</v>
      </c>
      <c r="N4495" s="4">
        <v>0</v>
      </c>
      <c r="O4495" s="58">
        <v>0</v>
      </c>
      <c r="P4495" s="58">
        <v>0</v>
      </c>
      <c r="Q4495" s="58">
        <v>0</v>
      </c>
      <c r="R4495" s="58">
        <v>0</v>
      </c>
      <c r="S4495" s="58">
        <v>0</v>
      </c>
      <c r="T4495" s="58">
        <v>0</v>
      </c>
      <c r="U4495" s="58">
        <v>0</v>
      </c>
      <c r="V4495" s="58">
        <v>0</v>
      </c>
      <c r="AM4495" s="1" t="str">
        <f t="shared" si="216"/>
        <v>4493_C0005_1035.jpg</v>
      </c>
    </row>
    <row r="4496" spans="1:39" x14ac:dyDescent="0.35">
      <c r="A4496">
        <v>4492</v>
      </c>
      <c r="B4496">
        <v>4493</v>
      </c>
      <c r="F4496" s="64" t="s">
        <v>6652</v>
      </c>
      <c r="G4496" s="64"/>
      <c r="H4496" s="64"/>
      <c r="I4496" s="64">
        <v>0</v>
      </c>
      <c r="N4496" s="4">
        <v>0</v>
      </c>
      <c r="O4496" s="58">
        <v>0</v>
      </c>
      <c r="P4496" s="58">
        <v>0</v>
      </c>
      <c r="Q4496" s="58">
        <v>0</v>
      </c>
      <c r="R4496" s="58">
        <v>0</v>
      </c>
      <c r="S4496" s="58">
        <v>0</v>
      </c>
      <c r="T4496" s="58">
        <v>0</v>
      </c>
      <c r="U4496" s="58">
        <v>0</v>
      </c>
      <c r="V4496" s="58">
        <v>0</v>
      </c>
      <c r="AM4496" s="1" t="str">
        <f t="shared" si="216"/>
        <v>4494_C0005_1031.jpg</v>
      </c>
    </row>
    <row r="4497" spans="1:39" x14ac:dyDescent="0.35">
      <c r="A4497">
        <v>4493</v>
      </c>
      <c r="B4497">
        <v>4494</v>
      </c>
      <c r="F4497" s="64" t="s">
        <v>6653</v>
      </c>
      <c r="G4497" s="64"/>
      <c r="H4497" s="64"/>
      <c r="I4497" s="64">
        <v>0</v>
      </c>
      <c r="N4497" s="4">
        <v>0</v>
      </c>
      <c r="O4497" s="58">
        <v>0</v>
      </c>
      <c r="P4497" s="58">
        <v>0</v>
      </c>
      <c r="Q4497" s="58">
        <v>0</v>
      </c>
      <c r="R4497" s="58">
        <v>0</v>
      </c>
      <c r="S4497" s="58">
        <v>0</v>
      </c>
      <c r="T4497" s="58">
        <v>0</v>
      </c>
      <c r="U4497" s="58">
        <v>0</v>
      </c>
      <c r="V4497" s="58">
        <v>0</v>
      </c>
      <c r="AM4497" s="1" t="str">
        <f t="shared" si="216"/>
        <v>4495_C0005_1026.jpg</v>
      </c>
    </row>
    <row r="4498" spans="1:39" x14ac:dyDescent="0.35">
      <c r="A4498">
        <v>4494</v>
      </c>
      <c r="B4498">
        <v>4495</v>
      </c>
      <c r="F4498" s="64" t="s">
        <v>6654</v>
      </c>
      <c r="G4498" s="64"/>
      <c r="H4498" s="64"/>
      <c r="I4498" s="64">
        <v>0</v>
      </c>
      <c r="N4498" s="4">
        <v>0</v>
      </c>
      <c r="O4498" s="58">
        <v>0</v>
      </c>
      <c r="P4498" s="58">
        <v>0</v>
      </c>
      <c r="Q4498" s="58">
        <v>0</v>
      </c>
      <c r="R4498" s="58">
        <v>0</v>
      </c>
      <c r="S4498" s="58">
        <v>0</v>
      </c>
      <c r="T4498" s="58">
        <v>0</v>
      </c>
      <c r="U4498" s="58">
        <v>0</v>
      </c>
      <c r="V4498" s="58">
        <v>0</v>
      </c>
      <c r="AM4498" s="1" t="str">
        <f t="shared" si="216"/>
        <v>4496_C0005_1021.jpg</v>
      </c>
    </row>
    <row r="4499" spans="1:39" x14ac:dyDescent="0.35">
      <c r="A4499">
        <v>4495</v>
      </c>
      <c r="B4499">
        <v>4496</v>
      </c>
      <c r="F4499" s="64" t="s">
        <v>6655</v>
      </c>
      <c r="G4499" s="64"/>
      <c r="H4499" s="64"/>
      <c r="I4499" s="64">
        <v>0</v>
      </c>
      <c r="N4499" s="4">
        <v>0</v>
      </c>
      <c r="O4499" s="58">
        <v>0</v>
      </c>
      <c r="P4499" s="58">
        <v>0</v>
      </c>
      <c r="Q4499" s="58">
        <v>0</v>
      </c>
      <c r="R4499" s="58">
        <v>0</v>
      </c>
      <c r="S4499" s="58">
        <v>0</v>
      </c>
      <c r="T4499" s="58">
        <v>0</v>
      </c>
      <c r="U4499" s="58">
        <v>0</v>
      </c>
      <c r="V4499" s="58">
        <v>0</v>
      </c>
      <c r="AM4499" s="1" t="str">
        <f t="shared" si="216"/>
        <v>4497_C0005_1016.jpg</v>
      </c>
    </row>
    <row r="4500" spans="1:39" x14ac:dyDescent="0.35">
      <c r="A4500">
        <v>4496</v>
      </c>
      <c r="B4500">
        <v>4497</v>
      </c>
      <c r="F4500" s="64" t="s">
        <v>6656</v>
      </c>
      <c r="G4500" s="64"/>
      <c r="H4500" s="64"/>
      <c r="I4500" s="64">
        <v>0</v>
      </c>
      <c r="N4500" s="4">
        <v>0</v>
      </c>
      <c r="O4500" s="58">
        <v>0</v>
      </c>
      <c r="P4500" s="58">
        <v>0</v>
      </c>
      <c r="Q4500" s="58">
        <v>0</v>
      </c>
      <c r="R4500" s="58">
        <v>0</v>
      </c>
      <c r="S4500" s="58">
        <v>0</v>
      </c>
      <c r="T4500" s="58">
        <v>0</v>
      </c>
      <c r="U4500" s="58">
        <v>0</v>
      </c>
      <c r="V4500" s="58">
        <v>0</v>
      </c>
      <c r="AM4500" s="1" t="str">
        <f t="shared" si="216"/>
        <v>4498_C0005_1011.jpg</v>
      </c>
    </row>
    <row r="4501" spans="1:39" x14ac:dyDescent="0.35">
      <c r="A4501">
        <v>4497</v>
      </c>
      <c r="B4501">
        <v>4498</v>
      </c>
      <c r="F4501" s="64" t="s">
        <v>6657</v>
      </c>
      <c r="G4501" s="64"/>
      <c r="H4501" s="64"/>
      <c r="I4501" s="64">
        <v>0</v>
      </c>
      <c r="N4501" s="4">
        <v>0</v>
      </c>
      <c r="O4501" s="58">
        <v>0</v>
      </c>
      <c r="P4501" s="58">
        <v>0</v>
      </c>
      <c r="Q4501" s="58">
        <v>0</v>
      </c>
      <c r="R4501" s="58">
        <v>0</v>
      </c>
      <c r="S4501" s="58">
        <v>0</v>
      </c>
      <c r="T4501" s="58">
        <v>0</v>
      </c>
      <c r="U4501" s="58">
        <v>0</v>
      </c>
      <c r="V4501" s="58">
        <v>0</v>
      </c>
      <c r="AM4501" s="1" t="str">
        <f t="shared" si="216"/>
        <v>4499_C0005_1006.jpg</v>
      </c>
    </row>
    <row r="4502" spans="1:39" x14ac:dyDescent="0.35">
      <c r="A4502">
        <v>4498</v>
      </c>
      <c r="B4502">
        <v>4499</v>
      </c>
      <c r="F4502" s="64" t="s">
        <v>6658</v>
      </c>
      <c r="G4502" s="64"/>
      <c r="H4502" s="64"/>
      <c r="I4502" s="64">
        <v>0</v>
      </c>
      <c r="N4502" s="4">
        <v>0</v>
      </c>
      <c r="O4502" s="58">
        <v>0</v>
      </c>
      <c r="P4502" s="58">
        <v>0</v>
      </c>
      <c r="Q4502" s="58">
        <v>0</v>
      </c>
      <c r="R4502" s="58">
        <v>0</v>
      </c>
      <c r="S4502" s="58">
        <v>0</v>
      </c>
      <c r="T4502" s="58">
        <v>0</v>
      </c>
      <c r="U4502" s="58">
        <v>0</v>
      </c>
      <c r="V4502" s="58">
        <v>0</v>
      </c>
      <c r="AM4502" s="1" t="str">
        <f t="shared" si="216"/>
        <v>4500_C0005_1001.jpg</v>
      </c>
    </row>
    <row r="4503" spans="1:39" x14ac:dyDescent="0.35">
      <c r="A4503">
        <v>4499</v>
      </c>
      <c r="B4503">
        <v>4500</v>
      </c>
      <c r="F4503" s="64" t="s">
        <v>6659</v>
      </c>
      <c r="G4503" s="64"/>
      <c r="H4503" s="64"/>
      <c r="I4503" s="64">
        <v>0</v>
      </c>
      <c r="N4503" s="4">
        <v>0</v>
      </c>
      <c r="O4503" s="58">
        <v>0</v>
      </c>
      <c r="P4503" s="58">
        <v>0</v>
      </c>
      <c r="Q4503" s="58">
        <v>0</v>
      </c>
      <c r="R4503" s="58">
        <v>0</v>
      </c>
      <c r="S4503" s="58">
        <v>1</v>
      </c>
      <c r="T4503" s="58">
        <v>0</v>
      </c>
      <c r="U4503" s="58">
        <v>0</v>
      </c>
      <c r="V4503" s="58">
        <v>0</v>
      </c>
      <c r="AM4503" s="1" t="str">
        <f t="shared" si="216"/>
        <v>4501_C0005_0998.jpg</v>
      </c>
    </row>
    <row r="4504" spans="1:39" x14ac:dyDescent="0.35">
      <c r="A4504">
        <v>4500</v>
      </c>
      <c r="B4504">
        <v>4501</v>
      </c>
      <c r="F4504" s="64" t="s">
        <v>6660</v>
      </c>
      <c r="G4504" s="64"/>
      <c r="H4504" s="64"/>
      <c r="I4504" s="64">
        <v>0</v>
      </c>
      <c r="N4504" s="4">
        <v>0</v>
      </c>
      <c r="O4504" s="58">
        <v>0</v>
      </c>
      <c r="P4504" s="58">
        <v>0</v>
      </c>
      <c r="Q4504" s="58">
        <v>0</v>
      </c>
      <c r="R4504" s="58">
        <v>0</v>
      </c>
      <c r="S4504" s="58">
        <v>0</v>
      </c>
      <c r="T4504" s="58">
        <v>0</v>
      </c>
      <c r="U4504" s="58">
        <v>0</v>
      </c>
      <c r="V4504" s="58">
        <v>0</v>
      </c>
      <c r="AM4504" s="1" t="str">
        <f t="shared" si="216"/>
        <v>4502_C0005_0994.jpg</v>
      </c>
    </row>
    <row r="4505" spans="1:39" x14ac:dyDescent="0.35">
      <c r="A4505">
        <v>4501</v>
      </c>
      <c r="B4505">
        <v>4502</v>
      </c>
      <c r="F4505" s="64" t="s">
        <v>6661</v>
      </c>
      <c r="G4505" s="64"/>
      <c r="H4505" s="64"/>
      <c r="I4505" s="64">
        <v>0</v>
      </c>
      <c r="N4505" s="4">
        <v>0</v>
      </c>
      <c r="O4505" s="58">
        <v>0</v>
      </c>
      <c r="P4505" s="58">
        <v>0</v>
      </c>
      <c r="Q4505" s="58">
        <v>0</v>
      </c>
      <c r="R4505" s="58">
        <v>0</v>
      </c>
      <c r="S4505" s="58">
        <v>0</v>
      </c>
      <c r="T4505" s="58">
        <v>0</v>
      </c>
      <c r="U4505" s="58">
        <v>0</v>
      </c>
      <c r="V4505" s="58">
        <v>0</v>
      </c>
      <c r="AM4505" s="1" t="str">
        <f t="shared" si="216"/>
        <v>4503_C0005_0990.jpg</v>
      </c>
    </row>
    <row r="4506" spans="1:39" x14ac:dyDescent="0.35">
      <c r="A4506">
        <v>4502</v>
      </c>
      <c r="B4506">
        <v>4503</v>
      </c>
      <c r="F4506" s="64" t="s">
        <v>6662</v>
      </c>
      <c r="G4506" s="64"/>
      <c r="H4506" s="64"/>
      <c r="I4506" s="64">
        <v>0</v>
      </c>
      <c r="N4506" s="4">
        <v>0</v>
      </c>
      <c r="O4506" s="58">
        <v>0</v>
      </c>
      <c r="P4506" s="58">
        <v>0</v>
      </c>
      <c r="Q4506" s="58">
        <v>0</v>
      </c>
      <c r="R4506" s="58">
        <v>0</v>
      </c>
      <c r="S4506" s="58">
        <v>0</v>
      </c>
      <c r="T4506" s="58">
        <v>0</v>
      </c>
      <c r="U4506" s="58">
        <v>0</v>
      </c>
      <c r="V4506" s="58">
        <v>0</v>
      </c>
      <c r="AM4506" s="1" t="str">
        <f t="shared" si="216"/>
        <v>4504_C0005_0985.jpg</v>
      </c>
    </row>
    <row r="4507" spans="1:39" x14ac:dyDescent="0.35">
      <c r="A4507">
        <v>4503</v>
      </c>
      <c r="B4507">
        <v>4504</v>
      </c>
      <c r="F4507" s="64" t="s">
        <v>6663</v>
      </c>
      <c r="G4507" s="64"/>
      <c r="H4507" s="64"/>
      <c r="I4507" s="64">
        <v>0</v>
      </c>
      <c r="N4507" s="4">
        <v>0</v>
      </c>
      <c r="O4507" s="58">
        <v>0</v>
      </c>
      <c r="P4507" s="58">
        <v>0</v>
      </c>
      <c r="Q4507" s="58">
        <v>0</v>
      </c>
      <c r="R4507" s="58">
        <v>0</v>
      </c>
      <c r="S4507" s="58">
        <v>0</v>
      </c>
      <c r="T4507" s="58">
        <v>0</v>
      </c>
      <c r="U4507" s="58">
        <v>0</v>
      </c>
      <c r="V4507" s="58">
        <v>0</v>
      </c>
      <c r="AM4507" s="1" t="str">
        <f t="shared" si="216"/>
        <v>4505_C0005_0981.jpg</v>
      </c>
    </row>
    <row r="4508" spans="1:39" x14ac:dyDescent="0.35">
      <c r="A4508">
        <v>4504</v>
      </c>
      <c r="B4508">
        <v>4505</v>
      </c>
      <c r="F4508" s="64" t="s">
        <v>6664</v>
      </c>
      <c r="G4508" s="64"/>
      <c r="H4508" s="64"/>
      <c r="I4508" s="64">
        <v>0</v>
      </c>
      <c r="N4508" s="4">
        <v>0</v>
      </c>
      <c r="O4508" s="58">
        <v>0</v>
      </c>
      <c r="P4508" s="58">
        <v>0</v>
      </c>
      <c r="Q4508" s="58">
        <v>0</v>
      </c>
      <c r="R4508" s="58">
        <v>0</v>
      </c>
      <c r="S4508" s="58">
        <v>0</v>
      </c>
      <c r="T4508" s="58">
        <v>0</v>
      </c>
      <c r="U4508" s="58">
        <v>0</v>
      </c>
      <c r="V4508" s="58">
        <v>0</v>
      </c>
      <c r="AM4508" s="1" t="str">
        <f t="shared" si="216"/>
        <v>4506_C0005_0978.jpg</v>
      </c>
    </row>
    <row r="4509" spans="1:39" x14ac:dyDescent="0.35">
      <c r="A4509">
        <v>4505</v>
      </c>
      <c r="B4509">
        <v>4506</v>
      </c>
      <c r="F4509" s="64" t="s">
        <v>6665</v>
      </c>
      <c r="G4509" s="64"/>
      <c r="H4509" s="64"/>
      <c r="I4509" s="64">
        <v>0</v>
      </c>
      <c r="N4509" s="4">
        <v>0</v>
      </c>
      <c r="O4509" s="58">
        <v>0</v>
      </c>
      <c r="P4509" s="58">
        <v>0</v>
      </c>
      <c r="Q4509" s="58">
        <v>0</v>
      </c>
      <c r="R4509" s="58">
        <v>0</v>
      </c>
      <c r="S4509" s="58">
        <v>0</v>
      </c>
      <c r="T4509" s="58">
        <v>0</v>
      </c>
      <c r="U4509" s="58">
        <v>0</v>
      </c>
      <c r="V4509" s="58">
        <v>0</v>
      </c>
      <c r="AM4509" s="1" t="str">
        <f t="shared" si="216"/>
        <v>4507_C0005_0975.jpg</v>
      </c>
    </row>
    <row r="4510" spans="1:39" x14ac:dyDescent="0.35">
      <c r="A4510">
        <v>4506</v>
      </c>
      <c r="B4510">
        <v>4507</v>
      </c>
      <c r="F4510" s="64" t="s">
        <v>6666</v>
      </c>
      <c r="G4510" s="64"/>
      <c r="H4510" s="64"/>
      <c r="I4510" s="64">
        <v>0</v>
      </c>
      <c r="N4510" s="4">
        <v>0</v>
      </c>
      <c r="O4510" s="58">
        <v>0</v>
      </c>
      <c r="P4510" s="58">
        <v>0</v>
      </c>
      <c r="Q4510" s="58">
        <v>0</v>
      </c>
      <c r="R4510" s="58">
        <v>0</v>
      </c>
      <c r="S4510" s="58">
        <v>0</v>
      </c>
      <c r="T4510" s="58">
        <v>0</v>
      </c>
      <c r="U4510" s="58">
        <v>0</v>
      </c>
      <c r="V4510" s="58">
        <v>0</v>
      </c>
      <c r="AM4510" s="1" t="str">
        <f t="shared" si="216"/>
        <v>4508_C0005_0971.jpg</v>
      </c>
    </row>
    <row r="4511" spans="1:39" x14ac:dyDescent="0.35">
      <c r="A4511">
        <v>4507</v>
      </c>
      <c r="B4511">
        <v>4508</v>
      </c>
      <c r="F4511" s="64" t="s">
        <v>6667</v>
      </c>
      <c r="G4511" s="64"/>
      <c r="H4511" s="64"/>
      <c r="I4511" s="64">
        <v>0</v>
      </c>
      <c r="N4511" s="4">
        <v>0</v>
      </c>
      <c r="O4511" s="58">
        <v>0</v>
      </c>
      <c r="P4511" s="58">
        <v>0</v>
      </c>
      <c r="Q4511" s="58">
        <v>0</v>
      </c>
      <c r="R4511" s="58">
        <v>0</v>
      </c>
      <c r="S4511" s="58">
        <v>0</v>
      </c>
      <c r="T4511" s="58">
        <v>0</v>
      </c>
      <c r="U4511" s="58">
        <v>0</v>
      </c>
      <c r="V4511" s="58">
        <v>0</v>
      </c>
      <c r="AM4511" s="1" t="str">
        <f t="shared" si="216"/>
        <v>4509_C0005_0967.jpg</v>
      </c>
    </row>
    <row r="4512" spans="1:39" x14ac:dyDescent="0.35">
      <c r="A4512">
        <v>4508</v>
      </c>
      <c r="B4512">
        <v>4509</v>
      </c>
      <c r="F4512" s="64" t="s">
        <v>6668</v>
      </c>
      <c r="G4512" s="64"/>
      <c r="H4512" s="64"/>
      <c r="I4512" s="64">
        <v>0</v>
      </c>
      <c r="N4512" s="4">
        <v>0</v>
      </c>
      <c r="O4512" s="58">
        <v>0</v>
      </c>
      <c r="P4512" s="58">
        <v>0</v>
      </c>
      <c r="Q4512" s="58">
        <v>0</v>
      </c>
      <c r="R4512" s="58">
        <v>0</v>
      </c>
      <c r="S4512" s="58">
        <v>0</v>
      </c>
      <c r="T4512" s="58">
        <v>0</v>
      </c>
      <c r="U4512" s="58">
        <v>0</v>
      </c>
      <c r="V4512" s="58">
        <v>0</v>
      </c>
      <c r="AM4512" s="1" t="str">
        <f t="shared" si="216"/>
        <v>4510_C0005_0963.jpg</v>
      </c>
    </row>
    <row r="4513" spans="1:39" x14ac:dyDescent="0.35">
      <c r="A4513">
        <v>4509</v>
      </c>
      <c r="B4513">
        <v>4510</v>
      </c>
      <c r="F4513" s="64" t="s">
        <v>6669</v>
      </c>
      <c r="G4513" s="64"/>
      <c r="H4513" s="64"/>
      <c r="I4513" s="64">
        <v>0</v>
      </c>
      <c r="N4513" s="4">
        <v>0</v>
      </c>
      <c r="O4513" s="58">
        <v>0</v>
      </c>
      <c r="P4513" s="58">
        <v>0</v>
      </c>
      <c r="Q4513" s="58">
        <v>0</v>
      </c>
      <c r="R4513" s="58">
        <v>0</v>
      </c>
      <c r="S4513" s="58">
        <v>0</v>
      </c>
      <c r="T4513" s="58">
        <v>0</v>
      </c>
      <c r="U4513" s="58">
        <v>0</v>
      </c>
      <c r="V4513" s="58">
        <v>0</v>
      </c>
      <c r="AM4513" s="1" t="str">
        <f t="shared" si="216"/>
        <v>4511_C0005_0958.jpg</v>
      </c>
    </row>
    <row r="4514" spans="1:39" x14ac:dyDescent="0.35">
      <c r="A4514">
        <v>4510</v>
      </c>
      <c r="B4514">
        <v>4511</v>
      </c>
      <c r="F4514" s="64" t="s">
        <v>6670</v>
      </c>
      <c r="G4514" s="64"/>
      <c r="H4514" s="64"/>
      <c r="I4514" s="64">
        <v>0</v>
      </c>
      <c r="N4514" s="4">
        <v>0</v>
      </c>
      <c r="O4514" s="58">
        <v>0</v>
      </c>
      <c r="P4514" s="58">
        <v>0</v>
      </c>
      <c r="Q4514" s="58">
        <v>0</v>
      </c>
      <c r="R4514" s="58">
        <v>0</v>
      </c>
      <c r="S4514" s="58">
        <v>0</v>
      </c>
      <c r="T4514" s="58">
        <v>0</v>
      </c>
      <c r="U4514" s="58">
        <v>0</v>
      </c>
      <c r="V4514" s="58">
        <v>0</v>
      </c>
      <c r="AM4514" s="1" t="str">
        <f t="shared" si="216"/>
        <v>4512_C0005_0953.jpg</v>
      </c>
    </row>
    <row r="4515" spans="1:39" x14ac:dyDescent="0.35">
      <c r="A4515">
        <v>4511</v>
      </c>
      <c r="B4515">
        <v>4512</v>
      </c>
      <c r="F4515" s="64" t="s">
        <v>6671</v>
      </c>
      <c r="G4515" s="64"/>
      <c r="H4515" s="64"/>
      <c r="I4515" s="64">
        <v>0</v>
      </c>
      <c r="N4515" s="4">
        <v>0</v>
      </c>
      <c r="O4515" s="58">
        <v>0</v>
      </c>
      <c r="P4515" s="58">
        <v>0</v>
      </c>
      <c r="Q4515" s="58">
        <v>0</v>
      </c>
      <c r="R4515" s="58">
        <v>0</v>
      </c>
      <c r="S4515" s="58">
        <v>0</v>
      </c>
      <c r="T4515" s="58">
        <v>0</v>
      </c>
      <c r="U4515" s="58">
        <v>0</v>
      </c>
      <c r="V4515" s="58">
        <v>0</v>
      </c>
      <c r="AM4515" s="1" t="str">
        <f t="shared" si="216"/>
        <v>4513_C0005_0949.jpg</v>
      </c>
    </row>
    <row r="4516" spans="1:39" x14ac:dyDescent="0.35">
      <c r="A4516">
        <v>4512</v>
      </c>
      <c r="B4516">
        <v>4513</v>
      </c>
      <c r="F4516" s="64" t="s">
        <v>6672</v>
      </c>
      <c r="G4516" s="64"/>
      <c r="H4516" s="64"/>
      <c r="I4516" s="64">
        <v>0</v>
      </c>
      <c r="N4516" s="4">
        <v>0</v>
      </c>
      <c r="O4516" s="58">
        <v>0</v>
      </c>
      <c r="P4516" s="58">
        <v>0</v>
      </c>
      <c r="Q4516" s="58">
        <v>0</v>
      </c>
      <c r="R4516" s="58">
        <v>0</v>
      </c>
      <c r="S4516" s="58">
        <v>0</v>
      </c>
      <c r="T4516" s="58">
        <v>0</v>
      </c>
      <c r="U4516" s="58">
        <v>0</v>
      </c>
      <c r="V4516" s="58">
        <v>0</v>
      </c>
      <c r="AM4516" s="1" t="str">
        <f t="shared" si="216"/>
        <v>4514_C0005_0945.jpg</v>
      </c>
    </row>
    <row r="4517" spans="1:39" x14ac:dyDescent="0.35">
      <c r="A4517">
        <v>4513</v>
      </c>
      <c r="B4517">
        <v>4514</v>
      </c>
      <c r="F4517" s="64" t="s">
        <v>6673</v>
      </c>
      <c r="G4517" s="64"/>
      <c r="H4517" s="64"/>
      <c r="I4517" s="64">
        <v>0</v>
      </c>
      <c r="N4517" s="4">
        <v>0</v>
      </c>
      <c r="O4517" s="58">
        <v>0</v>
      </c>
      <c r="P4517" s="58">
        <v>0</v>
      </c>
      <c r="Q4517" s="58">
        <v>0</v>
      </c>
      <c r="R4517" s="58">
        <v>0</v>
      </c>
      <c r="S4517" s="58">
        <v>0</v>
      </c>
      <c r="T4517" s="58">
        <v>0</v>
      </c>
      <c r="U4517" s="58">
        <v>0</v>
      </c>
      <c r="V4517" s="58">
        <v>0</v>
      </c>
      <c r="AM4517" s="1" t="str">
        <f t="shared" si="216"/>
        <v>4515_C0005_0941.jpg</v>
      </c>
    </row>
    <row r="4518" spans="1:39" x14ac:dyDescent="0.35">
      <c r="A4518">
        <v>4514</v>
      </c>
      <c r="B4518">
        <v>4515</v>
      </c>
      <c r="F4518" s="64" t="s">
        <v>6674</v>
      </c>
      <c r="G4518" s="64"/>
      <c r="H4518" s="64"/>
      <c r="I4518" s="64">
        <v>0</v>
      </c>
      <c r="N4518" s="4">
        <v>0</v>
      </c>
      <c r="O4518" s="58">
        <v>0</v>
      </c>
      <c r="P4518" s="58">
        <v>0</v>
      </c>
      <c r="Q4518" s="58">
        <v>0</v>
      </c>
      <c r="R4518" s="58">
        <v>0</v>
      </c>
      <c r="S4518" s="58">
        <v>0</v>
      </c>
      <c r="T4518" s="58">
        <v>0</v>
      </c>
      <c r="U4518" s="58">
        <v>0</v>
      </c>
      <c r="V4518" s="58">
        <v>0</v>
      </c>
      <c r="AM4518" s="1" t="str">
        <f t="shared" si="216"/>
        <v>4516_C0005_0937.jpg</v>
      </c>
    </row>
    <row r="4519" spans="1:39" x14ac:dyDescent="0.35">
      <c r="A4519">
        <v>4515</v>
      </c>
      <c r="B4519">
        <v>4516</v>
      </c>
      <c r="F4519" s="64" t="s">
        <v>6675</v>
      </c>
      <c r="G4519" s="64"/>
      <c r="H4519" s="64"/>
      <c r="I4519" s="64">
        <v>0</v>
      </c>
      <c r="N4519" s="4">
        <v>0</v>
      </c>
      <c r="O4519" s="58">
        <v>0</v>
      </c>
      <c r="P4519" s="58">
        <v>0</v>
      </c>
      <c r="Q4519" s="58">
        <v>0</v>
      </c>
      <c r="R4519" s="58">
        <v>0</v>
      </c>
      <c r="S4519" s="58">
        <v>0</v>
      </c>
      <c r="T4519" s="58">
        <v>0</v>
      </c>
      <c r="U4519" s="58">
        <v>0</v>
      </c>
      <c r="V4519" s="58">
        <v>0</v>
      </c>
      <c r="AM4519" s="1" t="str">
        <f t="shared" si="216"/>
        <v>4517_C0005_0931.jpg</v>
      </c>
    </row>
    <row r="4520" spans="1:39" x14ac:dyDescent="0.35">
      <c r="A4520">
        <v>4516</v>
      </c>
      <c r="B4520">
        <v>4517</v>
      </c>
      <c r="F4520" s="64" t="s">
        <v>6676</v>
      </c>
      <c r="G4520" s="64"/>
      <c r="H4520" s="64"/>
      <c r="I4520" s="64">
        <v>0</v>
      </c>
      <c r="N4520" s="4">
        <v>0</v>
      </c>
      <c r="O4520" s="58">
        <v>0</v>
      </c>
      <c r="P4520" s="58">
        <v>0</v>
      </c>
      <c r="Q4520" s="58">
        <v>0</v>
      </c>
      <c r="R4520" s="58">
        <v>0</v>
      </c>
      <c r="S4520" s="58">
        <v>0</v>
      </c>
      <c r="T4520" s="58">
        <v>0</v>
      </c>
      <c r="U4520" s="58">
        <v>0</v>
      </c>
      <c r="V4520" s="58">
        <v>0</v>
      </c>
      <c r="AM4520" s="1" t="str">
        <f t="shared" si="216"/>
        <v>4518_C0005_0927.jpg</v>
      </c>
    </row>
    <row r="4521" spans="1:39" x14ac:dyDescent="0.35">
      <c r="A4521">
        <v>4517</v>
      </c>
      <c r="B4521">
        <v>4518</v>
      </c>
      <c r="F4521" s="64" t="s">
        <v>6677</v>
      </c>
      <c r="G4521" s="64"/>
      <c r="H4521" s="64"/>
      <c r="I4521" s="64">
        <v>0</v>
      </c>
      <c r="N4521" s="4">
        <v>0</v>
      </c>
      <c r="O4521" s="58">
        <v>0</v>
      </c>
      <c r="P4521" s="58">
        <v>0</v>
      </c>
      <c r="Q4521" s="58">
        <v>0</v>
      </c>
      <c r="R4521" s="58">
        <v>0</v>
      </c>
      <c r="S4521" s="58">
        <v>0</v>
      </c>
      <c r="T4521" s="58">
        <v>0</v>
      </c>
      <c r="U4521" s="58">
        <v>0</v>
      </c>
      <c r="V4521" s="58">
        <v>0</v>
      </c>
      <c r="AM4521" s="1" t="str">
        <f t="shared" si="216"/>
        <v>4519_C0005_0922.jpg</v>
      </c>
    </row>
    <row r="4522" spans="1:39" x14ac:dyDescent="0.35">
      <c r="A4522">
        <v>4518</v>
      </c>
      <c r="B4522">
        <v>4519</v>
      </c>
      <c r="F4522" s="64" t="s">
        <v>6678</v>
      </c>
      <c r="G4522" s="64"/>
      <c r="H4522" s="64"/>
      <c r="I4522" s="64">
        <v>0</v>
      </c>
      <c r="N4522" s="4">
        <v>0</v>
      </c>
      <c r="O4522" s="58">
        <v>0</v>
      </c>
      <c r="P4522" s="58">
        <v>0</v>
      </c>
      <c r="Q4522" s="58">
        <v>0</v>
      </c>
      <c r="R4522" s="58">
        <v>0</v>
      </c>
      <c r="S4522" s="58">
        <v>0</v>
      </c>
      <c r="T4522" s="58">
        <v>0</v>
      </c>
      <c r="U4522" s="58">
        <v>0</v>
      </c>
      <c r="V4522" s="58">
        <v>0</v>
      </c>
      <c r="AM4522" s="1" t="str">
        <f t="shared" si="216"/>
        <v>4520_C0005_0918.jpg</v>
      </c>
    </row>
    <row r="4523" spans="1:39" x14ac:dyDescent="0.35">
      <c r="A4523">
        <v>4519</v>
      </c>
      <c r="B4523">
        <v>4520</v>
      </c>
      <c r="F4523" s="64" t="s">
        <v>6679</v>
      </c>
      <c r="G4523" s="64"/>
      <c r="H4523" s="64"/>
      <c r="I4523" s="64">
        <v>0</v>
      </c>
      <c r="N4523" s="4">
        <v>0</v>
      </c>
      <c r="O4523" s="58">
        <v>0</v>
      </c>
      <c r="P4523" s="58">
        <v>0</v>
      </c>
      <c r="Q4523" s="58">
        <v>0</v>
      </c>
      <c r="R4523" s="58">
        <v>0</v>
      </c>
      <c r="S4523" s="58">
        <v>0</v>
      </c>
      <c r="T4523" s="58">
        <v>0</v>
      </c>
      <c r="U4523" s="58">
        <v>0</v>
      </c>
      <c r="V4523" s="58">
        <v>0</v>
      </c>
      <c r="AM4523" s="1" t="str">
        <f t="shared" si="216"/>
        <v>4521_C0005_0913.jpg</v>
      </c>
    </row>
    <row r="4524" spans="1:39" x14ac:dyDescent="0.35">
      <c r="A4524">
        <v>4520</v>
      </c>
      <c r="B4524">
        <v>4521</v>
      </c>
      <c r="F4524" s="64" t="s">
        <v>6680</v>
      </c>
      <c r="G4524" s="64"/>
      <c r="H4524" s="64"/>
      <c r="I4524" s="64">
        <v>0</v>
      </c>
      <c r="N4524" s="4">
        <v>0</v>
      </c>
      <c r="O4524" s="58">
        <v>0</v>
      </c>
      <c r="P4524" s="58">
        <v>0</v>
      </c>
      <c r="Q4524" s="58">
        <v>0</v>
      </c>
      <c r="R4524" s="58">
        <v>0</v>
      </c>
      <c r="S4524" s="58">
        <v>0</v>
      </c>
      <c r="T4524" s="58">
        <v>0</v>
      </c>
      <c r="U4524" s="58">
        <v>0</v>
      </c>
      <c r="V4524" s="58">
        <v>0</v>
      </c>
      <c r="AM4524" s="1" t="str">
        <f t="shared" si="216"/>
        <v>4522_C0005_0910.jpg</v>
      </c>
    </row>
    <row r="4525" spans="1:39" x14ac:dyDescent="0.35">
      <c r="A4525">
        <v>4521</v>
      </c>
      <c r="B4525">
        <v>4522</v>
      </c>
      <c r="F4525" s="64" t="s">
        <v>6681</v>
      </c>
      <c r="G4525" s="64"/>
      <c r="H4525" s="64"/>
      <c r="I4525" s="64">
        <v>0</v>
      </c>
      <c r="N4525" s="4">
        <v>0</v>
      </c>
      <c r="O4525" s="58">
        <v>0</v>
      </c>
      <c r="P4525" s="58">
        <v>0</v>
      </c>
      <c r="Q4525" s="58">
        <v>0</v>
      </c>
      <c r="R4525" s="58">
        <v>0</v>
      </c>
      <c r="S4525" s="58">
        <v>0</v>
      </c>
      <c r="T4525" s="58">
        <v>0</v>
      </c>
      <c r="U4525" s="58">
        <v>0</v>
      </c>
      <c r="V4525" s="58">
        <v>0</v>
      </c>
      <c r="AM4525" s="1" t="str">
        <f t="shared" si="216"/>
        <v>4523_C0005_0905.jpg</v>
      </c>
    </row>
    <row r="4526" spans="1:39" x14ac:dyDescent="0.35">
      <c r="A4526">
        <v>4522</v>
      </c>
      <c r="B4526">
        <v>4523</v>
      </c>
      <c r="F4526" s="64" t="s">
        <v>6682</v>
      </c>
      <c r="G4526" s="64"/>
      <c r="H4526" s="64"/>
      <c r="I4526" s="64">
        <v>0</v>
      </c>
      <c r="N4526" s="4">
        <v>0</v>
      </c>
      <c r="O4526" s="58">
        <v>0</v>
      </c>
      <c r="P4526" s="58">
        <v>0</v>
      </c>
      <c r="Q4526" s="58">
        <v>0</v>
      </c>
      <c r="R4526" s="58">
        <v>0</v>
      </c>
      <c r="S4526" s="58">
        <v>0</v>
      </c>
      <c r="T4526" s="58">
        <v>0</v>
      </c>
      <c r="U4526" s="58">
        <v>0</v>
      </c>
      <c r="V4526" s="58">
        <v>0</v>
      </c>
      <c r="AM4526" s="1" t="str">
        <f t="shared" si="216"/>
        <v>4524_C0005_0900.jpg</v>
      </c>
    </row>
    <row r="4527" spans="1:39" x14ac:dyDescent="0.35">
      <c r="A4527">
        <v>4523</v>
      </c>
      <c r="B4527">
        <v>4524</v>
      </c>
      <c r="F4527" s="64" t="s">
        <v>6683</v>
      </c>
      <c r="G4527" s="64"/>
      <c r="H4527" s="64"/>
      <c r="I4527" s="64">
        <v>0</v>
      </c>
      <c r="N4527" s="4">
        <v>0</v>
      </c>
      <c r="O4527" s="58">
        <v>0</v>
      </c>
      <c r="P4527" s="58">
        <v>0</v>
      </c>
      <c r="Q4527" s="58">
        <v>0</v>
      </c>
      <c r="R4527" s="58">
        <v>0</v>
      </c>
      <c r="S4527" s="58">
        <v>0</v>
      </c>
      <c r="T4527" s="58">
        <v>0</v>
      </c>
      <c r="U4527" s="58">
        <v>0</v>
      </c>
      <c r="V4527" s="58">
        <v>0</v>
      </c>
      <c r="AM4527" s="1" t="str">
        <f t="shared" si="216"/>
        <v>4525_C0005_0896.jpg</v>
      </c>
    </row>
    <row r="4528" spans="1:39" x14ac:dyDescent="0.35">
      <c r="A4528">
        <v>4524</v>
      </c>
      <c r="B4528">
        <v>4525</v>
      </c>
      <c r="F4528" s="64" t="s">
        <v>6684</v>
      </c>
      <c r="G4528" s="64"/>
      <c r="H4528" s="64"/>
      <c r="I4528" s="64">
        <v>0</v>
      </c>
      <c r="N4528" s="4">
        <v>0</v>
      </c>
      <c r="O4528" s="58">
        <v>0</v>
      </c>
      <c r="P4528" s="58">
        <v>0</v>
      </c>
      <c r="Q4528" s="58">
        <v>0</v>
      </c>
      <c r="R4528" s="58">
        <v>0</v>
      </c>
      <c r="S4528" s="58">
        <v>0</v>
      </c>
      <c r="T4528" s="58">
        <v>0</v>
      </c>
      <c r="U4528" s="58">
        <v>0</v>
      </c>
      <c r="V4528" s="58">
        <v>0</v>
      </c>
      <c r="AM4528" s="1" t="str">
        <f t="shared" si="216"/>
        <v>4526_C0005_0892.jpg</v>
      </c>
    </row>
    <row r="4529" spans="1:39" x14ac:dyDescent="0.35">
      <c r="A4529">
        <v>4525</v>
      </c>
      <c r="B4529">
        <v>4526</v>
      </c>
      <c r="F4529" s="64" t="s">
        <v>6685</v>
      </c>
      <c r="G4529" s="64"/>
      <c r="H4529" s="64"/>
      <c r="I4529" s="64">
        <v>0</v>
      </c>
      <c r="N4529" s="4">
        <v>0</v>
      </c>
      <c r="O4529" s="58">
        <v>0</v>
      </c>
      <c r="P4529" s="58">
        <v>0</v>
      </c>
      <c r="Q4529" s="58">
        <v>0</v>
      </c>
      <c r="R4529" s="58">
        <v>0</v>
      </c>
      <c r="S4529" s="58">
        <v>0</v>
      </c>
      <c r="T4529" s="58">
        <v>0</v>
      </c>
      <c r="U4529" s="58">
        <v>0</v>
      </c>
      <c r="V4529" s="58">
        <v>0</v>
      </c>
      <c r="AM4529" s="1" t="str">
        <f t="shared" si="216"/>
        <v>4527_C0005_0886.jpg</v>
      </c>
    </row>
    <row r="4530" spans="1:39" x14ac:dyDescent="0.35">
      <c r="A4530">
        <v>4526</v>
      </c>
      <c r="B4530">
        <v>4527</v>
      </c>
      <c r="F4530" s="64" t="s">
        <v>6686</v>
      </c>
      <c r="G4530" s="64"/>
      <c r="H4530" s="64"/>
      <c r="I4530" s="64">
        <v>0</v>
      </c>
      <c r="N4530" s="4">
        <v>0</v>
      </c>
      <c r="O4530" s="58">
        <v>0</v>
      </c>
      <c r="P4530" s="58">
        <v>0</v>
      </c>
      <c r="Q4530" s="58">
        <v>0</v>
      </c>
      <c r="R4530" s="58">
        <v>0</v>
      </c>
      <c r="S4530" s="58">
        <v>0</v>
      </c>
      <c r="T4530" s="58">
        <v>0</v>
      </c>
      <c r="U4530" s="58">
        <v>0</v>
      </c>
      <c r="V4530" s="58">
        <v>0</v>
      </c>
      <c r="AM4530" s="1" t="str">
        <f t="shared" si="216"/>
        <v>4528_C0005_0879.jpg</v>
      </c>
    </row>
    <row r="4531" spans="1:39" x14ac:dyDescent="0.35">
      <c r="A4531">
        <v>4527</v>
      </c>
      <c r="B4531">
        <v>4528</v>
      </c>
      <c r="F4531" s="64" t="s">
        <v>6687</v>
      </c>
      <c r="G4531" s="64"/>
      <c r="H4531" s="64"/>
      <c r="I4531" s="64">
        <v>0</v>
      </c>
      <c r="N4531" s="4">
        <v>0</v>
      </c>
      <c r="O4531" s="58">
        <v>0</v>
      </c>
      <c r="P4531" s="58">
        <v>0</v>
      </c>
      <c r="Q4531" s="58">
        <v>0</v>
      </c>
      <c r="R4531" s="58">
        <v>0</v>
      </c>
      <c r="S4531" s="58">
        <v>0</v>
      </c>
      <c r="T4531" s="58">
        <v>0</v>
      </c>
      <c r="U4531" s="58">
        <v>0</v>
      </c>
      <c r="V4531" s="58">
        <v>0</v>
      </c>
      <c r="AM4531" s="1" t="str">
        <f t="shared" si="216"/>
        <v>4529_C0005_0872.jpg</v>
      </c>
    </row>
    <row r="4532" spans="1:39" x14ac:dyDescent="0.35">
      <c r="A4532">
        <v>4528</v>
      </c>
      <c r="B4532">
        <v>4529</v>
      </c>
      <c r="F4532" s="64" t="s">
        <v>6688</v>
      </c>
      <c r="G4532" s="64"/>
      <c r="H4532" s="64"/>
      <c r="I4532" s="64">
        <v>0</v>
      </c>
      <c r="N4532" s="4">
        <v>0</v>
      </c>
      <c r="O4532" s="58">
        <v>0</v>
      </c>
      <c r="P4532" s="58">
        <v>0</v>
      </c>
      <c r="Q4532" s="58">
        <v>0</v>
      </c>
      <c r="R4532" s="58">
        <v>0</v>
      </c>
      <c r="S4532" s="58">
        <v>0</v>
      </c>
      <c r="T4532" s="58">
        <v>0</v>
      </c>
      <c r="U4532" s="58">
        <v>0</v>
      </c>
      <c r="V4532" s="58">
        <v>0</v>
      </c>
      <c r="AM4532" s="1" t="str">
        <f t="shared" si="216"/>
        <v>4530_C0005_0868.jpg</v>
      </c>
    </row>
    <row r="4533" spans="1:39" x14ac:dyDescent="0.35">
      <c r="A4533">
        <v>4529</v>
      </c>
      <c r="B4533">
        <v>4530</v>
      </c>
      <c r="F4533" s="64" t="s">
        <v>6689</v>
      </c>
      <c r="G4533" s="64"/>
      <c r="H4533" s="64"/>
      <c r="I4533" s="64">
        <v>0</v>
      </c>
      <c r="N4533" s="4">
        <v>0</v>
      </c>
      <c r="O4533" s="58">
        <v>0</v>
      </c>
      <c r="P4533" s="58">
        <v>0</v>
      </c>
      <c r="Q4533" s="58">
        <v>0</v>
      </c>
      <c r="R4533" s="58">
        <v>0</v>
      </c>
      <c r="S4533" s="58">
        <v>0</v>
      </c>
      <c r="T4533" s="58">
        <v>0</v>
      </c>
      <c r="U4533" s="58">
        <v>0</v>
      </c>
      <c r="V4533" s="58">
        <v>0</v>
      </c>
      <c r="AM4533" s="1" t="str">
        <f t="shared" si="216"/>
        <v>4531_C0005_0864.jpg</v>
      </c>
    </row>
    <row r="4534" spans="1:39" x14ac:dyDescent="0.35">
      <c r="A4534">
        <v>4530</v>
      </c>
      <c r="B4534">
        <v>4531</v>
      </c>
      <c r="F4534" s="64" t="s">
        <v>6690</v>
      </c>
      <c r="G4534" s="64"/>
      <c r="H4534" s="64"/>
      <c r="I4534" s="64">
        <v>0</v>
      </c>
      <c r="N4534" s="4">
        <v>0</v>
      </c>
      <c r="O4534" s="58">
        <v>0</v>
      </c>
      <c r="P4534" s="58">
        <v>0</v>
      </c>
      <c r="Q4534" s="58">
        <v>0</v>
      </c>
      <c r="R4534" s="58">
        <v>0</v>
      </c>
      <c r="S4534" s="58">
        <v>0</v>
      </c>
      <c r="T4534" s="58">
        <v>0</v>
      </c>
      <c r="U4534" s="58">
        <v>0</v>
      </c>
      <c r="V4534" s="58">
        <v>0</v>
      </c>
      <c r="AM4534" s="1" t="str">
        <f t="shared" si="216"/>
        <v>4532_C0005_0856.jpg</v>
      </c>
    </row>
    <row r="4535" spans="1:39" x14ac:dyDescent="0.35">
      <c r="A4535">
        <v>4531</v>
      </c>
      <c r="B4535">
        <v>4532</v>
      </c>
      <c r="F4535" s="64" t="s">
        <v>6691</v>
      </c>
      <c r="G4535" s="64"/>
      <c r="H4535" s="64"/>
      <c r="I4535" s="64">
        <v>0</v>
      </c>
      <c r="N4535" s="4">
        <v>0</v>
      </c>
      <c r="O4535" s="58">
        <v>0</v>
      </c>
      <c r="P4535" s="58">
        <v>0</v>
      </c>
      <c r="Q4535" s="58">
        <v>0</v>
      </c>
      <c r="R4535" s="58">
        <v>0</v>
      </c>
      <c r="S4535" s="58">
        <v>0</v>
      </c>
      <c r="T4535" s="58">
        <v>0</v>
      </c>
      <c r="U4535" s="58">
        <v>0</v>
      </c>
      <c r="V4535" s="58">
        <v>0</v>
      </c>
      <c r="AM4535" s="1" t="str">
        <f t="shared" si="216"/>
        <v>4533_C0005_0851.jpg</v>
      </c>
    </row>
    <row r="4536" spans="1:39" x14ac:dyDescent="0.35">
      <c r="A4536">
        <v>4532</v>
      </c>
      <c r="B4536">
        <v>4533</v>
      </c>
      <c r="F4536" s="64" t="s">
        <v>6692</v>
      </c>
      <c r="G4536" s="64"/>
      <c r="H4536" s="64"/>
      <c r="I4536" s="64">
        <v>0</v>
      </c>
      <c r="N4536" s="4">
        <v>0</v>
      </c>
      <c r="O4536" s="58">
        <v>0</v>
      </c>
      <c r="P4536" s="58">
        <v>0</v>
      </c>
      <c r="Q4536" s="58">
        <v>0</v>
      </c>
      <c r="R4536" s="58">
        <v>0</v>
      </c>
      <c r="S4536" s="58">
        <v>0</v>
      </c>
      <c r="T4536" s="58">
        <v>0</v>
      </c>
      <c r="U4536" s="58">
        <v>0</v>
      </c>
      <c r="V4536" s="58">
        <v>0</v>
      </c>
      <c r="AM4536" s="1" t="str">
        <f t="shared" si="216"/>
        <v>4534_C0005_0847.jpg</v>
      </c>
    </row>
    <row r="4537" spans="1:39" x14ac:dyDescent="0.35">
      <c r="A4537">
        <v>4533</v>
      </c>
      <c r="B4537">
        <v>4534</v>
      </c>
      <c r="F4537" s="64" t="s">
        <v>6693</v>
      </c>
      <c r="G4537" s="64"/>
      <c r="H4537" s="64"/>
      <c r="I4537" s="64">
        <v>0</v>
      </c>
      <c r="N4537" s="4">
        <v>0</v>
      </c>
      <c r="O4537" s="58">
        <v>0</v>
      </c>
      <c r="P4537" s="58">
        <v>0</v>
      </c>
      <c r="Q4537" s="58">
        <v>0</v>
      </c>
      <c r="R4537" s="58">
        <v>0</v>
      </c>
      <c r="S4537" s="58">
        <v>0</v>
      </c>
      <c r="T4537" s="58">
        <v>0</v>
      </c>
      <c r="U4537" s="58">
        <v>0</v>
      </c>
      <c r="V4537" s="58">
        <v>0</v>
      </c>
      <c r="AM4537" s="1" t="str">
        <f t="shared" si="216"/>
        <v>4535_C0005_0843.jpg</v>
      </c>
    </row>
    <row r="4538" spans="1:39" x14ac:dyDescent="0.35">
      <c r="A4538">
        <v>4534</v>
      </c>
      <c r="B4538">
        <v>4535</v>
      </c>
      <c r="F4538" s="64" t="s">
        <v>6694</v>
      </c>
      <c r="G4538" s="64"/>
      <c r="H4538" s="64"/>
      <c r="I4538" s="64">
        <v>0</v>
      </c>
      <c r="N4538" s="4">
        <v>0</v>
      </c>
      <c r="O4538" s="58">
        <v>0</v>
      </c>
      <c r="P4538" s="58">
        <v>0</v>
      </c>
      <c r="Q4538" s="58">
        <v>0</v>
      </c>
      <c r="R4538" s="58">
        <v>0</v>
      </c>
      <c r="S4538" s="58">
        <v>0</v>
      </c>
      <c r="T4538" s="58">
        <v>0</v>
      </c>
      <c r="U4538" s="58">
        <v>0</v>
      </c>
      <c r="V4538" s="58">
        <v>0</v>
      </c>
      <c r="AM4538" s="1" t="str">
        <f t="shared" si="216"/>
        <v>4536_C0005_0839.jpg</v>
      </c>
    </row>
    <row r="4539" spans="1:39" x14ac:dyDescent="0.35">
      <c r="A4539">
        <v>4535</v>
      </c>
      <c r="B4539">
        <v>4536</v>
      </c>
      <c r="F4539" s="64" t="s">
        <v>6695</v>
      </c>
      <c r="G4539" s="64"/>
      <c r="H4539" s="64"/>
      <c r="I4539" s="64">
        <v>0</v>
      </c>
      <c r="N4539" s="4">
        <v>0</v>
      </c>
      <c r="O4539" s="58">
        <v>0</v>
      </c>
      <c r="P4539" s="58">
        <v>0</v>
      </c>
      <c r="Q4539" s="58">
        <v>0</v>
      </c>
      <c r="R4539" s="58">
        <v>0</v>
      </c>
      <c r="S4539" s="58">
        <v>0</v>
      </c>
      <c r="T4539" s="58">
        <v>0</v>
      </c>
      <c r="U4539" s="58">
        <v>0</v>
      </c>
      <c r="V4539" s="58">
        <v>0</v>
      </c>
      <c r="AM4539" s="1" t="str">
        <f t="shared" si="216"/>
        <v>4537_C0005_0834.jpg</v>
      </c>
    </row>
    <row r="4540" spans="1:39" x14ac:dyDescent="0.35">
      <c r="A4540">
        <v>4536</v>
      </c>
      <c r="B4540">
        <v>4537</v>
      </c>
      <c r="F4540" s="64" t="s">
        <v>6696</v>
      </c>
      <c r="G4540" s="64"/>
      <c r="H4540" s="64"/>
      <c r="I4540" s="64">
        <v>0</v>
      </c>
      <c r="N4540" s="4">
        <v>0</v>
      </c>
      <c r="O4540" s="58">
        <v>0</v>
      </c>
      <c r="P4540" s="58">
        <v>0</v>
      </c>
      <c r="Q4540" s="58">
        <v>0</v>
      </c>
      <c r="R4540" s="58">
        <v>0</v>
      </c>
      <c r="S4540" s="58">
        <v>0</v>
      </c>
      <c r="T4540" s="58">
        <v>0</v>
      </c>
      <c r="U4540" s="58">
        <v>0</v>
      </c>
      <c r="V4540" s="58">
        <v>0</v>
      </c>
      <c r="AM4540" s="1" t="str">
        <f t="shared" ref="AM4540:AM4603" si="217">HYPERLINK("E:\CAFNEC_GBRF\2023\JohnstoneRiver\Frames_for_Analysis\" &amp; F4541, F4541)</f>
        <v>4538_C0005_0829.jpg</v>
      </c>
    </row>
    <row r="4541" spans="1:39" x14ac:dyDescent="0.35">
      <c r="A4541">
        <v>4537</v>
      </c>
      <c r="B4541">
        <v>4538</v>
      </c>
      <c r="F4541" s="64" t="s">
        <v>6697</v>
      </c>
      <c r="G4541" s="64"/>
      <c r="H4541" s="64"/>
      <c r="I4541" s="64">
        <v>0</v>
      </c>
      <c r="N4541" s="4">
        <v>0</v>
      </c>
      <c r="O4541" s="58">
        <v>0</v>
      </c>
      <c r="P4541" s="58">
        <v>0</v>
      </c>
      <c r="Q4541" s="58">
        <v>0</v>
      </c>
      <c r="R4541" s="58">
        <v>0</v>
      </c>
      <c r="S4541" s="58">
        <v>0</v>
      </c>
      <c r="T4541" s="58">
        <v>0</v>
      </c>
      <c r="U4541" s="58">
        <v>0</v>
      </c>
      <c r="V4541" s="58">
        <v>0</v>
      </c>
      <c r="AM4541" s="1" t="str">
        <f t="shared" si="217"/>
        <v>4539_C0005_0825.jpg</v>
      </c>
    </row>
    <row r="4542" spans="1:39" x14ac:dyDescent="0.35">
      <c r="A4542">
        <v>4538</v>
      </c>
      <c r="B4542">
        <v>4539</v>
      </c>
      <c r="F4542" s="64" t="s">
        <v>6698</v>
      </c>
      <c r="G4542" s="64"/>
      <c r="H4542" s="64"/>
      <c r="I4542" s="64">
        <v>0</v>
      </c>
      <c r="N4542" s="4">
        <v>0</v>
      </c>
      <c r="O4542" s="58">
        <v>0</v>
      </c>
      <c r="P4542" s="58">
        <v>0</v>
      </c>
      <c r="Q4542" s="58">
        <v>0</v>
      </c>
      <c r="R4542" s="58">
        <v>0</v>
      </c>
      <c r="S4542" s="58">
        <v>0</v>
      </c>
      <c r="T4542" s="58">
        <v>0</v>
      </c>
      <c r="U4542" s="58">
        <v>0</v>
      </c>
      <c r="V4542" s="58">
        <v>0</v>
      </c>
      <c r="AM4542" s="1" t="str">
        <f t="shared" si="217"/>
        <v>4540_C0005_0821.jpg</v>
      </c>
    </row>
    <row r="4543" spans="1:39" x14ac:dyDescent="0.35">
      <c r="A4543">
        <v>4539</v>
      </c>
      <c r="B4543">
        <v>4540</v>
      </c>
      <c r="F4543" s="64" t="s">
        <v>6699</v>
      </c>
      <c r="G4543" s="64"/>
      <c r="H4543" s="64"/>
      <c r="I4543" s="64">
        <v>0</v>
      </c>
      <c r="N4543" s="4">
        <v>0</v>
      </c>
      <c r="O4543" s="58">
        <v>0</v>
      </c>
      <c r="P4543" s="58">
        <v>0</v>
      </c>
      <c r="Q4543" s="58">
        <v>0</v>
      </c>
      <c r="R4543" s="58">
        <v>0</v>
      </c>
      <c r="S4543" s="58">
        <v>0</v>
      </c>
      <c r="T4543" s="58">
        <v>0</v>
      </c>
      <c r="U4543" s="58">
        <v>0</v>
      </c>
      <c r="V4543" s="58">
        <v>0</v>
      </c>
      <c r="AM4543" s="1" t="str">
        <f t="shared" si="217"/>
        <v>4541_C0005_0818.jpg</v>
      </c>
    </row>
    <row r="4544" spans="1:39" x14ac:dyDescent="0.35">
      <c r="A4544">
        <v>4540</v>
      </c>
      <c r="B4544">
        <v>4541</v>
      </c>
      <c r="F4544" s="64" t="s">
        <v>6700</v>
      </c>
      <c r="G4544" s="64"/>
      <c r="H4544" s="64"/>
      <c r="I4544" s="64">
        <v>0</v>
      </c>
      <c r="N4544" s="4">
        <v>0</v>
      </c>
      <c r="O4544" s="58">
        <v>0</v>
      </c>
      <c r="P4544" s="58">
        <v>0</v>
      </c>
      <c r="Q4544" s="58">
        <v>0</v>
      </c>
      <c r="R4544" s="58">
        <v>0</v>
      </c>
      <c r="S4544" s="58">
        <v>0</v>
      </c>
      <c r="T4544" s="58">
        <v>0</v>
      </c>
      <c r="U4544" s="58">
        <v>0</v>
      </c>
      <c r="V4544" s="58">
        <v>0</v>
      </c>
      <c r="AM4544" s="1" t="str">
        <f t="shared" si="217"/>
        <v>4542_C0005_0814.jpg</v>
      </c>
    </row>
    <row r="4545" spans="1:39" x14ac:dyDescent="0.35">
      <c r="A4545">
        <v>4541</v>
      </c>
      <c r="B4545">
        <v>4542</v>
      </c>
      <c r="F4545" s="64" t="s">
        <v>6701</v>
      </c>
      <c r="G4545" s="64"/>
      <c r="H4545" s="64"/>
      <c r="I4545" s="64">
        <v>0</v>
      </c>
      <c r="N4545" s="4">
        <v>0</v>
      </c>
      <c r="O4545" s="58">
        <v>0</v>
      </c>
      <c r="P4545" s="58">
        <v>0</v>
      </c>
      <c r="Q4545" s="58">
        <v>0</v>
      </c>
      <c r="R4545" s="58">
        <v>0</v>
      </c>
      <c r="S4545" s="58">
        <v>0</v>
      </c>
      <c r="T4545" s="58">
        <v>0</v>
      </c>
      <c r="U4545" s="58">
        <v>0</v>
      </c>
      <c r="V4545" s="58">
        <v>0</v>
      </c>
      <c r="AM4545" s="1" t="str">
        <f t="shared" si="217"/>
        <v>4543_C0005_0810.jpg</v>
      </c>
    </row>
    <row r="4546" spans="1:39" x14ac:dyDescent="0.35">
      <c r="A4546">
        <v>4542</v>
      </c>
      <c r="B4546">
        <v>4543</v>
      </c>
      <c r="F4546" s="64" t="s">
        <v>6702</v>
      </c>
      <c r="G4546" s="64"/>
      <c r="H4546" s="64"/>
      <c r="I4546" s="64">
        <v>0</v>
      </c>
      <c r="N4546" s="4">
        <v>0</v>
      </c>
      <c r="O4546" s="58">
        <v>0</v>
      </c>
      <c r="P4546" s="58">
        <v>0</v>
      </c>
      <c r="Q4546" s="58">
        <v>0</v>
      </c>
      <c r="R4546" s="58">
        <v>0</v>
      </c>
      <c r="S4546" s="58">
        <v>0</v>
      </c>
      <c r="T4546" s="58">
        <v>0</v>
      </c>
      <c r="U4546" s="58">
        <v>0</v>
      </c>
      <c r="V4546" s="58">
        <v>0</v>
      </c>
      <c r="AM4546" s="1" t="str">
        <f t="shared" si="217"/>
        <v>4544_C0005_0806.jpg</v>
      </c>
    </row>
    <row r="4547" spans="1:39" x14ac:dyDescent="0.35">
      <c r="A4547">
        <v>4543</v>
      </c>
      <c r="B4547">
        <v>4544</v>
      </c>
      <c r="F4547" s="64" t="s">
        <v>6703</v>
      </c>
      <c r="G4547" s="64"/>
      <c r="H4547" s="64"/>
      <c r="I4547" s="64">
        <v>0</v>
      </c>
      <c r="N4547" s="4">
        <v>0</v>
      </c>
      <c r="O4547" s="58">
        <v>0</v>
      </c>
      <c r="P4547" s="58">
        <v>0</v>
      </c>
      <c r="Q4547" s="58">
        <v>0</v>
      </c>
      <c r="R4547" s="58">
        <v>0</v>
      </c>
      <c r="S4547" s="58">
        <v>0</v>
      </c>
      <c r="T4547" s="58">
        <v>0</v>
      </c>
      <c r="U4547" s="58">
        <v>0</v>
      </c>
      <c r="V4547" s="58">
        <v>0</v>
      </c>
      <c r="AM4547" s="1" t="str">
        <f t="shared" si="217"/>
        <v>4545_C0005_0803.jpg</v>
      </c>
    </row>
    <row r="4548" spans="1:39" x14ac:dyDescent="0.35">
      <c r="A4548">
        <v>4544</v>
      </c>
      <c r="B4548">
        <v>4545</v>
      </c>
      <c r="F4548" s="64" t="s">
        <v>6704</v>
      </c>
      <c r="G4548" s="64"/>
      <c r="H4548" s="64"/>
      <c r="I4548" s="64">
        <v>0</v>
      </c>
      <c r="N4548" s="4">
        <v>0</v>
      </c>
      <c r="O4548" s="58">
        <v>0</v>
      </c>
      <c r="P4548" s="58">
        <v>0</v>
      </c>
      <c r="Q4548" s="58">
        <v>0</v>
      </c>
      <c r="R4548" s="58">
        <v>0</v>
      </c>
      <c r="S4548" s="58">
        <v>0</v>
      </c>
      <c r="T4548" s="58">
        <v>0</v>
      </c>
      <c r="U4548" s="58">
        <v>0</v>
      </c>
      <c r="V4548" s="58">
        <v>0</v>
      </c>
      <c r="AM4548" s="1" t="str">
        <f t="shared" si="217"/>
        <v>4546_C0005_0800.jpg</v>
      </c>
    </row>
    <row r="4549" spans="1:39" x14ac:dyDescent="0.35">
      <c r="A4549">
        <v>4545</v>
      </c>
      <c r="B4549">
        <v>4546</v>
      </c>
      <c r="F4549" s="64" t="s">
        <v>6705</v>
      </c>
      <c r="G4549" s="64"/>
      <c r="H4549" s="64"/>
      <c r="I4549" s="64">
        <v>0</v>
      </c>
      <c r="N4549" s="4">
        <v>0</v>
      </c>
      <c r="O4549" s="58">
        <v>0</v>
      </c>
      <c r="P4549" s="58">
        <v>0</v>
      </c>
      <c r="Q4549" s="58">
        <v>0</v>
      </c>
      <c r="R4549" s="58">
        <v>0</v>
      </c>
      <c r="S4549" s="58">
        <v>0</v>
      </c>
      <c r="T4549" s="58">
        <v>0</v>
      </c>
      <c r="U4549" s="58">
        <v>0</v>
      </c>
      <c r="V4549" s="58">
        <v>0</v>
      </c>
      <c r="AM4549" s="1" t="str">
        <f t="shared" si="217"/>
        <v>4547_C0005_0796.jpg</v>
      </c>
    </row>
    <row r="4550" spans="1:39" x14ac:dyDescent="0.35">
      <c r="A4550">
        <v>4546</v>
      </c>
      <c r="B4550">
        <v>4547</v>
      </c>
      <c r="F4550" s="64" t="s">
        <v>6706</v>
      </c>
      <c r="G4550" s="64"/>
      <c r="H4550" s="64"/>
      <c r="I4550" s="64">
        <v>0</v>
      </c>
      <c r="N4550" s="4">
        <v>0</v>
      </c>
      <c r="O4550" s="58">
        <v>0</v>
      </c>
      <c r="P4550" s="58">
        <v>0</v>
      </c>
      <c r="Q4550" s="58">
        <v>0</v>
      </c>
      <c r="R4550" s="58">
        <v>0</v>
      </c>
      <c r="S4550" s="58">
        <v>0</v>
      </c>
      <c r="T4550" s="58">
        <v>0</v>
      </c>
      <c r="U4550" s="58">
        <v>0</v>
      </c>
      <c r="V4550" s="58">
        <v>0</v>
      </c>
      <c r="AM4550" s="1" t="str">
        <f t="shared" si="217"/>
        <v>4548_C0005_0793.jpg</v>
      </c>
    </row>
    <row r="4551" spans="1:39" x14ac:dyDescent="0.35">
      <c r="A4551">
        <v>4547</v>
      </c>
      <c r="B4551">
        <v>4548</v>
      </c>
      <c r="F4551" s="64" t="s">
        <v>6707</v>
      </c>
      <c r="G4551" s="64"/>
      <c r="H4551" s="64"/>
      <c r="I4551" s="64">
        <v>0</v>
      </c>
      <c r="N4551" s="4">
        <v>0</v>
      </c>
      <c r="O4551" s="58">
        <v>0</v>
      </c>
      <c r="P4551" s="58">
        <v>0</v>
      </c>
      <c r="Q4551" s="58">
        <v>0</v>
      </c>
      <c r="R4551" s="58">
        <v>0</v>
      </c>
      <c r="S4551" s="58">
        <v>0</v>
      </c>
      <c r="T4551" s="58">
        <v>0</v>
      </c>
      <c r="U4551" s="58">
        <v>0</v>
      </c>
      <c r="V4551" s="58">
        <v>0</v>
      </c>
      <c r="AM4551" s="1" t="str">
        <f t="shared" si="217"/>
        <v>4549_C0005_0789.jpg</v>
      </c>
    </row>
    <row r="4552" spans="1:39" x14ac:dyDescent="0.35">
      <c r="A4552">
        <v>4548</v>
      </c>
      <c r="B4552">
        <v>4549</v>
      </c>
      <c r="F4552" s="64" t="s">
        <v>6708</v>
      </c>
      <c r="G4552" s="64"/>
      <c r="H4552" s="64"/>
      <c r="I4552" s="64">
        <v>0</v>
      </c>
      <c r="N4552" s="4">
        <v>0</v>
      </c>
      <c r="O4552" s="58">
        <v>0</v>
      </c>
      <c r="P4552" s="58">
        <v>0</v>
      </c>
      <c r="Q4552" s="58">
        <v>0</v>
      </c>
      <c r="R4552" s="58">
        <v>0</v>
      </c>
      <c r="S4552" s="58">
        <v>0</v>
      </c>
      <c r="T4552" s="58">
        <v>0</v>
      </c>
      <c r="U4552" s="58">
        <v>0</v>
      </c>
      <c r="V4552" s="58">
        <v>0</v>
      </c>
      <c r="AM4552" s="1" t="str">
        <f t="shared" si="217"/>
        <v>4550_C0005_0785.jpg</v>
      </c>
    </row>
    <row r="4553" spans="1:39" x14ac:dyDescent="0.35">
      <c r="A4553">
        <v>4549</v>
      </c>
      <c r="B4553">
        <v>4550</v>
      </c>
      <c r="F4553" s="64" t="s">
        <v>6709</v>
      </c>
      <c r="G4553" s="64"/>
      <c r="H4553" s="64"/>
      <c r="I4553" s="64">
        <v>0</v>
      </c>
      <c r="N4553" s="4">
        <v>0</v>
      </c>
      <c r="O4553" s="58">
        <v>0</v>
      </c>
      <c r="P4553" s="58">
        <v>0</v>
      </c>
      <c r="Q4553" s="58">
        <v>0</v>
      </c>
      <c r="R4553" s="58">
        <v>0</v>
      </c>
      <c r="S4553" s="58">
        <v>0</v>
      </c>
      <c r="T4553" s="58">
        <v>0</v>
      </c>
      <c r="U4553" s="58">
        <v>0</v>
      </c>
      <c r="V4553" s="58">
        <v>0</v>
      </c>
      <c r="AM4553" s="1" t="str">
        <f t="shared" si="217"/>
        <v>4551_C0005_0781.jpg</v>
      </c>
    </row>
    <row r="4554" spans="1:39" x14ac:dyDescent="0.35">
      <c r="A4554">
        <v>4550</v>
      </c>
      <c r="B4554">
        <v>4551</v>
      </c>
      <c r="F4554" s="64" t="s">
        <v>6710</v>
      </c>
      <c r="G4554" s="64"/>
      <c r="H4554" s="64"/>
      <c r="I4554" s="64">
        <v>0</v>
      </c>
      <c r="N4554" s="4">
        <v>0</v>
      </c>
      <c r="O4554" s="58">
        <v>0</v>
      </c>
      <c r="P4554" s="58">
        <v>0</v>
      </c>
      <c r="Q4554" s="58">
        <v>0</v>
      </c>
      <c r="R4554" s="58">
        <v>0</v>
      </c>
      <c r="S4554" s="58">
        <v>0</v>
      </c>
      <c r="T4554" s="58">
        <v>0</v>
      </c>
      <c r="U4554" s="58">
        <v>0</v>
      </c>
      <c r="V4554" s="58">
        <v>0</v>
      </c>
      <c r="AM4554" s="1" t="str">
        <f t="shared" si="217"/>
        <v>4552_C0005_0777.jpg</v>
      </c>
    </row>
    <row r="4555" spans="1:39" x14ac:dyDescent="0.35">
      <c r="A4555">
        <v>4551</v>
      </c>
      <c r="B4555">
        <v>4552</v>
      </c>
      <c r="F4555" s="64" t="s">
        <v>6711</v>
      </c>
      <c r="G4555" s="64"/>
      <c r="H4555" s="64"/>
      <c r="I4555" s="64">
        <v>0</v>
      </c>
      <c r="N4555" s="4">
        <v>0</v>
      </c>
      <c r="O4555" s="58">
        <v>0</v>
      </c>
      <c r="P4555" s="58">
        <v>0</v>
      </c>
      <c r="Q4555" s="58">
        <v>0</v>
      </c>
      <c r="R4555" s="58">
        <v>0</v>
      </c>
      <c r="S4555" s="58">
        <v>0</v>
      </c>
      <c r="T4555" s="58">
        <v>0</v>
      </c>
      <c r="U4555" s="58">
        <v>0</v>
      </c>
      <c r="V4555" s="58">
        <v>0</v>
      </c>
      <c r="AM4555" s="1" t="str">
        <f t="shared" si="217"/>
        <v>4553_C0005_0773.jpg</v>
      </c>
    </row>
    <row r="4556" spans="1:39" x14ac:dyDescent="0.35">
      <c r="A4556">
        <v>4552</v>
      </c>
      <c r="B4556">
        <v>4553</v>
      </c>
      <c r="F4556" s="64" t="s">
        <v>6712</v>
      </c>
      <c r="G4556" s="64"/>
      <c r="H4556" s="64"/>
      <c r="I4556" s="64">
        <v>0</v>
      </c>
      <c r="N4556" s="4">
        <v>0</v>
      </c>
      <c r="O4556" s="58">
        <v>0</v>
      </c>
      <c r="P4556" s="58">
        <v>0</v>
      </c>
      <c r="Q4556" s="58">
        <v>0</v>
      </c>
      <c r="R4556" s="58">
        <v>0</v>
      </c>
      <c r="S4556" s="58">
        <v>0</v>
      </c>
      <c r="T4556" s="58">
        <v>0</v>
      </c>
      <c r="U4556" s="58">
        <v>0</v>
      </c>
      <c r="V4556" s="58">
        <v>0</v>
      </c>
      <c r="AM4556" s="1" t="str">
        <f t="shared" si="217"/>
        <v>4554_C0005_0769.jpg</v>
      </c>
    </row>
    <row r="4557" spans="1:39" x14ac:dyDescent="0.35">
      <c r="A4557">
        <v>4553</v>
      </c>
      <c r="B4557">
        <v>4554</v>
      </c>
      <c r="F4557" s="64" t="s">
        <v>6713</v>
      </c>
      <c r="G4557" s="64"/>
      <c r="H4557" s="64"/>
      <c r="I4557" s="64">
        <v>0</v>
      </c>
      <c r="N4557" s="4">
        <v>0</v>
      </c>
      <c r="O4557" s="58">
        <v>0</v>
      </c>
      <c r="P4557" s="58">
        <v>0</v>
      </c>
      <c r="Q4557" s="58">
        <v>0</v>
      </c>
      <c r="R4557" s="58">
        <v>0</v>
      </c>
      <c r="S4557" s="58">
        <v>0</v>
      </c>
      <c r="T4557" s="58">
        <v>0</v>
      </c>
      <c r="U4557" s="58">
        <v>0</v>
      </c>
      <c r="V4557" s="58">
        <v>0</v>
      </c>
      <c r="AM4557" s="1" t="str">
        <f t="shared" si="217"/>
        <v>4555_C0005_0766.jpg</v>
      </c>
    </row>
    <row r="4558" spans="1:39" x14ac:dyDescent="0.35">
      <c r="A4558">
        <v>4554</v>
      </c>
      <c r="B4558">
        <v>4555</v>
      </c>
      <c r="F4558" s="64" t="s">
        <v>6714</v>
      </c>
      <c r="G4558" s="64"/>
      <c r="H4558" s="64"/>
      <c r="I4558" s="64">
        <v>0</v>
      </c>
      <c r="N4558" s="4">
        <v>0</v>
      </c>
      <c r="O4558" s="58">
        <v>0</v>
      </c>
      <c r="P4558" s="58">
        <v>0</v>
      </c>
      <c r="Q4558" s="58">
        <v>0</v>
      </c>
      <c r="R4558" s="58">
        <v>0</v>
      </c>
      <c r="S4558" s="58">
        <v>0</v>
      </c>
      <c r="T4558" s="58">
        <v>0</v>
      </c>
      <c r="U4558" s="58">
        <v>0</v>
      </c>
      <c r="V4558" s="58">
        <v>0</v>
      </c>
      <c r="AM4558" s="1" t="str">
        <f t="shared" si="217"/>
        <v>4556_C0005_0763.jpg</v>
      </c>
    </row>
    <row r="4559" spans="1:39" x14ac:dyDescent="0.35">
      <c r="A4559">
        <v>4555</v>
      </c>
      <c r="B4559">
        <v>4556</v>
      </c>
      <c r="F4559" s="64" t="s">
        <v>6715</v>
      </c>
      <c r="G4559" s="64"/>
      <c r="H4559" s="64"/>
      <c r="I4559" s="64">
        <v>0</v>
      </c>
      <c r="N4559" s="4">
        <v>0</v>
      </c>
      <c r="O4559" s="58">
        <v>0</v>
      </c>
      <c r="P4559" s="58">
        <v>0</v>
      </c>
      <c r="Q4559" s="58">
        <v>0</v>
      </c>
      <c r="R4559" s="58">
        <v>0</v>
      </c>
      <c r="S4559" s="58">
        <v>0</v>
      </c>
      <c r="T4559" s="58">
        <v>0</v>
      </c>
      <c r="U4559" s="58">
        <v>0</v>
      </c>
      <c r="V4559" s="58">
        <v>0</v>
      </c>
      <c r="AM4559" s="1" t="str">
        <f t="shared" si="217"/>
        <v>4557_C0005_0759.jpg</v>
      </c>
    </row>
    <row r="4560" spans="1:39" x14ac:dyDescent="0.35">
      <c r="A4560">
        <v>4556</v>
      </c>
      <c r="B4560">
        <v>4557</v>
      </c>
      <c r="F4560" s="64" t="s">
        <v>6716</v>
      </c>
      <c r="G4560" s="64"/>
      <c r="H4560" s="64"/>
      <c r="I4560" s="64">
        <v>0</v>
      </c>
      <c r="N4560" s="4">
        <v>0</v>
      </c>
      <c r="O4560" s="58">
        <v>0</v>
      </c>
      <c r="P4560" s="58">
        <v>0</v>
      </c>
      <c r="Q4560" s="58">
        <v>0</v>
      </c>
      <c r="R4560" s="58">
        <v>0</v>
      </c>
      <c r="S4560" s="58">
        <v>0</v>
      </c>
      <c r="T4560" s="58">
        <v>0</v>
      </c>
      <c r="U4560" s="58">
        <v>0</v>
      </c>
      <c r="V4560" s="58">
        <v>0</v>
      </c>
      <c r="AM4560" s="1" t="str">
        <f t="shared" si="217"/>
        <v>4558_C0005_0755.jpg</v>
      </c>
    </row>
    <row r="4561" spans="1:39" x14ac:dyDescent="0.35">
      <c r="A4561">
        <v>4557</v>
      </c>
      <c r="B4561">
        <v>4558</v>
      </c>
      <c r="F4561" s="64" t="s">
        <v>6717</v>
      </c>
      <c r="G4561" s="64"/>
      <c r="H4561" s="64"/>
      <c r="I4561" s="64">
        <v>0</v>
      </c>
      <c r="N4561" s="4">
        <v>0</v>
      </c>
      <c r="O4561" s="58">
        <v>0</v>
      </c>
      <c r="P4561" s="58">
        <v>0</v>
      </c>
      <c r="Q4561" s="58">
        <v>0</v>
      </c>
      <c r="R4561" s="58">
        <v>0</v>
      </c>
      <c r="S4561" s="58">
        <v>0</v>
      </c>
      <c r="T4561" s="58">
        <v>0</v>
      </c>
      <c r="U4561" s="58">
        <v>0</v>
      </c>
      <c r="V4561" s="58">
        <v>0</v>
      </c>
      <c r="AM4561" s="1" t="str">
        <f t="shared" si="217"/>
        <v>4559_C0005_0752.jpg</v>
      </c>
    </row>
    <row r="4562" spans="1:39" x14ac:dyDescent="0.35">
      <c r="A4562">
        <v>4558</v>
      </c>
      <c r="B4562">
        <v>4559</v>
      </c>
      <c r="F4562" s="64" t="s">
        <v>6718</v>
      </c>
      <c r="G4562" s="64"/>
      <c r="H4562" s="64"/>
      <c r="I4562" s="64">
        <v>0</v>
      </c>
      <c r="N4562" s="4">
        <v>0</v>
      </c>
      <c r="O4562" s="58">
        <v>0</v>
      </c>
      <c r="P4562" s="58">
        <v>0</v>
      </c>
      <c r="Q4562" s="58">
        <v>0</v>
      </c>
      <c r="R4562" s="58">
        <v>0</v>
      </c>
      <c r="S4562" s="58">
        <v>0</v>
      </c>
      <c r="T4562" s="58">
        <v>0</v>
      </c>
      <c r="U4562" s="58">
        <v>0</v>
      </c>
      <c r="V4562" s="58">
        <v>0</v>
      </c>
      <c r="AM4562" s="1" t="str">
        <f t="shared" si="217"/>
        <v>4560_C0005_0748.jpg</v>
      </c>
    </row>
    <row r="4563" spans="1:39" x14ac:dyDescent="0.35">
      <c r="A4563">
        <v>4559</v>
      </c>
      <c r="B4563">
        <v>4560</v>
      </c>
      <c r="F4563" s="64" t="s">
        <v>6719</v>
      </c>
      <c r="G4563" s="64"/>
      <c r="H4563" s="64"/>
      <c r="I4563" s="64">
        <v>0</v>
      </c>
      <c r="N4563" s="4">
        <v>0</v>
      </c>
      <c r="O4563" s="58">
        <v>0</v>
      </c>
      <c r="P4563" s="58">
        <v>0</v>
      </c>
      <c r="Q4563" s="58">
        <v>0</v>
      </c>
      <c r="R4563" s="58">
        <v>0</v>
      </c>
      <c r="S4563" s="58">
        <v>0</v>
      </c>
      <c r="T4563" s="58">
        <v>0</v>
      </c>
      <c r="U4563" s="58">
        <v>0</v>
      </c>
      <c r="V4563" s="58">
        <v>0</v>
      </c>
      <c r="AM4563" s="1" t="str">
        <f t="shared" si="217"/>
        <v>4561_C0005_0744.jpg</v>
      </c>
    </row>
    <row r="4564" spans="1:39" x14ac:dyDescent="0.35">
      <c r="A4564">
        <v>4560</v>
      </c>
      <c r="B4564">
        <v>4561</v>
      </c>
      <c r="F4564" s="64" t="s">
        <v>6720</v>
      </c>
      <c r="G4564" s="64"/>
      <c r="H4564" s="64"/>
      <c r="I4564" s="64">
        <v>0</v>
      </c>
      <c r="N4564" s="4">
        <v>0</v>
      </c>
      <c r="O4564" s="58">
        <v>0</v>
      </c>
      <c r="P4564" s="58">
        <v>0</v>
      </c>
      <c r="Q4564" s="58">
        <v>0</v>
      </c>
      <c r="R4564" s="58">
        <v>0</v>
      </c>
      <c r="S4564" s="58">
        <v>0</v>
      </c>
      <c r="T4564" s="58">
        <v>0</v>
      </c>
      <c r="U4564" s="58">
        <v>0</v>
      </c>
      <c r="V4564" s="58">
        <v>0</v>
      </c>
      <c r="AM4564" s="1" t="str">
        <f t="shared" si="217"/>
        <v>4562_C0005_0741.jpg</v>
      </c>
    </row>
    <row r="4565" spans="1:39" x14ac:dyDescent="0.35">
      <c r="A4565">
        <v>4561</v>
      </c>
      <c r="B4565">
        <v>4562</v>
      </c>
      <c r="F4565" s="64" t="s">
        <v>6721</v>
      </c>
      <c r="G4565" s="64"/>
      <c r="H4565" s="64"/>
      <c r="I4565" s="64">
        <v>0</v>
      </c>
      <c r="N4565" s="4">
        <v>0</v>
      </c>
      <c r="O4565" s="58">
        <v>0</v>
      </c>
      <c r="P4565" s="58">
        <v>0</v>
      </c>
      <c r="Q4565" s="58">
        <v>0</v>
      </c>
      <c r="R4565" s="58">
        <v>0</v>
      </c>
      <c r="S4565" s="58">
        <v>0</v>
      </c>
      <c r="T4565" s="58">
        <v>0</v>
      </c>
      <c r="U4565" s="58">
        <v>0</v>
      </c>
      <c r="V4565" s="58">
        <v>0</v>
      </c>
      <c r="AM4565" s="1" t="str">
        <f t="shared" si="217"/>
        <v>4563_C0005_0738.jpg</v>
      </c>
    </row>
    <row r="4566" spans="1:39" x14ac:dyDescent="0.35">
      <c r="A4566">
        <v>4562</v>
      </c>
      <c r="B4566">
        <v>4563</v>
      </c>
      <c r="F4566" s="64" t="s">
        <v>6722</v>
      </c>
      <c r="G4566" s="64"/>
      <c r="H4566" s="64"/>
      <c r="I4566" s="64">
        <v>0</v>
      </c>
      <c r="N4566" s="4">
        <v>0</v>
      </c>
      <c r="O4566" s="58">
        <v>0</v>
      </c>
      <c r="P4566" s="58">
        <v>0</v>
      </c>
      <c r="Q4566" s="58">
        <v>0</v>
      </c>
      <c r="R4566" s="58">
        <v>0</v>
      </c>
      <c r="S4566" s="58">
        <v>0</v>
      </c>
      <c r="T4566" s="58">
        <v>0</v>
      </c>
      <c r="U4566" s="58">
        <v>0</v>
      </c>
      <c r="V4566" s="58">
        <v>0</v>
      </c>
      <c r="AM4566" s="1" t="str">
        <f t="shared" si="217"/>
        <v>4564_C0005_0734.jpg</v>
      </c>
    </row>
    <row r="4567" spans="1:39" x14ac:dyDescent="0.35">
      <c r="A4567">
        <v>4563</v>
      </c>
      <c r="B4567">
        <v>4564</v>
      </c>
      <c r="F4567" s="64" t="s">
        <v>6723</v>
      </c>
      <c r="G4567" s="64"/>
      <c r="H4567" s="64"/>
      <c r="I4567" s="64">
        <v>0</v>
      </c>
      <c r="N4567" s="4">
        <v>0</v>
      </c>
      <c r="O4567" s="58">
        <v>0</v>
      </c>
      <c r="P4567" s="58">
        <v>0</v>
      </c>
      <c r="Q4567" s="58">
        <v>0</v>
      </c>
      <c r="R4567" s="58">
        <v>0</v>
      </c>
      <c r="S4567" s="58">
        <v>0</v>
      </c>
      <c r="T4567" s="58">
        <v>0</v>
      </c>
      <c r="U4567" s="58">
        <v>0</v>
      </c>
      <c r="V4567" s="58">
        <v>0</v>
      </c>
      <c r="AM4567" s="1" t="str">
        <f t="shared" si="217"/>
        <v>4565_C0005_0731.jpg</v>
      </c>
    </row>
    <row r="4568" spans="1:39" x14ac:dyDescent="0.35">
      <c r="A4568">
        <v>4564</v>
      </c>
      <c r="B4568">
        <v>4565</v>
      </c>
      <c r="F4568" s="64" t="s">
        <v>6724</v>
      </c>
      <c r="G4568" s="64"/>
      <c r="H4568" s="64"/>
      <c r="I4568" s="64">
        <v>0</v>
      </c>
      <c r="N4568" s="4">
        <v>0</v>
      </c>
      <c r="O4568" s="58">
        <v>0</v>
      </c>
      <c r="P4568" s="58">
        <v>0</v>
      </c>
      <c r="Q4568" s="58">
        <v>0</v>
      </c>
      <c r="R4568" s="58">
        <v>0</v>
      </c>
      <c r="S4568" s="58">
        <v>0</v>
      </c>
      <c r="T4568" s="58">
        <v>0</v>
      </c>
      <c r="U4568" s="58">
        <v>0</v>
      </c>
      <c r="V4568" s="58">
        <v>0</v>
      </c>
      <c r="AM4568" s="1" t="str">
        <f t="shared" si="217"/>
        <v>4566_C0005_0727.jpg</v>
      </c>
    </row>
    <row r="4569" spans="1:39" x14ac:dyDescent="0.35">
      <c r="A4569">
        <v>4565</v>
      </c>
      <c r="B4569">
        <v>4566</v>
      </c>
      <c r="F4569" s="64" t="s">
        <v>6725</v>
      </c>
      <c r="G4569" s="64"/>
      <c r="H4569" s="64"/>
      <c r="I4569" s="64">
        <v>0</v>
      </c>
      <c r="N4569" s="4">
        <v>0</v>
      </c>
      <c r="O4569" s="58">
        <v>0</v>
      </c>
      <c r="P4569" s="58">
        <v>0</v>
      </c>
      <c r="Q4569" s="58">
        <v>0</v>
      </c>
      <c r="R4569" s="58">
        <v>0</v>
      </c>
      <c r="S4569" s="58">
        <v>0</v>
      </c>
      <c r="T4569" s="58">
        <v>0</v>
      </c>
      <c r="U4569" s="58">
        <v>0</v>
      </c>
      <c r="V4569" s="58">
        <v>0</v>
      </c>
      <c r="AM4569" s="1" t="str">
        <f t="shared" si="217"/>
        <v>4567_C0005_0723.jpg</v>
      </c>
    </row>
    <row r="4570" spans="1:39" x14ac:dyDescent="0.35">
      <c r="A4570">
        <v>4566</v>
      </c>
      <c r="B4570">
        <v>4567</v>
      </c>
      <c r="F4570" s="64" t="s">
        <v>6726</v>
      </c>
      <c r="G4570" s="64"/>
      <c r="H4570" s="64"/>
      <c r="I4570" s="64">
        <v>0</v>
      </c>
      <c r="N4570" s="4">
        <v>0</v>
      </c>
      <c r="O4570" s="58">
        <v>0</v>
      </c>
      <c r="P4570" s="58">
        <v>0</v>
      </c>
      <c r="Q4570" s="58">
        <v>0</v>
      </c>
      <c r="R4570" s="58">
        <v>0</v>
      </c>
      <c r="S4570" s="58">
        <v>0</v>
      </c>
      <c r="T4570" s="58">
        <v>0</v>
      </c>
      <c r="U4570" s="58">
        <v>0</v>
      </c>
      <c r="V4570" s="58">
        <v>0</v>
      </c>
      <c r="AM4570" s="1" t="str">
        <f t="shared" si="217"/>
        <v>4568_C0005_0719.jpg</v>
      </c>
    </row>
    <row r="4571" spans="1:39" x14ac:dyDescent="0.35">
      <c r="A4571">
        <v>4567</v>
      </c>
      <c r="B4571">
        <v>4568</v>
      </c>
      <c r="F4571" s="64" t="s">
        <v>6727</v>
      </c>
      <c r="G4571" s="64"/>
      <c r="H4571" s="64"/>
      <c r="I4571" s="64">
        <v>0</v>
      </c>
      <c r="N4571" s="4">
        <v>0</v>
      </c>
      <c r="O4571" s="58">
        <v>0</v>
      </c>
      <c r="P4571" s="58">
        <v>0</v>
      </c>
      <c r="Q4571" s="58">
        <v>0</v>
      </c>
      <c r="R4571" s="58">
        <v>0</v>
      </c>
      <c r="S4571" s="58">
        <v>0</v>
      </c>
      <c r="T4571" s="58">
        <v>0</v>
      </c>
      <c r="U4571" s="58">
        <v>0</v>
      </c>
      <c r="V4571" s="58">
        <v>0</v>
      </c>
      <c r="AM4571" s="1" t="str">
        <f t="shared" si="217"/>
        <v>4569_C0005_0716.jpg</v>
      </c>
    </row>
    <row r="4572" spans="1:39" x14ac:dyDescent="0.35">
      <c r="A4572">
        <v>4568</v>
      </c>
      <c r="B4572">
        <v>4569</v>
      </c>
      <c r="F4572" s="64" t="s">
        <v>6728</v>
      </c>
      <c r="G4572" s="64"/>
      <c r="H4572" s="64"/>
      <c r="I4572" s="64">
        <v>0</v>
      </c>
      <c r="N4572" s="4">
        <v>0</v>
      </c>
      <c r="O4572" s="58">
        <v>0</v>
      </c>
      <c r="P4572" s="58">
        <v>0</v>
      </c>
      <c r="Q4572" s="58">
        <v>0</v>
      </c>
      <c r="R4572" s="58">
        <v>0</v>
      </c>
      <c r="S4572" s="58">
        <v>0</v>
      </c>
      <c r="T4572" s="58">
        <v>0</v>
      </c>
      <c r="U4572" s="58">
        <v>0</v>
      </c>
      <c r="V4572" s="58">
        <v>0</v>
      </c>
      <c r="AM4572" s="1" t="str">
        <f t="shared" si="217"/>
        <v>4570_C0005_0712.jpg</v>
      </c>
    </row>
    <row r="4573" spans="1:39" x14ac:dyDescent="0.35">
      <c r="A4573">
        <v>4569</v>
      </c>
      <c r="B4573">
        <v>4570</v>
      </c>
      <c r="F4573" s="64" t="s">
        <v>6729</v>
      </c>
      <c r="G4573" s="64"/>
      <c r="H4573" s="64"/>
      <c r="I4573" s="64">
        <v>0</v>
      </c>
      <c r="N4573" s="4">
        <v>0</v>
      </c>
      <c r="O4573" s="58">
        <v>0</v>
      </c>
      <c r="P4573" s="58">
        <v>0</v>
      </c>
      <c r="Q4573" s="58">
        <v>0</v>
      </c>
      <c r="R4573" s="58">
        <v>0</v>
      </c>
      <c r="S4573" s="58">
        <v>0</v>
      </c>
      <c r="T4573" s="58">
        <v>0</v>
      </c>
      <c r="U4573" s="58">
        <v>0</v>
      </c>
      <c r="V4573" s="58">
        <v>0</v>
      </c>
      <c r="AM4573" s="1" t="str">
        <f t="shared" si="217"/>
        <v>4571_C0005_0708.jpg</v>
      </c>
    </row>
    <row r="4574" spans="1:39" x14ac:dyDescent="0.35">
      <c r="A4574">
        <v>4570</v>
      </c>
      <c r="B4574">
        <v>4571</v>
      </c>
      <c r="F4574" s="64" t="s">
        <v>6730</v>
      </c>
      <c r="G4574" s="64"/>
      <c r="H4574" s="64"/>
      <c r="I4574" s="64">
        <v>0</v>
      </c>
      <c r="N4574" s="4">
        <v>0</v>
      </c>
      <c r="O4574" s="58">
        <v>0</v>
      </c>
      <c r="P4574" s="58">
        <v>0</v>
      </c>
      <c r="Q4574" s="58">
        <v>0</v>
      </c>
      <c r="R4574" s="58">
        <v>0</v>
      </c>
      <c r="S4574" s="58">
        <v>0</v>
      </c>
      <c r="T4574" s="58">
        <v>0</v>
      </c>
      <c r="U4574" s="58">
        <v>0</v>
      </c>
      <c r="V4574" s="58">
        <v>0</v>
      </c>
      <c r="AM4574" s="1" t="str">
        <f t="shared" si="217"/>
        <v>4572_C0005_0705.jpg</v>
      </c>
    </row>
    <row r="4575" spans="1:39" x14ac:dyDescent="0.35">
      <c r="A4575">
        <v>4571</v>
      </c>
      <c r="B4575">
        <v>4572</v>
      </c>
      <c r="F4575" s="64" t="s">
        <v>6731</v>
      </c>
      <c r="G4575" s="64"/>
      <c r="H4575" s="64"/>
      <c r="I4575" s="64">
        <v>0</v>
      </c>
      <c r="N4575" s="4">
        <v>0</v>
      </c>
      <c r="O4575" s="58">
        <v>0</v>
      </c>
      <c r="P4575" s="58">
        <v>0</v>
      </c>
      <c r="Q4575" s="58">
        <v>0</v>
      </c>
      <c r="R4575" s="58">
        <v>0</v>
      </c>
      <c r="S4575" s="58">
        <v>0</v>
      </c>
      <c r="T4575" s="58">
        <v>0</v>
      </c>
      <c r="U4575" s="58">
        <v>0</v>
      </c>
      <c r="V4575" s="58">
        <v>0</v>
      </c>
      <c r="AM4575" s="1" t="str">
        <f t="shared" si="217"/>
        <v>4573_C0005_0701.jpg</v>
      </c>
    </row>
    <row r="4576" spans="1:39" x14ac:dyDescent="0.35">
      <c r="A4576">
        <v>4572</v>
      </c>
      <c r="B4576">
        <v>4573</v>
      </c>
      <c r="F4576" s="64" t="s">
        <v>6732</v>
      </c>
      <c r="G4576" s="64"/>
      <c r="H4576" s="64"/>
      <c r="I4576" s="64">
        <v>0</v>
      </c>
      <c r="N4576" s="4">
        <v>0</v>
      </c>
      <c r="O4576" s="58">
        <v>0</v>
      </c>
      <c r="P4576" s="58">
        <v>0</v>
      </c>
      <c r="Q4576" s="58">
        <v>0</v>
      </c>
      <c r="R4576" s="58">
        <v>0</v>
      </c>
      <c r="S4576" s="58">
        <v>0</v>
      </c>
      <c r="T4576" s="58">
        <v>0</v>
      </c>
      <c r="U4576" s="58">
        <v>0</v>
      </c>
      <c r="V4576" s="58">
        <v>0</v>
      </c>
      <c r="AM4576" s="1" t="str">
        <f t="shared" si="217"/>
        <v>4574_C0005_0697.jpg</v>
      </c>
    </row>
    <row r="4577" spans="1:39" x14ac:dyDescent="0.35">
      <c r="A4577">
        <v>4573</v>
      </c>
      <c r="B4577">
        <v>4574</v>
      </c>
      <c r="F4577" s="64" t="s">
        <v>6733</v>
      </c>
      <c r="G4577" s="64"/>
      <c r="H4577" s="64"/>
      <c r="I4577" s="64">
        <v>0</v>
      </c>
      <c r="N4577" s="4">
        <v>0</v>
      </c>
      <c r="O4577" s="58">
        <v>0</v>
      </c>
      <c r="P4577" s="58">
        <v>0</v>
      </c>
      <c r="Q4577" s="58">
        <v>0</v>
      </c>
      <c r="R4577" s="58">
        <v>0</v>
      </c>
      <c r="S4577" s="58">
        <v>0</v>
      </c>
      <c r="T4577" s="58">
        <v>0</v>
      </c>
      <c r="U4577" s="58">
        <v>0</v>
      </c>
      <c r="V4577" s="58">
        <v>0</v>
      </c>
      <c r="AM4577" s="1" t="str">
        <f t="shared" si="217"/>
        <v>4575_C0005_0693.jpg</v>
      </c>
    </row>
    <row r="4578" spans="1:39" x14ac:dyDescent="0.35">
      <c r="A4578">
        <v>4574</v>
      </c>
      <c r="B4578">
        <v>4575</v>
      </c>
      <c r="F4578" s="64" t="s">
        <v>6734</v>
      </c>
      <c r="G4578" s="64"/>
      <c r="H4578" s="64"/>
      <c r="I4578" s="64">
        <v>0</v>
      </c>
      <c r="N4578" s="4">
        <v>0</v>
      </c>
      <c r="O4578" s="58">
        <v>0</v>
      </c>
      <c r="P4578" s="58">
        <v>0</v>
      </c>
      <c r="Q4578" s="58">
        <v>0</v>
      </c>
      <c r="R4578" s="58">
        <v>0</v>
      </c>
      <c r="S4578" s="58">
        <v>0</v>
      </c>
      <c r="T4578" s="58">
        <v>0</v>
      </c>
      <c r="U4578" s="58">
        <v>0</v>
      </c>
      <c r="V4578" s="58">
        <v>0</v>
      </c>
      <c r="AM4578" s="1" t="str">
        <f t="shared" si="217"/>
        <v>4576_C0005_0690.jpg</v>
      </c>
    </row>
    <row r="4579" spans="1:39" x14ac:dyDescent="0.35">
      <c r="A4579">
        <v>4575</v>
      </c>
      <c r="B4579">
        <v>4576</v>
      </c>
      <c r="F4579" s="64" t="s">
        <v>6735</v>
      </c>
      <c r="G4579" s="64"/>
      <c r="H4579" s="64"/>
      <c r="I4579" s="64">
        <v>0</v>
      </c>
      <c r="N4579" s="4">
        <v>0</v>
      </c>
      <c r="O4579" s="58">
        <v>0</v>
      </c>
      <c r="P4579" s="58">
        <v>0</v>
      </c>
      <c r="Q4579" s="58">
        <v>0</v>
      </c>
      <c r="R4579" s="58">
        <v>0</v>
      </c>
      <c r="S4579" s="58">
        <v>0</v>
      </c>
      <c r="T4579" s="58">
        <v>0</v>
      </c>
      <c r="U4579" s="58">
        <v>0</v>
      </c>
      <c r="V4579" s="58">
        <v>0</v>
      </c>
      <c r="AM4579" s="1" t="str">
        <f t="shared" si="217"/>
        <v>4577_C0005_0686.jpg</v>
      </c>
    </row>
    <row r="4580" spans="1:39" x14ac:dyDescent="0.35">
      <c r="A4580">
        <v>4576</v>
      </c>
      <c r="B4580">
        <v>4577</v>
      </c>
      <c r="F4580" s="64" t="s">
        <v>6736</v>
      </c>
      <c r="G4580" s="64"/>
      <c r="H4580" s="64"/>
      <c r="I4580" s="64">
        <v>0</v>
      </c>
      <c r="N4580" s="4">
        <v>0</v>
      </c>
      <c r="O4580" s="58">
        <v>0</v>
      </c>
      <c r="P4580" s="58">
        <v>0</v>
      </c>
      <c r="Q4580" s="58">
        <v>0</v>
      </c>
      <c r="R4580" s="58">
        <v>0</v>
      </c>
      <c r="S4580" s="58">
        <v>0</v>
      </c>
      <c r="T4580" s="58">
        <v>0</v>
      </c>
      <c r="U4580" s="58">
        <v>0</v>
      </c>
      <c r="V4580" s="58">
        <v>0</v>
      </c>
      <c r="AM4580" s="1" t="str">
        <f t="shared" si="217"/>
        <v>4578_C0005_0680.jpg</v>
      </c>
    </row>
    <row r="4581" spans="1:39" x14ac:dyDescent="0.35">
      <c r="A4581">
        <v>4577</v>
      </c>
      <c r="B4581">
        <v>4578</v>
      </c>
      <c r="F4581" s="64" t="s">
        <v>6737</v>
      </c>
      <c r="G4581" s="64"/>
      <c r="H4581" s="64"/>
      <c r="I4581" s="64">
        <v>0</v>
      </c>
      <c r="N4581" s="4">
        <v>0</v>
      </c>
      <c r="O4581" s="58">
        <v>0</v>
      </c>
      <c r="P4581" s="58">
        <v>0</v>
      </c>
      <c r="Q4581" s="58">
        <v>0</v>
      </c>
      <c r="R4581" s="58">
        <v>0</v>
      </c>
      <c r="S4581" s="58">
        <v>0</v>
      </c>
      <c r="T4581" s="58">
        <v>0</v>
      </c>
      <c r="U4581" s="58">
        <v>0</v>
      </c>
      <c r="V4581" s="58">
        <v>0</v>
      </c>
      <c r="AM4581" s="1" t="str">
        <f t="shared" si="217"/>
        <v>4579_C0005_0676.jpg</v>
      </c>
    </row>
    <row r="4582" spans="1:39" x14ac:dyDescent="0.35">
      <c r="A4582">
        <v>4578</v>
      </c>
      <c r="B4582">
        <v>4579</v>
      </c>
      <c r="F4582" s="64" t="s">
        <v>6738</v>
      </c>
      <c r="G4582" s="64"/>
      <c r="H4582" s="64"/>
      <c r="I4582" s="64">
        <v>0</v>
      </c>
      <c r="N4582" s="4">
        <v>0</v>
      </c>
      <c r="O4582" s="58">
        <v>0</v>
      </c>
      <c r="P4582" s="58">
        <v>0</v>
      </c>
      <c r="Q4582" s="58">
        <v>0</v>
      </c>
      <c r="R4582" s="58">
        <v>0</v>
      </c>
      <c r="S4582" s="58">
        <v>0</v>
      </c>
      <c r="T4582" s="58">
        <v>0</v>
      </c>
      <c r="U4582" s="58">
        <v>0</v>
      </c>
      <c r="V4582" s="58">
        <v>0</v>
      </c>
      <c r="AM4582" s="1" t="str">
        <f t="shared" si="217"/>
        <v>4580_C0005_0672.jpg</v>
      </c>
    </row>
    <row r="4583" spans="1:39" x14ac:dyDescent="0.35">
      <c r="A4583">
        <v>4579</v>
      </c>
      <c r="B4583">
        <v>4580</v>
      </c>
      <c r="F4583" s="64" t="s">
        <v>6739</v>
      </c>
      <c r="G4583" s="64"/>
      <c r="H4583" s="64"/>
      <c r="I4583" s="64">
        <v>0</v>
      </c>
      <c r="N4583" s="4">
        <v>0</v>
      </c>
      <c r="O4583" s="58">
        <v>0</v>
      </c>
      <c r="P4583" s="58">
        <v>0</v>
      </c>
      <c r="Q4583" s="58">
        <v>0</v>
      </c>
      <c r="R4583" s="58">
        <v>0</v>
      </c>
      <c r="S4583" s="58">
        <v>0</v>
      </c>
      <c r="T4583" s="58">
        <v>0</v>
      </c>
      <c r="U4583" s="58">
        <v>0</v>
      </c>
      <c r="V4583" s="58">
        <v>0</v>
      </c>
      <c r="AM4583" s="1" t="str">
        <f t="shared" si="217"/>
        <v>4581_C0005_0669.jpg</v>
      </c>
    </row>
    <row r="4584" spans="1:39" x14ac:dyDescent="0.35">
      <c r="A4584">
        <v>4580</v>
      </c>
      <c r="B4584">
        <v>4581</v>
      </c>
      <c r="F4584" s="64" t="s">
        <v>6740</v>
      </c>
      <c r="G4584" s="64"/>
      <c r="H4584" s="64"/>
      <c r="I4584" s="64">
        <v>0</v>
      </c>
      <c r="N4584" s="4">
        <v>0</v>
      </c>
      <c r="O4584" s="58">
        <v>0</v>
      </c>
      <c r="P4584" s="58">
        <v>0</v>
      </c>
      <c r="Q4584" s="58">
        <v>0</v>
      </c>
      <c r="R4584" s="58">
        <v>0</v>
      </c>
      <c r="S4584" s="58">
        <v>0</v>
      </c>
      <c r="T4584" s="58">
        <v>0</v>
      </c>
      <c r="U4584" s="58">
        <v>0</v>
      </c>
      <c r="V4584" s="58">
        <v>0</v>
      </c>
      <c r="AM4584" s="1" t="str">
        <f t="shared" si="217"/>
        <v>4582_C0005_0665.jpg</v>
      </c>
    </row>
    <row r="4585" spans="1:39" x14ac:dyDescent="0.35">
      <c r="A4585">
        <v>4581</v>
      </c>
      <c r="B4585">
        <v>4582</v>
      </c>
      <c r="F4585" s="64" t="s">
        <v>6741</v>
      </c>
      <c r="G4585" s="64"/>
      <c r="H4585" s="64"/>
      <c r="I4585" s="64">
        <v>0</v>
      </c>
      <c r="N4585" s="4">
        <v>0</v>
      </c>
      <c r="O4585" s="58">
        <v>0</v>
      </c>
      <c r="P4585" s="58">
        <v>0</v>
      </c>
      <c r="Q4585" s="58">
        <v>0</v>
      </c>
      <c r="R4585" s="58">
        <v>0</v>
      </c>
      <c r="S4585" s="58">
        <v>0</v>
      </c>
      <c r="T4585" s="58">
        <v>0</v>
      </c>
      <c r="U4585" s="58">
        <v>0</v>
      </c>
      <c r="V4585" s="58">
        <v>0</v>
      </c>
      <c r="AM4585" s="1" t="str">
        <f t="shared" si="217"/>
        <v>4583_C0005_0661.jpg</v>
      </c>
    </row>
    <row r="4586" spans="1:39" x14ac:dyDescent="0.35">
      <c r="A4586">
        <v>4582</v>
      </c>
      <c r="B4586">
        <v>4583</v>
      </c>
      <c r="F4586" s="64" t="s">
        <v>6742</v>
      </c>
      <c r="G4586" s="64"/>
      <c r="H4586" s="64"/>
      <c r="I4586" s="64">
        <v>0</v>
      </c>
      <c r="N4586" s="4">
        <v>0</v>
      </c>
      <c r="O4586" s="58">
        <v>0</v>
      </c>
      <c r="P4586" s="58">
        <v>0</v>
      </c>
      <c r="Q4586" s="58">
        <v>0</v>
      </c>
      <c r="R4586" s="58">
        <v>0</v>
      </c>
      <c r="S4586" s="58">
        <v>0</v>
      </c>
      <c r="T4586" s="58">
        <v>0</v>
      </c>
      <c r="U4586" s="58">
        <v>0</v>
      </c>
      <c r="V4586" s="58">
        <v>0</v>
      </c>
      <c r="AM4586" s="1" t="str">
        <f t="shared" si="217"/>
        <v>4584_C0005_0658.jpg</v>
      </c>
    </row>
    <row r="4587" spans="1:39" x14ac:dyDescent="0.35">
      <c r="A4587">
        <v>4583</v>
      </c>
      <c r="B4587">
        <v>4584</v>
      </c>
      <c r="F4587" s="64" t="s">
        <v>6743</v>
      </c>
      <c r="G4587" s="64"/>
      <c r="H4587" s="64"/>
      <c r="I4587" s="64">
        <v>0</v>
      </c>
      <c r="N4587" s="4">
        <v>0</v>
      </c>
      <c r="O4587" s="58">
        <v>0</v>
      </c>
      <c r="P4587" s="58">
        <v>0</v>
      </c>
      <c r="Q4587" s="58">
        <v>0</v>
      </c>
      <c r="R4587" s="58">
        <v>0</v>
      </c>
      <c r="S4587" s="58">
        <v>0</v>
      </c>
      <c r="T4587" s="58">
        <v>0</v>
      </c>
      <c r="U4587" s="58">
        <v>0</v>
      </c>
      <c r="V4587" s="58">
        <v>0</v>
      </c>
      <c r="AM4587" s="1" t="str">
        <f t="shared" si="217"/>
        <v>4585_C0005_0654.jpg</v>
      </c>
    </row>
    <row r="4588" spans="1:39" x14ac:dyDescent="0.35">
      <c r="A4588">
        <v>4584</v>
      </c>
      <c r="B4588">
        <v>4585</v>
      </c>
      <c r="F4588" s="64" t="s">
        <v>6744</v>
      </c>
      <c r="G4588" s="64"/>
      <c r="H4588" s="64"/>
      <c r="I4588" s="64">
        <v>0</v>
      </c>
      <c r="N4588" s="4">
        <v>0</v>
      </c>
      <c r="O4588" s="58">
        <v>0</v>
      </c>
      <c r="P4588" s="58">
        <v>0</v>
      </c>
      <c r="Q4588" s="58">
        <v>0</v>
      </c>
      <c r="R4588" s="58">
        <v>0</v>
      </c>
      <c r="S4588" s="58">
        <v>0</v>
      </c>
      <c r="T4588" s="58">
        <v>0</v>
      </c>
      <c r="U4588" s="58">
        <v>0</v>
      </c>
      <c r="V4588" s="58">
        <v>0</v>
      </c>
      <c r="AM4588" s="1" t="str">
        <f t="shared" si="217"/>
        <v>4586_C0005_0650.jpg</v>
      </c>
    </row>
    <row r="4589" spans="1:39" x14ac:dyDescent="0.35">
      <c r="A4589">
        <v>4585</v>
      </c>
      <c r="B4589">
        <v>4586</v>
      </c>
      <c r="F4589" s="64" t="s">
        <v>6745</v>
      </c>
      <c r="G4589" s="64"/>
      <c r="H4589" s="64"/>
      <c r="I4589" s="64">
        <v>0</v>
      </c>
      <c r="N4589" s="4">
        <v>0</v>
      </c>
      <c r="O4589" s="58">
        <v>0</v>
      </c>
      <c r="P4589" s="58">
        <v>0</v>
      </c>
      <c r="Q4589" s="58">
        <v>0</v>
      </c>
      <c r="R4589" s="58">
        <v>0</v>
      </c>
      <c r="S4589" s="58">
        <v>0</v>
      </c>
      <c r="T4589" s="58">
        <v>0</v>
      </c>
      <c r="U4589" s="58">
        <v>0</v>
      </c>
      <c r="V4589" s="58">
        <v>0</v>
      </c>
      <c r="AM4589" s="1" t="str">
        <f t="shared" si="217"/>
        <v>4587_C0005_0647.jpg</v>
      </c>
    </row>
    <row r="4590" spans="1:39" x14ac:dyDescent="0.35">
      <c r="A4590">
        <v>4586</v>
      </c>
      <c r="B4590">
        <v>4587</v>
      </c>
      <c r="F4590" s="64" t="s">
        <v>6746</v>
      </c>
      <c r="G4590" s="64"/>
      <c r="H4590" s="64"/>
      <c r="I4590" s="64">
        <v>0</v>
      </c>
      <c r="N4590" s="4">
        <v>0</v>
      </c>
      <c r="O4590" s="58">
        <v>0</v>
      </c>
      <c r="P4590" s="58">
        <v>0</v>
      </c>
      <c r="Q4590" s="58">
        <v>0</v>
      </c>
      <c r="R4590" s="58">
        <v>0</v>
      </c>
      <c r="S4590" s="58">
        <v>0</v>
      </c>
      <c r="T4590" s="58">
        <v>0</v>
      </c>
      <c r="U4590" s="58">
        <v>0</v>
      </c>
      <c r="V4590" s="58">
        <v>0</v>
      </c>
      <c r="AM4590" s="1" t="str">
        <f t="shared" si="217"/>
        <v>4588_C0005_0643.jpg</v>
      </c>
    </row>
    <row r="4591" spans="1:39" x14ac:dyDescent="0.35">
      <c r="A4591">
        <v>4587</v>
      </c>
      <c r="B4591">
        <v>4588</v>
      </c>
      <c r="F4591" s="64" t="s">
        <v>6747</v>
      </c>
      <c r="G4591" s="64"/>
      <c r="H4591" s="64"/>
      <c r="I4591" s="64">
        <v>0</v>
      </c>
      <c r="N4591" s="4">
        <v>0</v>
      </c>
      <c r="O4591" s="58">
        <v>0</v>
      </c>
      <c r="P4591" s="58">
        <v>0</v>
      </c>
      <c r="Q4591" s="58">
        <v>0</v>
      </c>
      <c r="R4591" s="58">
        <v>0</v>
      </c>
      <c r="S4591" s="58">
        <v>0</v>
      </c>
      <c r="T4591" s="58">
        <v>0</v>
      </c>
      <c r="U4591" s="58">
        <v>0</v>
      </c>
      <c r="V4591" s="58">
        <v>0</v>
      </c>
      <c r="AM4591" s="1" t="str">
        <f t="shared" si="217"/>
        <v>4589_C0005_0640.jpg</v>
      </c>
    </row>
    <row r="4592" spans="1:39" x14ac:dyDescent="0.35">
      <c r="A4592">
        <v>4588</v>
      </c>
      <c r="B4592">
        <v>4589</v>
      </c>
      <c r="F4592" s="64" t="s">
        <v>6748</v>
      </c>
      <c r="G4592" s="64"/>
      <c r="H4592" s="64"/>
      <c r="I4592" s="64">
        <v>0</v>
      </c>
      <c r="N4592" s="4">
        <v>0</v>
      </c>
      <c r="O4592" s="58">
        <v>0</v>
      </c>
      <c r="P4592" s="58">
        <v>0</v>
      </c>
      <c r="Q4592" s="58">
        <v>0</v>
      </c>
      <c r="R4592" s="58">
        <v>0</v>
      </c>
      <c r="S4592" s="58">
        <v>0</v>
      </c>
      <c r="T4592" s="58">
        <v>0</v>
      </c>
      <c r="U4592" s="58">
        <v>0</v>
      </c>
      <c r="V4592" s="58">
        <v>0</v>
      </c>
      <c r="AM4592" s="1" t="str">
        <f t="shared" si="217"/>
        <v>4590_C0005_0637.jpg</v>
      </c>
    </row>
    <row r="4593" spans="1:39" x14ac:dyDescent="0.35">
      <c r="A4593">
        <v>4589</v>
      </c>
      <c r="B4593">
        <v>4590</v>
      </c>
      <c r="F4593" s="64" t="s">
        <v>6749</v>
      </c>
      <c r="G4593" s="64"/>
      <c r="H4593" s="64"/>
      <c r="I4593" s="64">
        <v>0</v>
      </c>
      <c r="N4593" s="4">
        <v>0</v>
      </c>
      <c r="O4593" s="58">
        <v>0</v>
      </c>
      <c r="P4593" s="58">
        <v>0</v>
      </c>
      <c r="Q4593" s="58">
        <v>0</v>
      </c>
      <c r="R4593" s="58">
        <v>0</v>
      </c>
      <c r="S4593" s="58">
        <v>0</v>
      </c>
      <c r="T4593" s="58">
        <v>0</v>
      </c>
      <c r="U4593" s="58">
        <v>0</v>
      </c>
      <c r="V4593" s="58">
        <v>0</v>
      </c>
      <c r="AM4593" s="1" t="str">
        <f t="shared" si="217"/>
        <v>4591_C0005_0632.jpg</v>
      </c>
    </row>
    <row r="4594" spans="1:39" x14ac:dyDescent="0.35">
      <c r="A4594">
        <v>4590</v>
      </c>
      <c r="B4594">
        <v>4591</v>
      </c>
      <c r="F4594" s="64" t="s">
        <v>6750</v>
      </c>
      <c r="G4594" s="64"/>
      <c r="H4594" s="64"/>
      <c r="I4594" s="64">
        <v>0</v>
      </c>
      <c r="N4594" s="4">
        <v>0</v>
      </c>
      <c r="O4594" s="58">
        <v>0</v>
      </c>
      <c r="P4594" s="58">
        <v>0</v>
      </c>
      <c r="Q4594" s="58">
        <v>0</v>
      </c>
      <c r="R4594" s="58">
        <v>0</v>
      </c>
      <c r="S4594" s="58">
        <v>0</v>
      </c>
      <c r="T4594" s="58">
        <v>0</v>
      </c>
      <c r="U4594" s="58">
        <v>0</v>
      </c>
      <c r="V4594" s="58">
        <v>0</v>
      </c>
      <c r="AM4594" s="1" t="str">
        <f t="shared" si="217"/>
        <v>4592_C0005_0628.jpg</v>
      </c>
    </row>
    <row r="4595" spans="1:39" x14ac:dyDescent="0.35">
      <c r="A4595">
        <v>4591</v>
      </c>
      <c r="B4595">
        <v>4592</v>
      </c>
      <c r="F4595" s="64" t="s">
        <v>6751</v>
      </c>
      <c r="G4595" s="64"/>
      <c r="H4595" s="64"/>
      <c r="I4595" s="64">
        <v>0</v>
      </c>
      <c r="N4595" s="4">
        <v>0</v>
      </c>
      <c r="O4595" s="58">
        <v>0</v>
      </c>
      <c r="P4595" s="58">
        <v>0</v>
      </c>
      <c r="Q4595" s="58">
        <v>0</v>
      </c>
      <c r="R4595" s="58">
        <v>0</v>
      </c>
      <c r="S4595" s="58">
        <v>0</v>
      </c>
      <c r="T4595" s="58">
        <v>0</v>
      </c>
      <c r="U4595" s="58">
        <v>0</v>
      </c>
      <c r="V4595" s="58">
        <v>0</v>
      </c>
      <c r="AM4595" s="1" t="str">
        <f t="shared" si="217"/>
        <v>4593_C0005_0624.jpg</v>
      </c>
    </row>
    <row r="4596" spans="1:39" x14ac:dyDescent="0.35">
      <c r="A4596">
        <v>4592</v>
      </c>
      <c r="B4596">
        <v>4593</v>
      </c>
      <c r="F4596" s="64" t="s">
        <v>6752</v>
      </c>
      <c r="G4596" s="64"/>
      <c r="H4596" s="64"/>
      <c r="I4596" s="64">
        <v>0</v>
      </c>
      <c r="N4596" s="4">
        <v>0</v>
      </c>
      <c r="O4596" s="58">
        <v>0</v>
      </c>
      <c r="P4596" s="58">
        <v>0</v>
      </c>
      <c r="Q4596" s="58">
        <v>0</v>
      </c>
      <c r="R4596" s="58">
        <v>0</v>
      </c>
      <c r="S4596" s="58">
        <v>0</v>
      </c>
      <c r="T4596" s="58">
        <v>0</v>
      </c>
      <c r="U4596" s="58">
        <v>0</v>
      </c>
      <c r="V4596" s="58">
        <v>0</v>
      </c>
      <c r="AM4596" s="1" t="str">
        <f t="shared" si="217"/>
        <v>4594_C0005_0620.jpg</v>
      </c>
    </row>
    <row r="4597" spans="1:39" x14ac:dyDescent="0.35">
      <c r="A4597">
        <v>4593</v>
      </c>
      <c r="B4597">
        <v>4594</v>
      </c>
      <c r="F4597" s="64" t="s">
        <v>6753</v>
      </c>
      <c r="G4597" s="64"/>
      <c r="H4597" s="64"/>
      <c r="I4597" s="64">
        <v>0</v>
      </c>
      <c r="N4597" s="4">
        <v>0</v>
      </c>
      <c r="O4597" s="58">
        <v>0</v>
      </c>
      <c r="P4597" s="58">
        <v>0</v>
      </c>
      <c r="Q4597" s="58">
        <v>0</v>
      </c>
      <c r="R4597" s="58">
        <v>0</v>
      </c>
      <c r="S4597" s="58">
        <v>0</v>
      </c>
      <c r="T4597" s="58">
        <v>0</v>
      </c>
      <c r="U4597" s="58">
        <v>0</v>
      </c>
      <c r="V4597" s="58">
        <v>0</v>
      </c>
      <c r="AM4597" s="1" t="str">
        <f t="shared" si="217"/>
        <v>4595_C0005_0617.jpg</v>
      </c>
    </row>
    <row r="4598" spans="1:39" x14ac:dyDescent="0.35">
      <c r="A4598">
        <v>4594</v>
      </c>
      <c r="B4598">
        <v>4595</v>
      </c>
      <c r="F4598" s="64" t="s">
        <v>6754</v>
      </c>
      <c r="G4598" s="64"/>
      <c r="H4598" s="64"/>
      <c r="I4598" s="64">
        <v>0</v>
      </c>
      <c r="N4598" s="4">
        <v>0</v>
      </c>
      <c r="O4598" s="58">
        <v>0</v>
      </c>
      <c r="P4598" s="58">
        <v>0</v>
      </c>
      <c r="Q4598" s="58">
        <v>0</v>
      </c>
      <c r="R4598" s="58">
        <v>0</v>
      </c>
      <c r="S4598" s="58">
        <v>0</v>
      </c>
      <c r="T4598" s="58">
        <v>0</v>
      </c>
      <c r="U4598" s="58">
        <v>0</v>
      </c>
      <c r="V4598" s="58">
        <v>0</v>
      </c>
      <c r="AM4598" s="1" t="str">
        <f t="shared" si="217"/>
        <v>4596_C0005_0613.jpg</v>
      </c>
    </row>
    <row r="4599" spans="1:39" x14ac:dyDescent="0.35">
      <c r="A4599">
        <v>4595</v>
      </c>
      <c r="B4599">
        <v>4596</v>
      </c>
      <c r="F4599" s="64" t="s">
        <v>6755</v>
      </c>
      <c r="G4599" s="64"/>
      <c r="H4599" s="64"/>
      <c r="I4599" s="64">
        <v>0</v>
      </c>
      <c r="N4599" s="4">
        <v>0</v>
      </c>
      <c r="O4599" s="58">
        <v>0</v>
      </c>
      <c r="P4599" s="58">
        <v>0</v>
      </c>
      <c r="Q4599" s="58">
        <v>0</v>
      </c>
      <c r="R4599" s="58">
        <v>0</v>
      </c>
      <c r="S4599" s="58">
        <v>0</v>
      </c>
      <c r="T4599" s="58">
        <v>0</v>
      </c>
      <c r="U4599" s="58">
        <v>0</v>
      </c>
      <c r="V4599" s="58">
        <v>0</v>
      </c>
      <c r="AM4599" s="1" t="str">
        <f t="shared" si="217"/>
        <v>4597_C0005_0610.jpg</v>
      </c>
    </row>
    <row r="4600" spans="1:39" x14ac:dyDescent="0.35">
      <c r="A4600">
        <v>4596</v>
      </c>
      <c r="B4600">
        <v>4597</v>
      </c>
      <c r="F4600" s="64" t="s">
        <v>6756</v>
      </c>
      <c r="G4600" s="64"/>
      <c r="H4600" s="64"/>
      <c r="I4600" s="64">
        <v>0</v>
      </c>
      <c r="N4600" s="4">
        <v>0</v>
      </c>
      <c r="O4600" s="58">
        <v>0</v>
      </c>
      <c r="P4600" s="58">
        <v>0</v>
      </c>
      <c r="Q4600" s="58">
        <v>0</v>
      </c>
      <c r="R4600" s="58">
        <v>0</v>
      </c>
      <c r="S4600" s="58">
        <v>0</v>
      </c>
      <c r="T4600" s="58">
        <v>0</v>
      </c>
      <c r="U4600" s="58">
        <v>0</v>
      </c>
      <c r="V4600" s="58">
        <v>0</v>
      </c>
      <c r="AM4600" s="1" t="str">
        <f t="shared" si="217"/>
        <v>4598_C0005_0606.jpg</v>
      </c>
    </row>
    <row r="4601" spans="1:39" x14ac:dyDescent="0.35">
      <c r="A4601">
        <v>4597</v>
      </c>
      <c r="B4601">
        <v>4598</v>
      </c>
      <c r="F4601" s="64" t="s">
        <v>6757</v>
      </c>
      <c r="G4601" s="64"/>
      <c r="H4601" s="64"/>
      <c r="I4601" s="64">
        <v>0</v>
      </c>
      <c r="N4601" s="4">
        <v>0</v>
      </c>
      <c r="O4601" s="58">
        <v>0</v>
      </c>
      <c r="P4601" s="58">
        <v>0</v>
      </c>
      <c r="Q4601" s="58">
        <v>0</v>
      </c>
      <c r="R4601" s="58">
        <v>0</v>
      </c>
      <c r="S4601" s="58">
        <v>0</v>
      </c>
      <c r="T4601" s="58">
        <v>0</v>
      </c>
      <c r="U4601" s="58">
        <v>0</v>
      </c>
      <c r="V4601" s="58">
        <v>0</v>
      </c>
      <c r="AM4601" s="1" t="str">
        <f t="shared" si="217"/>
        <v>4599_C0005_0604.jpg</v>
      </c>
    </row>
    <row r="4602" spans="1:39" x14ac:dyDescent="0.35">
      <c r="A4602">
        <v>4598</v>
      </c>
      <c r="B4602">
        <v>4599</v>
      </c>
      <c r="F4602" s="64" t="s">
        <v>6758</v>
      </c>
      <c r="G4602" s="64"/>
      <c r="H4602" s="64"/>
      <c r="I4602" s="64">
        <v>0</v>
      </c>
      <c r="N4602" s="4">
        <v>0</v>
      </c>
      <c r="O4602" s="58">
        <v>0</v>
      </c>
      <c r="P4602" s="58">
        <v>0</v>
      </c>
      <c r="Q4602" s="58">
        <v>0</v>
      </c>
      <c r="R4602" s="58">
        <v>0</v>
      </c>
      <c r="S4602" s="58">
        <v>0</v>
      </c>
      <c r="T4602" s="58">
        <v>0</v>
      </c>
      <c r="U4602" s="58">
        <v>0</v>
      </c>
      <c r="V4602" s="58">
        <v>0</v>
      </c>
      <c r="AM4602" s="1" t="str">
        <f t="shared" si="217"/>
        <v>4600_C0005_0601.jpg</v>
      </c>
    </row>
    <row r="4603" spans="1:39" x14ac:dyDescent="0.35">
      <c r="A4603">
        <v>4599</v>
      </c>
      <c r="B4603">
        <v>4600</v>
      </c>
      <c r="F4603" s="64" t="s">
        <v>6759</v>
      </c>
      <c r="G4603" s="64"/>
      <c r="H4603" s="64"/>
      <c r="I4603" s="64">
        <v>0</v>
      </c>
      <c r="N4603" s="4">
        <v>0</v>
      </c>
      <c r="O4603" s="58">
        <v>0</v>
      </c>
      <c r="P4603" s="58">
        <v>0</v>
      </c>
      <c r="Q4603" s="58">
        <v>1</v>
      </c>
      <c r="R4603" s="58">
        <v>0</v>
      </c>
      <c r="S4603" s="58">
        <v>0</v>
      </c>
      <c r="T4603" s="58">
        <v>0</v>
      </c>
      <c r="U4603" s="58">
        <v>0</v>
      </c>
      <c r="V4603" s="58">
        <v>0</v>
      </c>
      <c r="AM4603" s="1" t="str">
        <f t="shared" si="217"/>
        <v>4601_C0005_0599.jpg</v>
      </c>
    </row>
    <row r="4604" spans="1:39" x14ac:dyDescent="0.35">
      <c r="A4604">
        <v>4600</v>
      </c>
      <c r="B4604">
        <v>4601</v>
      </c>
      <c r="F4604" s="64" t="s">
        <v>6760</v>
      </c>
      <c r="G4604" s="64"/>
      <c r="H4604" s="64"/>
      <c r="I4604" s="64">
        <v>0</v>
      </c>
      <c r="N4604" s="4">
        <v>0</v>
      </c>
      <c r="O4604" s="58">
        <v>0</v>
      </c>
      <c r="P4604" s="58">
        <v>0</v>
      </c>
      <c r="Q4604" s="58">
        <v>1</v>
      </c>
      <c r="R4604" s="58">
        <v>0</v>
      </c>
      <c r="S4604" s="58">
        <v>0</v>
      </c>
      <c r="T4604" s="58">
        <v>0</v>
      </c>
      <c r="U4604" s="58">
        <v>0</v>
      </c>
      <c r="V4604" s="58">
        <v>0</v>
      </c>
      <c r="AM4604" s="1" t="str">
        <f t="shared" ref="AM4604:AM4655" si="218">HYPERLINK("E:\CAFNEC_GBRF\2023\JohnstoneRiver\Frames_for_Analysis\" &amp; F4605, F4605)</f>
        <v>4602_C0005_0595.jpg</v>
      </c>
    </row>
    <row r="4605" spans="1:39" x14ac:dyDescent="0.35">
      <c r="A4605">
        <v>4601</v>
      </c>
      <c r="B4605">
        <v>4602</v>
      </c>
      <c r="F4605" s="64" t="s">
        <v>6761</v>
      </c>
      <c r="G4605" s="64"/>
      <c r="H4605" s="64"/>
      <c r="I4605" s="64">
        <v>0</v>
      </c>
      <c r="N4605" s="4">
        <v>0</v>
      </c>
      <c r="O4605" s="58">
        <v>0</v>
      </c>
      <c r="P4605" s="58">
        <v>0</v>
      </c>
      <c r="Q4605" s="58">
        <v>0</v>
      </c>
      <c r="R4605" s="58">
        <v>0</v>
      </c>
      <c r="S4605" s="58">
        <v>0</v>
      </c>
      <c r="T4605" s="58">
        <v>0</v>
      </c>
      <c r="U4605" s="58">
        <v>0</v>
      </c>
      <c r="V4605" s="58">
        <v>0</v>
      </c>
      <c r="AM4605" s="1" t="str">
        <f t="shared" si="218"/>
        <v>4603_C0005_0588.jpg</v>
      </c>
    </row>
    <row r="4606" spans="1:39" x14ac:dyDescent="0.35">
      <c r="A4606">
        <v>4602</v>
      </c>
      <c r="B4606">
        <v>4603</v>
      </c>
      <c r="F4606" s="64" t="s">
        <v>6762</v>
      </c>
      <c r="G4606" s="64"/>
      <c r="H4606" s="64"/>
      <c r="I4606" s="64">
        <v>0</v>
      </c>
      <c r="N4606" s="4">
        <v>0</v>
      </c>
      <c r="O4606" s="58">
        <v>0</v>
      </c>
      <c r="P4606" s="58">
        <v>0</v>
      </c>
      <c r="Q4606" s="58">
        <v>0</v>
      </c>
      <c r="R4606" s="58">
        <v>0</v>
      </c>
      <c r="S4606" s="58">
        <v>0</v>
      </c>
      <c r="T4606" s="58">
        <v>0</v>
      </c>
      <c r="U4606" s="58">
        <v>0</v>
      </c>
      <c r="V4606" s="58">
        <v>0</v>
      </c>
      <c r="AM4606" s="1" t="str">
        <f t="shared" si="218"/>
        <v>4604_C0005_0585.jpg</v>
      </c>
    </row>
    <row r="4607" spans="1:39" x14ac:dyDescent="0.35">
      <c r="A4607">
        <v>4603</v>
      </c>
      <c r="B4607">
        <v>4604</v>
      </c>
      <c r="F4607" s="64" t="s">
        <v>6763</v>
      </c>
      <c r="G4607" s="64"/>
      <c r="H4607" s="64"/>
      <c r="I4607" s="64">
        <v>0</v>
      </c>
      <c r="N4607" s="4">
        <v>0</v>
      </c>
      <c r="O4607" s="58">
        <v>0</v>
      </c>
      <c r="P4607" s="58">
        <v>0</v>
      </c>
      <c r="Q4607" s="58">
        <v>0</v>
      </c>
      <c r="R4607" s="58">
        <v>0</v>
      </c>
      <c r="S4607" s="58">
        <v>0</v>
      </c>
      <c r="T4607" s="58">
        <v>0</v>
      </c>
      <c r="U4607" s="58">
        <v>0</v>
      </c>
      <c r="V4607" s="58">
        <v>0</v>
      </c>
      <c r="AM4607" s="1" t="str">
        <f t="shared" si="218"/>
        <v>4605_C0005_0580.jpg</v>
      </c>
    </row>
    <row r="4608" spans="1:39" x14ac:dyDescent="0.35">
      <c r="A4608">
        <v>4604</v>
      </c>
      <c r="B4608">
        <v>4605</v>
      </c>
      <c r="F4608" s="64" t="s">
        <v>6764</v>
      </c>
      <c r="G4608" s="64"/>
      <c r="H4608" s="64"/>
      <c r="I4608" s="64">
        <v>0</v>
      </c>
      <c r="N4608" s="4">
        <v>0</v>
      </c>
      <c r="O4608" s="58">
        <v>0</v>
      </c>
      <c r="P4608" s="58">
        <v>0</v>
      </c>
      <c r="Q4608" s="58">
        <v>0</v>
      </c>
      <c r="R4608" s="58">
        <v>0</v>
      </c>
      <c r="S4608" s="58">
        <v>0</v>
      </c>
      <c r="T4608" s="58">
        <v>0</v>
      </c>
      <c r="U4608" s="58">
        <v>0</v>
      </c>
      <c r="V4608" s="58">
        <v>0</v>
      </c>
      <c r="AM4608" s="1" t="str">
        <f t="shared" si="218"/>
        <v>4606_C0005_0577.jpg</v>
      </c>
    </row>
    <row r="4609" spans="1:39" x14ac:dyDescent="0.35">
      <c r="A4609">
        <v>4605</v>
      </c>
      <c r="B4609">
        <v>4606</v>
      </c>
      <c r="F4609" s="64" t="s">
        <v>6765</v>
      </c>
      <c r="G4609" s="64"/>
      <c r="H4609" s="64"/>
      <c r="I4609" s="64">
        <v>0</v>
      </c>
      <c r="N4609" s="4">
        <v>0</v>
      </c>
      <c r="O4609" s="58">
        <v>0</v>
      </c>
      <c r="P4609" s="58">
        <v>0</v>
      </c>
      <c r="Q4609" s="58">
        <v>0</v>
      </c>
      <c r="R4609" s="58">
        <v>0</v>
      </c>
      <c r="S4609" s="58">
        <v>0</v>
      </c>
      <c r="T4609" s="58">
        <v>0</v>
      </c>
      <c r="U4609" s="58">
        <v>0</v>
      </c>
      <c r="V4609" s="58">
        <v>0</v>
      </c>
      <c r="AM4609" s="1" t="str">
        <f t="shared" si="218"/>
        <v>4607_C0005_0573.jpg</v>
      </c>
    </row>
    <row r="4610" spans="1:39" x14ac:dyDescent="0.35">
      <c r="A4610">
        <v>4606</v>
      </c>
      <c r="B4610">
        <v>4607</v>
      </c>
      <c r="F4610" s="64" t="s">
        <v>6766</v>
      </c>
      <c r="G4610" s="64"/>
      <c r="H4610" s="64"/>
      <c r="I4610" s="64">
        <v>0</v>
      </c>
      <c r="N4610" s="4">
        <v>0</v>
      </c>
      <c r="O4610" s="58">
        <v>0</v>
      </c>
      <c r="P4610" s="58">
        <v>0</v>
      </c>
      <c r="Q4610" s="58">
        <v>0</v>
      </c>
      <c r="R4610" s="58">
        <v>0</v>
      </c>
      <c r="S4610" s="58">
        <v>0</v>
      </c>
      <c r="T4610" s="58">
        <v>0</v>
      </c>
      <c r="U4610" s="58">
        <v>0</v>
      </c>
      <c r="V4610" s="58">
        <v>0</v>
      </c>
      <c r="AM4610" s="1" t="str">
        <f t="shared" si="218"/>
        <v>4608_C0005_0569.jpg</v>
      </c>
    </row>
    <row r="4611" spans="1:39" x14ac:dyDescent="0.35">
      <c r="A4611">
        <v>4607</v>
      </c>
      <c r="B4611">
        <v>4608</v>
      </c>
      <c r="F4611" s="64" t="s">
        <v>6767</v>
      </c>
      <c r="G4611" s="64"/>
      <c r="H4611" s="64"/>
      <c r="I4611" s="64">
        <v>0</v>
      </c>
      <c r="N4611" s="4">
        <v>0</v>
      </c>
      <c r="O4611" s="58">
        <v>0</v>
      </c>
      <c r="P4611" s="58">
        <v>0</v>
      </c>
      <c r="Q4611" s="58">
        <v>0</v>
      </c>
      <c r="R4611" s="58">
        <v>0</v>
      </c>
      <c r="S4611" s="58">
        <v>0</v>
      </c>
      <c r="T4611" s="58">
        <v>0</v>
      </c>
      <c r="U4611" s="58">
        <v>0</v>
      </c>
      <c r="V4611" s="58">
        <v>0</v>
      </c>
      <c r="AM4611" s="1" t="str">
        <f t="shared" si="218"/>
        <v>4609_C0005_0564.jpg</v>
      </c>
    </row>
    <row r="4612" spans="1:39" x14ac:dyDescent="0.35">
      <c r="A4612">
        <v>4608</v>
      </c>
      <c r="B4612">
        <v>4609</v>
      </c>
      <c r="F4612" s="64" t="s">
        <v>6768</v>
      </c>
      <c r="G4612" s="64"/>
      <c r="H4612" s="64"/>
      <c r="I4612" s="64">
        <v>0</v>
      </c>
      <c r="N4612" s="4">
        <v>0</v>
      </c>
      <c r="O4612" s="58">
        <v>0</v>
      </c>
      <c r="P4612" s="58">
        <v>0</v>
      </c>
      <c r="Q4612" s="58">
        <v>0</v>
      </c>
      <c r="R4612" s="58">
        <v>0</v>
      </c>
      <c r="S4612" s="58">
        <v>0</v>
      </c>
      <c r="T4612" s="58">
        <v>0</v>
      </c>
      <c r="U4612" s="58">
        <v>0</v>
      </c>
      <c r="V4612" s="58">
        <v>0</v>
      </c>
      <c r="AM4612" s="1" t="str">
        <f t="shared" si="218"/>
        <v>4610_C0005_0560.jpg</v>
      </c>
    </row>
    <row r="4613" spans="1:39" x14ac:dyDescent="0.35">
      <c r="A4613">
        <v>4609</v>
      </c>
      <c r="B4613">
        <v>4610</v>
      </c>
      <c r="F4613" s="64" t="s">
        <v>6769</v>
      </c>
      <c r="G4613" s="64"/>
      <c r="H4613" s="64"/>
      <c r="I4613" s="64">
        <v>0</v>
      </c>
      <c r="N4613" s="4">
        <v>0</v>
      </c>
      <c r="O4613" s="58">
        <v>0</v>
      </c>
      <c r="P4613" s="58">
        <v>0</v>
      </c>
      <c r="Q4613" s="58">
        <v>0</v>
      </c>
      <c r="R4613" s="58">
        <v>0</v>
      </c>
      <c r="S4613" s="58">
        <v>0</v>
      </c>
      <c r="T4613" s="58">
        <v>0</v>
      </c>
      <c r="U4613" s="58">
        <v>0</v>
      </c>
      <c r="V4613" s="58">
        <v>0</v>
      </c>
      <c r="AM4613" s="1" t="str">
        <f t="shared" si="218"/>
        <v>4611_C0005_0556.jpg</v>
      </c>
    </row>
    <row r="4614" spans="1:39" x14ac:dyDescent="0.35">
      <c r="A4614">
        <v>4610</v>
      </c>
      <c r="B4614">
        <v>4611</v>
      </c>
      <c r="F4614" s="64" t="s">
        <v>6770</v>
      </c>
      <c r="G4614" s="64"/>
      <c r="H4614" s="64"/>
      <c r="I4614" s="64">
        <v>0</v>
      </c>
      <c r="N4614" s="4">
        <v>0</v>
      </c>
      <c r="O4614" s="58">
        <v>0</v>
      </c>
      <c r="P4614" s="58">
        <v>0</v>
      </c>
      <c r="Q4614" s="58">
        <v>0</v>
      </c>
      <c r="R4614" s="58">
        <v>0</v>
      </c>
      <c r="S4614" s="58">
        <v>0</v>
      </c>
      <c r="T4614" s="58">
        <v>0</v>
      </c>
      <c r="U4614" s="58">
        <v>0</v>
      </c>
      <c r="V4614" s="58">
        <v>0</v>
      </c>
      <c r="AM4614" s="1" t="str">
        <f t="shared" si="218"/>
        <v>4612_C0005_0553.jpg</v>
      </c>
    </row>
    <row r="4615" spans="1:39" x14ac:dyDescent="0.35">
      <c r="A4615">
        <v>4611</v>
      </c>
      <c r="B4615">
        <v>4612</v>
      </c>
      <c r="F4615" s="64" t="s">
        <v>6771</v>
      </c>
      <c r="G4615" s="64"/>
      <c r="H4615" s="64"/>
      <c r="I4615" s="64">
        <v>0</v>
      </c>
      <c r="N4615" s="4">
        <v>0</v>
      </c>
      <c r="O4615" s="58">
        <v>0</v>
      </c>
      <c r="P4615" s="58">
        <v>0</v>
      </c>
      <c r="Q4615" s="58">
        <v>0</v>
      </c>
      <c r="R4615" s="58">
        <v>0</v>
      </c>
      <c r="S4615" s="58">
        <v>0</v>
      </c>
      <c r="T4615" s="58">
        <v>0</v>
      </c>
      <c r="U4615" s="58">
        <v>0</v>
      </c>
      <c r="V4615" s="58">
        <v>0</v>
      </c>
      <c r="AM4615" s="1" t="str">
        <f t="shared" si="218"/>
        <v>4613_C0005_0549.jpg</v>
      </c>
    </row>
    <row r="4616" spans="1:39" x14ac:dyDescent="0.35">
      <c r="A4616">
        <v>4612</v>
      </c>
      <c r="B4616">
        <v>4613</v>
      </c>
      <c r="F4616" s="64" t="s">
        <v>6772</v>
      </c>
      <c r="G4616" s="64"/>
      <c r="H4616" s="64"/>
      <c r="I4616" s="64">
        <v>0</v>
      </c>
      <c r="N4616" s="4">
        <v>0</v>
      </c>
      <c r="O4616" s="58">
        <v>0</v>
      </c>
      <c r="P4616" s="58">
        <v>0</v>
      </c>
      <c r="Q4616" s="58">
        <v>0</v>
      </c>
      <c r="R4616" s="58">
        <v>0</v>
      </c>
      <c r="S4616" s="58">
        <v>0</v>
      </c>
      <c r="T4616" s="58">
        <v>0</v>
      </c>
      <c r="U4616" s="58">
        <v>0</v>
      </c>
      <c r="V4616" s="58">
        <v>0</v>
      </c>
      <c r="AM4616" s="1" t="str">
        <f t="shared" si="218"/>
        <v>4614_C0005_0546.jpg</v>
      </c>
    </row>
    <row r="4617" spans="1:39" x14ac:dyDescent="0.35">
      <c r="A4617">
        <v>4613</v>
      </c>
      <c r="B4617">
        <v>4614</v>
      </c>
      <c r="F4617" s="64" t="s">
        <v>6773</v>
      </c>
      <c r="G4617" s="64"/>
      <c r="H4617" s="64"/>
      <c r="I4617" s="64">
        <v>0</v>
      </c>
      <c r="N4617" s="4">
        <v>0</v>
      </c>
      <c r="O4617" s="58">
        <v>0</v>
      </c>
      <c r="P4617" s="58">
        <v>0</v>
      </c>
      <c r="Q4617" s="58">
        <v>0</v>
      </c>
      <c r="R4617" s="58">
        <v>0</v>
      </c>
      <c r="S4617" s="58">
        <v>0</v>
      </c>
      <c r="T4617" s="58">
        <v>0</v>
      </c>
      <c r="U4617" s="58">
        <v>0</v>
      </c>
      <c r="V4617" s="58">
        <v>0</v>
      </c>
      <c r="AM4617" s="1" t="str">
        <f t="shared" si="218"/>
        <v>4615_C0005_0544.jpg</v>
      </c>
    </row>
    <row r="4618" spans="1:39" x14ac:dyDescent="0.35">
      <c r="A4618">
        <v>4614</v>
      </c>
      <c r="B4618">
        <v>4615</v>
      </c>
      <c r="F4618" s="64" t="s">
        <v>6774</v>
      </c>
      <c r="G4618" s="64"/>
      <c r="H4618" s="64"/>
      <c r="I4618" s="64">
        <v>0</v>
      </c>
      <c r="N4618" s="4">
        <v>0</v>
      </c>
      <c r="O4618" s="58">
        <v>0</v>
      </c>
      <c r="P4618" s="58">
        <v>0</v>
      </c>
      <c r="Q4618" s="58">
        <v>0</v>
      </c>
      <c r="R4618" s="58">
        <v>0</v>
      </c>
      <c r="S4618" s="58">
        <v>0</v>
      </c>
      <c r="T4618" s="58">
        <v>0</v>
      </c>
      <c r="U4618" s="58">
        <v>0</v>
      </c>
      <c r="V4618" s="58">
        <v>0</v>
      </c>
      <c r="AM4618" s="1" t="str">
        <f t="shared" si="218"/>
        <v>4616_C0005_0541.jpg</v>
      </c>
    </row>
    <row r="4619" spans="1:39" x14ac:dyDescent="0.35">
      <c r="A4619">
        <v>4615</v>
      </c>
      <c r="B4619">
        <v>4616</v>
      </c>
      <c r="F4619" s="64" t="s">
        <v>6775</v>
      </c>
      <c r="G4619" s="64"/>
      <c r="H4619" s="64"/>
      <c r="I4619" s="64">
        <v>0</v>
      </c>
      <c r="N4619" s="4">
        <v>0</v>
      </c>
      <c r="O4619" s="58">
        <v>0</v>
      </c>
      <c r="P4619" s="58">
        <v>0</v>
      </c>
      <c r="Q4619" s="58">
        <v>0</v>
      </c>
      <c r="R4619" s="58">
        <v>0</v>
      </c>
      <c r="S4619" s="58">
        <v>0</v>
      </c>
      <c r="T4619" s="58">
        <v>0</v>
      </c>
      <c r="U4619" s="58">
        <v>0</v>
      </c>
      <c r="V4619" s="58">
        <v>0</v>
      </c>
      <c r="AM4619" s="1" t="str">
        <f t="shared" si="218"/>
        <v>4617_C0005_0537.jpg</v>
      </c>
    </row>
    <row r="4620" spans="1:39" x14ac:dyDescent="0.35">
      <c r="A4620">
        <v>4616</v>
      </c>
      <c r="B4620">
        <v>4617</v>
      </c>
      <c r="F4620" s="64" t="s">
        <v>6776</v>
      </c>
      <c r="G4620" s="64"/>
      <c r="H4620" s="64"/>
      <c r="I4620" s="64">
        <v>0</v>
      </c>
      <c r="N4620" s="4">
        <v>0</v>
      </c>
      <c r="O4620" s="58">
        <v>0</v>
      </c>
      <c r="P4620" s="58">
        <v>0</v>
      </c>
      <c r="Q4620" s="58">
        <v>0</v>
      </c>
      <c r="R4620" s="58">
        <v>0</v>
      </c>
      <c r="S4620" s="58">
        <v>0</v>
      </c>
      <c r="T4620" s="58">
        <v>0</v>
      </c>
      <c r="U4620" s="58">
        <v>0</v>
      </c>
      <c r="V4620" s="58">
        <v>0</v>
      </c>
      <c r="AM4620" s="1" t="str">
        <f t="shared" si="218"/>
        <v>4618_C0005_0534.jpg</v>
      </c>
    </row>
    <row r="4621" spans="1:39" x14ac:dyDescent="0.35">
      <c r="A4621">
        <v>4617</v>
      </c>
      <c r="B4621">
        <v>4618</v>
      </c>
      <c r="F4621" s="64" t="s">
        <v>6777</v>
      </c>
      <c r="G4621" s="64"/>
      <c r="H4621" s="64"/>
      <c r="I4621" s="64">
        <v>0</v>
      </c>
      <c r="N4621" s="4">
        <v>0</v>
      </c>
      <c r="O4621" s="58">
        <v>0</v>
      </c>
      <c r="P4621" s="58">
        <v>0</v>
      </c>
      <c r="Q4621" s="58">
        <v>0</v>
      </c>
      <c r="R4621" s="58">
        <v>0</v>
      </c>
      <c r="S4621" s="58">
        <v>0</v>
      </c>
      <c r="T4621" s="58">
        <v>0</v>
      </c>
      <c r="U4621" s="58">
        <v>0</v>
      </c>
      <c r="V4621" s="58">
        <v>0</v>
      </c>
      <c r="AM4621" s="1" t="str">
        <f t="shared" si="218"/>
        <v>4619_C0005_0529.jpg</v>
      </c>
    </row>
    <row r="4622" spans="1:39" x14ac:dyDescent="0.35">
      <c r="A4622">
        <v>4618</v>
      </c>
      <c r="B4622">
        <v>4619</v>
      </c>
      <c r="F4622" s="64" t="s">
        <v>6778</v>
      </c>
      <c r="G4622" s="64"/>
      <c r="H4622" s="64"/>
      <c r="I4622" s="64">
        <v>0</v>
      </c>
      <c r="N4622" s="4">
        <v>0</v>
      </c>
      <c r="O4622" s="58">
        <v>0</v>
      </c>
      <c r="P4622" s="58">
        <v>0</v>
      </c>
      <c r="Q4622" s="58">
        <v>0</v>
      </c>
      <c r="R4622" s="58">
        <v>0</v>
      </c>
      <c r="S4622" s="58">
        <v>0</v>
      </c>
      <c r="T4622" s="58">
        <v>0</v>
      </c>
      <c r="U4622" s="58">
        <v>0</v>
      </c>
      <c r="V4622" s="58">
        <v>0</v>
      </c>
      <c r="AM4622" s="1" t="str">
        <f t="shared" si="218"/>
        <v>4620_C0005_0525.jpg</v>
      </c>
    </row>
    <row r="4623" spans="1:39" x14ac:dyDescent="0.35">
      <c r="A4623">
        <v>4619</v>
      </c>
      <c r="B4623">
        <v>4620</v>
      </c>
      <c r="F4623" s="64" t="s">
        <v>6779</v>
      </c>
      <c r="G4623" s="64"/>
      <c r="H4623" s="64"/>
      <c r="I4623" s="64">
        <v>0</v>
      </c>
      <c r="N4623" s="4">
        <v>0</v>
      </c>
      <c r="O4623" s="58">
        <v>0</v>
      </c>
      <c r="P4623" s="58">
        <v>0</v>
      </c>
      <c r="Q4623" s="58">
        <v>0</v>
      </c>
      <c r="R4623" s="58">
        <v>1</v>
      </c>
      <c r="S4623" s="58">
        <v>0</v>
      </c>
      <c r="T4623" s="58">
        <v>0</v>
      </c>
      <c r="U4623" s="58">
        <v>0</v>
      </c>
      <c r="V4623" s="58">
        <v>0</v>
      </c>
      <c r="AM4623" s="1" t="str">
        <f t="shared" si="218"/>
        <v>4621_C0005_0521.jpg</v>
      </c>
    </row>
    <row r="4624" spans="1:39" x14ac:dyDescent="0.35">
      <c r="A4624">
        <v>4620</v>
      </c>
      <c r="B4624">
        <v>4621</v>
      </c>
      <c r="F4624" s="64" t="s">
        <v>6780</v>
      </c>
      <c r="G4624" s="64"/>
      <c r="H4624" s="64"/>
      <c r="I4624" s="64">
        <v>0</v>
      </c>
      <c r="N4624" s="4">
        <v>0</v>
      </c>
      <c r="O4624" s="58">
        <v>0</v>
      </c>
      <c r="P4624" s="58">
        <v>0</v>
      </c>
      <c r="Q4624" s="58">
        <v>0</v>
      </c>
      <c r="R4624" s="58">
        <v>0</v>
      </c>
      <c r="S4624" s="58">
        <v>0</v>
      </c>
      <c r="T4624" s="58">
        <v>0</v>
      </c>
      <c r="U4624" s="58">
        <v>0</v>
      </c>
      <c r="V4624" s="58">
        <v>0</v>
      </c>
      <c r="AM4624" s="1" t="str">
        <f t="shared" si="218"/>
        <v>4622_C0005_0517.jpg</v>
      </c>
    </row>
    <row r="4625" spans="1:39" x14ac:dyDescent="0.35">
      <c r="A4625">
        <v>4621</v>
      </c>
      <c r="B4625">
        <v>4622</v>
      </c>
      <c r="F4625" s="64" t="s">
        <v>6781</v>
      </c>
      <c r="G4625" s="64"/>
      <c r="H4625" s="64"/>
      <c r="I4625" s="64">
        <v>0</v>
      </c>
      <c r="N4625" s="4">
        <v>0</v>
      </c>
      <c r="O4625" s="58">
        <v>0</v>
      </c>
      <c r="P4625" s="58">
        <v>0</v>
      </c>
      <c r="Q4625" s="58">
        <v>0</v>
      </c>
      <c r="R4625" s="58">
        <v>0</v>
      </c>
      <c r="S4625" s="58">
        <v>0</v>
      </c>
      <c r="T4625" s="58">
        <v>0</v>
      </c>
      <c r="U4625" s="58">
        <v>0</v>
      </c>
      <c r="V4625" s="58">
        <v>0</v>
      </c>
      <c r="AM4625" s="1" t="str">
        <f t="shared" si="218"/>
        <v>4623_C0005_0514.jpg</v>
      </c>
    </row>
    <row r="4626" spans="1:39" x14ac:dyDescent="0.35">
      <c r="A4626">
        <v>4622</v>
      </c>
      <c r="B4626">
        <v>4623</v>
      </c>
      <c r="F4626" s="64" t="s">
        <v>6782</v>
      </c>
      <c r="G4626" s="64"/>
      <c r="H4626" s="64"/>
      <c r="I4626" s="64">
        <v>0</v>
      </c>
      <c r="N4626" s="4">
        <v>0</v>
      </c>
      <c r="O4626" s="58">
        <v>0</v>
      </c>
      <c r="P4626" s="58">
        <v>0</v>
      </c>
      <c r="Q4626" s="58">
        <v>0</v>
      </c>
      <c r="R4626" s="58">
        <v>0</v>
      </c>
      <c r="S4626" s="58">
        <v>0</v>
      </c>
      <c r="T4626" s="58">
        <v>0</v>
      </c>
      <c r="U4626" s="58">
        <v>0</v>
      </c>
      <c r="V4626" s="58">
        <v>0</v>
      </c>
      <c r="AM4626" s="1" t="str">
        <f t="shared" si="218"/>
        <v>4624_C0005_0510.jpg</v>
      </c>
    </row>
    <row r="4627" spans="1:39" x14ac:dyDescent="0.35">
      <c r="A4627">
        <v>4623</v>
      </c>
      <c r="B4627">
        <v>4624</v>
      </c>
      <c r="F4627" s="64" t="s">
        <v>6783</v>
      </c>
      <c r="G4627" s="64"/>
      <c r="H4627" s="64"/>
      <c r="I4627" s="64">
        <v>0</v>
      </c>
      <c r="N4627" s="4">
        <v>0</v>
      </c>
      <c r="O4627" s="58">
        <v>0</v>
      </c>
      <c r="P4627" s="58">
        <v>0</v>
      </c>
      <c r="Q4627" s="58">
        <v>0</v>
      </c>
      <c r="R4627" s="58">
        <v>0</v>
      </c>
      <c r="S4627" s="58">
        <v>0</v>
      </c>
      <c r="T4627" s="58">
        <v>0</v>
      </c>
      <c r="U4627" s="58">
        <v>0</v>
      </c>
      <c r="V4627" s="58">
        <v>0</v>
      </c>
      <c r="AM4627" s="1" t="str">
        <f t="shared" si="218"/>
        <v>4625_C0005_0505.jpg</v>
      </c>
    </row>
    <row r="4628" spans="1:39" x14ac:dyDescent="0.35">
      <c r="A4628">
        <v>4624</v>
      </c>
      <c r="B4628">
        <v>4625</v>
      </c>
      <c r="F4628" s="64" t="s">
        <v>6784</v>
      </c>
      <c r="G4628" s="64"/>
      <c r="H4628" s="64"/>
      <c r="I4628" s="64">
        <v>0</v>
      </c>
      <c r="N4628" s="4">
        <v>0</v>
      </c>
      <c r="O4628" s="58">
        <v>0</v>
      </c>
      <c r="P4628" s="58">
        <v>0</v>
      </c>
      <c r="Q4628" s="58">
        <v>0</v>
      </c>
      <c r="R4628" s="58">
        <v>0</v>
      </c>
      <c r="S4628" s="58">
        <v>0</v>
      </c>
      <c r="T4628" s="58">
        <v>0</v>
      </c>
      <c r="U4628" s="58">
        <v>0</v>
      </c>
      <c r="V4628" s="58">
        <v>0</v>
      </c>
      <c r="AM4628" s="1" t="str">
        <f t="shared" si="218"/>
        <v>4626_C0005_0500.jpg</v>
      </c>
    </row>
    <row r="4629" spans="1:39" x14ac:dyDescent="0.35">
      <c r="A4629">
        <v>4625</v>
      </c>
      <c r="B4629">
        <v>4626</v>
      </c>
      <c r="F4629" s="64" t="s">
        <v>6785</v>
      </c>
      <c r="G4629" s="64"/>
      <c r="H4629" s="64"/>
      <c r="I4629" s="64">
        <v>0</v>
      </c>
      <c r="N4629" s="4">
        <v>0</v>
      </c>
      <c r="O4629" s="58">
        <v>0</v>
      </c>
      <c r="P4629" s="58">
        <v>0</v>
      </c>
      <c r="Q4629" s="58">
        <v>0</v>
      </c>
      <c r="R4629" s="58">
        <v>0</v>
      </c>
      <c r="S4629" s="58">
        <v>0</v>
      </c>
      <c r="T4629" s="58">
        <v>0</v>
      </c>
      <c r="U4629" s="58">
        <v>0</v>
      </c>
      <c r="V4629" s="58">
        <v>0</v>
      </c>
      <c r="AM4629" s="1" t="str">
        <f t="shared" si="218"/>
        <v>4627_C0005_0496.jpg</v>
      </c>
    </row>
    <row r="4630" spans="1:39" x14ac:dyDescent="0.35">
      <c r="A4630">
        <v>4626</v>
      </c>
      <c r="B4630">
        <v>4627</v>
      </c>
      <c r="F4630" s="64" t="s">
        <v>6786</v>
      </c>
      <c r="G4630" s="64"/>
      <c r="H4630" s="64"/>
      <c r="I4630" s="64">
        <v>0</v>
      </c>
      <c r="N4630" s="4">
        <v>0</v>
      </c>
      <c r="O4630" s="58">
        <v>0</v>
      </c>
      <c r="P4630" s="58">
        <v>0</v>
      </c>
      <c r="Q4630" s="58">
        <v>0</v>
      </c>
      <c r="R4630" s="58">
        <v>0</v>
      </c>
      <c r="S4630" s="58">
        <v>0</v>
      </c>
      <c r="T4630" s="58">
        <v>0</v>
      </c>
      <c r="U4630" s="58">
        <v>0</v>
      </c>
      <c r="V4630" s="58">
        <v>0</v>
      </c>
      <c r="AM4630" s="1" t="str">
        <f t="shared" si="218"/>
        <v>4628_C0005_0493.jpg</v>
      </c>
    </row>
    <row r="4631" spans="1:39" x14ac:dyDescent="0.35">
      <c r="A4631">
        <v>4627</v>
      </c>
      <c r="B4631">
        <v>4628</v>
      </c>
      <c r="F4631" s="64" t="s">
        <v>6787</v>
      </c>
      <c r="G4631" s="64"/>
      <c r="H4631" s="64"/>
      <c r="I4631" s="64">
        <v>0</v>
      </c>
      <c r="N4631" s="4">
        <v>0</v>
      </c>
      <c r="O4631" s="58">
        <v>0</v>
      </c>
      <c r="P4631" s="58">
        <v>0</v>
      </c>
      <c r="Q4631" s="58">
        <v>0</v>
      </c>
      <c r="R4631" s="58">
        <v>0</v>
      </c>
      <c r="S4631" s="58">
        <v>0</v>
      </c>
      <c r="T4631" s="58">
        <v>0</v>
      </c>
      <c r="U4631" s="58">
        <v>0</v>
      </c>
      <c r="V4631" s="58">
        <v>0</v>
      </c>
      <c r="AM4631" s="1" t="str">
        <f t="shared" si="218"/>
        <v>4629_C0005_0490.jpg</v>
      </c>
    </row>
    <row r="4632" spans="1:39" x14ac:dyDescent="0.35">
      <c r="A4632">
        <v>4628</v>
      </c>
      <c r="B4632">
        <v>4629</v>
      </c>
      <c r="F4632" s="64" t="s">
        <v>6788</v>
      </c>
      <c r="G4632" s="64"/>
      <c r="H4632" s="64"/>
      <c r="I4632" s="64">
        <v>0</v>
      </c>
      <c r="N4632" s="4">
        <v>0</v>
      </c>
      <c r="O4632" s="58">
        <v>0</v>
      </c>
      <c r="P4632" s="58">
        <v>0</v>
      </c>
      <c r="Q4632" s="58">
        <v>0</v>
      </c>
      <c r="R4632" s="58">
        <v>0</v>
      </c>
      <c r="S4632" s="58">
        <v>0</v>
      </c>
      <c r="T4632" s="58">
        <v>0</v>
      </c>
      <c r="U4632" s="58">
        <v>0</v>
      </c>
      <c r="V4632" s="58">
        <v>0</v>
      </c>
      <c r="AM4632" s="1" t="str">
        <f t="shared" si="218"/>
        <v>4630_C0005_0487.jpg</v>
      </c>
    </row>
    <row r="4633" spans="1:39" x14ac:dyDescent="0.35">
      <c r="A4633">
        <v>4629</v>
      </c>
      <c r="B4633">
        <v>4630</v>
      </c>
      <c r="F4633" s="64" t="s">
        <v>6789</v>
      </c>
      <c r="G4633" s="64"/>
      <c r="H4633" s="64"/>
      <c r="I4633" s="64">
        <v>0</v>
      </c>
      <c r="N4633" s="4">
        <v>0</v>
      </c>
      <c r="O4633" s="58">
        <v>0</v>
      </c>
      <c r="P4633" s="58">
        <v>0</v>
      </c>
      <c r="Q4633" s="58">
        <v>0</v>
      </c>
      <c r="R4633" s="58">
        <v>0</v>
      </c>
      <c r="S4633" s="58">
        <v>0</v>
      </c>
      <c r="T4633" s="58">
        <v>0</v>
      </c>
      <c r="U4633" s="58">
        <v>0</v>
      </c>
      <c r="V4633" s="58">
        <v>0</v>
      </c>
      <c r="AM4633" s="1" t="str">
        <f t="shared" si="218"/>
        <v>4631_C0005_0485.jpg</v>
      </c>
    </row>
    <row r="4634" spans="1:39" x14ac:dyDescent="0.35">
      <c r="A4634">
        <v>4630</v>
      </c>
      <c r="B4634">
        <v>4631</v>
      </c>
      <c r="F4634" s="64" t="s">
        <v>6790</v>
      </c>
      <c r="G4634" s="64"/>
      <c r="H4634" s="64"/>
      <c r="I4634" s="64">
        <v>0</v>
      </c>
      <c r="N4634" s="4">
        <v>0</v>
      </c>
      <c r="O4634" s="58">
        <v>0</v>
      </c>
      <c r="P4634" s="58">
        <v>0</v>
      </c>
      <c r="Q4634" s="58">
        <v>0</v>
      </c>
      <c r="R4634" s="58">
        <v>0</v>
      </c>
      <c r="S4634" s="58">
        <v>0</v>
      </c>
      <c r="T4634" s="58">
        <v>0</v>
      </c>
      <c r="U4634" s="58">
        <v>0</v>
      </c>
      <c r="V4634" s="58">
        <v>0</v>
      </c>
      <c r="AM4634" s="1" t="str">
        <f t="shared" si="218"/>
        <v>4632_C0005_0481.jpg</v>
      </c>
    </row>
    <row r="4635" spans="1:39" x14ac:dyDescent="0.35">
      <c r="A4635">
        <v>4631</v>
      </c>
      <c r="B4635">
        <v>4632</v>
      </c>
      <c r="F4635" s="64" t="s">
        <v>6791</v>
      </c>
      <c r="G4635" s="64"/>
      <c r="H4635" s="64"/>
      <c r="I4635" s="64">
        <v>0</v>
      </c>
      <c r="N4635" s="4">
        <v>0</v>
      </c>
      <c r="O4635" s="58">
        <v>0</v>
      </c>
      <c r="P4635" s="58">
        <v>0</v>
      </c>
      <c r="Q4635" s="58">
        <v>0</v>
      </c>
      <c r="R4635" s="58">
        <v>0</v>
      </c>
      <c r="S4635" s="58">
        <v>0</v>
      </c>
      <c r="T4635" s="58">
        <v>0</v>
      </c>
      <c r="U4635" s="58">
        <v>0</v>
      </c>
      <c r="V4635" s="58">
        <v>0</v>
      </c>
      <c r="AM4635" s="1" t="str">
        <f t="shared" si="218"/>
        <v>4633_C0005_0477.jpg</v>
      </c>
    </row>
    <row r="4636" spans="1:39" x14ac:dyDescent="0.35">
      <c r="A4636">
        <v>4632</v>
      </c>
      <c r="B4636">
        <v>4633</v>
      </c>
      <c r="F4636" s="64" t="s">
        <v>6792</v>
      </c>
      <c r="G4636" s="64"/>
      <c r="H4636" s="64"/>
      <c r="I4636" s="64">
        <v>0</v>
      </c>
      <c r="N4636" s="4">
        <v>0</v>
      </c>
      <c r="O4636" s="58">
        <v>0</v>
      </c>
      <c r="P4636" s="58">
        <v>0</v>
      </c>
      <c r="Q4636" s="58">
        <v>0</v>
      </c>
      <c r="R4636" s="58">
        <v>0</v>
      </c>
      <c r="S4636" s="58">
        <v>0</v>
      </c>
      <c r="T4636" s="58">
        <v>0</v>
      </c>
      <c r="U4636" s="58">
        <v>0</v>
      </c>
      <c r="V4636" s="58">
        <v>0</v>
      </c>
      <c r="AM4636" s="1" t="str">
        <f t="shared" si="218"/>
        <v>4634_C0005_0471.jpg</v>
      </c>
    </row>
    <row r="4637" spans="1:39" x14ac:dyDescent="0.35">
      <c r="A4637">
        <v>4633</v>
      </c>
      <c r="B4637">
        <v>4634</v>
      </c>
      <c r="F4637" s="64" t="s">
        <v>6793</v>
      </c>
      <c r="G4637" s="64"/>
      <c r="H4637" s="64"/>
      <c r="I4637" s="64">
        <v>0</v>
      </c>
      <c r="N4637" s="4">
        <v>0</v>
      </c>
      <c r="O4637" s="58">
        <v>0</v>
      </c>
      <c r="P4637" s="58">
        <v>0</v>
      </c>
      <c r="Q4637" s="58">
        <v>0</v>
      </c>
      <c r="R4637" s="58">
        <v>0</v>
      </c>
      <c r="S4637" s="58">
        <v>0</v>
      </c>
      <c r="T4637" s="58">
        <v>0</v>
      </c>
      <c r="U4637" s="58">
        <v>0</v>
      </c>
      <c r="V4637" s="58">
        <v>0</v>
      </c>
      <c r="AM4637" s="1" t="str">
        <f t="shared" si="218"/>
        <v>4635_C0005_0468.jpg</v>
      </c>
    </row>
    <row r="4638" spans="1:39" x14ac:dyDescent="0.35">
      <c r="A4638">
        <v>4634</v>
      </c>
      <c r="B4638">
        <v>4635</v>
      </c>
      <c r="F4638" s="64" t="s">
        <v>6794</v>
      </c>
      <c r="G4638" s="64"/>
      <c r="H4638" s="64"/>
      <c r="I4638" s="64">
        <v>0</v>
      </c>
      <c r="N4638" s="4">
        <v>0</v>
      </c>
      <c r="O4638" s="58">
        <v>0</v>
      </c>
      <c r="P4638" s="58">
        <v>0</v>
      </c>
      <c r="Q4638" s="58">
        <v>0</v>
      </c>
      <c r="R4638" s="58">
        <v>0</v>
      </c>
      <c r="S4638" s="58">
        <v>0</v>
      </c>
      <c r="T4638" s="58">
        <v>0</v>
      </c>
      <c r="U4638" s="58">
        <v>0</v>
      </c>
      <c r="V4638" s="58">
        <v>0</v>
      </c>
      <c r="AM4638" s="1" t="str">
        <f t="shared" si="218"/>
        <v>4636_C0005_0464.jpg</v>
      </c>
    </row>
    <row r="4639" spans="1:39" x14ac:dyDescent="0.35">
      <c r="A4639">
        <v>4635</v>
      </c>
      <c r="B4639">
        <v>4636</v>
      </c>
      <c r="F4639" s="64" t="s">
        <v>6795</v>
      </c>
      <c r="G4639" s="64"/>
      <c r="H4639" s="64"/>
      <c r="I4639" s="64">
        <v>0</v>
      </c>
      <c r="N4639" s="4">
        <v>0</v>
      </c>
      <c r="O4639" s="58">
        <v>0</v>
      </c>
      <c r="P4639" s="58">
        <v>0</v>
      </c>
      <c r="Q4639" s="58">
        <v>0</v>
      </c>
      <c r="R4639" s="58">
        <v>0</v>
      </c>
      <c r="S4639" s="58">
        <v>0</v>
      </c>
      <c r="T4639" s="58">
        <v>0</v>
      </c>
      <c r="U4639" s="58">
        <v>0</v>
      </c>
      <c r="V4639" s="58">
        <v>0</v>
      </c>
      <c r="AM4639" s="1" t="str">
        <f t="shared" si="218"/>
        <v>4637_C0005_0460.jpg</v>
      </c>
    </row>
    <row r="4640" spans="1:39" x14ac:dyDescent="0.35">
      <c r="A4640">
        <v>4636</v>
      </c>
      <c r="B4640">
        <v>4637</v>
      </c>
      <c r="F4640" s="64" t="s">
        <v>6796</v>
      </c>
      <c r="G4640" s="64"/>
      <c r="H4640" s="64"/>
      <c r="I4640" s="64">
        <v>0</v>
      </c>
      <c r="N4640" s="4">
        <v>0</v>
      </c>
      <c r="O4640" s="58">
        <v>0</v>
      </c>
      <c r="P4640" s="58">
        <v>0</v>
      </c>
      <c r="Q4640" s="58">
        <v>0</v>
      </c>
      <c r="R4640" s="58">
        <v>0</v>
      </c>
      <c r="S4640" s="58">
        <v>0</v>
      </c>
      <c r="T4640" s="58">
        <v>0</v>
      </c>
      <c r="U4640" s="58">
        <v>0</v>
      </c>
      <c r="V4640" s="58">
        <v>0</v>
      </c>
      <c r="AM4640" s="1" t="str">
        <f t="shared" si="218"/>
        <v>4638_C0005_0457.jpg</v>
      </c>
    </row>
    <row r="4641" spans="1:39" x14ac:dyDescent="0.35">
      <c r="A4641">
        <v>4637</v>
      </c>
      <c r="B4641">
        <v>4638</v>
      </c>
      <c r="F4641" s="64" t="s">
        <v>6797</v>
      </c>
      <c r="G4641" s="64"/>
      <c r="H4641" s="64"/>
      <c r="I4641" s="64">
        <v>0</v>
      </c>
      <c r="N4641" s="4">
        <v>0</v>
      </c>
      <c r="O4641" s="58">
        <v>0</v>
      </c>
      <c r="P4641" s="58">
        <v>0</v>
      </c>
      <c r="Q4641" s="58">
        <v>0</v>
      </c>
      <c r="R4641" s="58">
        <v>0</v>
      </c>
      <c r="S4641" s="58">
        <v>0</v>
      </c>
      <c r="T4641" s="58">
        <v>0</v>
      </c>
      <c r="U4641" s="58">
        <v>0</v>
      </c>
      <c r="V4641" s="58">
        <v>0</v>
      </c>
      <c r="AM4641" s="1" t="str">
        <f t="shared" si="218"/>
        <v>4639_C0005_0454.jpg</v>
      </c>
    </row>
    <row r="4642" spans="1:39" x14ac:dyDescent="0.35">
      <c r="A4642">
        <v>4638</v>
      </c>
      <c r="B4642">
        <v>4639</v>
      </c>
      <c r="F4642" s="64" t="s">
        <v>6798</v>
      </c>
      <c r="G4642" s="64"/>
      <c r="H4642" s="64"/>
      <c r="I4642" s="64">
        <v>0</v>
      </c>
      <c r="N4642" s="4">
        <v>0</v>
      </c>
      <c r="O4642" s="58">
        <v>0</v>
      </c>
      <c r="P4642" s="58">
        <v>0</v>
      </c>
      <c r="Q4642" s="58">
        <v>0</v>
      </c>
      <c r="R4642" s="58">
        <v>0</v>
      </c>
      <c r="S4642" s="58">
        <v>0</v>
      </c>
      <c r="T4642" s="58">
        <v>0</v>
      </c>
      <c r="U4642" s="58">
        <v>0</v>
      </c>
      <c r="V4642" s="58">
        <v>0</v>
      </c>
      <c r="AM4642" s="1" t="str">
        <f t="shared" si="218"/>
        <v>4640_C0005_0450.jpg</v>
      </c>
    </row>
    <row r="4643" spans="1:39" x14ac:dyDescent="0.35">
      <c r="A4643">
        <v>4639</v>
      </c>
      <c r="B4643">
        <v>4640</v>
      </c>
      <c r="F4643" s="64" t="s">
        <v>6799</v>
      </c>
      <c r="G4643" s="64"/>
      <c r="H4643" s="64"/>
      <c r="I4643" s="64">
        <v>0</v>
      </c>
      <c r="N4643" s="4">
        <v>0</v>
      </c>
      <c r="O4643" s="58">
        <v>0</v>
      </c>
      <c r="P4643" s="58">
        <v>0</v>
      </c>
      <c r="Q4643" s="58">
        <v>0</v>
      </c>
      <c r="R4643" s="58">
        <v>0</v>
      </c>
      <c r="S4643" s="58">
        <v>0</v>
      </c>
      <c r="T4643" s="58">
        <v>0</v>
      </c>
      <c r="U4643" s="58">
        <v>0</v>
      </c>
      <c r="V4643" s="58">
        <v>0</v>
      </c>
      <c r="AM4643" s="1" t="str">
        <f t="shared" si="218"/>
        <v>4641_C0005_0447.jpg</v>
      </c>
    </row>
    <row r="4644" spans="1:39" x14ac:dyDescent="0.35">
      <c r="A4644">
        <v>4640</v>
      </c>
      <c r="B4644">
        <v>4641</v>
      </c>
      <c r="F4644" s="64" t="s">
        <v>6800</v>
      </c>
      <c r="G4644" s="64"/>
      <c r="H4644" s="64"/>
      <c r="I4644" s="64">
        <v>0</v>
      </c>
      <c r="N4644" s="4">
        <v>0</v>
      </c>
      <c r="O4644" s="58">
        <v>0</v>
      </c>
      <c r="P4644" s="58">
        <v>0</v>
      </c>
      <c r="Q4644" s="58">
        <v>0</v>
      </c>
      <c r="R4644" s="58">
        <v>0</v>
      </c>
      <c r="S4644" s="58">
        <v>0</v>
      </c>
      <c r="T4644" s="58">
        <v>0</v>
      </c>
      <c r="U4644" s="58">
        <v>0</v>
      </c>
      <c r="V4644" s="58">
        <v>0</v>
      </c>
      <c r="AM4644" s="1" t="str">
        <f t="shared" si="218"/>
        <v>4642_C0005_0444.jpg</v>
      </c>
    </row>
    <row r="4645" spans="1:39" x14ac:dyDescent="0.35">
      <c r="A4645">
        <v>4641</v>
      </c>
      <c r="B4645">
        <v>4642</v>
      </c>
      <c r="F4645" s="64" t="s">
        <v>6801</v>
      </c>
      <c r="G4645" s="64"/>
      <c r="H4645" s="64"/>
      <c r="I4645" s="64">
        <v>0</v>
      </c>
      <c r="N4645" s="4">
        <v>0</v>
      </c>
      <c r="O4645" s="58">
        <v>0</v>
      </c>
      <c r="P4645" s="58">
        <v>0</v>
      </c>
      <c r="Q4645" s="58">
        <v>0</v>
      </c>
      <c r="R4645" s="58">
        <v>0</v>
      </c>
      <c r="S4645" s="58">
        <v>0</v>
      </c>
      <c r="T4645" s="58">
        <v>0</v>
      </c>
      <c r="U4645" s="58">
        <v>0</v>
      </c>
      <c r="V4645" s="58">
        <v>0</v>
      </c>
      <c r="AM4645" s="1" t="str">
        <f t="shared" si="218"/>
        <v>4643_C0005_0440.jpg</v>
      </c>
    </row>
    <row r="4646" spans="1:39" x14ac:dyDescent="0.35">
      <c r="A4646">
        <v>4642</v>
      </c>
      <c r="B4646">
        <v>4643</v>
      </c>
      <c r="F4646" s="64" t="s">
        <v>6802</v>
      </c>
      <c r="G4646" s="64"/>
      <c r="H4646" s="64"/>
      <c r="I4646" s="64">
        <v>0</v>
      </c>
      <c r="N4646" s="4">
        <v>0</v>
      </c>
      <c r="O4646" s="58">
        <v>0</v>
      </c>
      <c r="P4646" s="58">
        <v>0</v>
      </c>
      <c r="Q4646" s="58">
        <v>0</v>
      </c>
      <c r="R4646" s="58">
        <v>0</v>
      </c>
      <c r="S4646" s="58">
        <v>0</v>
      </c>
      <c r="T4646" s="58">
        <v>0</v>
      </c>
      <c r="U4646" s="58">
        <v>0</v>
      </c>
      <c r="V4646" s="58">
        <v>0</v>
      </c>
      <c r="AM4646" s="1" t="str">
        <f t="shared" si="218"/>
        <v>4644_C0005_0436.jpg</v>
      </c>
    </row>
    <row r="4647" spans="1:39" x14ac:dyDescent="0.35">
      <c r="A4647">
        <v>4643</v>
      </c>
      <c r="B4647">
        <v>4644</v>
      </c>
      <c r="F4647" s="64" t="s">
        <v>6803</v>
      </c>
      <c r="G4647" s="64"/>
      <c r="H4647" s="64"/>
      <c r="I4647" s="64">
        <v>0</v>
      </c>
      <c r="N4647" s="4">
        <v>0</v>
      </c>
      <c r="O4647" s="58">
        <v>0</v>
      </c>
      <c r="P4647" s="58">
        <v>0</v>
      </c>
      <c r="Q4647" s="58">
        <v>0</v>
      </c>
      <c r="R4647" s="58">
        <v>0</v>
      </c>
      <c r="S4647" s="58">
        <v>0</v>
      </c>
      <c r="T4647" s="58">
        <v>0</v>
      </c>
      <c r="U4647" s="58">
        <v>0</v>
      </c>
      <c r="V4647" s="58">
        <v>0</v>
      </c>
      <c r="AM4647" s="1" t="str">
        <f t="shared" si="218"/>
        <v>4645_C0005_0433.jpg</v>
      </c>
    </row>
    <row r="4648" spans="1:39" x14ac:dyDescent="0.35">
      <c r="A4648">
        <v>4644</v>
      </c>
      <c r="B4648">
        <v>4645</v>
      </c>
      <c r="F4648" s="64" t="s">
        <v>6804</v>
      </c>
      <c r="G4648" s="64"/>
      <c r="H4648" s="64"/>
      <c r="I4648" s="64">
        <v>0</v>
      </c>
      <c r="N4648" s="4">
        <v>0</v>
      </c>
      <c r="O4648" s="58">
        <v>0</v>
      </c>
      <c r="P4648" s="58">
        <v>0</v>
      </c>
      <c r="Q4648" s="58">
        <v>0</v>
      </c>
      <c r="R4648" s="58">
        <v>0</v>
      </c>
      <c r="S4648" s="58">
        <v>0</v>
      </c>
      <c r="T4648" s="58">
        <v>0</v>
      </c>
      <c r="U4648" s="58">
        <v>0</v>
      </c>
      <c r="V4648" s="58">
        <v>0</v>
      </c>
      <c r="AM4648" s="1" t="str">
        <f t="shared" si="218"/>
        <v>4646_C0005_0430.jpg</v>
      </c>
    </row>
    <row r="4649" spans="1:39" x14ac:dyDescent="0.35">
      <c r="A4649">
        <v>4645</v>
      </c>
      <c r="B4649">
        <v>4646</v>
      </c>
      <c r="F4649" s="64" t="s">
        <v>6805</v>
      </c>
      <c r="G4649" s="64"/>
      <c r="H4649" s="64"/>
      <c r="I4649" s="64">
        <v>0</v>
      </c>
      <c r="N4649" s="4">
        <v>0</v>
      </c>
      <c r="O4649" s="58">
        <v>0</v>
      </c>
      <c r="P4649" s="58">
        <v>0</v>
      </c>
      <c r="Q4649" s="58">
        <v>0</v>
      </c>
      <c r="R4649" s="58">
        <v>0</v>
      </c>
      <c r="S4649" s="58">
        <v>0</v>
      </c>
      <c r="T4649" s="58">
        <v>0</v>
      </c>
      <c r="U4649" s="58">
        <v>0</v>
      </c>
      <c r="V4649" s="58">
        <v>0</v>
      </c>
      <c r="AM4649" s="1" t="str">
        <f t="shared" si="218"/>
        <v>4647_C0005_0428.jpg</v>
      </c>
    </row>
    <row r="4650" spans="1:39" x14ac:dyDescent="0.35">
      <c r="A4650">
        <v>4646</v>
      </c>
      <c r="B4650">
        <v>4647</v>
      </c>
      <c r="F4650" s="64" t="s">
        <v>6806</v>
      </c>
      <c r="G4650" s="64"/>
      <c r="H4650" s="64"/>
      <c r="I4650" s="64">
        <v>0</v>
      </c>
      <c r="N4650" s="4">
        <v>0</v>
      </c>
      <c r="O4650" s="58">
        <v>0</v>
      </c>
      <c r="P4650" s="58">
        <v>0</v>
      </c>
      <c r="Q4650" s="58">
        <v>0</v>
      </c>
      <c r="R4650" s="58">
        <v>0</v>
      </c>
      <c r="S4650" s="58">
        <v>0</v>
      </c>
      <c r="T4650" s="58">
        <v>0</v>
      </c>
      <c r="U4650" s="58">
        <v>0</v>
      </c>
      <c r="V4650" s="58">
        <v>0</v>
      </c>
      <c r="AM4650" s="1" t="str">
        <f t="shared" si="218"/>
        <v>4648_C0005_0426.jpg</v>
      </c>
    </row>
    <row r="4651" spans="1:39" x14ac:dyDescent="0.35">
      <c r="A4651">
        <v>4647</v>
      </c>
      <c r="B4651">
        <v>4648</v>
      </c>
      <c r="F4651" s="64" t="s">
        <v>6807</v>
      </c>
      <c r="G4651" s="64"/>
      <c r="H4651" s="64"/>
      <c r="I4651" s="64">
        <v>0</v>
      </c>
      <c r="N4651" s="4">
        <v>0</v>
      </c>
      <c r="O4651" s="58">
        <v>0</v>
      </c>
      <c r="P4651" s="58">
        <v>0</v>
      </c>
      <c r="Q4651" s="58">
        <v>0</v>
      </c>
      <c r="R4651" s="58">
        <v>0</v>
      </c>
      <c r="S4651" s="58">
        <v>0</v>
      </c>
      <c r="T4651" s="58">
        <v>0</v>
      </c>
      <c r="U4651" s="58">
        <v>0</v>
      </c>
      <c r="V4651" s="58">
        <v>0</v>
      </c>
      <c r="AM4651" s="1" t="str">
        <f t="shared" si="218"/>
        <v>4649_C0005_0424.jpg</v>
      </c>
    </row>
    <row r="4652" spans="1:39" x14ac:dyDescent="0.35">
      <c r="A4652">
        <v>4648</v>
      </c>
      <c r="B4652">
        <v>4649</v>
      </c>
      <c r="F4652" s="64" t="s">
        <v>6808</v>
      </c>
      <c r="G4652" s="64"/>
      <c r="H4652" s="64"/>
      <c r="I4652" s="64">
        <v>0</v>
      </c>
      <c r="N4652" s="4">
        <v>0</v>
      </c>
      <c r="O4652" s="58">
        <v>0</v>
      </c>
      <c r="P4652" s="58">
        <v>0</v>
      </c>
      <c r="Q4652" s="58">
        <v>0</v>
      </c>
      <c r="R4652" s="58">
        <v>0</v>
      </c>
      <c r="S4652" s="58">
        <v>0</v>
      </c>
      <c r="T4652" s="58">
        <v>0</v>
      </c>
      <c r="U4652" s="58">
        <v>0</v>
      </c>
      <c r="V4652" s="58">
        <v>0</v>
      </c>
      <c r="AM4652" s="1" t="str">
        <f t="shared" si="218"/>
        <v>4650_C0005_0423.jpg</v>
      </c>
    </row>
    <row r="4653" spans="1:39" x14ac:dyDescent="0.35">
      <c r="A4653">
        <v>4649</v>
      </c>
      <c r="B4653">
        <v>4650</v>
      </c>
      <c r="F4653" s="64" t="s">
        <v>6809</v>
      </c>
      <c r="G4653" s="64"/>
      <c r="H4653" s="64"/>
      <c r="I4653" s="64">
        <v>0</v>
      </c>
      <c r="N4653" s="4">
        <v>0</v>
      </c>
      <c r="O4653" s="58">
        <v>0</v>
      </c>
      <c r="P4653" s="58">
        <v>0</v>
      </c>
      <c r="Q4653" s="58">
        <v>0</v>
      </c>
      <c r="R4653" s="58">
        <v>0</v>
      </c>
      <c r="S4653" s="58">
        <v>0</v>
      </c>
      <c r="T4653" s="58">
        <v>0</v>
      </c>
      <c r="U4653" s="58">
        <v>0</v>
      </c>
      <c r="V4653" s="58">
        <v>0</v>
      </c>
      <c r="AM4653" s="1" t="str">
        <f t="shared" si="218"/>
        <v>4651_C0005_0421.jpg</v>
      </c>
    </row>
    <row r="4654" spans="1:39" x14ac:dyDescent="0.35">
      <c r="A4654">
        <v>4650</v>
      </c>
      <c r="B4654">
        <v>4651</v>
      </c>
      <c r="F4654" s="64" t="s">
        <v>6810</v>
      </c>
      <c r="G4654" s="64"/>
      <c r="H4654" s="64"/>
      <c r="I4654" s="64">
        <v>0</v>
      </c>
      <c r="N4654" s="4">
        <v>0</v>
      </c>
      <c r="O4654" s="58">
        <v>0</v>
      </c>
      <c r="P4654" s="58">
        <v>0</v>
      </c>
      <c r="Q4654" s="58">
        <v>0</v>
      </c>
      <c r="R4654" s="58">
        <v>1</v>
      </c>
      <c r="S4654" s="58">
        <v>0</v>
      </c>
      <c r="T4654" s="58">
        <v>0</v>
      </c>
      <c r="U4654" s="58">
        <v>0</v>
      </c>
      <c r="V4654" s="58">
        <v>0</v>
      </c>
      <c r="AM4654" s="1" t="str">
        <f t="shared" si="218"/>
        <v>4652_C0005_0420.jpg</v>
      </c>
    </row>
    <row r="4655" spans="1:39" x14ac:dyDescent="0.35">
      <c r="A4655">
        <v>4651</v>
      </c>
      <c r="B4655">
        <v>4652</v>
      </c>
      <c r="F4655" s="64" t="s">
        <v>6811</v>
      </c>
      <c r="G4655" s="64"/>
      <c r="H4655" s="64"/>
      <c r="I4655" s="64">
        <v>0</v>
      </c>
      <c r="N4655" s="4">
        <v>0</v>
      </c>
      <c r="O4655" s="58">
        <v>0</v>
      </c>
      <c r="P4655" s="58">
        <v>0</v>
      </c>
      <c r="Q4655" s="58">
        <v>0</v>
      </c>
      <c r="R4655" s="58">
        <v>0</v>
      </c>
      <c r="S4655" s="58">
        <v>0</v>
      </c>
      <c r="T4655" s="58">
        <v>0</v>
      </c>
      <c r="U4655" s="58">
        <v>0</v>
      </c>
      <c r="V4655" s="58">
        <v>0</v>
      </c>
      <c r="AM4655" s="1" t="str">
        <f t="shared" si="218"/>
        <v>4653_C0005_0419.jpg</v>
      </c>
    </row>
    <row r="4656" spans="1:39" x14ac:dyDescent="0.35">
      <c r="A4656">
        <v>4652</v>
      </c>
      <c r="B4656">
        <v>4653</v>
      </c>
      <c r="F4656" s="64" t="s">
        <v>6812</v>
      </c>
      <c r="G4656" s="64"/>
      <c r="H4656" s="64"/>
      <c r="I4656" s="64">
        <v>0</v>
      </c>
      <c r="N4656" s="4">
        <v>0</v>
      </c>
      <c r="O4656" s="58">
        <v>0</v>
      </c>
      <c r="P4656" s="58">
        <v>0</v>
      </c>
      <c r="Q4656" s="58">
        <v>0</v>
      </c>
      <c r="R4656" s="58">
        <v>0</v>
      </c>
      <c r="S4656" s="58">
        <v>0</v>
      </c>
      <c r="T4656" s="58">
        <v>0</v>
      </c>
      <c r="U4656" s="58">
        <v>0</v>
      </c>
      <c r="V4656" s="58">
        <v>0</v>
      </c>
      <c r="AM4656" s="1"/>
    </row>
    <row r="4657" spans="1:39" x14ac:dyDescent="0.35">
      <c r="A4657">
        <v>4653</v>
      </c>
      <c r="B4657">
        <v>4654</v>
      </c>
      <c r="F4657" s="64"/>
      <c r="G4657" s="64"/>
      <c r="H4657" s="64" t="s">
        <v>26</v>
      </c>
      <c r="I4657" s="64"/>
      <c r="N4657" s="4"/>
      <c r="AM4657" s="1"/>
    </row>
    <row r="4658" spans="1:39" x14ac:dyDescent="0.35">
      <c r="A4658">
        <v>4654</v>
      </c>
      <c r="B4658">
        <v>4655</v>
      </c>
      <c r="F4658" s="64"/>
      <c r="G4658" s="64"/>
      <c r="H4658" s="64" t="s">
        <v>26</v>
      </c>
      <c r="I4658" s="64"/>
      <c r="N4658" s="4"/>
      <c r="AM4658" s="1" t="str">
        <f t="shared" ref="AM4658:AM4689" si="219">HYPERLINK("E:\CAFNEC_GBRF\2023\JohnstoneRiver\Frames_for_Analysis\" &amp; F4659, F4659)</f>
        <v>4656_C0005_0418.jpg</v>
      </c>
    </row>
    <row r="4659" spans="1:39" x14ac:dyDescent="0.35">
      <c r="A4659">
        <v>4655</v>
      </c>
      <c r="B4659">
        <v>4656</v>
      </c>
      <c r="F4659" s="64" t="s">
        <v>6813</v>
      </c>
      <c r="G4659" s="64"/>
      <c r="H4659" s="64"/>
      <c r="I4659" s="64">
        <v>0</v>
      </c>
      <c r="N4659" s="4">
        <v>0</v>
      </c>
      <c r="O4659" s="58">
        <v>0</v>
      </c>
      <c r="P4659" s="58">
        <v>0</v>
      </c>
      <c r="Q4659" s="58">
        <v>0</v>
      </c>
      <c r="R4659" s="58">
        <v>0</v>
      </c>
      <c r="S4659" s="58">
        <v>0</v>
      </c>
      <c r="T4659" s="58">
        <v>0</v>
      </c>
      <c r="U4659" s="58">
        <v>0</v>
      </c>
      <c r="V4659" s="58">
        <v>0</v>
      </c>
      <c r="AM4659" s="1" t="str">
        <f t="shared" si="219"/>
        <v>4657_C0005_0416.jpg</v>
      </c>
    </row>
    <row r="4660" spans="1:39" x14ac:dyDescent="0.35">
      <c r="A4660">
        <v>4656</v>
      </c>
      <c r="B4660">
        <v>4657</v>
      </c>
      <c r="F4660" s="64" t="s">
        <v>6814</v>
      </c>
      <c r="G4660" s="64"/>
      <c r="H4660" s="64"/>
      <c r="I4660" s="64">
        <v>0</v>
      </c>
      <c r="N4660" s="4">
        <v>0</v>
      </c>
      <c r="O4660" s="58">
        <v>0</v>
      </c>
      <c r="P4660" s="58">
        <v>0</v>
      </c>
      <c r="Q4660" s="58">
        <v>0</v>
      </c>
      <c r="R4660" s="58">
        <v>0</v>
      </c>
      <c r="S4660" s="58">
        <v>0</v>
      </c>
      <c r="T4660" s="58">
        <v>0</v>
      </c>
      <c r="U4660" s="58">
        <v>0</v>
      </c>
      <c r="V4660" s="58">
        <v>0</v>
      </c>
      <c r="AM4660" s="1" t="str">
        <f t="shared" si="219"/>
        <v>4658_C0005_0414.jpg</v>
      </c>
    </row>
    <row r="4661" spans="1:39" x14ac:dyDescent="0.35">
      <c r="A4661">
        <v>4657</v>
      </c>
      <c r="B4661">
        <v>4658</v>
      </c>
      <c r="F4661" s="64" t="s">
        <v>6815</v>
      </c>
      <c r="G4661" s="64"/>
      <c r="H4661" s="64"/>
      <c r="I4661" s="64">
        <v>0</v>
      </c>
      <c r="N4661" s="4">
        <v>0</v>
      </c>
      <c r="O4661" s="58">
        <v>0</v>
      </c>
      <c r="P4661" s="58">
        <v>0</v>
      </c>
      <c r="Q4661" s="58">
        <v>0</v>
      </c>
      <c r="R4661" s="58">
        <v>0</v>
      </c>
      <c r="S4661" s="58">
        <v>0</v>
      </c>
      <c r="T4661" s="58">
        <v>0</v>
      </c>
      <c r="U4661" s="58">
        <v>0</v>
      </c>
      <c r="V4661" s="58">
        <v>0</v>
      </c>
      <c r="AM4661" s="1" t="str">
        <f t="shared" si="219"/>
        <v>4659_C0005_0411.jpg</v>
      </c>
    </row>
    <row r="4662" spans="1:39" x14ac:dyDescent="0.35">
      <c r="A4662">
        <v>4658</v>
      </c>
      <c r="B4662">
        <v>4659</v>
      </c>
      <c r="F4662" s="64" t="s">
        <v>6816</v>
      </c>
      <c r="G4662" s="64"/>
      <c r="H4662" s="64"/>
      <c r="I4662" s="64">
        <v>0</v>
      </c>
      <c r="N4662" s="4">
        <v>0</v>
      </c>
      <c r="O4662" s="58">
        <v>0</v>
      </c>
      <c r="P4662" s="58">
        <v>0</v>
      </c>
      <c r="Q4662" s="58">
        <v>0</v>
      </c>
      <c r="R4662" s="58">
        <v>0</v>
      </c>
      <c r="S4662" s="58">
        <v>0</v>
      </c>
      <c r="T4662" s="58">
        <v>0</v>
      </c>
      <c r="U4662" s="58">
        <v>0</v>
      </c>
      <c r="V4662" s="58">
        <v>0</v>
      </c>
      <c r="AM4662" s="1" t="str">
        <f t="shared" si="219"/>
        <v>4660_C0005_0408.jpg</v>
      </c>
    </row>
    <row r="4663" spans="1:39" x14ac:dyDescent="0.35">
      <c r="A4663">
        <v>4659</v>
      </c>
      <c r="B4663">
        <v>4660</v>
      </c>
      <c r="F4663" s="64" t="s">
        <v>6817</v>
      </c>
      <c r="G4663" s="64"/>
      <c r="H4663" s="64"/>
      <c r="I4663" s="64">
        <v>0</v>
      </c>
      <c r="N4663" s="4">
        <v>0</v>
      </c>
      <c r="O4663" s="58">
        <v>0</v>
      </c>
      <c r="P4663" s="58">
        <v>0</v>
      </c>
      <c r="Q4663" s="58">
        <v>0</v>
      </c>
      <c r="R4663" s="58">
        <v>0</v>
      </c>
      <c r="S4663" s="58">
        <v>0</v>
      </c>
      <c r="T4663" s="58">
        <v>0</v>
      </c>
      <c r="U4663" s="58">
        <v>0</v>
      </c>
      <c r="V4663" s="58">
        <v>0</v>
      </c>
      <c r="AM4663" s="1" t="str">
        <f t="shared" si="219"/>
        <v>4661_C0005_0404.jpg</v>
      </c>
    </row>
    <row r="4664" spans="1:39" x14ac:dyDescent="0.35">
      <c r="A4664">
        <v>4660</v>
      </c>
      <c r="B4664">
        <v>4661</v>
      </c>
      <c r="F4664" s="64" t="s">
        <v>6818</v>
      </c>
      <c r="G4664" s="64"/>
      <c r="H4664" s="64"/>
      <c r="I4664" s="64">
        <v>0</v>
      </c>
      <c r="N4664" s="4">
        <v>0</v>
      </c>
      <c r="O4664" s="58">
        <v>0</v>
      </c>
      <c r="P4664" s="58">
        <v>0</v>
      </c>
      <c r="Q4664" s="58">
        <v>0</v>
      </c>
      <c r="R4664" s="58">
        <v>0</v>
      </c>
      <c r="S4664" s="58">
        <v>0</v>
      </c>
      <c r="T4664" s="58">
        <v>0</v>
      </c>
      <c r="U4664" s="58">
        <v>0</v>
      </c>
      <c r="V4664" s="58">
        <v>0</v>
      </c>
      <c r="AM4664" s="1" t="str">
        <f t="shared" si="219"/>
        <v>4662_C0005_0401.jpg</v>
      </c>
    </row>
    <row r="4665" spans="1:39" x14ac:dyDescent="0.35">
      <c r="A4665">
        <v>4661</v>
      </c>
      <c r="B4665">
        <v>4662</v>
      </c>
      <c r="F4665" s="64" t="s">
        <v>6819</v>
      </c>
      <c r="G4665" s="64"/>
      <c r="H4665" s="64"/>
      <c r="I4665" s="64">
        <v>0</v>
      </c>
      <c r="N4665" s="4">
        <v>0</v>
      </c>
      <c r="O4665" s="58">
        <v>0</v>
      </c>
      <c r="P4665" s="58">
        <v>0</v>
      </c>
      <c r="Q4665" s="58">
        <v>0</v>
      </c>
      <c r="R4665" s="58">
        <v>0</v>
      </c>
      <c r="S4665" s="58">
        <v>0</v>
      </c>
      <c r="T4665" s="58">
        <v>0</v>
      </c>
      <c r="U4665" s="58">
        <v>0</v>
      </c>
      <c r="V4665" s="58">
        <v>0</v>
      </c>
      <c r="AM4665" s="1" t="str">
        <f t="shared" si="219"/>
        <v>4663_C0005_0398.jpg</v>
      </c>
    </row>
    <row r="4666" spans="1:39" x14ac:dyDescent="0.35">
      <c r="A4666">
        <v>4662</v>
      </c>
      <c r="B4666">
        <v>4663</v>
      </c>
      <c r="F4666" s="64" t="s">
        <v>6820</v>
      </c>
      <c r="G4666" s="64"/>
      <c r="H4666" s="64"/>
      <c r="I4666" s="64">
        <v>0</v>
      </c>
      <c r="N4666" s="4">
        <v>0</v>
      </c>
      <c r="O4666" s="58">
        <v>0</v>
      </c>
      <c r="P4666" s="58">
        <v>0</v>
      </c>
      <c r="Q4666" s="58">
        <v>0</v>
      </c>
      <c r="R4666" s="58">
        <v>0</v>
      </c>
      <c r="S4666" s="58">
        <v>0</v>
      </c>
      <c r="T4666" s="58">
        <v>0</v>
      </c>
      <c r="U4666" s="58">
        <v>0</v>
      </c>
      <c r="V4666" s="58">
        <v>0</v>
      </c>
      <c r="AM4666" s="1" t="str">
        <f t="shared" si="219"/>
        <v>4664_C0005_0391.jpg</v>
      </c>
    </row>
    <row r="4667" spans="1:39" x14ac:dyDescent="0.35">
      <c r="A4667">
        <v>4663</v>
      </c>
      <c r="B4667">
        <v>4664</v>
      </c>
      <c r="F4667" s="64" t="s">
        <v>6821</v>
      </c>
      <c r="G4667" s="64"/>
      <c r="H4667" s="64"/>
      <c r="I4667" s="64">
        <v>0</v>
      </c>
      <c r="N4667" s="4">
        <v>0</v>
      </c>
      <c r="O4667" s="58">
        <v>0</v>
      </c>
      <c r="P4667" s="58">
        <v>0</v>
      </c>
      <c r="Q4667" s="58">
        <v>0</v>
      </c>
      <c r="R4667" s="58">
        <v>0</v>
      </c>
      <c r="S4667" s="58">
        <v>0</v>
      </c>
      <c r="T4667" s="58">
        <v>0</v>
      </c>
      <c r="U4667" s="58">
        <v>0</v>
      </c>
      <c r="V4667" s="58">
        <v>0</v>
      </c>
      <c r="AM4667" s="1" t="str">
        <f t="shared" si="219"/>
        <v>4665_C0005_0387.jpg</v>
      </c>
    </row>
    <row r="4668" spans="1:39" x14ac:dyDescent="0.35">
      <c r="A4668">
        <v>4664</v>
      </c>
      <c r="B4668">
        <v>4665</v>
      </c>
      <c r="F4668" s="64" t="s">
        <v>6822</v>
      </c>
      <c r="G4668" s="64"/>
      <c r="H4668" s="64"/>
      <c r="I4668" s="64">
        <v>0</v>
      </c>
      <c r="N4668" s="4">
        <v>0</v>
      </c>
      <c r="O4668" s="58">
        <v>0</v>
      </c>
      <c r="P4668" s="58">
        <v>0</v>
      </c>
      <c r="Q4668" s="58">
        <v>0</v>
      </c>
      <c r="R4668" s="58">
        <v>0</v>
      </c>
      <c r="S4668" s="58">
        <v>0</v>
      </c>
      <c r="T4668" s="58">
        <v>0</v>
      </c>
      <c r="U4668" s="58">
        <v>0</v>
      </c>
      <c r="V4668" s="58">
        <v>0</v>
      </c>
      <c r="AM4668" s="1" t="str">
        <f t="shared" si="219"/>
        <v>4666_C0005_0383.jpg</v>
      </c>
    </row>
    <row r="4669" spans="1:39" x14ac:dyDescent="0.35">
      <c r="A4669">
        <v>4665</v>
      </c>
      <c r="B4669">
        <v>4666</v>
      </c>
      <c r="F4669" s="64" t="s">
        <v>6823</v>
      </c>
      <c r="G4669" s="64"/>
      <c r="H4669" s="64"/>
      <c r="I4669" s="64">
        <v>0</v>
      </c>
      <c r="N4669" s="4">
        <v>0</v>
      </c>
      <c r="O4669" s="58">
        <v>0</v>
      </c>
      <c r="P4669" s="58">
        <v>0</v>
      </c>
      <c r="Q4669" s="58">
        <v>0</v>
      </c>
      <c r="R4669" s="58">
        <v>0</v>
      </c>
      <c r="S4669" s="58">
        <v>0</v>
      </c>
      <c r="T4669" s="58">
        <v>0</v>
      </c>
      <c r="U4669" s="58">
        <v>0</v>
      </c>
      <c r="V4669" s="58">
        <v>0</v>
      </c>
      <c r="AM4669" s="1" t="str">
        <f t="shared" si="219"/>
        <v>4667_C0005_0379.jpg</v>
      </c>
    </row>
    <row r="4670" spans="1:39" x14ac:dyDescent="0.35">
      <c r="A4670">
        <v>4666</v>
      </c>
      <c r="B4670">
        <v>4667</v>
      </c>
      <c r="F4670" s="64" t="s">
        <v>6824</v>
      </c>
      <c r="G4670" s="64"/>
      <c r="H4670" s="64"/>
      <c r="I4670" s="64">
        <v>0</v>
      </c>
      <c r="N4670" s="4">
        <v>0</v>
      </c>
      <c r="O4670" s="58">
        <v>0</v>
      </c>
      <c r="P4670" s="58">
        <v>0</v>
      </c>
      <c r="Q4670" s="58">
        <v>0</v>
      </c>
      <c r="R4670" s="58">
        <v>0</v>
      </c>
      <c r="S4670" s="58">
        <v>0</v>
      </c>
      <c r="T4670" s="58">
        <v>0</v>
      </c>
      <c r="U4670" s="58">
        <v>0</v>
      </c>
      <c r="V4670" s="58">
        <v>0</v>
      </c>
      <c r="AM4670" s="1" t="str">
        <f t="shared" si="219"/>
        <v>4668_C0005_0376.jpg</v>
      </c>
    </row>
    <row r="4671" spans="1:39" x14ac:dyDescent="0.35">
      <c r="A4671">
        <v>4667</v>
      </c>
      <c r="B4671">
        <v>4668</v>
      </c>
      <c r="F4671" s="64" t="s">
        <v>6825</v>
      </c>
      <c r="G4671" s="64"/>
      <c r="H4671" s="64"/>
      <c r="I4671" s="64">
        <v>0</v>
      </c>
      <c r="N4671" s="4">
        <v>0</v>
      </c>
      <c r="O4671" s="58">
        <v>0</v>
      </c>
      <c r="P4671" s="58">
        <v>0</v>
      </c>
      <c r="Q4671" s="58">
        <v>0</v>
      </c>
      <c r="R4671" s="58">
        <v>0</v>
      </c>
      <c r="S4671" s="58">
        <v>0</v>
      </c>
      <c r="T4671" s="58">
        <v>0</v>
      </c>
      <c r="U4671" s="58">
        <v>0</v>
      </c>
      <c r="V4671" s="58">
        <v>0</v>
      </c>
      <c r="AM4671" s="1" t="str">
        <f t="shared" si="219"/>
        <v>4669_C0005_0372.jpg</v>
      </c>
    </row>
    <row r="4672" spans="1:39" x14ac:dyDescent="0.35">
      <c r="A4672">
        <v>4668</v>
      </c>
      <c r="B4672">
        <v>4669</v>
      </c>
      <c r="F4672" s="64" t="s">
        <v>6826</v>
      </c>
      <c r="G4672" s="64"/>
      <c r="H4672" s="64"/>
      <c r="I4672" s="64">
        <v>0</v>
      </c>
      <c r="N4672" s="4">
        <v>0</v>
      </c>
      <c r="O4672" s="58">
        <v>0</v>
      </c>
      <c r="P4672" s="58">
        <v>0</v>
      </c>
      <c r="Q4672" s="58">
        <v>0</v>
      </c>
      <c r="R4672" s="58">
        <v>0</v>
      </c>
      <c r="S4672" s="58">
        <v>0</v>
      </c>
      <c r="T4672" s="58">
        <v>0</v>
      </c>
      <c r="U4672" s="58">
        <v>0</v>
      </c>
      <c r="V4672" s="58">
        <v>0</v>
      </c>
      <c r="AM4672" s="1" t="str">
        <f t="shared" si="219"/>
        <v>4670_C0005_0369.jpg</v>
      </c>
    </row>
    <row r="4673" spans="1:39" x14ac:dyDescent="0.35">
      <c r="A4673">
        <v>4669</v>
      </c>
      <c r="B4673">
        <v>4670</v>
      </c>
      <c r="F4673" s="64" t="s">
        <v>6827</v>
      </c>
      <c r="G4673" s="64"/>
      <c r="H4673" s="64"/>
      <c r="I4673" s="64">
        <v>0</v>
      </c>
      <c r="N4673" s="4">
        <v>0</v>
      </c>
      <c r="O4673" s="58">
        <v>0</v>
      </c>
      <c r="P4673" s="58">
        <v>0</v>
      </c>
      <c r="Q4673" s="58">
        <v>0</v>
      </c>
      <c r="R4673" s="58">
        <v>0</v>
      </c>
      <c r="S4673" s="58">
        <v>0</v>
      </c>
      <c r="T4673" s="58">
        <v>0</v>
      </c>
      <c r="U4673" s="58">
        <v>0</v>
      </c>
      <c r="V4673" s="58">
        <v>0</v>
      </c>
      <c r="AM4673" s="1" t="str">
        <f t="shared" si="219"/>
        <v>4671_C0005_0366.jpg</v>
      </c>
    </row>
    <row r="4674" spans="1:39" x14ac:dyDescent="0.35">
      <c r="A4674">
        <v>4670</v>
      </c>
      <c r="B4674">
        <v>4671</v>
      </c>
      <c r="F4674" s="64" t="s">
        <v>6828</v>
      </c>
      <c r="G4674" s="64"/>
      <c r="H4674" s="64"/>
      <c r="I4674" s="64">
        <v>0</v>
      </c>
      <c r="N4674" s="4">
        <v>0</v>
      </c>
      <c r="O4674" s="58">
        <v>0</v>
      </c>
      <c r="P4674" s="58">
        <v>0</v>
      </c>
      <c r="Q4674" s="58">
        <v>0</v>
      </c>
      <c r="R4674" s="58">
        <v>0</v>
      </c>
      <c r="S4674" s="58">
        <v>0</v>
      </c>
      <c r="T4674" s="58">
        <v>0</v>
      </c>
      <c r="U4674" s="58">
        <v>0</v>
      </c>
      <c r="V4674" s="58">
        <v>0</v>
      </c>
      <c r="AM4674" s="1" t="str">
        <f t="shared" si="219"/>
        <v>4672_C0005_0364.jpg</v>
      </c>
    </row>
    <row r="4675" spans="1:39" x14ac:dyDescent="0.35">
      <c r="A4675">
        <v>4671</v>
      </c>
      <c r="B4675">
        <v>4672</v>
      </c>
      <c r="F4675" s="64" t="s">
        <v>6829</v>
      </c>
      <c r="G4675" s="64"/>
      <c r="H4675" s="64"/>
      <c r="I4675" s="64">
        <v>0</v>
      </c>
      <c r="N4675" s="4">
        <v>0</v>
      </c>
      <c r="O4675" s="58">
        <v>0</v>
      </c>
      <c r="P4675" s="58">
        <v>0</v>
      </c>
      <c r="Q4675" s="58">
        <v>0</v>
      </c>
      <c r="R4675" s="58">
        <v>0</v>
      </c>
      <c r="S4675" s="58">
        <v>0</v>
      </c>
      <c r="T4675" s="58">
        <v>0</v>
      </c>
      <c r="U4675" s="58">
        <v>0</v>
      </c>
      <c r="V4675" s="58">
        <v>0</v>
      </c>
      <c r="AM4675" s="1" t="str">
        <f t="shared" si="219"/>
        <v>4673_C0005_0361.jpg</v>
      </c>
    </row>
    <row r="4676" spans="1:39" x14ac:dyDescent="0.35">
      <c r="A4676">
        <v>4672</v>
      </c>
      <c r="B4676">
        <v>4673</v>
      </c>
      <c r="F4676" s="64" t="s">
        <v>6830</v>
      </c>
      <c r="G4676" s="64"/>
      <c r="H4676" s="64"/>
      <c r="I4676" s="64">
        <v>0</v>
      </c>
      <c r="N4676" s="4">
        <v>0</v>
      </c>
      <c r="O4676" s="58">
        <v>0</v>
      </c>
      <c r="P4676" s="58">
        <v>0</v>
      </c>
      <c r="Q4676" s="58">
        <v>0</v>
      </c>
      <c r="R4676" s="58">
        <v>0</v>
      </c>
      <c r="S4676" s="58">
        <v>0</v>
      </c>
      <c r="T4676" s="58">
        <v>0</v>
      </c>
      <c r="U4676" s="58">
        <v>0</v>
      </c>
      <c r="V4676" s="58">
        <v>0</v>
      </c>
      <c r="AM4676" s="1" t="str">
        <f t="shared" si="219"/>
        <v>4674_C0005_0357.jpg</v>
      </c>
    </row>
    <row r="4677" spans="1:39" x14ac:dyDescent="0.35">
      <c r="A4677">
        <v>4673</v>
      </c>
      <c r="B4677">
        <v>4674</v>
      </c>
      <c r="F4677" s="64" t="s">
        <v>6831</v>
      </c>
      <c r="G4677" s="64"/>
      <c r="H4677" s="64"/>
      <c r="I4677" s="64">
        <v>0</v>
      </c>
      <c r="N4677" s="4">
        <v>0</v>
      </c>
      <c r="O4677" s="58">
        <v>0</v>
      </c>
      <c r="P4677" s="58">
        <v>0</v>
      </c>
      <c r="Q4677" s="58">
        <v>0</v>
      </c>
      <c r="R4677" s="58">
        <v>0</v>
      </c>
      <c r="S4677" s="58">
        <v>0</v>
      </c>
      <c r="T4677" s="58">
        <v>0</v>
      </c>
      <c r="U4677" s="58">
        <v>0</v>
      </c>
      <c r="V4677" s="58">
        <v>0</v>
      </c>
      <c r="AM4677" s="1" t="str">
        <f t="shared" si="219"/>
        <v>4675_C0005_0355.jpg</v>
      </c>
    </row>
    <row r="4678" spans="1:39" x14ac:dyDescent="0.35">
      <c r="A4678">
        <v>4674</v>
      </c>
      <c r="B4678">
        <v>4675</v>
      </c>
      <c r="F4678" s="64" t="s">
        <v>6832</v>
      </c>
      <c r="G4678" s="64"/>
      <c r="H4678" s="64"/>
      <c r="I4678" s="64">
        <v>0</v>
      </c>
      <c r="N4678" s="4">
        <v>0</v>
      </c>
      <c r="O4678" s="58">
        <v>0</v>
      </c>
      <c r="P4678" s="58">
        <v>0</v>
      </c>
      <c r="Q4678" s="58">
        <v>0</v>
      </c>
      <c r="R4678" s="58">
        <v>0</v>
      </c>
      <c r="S4678" s="58">
        <v>0</v>
      </c>
      <c r="T4678" s="58">
        <v>0</v>
      </c>
      <c r="U4678" s="58">
        <v>0</v>
      </c>
      <c r="V4678" s="58">
        <v>0</v>
      </c>
      <c r="AM4678" s="1" t="str">
        <f t="shared" si="219"/>
        <v>4676_C0005_0352.jpg</v>
      </c>
    </row>
    <row r="4679" spans="1:39" x14ac:dyDescent="0.35">
      <c r="A4679">
        <v>4675</v>
      </c>
      <c r="B4679">
        <v>4676</v>
      </c>
      <c r="F4679" s="64" t="s">
        <v>6833</v>
      </c>
      <c r="G4679" s="64"/>
      <c r="H4679" s="64"/>
      <c r="I4679" s="64">
        <v>0</v>
      </c>
      <c r="N4679" s="4">
        <v>0</v>
      </c>
      <c r="O4679" s="58">
        <v>0</v>
      </c>
      <c r="P4679" s="58">
        <v>0</v>
      </c>
      <c r="Q4679" s="58">
        <v>0</v>
      </c>
      <c r="R4679" s="58">
        <v>0</v>
      </c>
      <c r="S4679" s="58">
        <v>0</v>
      </c>
      <c r="T4679" s="58">
        <v>0</v>
      </c>
      <c r="U4679" s="58">
        <v>0</v>
      </c>
      <c r="V4679" s="58">
        <v>0</v>
      </c>
      <c r="AM4679" s="1" t="str">
        <f t="shared" si="219"/>
        <v>4677_C0005_0349.jpg</v>
      </c>
    </row>
    <row r="4680" spans="1:39" x14ac:dyDescent="0.35">
      <c r="A4680">
        <v>4676</v>
      </c>
      <c r="B4680">
        <v>4677</v>
      </c>
      <c r="F4680" s="64" t="s">
        <v>6834</v>
      </c>
      <c r="G4680" s="64"/>
      <c r="H4680" s="64"/>
      <c r="I4680" s="64">
        <v>0</v>
      </c>
      <c r="N4680" s="4">
        <v>0</v>
      </c>
      <c r="O4680" s="58">
        <v>0</v>
      </c>
      <c r="P4680" s="58">
        <v>0</v>
      </c>
      <c r="Q4680" s="58">
        <v>0</v>
      </c>
      <c r="R4680" s="58">
        <v>0</v>
      </c>
      <c r="S4680" s="58">
        <v>0</v>
      </c>
      <c r="T4680" s="58">
        <v>0</v>
      </c>
      <c r="U4680" s="58">
        <v>0</v>
      </c>
      <c r="V4680" s="58">
        <v>0</v>
      </c>
      <c r="AM4680" s="1" t="str">
        <f t="shared" si="219"/>
        <v>4678_C0005_0346.jpg</v>
      </c>
    </row>
    <row r="4681" spans="1:39" x14ac:dyDescent="0.35">
      <c r="A4681">
        <v>4677</v>
      </c>
      <c r="B4681">
        <v>4678</v>
      </c>
      <c r="F4681" s="64" t="s">
        <v>6835</v>
      </c>
      <c r="G4681" s="64"/>
      <c r="H4681" s="64"/>
      <c r="I4681" s="64">
        <v>0</v>
      </c>
      <c r="N4681" s="4">
        <v>0</v>
      </c>
      <c r="O4681" s="58">
        <v>0</v>
      </c>
      <c r="P4681" s="58">
        <v>0</v>
      </c>
      <c r="Q4681" s="58">
        <v>0</v>
      </c>
      <c r="R4681" s="58">
        <v>0</v>
      </c>
      <c r="S4681" s="58">
        <v>0</v>
      </c>
      <c r="T4681" s="58">
        <v>0</v>
      </c>
      <c r="U4681" s="58">
        <v>0</v>
      </c>
      <c r="V4681" s="58">
        <v>0</v>
      </c>
      <c r="AM4681" s="1" t="str">
        <f t="shared" si="219"/>
        <v>4679_C0005_0343.jpg</v>
      </c>
    </row>
    <row r="4682" spans="1:39" x14ac:dyDescent="0.35">
      <c r="A4682">
        <v>4678</v>
      </c>
      <c r="B4682">
        <v>4679</v>
      </c>
      <c r="F4682" s="64" t="s">
        <v>6836</v>
      </c>
      <c r="G4682" s="64"/>
      <c r="H4682" s="64"/>
      <c r="I4682" s="64">
        <v>0</v>
      </c>
      <c r="N4682" s="4">
        <v>0</v>
      </c>
      <c r="O4682" s="58">
        <v>0</v>
      </c>
      <c r="P4682" s="58">
        <v>0</v>
      </c>
      <c r="Q4682" s="58">
        <v>0</v>
      </c>
      <c r="R4682" s="58">
        <v>0</v>
      </c>
      <c r="S4682" s="58">
        <v>0</v>
      </c>
      <c r="T4682" s="58">
        <v>0</v>
      </c>
      <c r="U4682" s="58">
        <v>0</v>
      </c>
      <c r="V4682" s="58">
        <v>0</v>
      </c>
      <c r="AM4682" s="1" t="str">
        <f t="shared" si="219"/>
        <v>4680_C0005_0340.jpg</v>
      </c>
    </row>
    <row r="4683" spans="1:39" x14ac:dyDescent="0.35">
      <c r="A4683">
        <v>4679</v>
      </c>
      <c r="B4683">
        <v>4680</v>
      </c>
      <c r="F4683" s="64" t="s">
        <v>6837</v>
      </c>
      <c r="G4683" s="64"/>
      <c r="H4683" s="64"/>
      <c r="I4683" s="64">
        <v>0</v>
      </c>
      <c r="N4683" s="4">
        <v>0</v>
      </c>
      <c r="O4683" s="58">
        <v>0</v>
      </c>
      <c r="P4683" s="58">
        <v>0</v>
      </c>
      <c r="Q4683" s="58">
        <v>0</v>
      </c>
      <c r="R4683" s="58">
        <v>0</v>
      </c>
      <c r="S4683" s="58">
        <v>0</v>
      </c>
      <c r="T4683" s="58">
        <v>0</v>
      </c>
      <c r="U4683" s="58">
        <v>0</v>
      </c>
      <c r="V4683" s="58">
        <v>0</v>
      </c>
      <c r="AM4683" s="1" t="str">
        <f t="shared" si="219"/>
        <v>4681_C0005_0337.jpg</v>
      </c>
    </row>
    <row r="4684" spans="1:39" x14ac:dyDescent="0.35">
      <c r="A4684">
        <v>4680</v>
      </c>
      <c r="B4684">
        <v>4681</v>
      </c>
      <c r="F4684" s="64" t="s">
        <v>6838</v>
      </c>
      <c r="G4684" s="64"/>
      <c r="H4684" s="64"/>
      <c r="I4684" s="64">
        <v>0</v>
      </c>
      <c r="N4684" s="4">
        <v>0</v>
      </c>
      <c r="O4684" s="58">
        <v>0</v>
      </c>
      <c r="P4684" s="58">
        <v>0</v>
      </c>
      <c r="Q4684" s="58">
        <v>0</v>
      </c>
      <c r="R4684" s="58">
        <v>0</v>
      </c>
      <c r="S4684" s="58">
        <v>0</v>
      </c>
      <c r="T4684" s="58">
        <v>0</v>
      </c>
      <c r="U4684" s="58">
        <v>0</v>
      </c>
      <c r="V4684" s="58">
        <v>0</v>
      </c>
      <c r="AM4684" s="1" t="str">
        <f t="shared" si="219"/>
        <v>4682_C0005_0334.jpg</v>
      </c>
    </row>
    <row r="4685" spans="1:39" x14ac:dyDescent="0.35">
      <c r="A4685">
        <v>4681</v>
      </c>
      <c r="B4685">
        <v>4682</v>
      </c>
      <c r="F4685" s="64" t="s">
        <v>6839</v>
      </c>
      <c r="G4685" s="64"/>
      <c r="H4685" s="64"/>
      <c r="I4685" s="64">
        <v>0</v>
      </c>
      <c r="N4685" s="4">
        <v>0</v>
      </c>
      <c r="O4685" s="58">
        <v>0</v>
      </c>
      <c r="P4685" s="58">
        <v>0</v>
      </c>
      <c r="Q4685" s="58">
        <v>0</v>
      </c>
      <c r="R4685" s="58">
        <v>0</v>
      </c>
      <c r="S4685" s="58">
        <v>0</v>
      </c>
      <c r="T4685" s="58">
        <v>0</v>
      </c>
      <c r="U4685" s="58">
        <v>0</v>
      </c>
      <c r="V4685" s="58">
        <v>0</v>
      </c>
      <c r="AM4685" s="1" t="str">
        <f t="shared" si="219"/>
        <v>4683_C0005_0332.jpg</v>
      </c>
    </row>
    <row r="4686" spans="1:39" x14ac:dyDescent="0.35">
      <c r="A4686">
        <v>4682</v>
      </c>
      <c r="B4686">
        <v>4683</v>
      </c>
      <c r="F4686" s="64" t="s">
        <v>6840</v>
      </c>
      <c r="G4686" s="64"/>
      <c r="H4686" s="64"/>
      <c r="I4686" s="64">
        <v>0</v>
      </c>
      <c r="N4686" s="4">
        <v>0</v>
      </c>
      <c r="O4686" s="58">
        <v>0</v>
      </c>
      <c r="P4686" s="58">
        <v>0</v>
      </c>
      <c r="Q4686" s="58">
        <v>0</v>
      </c>
      <c r="R4686" s="58">
        <v>0</v>
      </c>
      <c r="S4686" s="58">
        <v>0</v>
      </c>
      <c r="T4686" s="58">
        <v>0</v>
      </c>
      <c r="U4686" s="58">
        <v>0</v>
      </c>
      <c r="V4686" s="58">
        <v>0</v>
      </c>
      <c r="AM4686" s="1" t="str">
        <f t="shared" si="219"/>
        <v>4684_C0005_0328.jpg</v>
      </c>
    </row>
    <row r="4687" spans="1:39" x14ac:dyDescent="0.35">
      <c r="A4687">
        <v>4683</v>
      </c>
      <c r="B4687">
        <v>4684</v>
      </c>
      <c r="F4687" s="64" t="s">
        <v>6841</v>
      </c>
      <c r="G4687" s="64"/>
      <c r="H4687" s="64"/>
      <c r="I4687" s="64">
        <v>0</v>
      </c>
      <c r="N4687" s="4">
        <v>0</v>
      </c>
      <c r="O4687" s="58">
        <v>0</v>
      </c>
      <c r="P4687" s="58">
        <v>0</v>
      </c>
      <c r="Q4687" s="58">
        <v>0</v>
      </c>
      <c r="R4687" s="58">
        <v>0</v>
      </c>
      <c r="S4687" s="58">
        <v>0</v>
      </c>
      <c r="T4687" s="58">
        <v>0</v>
      </c>
      <c r="U4687" s="58">
        <v>0</v>
      </c>
      <c r="V4687" s="58">
        <v>0</v>
      </c>
      <c r="AM4687" s="1" t="str">
        <f t="shared" si="219"/>
        <v>4685_C0005_0326.jpg</v>
      </c>
    </row>
    <row r="4688" spans="1:39" x14ac:dyDescent="0.35">
      <c r="A4688">
        <v>4684</v>
      </c>
      <c r="B4688">
        <v>4685</v>
      </c>
      <c r="F4688" s="64" t="s">
        <v>6842</v>
      </c>
      <c r="G4688" s="64"/>
      <c r="H4688" s="64"/>
      <c r="I4688" s="64">
        <v>0</v>
      </c>
      <c r="N4688" s="4">
        <v>0</v>
      </c>
      <c r="O4688" s="58">
        <v>0</v>
      </c>
      <c r="P4688" s="58">
        <v>0</v>
      </c>
      <c r="Q4688" s="58">
        <v>0</v>
      </c>
      <c r="R4688" s="58">
        <v>0</v>
      </c>
      <c r="S4688" s="58">
        <v>0</v>
      </c>
      <c r="T4688" s="58">
        <v>0</v>
      </c>
      <c r="U4688" s="58">
        <v>0</v>
      </c>
      <c r="V4688" s="58">
        <v>0</v>
      </c>
      <c r="AM4688" s="1" t="str">
        <f t="shared" si="219"/>
        <v>4686_C0005_0324.jpg</v>
      </c>
    </row>
    <row r="4689" spans="1:39" x14ac:dyDescent="0.35">
      <c r="A4689">
        <v>4685</v>
      </c>
      <c r="B4689">
        <v>4686</v>
      </c>
      <c r="F4689" s="64" t="s">
        <v>6843</v>
      </c>
      <c r="G4689" s="64"/>
      <c r="H4689" s="64"/>
      <c r="I4689" s="64">
        <v>0</v>
      </c>
      <c r="N4689" s="4">
        <v>0</v>
      </c>
      <c r="O4689" s="58">
        <v>0</v>
      </c>
      <c r="P4689" s="58">
        <v>0</v>
      </c>
      <c r="Q4689" s="58">
        <v>0</v>
      </c>
      <c r="R4689" s="58">
        <v>0</v>
      </c>
      <c r="S4689" s="58">
        <v>0</v>
      </c>
      <c r="T4689" s="58">
        <v>0</v>
      </c>
      <c r="U4689" s="58">
        <v>0</v>
      </c>
      <c r="V4689" s="58">
        <v>0</v>
      </c>
      <c r="AM4689" s="1" t="str">
        <f t="shared" si="219"/>
        <v>4687_C0005_0322.jpg</v>
      </c>
    </row>
    <row r="4690" spans="1:39" x14ac:dyDescent="0.35">
      <c r="A4690">
        <v>4686</v>
      </c>
      <c r="B4690">
        <v>4687</v>
      </c>
      <c r="F4690" s="64" t="s">
        <v>6844</v>
      </c>
      <c r="G4690" s="64"/>
      <c r="H4690" s="64"/>
      <c r="I4690" s="64">
        <v>0</v>
      </c>
      <c r="N4690" s="4">
        <v>0</v>
      </c>
      <c r="O4690" s="58">
        <v>0</v>
      </c>
      <c r="P4690" s="58">
        <v>0</v>
      </c>
      <c r="Q4690" s="58">
        <v>0</v>
      </c>
      <c r="R4690" s="58">
        <v>0</v>
      </c>
      <c r="S4690" s="58">
        <v>0</v>
      </c>
      <c r="T4690" s="58">
        <v>0</v>
      </c>
      <c r="U4690" s="58">
        <v>0</v>
      </c>
      <c r="V4690" s="58">
        <v>0</v>
      </c>
      <c r="AM4690" s="1" t="str">
        <f t="shared" ref="AM4690:AM4721" si="220">HYPERLINK("E:\CAFNEC_GBRF\2023\JohnstoneRiver\Frames_for_Analysis\" &amp; F4691, F4691)</f>
        <v>4688_C0005_0319.jpg</v>
      </c>
    </row>
    <row r="4691" spans="1:39" x14ac:dyDescent="0.35">
      <c r="A4691">
        <v>4687</v>
      </c>
      <c r="B4691">
        <v>4688</v>
      </c>
      <c r="F4691" s="64" t="s">
        <v>6845</v>
      </c>
      <c r="G4691" s="64"/>
      <c r="H4691" s="64"/>
      <c r="I4691" s="64">
        <v>0</v>
      </c>
      <c r="N4691" s="4">
        <v>0</v>
      </c>
      <c r="O4691" s="58">
        <v>0</v>
      </c>
      <c r="P4691" s="58">
        <v>0</v>
      </c>
      <c r="Q4691" s="58">
        <v>0</v>
      </c>
      <c r="R4691" s="58">
        <v>0</v>
      </c>
      <c r="S4691" s="58">
        <v>0</v>
      </c>
      <c r="T4691" s="58">
        <v>0</v>
      </c>
      <c r="U4691" s="58">
        <v>0</v>
      </c>
      <c r="V4691" s="58">
        <v>0</v>
      </c>
      <c r="AM4691" s="1" t="str">
        <f t="shared" si="220"/>
        <v>4689_C0005_0315.jpg</v>
      </c>
    </row>
    <row r="4692" spans="1:39" x14ac:dyDescent="0.35">
      <c r="A4692">
        <v>4688</v>
      </c>
      <c r="B4692">
        <v>4689</v>
      </c>
      <c r="F4692" s="64" t="s">
        <v>6846</v>
      </c>
      <c r="G4692" s="64"/>
      <c r="H4692" s="64"/>
      <c r="I4692" s="64">
        <v>0</v>
      </c>
      <c r="N4692" s="4">
        <v>0</v>
      </c>
      <c r="O4692" s="58">
        <v>1</v>
      </c>
      <c r="P4692" s="58">
        <v>0</v>
      </c>
      <c r="Q4692" s="58">
        <v>0</v>
      </c>
      <c r="R4692" s="58">
        <v>0</v>
      </c>
      <c r="S4692" s="58">
        <v>0</v>
      </c>
      <c r="T4692" s="58">
        <v>0</v>
      </c>
      <c r="U4692" s="58">
        <v>0</v>
      </c>
      <c r="V4692" s="58">
        <v>0</v>
      </c>
      <c r="AM4692" s="1" t="str">
        <f t="shared" si="220"/>
        <v>4690_C0005_0312.jpg</v>
      </c>
    </row>
    <row r="4693" spans="1:39" x14ac:dyDescent="0.35">
      <c r="A4693">
        <v>4689</v>
      </c>
      <c r="B4693">
        <v>4690</v>
      </c>
      <c r="F4693" s="64" t="s">
        <v>6847</v>
      </c>
      <c r="G4693" s="64"/>
      <c r="H4693" s="64"/>
      <c r="I4693" s="64">
        <v>0</v>
      </c>
      <c r="N4693" s="4">
        <v>0</v>
      </c>
      <c r="O4693" s="58">
        <v>0</v>
      </c>
      <c r="P4693" s="58">
        <v>0</v>
      </c>
      <c r="Q4693" s="58">
        <v>0</v>
      </c>
      <c r="R4693" s="58">
        <v>0</v>
      </c>
      <c r="S4693" s="58">
        <v>0</v>
      </c>
      <c r="T4693" s="58">
        <v>0</v>
      </c>
      <c r="U4693" s="58">
        <v>0</v>
      </c>
      <c r="V4693" s="58">
        <v>0</v>
      </c>
      <c r="AM4693" s="1" t="str">
        <f t="shared" si="220"/>
        <v>4691_C0005_0309.jpg</v>
      </c>
    </row>
    <row r="4694" spans="1:39" x14ac:dyDescent="0.35">
      <c r="A4694">
        <v>4690</v>
      </c>
      <c r="B4694">
        <v>4691</v>
      </c>
      <c r="F4694" s="64" t="s">
        <v>6848</v>
      </c>
      <c r="G4694" s="64"/>
      <c r="H4694" s="64"/>
      <c r="I4694" s="64">
        <v>0</v>
      </c>
      <c r="N4694" s="4">
        <v>0</v>
      </c>
      <c r="O4694" s="58">
        <v>0</v>
      </c>
      <c r="P4694" s="58">
        <v>0</v>
      </c>
      <c r="Q4694" s="58">
        <v>0</v>
      </c>
      <c r="R4694" s="58">
        <v>0</v>
      </c>
      <c r="S4694" s="58">
        <v>0</v>
      </c>
      <c r="T4694" s="58">
        <v>0</v>
      </c>
      <c r="U4694" s="58">
        <v>0</v>
      </c>
      <c r="V4694" s="58">
        <v>0</v>
      </c>
      <c r="AM4694" s="1" t="str">
        <f t="shared" si="220"/>
        <v>4692_C0005_0306.jpg</v>
      </c>
    </row>
    <row r="4695" spans="1:39" x14ac:dyDescent="0.35">
      <c r="A4695">
        <v>4691</v>
      </c>
      <c r="B4695">
        <v>4692</v>
      </c>
      <c r="F4695" s="64" t="s">
        <v>6849</v>
      </c>
      <c r="G4695" s="64"/>
      <c r="H4695" s="64"/>
      <c r="I4695" s="64">
        <v>0</v>
      </c>
      <c r="N4695" s="4">
        <v>0</v>
      </c>
      <c r="O4695" s="58">
        <v>0</v>
      </c>
      <c r="P4695" s="58">
        <v>0</v>
      </c>
      <c r="Q4695" s="58">
        <v>0</v>
      </c>
      <c r="R4695" s="58">
        <v>0</v>
      </c>
      <c r="S4695" s="58">
        <v>0</v>
      </c>
      <c r="T4695" s="58">
        <v>0</v>
      </c>
      <c r="U4695" s="58">
        <v>0</v>
      </c>
      <c r="V4695" s="58">
        <v>0</v>
      </c>
      <c r="AM4695" s="1" t="str">
        <f t="shared" si="220"/>
        <v>4693_C0005_0302.jpg</v>
      </c>
    </row>
    <row r="4696" spans="1:39" x14ac:dyDescent="0.35">
      <c r="A4696">
        <v>4692</v>
      </c>
      <c r="B4696">
        <v>4693</v>
      </c>
      <c r="F4696" s="64" t="s">
        <v>6850</v>
      </c>
      <c r="G4696" s="64"/>
      <c r="H4696" s="64"/>
      <c r="I4696" s="64">
        <v>0</v>
      </c>
      <c r="N4696" s="4">
        <v>0</v>
      </c>
      <c r="O4696" s="58">
        <v>0</v>
      </c>
      <c r="P4696" s="58">
        <v>0</v>
      </c>
      <c r="Q4696" s="58">
        <v>0</v>
      </c>
      <c r="R4696" s="58">
        <v>0</v>
      </c>
      <c r="S4696" s="58">
        <v>0</v>
      </c>
      <c r="T4696" s="58">
        <v>0</v>
      </c>
      <c r="U4696" s="58">
        <v>0</v>
      </c>
      <c r="V4696" s="58">
        <v>0</v>
      </c>
      <c r="AM4696" s="1" t="str">
        <f t="shared" si="220"/>
        <v>4694_C0005_0298.jpg</v>
      </c>
    </row>
    <row r="4697" spans="1:39" x14ac:dyDescent="0.35">
      <c r="A4697">
        <v>4693</v>
      </c>
      <c r="B4697">
        <v>4694</v>
      </c>
      <c r="F4697" s="64" t="s">
        <v>6851</v>
      </c>
      <c r="G4697" s="64"/>
      <c r="H4697" s="64"/>
      <c r="I4697" s="64">
        <v>0</v>
      </c>
      <c r="N4697" s="4">
        <v>0</v>
      </c>
      <c r="O4697" s="58">
        <v>0</v>
      </c>
      <c r="P4697" s="58">
        <v>0</v>
      </c>
      <c r="Q4697" s="58">
        <v>0</v>
      </c>
      <c r="R4697" s="58">
        <v>1</v>
      </c>
      <c r="S4697" s="58">
        <v>0</v>
      </c>
      <c r="T4697" s="58">
        <v>0</v>
      </c>
      <c r="U4697" s="58">
        <v>0</v>
      </c>
      <c r="V4697" s="58">
        <v>0</v>
      </c>
      <c r="AM4697" s="1" t="str">
        <f t="shared" si="220"/>
        <v>4695_C0005_0294.jpg</v>
      </c>
    </row>
    <row r="4698" spans="1:39" x14ac:dyDescent="0.35">
      <c r="A4698">
        <v>4694</v>
      </c>
      <c r="B4698">
        <v>4695</v>
      </c>
      <c r="F4698" s="64" t="s">
        <v>6852</v>
      </c>
      <c r="G4698" s="64"/>
      <c r="H4698" s="64"/>
      <c r="I4698" s="64">
        <v>0</v>
      </c>
      <c r="N4698" s="4">
        <v>0</v>
      </c>
      <c r="O4698" s="58">
        <v>0</v>
      </c>
      <c r="P4698" s="58">
        <v>0</v>
      </c>
      <c r="Q4698" s="58">
        <v>0</v>
      </c>
      <c r="R4698" s="58">
        <v>0</v>
      </c>
      <c r="S4698" s="58">
        <v>0</v>
      </c>
      <c r="T4698" s="58">
        <v>0</v>
      </c>
      <c r="U4698" s="58">
        <v>0</v>
      </c>
      <c r="V4698" s="58">
        <v>0</v>
      </c>
      <c r="AM4698" s="1" t="str">
        <f t="shared" si="220"/>
        <v>4696_C0005_0290.jpg</v>
      </c>
    </row>
    <row r="4699" spans="1:39" x14ac:dyDescent="0.35">
      <c r="A4699">
        <v>4695</v>
      </c>
      <c r="B4699">
        <v>4696</v>
      </c>
      <c r="F4699" s="64" t="s">
        <v>6853</v>
      </c>
      <c r="G4699" s="64"/>
      <c r="H4699" s="64"/>
      <c r="I4699" s="64">
        <v>0</v>
      </c>
      <c r="N4699" s="4">
        <v>0</v>
      </c>
      <c r="O4699" s="58">
        <v>0</v>
      </c>
      <c r="P4699" s="58">
        <v>0</v>
      </c>
      <c r="Q4699" s="58">
        <v>0</v>
      </c>
      <c r="R4699" s="58">
        <v>0</v>
      </c>
      <c r="S4699" s="58">
        <v>0</v>
      </c>
      <c r="T4699" s="58">
        <v>0</v>
      </c>
      <c r="U4699" s="58">
        <v>0</v>
      </c>
      <c r="V4699" s="58">
        <v>0</v>
      </c>
      <c r="AM4699" s="1" t="str">
        <f t="shared" si="220"/>
        <v>4697_C0005_0287.jpg</v>
      </c>
    </row>
    <row r="4700" spans="1:39" x14ac:dyDescent="0.35">
      <c r="A4700">
        <v>4696</v>
      </c>
      <c r="B4700">
        <v>4697</v>
      </c>
      <c r="F4700" s="64" t="s">
        <v>6854</v>
      </c>
      <c r="G4700" s="64"/>
      <c r="H4700" s="64"/>
      <c r="I4700" s="64">
        <v>0</v>
      </c>
      <c r="N4700" s="4">
        <v>0</v>
      </c>
      <c r="O4700" s="58">
        <v>0</v>
      </c>
      <c r="P4700" s="58">
        <v>0</v>
      </c>
      <c r="Q4700" s="58">
        <v>0</v>
      </c>
      <c r="R4700" s="58">
        <v>0</v>
      </c>
      <c r="S4700" s="58">
        <v>0</v>
      </c>
      <c r="T4700" s="58">
        <v>0</v>
      </c>
      <c r="U4700" s="58">
        <v>0</v>
      </c>
      <c r="V4700" s="58">
        <v>0</v>
      </c>
      <c r="AM4700" s="1" t="str">
        <f t="shared" si="220"/>
        <v>4698_C0005_0281.jpg</v>
      </c>
    </row>
    <row r="4701" spans="1:39" x14ac:dyDescent="0.35">
      <c r="A4701">
        <v>4697</v>
      </c>
      <c r="B4701">
        <v>4698</v>
      </c>
      <c r="F4701" s="64" t="s">
        <v>6855</v>
      </c>
      <c r="G4701" s="64"/>
      <c r="H4701" s="64"/>
      <c r="I4701" s="64">
        <v>0</v>
      </c>
      <c r="N4701" s="4">
        <v>0</v>
      </c>
      <c r="O4701" s="58">
        <v>0</v>
      </c>
      <c r="P4701" s="58">
        <v>0</v>
      </c>
      <c r="Q4701" s="58">
        <v>0</v>
      </c>
      <c r="R4701" s="58">
        <v>0</v>
      </c>
      <c r="S4701" s="58">
        <v>0</v>
      </c>
      <c r="T4701" s="58">
        <v>0</v>
      </c>
      <c r="U4701" s="58">
        <v>0</v>
      </c>
      <c r="V4701" s="58">
        <v>0</v>
      </c>
      <c r="AM4701" s="1" t="str">
        <f t="shared" si="220"/>
        <v>4699_C0005_0278.jpg</v>
      </c>
    </row>
    <row r="4702" spans="1:39" x14ac:dyDescent="0.35">
      <c r="A4702">
        <v>4698</v>
      </c>
      <c r="B4702">
        <v>4699</v>
      </c>
      <c r="F4702" s="64" t="s">
        <v>6856</v>
      </c>
      <c r="G4702" s="64"/>
      <c r="H4702" s="64"/>
      <c r="I4702" s="64">
        <v>0</v>
      </c>
      <c r="N4702" s="4">
        <v>0</v>
      </c>
      <c r="O4702" s="58">
        <v>0</v>
      </c>
      <c r="P4702" s="58">
        <v>0</v>
      </c>
      <c r="Q4702" s="58">
        <v>0</v>
      </c>
      <c r="R4702" s="58">
        <v>0</v>
      </c>
      <c r="S4702" s="58">
        <v>0</v>
      </c>
      <c r="T4702" s="58">
        <v>0</v>
      </c>
      <c r="U4702" s="58">
        <v>0</v>
      </c>
      <c r="V4702" s="58">
        <v>0</v>
      </c>
      <c r="AM4702" s="1" t="str">
        <f t="shared" si="220"/>
        <v>4700_C0005_0273.jpg</v>
      </c>
    </row>
    <row r="4703" spans="1:39" x14ac:dyDescent="0.35">
      <c r="A4703">
        <v>4699</v>
      </c>
      <c r="B4703">
        <v>4700</v>
      </c>
      <c r="F4703" s="64" t="s">
        <v>6857</v>
      </c>
      <c r="G4703" s="64"/>
      <c r="H4703" s="64"/>
      <c r="I4703" s="64">
        <v>0</v>
      </c>
      <c r="N4703" s="4">
        <v>0</v>
      </c>
      <c r="O4703" s="58">
        <v>0</v>
      </c>
      <c r="P4703" s="58">
        <v>0</v>
      </c>
      <c r="Q4703" s="58">
        <v>0</v>
      </c>
      <c r="R4703" s="58">
        <v>0</v>
      </c>
      <c r="S4703" s="58">
        <v>0</v>
      </c>
      <c r="T4703" s="58">
        <v>0</v>
      </c>
      <c r="U4703" s="58">
        <v>0</v>
      </c>
      <c r="V4703" s="58">
        <v>0</v>
      </c>
      <c r="AM4703" s="1" t="str">
        <f t="shared" si="220"/>
        <v>4701_C0005_0269.jpg</v>
      </c>
    </row>
    <row r="4704" spans="1:39" x14ac:dyDescent="0.35">
      <c r="A4704">
        <v>4700</v>
      </c>
      <c r="B4704">
        <v>4701</v>
      </c>
      <c r="F4704" s="64" t="s">
        <v>6858</v>
      </c>
      <c r="G4704" s="64"/>
      <c r="H4704" s="64"/>
      <c r="I4704" s="64">
        <v>0</v>
      </c>
      <c r="N4704" s="4">
        <v>0</v>
      </c>
      <c r="O4704" s="58">
        <v>0</v>
      </c>
      <c r="P4704" s="58">
        <v>0</v>
      </c>
      <c r="Q4704" s="58">
        <v>0</v>
      </c>
      <c r="R4704" s="58">
        <v>0</v>
      </c>
      <c r="S4704" s="58">
        <v>0</v>
      </c>
      <c r="T4704" s="58">
        <v>0</v>
      </c>
      <c r="U4704" s="58">
        <v>0</v>
      </c>
      <c r="V4704" s="58">
        <v>0</v>
      </c>
      <c r="AM4704" s="1" t="str">
        <f t="shared" si="220"/>
        <v>4702_C0005_0264.jpg</v>
      </c>
    </row>
    <row r="4705" spans="1:39" x14ac:dyDescent="0.35">
      <c r="A4705">
        <v>4701</v>
      </c>
      <c r="B4705">
        <v>4702</v>
      </c>
      <c r="F4705" s="64" t="s">
        <v>6859</v>
      </c>
      <c r="G4705" s="64"/>
      <c r="H4705" s="64"/>
      <c r="I4705" s="64">
        <v>0</v>
      </c>
      <c r="N4705" s="4">
        <v>0</v>
      </c>
      <c r="O4705" s="58">
        <v>0</v>
      </c>
      <c r="P4705" s="58">
        <v>0</v>
      </c>
      <c r="Q4705" s="58">
        <v>0</v>
      </c>
      <c r="R4705" s="58">
        <v>0</v>
      </c>
      <c r="S4705" s="58">
        <v>0</v>
      </c>
      <c r="T4705" s="58">
        <v>0</v>
      </c>
      <c r="U4705" s="58">
        <v>0</v>
      </c>
      <c r="V4705" s="58">
        <v>0</v>
      </c>
      <c r="AM4705" s="1" t="str">
        <f t="shared" si="220"/>
        <v>4703_C0005_0260.jpg</v>
      </c>
    </row>
    <row r="4706" spans="1:39" x14ac:dyDescent="0.35">
      <c r="A4706">
        <v>4702</v>
      </c>
      <c r="B4706">
        <v>4703</v>
      </c>
      <c r="F4706" s="64" t="s">
        <v>6860</v>
      </c>
      <c r="G4706" s="64"/>
      <c r="H4706" s="64"/>
      <c r="I4706" s="64">
        <v>0</v>
      </c>
      <c r="N4706" s="4">
        <v>0</v>
      </c>
      <c r="O4706" s="58">
        <v>0</v>
      </c>
      <c r="P4706" s="58">
        <v>0</v>
      </c>
      <c r="Q4706" s="58">
        <v>0</v>
      </c>
      <c r="R4706" s="58">
        <v>0</v>
      </c>
      <c r="S4706" s="58">
        <v>0</v>
      </c>
      <c r="T4706" s="58">
        <v>0</v>
      </c>
      <c r="U4706" s="58">
        <v>0</v>
      </c>
      <c r="V4706" s="58">
        <v>0</v>
      </c>
      <c r="AM4706" s="1" t="str">
        <f t="shared" si="220"/>
        <v>4704_C0005_0258.jpg</v>
      </c>
    </row>
    <row r="4707" spans="1:39" x14ac:dyDescent="0.35">
      <c r="A4707">
        <v>4703</v>
      </c>
      <c r="B4707">
        <v>4704</v>
      </c>
      <c r="F4707" s="64" t="s">
        <v>6861</v>
      </c>
      <c r="G4707" s="64"/>
      <c r="H4707" s="64"/>
      <c r="I4707" s="64">
        <v>0</v>
      </c>
      <c r="N4707" s="4">
        <v>0</v>
      </c>
      <c r="O4707" s="58">
        <v>0</v>
      </c>
      <c r="P4707" s="58">
        <v>0</v>
      </c>
      <c r="Q4707" s="58">
        <v>0</v>
      </c>
      <c r="R4707" s="58">
        <v>0</v>
      </c>
      <c r="S4707" s="58">
        <v>0</v>
      </c>
      <c r="T4707" s="58">
        <v>0</v>
      </c>
      <c r="U4707" s="58">
        <v>0</v>
      </c>
      <c r="V4707" s="58">
        <v>0</v>
      </c>
      <c r="AM4707" s="1" t="str">
        <f t="shared" si="220"/>
        <v>4705_C0005_0254.jpg</v>
      </c>
    </row>
    <row r="4708" spans="1:39" x14ac:dyDescent="0.35">
      <c r="A4708">
        <v>4704</v>
      </c>
      <c r="B4708">
        <v>4705</v>
      </c>
      <c r="F4708" s="64" t="s">
        <v>6862</v>
      </c>
      <c r="G4708" s="64"/>
      <c r="H4708" s="64"/>
      <c r="I4708" s="64">
        <v>0</v>
      </c>
      <c r="N4708" s="4">
        <v>0</v>
      </c>
      <c r="O4708" s="58">
        <v>0</v>
      </c>
      <c r="P4708" s="58">
        <v>0</v>
      </c>
      <c r="Q4708" s="58">
        <v>0</v>
      </c>
      <c r="R4708" s="58">
        <v>0</v>
      </c>
      <c r="S4708" s="58">
        <v>0</v>
      </c>
      <c r="T4708" s="58">
        <v>0</v>
      </c>
      <c r="U4708" s="58">
        <v>0</v>
      </c>
      <c r="V4708" s="58">
        <v>0</v>
      </c>
      <c r="AM4708" s="1" t="str">
        <f t="shared" si="220"/>
        <v>4706_C0005_0251.jpg</v>
      </c>
    </row>
    <row r="4709" spans="1:39" x14ac:dyDescent="0.35">
      <c r="A4709">
        <v>4705</v>
      </c>
      <c r="B4709">
        <v>4706</v>
      </c>
      <c r="F4709" s="64" t="s">
        <v>6863</v>
      </c>
      <c r="G4709" s="64"/>
      <c r="H4709" s="64"/>
      <c r="I4709" s="64">
        <v>0</v>
      </c>
      <c r="N4709" s="4">
        <v>0</v>
      </c>
      <c r="O4709" s="58">
        <v>0</v>
      </c>
      <c r="P4709" s="58">
        <v>0</v>
      </c>
      <c r="Q4709" s="58">
        <v>0</v>
      </c>
      <c r="R4709" s="58">
        <v>0</v>
      </c>
      <c r="S4709" s="58">
        <v>0</v>
      </c>
      <c r="T4709" s="58">
        <v>0</v>
      </c>
      <c r="U4709" s="58">
        <v>0</v>
      </c>
      <c r="V4709" s="58">
        <v>0</v>
      </c>
      <c r="AM4709" s="1" t="str">
        <f t="shared" si="220"/>
        <v>4707_C0005_0250.jpg</v>
      </c>
    </row>
    <row r="4710" spans="1:39" x14ac:dyDescent="0.35">
      <c r="A4710">
        <v>4706</v>
      </c>
      <c r="B4710">
        <v>4707</v>
      </c>
      <c r="F4710" s="64" t="s">
        <v>6864</v>
      </c>
      <c r="G4710" s="64"/>
      <c r="H4710" s="64"/>
      <c r="I4710" s="64">
        <v>0</v>
      </c>
      <c r="N4710" s="4">
        <v>0</v>
      </c>
      <c r="O4710" s="58">
        <v>0</v>
      </c>
      <c r="P4710" s="58">
        <v>0</v>
      </c>
      <c r="Q4710" s="58">
        <v>0</v>
      </c>
      <c r="R4710" s="58">
        <v>0</v>
      </c>
      <c r="S4710" s="58">
        <v>0</v>
      </c>
      <c r="T4710" s="58">
        <v>0</v>
      </c>
      <c r="U4710" s="58">
        <v>0</v>
      </c>
      <c r="V4710" s="58">
        <v>0</v>
      </c>
      <c r="AM4710" s="1" t="str">
        <f t="shared" si="220"/>
        <v>4708_C0005_0245.jpg</v>
      </c>
    </row>
    <row r="4711" spans="1:39" x14ac:dyDescent="0.35">
      <c r="A4711">
        <v>4707</v>
      </c>
      <c r="B4711">
        <v>4708</v>
      </c>
      <c r="F4711" s="64" t="s">
        <v>6865</v>
      </c>
      <c r="G4711" s="64"/>
      <c r="H4711" s="64"/>
      <c r="I4711" s="64">
        <v>0</v>
      </c>
      <c r="N4711" s="4">
        <v>0</v>
      </c>
      <c r="O4711" s="58">
        <v>1</v>
      </c>
      <c r="P4711" s="58">
        <v>0</v>
      </c>
      <c r="Q4711" s="58">
        <v>0</v>
      </c>
      <c r="R4711" s="58">
        <v>0</v>
      </c>
      <c r="S4711" s="58">
        <v>0</v>
      </c>
      <c r="T4711" s="58">
        <v>0</v>
      </c>
      <c r="U4711" s="58">
        <v>0</v>
      </c>
      <c r="V4711" s="58">
        <v>0</v>
      </c>
      <c r="AM4711" s="1" t="str">
        <f t="shared" si="220"/>
        <v>4709_C0005_0246.jpg</v>
      </c>
    </row>
    <row r="4712" spans="1:39" x14ac:dyDescent="0.35">
      <c r="A4712">
        <v>4708</v>
      </c>
      <c r="B4712">
        <v>4709</v>
      </c>
      <c r="F4712" s="64" t="s">
        <v>6866</v>
      </c>
      <c r="G4712" s="64"/>
      <c r="H4712" s="64"/>
      <c r="I4712" s="64">
        <v>0</v>
      </c>
      <c r="N4712" s="4">
        <v>0</v>
      </c>
      <c r="O4712" s="58">
        <v>1</v>
      </c>
      <c r="P4712" s="58">
        <v>0</v>
      </c>
      <c r="Q4712" s="58">
        <v>0</v>
      </c>
      <c r="R4712" s="58">
        <v>0</v>
      </c>
      <c r="S4712" s="58">
        <v>0</v>
      </c>
      <c r="T4712" s="58">
        <v>0</v>
      </c>
      <c r="U4712" s="58">
        <v>0</v>
      </c>
      <c r="V4712" s="58">
        <v>0</v>
      </c>
      <c r="AM4712" s="1" t="str">
        <f t="shared" si="220"/>
        <v>4710_C0005_0235.jpg</v>
      </c>
    </row>
    <row r="4713" spans="1:39" x14ac:dyDescent="0.35">
      <c r="A4713">
        <v>4709</v>
      </c>
      <c r="B4713">
        <v>4710</v>
      </c>
      <c r="F4713" s="64" t="s">
        <v>6867</v>
      </c>
      <c r="G4713" s="64"/>
      <c r="H4713" s="64"/>
      <c r="I4713" s="64">
        <v>0</v>
      </c>
      <c r="N4713" s="4">
        <v>0</v>
      </c>
      <c r="O4713" s="58">
        <v>1</v>
      </c>
      <c r="P4713" s="58">
        <v>0</v>
      </c>
      <c r="Q4713" s="58">
        <v>0</v>
      </c>
      <c r="R4713" s="58">
        <v>0</v>
      </c>
      <c r="S4713" s="58">
        <v>0</v>
      </c>
      <c r="T4713" s="58">
        <v>0</v>
      </c>
      <c r="U4713" s="58">
        <v>0</v>
      </c>
      <c r="V4713" s="58">
        <v>0</v>
      </c>
      <c r="AM4713" s="1" t="str">
        <f t="shared" si="220"/>
        <v>4711_C0005_0237.jpg</v>
      </c>
    </row>
    <row r="4714" spans="1:39" x14ac:dyDescent="0.35">
      <c r="A4714">
        <v>4710</v>
      </c>
      <c r="B4714">
        <v>4711</v>
      </c>
      <c r="F4714" s="64" t="s">
        <v>6868</v>
      </c>
      <c r="G4714" s="64"/>
      <c r="H4714" s="64"/>
      <c r="I4714" s="64">
        <v>0</v>
      </c>
      <c r="N4714" s="4">
        <v>0</v>
      </c>
      <c r="O4714" s="58">
        <v>1</v>
      </c>
      <c r="P4714" s="58">
        <v>0</v>
      </c>
      <c r="Q4714" s="58">
        <v>0</v>
      </c>
      <c r="R4714" s="58">
        <v>0</v>
      </c>
      <c r="S4714" s="58">
        <v>0</v>
      </c>
      <c r="T4714" s="58">
        <v>0</v>
      </c>
      <c r="U4714" s="58">
        <v>0</v>
      </c>
      <c r="V4714" s="58">
        <v>0</v>
      </c>
      <c r="AM4714" s="1" t="str">
        <f t="shared" si="220"/>
        <v>4712_C0005_0229.jpg</v>
      </c>
    </row>
    <row r="4715" spans="1:39" x14ac:dyDescent="0.35">
      <c r="A4715">
        <v>4711</v>
      </c>
      <c r="B4715">
        <v>4712</v>
      </c>
      <c r="F4715" s="64" t="s">
        <v>6869</v>
      </c>
      <c r="G4715" s="64"/>
      <c r="H4715" s="64"/>
      <c r="I4715" s="64">
        <v>0</v>
      </c>
      <c r="N4715" s="4">
        <v>0</v>
      </c>
      <c r="O4715" s="58">
        <v>1</v>
      </c>
      <c r="P4715" s="58">
        <v>0</v>
      </c>
      <c r="Q4715" s="58">
        <v>0</v>
      </c>
      <c r="R4715" s="58">
        <v>0</v>
      </c>
      <c r="S4715" s="58">
        <v>0</v>
      </c>
      <c r="T4715" s="58">
        <v>0</v>
      </c>
      <c r="U4715" s="58">
        <v>0</v>
      </c>
      <c r="V4715" s="58">
        <v>0</v>
      </c>
      <c r="AM4715" s="1" t="str">
        <f t="shared" si="220"/>
        <v>4713_C0005_0228.jpg</v>
      </c>
    </row>
    <row r="4716" spans="1:39" x14ac:dyDescent="0.35">
      <c r="A4716">
        <v>4712</v>
      </c>
      <c r="B4716">
        <v>4713</v>
      </c>
      <c r="F4716" s="64" t="s">
        <v>6870</v>
      </c>
      <c r="G4716" s="64"/>
      <c r="H4716" s="64"/>
      <c r="I4716" s="64">
        <v>0</v>
      </c>
      <c r="N4716" s="4">
        <v>0</v>
      </c>
      <c r="O4716" s="58">
        <v>1</v>
      </c>
      <c r="P4716" s="58">
        <v>0</v>
      </c>
      <c r="Q4716" s="58">
        <v>0</v>
      </c>
      <c r="R4716" s="58">
        <v>0</v>
      </c>
      <c r="S4716" s="58">
        <v>0</v>
      </c>
      <c r="T4716" s="58">
        <v>0</v>
      </c>
      <c r="U4716" s="58">
        <v>0</v>
      </c>
      <c r="V4716" s="58">
        <v>0</v>
      </c>
      <c r="AM4716" s="1" t="str">
        <f t="shared" si="220"/>
        <v>4714_C0005_0222.jpg</v>
      </c>
    </row>
    <row r="4717" spans="1:39" x14ac:dyDescent="0.35">
      <c r="A4717">
        <v>4713</v>
      </c>
      <c r="B4717">
        <v>4714</v>
      </c>
      <c r="F4717" s="64" t="s">
        <v>6871</v>
      </c>
      <c r="G4717" s="64"/>
      <c r="H4717" s="64"/>
      <c r="I4717" s="64">
        <v>0</v>
      </c>
      <c r="N4717" s="4">
        <v>0</v>
      </c>
      <c r="O4717" s="58">
        <v>1</v>
      </c>
      <c r="P4717" s="58">
        <v>0</v>
      </c>
      <c r="Q4717" s="58">
        <v>0</v>
      </c>
      <c r="R4717" s="58">
        <v>0</v>
      </c>
      <c r="S4717" s="58">
        <v>0</v>
      </c>
      <c r="T4717" s="58">
        <v>0</v>
      </c>
      <c r="U4717" s="58">
        <v>0</v>
      </c>
      <c r="V4717" s="58">
        <v>0</v>
      </c>
      <c r="AM4717" s="1" t="str">
        <f t="shared" si="220"/>
        <v>4715_C0005_0217.jpg</v>
      </c>
    </row>
    <row r="4718" spans="1:39" x14ac:dyDescent="0.35">
      <c r="A4718">
        <v>4714</v>
      </c>
      <c r="B4718">
        <v>4715</v>
      </c>
      <c r="F4718" s="64" t="s">
        <v>6872</v>
      </c>
      <c r="G4718" s="64"/>
      <c r="H4718" s="64"/>
      <c r="I4718" s="64">
        <v>0</v>
      </c>
      <c r="N4718" s="4">
        <v>0</v>
      </c>
      <c r="O4718" s="58">
        <v>1</v>
      </c>
      <c r="P4718" s="58">
        <v>0</v>
      </c>
      <c r="Q4718" s="58">
        <v>0</v>
      </c>
      <c r="R4718" s="58">
        <v>0</v>
      </c>
      <c r="S4718" s="58">
        <v>0</v>
      </c>
      <c r="T4718" s="58">
        <v>0</v>
      </c>
      <c r="U4718" s="58">
        <v>0</v>
      </c>
      <c r="V4718" s="58">
        <v>0</v>
      </c>
      <c r="AM4718" s="1" t="str">
        <f t="shared" si="220"/>
        <v>4716_C0005_0213.jpg</v>
      </c>
    </row>
    <row r="4719" spans="1:39" x14ac:dyDescent="0.35">
      <c r="A4719">
        <v>4715</v>
      </c>
      <c r="B4719">
        <v>4716</v>
      </c>
      <c r="F4719" s="64" t="s">
        <v>6873</v>
      </c>
      <c r="G4719" s="64"/>
      <c r="H4719" s="64"/>
      <c r="I4719" s="64">
        <v>0</v>
      </c>
      <c r="N4719" s="4">
        <v>0</v>
      </c>
      <c r="O4719" s="58">
        <v>1</v>
      </c>
      <c r="P4719" s="58">
        <v>0</v>
      </c>
      <c r="Q4719" s="58">
        <v>0</v>
      </c>
      <c r="R4719" s="58">
        <v>0</v>
      </c>
      <c r="S4719" s="58">
        <v>0</v>
      </c>
      <c r="T4719" s="58">
        <v>0</v>
      </c>
      <c r="U4719" s="58">
        <v>0</v>
      </c>
      <c r="V4719" s="58">
        <v>0</v>
      </c>
      <c r="AM4719" s="1" t="str">
        <f t="shared" si="220"/>
        <v>4717_C0005_0209.jpg</v>
      </c>
    </row>
    <row r="4720" spans="1:39" x14ac:dyDescent="0.35">
      <c r="A4720">
        <v>4716</v>
      </c>
      <c r="B4720">
        <v>4717</v>
      </c>
      <c r="F4720" s="64" t="s">
        <v>6874</v>
      </c>
      <c r="G4720" s="64"/>
      <c r="H4720" s="64"/>
      <c r="I4720" s="64">
        <v>0</v>
      </c>
      <c r="N4720" s="4">
        <v>0</v>
      </c>
      <c r="O4720" s="58">
        <v>1</v>
      </c>
      <c r="P4720" s="58">
        <v>0</v>
      </c>
      <c r="Q4720" s="58">
        <v>0</v>
      </c>
      <c r="R4720" s="58">
        <v>0</v>
      </c>
      <c r="S4720" s="58">
        <v>0</v>
      </c>
      <c r="T4720" s="58">
        <v>0</v>
      </c>
      <c r="U4720" s="58">
        <v>0</v>
      </c>
      <c r="V4720" s="58">
        <v>0</v>
      </c>
      <c r="AM4720" s="1" t="str">
        <f t="shared" si="220"/>
        <v>4718_C0005_0203.jpg</v>
      </c>
    </row>
    <row r="4721" spans="1:39" x14ac:dyDescent="0.35">
      <c r="A4721">
        <v>4717</v>
      </c>
      <c r="B4721">
        <v>4718</v>
      </c>
      <c r="F4721" s="64" t="s">
        <v>6875</v>
      </c>
      <c r="G4721" s="64"/>
      <c r="H4721" s="64"/>
      <c r="I4721" s="64">
        <v>0</v>
      </c>
      <c r="N4721" s="4">
        <v>0</v>
      </c>
      <c r="O4721" s="58">
        <v>0</v>
      </c>
      <c r="P4721" s="58">
        <v>0</v>
      </c>
      <c r="Q4721" s="58">
        <v>0</v>
      </c>
      <c r="R4721" s="58">
        <v>0</v>
      </c>
      <c r="S4721" s="58">
        <v>0</v>
      </c>
      <c r="T4721" s="58">
        <v>0</v>
      </c>
      <c r="U4721" s="58">
        <v>0</v>
      </c>
      <c r="V4721" s="58">
        <v>0</v>
      </c>
      <c r="AM4721" s="1" t="str">
        <f t="shared" si="220"/>
        <v>4719_C0005_0200.jpg</v>
      </c>
    </row>
    <row r="4722" spans="1:39" x14ac:dyDescent="0.35">
      <c r="A4722">
        <v>4718</v>
      </c>
      <c r="B4722">
        <v>4719</v>
      </c>
      <c r="F4722" s="64" t="s">
        <v>6876</v>
      </c>
      <c r="G4722" s="64"/>
      <c r="H4722" s="64"/>
      <c r="I4722" s="64">
        <v>0</v>
      </c>
      <c r="N4722" s="4">
        <v>0</v>
      </c>
      <c r="O4722" s="58">
        <v>0</v>
      </c>
      <c r="P4722" s="58">
        <v>0</v>
      </c>
      <c r="Q4722" s="58">
        <v>0</v>
      </c>
      <c r="R4722" s="58">
        <v>0</v>
      </c>
      <c r="S4722" s="58">
        <v>0</v>
      </c>
      <c r="T4722" s="58">
        <v>0</v>
      </c>
      <c r="U4722" s="58">
        <v>0</v>
      </c>
      <c r="V4722" s="58">
        <v>0</v>
      </c>
      <c r="AM4722" s="1" t="str">
        <f t="shared" ref="AM4722:AM4749" si="221">HYPERLINK("E:\CAFNEC_GBRF\2023\JohnstoneRiver\Frames_for_Analysis\" &amp; F4723, F4723)</f>
        <v>4720_C0005_0190.jpg</v>
      </c>
    </row>
    <row r="4723" spans="1:39" x14ac:dyDescent="0.35">
      <c r="A4723">
        <v>4719</v>
      </c>
      <c r="B4723">
        <v>4720</v>
      </c>
      <c r="F4723" s="64" t="s">
        <v>6877</v>
      </c>
      <c r="G4723" s="64"/>
      <c r="H4723" s="64"/>
      <c r="I4723" s="64">
        <v>0</v>
      </c>
      <c r="N4723" s="4">
        <v>0</v>
      </c>
      <c r="O4723" s="58">
        <v>1</v>
      </c>
      <c r="P4723" s="58">
        <v>0</v>
      </c>
      <c r="Q4723" s="58">
        <v>0</v>
      </c>
      <c r="R4723" s="58">
        <v>0</v>
      </c>
      <c r="S4723" s="58">
        <v>0</v>
      </c>
      <c r="T4723" s="58">
        <v>0</v>
      </c>
      <c r="U4723" s="58">
        <v>0</v>
      </c>
      <c r="V4723" s="58">
        <v>0</v>
      </c>
      <c r="AM4723" s="1" t="str">
        <f t="shared" si="221"/>
        <v>4721_C0005_0181.jpg</v>
      </c>
    </row>
    <row r="4724" spans="1:39" x14ac:dyDescent="0.35">
      <c r="A4724">
        <v>4720</v>
      </c>
      <c r="B4724">
        <v>4721</v>
      </c>
      <c r="F4724" s="64" t="s">
        <v>6878</v>
      </c>
      <c r="G4724" s="64"/>
      <c r="H4724" s="64"/>
      <c r="I4724" s="64">
        <v>0</v>
      </c>
      <c r="N4724" s="4">
        <v>0</v>
      </c>
      <c r="O4724" s="58">
        <v>0</v>
      </c>
      <c r="P4724" s="58">
        <v>0</v>
      </c>
      <c r="Q4724" s="58">
        <v>0</v>
      </c>
      <c r="R4724" s="58">
        <v>0</v>
      </c>
      <c r="S4724" s="58">
        <v>0</v>
      </c>
      <c r="T4724" s="58">
        <v>0</v>
      </c>
      <c r="U4724" s="58">
        <v>0</v>
      </c>
      <c r="V4724" s="58">
        <v>0</v>
      </c>
      <c r="AM4724" s="1" t="str">
        <f t="shared" si="221"/>
        <v>4722_C0005_0172.jpg</v>
      </c>
    </row>
    <row r="4725" spans="1:39" x14ac:dyDescent="0.35">
      <c r="A4725">
        <v>4721</v>
      </c>
      <c r="B4725">
        <v>4722</v>
      </c>
      <c r="F4725" s="64" t="s">
        <v>6879</v>
      </c>
      <c r="G4725" s="64"/>
      <c r="H4725" s="64"/>
      <c r="I4725" s="64">
        <v>0</v>
      </c>
      <c r="N4725" s="4">
        <v>0</v>
      </c>
      <c r="O4725" s="58">
        <v>0</v>
      </c>
      <c r="P4725" s="58">
        <v>0</v>
      </c>
      <c r="Q4725" s="58">
        <v>0</v>
      </c>
      <c r="R4725" s="58">
        <v>0</v>
      </c>
      <c r="S4725" s="58">
        <v>0</v>
      </c>
      <c r="T4725" s="58">
        <v>0</v>
      </c>
      <c r="U4725" s="58">
        <v>0</v>
      </c>
      <c r="V4725" s="58">
        <v>0</v>
      </c>
      <c r="AM4725" s="1" t="str">
        <f t="shared" si="221"/>
        <v>4723_C0005_0162.jpg</v>
      </c>
    </row>
    <row r="4726" spans="1:39" x14ac:dyDescent="0.35">
      <c r="A4726">
        <v>4722</v>
      </c>
      <c r="B4726">
        <v>4723</v>
      </c>
      <c r="F4726" s="64" t="s">
        <v>6880</v>
      </c>
      <c r="G4726" s="64"/>
      <c r="H4726" s="64"/>
      <c r="I4726" s="64">
        <v>0</v>
      </c>
      <c r="N4726" s="4">
        <v>0</v>
      </c>
      <c r="O4726" s="58">
        <v>0</v>
      </c>
      <c r="P4726" s="58">
        <v>0</v>
      </c>
      <c r="Q4726" s="58">
        <v>0</v>
      </c>
      <c r="R4726" s="58">
        <v>0</v>
      </c>
      <c r="S4726" s="58">
        <v>0</v>
      </c>
      <c r="T4726" s="58">
        <v>0</v>
      </c>
      <c r="U4726" s="58">
        <v>0</v>
      </c>
      <c r="V4726" s="58">
        <v>0</v>
      </c>
      <c r="AM4726" s="1" t="str">
        <f t="shared" si="221"/>
        <v>4724_C0005_0157.jpg</v>
      </c>
    </row>
    <row r="4727" spans="1:39" x14ac:dyDescent="0.35">
      <c r="A4727">
        <v>4723</v>
      </c>
      <c r="B4727">
        <v>4724</v>
      </c>
      <c r="F4727" s="64" t="s">
        <v>6881</v>
      </c>
      <c r="G4727" s="64"/>
      <c r="H4727" s="64"/>
      <c r="I4727" s="64">
        <v>0</v>
      </c>
      <c r="N4727" s="4">
        <v>0</v>
      </c>
      <c r="O4727" s="58">
        <v>0</v>
      </c>
      <c r="P4727" s="58">
        <v>0</v>
      </c>
      <c r="Q4727" s="58">
        <v>0</v>
      </c>
      <c r="R4727" s="58">
        <v>0</v>
      </c>
      <c r="S4727" s="58">
        <v>0</v>
      </c>
      <c r="T4727" s="58">
        <v>0</v>
      </c>
      <c r="U4727" s="58">
        <v>0</v>
      </c>
      <c r="V4727" s="58">
        <v>0</v>
      </c>
      <c r="AM4727" s="1" t="str">
        <f t="shared" si="221"/>
        <v>4725_C0005_0151.jpg</v>
      </c>
    </row>
    <row r="4728" spans="1:39" x14ac:dyDescent="0.35">
      <c r="A4728">
        <v>4724</v>
      </c>
      <c r="B4728">
        <v>4725</v>
      </c>
      <c r="F4728" s="64" t="s">
        <v>6882</v>
      </c>
      <c r="G4728" s="64"/>
      <c r="H4728" s="64"/>
      <c r="I4728" s="64">
        <v>0</v>
      </c>
      <c r="N4728" s="4">
        <v>0</v>
      </c>
      <c r="O4728" s="58">
        <v>0</v>
      </c>
      <c r="P4728" s="58">
        <v>0</v>
      </c>
      <c r="Q4728" s="58">
        <v>0</v>
      </c>
      <c r="R4728" s="58">
        <v>0</v>
      </c>
      <c r="S4728" s="58">
        <v>0</v>
      </c>
      <c r="T4728" s="58">
        <v>0</v>
      </c>
      <c r="U4728" s="58">
        <v>0</v>
      </c>
      <c r="V4728" s="58">
        <v>0</v>
      </c>
      <c r="AM4728" s="1" t="str">
        <f t="shared" si="221"/>
        <v>4726_C0005_0143.jpg</v>
      </c>
    </row>
    <row r="4729" spans="1:39" x14ac:dyDescent="0.35">
      <c r="A4729">
        <v>4725</v>
      </c>
      <c r="B4729">
        <v>4726</v>
      </c>
      <c r="F4729" s="64" t="s">
        <v>6883</v>
      </c>
      <c r="G4729" s="64"/>
      <c r="H4729" s="64"/>
      <c r="I4729" s="64">
        <v>0</v>
      </c>
      <c r="N4729" s="4">
        <v>0</v>
      </c>
      <c r="O4729" s="58">
        <v>0</v>
      </c>
      <c r="P4729" s="58">
        <v>0</v>
      </c>
      <c r="Q4729" s="58">
        <v>0</v>
      </c>
      <c r="R4729" s="58">
        <v>0</v>
      </c>
      <c r="S4729" s="58">
        <v>0</v>
      </c>
      <c r="T4729" s="58">
        <v>0</v>
      </c>
      <c r="U4729" s="58">
        <v>0</v>
      </c>
      <c r="V4729" s="58">
        <v>0</v>
      </c>
      <c r="AM4729" s="1" t="str">
        <f t="shared" si="221"/>
        <v>4727_C0005_0138.jpg</v>
      </c>
    </row>
    <row r="4730" spans="1:39" x14ac:dyDescent="0.35">
      <c r="A4730">
        <v>4726</v>
      </c>
      <c r="B4730">
        <v>4727</v>
      </c>
      <c r="F4730" s="64" t="s">
        <v>6884</v>
      </c>
      <c r="G4730" s="64"/>
      <c r="H4730" s="64"/>
      <c r="I4730" s="64">
        <v>0</v>
      </c>
      <c r="N4730" s="4">
        <v>0</v>
      </c>
      <c r="O4730" s="58">
        <v>0</v>
      </c>
      <c r="P4730" s="58">
        <v>0</v>
      </c>
      <c r="Q4730" s="58">
        <v>0</v>
      </c>
      <c r="R4730" s="58">
        <v>0</v>
      </c>
      <c r="S4730" s="58">
        <v>0</v>
      </c>
      <c r="T4730" s="58">
        <v>0</v>
      </c>
      <c r="U4730" s="58">
        <v>0</v>
      </c>
      <c r="V4730" s="58">
        <v>0</v>
      </c>
      <c r="AM4730" s="1" t="str">
        <f t="shared" si="221"/>
        <v>4728_C0005_0129.jpg</v>
      </c>
    </row>
    <row r="4731" spans="1:39" x14ac:dyDescent="0.35">
      <c r="A4731">
        <v>4727</v>
      </c>
      <c r="B4731">
        <v>4728</v>
      </c>
      <c r="F4731" s="64" t="s">
        <v>6885</v>
      </c>
      <c r="G4731" s="64"/>
      <c r="H4731" s="64"/>
      <c r="I4731" s="64">
        <v>0</v>
      </c>
      <c r="N4731" s="4">
        <v>0</v>
      </c>
      <c r="O4731" s="58">
        <v>0</v>
      </c>
      <c r="P4731" s="58">
        <v>0</v>
      </c>
      <c r="Q4731" s="58">
        <v>0</v>
      </c>
      <c r="R4731" s="58">
        <v>0</v>
      </c>
      <c r="S4731" s="58">
        <v>0</v>
      </c>
      <c r="T4731" s="58">
        <v>0</v>
      </c>
      <c r="U4731" s="58">
        <v>0</v>
      </c>
      <c r="V4731" s="58">
        <v>0</v>
      </c>
      <c r="AM4731" s="1" t="str">
        <f t="shared" si="221"/>
        <v>4729_C0005_0121.jpg</v>
      </c>
    </row>
    <row r="4732" spans="1:39" x14ac:dyDescent="0.35">
      <c r="A4732">
        <v>4728</v>
      </c>
      <c r="B4732">
        <v>4729</v>
      </c>
      <c r="F4732" s="64" t="s">
        <v>6886</v>
      </c>
      <c r="G4732" s="64"/>
      <c r="H4732" s="64"/>
      <c r="I4732" s="64">
        <v>0</v>
      </c>
      <c r="N4732" s="4">
        <v>0</v>
      </c>
      <c r="O4732" s="58">
        <v>0</v>
      </c>
      <c r="P4732" s="58">
        <v>0</v>
      </c>
      <c r="Q4732" s="58">
        <v>0</v>
      </c>
      <c r="R4732" s="58">
        <v>0</v>
      </c>
      <c r="S4732" s="58">
        <v>0</v>
      </c>
      <c r="T4732" s="58">
        <v>0</v>
      </c>
      <c r="U4732" s="58">
        <v>0</v>
      </c>
      <c r="V4732" s="58">
        <v>0</v>
      </c>
      <c r="AM4732" s="1" t="str">
        <f t="shared" si="221"/>
        <v>4730_C0005_0113.jpg</v>
      </c>
    </row>
    <row r="4733" spans="1:39" x14ac:dyDescent="0.35">
      <c r="A4733">
        <v>4729</v>
      </c>
      <c r="B4733">
        <v>4730</v>
      </c>
      <c r="F4733" s="64" t="s">
        <v>6887</v>
      </c>
      <c r="G4733" s="64"/>
      <c r="H4733" s="64"/>
      <c r="I4733" s="64">
        <v>0</v>
      </c>
      <c r="N4733" s="4">
        <v>0</v>
      </c>
      <c r="O4733" s="58">
        <v>0</v>
      </c>
      <c r="P4733" s="58">
        <v>0</v>
      </c>
      <c r="Q4733" s="58">
        <v>0</v>
      </c>
      <c r="R4733" s="58">
        <v>0</v>
      </c>
      <c r="S4733" s="58">
        <v>0</v>
      </c>
      <c r="T4733" s="58">
        <v>0</v>
      </c>
      <c r="U4733" s="58">
        <v>0</v>
      </c>
      <c r="V4733" s="58">
        <v>0</v>
      </c>
      <c r="AM4733" s="1" t="str">
        <f t="shared" si="221"/>
        <v>4731_C0005_0103.jpg</v>
      </c>
    </row>
    <row r="4734" spans="1:39" x14ac:dyDescent="0.35">
      <c r="A4734">
        <v>4730</v>
      </c>
      <c r="B4734">
        <v>4731</v>
      </c>
      <c r="F4734" s="64" t="s">
        <v>6888</v>
      </c>
      <c r="G4734" s="64"/>
      <c r="H4734" s="64"/>
      <c r="I4734" s="64">
        <v>0</v>
      </c>
      <c r="N4734" s="4">
        <v>0</v>
      </c>
      <c r="O4734" s="58">
        <v>0</v>
      </c>
      <c r="P4734" s="58">
        <v>0</v>
      </c>
      <c r="Q4734" s="58">
        <v>0</v>
      </c>
      <c r="R4734" s="58">
        <v>0</v>
      </c>
      <c r="S4734" s="58">
        <v>0</v>
      </c>
      <c r="T4734" s="58">
        <v>0</v>
      </c>
      <c r="U4734" s="58">
        <v>0</v>
      </c>
      <c r="V4734" s="58">
        <v>0</v>
      </c>
      <c r="AM4734" s="1" t="str">
        <f t="shared" si="221"/>
        <v>4732_C0005_0094.jpg</v>
      </c>
    </row>
    <row r="4735" spans="1:39" x14ac:dyDescent="0.35">
      <c r="A4735">
        <v>4731</v>
      </c>
      <c r="B4735">
        <v>4732</v>
      </c>
      <c r="F4735" s="64" t="s">
        <v>6889</v>
      </c>
      <c r="G4735" s="64"/>
      <c r="H4735" s="64"/>
      <c r="I4735" s="64">
        <v>0</v>
      </c>
      <c r="N4735" s="4">
        <v>0</v>
      </c>
      <c r="O4735" s="58">
        <v>0</v>
      </c>
      <c r="P4735" s="58">
        <v>0</v>
      </c>
      <c r="Q4735" s="58">
        <v>0</v>
      </c>
      <c r="R4735" s="58">
        <v>0</v>
      </c>
      <c r="S4735" s="58">
        <v>0</v>
      </c>
      <c r="T4735" s="58">
        <v>0</v>
      </c>
      <c r="U4735" s="58">
        <v>0</v>
      </c>
      <c r="V4735" s="58">
        <v>0</v>
      </c>
      <c r="AM4735" s="1" t="str">
        <f t="shared" si="221"/>
        <v>4733_C0005_0090.jpg</v>
      </c>
    </row>
    <row r="4736" spans="1:39" x14ac:dyDescent="0.35">
      <c r="A4736">
        <v>4732</v>
      </c>
      <c r="B4736">
        <v>4733</v>
      </c>
      <c r="F4736" s="64" t="s">
        <v>6890</v>
      </c>
      <c r="G4736" s="64"/>
      <c r="H4736" s="64"/>
      <c r="I4736" s="64">
        <v>0</v>
      </c>
      <c r="N4736" s="4">
        <v>0</v>
      </c>
      <c r="O4736" s="58">
        <v>0</v>
      </c>
      <c r="P4736" s="58">
        <v>0</v>
      </c>
      <c r="Q4736" s="58">
        <v>0</v>
      </c>
      <c r="R4736" s="58">
        <v>0</v>
      </c>
      <c r="S4736" s="58">
        <v>0</v>
      </c>
      <c r="T4736" s="58">
        <v>0</v>
      </c>
      <c r="U4736" s="58">
        <v>0</v>
      </c>
      <c r="V4736" s="58">
        <v>0</v>
      </c>
      <c r="AM4736" s="1" t="str">
        <f t="shared" si="221"/>
        <v>4734_C0005_0083.jpg</v>
      </c>
    </row>
    <row r="4737" spans="1:39" x14ac:dyDescent="0.35">
      <c r="A4737">
        <v>4733</v>
      </c>
      <c r="B4737">
        <v>4734</v>
      </c>
      <c r="F4737" s="64" t="s">
        <v>6891</v>
      </c>
      <c r="G4737" s="64"/>
      <c r="H4737" s="64"/>
      <c r="I4737" s="64">
        <v>0</v>
      </c>
      <c r="N4737" s="4">
        <v>0</v>
      </c>
      <c r="O4737" s="58">
        <v>0</v>
      </c>
      <c r="P4737" s="58">
        <v>0</v>
      </c>
      <c r="Q4737" s="58">
        <v>0</v>
      </c>
      <c r="R4737" s="58">
        <v>0</v>
      </c>
      <c r="S4737" s="58">
        <v>0</v>
      </c>
      <c r="T4737" s="58">
        <v>0</v>
      </c>
      <c r="U4737" s="58">
        <v>0</v>
      </c>
      <c r="V4737" s="58">
        <v>0</v>
      </c>
      <c r="AM4737" s="1" t="str">
        <f t="shared" si="221"/>
        <v>4735_C0005_0077.jpg</v>
      </c>
    </row>
    <row r="4738" spans="1:39" x14ac:dyDescent="0.35">
      <c r="A4738">
        <v>4734</v>
      </c>
      <c r="B4738">
        <v>4735</v>
      </c>
      <c r="F4738" s="64" t="s">
        <v>6892</v>
      </c>
      <c r="G4738" s="64"/>
      <c r="H4738" s="64"/>
      <c r="I4738" s="64">
        <v>0</v>
      </c>
      <c r="N4738" s="4">
        <v>0</v>
      </c>
      <c r="O4738" s="58">
        <v>0</v>
      </c>
      <c r="P4738" s="58">
        <v>0</v>
      </c>
      <c r="Q4738" s="58">
        <v>0</v>
      </c>
      <c r="R4738" s="58">
        <v>0</v>
      </c>
      <c r="S4738" s="58">
        <v>0</v>
      </c>
      <c r="T4738" s="58">
        <v>0</v>
      </c>
      <c r="U4738" s="58">
        <v>0</v>
      </c>
      <c r="V4738" s="58">
        <v>0</v>
      </c>
      <c r="AM4738" s="1" t="str">
        <f t="shared" si="221"/>
        <v>4736_C0005_0066.jpg</v>
      </c>
    </row>
    <row r="4739" spans="1:39" x14ac:dyDescent="0.35">
      <c r="A4739">
        <v>4735</v>
      </c>
      <c r="B4739">
        <v>4736</v>
      </c>
      <c r="F4739" s="64" t="s">
        <v>6893</v>
      </c>
      <c r="G4739" s="64"/>
      <c r="H4739" s="64"/>
      <c r="I4739" s="64">
        <v>0</v>
      </c>
      <c r="N4739" s="4">
        <v>0</v>
      </c>
      <c r="O4739" s="58">
        <v>0</v>
      </c>
      <c r="P4739" s="58">
        <v>0</v>
      </c>
      <c r="Q4739" s="58">
        <v>0</v>
      </c>
      <c r="R4739" s="58">
        <v>0</v>
      </c>
      <c r="S4739" s="58">
        <v>0</v>
      </c>
      <c r="T4739" s="58">
        <v>0</v>
      </c>
      <c r="U4739" s="58">
        <v>0</v>
      </c>
      <c r="V4739" s="58">
        <v>0</v>
      </c>
      <c r="AM4739" s="1" t="str">
        <f t="shared" si="221"/>
        <v>4737_C0005_0061.jpg</v>
      </c>
    </row>
    <row r="4740" spans="1:39" x14ac:dyDescent="0.35">
      <c r="A4740">
        <v>4736</v>
      </c>
      <c r="B4740">
        <v>4737</v>
      </c>
      <c r="F4740" s="64" t="s">
        <v>6894</v>
      </c>
      <c r="G4740" s="64"/>
      <c r="H4740" s="64"/>
      <c r="I4740" s="64">
        <v>0</v>
      </c>
      <c r="N4740" s="4">
        <v>0</v>
      </c>
      <c r="O4740" s="58">
        <v>0</v>
      </c>
      <c r="P4740" s="58">
        <v>0</v>
      </c>
      <c r="Q4740" s="58">
        <v>0</v>
      </c>
      <c r="R4740" s="58">
        <v>0</v>
      </c>
      <c r="S4740" s="58">
        <v>0</v>
      </c>
      <c r="T4740" s="58">
        <v>0</v>
      </c>
      <c r="U4740" s="58">
        <v>0</v>
      </c>
      <c r="V4740" s="58">
        <v>0</v>
      </c>
      <c r="AM4740" s="1" t="str">
        <f t="shared" si="221"/>
        <v>4738_C0005_0048.jpg</v>
      </c>
    </row>
    <row r="4741" spans="1:39" x14ac:dyDescent="0.35">
      <c r="A4741">
        <v>4737</v>
      </c>
      <c r="B4741">
        <v>4738</v>
      </c>
      <c r="F4741" s="64" t="s">
        <v>6895</v>
      </c>
      <c r="G4741" s="64"/>
      <c r="H4741" s="64"/>
      <c r="I4741" s="64">
        <v>0</v>
      </c>
      <c r="N4741" s="4">
        <v>0</v>
      </c>
      <c r="O4741" s="58">
        <v>0</v>
      </c>
      <c r="P4741" s="58">
        <v>0</v>
      </c>
      <c r="Q4741" s="58">
        <v>0</v>
      </c>
      <c r="R4741" s="58">
        <v>0</v>
      </c>
      <c r="S4741" s="58">
        <v>0</v>
      </c>
      <c r="T4741" s="58">
        <v>0</v>
      </c>
      <c r="U4741" s="58">
        <v>0</v>
      </c>
      <c r="V4741" s="58">
        <v>0</v>
      </c>
      <c r="AM4741" s="1" t="str">
        <f t="shared" si="221"/>
        <v>4739_C0005_0045.jpg</v>
      </c>
    </row>
    <row r="4742" spans="1:39" x14ac:dyDescent="0.35">
      <c r="A4742">
        <v>4738</v>
      </c>
      <c r="B4742">
        <v>4739</v>
      </c>
      <c r="F4742" s="64" t="s">
        <v>6896</v>
      </c>
      <c r="G4742" s="64"/>
      <c r="H4742" s="64"/>
      <c r="I4742" s="64">
        <v>0</v>
      </c>
      <c r="N4742" s="4">
        <v>0</v>
      </c>
      <c r="O4742" s="58">
        <v>0</v>
      </c>
      <c r="P4742" s="58">
        <v>0</v>
      </c>
      <c r="Q4742" s="58">
        <v>0</v>
      </c>
      <c r="R4742" s="58">
        <v>0</v>
      </c>
      <c r="S4742" s="58">
        <v>0</v>
      </c>
      <c r="T4742" s="58">
        <v>0</v>
      </c>
      <c r="U4742" s="58">
        <v>0</v>
      </c>
      <c r="V4742" s="58">
        <v>0</v>
      </c>
      <c r="AM4742" s="1" t="str">
        <f t="shared" si="221"/>
        <v>4740_C0005_0039.jpg</v>
      </c>
    </row>
    <row r="4743" spans="1:39" x14ac:dyDescent="0.35">
      <c r="A4743">
        <v>4739</v>
      </c>
      <c r="B4743">
        <v>4740</v>
      </c>
      <c r="F4743" s="64" t="s">
        <v>6897</v>
      </c>
      <c r="G4743" s="64"/>
      <c r="H4743" s="64"/>
      <c r="I4743" s="64">
        <v>0</v>
      </c>
      <c r="N4743" s="4">
        <v>0</v>
      </c>
      <c r="O4743" s="58">
        <v>0</v>
      </c>
      <c r="P4743" s="58">
        <v>0</v>
      </c>
      <c r="Q4743" s="58">
        <v>0</v>
      </c>
      <c r="R4743" s="58">
        <v>0</v>
      </c>
      <c r="S4743" s="58">
        <v>0</v>
      </c>
      <c r="T4743" s="58">
        <v>0</v>
      </c>
      <c r="U4743" s="58">
        <v>0</v>
      </c>
      <c r="V4743" s="58">
        <v>0</v>
      </c>
      <c r="AM4743" s="1" t="str">
        <f t="shared" si="221"/>
        <v>4741_C0005_0033.jpg</v>
      </c>
    </row>
    <row r="4744" spans="1:39" x14ac:dyDescent="0.35">
      <c r="A4744">
        <v>4740</v>
      </c>
      <c r="B4744">
        <v>4741</v>
      </c>
      <c r="F4744" s="64" t="s">
        <v>6898</v>
      </c>
      <c r="G4744" s="64"/>
      <c r="H4744" s="64"/>
      <c r="I4744" s="64">
        <v>0</v>
      </c>
      <c r="N4744" s="4">
        <v>0</v>
      </c>
      <c r="O4744" s="58">
        <v>0</v>
      </c>
      <c r="P4744" s="58">
        <v>0</v>
      </c>
      <c r="Q4744" s="58">
        <v>0</v>
      </c>
      <c r="R4744" s="58">
        <v>0</v>
      </c>
      <c r="S4744" s="58">
        <v>0</v>
      </c>
      <c r="T4744" s="58">
        <v>0</v>
      </c>
      <c r="U4744" s="58">
        <v>0</v>
      </c>
      <c r="V4744" s="58">
        <v>0</v>
      </c>
      <c r="AM4744" s="1" t="str">
        <f t="shared" si="221"/>
        <v>4742_C0005_0024.jpg</v>
      </c>
    </row>
    <row r="4745" spans="1:39" x14ac:dyDescent="0.35">
      <c r="A4745">
        <v>4741</v>
      </c>
      <c r="B4745">
        <v>4742</v>
      </c>
      <c r="F4745" s="64" t="s">
        <v>6899</v>
      </c>
      <c r="G4745" s="64"/>
      <c r="H4745" s="64"/>
      <c r="I4745" s="64">
        <v>0</v>
      </c>
      <c r="N4745" s="4">
        <v>0</v>
      </c>
      <c r="O4745" s="58">
        <v>0</v>
      </c>
      <c r="P4745" s="58">
        <v>0</v>
      </c>
      <c r="Q4745" s="58">
        <v>0</v>
      </c>
      <c r="R4745" s="58">
        <v>0</v>
      </c>
      <c r="S4745" s="58">
        <v>0</v>
      </c>
      <c r="T4745" s="58">
        <v>0</v>
      </c>
      <c r="U4745" s="58">
        <v>0</v>
      </c>
      <c r="V4745" s="58">
        <v>0</v>
      </c>
      <c r="AM4745" s="1" t="str">
        <f t="shared" si="221"/>
        <v>4743_C0005_0020.jpg</v>
      </c>
    </row>
    <row r="4746" spans="1:39" x14ac:dyDescent="0.35">
      <c r="A4746">
        <v>4742</v>
      </c>
      <c r="B4746">
        <v>4743</v>
      </c>
      <c r="F4746" s="64" t="s">
        <v>6900</v>
      </c>
      <c r="G4746" s="64"/>
      <c r="H4746" s="64"/>
      <c r="I4746" s="64">
        <v>0</v>
      </c>
      <c r="N4746" s="4">
        <v>0</v>
      </c>
      <c r="O4746" s="58">
        <v>0</v>
      </c>
      <c r="P4746" s="58">
        <v>0</v>
      </c>
      <c r="Q4746" s="58">
        <v>0</v>
      </c>
      <c r="R4746" s="58">
        <v>0</v>
      </c>
      <c r="S4746" s="58">
        <v>0</v>
      </c>
      <c r="T4746" s="58">
        <v>0</v>
      </c>
      <c r="U4746" s="58">
        <v>0</v>
      </c>
      <c r="V4746" s="58">
        <v>0</v>
      </c>
      <c r="AM4746" s="1" t="str">
        <f t="shared" si="221"/>
        <v>4744_C0005_0016.jpg</v>
      </c>
    </row>
    <row r="4747" spans="1:39" x14ac:dyDescent="0.35">
      <c r="A4747">
        <v>4743</v>
      </c>
      <c r="B4747">
        <v>4744</v>
      </c>
      <c r="F4747" s="64" t="s">
        <v>6901</v>
      </c>
      <c r="G4747" s="64"/>
      <c r="H4747" s="64"/>
      <c r="I4747" s="64">
        <v>0</v>
      </c>
      <c r="N4747" s="4">
        <v>0</v>
      </c>
      <c r="O4747" s="58">
        <v>0</v>
      </c>
      <c r="P4747" s="58">
        <v>0</v>
      </c>
      <c r="Q4747" s="58">
        <v>0</v>
      </c>
      <c r="R4747" s="58">
        <v>0</v>
      </c>
      <c r="S4747" s="58">
        <v>0</v>
      </c>
      <c r="T4747" s="58">
        <v>0</v>
      </c>
      <c r="U4747" s="58">
        <v>0</v>
      </c>
      <c r="V4747" s="58">
        <v>0</v>
      </c>
      <c r="AM4747" s="1" t="str">
        <f t="shared" si="221"/>
        <v>4745_C0005_0011.jpg</v>
      </c>
    </row>
    <row r="4748" spans="1:39" x14ac:dyDescent="0.35">
      <c r="A4748">
        <v>4744</v>
      </c>
      <c r="B4748">
        <v>4745</v>
      </c>
      <c r="F4748" s="64" t="s">
        <v>6902</v>
      </c>
      <c r="G4748" s="64"/>
      <c r="H4748" s="64"/>
      <c r="I4748" s="64">
        <v>0</v>
      </c>
      <c r="N4748" s="4">
        <v>0</v>
      </c>
      <c r="O4748" s="58">
        <v>0</v>
      </c>
      <c r="P4748" s="58">
        <v>0</v>
      </c>
      <c r="Q4748" s="58">
        <v>0</v>
      </c>
      <c r="R4748" s="58">
        <v>0</v>
      </c>
      <c r="S4748" s="58">
        <v>0</v>
      </c>
      <c r="T4748" s="58">
        <v>0</v>
      </c>
      <c r="U4748" s="58">
        <v>0</v>
      </c>
      <c r="V4748" s="58">
        <v>0</v>
      </c>
      <c r="AM4748" s="1" t="str">
        <f t="shared" si="221"/>
        <v>4746_C0005_0004.jpg</v>
      </c>
    </row>
    <row r="4749" spans="1:39" x14ac:dyDescent="0.35">
      <c r="A4749">
        <v>4745</v>
      </c>
      <c r="B4749">
        <v>4746</v>
      </c>
      <c r="F4749" s="64" t="s">
        <v>6903</v>
      </c>
      <c r="G4749" s="64"/>
      <c r="H4749" s="64"/>
      <c r="I4749" s="64">
        <v>0</v>
      </c>
      <c r="N4749" s="4">
        <v>0</v>
      </c>
      <c r="O4749" s="58">
        <v>0</v>
      </c>
      <c r="P4749" s="58">
        <v>0</v>
      </c>
      <c r="Q4749" s="58">
        <v>0</v>
      </c>
      <c r="R4749" s="58">
        <v>0</v>
      </c>
      <c r="S4749" s="58">
        <v>0</v>
      </c>
      <c r="T4749" s="58">
        <v>0</v>
      </c>
      <c r="U4749" s="58">
        <v>0</v>
      </c>
      <c r="V4749" s="58">
        <v>0</v>
      </c>
      <c r="AM4749" s="1" t="str">
        <f t="shared" si="221"/>
        <v>4747_C0005_0001.jpg</v>
      </c>
    </row>
    <row r="4750" spans="1:39" x14ac:dyDescent="0.35">
      <c r="A4750">
        <v>4746</v>
      </c>
      <c r="B4750">
        <v>4747</v>
      </c>
      <c r="F4750" s="64" t="s">
        <v>6904</v>
      </c>
      <c r="G4750" s="64"/>
      <c r="H4750" s="64"/>
      <c r="I4750" s="64">
        <v>0</v>
      </c>
      <c r="N4750" s="4">
        <v>0</v>
      </c>
      <c r="O4750" s="58">
        <v>0</v>
      </c>
      <c r="P4750" s="58">
        <v>0</v>
      </c>
      <c r="Q4750" s="58">
        <v>0</v>
      </c>
      <c r="R4750" s="58">
        <v>0</v>
      </c>
      <c r="S4750" s="58">
        <v>0</v>
      </c>
      <c r="T4750" s="58">
        <v>0</v>
      </c>
      <c r="U4750" s="58">
        <v>0</v>
      </c>
      <c r="V4750" s="58">
        <v>0</v>
      </c>
      <c r="AH4750" s="1"/>
    </row>
    <row r="4751" spans="1:39" x14ac:dyDescent="0.35">
      <c r="A4751">
        <v>4747</v>
      </c>
      <c r="B4751">
        <v>4748</v>
      </c>
      <c r="F4751" s="1"/>
      <c r="I4751" s="64"/>
      <c r="N4751" s="4"/>
      <c r="AH4751" s="1"/>
    </row>
    <row r="4752" spans="1:39" x14ac:dyDescent="0.35">
      <c r="A4752">
        <v>4748</v>
      </c>
      <c r="B4752">
        <v>4749</v>
      </c>
      <c r="F4752" s="1"/>
      <c r="I4752" s="64"/>
      <c r="N4752" s="4"/>
      <c r="AH4752" s="1"/>
    </row>
    <row r="4753" spans="1:34" x14ac:dyDescent="0.35">
      <c r="A4753">
        <v>4749</v>
      </c>
      <c r="B4753">
        <v>4750</v>
      </c>
      <c r="F4753" s="1"/>
      <c r="I4753" s="64"/>
      <c r="N4753" s="4"/>
      <c r="AH4753" s="1"/>
    </row>
    <row r="4754" spans="1:34" x14ac:dyDescent="0.35">
      <c r="A4754">
        <v>4750</v>
      </c>
      <c r="B4754">
        <v>4751</v>
      </c>
      <c r="F4754" s="1"/>
      <c r="I4754" s="64"/>
      <c r="N4754" s="4"/>
    </row>
    <row r="4755" spans="1:34" x14ac:dyDescent="0.35">
      <c r="A4755">
        <v>4751</v>
      </c>
      <c r="B4755">
        <v>4752</v>
      </c>
      <c r="F4755" s="1"/>
      <c r="I4755" s="64"/>
      <c r="N4755" s="4"/>
    </row>
    <row r="4756" spans="1:34" x14ac:dyDescent="0.35">
      <c r="A4756">
        <v>4752</v>
      </c>
      <c r="B4756">
        <v>4753</v>
      </c>
      <c r="F4756" s="1"/>
      <c r="I4756" s="64"/>
      <c r="N4756" s="4"/>
    </row>
    <row r="4757" spans="1:34" x14ac:dyDescent="0.35">
      <c r="A4757">
        <v>4753</v>
      </c>
      <c r="B4757">
        <v>4754</v>
      </c>
      <c r="F4757" s="1"/>
      <c r="I4757" s="64"/>
      <c r="N4757" s="4"/>
    </row>
    <row r="4758" spans="1:34" x14ac:dyDescent="0.35">
      <c r="A4758">
        <v>4754</v>
      </c>
      <c r="B4758">
        <v>4755</v>
      </c>
      <c r="F4758" s="1"/>
      <c r="I4758" s="64"/>
      <c r="N4758" s="4"/>
    </row>
    <row r="4759" spans="1:34" x14ac:dyDescent="0.35">
      <c r="A4759">
        <v>4755</v>
      </c>
      <c r="B4759">
        <v>4756</v>
      </c>
      <c r="F4759" s="1"/>
      <c r="I4759" s="64"/>
      <c r="N4759" s="4"/>
    </row>
    <row r="4760" spans="1:34" x14ac:dyDescent="0.35">
      <c r="A4760">
        <v>4756</v>
      </c>
      <c r="B4760">
        <v>4757</v>
      </c>
      <c r="F4760" s="1"/>
      <c r="I4760" s="64"/>
      <c r="N4760" s="4"/>
    </row>
    <row r="4761" spans="1:34" x14ac:dyDescent="0.35">
      <c r="A4761">
        <v>4757</v>
      </c>
      <c r="B4761">
        <v>4758</v>
      </c>
      <c r="F4761" s="1"/>
      <c r="I4761" s="64"/>
      <c r="N4761" s="4"/>
    </row>
    <row r="4762" spans="1:34" x14ac:dyDescent="0.35">
      <c r="A4762">
        <v>4758</v>
      </c>
      <c r="B4762">
        <v>4759</v>
      </c>
      <c r="F4762" s="1"/>
      <c r="I4762" s="64"/>
      <c r="N4762" s="4"/>
    </row>
    <row r="4763" spans="1:34" x14ac:dyDescent="0.35">
      <c r="A4763">
        <v>4759</v>
      </c>
      <c r="B4763">
        <v>4760</v>
      </c>
      <c r="F4763" s="1"/>
      <c r="I4763" s="64"/>
      <c r="N4763" s="4"/>
    </row>
    <row r="4764" spans="1:34" x14ac:dyDescent="0.35">
      <c r="A4764">
        <v>4760</v>
      </c>
      <c r="B4764">
        <v>4761</v>
      </c>
      <c r="F4764" s="1"/>
      <c r="I4764" s="64"/>
      <c r="N4764" s="4"/>
    </row>
    <row r="4765" spans="1:34" x14ac:dyDescent="0.35">
      <c r="A4765">
        <v>4761</v>
      </c>
      <c r="B4765">
        <v>4762</v>
      </c>
      <c r="F4765" s="1"/>
      <c r="I4765" s="64"/>
      <c r="N4765" s="4"/>
    </row>
    <row r="4766" spans="1:34" x14ac:dyDescent="0.35">
      <c r="A4766">
        <v>4762</v>
      </c>
      <c r="B4766">
        <v>4763</v>
      </c>
      <c r="F4766" s="1"/>
      <c r="I4766" s="64"/>
      <c r="N4766" s="4"/>
    </row>
    <row r="4767" spans="1:34" x14ac:dyDescent="0.35">
      <c r="A4767">
        <v>4763</v>
      </c>
      <c r="B4767">
        <v>4764</v>
      </c>
      <c r="F4767" s="1"/>
      <c r="I4767" s="64"/>
      <c r="N4767" s="4"/>
    </row>
    <row r="4768" spans="1:34" x14ac:dyDescent="0.35">
      <c r="A4768">
        <v>4764</v>
      </c>
      <c r="B4768">
        <v>4765</v>
      </c>
      <c r="F4768" s="1"/>
      <c r="I4768" s="64"/>
      <c r="N4768" s="4"/>
    </row>
    <row r="4769" spans="1:14" x14ac:dyDescent="0.35">
      <c r="A4769">
        <v>4765</v>
      </c>
      <c r="B4769">
        <v>4766</v>
      </c>
      <c r="F4769" s="1"/>
      <c r="I4769" s="64"/>
      <c r="N4769" s="4"/>
    </row>
    <row r="4770" spans="1:14" x14ac:dyDescent="0.35">
      <c r="A4770">
        <v>4766</v>
      </c>
      <c r="B4770">
        <v>4767</v>
      </c>
      <c r="F4770" s="1"/>
      <c r="I4770" s="64"/>
      <c r="N4770" s="4"/>
    </row>
    <row r="4771" spans="1:14" x14ac:dyDescent="0.35">
      <c r="A4771">
        <v>4767</v>
      </c>
      <c r="B4771">
        <v>4768</v>
      </c>
      <c r="F4771" s="1"/>
      <c r="I4771" s="64"/>
      <c r="N4771" s="4"/>
    </row>
    <row r="4772" spans="1:14" x14ac:dyDescent="0.35">
      <c r="A4772">
        <v>4768</v>
      </c>
      <c r="B4772">
        <v>4769</v>
      </c>
      <c r="F4772" s="1"/>
      <c r="I4772" s="64"/>
      <c r="N4772" s="4"/>
    </row>
    <row r="4773" spans="1:14" x14ac:dyDescent="0.35">
      <c r="A4773">
        <v>4769</v>
      </c>
      <c r="B4773">
        <v>4770</v>
      </c>
      <c r="F4773" s="1"/>
      <c r="I4773" s="64"/>
      <c r="N4773" s="4"/>
    </row>
    <row r="4774" spans="1:14" x14ac:dyDescent="0.35">
      <c r="A4774">
        <v>4770</v>
      </c>
      <c r="B4774">
        <v>4771</v>
      </c>
      <c r="F4774" s="1"/>
      <c r="I4774" s="64"/>
      <c r="N4774" s="4"/>
    </row>
    <row r="4775" spans="1:14" x14ac:dyDescent="0.35">
      <c r="A4775">
        <v>4771</v>
      </c>
      <c r="B4775">
        <v>4772</v>
      </c>
      <c r="F4775" s="1"/>
      <c r="I4775" s="64"/>
      <c r="N4775" s="4"/>
    </row>
    <row r="4776" spans="1:14" x14ac:dyDescent="0.35">
      <c r="A4776">
        <v>4772</v>
      </c>
      <c r="B4776">
        <v>4773</v>
      </c>
      <c r="F4776" s="1"/>
      <c r="I4776" s="64"/>
      <c r="N4776" s="4"/>
    </row>
    <row r="4777" spans="1:14" x14ac:dyDescent="0.35">
      <c r="A4777">
        <v>4773</v>
      </c>
      <c r="B4777">
        <v>4774</v>
      </c>
      <c r="F4777" s="1"/>
      <c r="I4777" s="64"/>
      <c r="N4777" s="4"/>
    </row>
    <row r="4778" spans="1:14" x14ac:dyDescent="0.35">
      <c r="A4778">
        <v>4774</v>
      </c>
      <c r="B4778">
        <v>4775</v>
      </c>
      <c r="F4778" s="1"/>
      <c r="I4778" s="64"/>
      <c r="N4778" s="4"/>
    </row>
    <row r="4779" spans="1:14" x14ac:dyDescent="0.35">
      <c r="A4779">
        <v>4775</v>
      </c>
      <c r="B4779">
        <v>4776</v>
      </c>
      <c r="F4779" s="1"/>
      <c r="I4779" s="64"/>
      <c r="N4779" s="4"/>
    </row>
    <row r="4780" spans="1:14" x14ac:dyDescent="0.35">
      <c r="A4780">
        <v>4776</v>
      </c>
      <c r="B4780">
        <v>4777</v>
      </c>
      <c r="F4780" s="1"/>
      <c r="I4780" s="64"/>
      <c r="N4780" s="4"/>
    </row>
    <row r="4781" spans="1:14" x14ac:dyDescent="0.35">
      <c r="A4781">
        <v>4777</v>
      </c>
      <c r="B4781">
        <v>4778</v>
      </c>
      <c r="F4781" s="1"/>
      <c r="I4781" s="64"/>
      <c r="N4781" s="4"/>
    </row>
    <row r="4782" spans="1:14" x14ac:dyDescent="0.35">
      <c r="A4782">
        <v>4778</v>
      </c>
      <c r="B4782">
        <v>4779</v>
      </c>
      <c r="F4782" s="1"/>
      <c r="I4782" s="64"/>
      <c r="N4782" s="4"/>
    </row>
    <row r="4783" spans="1:14" x14ac:dyDescent="0.35">
      <c r="A4783">
        <v>4779</v>
      </c>
      <c r="B4783">
        <v>4780</v>
      </c>
      <c r="F4783" s="1"/>
      <c r="I4783" s="64"/>
      <c r="N4783" s="4"/>
    </row>
    <row r="4784" spans="1:14" x14ac:dyDescent="0.35">
      <c r="A4784">
        <v>4780</v>
      </c>
      <c r="B4784">
        <v>4781</v>
      </c>
      <c r="F4784" s="1"/>
      <c r="I4784" s="64"/>
      <c r="N4784" s="4"/>
    </row>
    <row r="4785" spans="1:14" x14ac:dyDescent="0.35">
      <c r="A4785">
        <v>4781</v>
      </c>
      <c r="B4785">
        <v>4782</v>
      </c>
      <c r="F4785" s="1"/>
      <c r="I4785" s="64"/>
      <c r="N4785" s="4"/>
    </row>
    <row r="4786" spans="1:14" x14ac:dyDescent="0.35">
      <c r="A4786">
        <v>4782</v>
      </c>
      <c r="B4786">
        <v>4783</v>
      </c>
      <c r="F4786" s="1"/>
      <c r="I4786" s="64"/>
      <c r="N4786" s="4"/>
    </row>
    <row r="4787" spans="1:14" x14ac:dyDescent="0.35">
      <c r="A4787">
        <v>4783</v>
      </c>
      <c r="B4787">
        <v>4784</v>
      </c>
      <c r="F4787" s="1"/>
      <c r="I4787" s="64"/>
      <c r="N4787" s="4"/>
    </row>
    <row r="4788" spans="1:14" x14ac:dyDescent="0.35">
      <c r="A4788">
        <v>4784</v>
      </c>
      <c r="B4788">
        <v>4785</v>
      </c>
      <c r="F4788" s="1"/>
      <c r="I4788" s="64"/>
      <c r="N4788" s="4"/>
    </row>
    <row r="4789" spans="1:14" x14ac:dyDescent="0.35">
      <c r="A4789">
        <v>4785</v>
      </c>
      <c r="B4789">
        <v>4786</v>
      </c>
      <c r="F4789" s="1"/>
      <c r="I4789" s="64"/>
      <c r="N4789" s="4"/>
    </row>
    <row r="4790" spans="1:14" x14ac:dyDescent="0.35">
      <c r="A4790">
        <v>4786</v>
      </c>
      <c r="B4790">
        <v>4787</v>
      </c>
      <c r="F4790" s="1"/>
      <c r="I4790" s="64"/>
      <c r="N4790" s="4"/>
    </row>
    <row r="4791" spans="1:14" x14ac:dyDescent="0.35">
      <c r="A4791">
        <v>4787</v>
      </c>
      <c r="B4791">
        <v>4788</v>
      </c>
      <c r="F4791" s="1"/>
      <c r="I4791" s="64"/>
      <c r="N4791" s="4"/>
    </row>
    <row r="4792" spans="1:14" x14ac:dyDescent="0.35">
      <c r="A4792">
        <v>4788</v>
      </c>
      <c r="B4792">
        <v>4789</v>
      </c>
      <c r="F4792" s="1"/>
      <c r="I4792" s="64"/>
      <c r="N4792" s="4"/>
    </row>
    <row r="4793" spans="1:14" x14ac:dyDescent="0.35">
      <c r="A4793">
        <v>4789</v>
      </c>
      <c r="B4793">
        <v>4790</v>
      </c>
      <c r="F4793" s="1"/>
      <c r="I4793" s="64"/>
      <c r="N4793" s="4"/>
    </row>
    <row r="4794" spans="1:14" x14ac:dyDescent="0.35">
      <c r="A4794">
        <v>4790</v>
      </c>
      <c r="B4794">
        <v>4791</v>
      </c>
      <c r="F4794" s="1"/>
      <c r="I4794" s="64"/>
      <c r="N4794" s="4"/>
    </row>
    <row r="4795" spans="1:14" x14ac:dyDescent="0.35">
      <c r="A4795">
        <v>4791</v>
      </c>
      <c r="B4795">
        <v>4792</v>
      </c>
      <c r="F4795" s="1"/>
      <c r="I4795" s="64"/>
      <c r="N4795" s="4"/>
    </row>
    <row r="4796" spans="1:14" x14ac:dyDescent="0.35">
      <c r="A4796">
        <v>4792</v>
      </c>
      <c r="B4796">
        <v>4793</v>
      </c>
      <c r="F4796" s="1"/>
      <c r="I4796" s="64"/>
      <c r="N4796" s="4"/>
    </row>
    <row r="4797" spans="1:14" x14ac:dyDescent="0.35">
      <c r="A4797">
        <v>4793</v>
      </c>
      <c r="B4797">
        <v>4794</v>
      </c>
      <c r="F4797" s="1"/>
      <c r="I4797" s="64"/>
      <c r="N4797" s="4"/>
    </row>
    <row r="4798" spans="1:14" x14ac:dyDescent="0.35">
      <c r="A4798">
        <v>4794</v>
      </c>
      <c r="B4798">
        <v>4795</v>
      </c>
      <c r="F4798" s="1"/>
      <c r="I4798" s="64"/>
      <c r="N4798" s="4"/>
    </row>
    <row r="4799" spans="1:14" x14ac:dyDescent="0.35">
      <c r="A4799">
        <v>4795</v>
      </c>
      <c r="B4799">
        <v>4796</v>
      </c>
      <c r="F4799" s="1"/>
      <c r="I4799" s="64"/>
      <c r="N4799" s="4"/>
    </row>
    <row r="4800" spans="1:14" x14ac:dyDescent="0.35">
      <c r="A4800">
        <v>4796</v>
      </c>
      <c r="B4800">
        <v>4797</v>
      </c>
      <c r="F4800" s="1"/>
      <c r="I4800" s="64"/>
      <c r="N4800" s="4"/>
    </row>
    <row r="4801" spans="1:14" x14ac:dyDescent="0.35">
      <c r="A4801">
        <v>4797</v>
      </c>
      <c r="B4801">
        <v>4798</v>
      </c>
      <c r="F4801" s="1"/>
      <c r="I4801" s="64"/>
      <c r="N4801" s="4"/>
    </row>
    <row r="4802" spans="1:14" x14ac:dyDescent="0.35">
      <c r="A4802">
        <v>4798</v>
      </c>
      <c r="B4802">
        <v>4799</v>
      </c>
      <c r="F4802" s="1"/>
      <c r="I4802" s="64"/>
      <c r="N4802" s="4"/>
    </row>
    <row r="4803" spans="1:14" x14ac:dyDescent="0.35">
      <c r="A4803">
        <v>4799</v>
      </c>
      <c r="B4803">
        <v>4800</v>
      </c>
      <c r="F4803" s="1"/>
      <c r="I4803" s="64"/>
      <c r="N4803" s="4"/>
    </row>
    <row r="4804" spans="1:14" x14ac:dyDescent="0.35">
      <c r="A4804">
        <v>4800</v>
      </c>
      <c r="B4804">
        <v>4801</v>
      </c>
      <c r="F4804" s="1"/>
      <c r="I4804" s="64"/>
      <c r="N4804" s="4"/>
    </row>
    <row r="4805" spans="1:14" x14ac:dyDescent="0.35">
      <c r="A4805">
        <v>4801</v>
      </c>
      <c r="B4805">
        <v>4802</v>
      </c>
      <c r="F4805" s="1"/>
      <c r="I4805" s="64"/>
      <c r="N4805" s="4"/>
    </row>
    <row r="4806" spans="1:14" x14ac:dyDescent="0.35">
      <c r="A4806">
        <v>4802</v>
      </c>
      <c r="B4806">
        <v>4803</v>
      </c>
      <c r="F4806" s="1"/>
      <c r="I4806" s="64"/>
      <c r="N4806" s="4"/>
    </row>
    <row r="4807" spans="1:14" x14ac:dyDescent="0.35">
      <c r="A4807">
        <v>4803</v>
      </c>
      <c r="B4807">
        <v>4804</v>
      </c>
      <c r="F4807" s="1"/>
      <c r="I4807" s="64"/>
      <c r="N4807" s="4"/>
    </row>
    <row r="4808" spans="1:14" x14ac:dyDescent="0.35">
      <c r="A4808">
        <v>4804</v>
      </c>
      <c r="B4808">
        <v>4805</v>
      </c>
      <c r="F4808" s="1"/>
      <c r="I4808" s="64"/>
      <c r="N4808" s="4"/>
    </row>
    <row r="4809" spans="1:14" x14ac:dyDescent="0.35">
      <c r="A4809">
        <v>4805</v>
      </c>
      <c r="B4809">
        <v>4806</v>
      </c>
      <c r="F4809" s="1"/>
      <c r="I4809" s="64"/>
      <c r="N4809" s="4"/>
    </row>
    <row r="4810" spans="1:14" x14ac:dyDescent="0.35">
      <c r="A4810">
        <v>4806</v>
      </c>
      <c r="B4810">
        <v>4807</v>
      </c>
      <c r="F4810" s="1"/>
      <c r="I4810" s="64"/>
      <c r="N4810" s="4"/>
    </row>
    <row r="4811" spans="1:14" x14ac:dyDescent="0.35">
      <c r="A4811">
        <v>4807</v>
      </c>
      <c r="B4811">
        <v>4808</v>
      </c>
      <c r="F4811" s="1"/>
      <c r="I4811" s="64"/>
      <c r="N4811" s="4"/>
    </row>
    <row r="4812" spans="1:14" x14ac:dyDescent="0.35">
      <c r="A4812">
        <v>4808</v>
      </c>
      <c r="B4812">
        <v>4809</v>
      </c>
      <c r="F4812" s="1"/>
      <c r="I4812" s="64"/>
      <c r="N4812" s="4"/>
    </row>
    <row r="4813" spans="1:14" x14ac:dyDescent="0.35">
      <c r="A4813">
        <v>4809</v>
      </c>
      <c r="B4813">
        <v>4810</v>
      </c>
      <c r="F4813" s="1"/>
      <c r="I4813" s="64"/>
      <c r="N4813" s="4"/>
    </row>
    <row r="4814" spans="1:14" x14ac:dyDescent="0.35">
      <c r="A4814">
        <v>4810</v>
      </c>
      <c r="B4814">
        <v>4811</v>
      </c>
      <c r="F4814" s="1"/>
      <c r="I4814" s="64"/>
      <c r="N4814" s="4"/>
    </row>
    <row r="4815" spans="1:14" x14ac:dyDescent="0.35">
      <c r="A4815">
        <v>4811</v>
      </c>
      <c r="B4815">
        <v>4812</v>
      </c>
      <c r="F4815" s="1"/>
      <c r="I4815" s="64"/>
      <c r="N4815" s="4"/>
    </row>
    <row r="4816" spans="1:14" x14ac:dyDescent="0.35">
      <c r="A4816">
        <v>4812</v>
      </c>
      <c r="B4816">
        <v>4813</v>
      </c>
      <c r="F4816" s="1"/>
      <c r="I4816" s="64"/>
      <c r="N4816" s="4"/>
    </row>
    <row r="4817" spans="1:14" x14ac:dyDescent="0.35">
      <c r="A4817">
        <v>4813</v>
      </c>
      <c r="B4817">
        <v>4814</v>
      </c>
      <c r="F4817" s="1"/>
      <c r="I4817" s="64"/>
      <c r="N4817" s="4"/>
    </row>
    <row r="4818" spans="1:14" x14ac:dyDescent="0.35">
      <c r="A4818">
        <v>4814</v>
      </c>
      <c r="B4818">
        <v>4815</v>
      </c>
      <c r="F4818" s="1"/>
      <c r="I4818" s="64"/>
      <c r="N4818" s="4"/>
    </row>
    <row r="4819" spans="1:14" x14ac:dyDescent="0.35">
      <c r="A4819">
        <v>4815</v>
      </c>
      <c r="B4819">
        <v>4816</v>
      </c>
      <c r="F4819" s="1"/>
      <c r="I4819" s="64"/>
      <c r="N4819" s="4"/>
    </row>
    <row r="4820" spans="1:14" x14ac:dyDescent="0.35">
      <c r="A4820">
        <v>4816</v>
      </c>
      <c r="B4820">
        <v>4817</v>
      </c>
      <c r="F4820" s="1"/>
      <c r="I4820" s="64"/>
      <c r="N4820" s="4"/>
    </row>
    <row r="4821" spans="1:14" x14ac:dyDescent="0.35">
      <c r="A4821">
        <v>4817</v>
      </c>
      <c r="B4821">
        <v>4818</v>
      </c>
      <c r="F4821" s="1"/>
      <c r="I4821" s="64"/>
      <c r="N4821" s="4"/>
    </row>
    <row r="4822" spans="1:14" x14ac:dyDescent="0.35">
      <c r="A4822">
        <v>4818</v>
      </c>
      <c r="B4822">
        <v>4819</v>
      </c>
      <c r="F4822" s="1"/>
      <c r="I4822" s="64"/>
      <c r="N4822" s="4"/>
    </row>
    <row r="4823" spans="1:14" x14ac:dyDescent="0.35">
      <c r="A4823">
        <v>4819</v>
      </c>
      <c r="B4823">
        <v>4820</v>
      </c>
      <c r="F4823" s="1"/>
      <c r="I4823" s="64"/>
      <c r="N4823" s="4"/>
    </row>
    <row r="4824" spans="1:14" x14ac:dyDescent="0.35">
      <c r="A4824">
        <v>4820</v>
      </c>
      <c r="B4824">
        <v>4821</v>
      </c>
      <c r="F4824" s="1"/>
      <c r="I4824" s="64"/>
      <c r="N4824" s="4"/>
    </row>
    <row r="4825" spans="1:14" x14ac:dyDescent="0.35">
      <c r="A4825">
        <v>4821</v>
      </c>
      <c r="B4825">
        <v>4822</v>
      </c>
      <c r="F4825" s="1"/>
      <c r="I4825" s="64"/>
      <c r="N4825" s="4"/>
    </row>
    <row r="4826" spans="1:14" x14ac:dyDescent="0.35">
      <c r="A4826">
        <v>4822</v>
      </c>
      <c r="B4826">
        <v>4823</v>
      </c>
      <c r="F4826" s="1"/>
      <c r="I4826" s="64"/>
      <c r="N4826" s="4"/>
    </row>
    <row r="4827" spans="1:14" x14ac:dyDescent="0.35">
      <c r="A4827">
        <v>4823</v>
      </c>
      <c r="B4827">
        <v>4824</v>
      </c>
      <c r="F4827" s="1"/>
      <c r="I4827" s="64"/>
      <c r="N4827" s="4"/>
    </row>
    <row r="4828" spans="1:14" x14ac:dyDescent="0.35">
      <c r="A4828">
        <v>4824</v>
      </c>
      <c r="B4828">
        <v>4825</v>
      </c>
      <c r="F4828" s="1"/>
      <c r="I4828" s="64"/>
      <c r="N4828" s="4"/>
    </row>
    <row r="4829" spans="1:14" x14ac:dyDescent="0.35">
      <c r="A4829">
        <v>4825</v>
      </c>
      <c r="B4829">
        <v>4826</v>
      </c>
      <c r="F4829" s="1"/>
      <c r="I4829" s="64"/>
      <c r="N4829" s="4"/>
    </row>
    <row r="4830" spans="1:14" x14ac:dyDescent="0.35">
      <c r="A4830">
        <v>4826</v>
      </c>
      <c r="B4830">
        <v>4827</v>
      </c>
      <c r="F4830" s="1"/>
      <c r="I4830" s="64"/>
      <c r="N4830" s="4"/>
    </row>
    <row r="4831" spans="1:14" x14ac:dyDescent="0.35">
      <c r="A4831">
        <v>4827</v>
      </c>
      <c r="B4831">
        <v>4828</v>
      </c>
      <c r="F4831" s="1"/>
      <c r="I4831" s="64"/>
      <c r="N4831" s="4"/>
    </row>
    <row r="4832" spans="1:14" x14ac:dyDescent="0.35">
      <c r="A4832">
        <v>4828</v>
      </c>
      <c r="B4832">
        <v>4829</v>
      </c>
      <c r="F4832" s="1"/>
      <c r="I4832" s="64"/>
      <c r="N4832" s="4"/>
    </row>
    <row r="4833" spans="1:14" x14ac:dyDescent="0.35">
      <c r="A4833">
        <v>4829</v>
      </c>
      <c r="B4833">
        <v>4830</v>
      </c>
      <c r="F4833" s="1"/>
      <c r="I4833" s="64"/>
      <c r="N4833" s="4"/>
    </row>
    <row r="4834" spans="1:14" x14ac:dyDescent="0.35">
      <c r="A4834">
        <v>4830</v>
      </c>
      <c r="B4834">
        <v>4831</v>
      </c>
      <c r="F4834" s="1"/>
      <c r="I4834" s="64"/>
      <c r="N4834" s="4"/>
    </row>
    <row r="4835" spans="1:14" x14ac:dyDescent="0.35">
      <c r="A4835">
        <v>4831</v>
      </c>
      <c r="B4835">
        <v>4832</v>
      </c>
      <c r="F4835" s="1"/>
      <c r="I4835" s="64"/>
      <c r="N4835" s="4"/>
    </row>
    <row r="4836" spans="1:14" x14ac:dyDescent="0.35">
      <c r="A4836">
        <v>4832</v>
      </c>
      <c r="B4836">
        <v>4833</v>
      </c>
      <c r="F4836" s="1"/>
      <c r="I4836" s="64"/>
      <c r="N4836" s="4"/>
    </row>
    <row r="4837" spans="1:14" x14ac:dyDescent="0.35">
      <c r="A4837">
        <v>4833</v>
      </c>
      <c r="B4837">
        <v>4834</v>
      </c>
      <c r="F4837" s="1"/>
      <c r="I4837" s="64"/>
      <c r="N4837" s="4"/>
    </row>
    <row r="4838" spans="1:14" x14ac:dyDescent="0.35">
      <c r="A4838">
        <v>4834</v>
      </c>
      <c r="B4838">
        <v>4835</v>
      </c>
      <c r="F4838" s="1"/>
      <c r="I4838" s="64"/>
      <c r="N4838" s="4"/>
    </row>
    <row r="4839" spans="1:14" x14ac:dyDescent="0.35">
      <c r="A4839">
        <v>4835</v>
      </c>
      <c r="B4839">
        <v>4836</v>
      </c>
      <c r="F4839" s="1"/>
      <c r="I4839" s="64"/>
      <c r="N4839" s="4"/>
    </row>
    <row r="4840" spans="1:14" x14ac:dyDescent="0.35">
      <c r="A4840">
        <v>4836</v>
      </c>
      <c r="B4840">
        <v>4837</v>
      </c>
      <c r="F4840" s="1"/>
      <c r="I4840" s="64"/>
      <c r="N4840" s="4"/>
    </row>
    <row r="4841" spans="1:14" x14ac:dyDescent="0.35">
      <c r="A4841">
        <v>4837</v>
      </c>
      <c r="B4841">
        <v>4838</v>
      </c>
      <c r="F4841" s="1"/>
      <c r="I4841" s="64"/>
      <c r="N4841" s="4"/>
    </row>
    <row r="4842" spans="1:14" x14ac:dyDescent="0.35">
      <c r="A4842">
        <v>4838</v>
      </c>
      <c r="B4842">
        <v>4839</v>
      </c>
      <c r="F4842" s="1"/>
      <c r="I4842" s="64"/>
      <c r="N4842" s="4"/>
    </row>
    <row r="4843" spans="1:14" x14ac:dyDescent="0.35">
      <c r="A4843">
        <v>4839</v>
      </c>
      <c r="B4843">
        <v>4840</v>
      </c>
      <c r="F4843" s="1"/>
      <c r="I4843" s="64"/>
      <c r="N4843" s="4"/>
    </row>
    <row r="4844" spans="1:14" x14ac:dyDescent="0.35">
      <c r="A4844">
        <v>4840</v>
      </c>
      <c r="B4844">
        <v>4841</v>
      </c>
      <c r="F4844" s="1"/>
      <c r="I4844" s="64"/>
      <c r="N4844" s="4"/>
    </row>
    <row r="4845" spans="1:14" x14ac:dyDescent="0.35">
      <c r="A4845">
        <v>4841</v>
      </c>
      <c r="B4845">
        <v>4842</v>
      </c>
      <c r="F4845" s="1"/>
      <c r="I4845" s="64"/>
      <c r="N4845" s="4"/>
    </row>
    <row r="4846" spans="1:14" x14ac:dyDescent="0.35">
      <c r="A4846">
        <v>4842</v>
      </c>
      <c r="B4846">
        <v>4843</v>
      </c>
      <c r="F4846" s="1"/>
      <c r="I4846" s="64"/>
      <c r="N4846" s="4"/>
    </row>
    <row r="4847" spans="1:14" x14ac:dyDescent="0.35">
      <c r="A4847">
        <v>4843</v>
      </c>
      <c r="B4847">
        <v>4844</v>
      </c>
      <c r="F4847" s="1"/>
      <c r="I4847" s="64"/>
      <c r="N4847" s="4"/>
    </row>
    <row r="4848" spans="1:14" x14ac:dyDescent="0.35">
      <c r="A4848">
        <v>4844</v>
      </c>
      <c r="B4848">
        <v>4845</v>
      </c>
      <c r="F4848" s="1"/>
      <c r="I4848" s="64"/>
      <c r="N4848" s="4"/>
    </row>
    <row r="4849" spans="1:14" x14ac:dyDescent="0.35">
      <c r="A4849">
        <v>4845</v>
      </c>
      <c r="B4849">
        <v>4846</v>
      </c>
      <c r="F4849" s="1"/>
      <c r="I4849" s="64"/>
      <c r="N4849" s="4"/>
    </row>
    <row r="4850" spans="1:14" x14ac:dyDescent="0.35">
      <c r="A4850">
        <v>4846</v>
      </c>
      <c r="B4850">
        <v>4847</v>
      </c>
      <c r="F4850" s="1"/>
      <c r="I4850" s="64"/>
      <c r="N4850" s="4"/>
    </row>
    <row r="4851" spans="1:14" x14ac:dyDescent="0.35">
      <c r="A4851">
        <v>4847</v>
      </c>
      <c r="B4851">
        <v>4848</v>
      </c>
      <c r="F4851" s="1"/>
      <c r="I4851" s="64"/>
      <c r="N4851" s="4"/>
    </row>
    <row r="4852" spans="1:14" x14ac:dyDescent="0.35">
      <c r="A4852">
        <v>4848</v>
      </c>
      <c r="B4852">
        <v>4849</v>
      </c>
      <c r="F4852" s="1"/>
      <c r="I4852" s="64"/>
      <c r="N4852" s="4"/>
    </row>
    <row r="4853" spans="1:14" x14ac:dyDescent="0.35">
      <c r="A4853">
        <v>4849</v>
      </c>
      <c r="B4853">
        <v>4850</v>
      </c>
      <c r="F4853" s="1"/>
      <c r="I4853" s="64"/>
      <c r="N4853" s="4"/>
    </row>
    <row r="4854" spans="1:14" x14ac:dyDescent="0.35">
      <c r="A4854">
        <v>4850</v>
      </c>
      <c r="B4854">
        <v>4851</v>
      </c>
      <c r="F4854" s="1"/>
      <c r="I4854" s="64"/>
      <c r="N4854" s="4"/>
    </row>
    <row r="4855" spans="1:14" x14ac:dyDescent="0.35">
      <c r="A4855">
        <v>4851</v>
      </c>
      <c r="B4855">
        <v>4852</v>
      </c>
      <c r="F4855" s="1"/>
      <c r="I4855" s="64"/>
      <c r="N4855" s="4"/>
    </row>
    <row r="4856" spans="1:14" x14ac:dyDescent="0.35">
      <c r="A4856">
        <v>4852</v>
      </c>
      <c r="B4856">
        <v>4853</v>
      </c>
      <c r="F4856" s="1"/>
      <c r="I4856" s="64"/>
      <c r="N4856" s="4"/>
    </row>
    <row r="4857" spans="1:14" x14ac:dyDescent="0.35">
      <c r="A4857">
        <v>4853</v>
      </c>
      <c r="B4857">
        <v>4854</v>
      </c>
      <c r="F4857" s="1"/>
      <c r="I4857" s="64"/>
      <c r="N4857" s="4"/>
    </row>
    <row r="4858" spans="1:14" x14ac:dyDescent="0.35">
      <c r="A4858">
        <v>4854</v>
      </c>
      <c r="B4858">
        <v>4855</v>
      </c>
      <c r="F4858" s="1"/>
      <c r="I4858" s="64"/>
      <c r="N4858" s="4"/>
    </row>
    <row r="4859" spans="1:14" x14ac:dyDescent="0.35">
      <c r="A4859">
        <v>4855</v>
      </c>
      <c r="B4859">
        <v>4856</v>
      </c>
      <c r="F4859" s="1"/>
      <c r="I4859" s="64"/>
      <c r="N4859" s="4"/>
    </row>
    <row r="4860" spans="1:14" x14ac:dyDescent="0.35">
      <c r="A4860">
        <v>4856</v>
      </c>
      <c r="B4860">
        <v>4857</v>
      </c>
      <c r="F4860" s="1"/>
      <c r="I4860" s="64"/>
      <c r="N4860" s="4"/>
    </row>
    <row r="4861" spans="1:14" x14ac:dyDescent="0.35">
      <c r="A4861">
        <v>4857</v>
      </c>
      <c r="B4861">
        <v>4858</v>
      </c>
      <c r="F4861" s="1"/>
      <c r="I4861" s="64"/>
      <c r="N4861" s="4"/>
    </row>
    <row r="4862" spans="1:14" x14ac:dyDescent="0.35">
      <c r="A4862">
        <v>4858</v>
      </c>
      <c r="B4862">
        <v>4859</v>
      </c>
      <c r="F4862" s="1"/>
      <c r="I4862" s="64"/>
      <c r="N4862" s="4"/>
    </row>
    <row r="4863" spans="1:14" x14ac:dyDescent="0.35">
      <c r="A4863">
        <v>4859</v>
      </c>
      <c r="B4863">
        <v>4860</v>
      </c>
      <c r="F4863" s="1"/>
      <c r="I4863" s="64"/>
      <c r="N4863" s="4"/>
    </row>
    <row r="4864" spans="1:14" x14ac:dyDescent="0.35">
      <c r="A4864">
        <v>4860</v>
      </c>
      <c r="B4864">
        <v>4861</v>
      </c>
      <c r="F4864" s="1"/>
      <c r="I4864" s="64"/>
      <c r="N4864" s="4"/>
    </row>
    <row r="4865" spans="1:14" x14ac:dyDescent="0.35">
      <c r="A4865">
        <v>4861</v>
      </c>
      <c r="B4865">
        <v>4862</v>
      </c>
      <c r="F4865" s="1"/>
      <c r="I4865" s="64"/>
      <c r="N4865" s="4"/>
    </row>
    <row r="4866" spans="1:14" x14ac:dyDescent="0.35">
      <c r="A4866">
        <v>4862</v>
      </c>
      <c r="B4866">
        <v>4863</v>
      </c>
      <c r="F4866" s="1"/>
      <c r="I4866" s="64"/>
      <c r="N4866" s="4"/>
    </row>
    <row r="4867" spans="1:14" x14ac:dyDescent="0.35">
      <c r="A4867">
        <v>4863</v>
      </c>
      <c r="B4867">
        <v>4864</v>
      </c>
      <c r="F4867" s="1"/>
      <c r="I4867" s="64"/>
      <c r="N4867" s="4"/>
    </row>
    <row r="4868" spans="1:14" x14ac:dyDescent="0.35">
      <c r="A4868">
        <v>4864</v>
      </c>
      <c r="B4868">
        <v>4865</v>
      </c>
      <c r="F4868" s="1"/>
      <c r="I4868" s="64"/>
      <c r="N4868" s="4"/>
    </row>
    <row r="4869" spans="1:14" x14ac:dyDescent="0.35">
      <c r="A4869">
        <v>4865</v>
      </c>
      <c r="B4869">
        <v>4866</v>
      </c>
      <c r="F4869" s="1"/>
      <c r="I4869" s="64"/>
      <c r="N4869" s="4"/>
    </row>
    <row r="4870" spans="1:14" x14ac:dyDescent="0.35">
      <c r="A4870">
        <v>4866</v>
      </c>
      <c r="B4870">
        <v>4867</v>
      </c>
      <c r="F4870" s="1"/>
      <c r="I4870" s="64"/>
      <c r="N4870" s="4"/>
    </row>
    <row r="4871" spans="1:14" x14ac:dyDescent="0.35">
      <c r="A4871">
        <v>4867</v>
      </c>
      <c r="B4871">
        <v>4868</v>
      </c>
      <c r="F4871" s="1"/>
      <c r="I4871" s="64"/>
      <c r="N4871" s="4"/>
    </row>
    <row r="4872" spans="1:14" x14ac:dyDescent="0.35">
      <c r="A4872">
        <v>4868</v>
      </c>
      <c r="B4872">
        <v>4869</v>
      </c>
      <c r="F4872" s="1"/>
      <c r="I4872" s="64"/>
      <c r="N4872" s="4"/>
    </row>
    <row r="4873" spans="1:14" x14ac:dyDescent="0.35">
      <c r="A4873">
        <v>4869</v>
      </c>
      <c r="B4873">
        <v>4870</v>
      </c>
      <c r="F4873" s="1"/>
      <c r="I4873" s="64"/>
      <c r="N4873" s="4"/>
    </row>
    <row r="4874" spans="1:14" x14ac:dyDescent="0.35">
      <c r="A4874">
        <v>4870</v>
      </c>
      <c r="B4874">
        <v>4871</v>
      </c>
      <c r="F4874" s="1"/>
      <c r="I4874" s="64"/>
      <c r="N4874" s="4"/>
    </row>
    <row r="4875" spans="1:14" x14ac:dyDescent="0.35">
      <c r="A4875">
        <v>4871</v>
      </c>
      <c r="B4875">
        <v>4872</v>
      </c>
      <c r="F4875" s="1"/>
      <c r="I4875" s="64"/>
      <c r="N4875" s="4"/>
    </row>
    <row r="4876" spans="1:14" x14ac:dyDescent="0.35">
      <c r="A4876">
        <v>4872</v>
      </c>
      <c r="B4876">
        <v>4873</v>
      </c>
      <c r="F4876" s="1"/>
      <c r="I4876" s="64"/>
      <c r="N4876" s="4"/>
    </row>
    <row r="4877" spans="1:14" x14ac:dyDescent="0.35">
      <c r="A4877">
        <v>4873</v>
      </c>
      <c r="B4877">
        <v>4874</v>
      </c>
      <c r="F4877" s="1"/>
      <c r="I4877" s="64"/>
      <c r="N4877" s="4"/>
    </row>
    <row r="4878" spans="1:14" x14ac:dyDescent="0.35">
      <c r="A4878">
        <v>4874</v>
      </c>
      <c r="B4878">
        <v>4875</v>
      </c>
      <c r="F4878" s="1"/>
      <c r="I4878" s="64"/>
      <c r="N4878" s="4"/>
    </row>
    <row r="4879" spans="1:14" x14ac:dyDescent="0.35">
      <c r="A4879">
        <v>4875</v>
      </c>
      <c r="B4879">
        <v>4876</v>
      </c>
      <c r="F4879" s="1"/>
      <c r="I4879" s="64"/>
      <c r="N4879" s="4"/>
    </row>
    <row r="4880" spans="1:14" x14ac:dyDescent="0.35">
      <c r="A4880">
        <v>4876</v>
      </c>
      <c r="B4880">
        <v>4877</v>
      </c>
      <c r="F4880" s="1"/>
      <c r="I4880" s="64"/>
      <c r="N4880" s="4"/>
    </row>
    <row r="4881" spans="1:14" x14ac:dyDescent="0.35">
      <c r="A4881">
        <v>4877</v>
      </c>
      <c r="B4881">
        <v>4878</v>
      </c>
      <c r="F4881" s="1"/>
      <c r="I4881" s="64"/>
      <c r="N4881" s="4"/>
    </row>
    <row r="4882" spans="1:14" x14ac:dyDescent="0.35">
      <c r="A4882">
        <v>4878</v>
      </c>
      <c r="B4882">
        <v>4879</v>
      </c>
      <c r="F4882" s="1"/>
      <c r="I4882" s="64"/>
      <c r="N4882" s="4"/>
    </row>
    <row r="4883" spans="1:14" x14ac:dyDescent="0.35">
      <c r="A4883">
        <v>4879</v>
      </c>
      <c r="B4883">
        <v>4880</v>
      </c>
      <c r="F4883" s="1"/>
      <c r="I4883" s="64"/>
      <c r="N4883" s="4"/>
    </row>
    <row r="4884" spans="1:14" x14ac:dyDescent="0.35">
      <c r="A4884">
        <v>4880</v>
      </c>
      <c r="B4884">
        <v>4881</v>
      </c>
      <c r="F4884" s="1"/>
      <c r="I4884" s="64"/>
      <c r="N4884" s="4"/>
    </row>
    <row r="4885" spans="1:14" x14ac:dyDescent="0.35">
      <c r="A4885">
        <v>4881</v>
      </c>
      <c r="B4885">
        <v>4882</v>
      </c>
      <c r="F4885" s="1"/>
      <c r="I4885" s="64"/>
      <c r="N4885" s="4"/>
    </row>
    <row r="4886" spans="1:14" x14ac:dyDescent="0.35">
      <c r="A4886">
        <v>4882</v>
      </c>
      <c r="B4886">
        <v>4883</v>
      </c>
      <c r="F4886" s="1"/>
      <c r="I4886" s="64"/>
      <c r="N4886" s="4"/>
    </row>
    <row r="4887" spans="1:14" x14ac:dyDescent="0.35">
      <c r="A4887">
        <v>4883</v>
      </c>
      <c r="B4887">
        <v>4884</v>
      </c>
      <c r="F4887" s="1"/>
      <c r="I4887" s="64"/>
      <c r="N4887" s="4"/>
    </row>
    <row r="4888" spans="1:14" x14ac:dyDescent="0.35">
      <c r="A4888">
        <v>4884</v>
      </c>
      <c r="B4888">
        <v>4885</v>
      </c>
      <c r="F4888" s="1"/>
      <c r="I4888" s="64"/>
      <c r="N4888" s="4"/>
    </row>
    <row r="4889" spans="1:14" x14ac:dyDescent="0.35">
      <c r="A4889">
        <v>4885</v>
      </c>
      <c r="B4889">
        <v>4886</v>
      </c>
      <c r="F4889" s="1"/>
      <c r="I4889" s="64"/>
      <c r="N4889" s="4"/>
    </row>
    <row r="4890" spans="1:14" x14ac:dyDescent="0.35">
      <c r="A4890">
        <v>4886</v>
      </c>
      <c r="B4890">
        <v>4887</v>
      </c>
      <c r="F4890" s="1"/>
      <c r="I4890" s="64"/>
      <c r="N4890" s="4"/>
    </row>
    <row r="4891" spans="1:14" x14ac:dyDescent="0.35">
      <c r="A4891">
        <v>4887</v>
      </c>
      <c r="B4891">
        <v>4888</v>
      </c>
      <c r="F4891" s="1"/>
      <c r="I4891" s="64"/>
      <c r="N4891" s="4"/>
    </row>
    <row r="4892" spans="1:14" x14ac:dyDescent="0.35">
      <c r="A4892">
        <v>4888</v>
      </c>
      <c r="B4892">
        <v>4889</v>
      </c>
      <c r="F4892" s="1"/>
      <c r="I4892" s="64"/>
      <c r="N4892" s="4"/>
    </row>
    <row r="4893" spans="1:14" x14ac:dyDescent="0.35">
      <c r="A4893">
        <v>4889</v>
      </c>
      <c r="B4893">
        <v>4890</v>
      </c>
      <c r="F4893" s="1"/>
      <c r="I4893" s="64"/>
      <c r="N4893" s="4"/>
    </row>
    <row r="4894" spans="1:14" x14ac:dyDescent="0.35">
      <c r="A4894">
        <v>4890</v>
      </c>
      <c r="B4894">
        <v>4891</v>
      </c>
      <c r="F4894" s="1"/>
      <c r="I4894" s="64"/>
      <c r="N4894" s="4"/>
    </row>
    <row r="4895" spans="1:14" x14ac:dyDescent="0.35">
      <c r="A4895">
        <v>4891</v>
      </c>
      <c r="B4895">
        <v>4892</v>
      </c>
      <c r="F4895" s="1"/>
      <c r="I4895" s="64"/>
      <c r="N4895" s="4"/>
    </row>
    <row r="4896" spans="1:14" x14ac:dyDescent="0.35">
      <c r="A4896">
        <v>4892</v>
      </c>
      <c r="B4896">
        <v>4893</v>
      </c>
      <c r="F4896" s="1"/>
      <c r="I4896" s="64"/>
      <c r="N4896" s="4"/>
    </row>
    <row r="4897" spans="1:14" x14ac:dyDescent="0.35">
      <c r="A4897">
        <v>4893</v>
      </c>
      <c r="B4897">
        <v>4894</v>
      </c>
      <c r="F4897" s="1"/>
      <c r="I4897" s="64"/>
      <c r="N4897" s="4"/>
    </row>
    <row r="4898" spans="1:14" x14ac:dyDescent="0.35">
      <c r="A4898">
        <v>4894</v>
      </c>
      <c r="B4898">
        <v>4895</v>
      </c>
      <c r="F4898" s="1"/>
      <c r="I4898" s="64"/>
      <c r="N4898" s="4"/>
    </row>
    <row r="4899" spans="1:14" x14ac:dyDescent="0.35">
      <c r="A4899">
        <v>4895</v>
      </c>
      <c r="B4899">
        <v>4896</v>
      </c>
      <c r="F4899" s="1"/>
      <c r="I4899" s="64"/>
      <c r="N4899" s="4"/>
    </row>
    <row r="4900" spans="1:14" x14ac:dyDescent="0.35">
      <c r="A4900">
        <v>4896</v>
      </c>
      <c r="B4900">
        <v>4897</v>
      </c>
      <c r="F4900" s="1"/>
      <c r="I4900" s="64"/>
      <c r="N4900" s="4"/>
    </row>
    <row r="4901" spans="1:14" x14ac:dyDescent="0.35">
      <c r="A4901">
        <v>4897</v>
      </c>
      <c r="B4901">
        <v>4898</v>
      </c>
      <c r="F4901" s="1"/>
      <c r="I4901" s="64"/>
      <c r="N4901" s="4"/>
    </row>
    <row r="4902" spans="1:14" x14ac:dyDescent="0.35">
      <c r="A4902">
        <v>4898</v>
      </c>
      <c r="B4902">
        <v>4899</v>
      </c>
      <c r="F4902" s="1"/>
      <c r="I4902" s="64"/>
      <c r="N4902" s="4"/>
    </row>
    <row r="4903" spans="1:14" x14ac:dyDescent="0.35">
      <c r="A4903">
        <v>4899</v>
      </c>
      <c r="B4903">
        <v>4900</v>
      </c>
      <c r="F4903" s="1"/>
      <c r="I4903" s="64"/>
      <c r="N4903" s="4"/>
    </row>
    <row r="4904" spans="1:14" x14ac:dyDescent="0.35">
      <c r="A4904">
        <v>4900</v>
      </c>
      <c r="B4904">
        <v>4901</v>
      </c>
      <c r="F4904" s="1"/>
      <c r="I4904" s="64"/>
      <c r="N4904" s="4"/>
    </row>
    <row r="4905" spans="1:14" x14ac:dyDescent="0.35">
      <c r="A4905">
        <v>4901</v>
      </c>
      <c r="B4905">
        <v>4902</v>
      </c>
      <c r="F4905" s="1"/>
      <c r="I4905" s="64"/>
      <c r="N4905" s="4"/>
    </row>
    <row r="4906" spans="1:14" x14ac:dyDescent="0.35">
      <c r="A4906">
        <v>4902</v>
      </c>
      <c r="B4906">
        <v>4903</v>
      </c>
      <c r="F4906" s="1"/>
      <c r="I4906" s="64"/>
      <c r="N4906" s="4"/>
    </row>
    <row r="4907" spans="1:14" x14ac:dyDescent="0.35">
      <c r="A4907">
        <v>4903</v>
      </c>
      <c r="B4907">
        <v>4904</v>
      </c>
      <c r="F4907" s="1"/>
      <c r="I4907" s="64"/>
      <c r="N4907" s="4"/>
    </row>
    <row r="4908" spans="1:14" x14ac:dyDescent="0.35">
      <c r="A4908">
        <v>4904</v>
      </c>
      <c r="B4908">
        <v>4905</v>
      </c>
      <c r="F4908" s="1"/>
      <c r="I4908" s="64"/>
      <c r="N4908" s="4"/>
    </row>
    <row r="4909" spans="1:14" x14ac:dyDescent="0.35">
      <c r="A4909">
        <v>4905</v>
      </c>
      <c r="B4909">
        <v>4906</v>
      </c>
      <c r="F4909" s="1"/>
      <c r="I4909" s="64"/>
      <c r="N4909" s="4"/>
    </row>
    <row r="4910" spans="1:14" x14ac:dyDescent="0.35">
      <c r="A4910">
        <v>4906</v>
      </c>
      <c r="B4910">
        <v>4907</v>
      </c>
      <c r="F4910" s="1"/>
      <c r="I4910" s="64"/>
      <c r="N4910" s="4"/>
    </row>
    <row r="4911" spans="1:14" x14ac:dyDescent="0.35">
      <c r="A4911">
        <v>4907</v>
      </c>
      <c r="B4911">
        <v>4908</v>
      </c>
      <c r="F4911" s="1"/>
      <c r="I4911" s="64"/>
      <c r="N4911" s="4"/>
    </row>
    <row r="4912" spans="1:14" x14ac:dyDescent="0.35">
      <c r="A4912">
        <v>4908</v>
      </c>
      <c r="B4912">
        <v>4909</v>
      </c>
      <c r="F4912" s="1"/>
      <c r="I4912" s="64"/>
      <c r="N4912" s="4"/>
    </row>
    <row r="4913" spans="1:14" x14ac:dyDescent="0.35">
      <c r="A4913">
        <v>4909</v>
      </c>
      <c r="B4913">
        <v>4910</v>
      </c>
      <c r="F4913" s="1"/>
      <c r="I4913" s="64"/>
      <c r="N4913" s="4"/>
    </row>
    <row r="4914" spans="1:14" x14ac:dyDescent="0.35">
      <c r="A4914">
        <v>4910</v>
      </c>
      <c r="B4914">
        <v>4911</v>
      </c>
      <c r="F4914" s="1"/>
      <c r="I4914" s="64"/>
      <c r="N4914" s="4"/>
    </row>
    <row r="4915" spans="1:14" x14ac:dyDescent="0.35">
      <c r="A4915">
        <v>4911</v>
      </c>
      <c r="B4915">
        <v>4912</v>
      </c>
      <c r="F4915" s="1"/>
      <c r="I4915" s="64"/>
      <c r="N4915" s="4"/>
    </row>
    <row r="4916" spans="1:14" x14ac:dyDescent="0.35">
      <c r="A4916">
        <v>4912</v>
      </c>
      <c r="B4916">
        <v>4913</v>
      </c>
      <c r="F4916" s="1"/>
      <c r="I4916" s="64"/>
      <c r="N4916" s="4"/>
    </row>
    <row r="4917" spans="1:14" x14ac:dyDescent="0.35">
      <c r="A4917">
        <v>4913</v>
      </c>
      <c r="B4917">
        <v>4914</v>
      </c>
      <c r="F4917" s="1"/>
      <c r="I4917" s="64"/>
      <c r="N4917" s="4"/>
    </row>
    <row r="4918" spans="1:14" x14ac:dyDescent="0.35">
      <c r="A4918">
        <v>4914</v>
      </c>
      <c r="B4918">
        <v>4915</v>
      </c>
      <c r="F4918" s="1"/>
      <c r="I4918" s="64"/>
      <c r="N4918" s="4"/>
    </row>
    <row r="4919" spans="1:14" x14ac:dyDescent="0.35">
      <c r="A4919">
        <v>4915</v>
      </c>
      <c r="B4919">
        <v>4916</v>
      </c>
      <c r="F4919" s="1"/>
      <c r="I4919" s="64"/>
      <c r="N4919" s="4"/>
    </row>
    <row r="4920" spans="1:14" x14ac:dyDescent="0.35">
      <c r="A4920">
        <v>4916</v>
      </c>
      <c r="B4920">
        <v>4917</v>
      </c>
      <c r="F4920" s="1"/>
      <c r="I4920" s="64"/>
      <c r="N4920" s="4"/>
    </row>
    <row r="4921" spans="1:14" x14ac:dyDescent="0.35">
      <c r="A4921">
        <v>4917</v>
      </c>
      <c r="B4921">
        <v>4918</v>
      </c>
      <c r="F4921" s="1"/>
      <c r="I4921" s="64"/>
      <c r="N4921" s="4"/>
    </row>
    <row r="4922" spans="1:14" x14ac:dyDescent="0.35">
      <c r="A4922">
        <v>4918</v>
      </c>
      <c r="B4922">
        <v>4919</v>
      </c>
      <c r="F4922" s="1"/>
      <c r="I4922" s="64"/>
      <c r="N4922" s="4"/>
    </row>
    <row r="4923" spans="1:14" x14ac:dyDescent="0.35">
      <c r="A4923">
        <v>4919</v>
      </c>
      <c r="B4923">
        <v>4920</v>
      </c>
      <c r="F4923" s="1"/>
      <c r="I4923" s="64"/>
      <c r="N4923" s="4"/>
    </row>
    <row r="4924" spans="1:14" x14ac:dyDescent="0.35">
      <c r="A4924">
        <v>4920</v>
      </c>
      <c r="B4924">
        <v>4921</v>
      </c>
      <c r="F4924" s="1"/>
      <c r="I4924" s="64"/>
      <c r="N4924" s="4"/>
    </row>
    <row r="4925" spans="1:14" x14ac:dyDescent="0.35">
      <c r="A4925">
        <v>4921</v>
      </c>
      <c r="B4925">
        <v>4922</v>
      </c>
      <c r="F4925" s="1"/>
      <c r="I4925" s="64"/>
      <c r="N4925" s="4"/>
    </row>
    <row r="4926" spans="1:14" x14ac:dyDescent="0.35">
      <c r="A4926">
        <v>4922</v>
      </c>
      <c r="B4926">
        <v>4923</v>
      </c>
      <c r="F4926" s="1"/>
      <c r="I4926" s="64"/>
      <c r="N4926" s="4"/>
    </row>
    <row r="4927" spans="1:14" x14ac:dyDescent="0.35">
      <c r="A4927">
        <v>4923</v>
      </c>
      <c r="B4927">
        <v>4924</v>
      </c>
      <c r="F4927" s="1"/>
      <c r="I4927" s="64"/>
      <c r="N4927" s="4"/>
    </row>
    <row r="4928" spans="1:14" x14ac:dyDescent="0.35">
      <c r="A4928">
        <v>4924</v>
      </c>
      <c r="B4928">
        <v>4925</v>
      </c>
      <c r="F4928" s="1"/>
      <c r="I4928" s="64"/>
      <c r="N4928" s="4"/>
    </row>
    <row r="4929" spans="1:14" x14ac:dyDescent="0.35">
      <c r="A4929">
        <v>4925</v>
      </c>
      <c r="B4929">
        <v>4926</v>
      </c>
      <c r="F4929" s="1"/>
      <c r="I4929" s="64"/>
      <c r="N4929" s="4"/>
    </row>
    <row r="4930" spans="1:14" x14ac:dyDescent="0.35">
      <c r="A4930">
        <v>4926</v>
      </c>
      <c r="B4930">
        <v>4927</v>
      </c>
      <c r="F4930" s="1"/>
      <c r="I4930" s="64"/>
      <c r="N4930" s="4"/>
    </row>
    <row r="4931" spans="1:14" x14ac:dyDescent="0.35">
      <c r="A4931">
        <v>4927</v>
      </c>
      <c r="B4931">
        <v>4928</v>
      </c>
      <c r="F4931" s="1"/>
      <c r="I4931" s="64"/>
      <c r="N4931" s="4"/>
    </row>
    <row r="4932" spans="1:14" x14ac:dyDescent="0.35">
      <c r="A4932">
        <v>4928</v>
      </c>
      <c r="B4932">
        <v>4929</v>
      </c>
      <c r="F4932" s="1"/>
      <c r="I4932" s="64"/>
      <c r="N4932" s="4"/>
    </row>
    <row r="4933" spans="1:14" x14ac:dyDescent="0.35">
      <c r="A4933">
        <v>4929</v>
      </c>
      <c r="B4933">
        <v>4930</v>
      </c>
      <c r="F4933" s="1"/>
      <c r="I4933" s="64"/>
      <c r="N4933" s="4"/>
    </row>
    <row r="4934" spans="1:14" x14ac:dyDescent="0.35">
      <c r="A4934">
        <v>4930</v>
      </c>
      <c r="B4934">
        <v>4931</v>
      </c>
      <c r="F4934" s="1"/>
      <c r="I4934" s="64"/>
      <c r="N4934" s="4"/>
    </row>
    <row r="4935" spans="1:14" x14ac:dyDescent="0.35">
      <c r="A4935">
        <v>4931</v>
      </c>
      <c r="B4935">
        <v>4932</v>
      </c>
      <c r="F4935" s="1"/>
      <c r="I4935" s="64"/>
      <c r="N4935" s="4"/>
    </row>
    <row r="4936" spans="1:14" x14ac:dyDescent="0.35">
      <c r="A4936">
        <v>4932</v>
      </c>
      <c r="B4936">
        <v>4933</v>
      </c>
      <c r="F4936" s="1"/>
      <c r="I4936" s="64"/>
      <c r="N4936" s="4"/>
    </row>
    <row r="4937" spans="1:14" x14ac:dyDescent="0.35">
      <c r="A4937">
        <v>4933</v>
      </c>
      <c r="B4937">
        <v>4934</v>
      </c>
      <c r="F4937" s="1"/>
      <c r="I4937" s="64"/>
      <c r="N4937" s="4"/>
    </row>
    <row r="4938" spans="1:14" x14ac:dyDescent="0.35">
      <c r="A4938">
        <v>4934</v>
      </c>
      <c r="B4938">
        <v>4935</v>
      </c>
      <c r="F4938" s="1"/>
      <c r="I4938" s="64"/>
      <c r="N4938" s="4"/>
    </row>
    <row r="4939" spans="1:14" x14ac:dyDescent="0.35">
      <c r="A4939">
        <v>4935</v>
      </c>
      <c r="B4939">
        <v>4936</v>
      </c>
      <c r="F4939" s="1"/>
      <c r="I4939" s="64"/>
      <c r="N4939" s="4"/>
    </row>
    <row r="4940" spans="1:14" x14ac:dyDescent="0.35">
      <c r="A4940">
        <v>4936</v>
      </c>
      <c r="B4940">
        <v>4937</v>
      </c>
      <c r="F4940" s="1"/>
      <c r="I4940" s="53" t="str">
        <f t="shared" ref="I4940:I4996" si="222">IF(LEN(F4940)=0,"",IF(H4940="X","",IF(I4939="",0,I4939)))</f>
        <v/>
      </c>
      <c r="N4940" s="4"/>
    </row>
    <row r="4941" spans="1:14" x14ac:dyDescent="0.35">
      <c r="A4941">
        <v>4937</v>
      </c>
      <c r="B4941">
        <v>4938</v>
      </c>
      <c r="F4941" s="1"/>
      <c r="I4941" s="53" t="str">
        <f t="shared" si="222"/>
        <v/>
      </c>
      <c r="N4941" s="4"/>
    </row>
    <row r="4942" spans="1:14" x14ac:dyDescent="0.35">
      <c r="A4942">
        <v>4938</v>
      </c>
      <c r="B4942">
        <v>4939</v>
      </c>
      <c r="F4942" s="1"/>
      <c r="I4942" s="53" t="str">
        <f>IF(LEN(F4940)=0,"",IF(H4940="X","",IF(I4941="",0,I4941)))</f>
        <v/>
      </c>
      <c r="N4942" s="4"/>
    </row>
    <row r="4943" spans="1:14" x14ac:dyDescent="0.35">
      <c r="A4943">
        <v>4939</v>
      </c>
      <c r="B4943">
        <v>4940</v>
      </c>
      <c r="F4943" s="1"/>
      <c r="I4943" s="53" t="str">
        <f>IF(LEN(F4943)=0,"",IF(H4943="X","",IF(I4940="",0,I4940)))</f>
        <v/>
      </c>
      <c r="N4943" s="4"/>
    </row>
    <row r="4944" spans="1:14" x14ac:dyDescent="0.35">
      <c r="A4944">
        <v>4940</v>
      </c>
      <c r="B4944">
        <v>4941</v>
      </c>
      <c r="F4944" s="1"/>
      <c r="I4944" s="53" t="str">
        <f t="shared" si="222"/>
        <v/>
      </c>
      <c r="N4944" s="4"/>
    </row>
    <row r="4945" spans="1:14" x14ac:dyDescent="0.35">
      <c r="A4945">
        <v>4941</v>
      </c>
      <c r="B4945">
        <v>4942</v>
      </c>
      <c r="F4945" s="1"/>
      <c r="I4945" s="53" t="str">
        <f t="shared" si="222"/>
        <v/>
      </c>
      <c r="N4945" s="4"/>
    </row>
    <row r="4946" spans="1:14" x14ac:dyDescent="0.35">
      <c r="A4946">
        <v>4942</v>
      </c>
      <c r="B4946">
        <v>4943</v>
      </c>
      <c r="F4946" s="1"/>
      <c r="I4946" s="53" t="str">
        <f t="shared" si="222"/>
        <v/>
      </c>
      <c r="N4946" s="4"/>
    </row>
    <row r="4947" spans="1:14" x14ac:dyDescent="0.35">
      <c r="A4947">
        <v>4943</v>
      </c>
      <c r="B4947">
        <v>4944</v>
      </c>
      <c r="F4947" s="1"/>
      <c r="I4947" s="53" t="str">
        <f t="shared" si="222"/>
        <v/>
      </c>
      <c r="N4947" s="4"/>
    </row>
    <row r="4948" spans="1:14" x14ac:dyDescent="0.35">
      <c r="A4948">
        <v>4944</v>
      </c>
      <c r="B4948">
        <v>4945</v>
      </c>
      <c r="F4948" s="1"/>
      <c r="I4948" s="53" t="str">
        <f t="shared" si="222"/>
        <v/>
      </c>
      <c r="N4948" s="4"/>
    </row>
    <row r="4949" spans="1:14" x14ac:dyDescent="0.35">
      <c r="A4949">
        <v>4945</v>
      </c>
      <c r="B4949">
        <v>4946</v>
      </c>
      <c r="F4949" s="1"/>
      <c r="I4949" s="53" t="str">
        <f t="shared" si="222"/>
        <v/>
      </c>
      <c r="N4949" s="4"/>
    </row>
    <row r="4950" spans="1:14" x14ac:dyDescent="0.35">
      <c r="A4950">
        <v>4946</v>
      </c>
      <c r="B4950">
        <v>4947</v>
      </c>
      <c r="F4950" s="1"/>
      <c r="I4950" s="53" t="str">
        <f t="shared" si="222"/>
        <v/>
      </c>
      <c r="N4950" s="4"/>
    </row>
    <row r="4951" spans="1:14" x14ac:dyDescent="0.35">
      <c r="A4951">
        <v>4947</v>
      </c>
      <c r="B4951">
        <v>4948</v>
      </c>
      <c r="F4951" s="1"/>
      <c r="I4951" s="53" t="str">
        <f t="shared" si="222"/>
        <v/>
      </c>
      <c r="N4951" s="4"/>
    </row>
    <row r="4952" spans="1:14" x14ac:dyDescent="0.35">
      <c r="A4952">
        <v>4948</v>
      </c>
      <c r="B4952">
        <v>4949</v>
      </c>
      <c r="F4952" s="1"/>
      <c r="I4952" s="53" t="str">
        <f>IF(LEN(F4950)=0,"",IF(H4950="X","",IF(I4951="",0,I4951)))</f>
        <v/>
      </c>
      <c r="N4952" s="4"/>
    </row>
    <row r="4953" spans="1:14" x14ac:dyDescent="0.35">
      <c r="A4953">
        <v>4949</v>
      </c>
      <c r="B4953">
        <v>4950</v>
      </c>
      <c r="F4953" s="1"/>
      <c r="I4953" s="53" t="str">
        <f>IF(LEN(F4953)=0,"",IF(H4953="X","",IF(I4950="",0,I4950)))</f>
        <v/>
      </c>
      <c r="N4953" s="4"/>
    </row>
    <row r="4954" spans="1:14" x14ac:dyDescent="0.35">
      <c r="A4954">
        <v>4950</v>
      </c>
      <c r="B4954">
        <v>4951</v>
      </c>
      <c r="F4954" s="1"/>
      <c r="I4954" s="53" t="str">
        <f t="shared" si="222"/>
        <v/>
      </c>
      <c r="N4954" s="4"/>
    </row>
    <row r="4955" spans="1:14" x14ac:dyDescent="0.35">
      <c r="A4955">
        <v>4951</v>
      </c>
      <c r="B4955">
        <v>4952</v>
      </c>
      <c r="F4955" s="1"/>
      <c r="I4955" s="53" t="str">
        <f t="shared" si="222"/>
        <v/>
      </c>
      <c r="N4955" s="4"/>
    </row>
    <row r="4956" spans="1:14" x14ac:dyDescent="0.35">
      <c r="A4956">
        <v>4952</v>
      </c>
      <c r="B4956">
        <v>4953</v>
      </c>
      <c r="F4956" s="1"/>
      <c r="I4956" s="53" t="str">
        <f t="shared" si="222"/>
        <v/>
      </c>
      <c r="N4956" s="4"/>
    </row>
    <row r="4957" spans="1:14" x14ac:dyDescent="0.35">
      <c r="A4957">
        <v>4953</v>
      </c>
      <c r="B4957">
        <v>4954</v>
      </c>
      <c r="F4957" s="1"/>
      <c r="I4957" s="53" t="str">
        <f t="shared" si="222"/>
        <v/>
      </c>
      <c r="N4957" s="4"/>
    </row>
    <row r="4958" spans="1:14" x14ac:dyDescent="0.35">
      <c r="A4958">
        <v>4954</v>
      </c>
      <c r="B4958">
        <v>4955</v>
      </c>
      <c r="F4958" s="1"/>
      <c r="I4958" s="53" t="str">
        <f t="shared" si="222"/>
        <v/>
      </c>
      <c r="N4958" s="4"/>
    </row>
    <row r="4959" spans="1:14" x14ac:dyDescent="0.35">
      <c r="A4959">
        <v>4955</v>
      </c>
      <c r="B4959">
        <v>4956</v>
      </c>
      <c r="F4959" s="1"/>
      <c r="I4959" s="53" t="str">
        <f t="shared" si="222"/>
        <v/>
      </c>
      <c r="N4959" s="4"/>
    </row>
    <row r="4960" spans="1:14" x14ac:dyDescent="0.35">
      <c r="A4960">
        <v>4956</v>
      </c>
      <c r="B4960">
        <v>4957</v>
      </c>
      <c r="F4960" s="1"/>
      <c r="I4960" s="53" t="str">
        <f t="shared" si="222"/>
        <v/>
      </c>
      <c r="N4960" s="4"/>
    </row>
    <row r="4961" spans="1:14" x14ac:dyDescent="0.35">
      <c r="A4961">
        <v>4957</v>
      </c>
      <c r="B4961">
        <v>4958</v>
      </c>
      <c r="F4961" s="1"/>
      <c r="I4961" s="53" t="str">
        <f t="shared" si="222"/>
        <v/>
      </c>
      <c r="N4961" s="4"/>
    </row>
    <row r="4962" spans="1:14" x14ac:dyDescent="0.35">
      <c r="A4962">
        <v>4958</v>
      </c>
      <c r="B4962">
        <v>4959</v>
      </c>
      <c r="F4962" s="1"/>
      <c r="I4962" s="53" t="str">
        <f>IF(LEN(F4960)=0,"",IF(H4960="X","",IF(I4961="",0,I4961)))</f>
        <v/>
      </c>
      <c r="N4962" s="4"/>
    </row>
    <row r="4963" spans="1:14" x14ac:dyDescent="0.35">
      <c r="A4963">
        <v>4959</v>
      </c>
      <c r="B4963">
        <v>4960</v>
      </c>
      <c r="F4963" s="1"/>
      <c r="I4963" s="53" t="str">
        <f>IF(LEN(F4963)=0,"",IF(H4963="X","",IF(I4960="",0,I4960)))</f>
        <v/>
      </c>
      <c r="N4963" s="4"/>
    </row>
    <row r="4964" spans="1:14" x14ac:dyDescent="0.35">
      <c r="A4964">
        <v>4960</v>
      </c>
      <c r="B4964">
        <v>4961</v>
      </c>
      <c r="F4964" s="1"/>
      <c r="I4964" s="53" t="str">
        <f t="shared" si="222"/>
        <v/>
      </c>
      <c r="N4964" s="4"/>
    </row>
    <row r="4965" spans="1:14" x14ac:dyDescent="0.35">
      <c r="A4965">
        <v>4961</v>
      </c>
      <c r="B4965">
        <v>4962</v>
      </c>
      <c r="F4965" s="1"/>
      <c r="I4965" s="53" t="str">
        <f t="shared" si="222"/>
        <v/>
      </c>
      <c r="N4965" s="4"/>
    </row>
    <row r="4966" spans="1:14" x14ac:dyDescent="0.35">
      <c r="A4966">
        <v>4962</v>
      </c>
      <c r="B4966">
        <v>4963</v>
      </c>
      <c r="F4966" s="1"/>
      <c r="I4966" s="53" t="str">
        <f t="shared" si="222"/>
        <v/>
      </c>
      <c r="N4966" s="4"/>
    </row>
    <row r="4967" spans="1:14" x14ac:dyDescent="0.35">
      <c r="A4967">
        <v>4963</v>
      </c>
      <c r="B4967">
        <v>4964</v>
      </c>
      <c r="F4967" s="1"/>
      <c r="I4967" s="53" t="str">
        <f t="shared" si="222"/>
        <v/>
      </c>
      <c r="N4967" s="4"/>
    </row>
    <row r="4968" spans="1:14" x14ac:dyDescent="0.35">
      <c r="A4968">
        <v>4964</v>
      </c>
      <c r="B4968">
        <v>4965</v>
      </c>
      <c r="F4968" s="1"/>
      <c r="I4968" s="53" t="str">
        <f t="shared" si="222"/>
        <v/>
      </c>
      <c r="N4968" s="4"/>
    </row>
    <row r="4969" spans="1:14" x14ac:dyDescent="0.35">
      <c r="A4969">
        <v>4965</v>
      </c>
      <c r="B4969">
        <v>4966</v>
      </c>
      <c r="F4969" s="1"/>
      <c r="I4969" s="53" t="str">
        <f t="shared" si="222"/>
        <v/>
      </c>
      <c r="N4969" s="4"/>
    </row>
    <row r="4970" spans="1:14" x14ac:dyDescent="0.35">
      <c r="A4970">
        <v>4966</v>
      </c>
      <c r="B4970">
        <v>4967</v>
      </c>
      <c r="F4970" s="1"/>
      <c r="I4970" s="53" t="str">
        <f t="shared" si="222"/>
        <v/>
      </c>
      <c r="N4970" s="4"/>
    </row>
    <row r="4971" spans="1:14" x14ac:dyDescent="0.35">
      <c r="A4971">
        <v>4967</v>
      </c>
      <c r="B4971">
        <v>4968</v>
      </c>
      <c r="F4971" s="1"/>
      <c r="I4971" s="53" t="str">
        <f t="shared" si="222"/>
        <v/>
      </c>
      <c r="N4971" s="4"/>
    </row>
    <row r="4972" spans="1:14" x14ac:dyDescent="0.35">
      <c r="A4972">
        <v>4968</v>
      </c>
      <c r="B4972">
        <v>4969</v>
      </c>
      <c r="F4972" s="1"/>
      <c r="I4972" s="53" t="str">
        <f>IF(LEN(F4970)=0,"",IF(H4970="X","",IF(I4971="",0,I4971)))</f>
        <v/>
      </c>
      <c r="N4972" s="4"/>
    </row>
    <row r="4973" spans="1:14" x14ac:dyDescent="0.35">
      <c r="A4973">
        <v>4969</v>
      </c>
      <c r="B4973">
        <v>4970</v>
      </c>
      <c r="F4973" s="1"/>
      <c r="I4973" s="53" t="str">
        <f>IF(LEN(F4973)=0,"",IF(H4973="X","",IF(I4970="",0,I4970)))</f>
        <v/>
      </c>
      <c r="N4973" s="4"/>
    </row>
    <row r="4974" spans="1:14" x14ac:dyDescent="0.35">
      <c r="A4974">
        <v>4970</v>
      </c>
      <c r="B4974">
        <v>4971</v>
      </c>
      <c r="F4974" s="1"/>
      <c r="I4974" s="53" t="str">
        <f t="shared" si="222"/>
        <v/>
      </c>
      <c r="N4974" s="4"/>
    </row>
    <row r="4975" spans="1:14" x14ac:dyDescent="0.35">
      <c r="A4975">
        <v>4971</v>
      </c>
      <c r="B4975">
        <v>4972</v>
      </c>
      <c r="F4975" s="1"/>
      <c r="I4975" s="53" t="str">
        <f t="shared" si="222"/>
        <v/>
      </c>
      <c r="N4975" s="4"/>
    </row>
    <row r="4976" spans="1:14" x14ac:dyDescent="0.35">
      <c r="A4976">
        <v>4972</v>
      </c>
      <c r="B4976">
        <v>4973</v>
      </c>
      <c r="F4976" s="1"/>
      <c r="I4976" s="53" t="str">
        <f t="shared" si="222"/>
        <v/>
      </c>
      <c r="N4976" s="4"/>
    </row>
    <row r="4977" spans="1:14" x14ac:dyDescent="0.35">
      <c r="A4977">
        <v>4973</v>
      </c>
      <c r="B4977">
        <v>4974</v>
      </c>
      <c r="F4977" s="1"/>
      <c r="I4977" s="53" t="str">
        <f t="shared" si="222"/>
        <v/>
      </c>
      <c r="N4977" s="4"/>
    </row>
    <row r="4978" spans="1:14" x14ac:dyDescent="0.35">
      <c r="A4978">
        <v>4974</v>
      </c>
      <c r="B4978">
        <v>4975</v>
      </c>
      <c r="F4978" s="1"/>
      <c r="I4978" s="53" t="str">
        <f t="shared" si="222"/>
        <v/>
      </c>
      <c r="N4978" s="4"/>
    </row>
    <row r="4979" spans="1:14" x14ac:dyDescent="0.35">
      <c r="A4979">
        <v>4975</v>
      </c>
      <c r="B4979">
        <v>4976</v>
      </c>
      <c r="F4979" s="1"/>
      <c r="I4979" s="53" t="str">
        <f t="shared" si="222"/>
        <v/>
      </c>
      <c r="N4979" s="4"/>
    </row>
    <row r="4980" spans="1:14" x14ac:dyDescent="0.35">
      <c r="A4980">
        <v>4976</v>
      </c>
      <c r="B4980">
        <v>4977</v>
      </c>
      <c r="F4980" s="1"/>
      <c r="I4980" s="53" t="str">
        <f t="shared" si="222"/>
        <v/>
      </c>
      <c r="N4980" s="4"/>
    </row>
    <row r="4981" spans="1:14" x14ac:dyDescent="0.35">
      <c r="A4981">
        <v>4977</v>
      </c>
      <c r="B4981">
        <v>4978</v>
      </c>
      <c r="F4981" s="1"/>
      <c r="I4981" s="53" t="str">
        <f t="shared" si="222"/>
        <v/>
      </c>
      <c r="N4981" s="4"/>
    </row>
    <row r="4982" spans="1:14" x14ac:dyDescent="0.35">
      <c r="A4982">
        <v>4978</v>
      </c>
      <c r="B4982">
        <v>4979</v>
      </c>
      <c r="F4982" s="1"/>
      <c r="I4982" s="53" t="str">
        <f>IF(LEN(F4980)=0,"",IF(H4980="X","",IF(I4981="",0,I4981)))</f>
        <v/>
      </c>
      <c r="N4982" s="4"/>
    </row>
    <row r="4983" spans="1:14" x14ac:dyDescent="0.35">
      <c r="A4983">
        <v>4979</v>
      </c>
      <c r="B4983">
        <v>4980</v>
      </c>
      <c r="F4983" s="1"/>
      <c r="I4983" s="53" t="str">
        <f>IF(LEN(F4983)=0,"",IF(H4983="X","",IF(I4980="",0,I4980)))</f>
        <v/>
      </c>
      <c r="N4983" s="4"/>
    </row>
    <row r="4984" spans="1:14" x14ac:dyDescent="0.35">
      <c r="A4984">
        <v>4980</v>
      </c>
      <c r="B4984">
        <v>4981</v>
      </c>
      <c r="F4984" s="1"/>
      <c r="I4984" s="53" t="str">
        <f t="shared" si="222"/>
        <v/>
      </c>
      <c r="N4984" s="4"/>
    </row>
    <row r="4985" spans="1:14" x14ac:dyDescent="0.35">
      <c r="A4985">
        <v>4981</v>
      </c>
      <c r="B4985">
        <v>4982</v>
      </c>
      <c r="F4985" s="1"/>
      <c r="I4985" s="53" t="str">
        <f t="shared" si="222"/>
        <v/>
      </c>
      <c r="N4985" s="4"/>
    </row>
    <row r="4986" spans="1:14" x14ac:dyDescent="0.35">
      <c r="A4986">
        <v>4982</v>
      </c>
      <c r="B4986">
        <v>4983</v>
      </c>
      <c r="F4986" s="1"/>
      <c r="I4986" s="53" t="str">
        <f t="shared" si="222"/>
        <v/>
      </c>
      <c r="N4986" s="4"/>
    </row>
    <row r="4987" spans="1:14" x14ac:dyDescent="0.35">
      <c r="A4987">
        <v>4983</v>
      </c>
      <c r="B4987">
        <v>4984</v>
      </c>
      <c r="F4987" s="1"/>
      <c r="I4987" s="53" t="str">
        <f t="shared" si="222"/>
        <v/>
      </c>
      <c r="N4987" s="4"/>
    </row>
    <row r="4988" spans="1:14" x14ac:dyDescent="0.35">
      <c r="A4988">
        <v>4984</v>
      </c>
      <c r="B4988">
        <v>4985</v>
      </c>
      <c r="F4988" s="1"/>
      <c r="I4988" s="53" t="str">
        <f t="shared" si="222"/>
        <v/>
      </c>
      <c r="N4988" s="4"/>
    </row>
    <row r="4989" spans="1:14" x14ac:dyDescent="0.35">
      <c r="A4989">
        <v>4985</v>
      </c>
      <c r="B4989">
        <v>4986</v>
      </c>
      <c r="F4989" s="1"/>
      <c r="I4989" s="53" t="str">
        <f t="shared" si="222"/>
        <v/>
      </c>
      <c r="N4989" s="4"/>
    </row>
    <row r="4990" spans="1:14" x14ac:dyDescent="0.35">
      <c r="A4990">
        <v>4986</v>
      </c>
      <c r="B4990">
        <v>4987</v>
      </c>
      <c r="F4990" s="1"/>
      <c r="I4990" s="53" t="str">
        <f t="shared" si="222"/>
        <v/>
      </c>
      <c r="N4990" s="4"/>
    </row>
    <row r="4991" spans="1:14" x14ac:dyDescent="0.35">
      <c r="A4991">
        <v>4987</v>
      </c>
      <c r="B4991">
        <v>4988</v>
      </c>
      <c r="F4991" s="1"/>
      <c r="I4991" s="53" t="str">
        <f t="shared" si="222"/>
        <v/>
      </c>
      <c r="N4991" s="4"/>
    </row>
    <row r="4992" spans="1:14" x14ac:dyDescent="0.35">
      <c r="A4992">
        <v>4988</v>
      </c>
      <c r="B4992">
        <v>4989</v>
      </c>
      <c r="F4992" s="1"/>
      <c r="I4992" s="53" t="str">
        <f>IF(LEN(F4990)=0,"",IF(H4990="X","",IF(I4991="",0,I4991)))</f>
        <v/>
      </c>
      <c r="N4992" s="4"/>
    </row>
    <row r="4993" spans="1:14" x14ac:dyDescent="0.35">
      <c r="A4993">
        <v>4989</v>
      </c>
      <c r="B4993">
        <v>4990</v>
      </c>
      <c r="F4993" s="1"/>
      <c r="I4993" s="53" t="str">
        <f>IF(LEN(F4993)=0,"",IF(H4993="X","",IF(I4990="",0,I4990)))</f>
        <v/>
      </c>
      <c r="N4993" s="4"/>
    </row>
    <row r="4994" spans="1:14" x14ac:dyDescent="0.35">
      <c r="A4994">
        <v>4990</v>
      </c>
      <c r="B4994">
        <v>4991</v>
      </c>
      <c r="F4994" s="1"/>
      <c r="I4994" s="53" t="str">
        <f t="shared" si="222"/>
        <v/>
      </c>
      <c r="N4994" s="4"/>
    </row>
    <row r="4995" spans="1:14" x14ac:dyDescent="0.35">
      <c r="A4995">
        <v>4991</v>
      </c>
      <c r="B4995">
        <v>4992</v>
      </c>
      <c r="F4995" s="1"/>
      <c r="I4995" s="53" t="str">
        <f t="shared" si="222"/>
        <v/>
      </c>
      <c r="N4995" s="4"/>
    </row>
    <row r="4996" spans="1:14" x14ac:dyDescent="0.35">
      <c r="A4996">
        <v>4992</v>
      </c>
      <c r="B4996">
        <v>4993</v>
      </c>
      <c r="F4996" s="1"/>
      <c r="I4996" s="53" t="str">
        <f t="shared" si="222"/>
        <v/>
      </c>
      <c r="N4996" s="4"/>
    </row>
    <row r="4997" spans="1:14" x14ac:dyDescent="0.35">
      <c r="A4997">
        <v>4993</v>
      </c>
      <c r="B4997">
        <v>4994</v>
      </c>
      <c r="F4997" s="1"/>
      <c r="I4997" s="53" t="str">
        <f t="shared" ref="I4997:I5060" si="223">IF(LEN(F4997)=0,"",IF(H4997="X","",IF(I4996="",0,I4996)))</f>
        <v/>
      </c>
      <c r="N4997" s="4"/>
    </row>
    <row r="4998" spans="1:14" x14ac:dyDescent="0.35">
      <c r="A4998">
        <v>4994</v>
      </c>
      <c r="B4998">
        <v>4995</v>
      </c>
      <c r="F4998" s="1"/>
      <c r="I4998" s="53" t="str">
        <f t="shared" si="223"/>
        <v/>
      </c>
      <c r="N4998" s="4"/>
    </row>
    <row r="4999" spans="1:14" x14ac:dyDescent="0.35">
      <c r="A4999">
        <v>4995</v>
      </c>
      <c r="B4999">
        <v>4996</v>
      </c>
      <c r="F4999" s="1"/>
      <c r="I4999" s="53" t="str">
        <f t="shared" si="223"/>
        <v/>
      </c>
      <c r="N4999" s="4"/>
    </row>
    <row r="5000" spans="1:14" x14ac:dyDescent="0.35">
      <c r="A5000">
        <v>4996</v>
      </c>
      <c r="B5000">
        <v>4997</v>
      </c>
      <c r="F5000" s="1"/>
      <c r="I5000" s="53" t="str">
        <f t="shared" si="223"/>
        <v/>
      </c>
      <c r="N5000" s="4"/>
    </row>
    <row r="5001" spans="1:14" x14ac:dyDescent="0.35">
      <c r="A5001">
        <v>4997</v>
      </c>
      <c r="B5001">
        <v>4998</v>
      </c>
      <c r="F5001" s="1"/>
      <c r="I5001" s="53" t="str">
        <f t="shared" si="223"/>
        <v/>
      </c>
      <c r="N5001" s="4"/>
    </row>
    <row r="5002" spans="1:14" x14ac:dyDescent="0.35">
      <c r="A5002">
        <v>4998</v>
      </c>
      <c r="B5002">
        <v>4999</v>
      </c>
      <c r="F5002" s="1"/>
      <c r="I5002" s="53" t="str">
        <f>IF(LEN(F5000)=0,"",IF(H5000="X","",IF(I5001="",0,I5001)))</f>
        <v/>
      </c>
      <c r="N5002" s="4"/>
    </row>
    <row r="5003" spans="1:14" x14ac:dyDescent="0.35">
      <c r="A5003">
        <v>4999</v>
      </c>
      <c r="B5003">
        <v>5000</v>
      </c>
      <c r="F5003" s="1"/>
      <c r="I5003" s="53" t="str">
        <f>IF(LEN(F5003)=0,"",IF(H5003="X","",IF(I5000="",0,I5000)))</f>
        <v/>
      </c>
      <c r="N5003" s="4"/>
    </row>
    <row r="5004" spans="1:14" x14ac:dyDescent="0.35">
      <c r="A5004">
        <v>5000</v>
      </c>
      <c r="B5004">
        <v>5001</v>
      </c>
      <c r="F5004" s="1"/>
      <c r="I5004" s="53" t="str">
        <f t="shared" si="223"/>
        <v/>
      </c>
      <c r="N5004" s="4"/>
    </row>
    <row r="5005" spans="1:14" x14ac:dyDescent="0.35">
      <c r="A5005">
        <v>5001</v>
      </c>
      <c r="B5005">
        <v>5002</v>
      </c>
      <c r="F5005" s="1"/>
      <c r="I5005" s="53" t="str">
        <f t="shared" si="223"/>
        <v/>
      </c>
      <c r="N5005" s="4"/>
    </row>
    <row r="5006" spans="1:14" x14ac:dyDescent="0.35">
      <c r="A5006">
        <v>5002</v>
      </c>
      <c r="B5006">
        <v>5003</v>
      </c>
      <c r="F5006" s="1"/>
      <c r="I5006" s="53" t="str">
        <f t="shared" si="223"/>
        <v/>
      </c>
      <c r="N5006" s="4"/>
    </row>
    <row r="5007" spans="1:14" x14ac:dyDescent="0.35">
      <c r="A5007">
        <v>5003</v>
      </c>
      <c r="B5007">
        <v>5004</v>
      </c>
      <c r="F5007" s="1"/>
      <c r="I5007" s="53" t="str">
        <f t="shared" si="223"/>
        <v/>
      </c>
      <c r="N5007" s="4"/>
    </row>
    <row r="5008" spans="1:14" x14ac:dyDescent="0.35">
      <c r="A5008">
        <v>5004</v>
      </c>
      <c r="B5008">
        <v>5005</v>
      </c>
      <c r="F5008" s="1"/>
      <c r="I5008" s="53" t="str">
        <f t="shared" si="223"/>
        <v/>
      </c>
      <c r="N5008" s="4"/>
    </row>
    <row r="5009" spans="1:14" x14ac:dyDescent="0.35">
      <c r="A5009">
        <v>5005</v>
      </c>
      <c r="B5009">
        <v>5006</v>
      </c>
      <c r="F5009" s="1"/>
      <c r="I5009" s="53" t="str">
        <f t="shared" si="223"/>
        <v/>
      </c>
      <c r="N5009" s="4"/>
    </row>
    <row r="5010" spans="1:14" x14ac:dyDescent="0.35">
      <c r="A5010">
        <v>5006</v>
      </c>
      <c r="B5010">
        <v>5007</v>
      </c>
      <c r="F5010" s="1"/>
      <c r="I5010" s="53" t="str">
        <f t="shared" si="223"/>
        <v/>
      </c>
      <c r="N5010" s="4"/>
    </row>
    <row r="5011" spans="1:14" x14ac:dyDescent="0.35">
      <c r="A5011">
        <v>5007</v>
      </c>
      <c r="B5011">
        <v>5008</v>
      </c>
      <c r="F5011" s="1"/>
      <c r="I5011" s="53" t="str">
        <f t="shared" si="223"/>
        <v/>
      </c>
      <c r="N5011" s="4"/>
    </row>
    <row r="5012" spans="1:14" x14ac:dyDescent="0.35">
      <c r="A5012">
        <v>5008</v>
      </c>
      <c r="B5012">
        <v>5009</v>
      </c>
      <c r="F5012" s="1"/>
      <c r="I5012" s="53" t="str">
        <f>IF(LEN(F5010)=0,"",IF(H5010="X","",IF(I5011="",0,I5011)))</f>
        <v/>
      </c>
      <c r="N5012" s="4"/>
    </row>
    <row r="5013" spans="1:14" x14ac:dyDescent="0.35">
      <c r="A5013">
        <v>5009</v>
      </c>
      <c r="B5013">
        <v>5010</v>
      </c>
      <c r="F5013" s="1"/>
      <c r="I5013" s="53" t="str">
        <f>IF(LEN(F5013)=0,"",IF(H5013="X","",IF(I5010="",0,I5010)))</f>
        <v/>
      </c>
      <c r="N5013" s="4"/>
    </row>
    <row r="5014" spans="1:14" x14ac:dyDescent="0.35">
      <c r="A5014">
        <v>5010</v>
      </c>
      <c r="B5014">
        <v>5011</v>
      </c>
      <c r="F5014" s="1"/>
      <c r="I5014" s="53" t="str">
        <f t="shared" si="223"/>
        <v/>
      </c>
      <c r="N5014" s="4"/>
    </row>
    <row r="5015" spans="1:14" x14ac:dyDescent="0.35">
      <c r="A5015">
        <v>5011</v>
      </c>
      <c r="B5015">
        <v>5012</v>
      </c>
      <c r="F5015" s="1"/>
      <c r="I5015" s="53" t="str">
        <f t="shared" si="223"/>
        <v/>
      </c>
      <c r="N5015" s="4"/>
    </row>
    <row r="5016" spans="1:14" x14ac:dyDescent="0.35">
      <c r="A5016">
        <v>5012</v>
      </c>
      <c r="B5016">
        <v>5013</v>
      </c>
      <c r="F5016" s="1"/>
      <c r="I5016" s="53" t="str">
        <f t="shared" si="223"/>
        <v/>
      </c>
      <c r="N5016" s="4"/>
    </row>
    <row r="5017" spans="1:14" x14ac:dyDescent="0.35">
      <c r="A5017">
        <v>5013</v>
      </c>
      <c r="B5017">
        <v>5014</v>
      </c>
      <c r="F5017" s="1"/>
      <c r="I5017" s="53" t="str">
        <f t="shared" si="223"/>
        <v/>
      </c>
      <c r="N5017" s="4"/>
    </row>
    <row r="5018" spans="1:14" x14ac:dyDescent="0.35">
      <c r="A5018">
        <v>5014</v>
      </c>
      <c r="B5018">
        <v>5015</v>
      </c>
      <c r="F5018" s="1"/>
      <c r="I5018" s="53" t="str">
        <f t="shared" si="223"/>
        <v/>
      </c>
      <c r="N5018" s="4"/>
    </row>
    <row r="5019" spans="1:14" x14ac:dyDescent="0.35">
      <c r="A5019">
        <v>5015</v>
      </c>
      <c r="B5019">
        <v>5016</v>
      </c>
      <c r="F5019" s="1"/>
      <c r="I5019" s="53" t="str">
        <f t="shared" si="223"/>
        <v/>
      </c>
    </row>
    <row r="5020" spans="1:14" x14ac:dyDescent="0.35">
      <c r="A5020">
        <v>5016</v>
      </c>
      <c r="B5020">
        <v>5017</v>
      </c>
      <c r="F5020" s="1"/>
      <c r="I5020" s="53" t="str">
        <f>IF(LEN(F5000)=0,"",IF(H5000="X","",IF(I5019="",0,I5019)))</f>
        <v/>
      </c>
    </row>
    <row r="5021" spans="1:14" x14ac:dyDescent="0.35">
      <c r="A5021">
        <v>5017</v>
      </c>
      <c r="B5021">
        <v>5018</v>
      </c>
      <c r="F5021" s="1"/>
      <c r="I5021" s="53" t="str">
        <f>IF(LEN(F5001)=0,"",IF(H5001="X","",IF(I5000="",0,I5000)))</f>
        <v/>
      </c>
    </row>
    <row r="5022" spans="1:14" x14ac:dyDescent="0.35">
      <c r="A5022">
        <v>5018</v>
      </c>
      <c r="B5022">
        <v>5019</v>
      </c>
      <c r="F5022" s="1"/>
      <c r="I5022" s="53" t="str">
        <f>IF(LEN(F5000)=0,"",IF(H5000="X","",IF(I5001="",0,I5001)))</f>
        <v/>
      </c>
    </row>
    <row r="5023" spans="1:14" x14ac:dyDescent="0.35">
      <c r="A5023">
        <v>5019</v>
      </c>
      <c r="B5023">
        <v>5020</v>
      </c>
      <c r="F5023" s="1"/>
      <c r="I5023" s="53" t="str">
        <f>IF(LEN(F5003)=0,"",IF(H5003="X","",IF(I5000="",0,I5000)))</f>
        <v/>
      </c>
    </row>
    <row r="5024" spans="1:14" x14ac:dyDescent="0.35">
      <c r="A5024">
        <v>5020</v>
      </c>
      <c r="B5024">
        <v>5021</v>
      </c>
      <c r="F5024" s="1"/>
      <c r="I5024" s="53" t="str">
        <f t="shared" ref="I5024:I5029" si="224">IF(LEN(F5004)=0,"",IF(H5004="X","",IF(I5003="",0,I5003)))</f>
        <v/>
      </c>
    </row>
    <row r="5025" spans="1:9" x14ac:dyDescent="0.35">
      <c r="A5025">
        <v>5021</v>
      </c>
      <c r="B5025">
        <v>5022</v>
      </c>
      <c r="F5025" s="1"/>
      <c r="I5025" s="53" t="str">
        <f t="shared" si="224"/>
        <v/>
      </c>
    </row>
    <row r="5026" spans="1:9" x14ac:dyDescent="0.35">
      <c r="A5026">
        <v>5022</v>
      </c>
      <c r="B5026">
        <v>5023</v>
      </c>
      <c r="F5026" s="1"/>
      <c r="I5026" s="53" t="str">
        <f t="shared" si="224"/>
        <v/>
      </c>
    </row>
    <row r="5027" spans="1:9" x14ac:dyDescent="0.35">
      <c r="A5027">
        <v>5023</v>
      </c>
      <c r="B5027">
        <v>5024</v>
      </c>
      <c r="F5027" s="1"/>
      <c r="I5027" s="53" t="str">
        <f t="shared" si="224"/>
        <v/>
      </c>
    </row>
    <row r="5028" spans="1:9" x14ac:dyDescent="0.35">
      <c r="A5028">
        <v>5024</v>
      </c>
      <c r="B5028">
        <v>5025</v>
      </c>
      <c r="F5028" s="1"/>
      <c r="I5028" s="53" t="str">
        <f t="shared" si="224"/>
        <v/>
      </c>
    </row>
    <row r="5029" spans="1:9" x14ac:dyDescent="0.35">
      <c r="A5029">
        <v>5025</v>
      </c>
      <c r="B5029">
        <v>5026</v>
      </c>
      <c r="F5029" s="1"/>
      <c r="I5029" s="53" t="str">
        <f t="shared" si="224"/>
        <v/>
      </c>
    </row>
    <row r="5030" spans="1:9" x14ac:dyDescent="0.35">
      <c r="A5030">
        <v>5026</v>
      </c>
      <c r="B5030">
        <v>5027</v>
      </c>
      <c r="F5030" s="1"/>
      <c r="I5030" s="53" t="str">
        <f>IF(LEN(F5030)=0,"",IF(H5030="X","",IF(I5009="",0,I5009)))</f>
        <v/>
      </c>
    </row>
    <row r="5031" spans="1:9" x14ac:dyDescent="0.35">
      <c r="A5031">
        <v>5027</v>
      </c>
      <c r="B5031">
        <v>5028</v>
      </c>
      <c r="F5031" s="1"/>
      <c r="I5031" s="53" t="str">
        <f t="shared" si="223"/>
        <v/>
      </c>
    </row>
    <row r="5032" spans="1:9" x14ac:dyDescent="0.35">
      <c r="A5032">
        <v>5028</v>
      </c>
      <c r="B5032">
        <v>5029</v>
      </c>
      <c r="F5032" s="1"/>
      <c r="I5032" s="53" t="str">
        <f>IF(LEN(F5030)=0,"",IF(H5030="X","",IF(I5031="",0,I5031)))</f>
        <v/>
      </c>
    </row>
    <row r="5033" spans="1:9" x14ac:dyDescent="0.35">
      <c r="A5033">
        <v>5029</v>
      </c>
      <c r="B5033">
        <v>5030</v>
      </c>
      <c r="F5033" s="1"/>
      <c r="I5033" s="53" t="str">
        <f>IF(LEN(F5033)=0,"",IF(H5033="X","",IF(I5030="",0,I5030)))</f>
        <v/>
      </c>
    </row>
    <row r="5034" spans="1:9" x14ac:dyDescent="0.35">
      <c r="A5034">
        <v>5030</v>
      </c>
      <c r="B5034">
        <v>5031</v>
      </c>
      <c r="F5034" s="1"/>
      <c r="I5034" s="53" t="str">
        <f t="shared" si="223"/>
        <v/>
      </c>
    </row>
    <row r="5035" spans="1:9" x14ac:dyDescent="0.35">
      <c r="A5035">
        <v>5031</v>
      </c>
      <c r="B5035">
        <v>5032</v>
      </c>
      <c r="F5035" s="1"/>
      <c r="I5035" s="53" t="str">
        <f t="shared" si="223"/>
        <v/>
      </c>
    </row>
    <row r="5036" spans="1:9" x14ac:dyDescent="0.35">
      <c r="A5036">
        <v>5032</v>
      </c>
      <c r="B5036">
        <v>5033</v>
      </c>
      <c r="F5036" s="1"/>
      <c r="I5036" s="53" t="str">
        <f t="shared" si="223"/>
        <v/>
      </c>
    </row>
    <row r="5037" spans="1:9" x14ac:dyDescent="0.35">
      <c r="A5037">
        <v>5033</v>
      </c>
      <c r="B5037">
        <v>5034</v>
      </c>
      <c r="F5037" s="1"/>
      <c r="I5037" s="53" t="str">
        <f t="shared" si="223"/>
        <v/>
      </c>
    </row>
    <row r="5038" spans="1:9" x14ac:dyDescent="0.35">
      <c r="A5038">
        <v>5034</v>
      </c>
      <c r="B5038">
        <v>5035</v>
      </c>
      <c r="F5038" s="1"/>
      <c r="I5038" s="53" t="str">
        <f t="shared" si="223"/>
        <v/>
      </c>
    </row>
    <row r="5039" spans="1:9" x14ac:dyDescent="0.35">
      <c r="F5039" s="1"/>
      <c r="I5039" s="53" t="str">
        <f t="shared" si="223"/>
        <v/>
      </c>
    </row>
    <row r="5040" spans="1:9" x14ac:dyDescent="0.35">
      <c r="F5040" s="1"/>
      <c r="I5040" s="53" t="str">
        <f t="shared" si="223"/>
        <v/>
      </c>
    </row>
    <row r="5041" spans="6:9" x14ac:dyDescent="0.35">
      <c r="F5041" s="1"/>
      <c r="I5041" s="53" t="str">
        <f t="shared" si="223"/>
        <v/>
      </c>
    </row>
    <row r="5042" spans="6:9" x14ac:dyDescent="0.35">
      <c r="F5042" s="1"/>
      <c r="I5042" s="53" t="str">
        <f>IF(LEN(F5040)=0,"",IF(H5040="X","",IF(I5041="",0,I5041)))</f>
        <v/>
      </c>
    </row>
    <row r="5043" spans="6:9" x14ac:dyDescent="0.35">
      <c r="F5043" s="1"/>
      <c r="I5043" s="53" t="str">
        <f>IF(LEN(F5043)=0,"",IF(H5043="X","",IF(I5040="",0,I5040)))</f>
        <v/>
      </c>
    </row>
    <row r="5044" spans="6:9" x14ac:dyDescent="0.35">
      <c r="F5044" s="1"/>
      <c r="I5044" s="53" t="str">
        <f t="shared" si="223"/>
        <v/>
      </c>
    </row>
    <row r="5045" spans="6:9" x14ac:dyDescent="0.35">
      <c r="F5045" s="1"/>
      <c r="I5045" s="53" t="str">
        <f t="shared" si="223"/>
        <v/>
      </c>
    </row>
    <row r="5046" spans="6:9" x14ac:dyDescent="0.35">
      <c r="F5046" s="1"/>
      <c r="I5046" s="53" t="str">
        <f t="shared" si="223"/>
        <v/>
      </c>
    </row>
    <row r="5047" spans="6:9" x14ac:dyDescent="0.35">
      <c r="F5047" s="1"/>
      <c r="I5047" s="53" t="str">
        <f t="shared" si="223"/>
        <v/>
      </c>
    </row>
    <row r="5048" spans="6:9" x14ac:dyDescent="0.35">
      <c r="F5048" s="1"/>
      <c r="I5048" s="53" t="str">
        <f t="shared" si="223"/>
        <v/>
      </c>
    </row>
    <row r="5049" spans="6:9" x14ac:dyDescent="0.35">
      <c r="F5049" s="1"/>
      <c r="I5049" s="53" t="str">
        <f t="shared" si="223"/>
        <v/>
      </c>
    </row>
    <row r="5050" spans="6:9" x14ac:dyDescent="0.35">
      <c r="F5050" s="1"/>
      <c r="I5050" s="53" t="str">
        <f t="shared" si="223"/>
        <v/>
      </c>
    </row>
    <row r="5051" spans="6:9" x14ac:dyDescent="0.35">
      <c r="F5051" s="1"/>
      <c r="I5051" s="53" t="str">
        <f t="shared" si="223"/>
        <v/>
      </c>
    </row>
    <row r="5052" spans="6:9" x14ac:dyDescent="0.35">
      <c r="F5052" s="1"/>
      <c r="I5052" s="53" t="str">
        <f>IF(LEN(F5050)=0,"",IF(H5050="X","",IF(I5051="",0,I5051)))</f>
        <v/>
      </c>
    </row>
    <row r="5053" spans="6:9" x14ac:dyDescent="0.35">
      <c r="F5053" s="1"/>
      <c r="I5053" s="53" t="str">
        <f>IF(LEN(F5053)=0,"",IF(H5053="X","",IF(I5050="",0,I5050)))</f>
        <v/>
      </c>
    </row>
    <row r="5054" spans="6:9" x14ac:dyDescent="0.35">
      <c r="F5054" s="1"/>
      <c r="I5054" s="53" t="str">
        <f t="shared" si="223"/>
        <v/>
      </c>
    </row>
    <row r="5055" spans="6:9" x14ac:dyDescent="0.35">
      <c r="F5055" s="1"/>
      <c r="I5055" s="53" t="str">
        <f t="shared" si="223"/>
        <v/>
      </c>
    </row>
    <row r="5056" spans="6:9" x14ac:dyDescent="0.35">
      <c r="F5056" s="1"/>
      <c r="I5056" s="53" t="str">
        <f t="shared" si="223"/>
        <v/>
      </c>
    </row>
    <row r="5057" spans="6:9" x14ac:dyDescent="0.35">
      <c r="F5057" s="1"/>
      <c r="I5057" s="53" t="str">
        <f t="shared" si="223"/>
        <v/>
      </c>
    </row>
    <row r="5058" spans="6:9" x14ac:dyDescent="0.35">
      <c r="F5058" s="1"/>
      <c r="I5058" s="53" t="str">
        <f t="shared" si="223"/>
        <v/>
      </c>
    </row>
    <row r="5059" spans="6:9" x14ac:dyDescent="0.35">
      <c r="F5059" s="1"/>
      <c r="I5059" s="53" t="str">
        <f t="shared" si="223"/>
        <v/>
      </c>
    </row>
    <row r="5060" spans="6:9" x14ac:dyDescent="0.35">
      <c r="F5060" s="1"/>
      <c r="I5060" s="53" t="str">
        <f t="shared" si="223"/>
        <v/>
      </c>
    </row>
    <row r="5061" spans="6:9" x14ac:dyDescent="0.35">
      <c r="F5061" s="1"/>
      <c r="I5061" s="53" t="str">
        <f t="shared" ref="I5061:I5086" si="225">IF(LEN(F5061)=0,"",IF(H5061="X","",IF(I5060="",0,I5060)))</f>
        <v/>
      </c>
    </row>
    <row r="5062" spans="6:9" x14ac:dyDescent="0.35">
      <c r="F5062" s="1"/>
      <c r="I5062" s="53" t="str">
        <f>IF(LEN(F5060)=0,"",IF(H5060="X","",IF(I5061="",0,I5061)))</f>
        <v/>
      </c>
    </row>
    <row r="5063" spans="6:9" x14ac:dyDescent="0.35">
      <c r="F5063" s="1"/>
      <c r="I5063" s="53" t="str">
        <f>IF(LEN(F5063)=0,"",IF(H5063="X","",IF(I5060="",0,I5060)))</f>
        <v/>
      </c>
    </row>
    <row r="5064" spans="6:9" x14ac:dyDescent="0.35">
      <c r="F5064" s="1"/>
      <c r="I5064" s="53" t="str">
        <f t="shared" si="225"/>
        <v/>
      </c>
    </row>
    <row r="5065" spans="6:9" x14ac:dyDescent="0.35">
      <c r="F5065" s="1"/>
      <c r="I5065" s="53" t="str">
        <f t="shared" si="225"/>
        <v/>
      </c>
    </row>
    <row r="5066" spans="6:9" x14ac:dyDescent="0.35">
      <c r="F5066" s="1"/>
      <c r="I5066" s="53" t="str">
        <f t="shared" si="225"/>
        <v/>
      </c>
    </row>
    <row r="5067" spans="6:9" x14ac:dyDescent="0.35">
      <c r="F5067" s="1"/>
      <c r="I5067" s="53" t="str">
        <f t="shared" si="225"/>
        <v/>
      </c>
    </row>
    <row r="5068" spans="6:9" x14ac:dyDescent="0.35">
      <c r="F5068" s="1"/>
      <c r="I5068" s="53" t="str">
        <f t="shared" si="225"/>
        <v/>
      </c>
    </row>
    <row r="5069" spans="6:9" x14ac:dyDescent="0.35">
      <c r="F5069" s="1"/>
      <c r="I5069" s="53" t="str">
        <f t="shared" si="225"/>
        <v/>
      </c>
    </row>
    <row r="5070" spans="6:9" x14ac:dyDescent="0.35">
      <c r="F5070" s="1"/>
      <c r="I5070" s="53" t="str">
        <f t="shared" si="225"/>
        <v/>
      </c>
    </row>
    <row r="5071" spans="6:9" x14ac:dyDescent="0.35">
      <c r="F5071" s="1"/>
      <c r="I5071" s="53" t="str">
        <f t="shared" si="225"/>
        <v/>
      </c>
    </row>
    <row r="5072" spans="6:9" x14ac:dyDescent="0.35">
      <c r="F5072" s="1"/>
      <c r="I5072" s="53" t="str">
        <f>IF(LEN(F5070)=0,"",IF(H5070="X","",IF(I5071="",0,I5071)))</f>
        <v/>
      </c>
    </row>
    <row r="5073" spans="6:9" x14ac:dyDescent="0.35">
      <c r="F5073" s="1"/>
      <c r="I5073" s="53" t="str">
        <f>IF(LEN(F5073)=0,"",IF(H5073="X","",IF(I5070="",0,I5070)))</f>
        <v/>
      </c>
    </row>
    <row r="5074" spans="6:9" x14ac:dyDescent="0.35">
      <c r="F5074" s="1"/>
      <c r="I5074" s="53" t="str">
        <f t="shared" si="225"/>
        <v/>
      </c>
    </row>
    <row r="5075" spans="6:9" x14ac:dyDescent="0.35">
      <c r="F5075" s="1"/>
      <c r="I5075" s="53" t="str">
        <f t="shared" si="225"/>
        <v/>
      </c>
    </row>
    <row r="5076" spans="6:9" x14ac:dyDescent="0.35">
      <c r="F5076" s="1"/>
      <c r="I5076" s="53" t="str">
        <f t="shared" si="225"/>
        <v/>
      </c>
    </row>
    <row r="5077" spans="6:9" x14ac:dyDescent="0.35">
      <c r="F5077" s="1"/>
      <c r="I5077" s="53" t="str">
        <f t="shared" si="225"/>
        <v/>
      </c>
    </row>
    <row r="5078" spans="6:9" x14ac:dyDescent="0.35">
      <c r="F5078" s="1"/>
      <c r="I5078" s="53" t="str">
        <f t="shared" si="225"/>
        <v/>
      </c>
    </row>
    <row r="5079" spans="6:9" x14ac:dyDescent="0.35">
      <c r="F5079" s="1"/>
      <c r="I5079" s="53" t="str">
        <f t="shared" si="225"/>
        <v/>
      </c>
    </row>
    <row r="5080" spans="6:9" x14ac:dyDescent="0.35">
      <c r="F5080" s="1"/>
      <c r="I5080" s="53" t="str">
        <f t="shared" si="225"/>
        <v/>
      </c>
    </row>
    <row r="5081" spans="6:9" x14ac:dyDescent="0.35">
      <c r="F5081" s="1"/>
      <c r="I5081" s="53" t="str">
        <f t="shared" si="225"/>
        <v/>
      </c>
    </row>
    <row r="5082" spans="6:9" x14ac:dyDescent="0.35">
      <c r="F5082" s="1"/>
      <c r="I5082" s="53" t="str">
        <f>IF(LEN(F5080)=0,"",IF(H5080="X","",IF(I5081="",0,I5081)))</f>
        <v/>
      </c>
    </row>
    <row r="5083" spans="6:9" x14ac:dyDescent="0.35">
      <c r="F5083" s="1"/>
      <c r="I5083" s="53" t="str">
        <f>IF(LEN(F5083)=0,"",IF(H5083="X","",IF(I5080="",0,I5080)))</f>
        <v/>
      </c>
    </row>
    <row r="5084" spans="6:9" x14ac:dyDescent="0.35">
      <c r="F5084" s="1"/>
      <c r="I5084" s="53" t="str">
        <f t="shared" si="225"/>
        <v/>
      </c>
    </row>
    <row r="5085" spans="6:9" x14ac:dyDescent="0.35">
      <c r="F5085" s="1"/>
      <c r="I5085" s="53" t="str">
        <f t="shared" si="225"/>
        <v/>
      </c>
    </row>
    <row r="5086" spans="6:9" x14ac:dyDescent="0.35">
      <c r="F5086" s="1"/>
      <c r="I5086" s="53" t="str">
        <f t="shared" si="225"/>
        <v/>
      </c>
    </row>
    <row r="5087" spans="6:9" x14ac:dyDescent="0.35">
      <c r="F5087" s="1"/>
    </row>
    <row r="5088" spans="6:9" x14ac:dyDescent="0.35">
      <c r="F5088" s="1"/>
    </row>
    <row r="5089" spans="6:6" x14ac:dyDescent="0.35">
      <c r="F5089" s="1"/>
    </row>
    <row r="5090" spans="6:6" x14ac:dyDescent="0.35">
      <c r="F5090" s="1"/>
    </row>
    <row r="5091" spans="6:6" x14ac:dyDescent="0.35">
      <c r="F5091" s="1"/>
    </row>
    <row r="5092" spans="6:6" x14ac:dyDescent="0.35">
      <c r="F5092" s="1"/>
    </row>
    <row r="5093" spans="6:6" x14ac:dyDescent="0.35">
      <c r="F5093" s="1"/>
    </row>
    <row r="5094" spans="6:6" x14ac:dyDescent="0.35">
      <c r="F5094" s="1"/>
    </row>
    <row r="5095" spans="6:6" x14ac:dyDescent="0.35">
      <c r="F5095" s="1"/>
    </row>
    <row r="5096" spans="6:6" x14ac:dyDescent="0.35">
      <c r="F5096" s="1"/>
    </row>
    <row r="5097" spans="6:6" x14ac:dyDescent="0.35">
      <c r="F5097" s="1"/>
    </row>
    <row r="5098" spans="6:6" x14ac:dyDescent="0.35">
      <c r="F5098" s="1"/>
    </row>
    <row r="5099" spans="6:6" x14ac:dyDescent="0.35">
      <c r="F5099" s="1"/>
    </row>
    <row r="5100" spans="6:6" x14ac:dyDescent="0.35">
      <c r="F5100" s="1"/>
    </row>
    <row r="5101" spans="6:6" x14ac:dyDescent="0.35">
      <c r="F5101" s="1"/>
    </row>
    <row r="5102" spans="6:6" x14ac:dyDescent="0.35">
      <c r="F5102" s="1"/>
    </row>
    <row r="5103" spans="6:6" x14ac:dyDescent="0.35">
      <c r="F5103" s="1"/>
    </row>
    <row r="5104" spans="6:6" x14ac:dyDescent="0.35">
      <c r="F5104" s="1"/>
    </row>
    <row r="5105" spans="6:6" x14ac:dyDescent="0.35">
      <c r="F5105" s="1"/>
    </row>
    <row r="5106" spans="6:6" x14ac:dyDescent="0.35">
      <c r="F5106" s="1"/>
    </row>
    <row r="5107" spans="6:6" x14ac:dyDescent="0.35">
      <c r="F5107" s="1"/>
    </row>
    <row r="5108" spans="6:6" x14ac:dyDescent="0.35">
      <c r="F5108" s="1"/>
    </row>
    <row r="5109" spans="6:6" x14ac:dyDescent="0.35">
      <c r="F5109" s="1"/>
    </row>
    <row r="5110" spans="6:6" x14ac:dyDescent="0.35">
      <c r="F5110" s="1"/>
    </row>
    <row r="5111" spans="6:6" x14ac:dyDescent="0.35">
      <c r="F5111" s="1"/>
    </row>
    <row r="5112" spans="6:6" x14ac:dyDescent="0.35">
      <c r="F5112" s="1"/>
    </row>
    <row r="5113" spans="6:6" x14ac:dyDescent="0.35">
      <c r="F5113" s="1"/>
    </row>
    <row r="5114" spans="6:6" x14ac:dyDescent="0.35">
      <c r="F5114" s="1"/>
    </row>
    <row r="5115" spans="6:6" x14ac:dyDescent="0.35">
      <c r="F5115" s="1"/>
    </row>
    <row r="5116" spans="6:6" x14ac:dyDescent="0.35">
      <c r="F5116" s="1"/>
    </row>
    <row r="5117" spans="6:6" x14ac:dyDescent="0.35">
      <c r="F5117" s="1"/>
    </row>
    <row r="5118" spans="6:6" x14ac:dyDescent="0.35">
      <c r="F5118" s="1"/>
    </row>
    <row r="5119" spans="6:6" x14ac:dyDescent="0.35">
      <c r="F5119" s="1"/>
    </row>
    <row r="5120" spans="6:6" x14ac:dyDescent="0.35">
      <c r="F5120" s="1"/>
    </row>
    <row r="5121" spans="6:6" x14ac:dyDescent="0.35">
      <c r="F5121" s="1"/>
    </row>
    <row r="5122" spans="6:6" x14ac:dyDescent="0.35">
      <c r="F5122" s="1"/>
    </row>
    <row r="5123" spans="6:6" x14ac:dyDescent="0.35">
      <c r="F5123" s="1"/>
    </row>
    <row r="5124" spans="6:6" x14ac:dyDescent="0.35">
      <c r="F5124" s="1"/>
    </row>
    <row r="5125" spans="6:6" x14ac:dyDescent="0.35">
      <c r="F5125" s="1"/>
    </row>
    <row r="5126" spans="6:6" x14ac:dyDescent="0.35">
      <c r="F5126" s="1"/>
    </row>
    <row r="5127" spans="6:6" x14ac:dyDescent="0.35">
      <c r="F5127" s="1"/>
    </row>
    <row r="5128" spans="6:6" x14ac:dyDescent="0.35">
      <c r="F5128" s="1"/>
    </row>
    <row r="5129" spans="6:6" x14ac:dyDescent="0.35">
      <c r="F5129" s="1"/>
    </row>
    <row r="5130" spans="6:6" x14ac:dyDescent="0.35">
      <c r="F5130" s="1"/>
    </row>
    <row r="5131" spans="6:6" x14ac:dyDescent="0.35">
      <c r="F5131" s="1"/>
    </row>
    <row r="5132" spans="6:6" x14ac:dyDescent="0.35">
      <c r="F5132" s="1"/>
    </row>
    <row r="5133" spans="6:6" x14ac:dyDescent="0.35">
      <c r="F5133" s="1"/>
    </row>
    <row r="5134" spans="6:6" x14ac:dyDescent="0.35">
      <c r="F5134" s="1"/>
    </row>
    <row r="5135" spans="6:6" x14ac:dyDescent="0.35">
      <c r="F5135" s="1"/>
    </row>
    <row r="5136" spans="6:6" x14ac:dyDescent="0.35">
      <c r="F5136" s="1"/>
    </row>
    <row r="5137" spans="6:6" x14ac:dyDescent="0.35">
      <c r="F5137" s="1"/>
    </row>
    <row r="5138" spans="6:6" x14ac:dyDescent="0.35">
      <c r="F5138" s="1"/>
    </row>
    <row r="5139" spans="6:6" x14ac:dyDescent="0.35">
      <c r="F5139" s="1"/>
    </row>
    <row r="5140" spans="6:6" x14ac:dyDescent="0.35">
      <c r="F5140" s="1"/>
    </row>
    <row r="5141" spans="6:6" x14ac:dyDescent="0.35">
      <c r="F5141" s="1"/>
    </row>
    <row r="5142" spans="6:6" x14ac:dyDescent="0.35">
      <c r="F5142" s="1"/>
    </row>
    <row r="5143" spans="6:6" x14ac:dyDescent="0.35">
      <c r="F5143" s="1"/>
    </row>
    <row r="5144" spans="6:6" x14ac:dyDescent="0.35">
      <c r="F5144" s="1"/>
    </row>
    <row r="5145" spans="6:6" x14ac:dyDescent="0.35">
      <c r="F5145" s="1"/>
    </row>
    <row r="5146" spans="6:6" x14ac:dyDescent="0.35">
      <c r="F5146" s="1"/>
    </row>
    <row r="5147" spans="6:6" x14ac:dyDescent="0.35">
      <c r="F5147" s="1"/>
    </row>
    <row r="5148" spans="6:6" x14ac:dyDescent="0.35">
      <c r="F5148" s="1"/>
    </row>
    <row r="5149" spans="6:6" x14ac:dyDescent="0.35">
      <c r="F5149" s="1"/>
    </row>
    <row r="5150" spans="6:6" x14ac:dyDescent="0.35">
      <c r="F5150" s="1"/>
    </row>
    <row r="5151" spans="6:6" x14ac:dyDescent="0.35">
      <c r="F5151" s="1"/>
    </row>
    <row r="5152" spans="6:6" x14ac:dyDescent="0.35">
      <c r="F5152" s="1"/>
    </row>
    <row r="5153" spans="6:6" x14ac:dyDescent="0.35">
      <c r="F5153" s="1"/>
    </row>
    <row r="5154" spans="6:6" x14ac:dyDescent="0.35">
      <c r="F5154" s="1"/>
    </row>
    <row r="5155" spans="6:6" x14ac:dyDescent="0.35">
      <c r="F5155" s="1"/>
    </row>
    <row r="5156" spans="6:6" x14ac:dyDescent="0.35">
      <c r="F5156" s="1"/>
    </row>
    <row r="5157" spans="6:6" x14ac:dyDescent="0.35">
      <c r="F5157" s="1"/>
    </row>
    <row r="5158" spans="6:6" x14ac:dyDescent="0.35">
      <c r="F5158" s="1"/>
    </row>
    <row r="5159" spans="6:6" x14ac:dyDescent="0.35">
      <c r="F5159" s="1"/>
    </row>
    <row r="5160" spans="6:6" x14ac:dyDescent="0.35">
      <c r="F5160" s="1"/>
    </row>
    <row r="5161" spans="6:6" x14ac:dyDescent="0.35">
      <c r="F5161" s="1"/>
    </row>
    <row r="5162" spans="6:6" x14ac:dyDescent="0.35">
      <c r="F5162" s="1"/>
    </row>
    <row r="5163" spans="6:6" x14ac:dyDescent="0.35">
      <c r="F5163" s="1"/>
    </row>
    <row r="5164" spans="6:6" x14ac:dyDescent="0.35">
      <c r="F5164" s="1"/>
    </row>
    <row r="5165" spans="6:6" x14ac:dyDescent="0.35">
      <c r="F5165" s="1"/>
    </row>
    <row r="5166" spans="6:6" x14ac:dyDescent="0.35">
      <c r="F5166" s="1"/>
    </row>
    <row r="5167" spans="6:6" x14ac:dyDescent="0.35">
      <c r="F5167" s="1"/>
    </row>
    <row r="5168" spans="6:6" x14ac:dyDescent="0.35">
      <c r="F5168" s="1"/>
    </row>
    <row r="5169" spans="6:6" x14ac:dyDescent="0.35">
      <c r="F5169" s="1"/>
    </row>
    <row r="5170" spans="6:6" x14ac:dyDescent="0.35">
      <c r="F5170" s="1"/>
    </row>
    <row r="5171" spans="6:6" x14ac:dyDescent="0.35">
      <c r="F5171" s="1"/>
    </row>
    <row r="5172" spans="6:6" x14ac:dyDescent="0.35">
      <c r="F5172" s="1"/>
    </row>
    <row r="5173" spans="6:6" x14ac:dyDescent="0.35">
      <c r="F5173" s="1"/>
    </row>
    <row r="5174" spans="6:6" x14ac:dyDescent="0.35">
      <c r="F5174" s="1"/>
    </row>
    <row r="5175" spans="6:6" x14ac:dyDescent="0.35">
      <c r="F5175" s="1"/>
    </row>
    <row r="5176" spans="6:6" x14ac:dyDescent="0.35">
      <c r="F5176" s="1"/>
    </row>
    <row r="5177" spans="6:6" x14ac:dyDescent="0.35">
      <c r="F5177" s="1"/>
    </row>
    <row r="5178" spans="6:6" x14ac:dyDescent="0.35">
      <c r="F5178" s="1"/>
    </row>
    <row r="5179" spans="6:6" x14ac:dyDescent="0.35">
      <c r="F5179" s="1"/>
    </row>
    <row r="5180" spans="6:6" x14ac:dyDescent="0.35">
      <c r="F5180" s="1"/>
    </row>
    <row r="5181" spans="6:6" x14ac:dyDescent="0.35">
      <c r="F5181" s="1"/>
    </row>
    <row r="5182" spans="6:6" x14ac:dyDescent="0.35">
      <c r="F5182" s="1"/>
    </row>
    <row r="5183" spans="6:6" x14ac:dyDescent="0.35">
      <c r="F5183" s="1"/>
    </row>
    <row r="5184" spans="6:6" x14ac:dyDescent="0.35">
      <c r="F5184" s="1"/>
    </row>
    <row r="5185" spans="6:6" x14ac:dyDescent="0.35">
      <c r="F5185" s="1"/>
    </row>
    <row r="5186" spans="6:6" x14ac:dyDescent="0.35">
      <c r="F5186" s="1"/>
    </row>
    <row r="5187" spans="6:6" x14ac:dyDescent="0.35">
      <c r="F5187" s="1"/>
    </row>
    <row r="5188" spans="6:6" x14ac:dyDescent="0.35">
      <c r="F5188" s="1"/>
    </row>
    <row r="5189" spans="6:6" x14ac:dyDescent="0.35">
      <c r="F5189" s="1"/>
    </row>
    <row r="5190" spans="6:6" x14ac:dyDescent="0.35">
      <c r="F5190" s="1"/>
    </row>
    <row r="5191" spans="6:6" x14ac:dyDescent="0.35">
      <c r="F5191" s="1"/>
    </row>
    <row r="5192" spans="6:6" x14ac:dyDescent="0.35">
      <c r="F5192" s="1"/>
    </row>
    <row r="5193" spans="6:6" x14ac:dyDescent="0.35">
      <c r="F5193" s="1"/>
    </row>
    <row r="5194" spans="6:6" x14ac:dyDescent="0.35">
      <c r="F5194" s="1"/>
    </row>
    <row r="5195" spans="6:6" x14ac:dyDescent="0.35">
      <c r="F5195" s="1"/>
    </row>
    <row r="5196" spans="6:6" x14ac:dyDescent="0.35">
      <c r="F5196" s="1"/>
    </row>
    <row r="5197" spans="6:6" x14ac:dyDescent="0.35">
      <c r="F5197" s="1"/>
    </row>
    <row r="5198" spans="6:6" x14ac:dyDescent="0.35">
      <c r="F5198" s="1"/>
    </row>
    <row r="5199" spans="6:6" x14ac:dyDescent="0.35">
      <c r="F5199" s="1"/>
    </row>
    <row r="5200" spans="6:6" x14ac:dyDescent="0.35">
      <c r="F5200" s="1"/>
    </row>
    <row r="5201" spans="6:6" x14ac:dyDescent="0.35">
      <c r="F5201" s="1"/>
    </row>
    <row r="5202" spans="6:6" x14ac:dyDescent="0.35">
      <c r="F5202" s="1"/>
    </row>
    <row r="5203" spans="6:6" x14ac:dyDescent="0.35">
      <c r="F5203" s="1"/>
    </row>
    <row r="5204" spans="6:6" x14ac:dyDescent="0.35">
      <c r="F5204" s="1"/>
    </row>
    <row r="5205" spans="6:6" x14ac:dyDescent="0.35">
      <c r="F5205" s="1"/>
    </row>
    <row r="5206" spans="6:6" x14ac:dyDescent="0.35">
      <c r="F5206" s="1"/>
    </row>
    <row r="5207" spans="6:6" x14ac:dyDescent="0.35">
      <c r="F5207" s="1"/>
    </row>
    <row r="5208" spans="6:6" x14ac:dyDescent="0.35">
      <c r="F5208" s="1"/>
    </row>
    <row r="5209" spans="6:6" x14ac:dyDescent="0.35">
      <c r="F5209" s="1"/>
    </row>
    <row r="5210" spans="6:6" x14ac:dyDescent="0.35">
      <c r="F5210" s="1"/>
    </row>
    <row r="5211" spans="6:6" x14ac:dyDescent="0.35">
      <c r="F5211" s="1"/>
    </row>
    <row r="5212" spans="6:6" x14ac:dyDescent="0.35">
      <c r="F5212" s="1"/>
    </row>
    <row r="5213" spans="6:6" x14ac:dyDescent="0.35">
      <c r="F5213" s="1"/>
    </row>
    <row r="5214" spans="6:6" x14ac:dyDescent="0.35">
      <c r="F5214" s="1"/>
    </row>
    <row r="5215" spans="6:6" x14ac:dyDescent="0.35">
      <c r="F5215" s="1"/>
    </row>
    <row r="5216" spans="6:6" x14ac:dyDescent="0.35">
      <c r="F5216" s="1"/>
    </row>
    <row r="5217" spans="6:6" x14ac:dyDescent="0.35">
      <c r="F5217" s="1"/>
    </row>
    <row r="5218" spans="6:6" x14ac:dyDescent="0.35">
      <c r="F5218" s="1"/>
    </row>
    <row r="5219" spans="6:6" x14ac:dyDescent="0.35">
      <c r="F5219" s="1"/>
    </row>
    <row r="5220" spans="6:6" x14ac:dyDescent="0.35">
      <c r="F5220" s="1"/>
    </row>
    <row r="5221" spans="6:6" x14ac:dyDescent="0.35">
      <c r="F5221" s="1"/>
    </row>
    <row r="5222" spans="6:6" x14ac:dyDescent="0.35">
      <c r="F5222" s="1"/>
    </row>
    <row r="5223" spans="6:6" x14ac:dyDescent="0.35">
      <c r="F5223" s="1"/>
    </row>
    <row r="5224" spans="6:6" x14ac:dyDescent="0.35">
      <c r="F5224" s="1"/>
    </row>
    <row r="5225" spans="6:6" x14ac:dyDescent="0.35">
      <c r="F5225" s="1"/>
    </row>
    <row r="5226" spans="6:6" x14ac:dyDescent="0.35">
      <c r="F5226" s="1"/>
    </row>
    <row r="5227" spans="6:6" x14ac:dyDescent="0.35">
      <c r="F5227" s="1"/>
    </row>
    <row r="5228" spans="6:6" x14ac:dyDescent="0.35">
      <c r="F5228" s="1"/>
    </row>
    <row r="5229" spans="6:6" x14ac:dyDescent="0.35">
      <c r="F5229" s="1"/>
    </row>
    <row r="5230" spans="6:6" x14ac:dyDescent="0.35">
      <c r="F5230" s="1"/>
    </row>
    <row r="5231" spans="6:6" x14ac:dyDescent="0.35">
      <c r="F5231" s="1"/>
    </row>
    <row r="5232" spans="6:6" x14ac:dyDescent="0.35">
      <c r="F5232" s="1"/>
    </row>
    <row r="5233" spans="6:6" x14ac:dyDescent="0.35">
      <c r="F5233" s="1"/>
    </row>
    <row r="5234" spans="6:6" x14ac:dyDescent="0.35">
      <c r="F5234" s="1"/>
    </row>
    <row r="5235" spans="6:6" x14ac:dyDescent="0.35">
      <c r="F5235" s="1"/>
    </row>
    <row r="5236" spans="6:6" x14ac:dyDescent="0.35">
      <c r="F5236" s="1"/>
    </row>
    <row r="5237" spans="6:6" x14ac:dyDescent="0.35">
      <c r="F5237" s="1"/>
    </row>
    <row r="5238" spans="6:6" x14ac:dyDescent="0.35">
      <c r="F5238" s="1"/>
    </row>
    <row r="5239" spans="6:6" x14ac:dyDescent="0.35">
      <c r="F5239" s="1"/>
    </row>
    <row r="5240" spans="6:6" x14ac:dyDescent="0.35">
      <c r="F5240" s="1"/>
    </row>
    <row r="5241" spans="6:6" x14ac:dyDescent="0.35">
      <c r="F5241" s="1"/>
    </row>
    <row r="5242" spans="6:6" x14ac:dyDescent="0.35">
      <c r="F5242" s="1"/>
    </row>
    <row r="5243" spans="6:6" x14ac:dyDescent="0.35">
      <c r="F5243" s="1"/>
    </row>
    <row r="5244" spans="6:6" x14ac:dyDescent="0.35">
      <c r="F5244" s="1"/>
    </row>
    <row r="5245" spans="6:6" x14ac:dyDescent="0.35">
      <c r="F5245" s="1"/>
    </row>
    <row r="5246" spans="6:6" x14ac:dyDescent="0.35">
      <c r="F5246" s="1"/>
    </row>
    <row r="5247" spans="6:6" x14ac:dyDescent="0.35">
      <c r="F5247" s="1"/>
    </row>
    <row r="5248" spans="6:6" x14ac:dyDescent="0.35">
      <c r="F5248" s="1"/>
    </row>
    <row r="5249" spans="6:6" x14ac:dyDescent="0.35">
      <c r="F5249" s="1"/>
    </row>
    <row r="5250" spans="6:6" x14ac:dyDescent="0.35">
      <c r="F5250" s="1"/>
    </row>
    <row r="5251" spans="6:6" x14ac:dyDescent="0.35">
      <c r="F5251" s="1"/>
    </row>
    <row r="5252" spans="6:6" x14ac:dyDescent="0.35">
      <c r="F5252" s="1"/>
    </row>
    <row r="5253" spans="6:6" x14ac:dyDescent="0.35">
      <c r="F5253" s="1"/>
    </row>
    <row r="5254" spans="6:6" x14ac:dyDescent="0.35">
      <c r="F5254" s="1"/>
    </row>
    <row r="5255" spans="6:6" x14ac:dyDescent="0.35">
      <c r="F5255" s="1"/>
    </row>
    <row r="5256" spans="6:6" x14ac:dyDescent="0.35">
      <c r="F5256" s="1"/>
    </row>
    <row r="5257" spans="6:6" x14ac:dyDescent="0.35">
      <c r="F5257" s="1"/>
    </row>
    <row r="5258" spans="6:6" x14ac:dyDescent="0.35">
      <c r="F5258" s="1"/>
    </row>
    <row r="5259" spans="6:6" x14ac:dyDescent="0.35">
      <c r="F5259" s="1"/>
    </row>
    <row r="5260" spans="6:6" x14ac:dyDescent="0.35">
      <c r="F5260" s="1"/>
    </row>
    <row r="5261" spans="6:6" x14ac:dyDescent="0.35">
      <c r="F5261" s="1"/>
    </row>
    <row r="5262" spans="6:6" x14ac:dyDescent="0.35">
      <c r="F5262" s="1"/>
    </row>
    <row r="5263" spans="6:6" x14ac:dyDescent="0.35">
      <c r="F5263" s="1"/>
    </row>
    <row r="5264" spans="6:6" x14ac:dyDescent="0.35">
      <c r="F5264" s="1"/>
    </row>
    <row r="5265" spans="6:6" x14ac:dyDescent="0.35">
      <c r="F5265" s="1"/>
    </row>
    <row r="5266" spans="6:6" x14ac:dyDescent="0.35">
      <c r="F5266" s="1"/>
    </row>
    <row r="5267" spans="6:6" x14ac:dyDescent="0.35">
      <c r="F5267" s="1"/>
    </row>
    <row r="5268" spans="6:6" x14ac:dyDescent="0.35">
      <c r="F5268" s="1"/>
    </row>
    <row r="5269" spans="6:6" x14ac:dyDescent="0.35">
      <c r="F5269" s="1"/>
    </row>
    <row r="5270" spans="6:6" x14ac:dyDescent="0.35">
      <c r="F5270" s="1"/>
    </row>
    <row r="5271" spans="6:6" x14ac:dyDescent="0.35">
      <c r="F5271" s="1"/>
    </row>
    <row r="5272" spans="6:6" x14ac:dyDescent="0.35">
      <c r="F5272" s="1"/>
    </row>
    <row r="5273" spans="6:6" x14ac:dyDescent="0.35">
      <c r="F5273" s="1"/>
    </row>
    <row r="5274" spans="6:6" x14ac:dyDescent="0.35">
      <c r="F5274" s="1"/>
    </row>
    <row r="5275" spans="6:6" x14ac:dyDescent="0.35">
      <c r="F5275" s="1"/>
    </row>
    <row r="5276" spans="6:6" x14ac:dyDescent="0.35">
      <c r="F5276" s="1"/>
    </row>
    <row r="5277" spans="6:6" x14ac:dyDescent="0.35">
      <c r="F5277" s="1"/>
    </row>
    <row r="5278" spans="6:6" x14ac:dyDescent="0.35">
      <c r="F5278" s="1"/>
    </row>
    <row r="5279" spans="6:6" x14ac:dyDescent="0.35">
      <c r="F5279" s="1"/>
    </row>
    <row r="5280" spans="6:6" x14ac:dyDescent="0.35">
      <c r="F5280" s="1"/>
    </row>
    <row r="5281" spans="6:6" x14ac:dyDescent="0.35">
      <c r="F5281" s="1"/>
    </row>
    <row r="5282" spans="6:6" x14ac:dyDescent="0.35">
      <c r="F5282" s="1"/>
    </row>
    <row r="5283" spans="6:6" x14ac:dyDescent="0.35">
      <c r="F5283" s="1"/>
    </row>
    <row r="5284" spans="6:6" x14ac:dyDescent="0.35">
      <c r="F5284" s="1"/>
    </row>
    <row r="5285" spans="6:6" x14ac:dyDescent="0.35">
      <c r="F5285" s="1"/>
    </row>
    <row r="5286" spans="6:6" x14ac:dyDescent="0.35">
      <c r="F5286" s="1"/>
    </row>
    <row r="5287" spans="6:6" x14ac:dyDescent="0.35">
      <c r="F5287" s="1"/>
    </row>
    <row r="5288" spans="6:6" x14ac:dyDescent="0.35">
      <c r="F5288" s="1"/>
    </row>
    <row r="5289" spans="6:6" x14ac:dyDescent="0.35">
      <c r="F5289" s="1"/>
    </row>
    <row r="5290" spans="6:6" x14ac:dyDescent="0.35">
      <c r="F5290" s="1"/>
    </row>
    <row r="5291" spans="6:6" x14ac:dyDescent="0.35">
      <c r="F5291" s="1"/>
    </row>
    <row r="5292" spans="6:6" x14ac:dyDescent="0.35">
      <c r="F5292" s="1"/>
    </row>
    <row r="5293" spans="6:6" x14ac:dyDescent="0.35">
      <c r="F5293" s="1"/>
    </row>
    <row r="5294" spans="6:6" x14ac:dyDescent="0.35">
      <c r="F5294" s="1"/>
    </row>
    <row r="5295" spans="6:6" x14ac:dyDescent="0.35">
      <c r="F5295" s="1"/>
    </row>
    <row r="5296" spans="6:6" x14ac:dyDescent="0.35">
      <c r="F5296" s="1"/>
    </row>
    <row r="5297" spans="6:6" x14ac:dyDescent="0.35">
      <c r="F5297" s="1"/>
    </row>
    <row r="5298" spans="6:6" x14ac:dyDescent="0.35">
      <c r="F5298" s="1"/>
    </row>
    <row r="5299" spans="6:6" x14ac:dyDescent="0.35">
      <c r="F5299" s="1"/>
    </row>
    <row r="5300" spans="6:6" x14ac:dyDescent="0.35">
      <c r="F5300" s="1"/>
    </row>
    <row r="5301" spans="6:6" x14ac:dyDescent="0.35">
      <c r="F5301" s="1"/>
    </row>
    <row r="5302" spans="6:6" x14ac:dyDescent="0.35">
      <c r="F5302" s="1"/>
    </row>
    <row r="5303" spans="6:6" x14ac:dyDescent="0.35">
      <c r="F5303" s="1"/>
    </row>
    <row r="5304" spans="6:6" x14ac:dyDescent="0.35">
      <c r="F5304" s="1"/>
    </row>
    <row r="5305" spans="6:6" x14ac:dyDescent="0.35">
      <c r="F5305" s="1"/>
    </row>
    <row r="5306" spans="6:6" x14ac:dyDescent="0.35">
      <c r="F5306" s="1"/>
    </row>
    <row r="5307" spans="6:6" x14ac:dyDescent="0.35">
      <c r="F5307" s="1"/>
    </row>
    <row r="5308" spans="6:6" x14ac:dyDescent="0.35">
      <c r="F5308" s="1"/>
    </row>
    <row r="5309" spans="6:6" x14ac:dyDescent="0.35">
      <c r="F5309" s="1"/>
    </row>
    <row r="5310" spans="6:6" x14ac:dyDescent="0.35">
      <c r="F5310" s="1"/>
    </row>
    <row r="5311" spans="6:6" x14ac:dyDescent="0.35">
      <c r="F5311" s="1"/>
    </row>
    <row r="5312" spans="6:6" x14ac:dyDescent="0.35">
      <c r="F5312" s="1"/>
    </row>
    <row r="5313" spans="6:6" x14ac:dyDescent="0.35">
      <c r="F5313" s="1"/>
    </row>
    <row r="5314" spans="6:6" x14ac:dyDescent="0.35">
      <c r="F5314" s="1"/>
    </row>
    <row r="5315" spans="6:6" x14ac:dyDescent="0.35">
      <c r="F5315" s="1"/>
    </row>
    <row r="5316" spans="6:6" x14ac:dyDescent="0.35">
      <c r="F5316" s="1"/>
    </row>
    <row r="5317" spans="6:6" x14ac:dyDescent="0.35">
      <c r="F5317" s="1"/>
    </row>
    <row r="5318" spans="6:6" x14ac:dyDescent="0.35">
      <c r="F5318" s="1"/>
    </row>
    <row r="5319" spans="6:6" x14ac:dyDescent="0.35">
      <c r="F5319" s="1"/>
    </row>
    <row r="5320" spans="6:6" x14ac:dyDescent="0.35">
      <c r="F5320" s="1"/>
    </row>
    <row r="5321" spans="6:6" x14ac:dyDescent="0.35">
      <c r="F5321" s="1"/>
    </row>
    <row r="5322" spans="6:6" x14ac:dyDescent="0.35">
      <c r="F5322" s="1"/>
    </row>
    <row r="5323" spans="6:6" x14ac:dyDescent="0.35">
      <c r="F5323" s="1"/>
    </row>
    <row r="5324" spans="6:6" x14ac:dyDescent="0.35">
      <c r="F5324" s="1"/>
    </row>
    <row r="5325" spans="6:6" x14ac:dyDescent="0.35">
      <c r="F5325" s="1"/>
    </row>
    <row r="5326" spans="6:6" x14ac:dyDescent="0.35">
      <c r="F5326" s="1"/>
    </row>
    <row r="5327" spans="6:6" x14ac:dyDescent="0.35">
      <c r="F5327" s="1"/>
    </row>
    <row r="5328" spans="6:6" x14ac:dyDescent="0.35">
      <c r="F5328" s="1"/>
    </row>
    <row r="5329" spans="6:6" x14ac:dyDescent="0.35">
      <c r="F5329" s="1"/>
    </row>
    <row r="5330" spans="6:6" x14ac:dyDescent="0.35">
      <c r="F5330" s="1"/>
    </row>
    <row r="5331" spans="6:6" x14ac:dyDescent="0.35">
      <c r="F5331" s="1"/>
    </row>
    <row r="5332" spans="6:6" x14ac:dyDescent="0.35">
      <c r="F5332" s="1"/>
    </row>
    <row r="5333" spans="6:6" x14ac:dyDescent="0.35">
      <c r="F5333" s="1"/>
    </row>
    <row r="5334" spans="6:6" x14ac:dyDescent="0.35">
      <c r="F5334" s="1"/>
    </row>
    <row r="5335" spans="6:6" x14ac:dyDescent="0.35">
      <c r="F5335" s="1"/>
    </row>
    <row r="5336" spans="6:6" x14ac:dyDescent="0.35">
      <c r="F5336" s="1"/>
    </row>
    <row r="5337" spans="6:6" x14ac:dyDescent="0.35">
      <c r="F5337" s="1"/>
    </row>
    <row r="5338" spans="6:6" x14ac:dyDescent="0.35">
      <c r="F5338" s="1"/>
    </row>
    <row r="5339" spans="6:6" x14ac:dyDescent="0.35">
      <c r="F5339" s="1"/>
    </row>
    <row r="5340" spans="6:6" x14ac:dyDescent="0.35">
      <c r="F5340" s="1"/>
    </row>
    <row r="5341" spans="6:6" x14ac:dyDescent="0.35">
      <c r="F5341" s="1"/>
    </row>
    <row r="5342" spans="6:6" x14ac:dyDescent="0.35">
      <c r="F5342" s="1"/>
    </row>
    <row r="5343" spans="6:6" x14ac:dyDescent="0.35">
      <c r="F5343" s="1"/>
    </row>
    <row r="5344" spans="6:6" x14ac:dyDescent="0.35">
      <c r="F5344" s="1"/>
    </row>
    <row r="5345" spans="6:6" x14ac:dyDescent="0.35">
      <c r="F5345" s="1"/>
    </row>
    <row r="5346" spans="6:6" x14ac:dyDescent="0.35">
      <c r="F5346" s="1"/>
    </row>
    <row r="5347" spans="6:6" x14ac:dyDescent="0.35">
      <c r="F5347" s="1"/>
    </row>
    <row r="5348" spans="6:6" x14ac:dyDescent="0.35">
      <c r="F5348" s="1"/>
    </row>
    <row r="5349" spans="6:6" x14ac:dyDescent="0.35">
      <c r="F5349" s="1"/>
    </row>
    <row r="5350" spans="6:6" x14ac:dyDescent="0.35">
      <c r="F5350" s="1"/>
    </row>
    <row r="5351" spans="6:6" x14ac:dyDescent="0.35">
      <c r="F5351" s="1"/>
    </row>
    <row r="5352" spans="6:6" x14ac:dyDescent="0.35">
      <c r="F5352" s="1"/>
    </row>
    <row r="5353" spans="6:6" x14ac:dyDescent="0.35">
      <c r="F5353" s="1"/>
    </row>
    <row r="5354" spans="6:6" x14ac:dyDescent="0.35">
      <c r="F5354" s="1"/>
    </row>
    <row r="5355" spans="6:6" x14ac:dyDescent="0.35">
      <c r="F5355" s="1"/>
    </row>
    <row r="5356" spans="6:6" x14ac:dyDescent="0.35">
      <c r="F5356" s="1"/>
    </row>
    <row r="5357" spans="6:6" x14ac:dyDescent="0.35">
      <c r="F5357" s="1"/>
    </row>
    <row r="5358" spans="6:6" x14ac:dyDescent="0.35">
      <c r="F5358" s="1"/>
    </row>
    <row r="5359" spans="6:6" x14ac:dyDescent="0.35">
      <c r="F5359" s="1"/>
    </row>
    <row r="5360" spans="6:6" x14ac:dyDescent="0.35">
      <c r="F5360" s="1"/>
    </row>
    <row r="5361" spans="6:6" x14ac:dyDescent="0.35">
      <c r="F5361" s="1"/>
    </row>
    <row r="5362" spans="6:6" x14ac:dyDescent="0.35">
      <c r="F5362" s="1"/>
    </row>
    <row r="5363" spans="6:6" x14ac:dyDescent="0.35">
      <c r="F5363" s="1"/>
    </row>
    <row r="5364" spans="6:6" x14ac:dyDescent="0.35">
      <c r="F5364" s="1"/>
    </row>
    <row r="5365" spans="6:6" x14ac:dyDescent="0.35">
      <c r="F5365" s="1"/>
    </row>
    <row r="5366" spans="6:6" x14ac:dyDescent="0.35">
      <c r="F5366" s="1"/>
    </row>
    <row r="5367" spans="6:6" x14ac:dyDescent="0.35">
      <c r="F5367" s="1"/>
    </row>
    <row r="5368" spans="6:6" x14ac:dyDescent="0.35">
      <c r="F5368" s="1"/>
    </row>
    <row r="5369" spans="6:6" x14ac:dyDescent="0.35">
      <c r="F5369" s="1"/>
    </row>
    <row r="5370" spans="6:6" x14ac:dyDescent="0.35">
      <c r="F5370" s="1"/>
    </row>
    <row r="5371" spans="6:6" x14ac:dyDescent="0.35">
      <c r="F5371" s="1"/>
    </row>
    <row r="5372" spans="6:6" x14ac:dyDescent="0.35">
      <c r="F5372" s="1"/>
    </row>
    <row r="5373" spans="6:6" x14ac:dyDescent="0.35">
      <c r="F5373" s="1"/>
    </row>
    <row r="5374" spans="6:6" x14ac:dyDescent="0.35">
      <c r="F5374" s="1"/>
    </row>
    <row r="5375" spans="6:6" x14ac:dyDescent="0.35">
      <c r="F5375" s="1"/>
    </row>
    <row r="5376" spans="6:6" x14ac:dyDescent="0.35">
      <c r="F5376" s="1"/>
    </row>
    <row r="5377" spans="6:6" x14ac:dyDescent="0.35">
      <c r="F5377" s="1"/>
    </row>
    <row r="5378" spans="6:6" x14ac:dyDescent="0.35">
      <c r="F5378" s="1"/>
    </row>
    <row r="5379" spans="6:6" x14ac:dyDescent="0.35">
      <c r="F5379" s="1"/>
    </row>
    <row r="5380" spans="6:6" x14ac:dyDescent="0.35">
      <c r="F5380" s="1"/>
    </row>
    <row r="5381" spans="6:6" x14ac:dyDescent="0.35">
      <c r="F5381" s="1"/>
    </row>
    <row r="5382" spans="6:6" x14ac:dyDescent="0.35">
      <c r="F5382" s="1"/>
    </row>
    <row r="5383" spans="6:6" x14ac:dyDescent="0.35">
      <c r="F5383" s="1"/>
    </row>
    <row r="5384" spans="6:6" x14ac:dyDescent="0.35">
      <c r="F5384" s="1"/>
    </row>
    <row r="5385" spans="6:6" x14ac:dyDescent="0.35">
      <c r="F5385" s="1"/>
    </row>
    <row r="5386" spans="6:6" x14ac:dyDescent="0.35">
      <c r="F5386" s="1"/>
    </row>
    <row r="5387" spans="6:6" x14ac:dyDescent="0.35">
      <c r="F5387" s="1"/>
    </row>
    <row r="5388" spans="6:6" x14ac:dyDescent="0.35">
      <c r="F5388" s="1"/>
    </row>
    <row r="5389" spans="6:6" x14ac:dyDescent="0.35">
      <c r="F5389" s="1"/>
    </row>
    <row r="5390" spans="6:6" x14ac:dyDescent="0.35">
      <c r="F5390" s="1"/>
    </row>
    <row r="5391" spans="6:6" x14ac:dyDescent="0.35">
      <c r="F5391" s="1"/>
    </row>
    <row r="5392" spans="6:6" x14ac:dyDescent="0.35">
      <c r="F5392" s="1"/>
    </row>
    <row r="5393" spans="6:6" x14ac:dyDescent="0.35">
      <c r="F5393" s="1"/>
    </row>
    <row r="5394" spans="6:6" x14ac:dyDescent="0.35">
      <c r="F5394" s="1"/>
    </row>
    <row r="5395" spans="6:6" x14ac:dyDescent="0.35">
      <c r="F5395" s="1"/>
    </row>
    <row r="5396" spans="6:6" x14ac:dyDescent="0.35">
      <c r="F5396" s="1"/>
    </row>
    <row r="5397" spans="6:6" x14ac:dyDescent="0.35">
      <c r="F5397" s="1"/>
    </row>
    <row r="5398" spans="6:6" x14ac:dyDescent="0.35">
      <c r="F5398" s="1"/>
    </row>
    <row r="5399" spans="6:6" x14ac:dyDescent="0.35">
      <c r="F5399" s="1"/>
    </row>
    <row r="5400" spans="6:6" x14ac:dyDescent="0.35">
      <c r="F5400" s="1"/>
    </row>
    <row r="5401" spans="6:6" x14ac:dyDescent="0.35">
      <c r="F5401" s="1"/>
    </row>
    <row r="5402" spans="6:6" x14ac:dyDescent="0.35">
      <c r="F5402" s="1"/>
    </row>
    <row r="5403" spans="6:6" x14ac:dyDescent="0.35">
      <c r="F5403" s="1"/>
    </row>
    <row r="5404" spans="6:6" x14ac:dyDescent="0.35">
      <c r="F5404" s="1"/>
    </row>
    <row r="5405" spans="6:6" x14ac:dyDescent="0.35">
      <c r="F5405" s="1"/>
    </row>
    <row r="5406" spans="6:6" x14ac:dyDescent="0.35">
      <c r="F5406" s="1"/>
    </row>
    <row r="5407" spans="6:6" x14ac:dyDescent="0.35">
      <c r="F5407" s="1"/>
    </row>
    <row r="5408" spans="6:6" x14ac:dyDescent="0.35">
      <c r="F5408" s="1"/>
    </row>
    <row r="5409" spans="6:6" x14ac:dyDescent="0.35">
      <c r="F5409" s="1"/>
    </row>
    <row r="5410" spans="6:6" x14ac:dyDescent="0.35">
      <c r="F5410" s="1"/>
    </row>
    <row r="5411" spans="6:6" x14ac:dyDescent="0.35">
      <c r="F5411" s="1"/>
    </row>
    <row r="5412" spans="6:6" x14ac:dyDescent="0.35">
      <c r="F5412" s="1"/>
    </row>
    <row r="5413" spans="6:6" x14ac:dyDescent="0.35">
      <c r="F5413" s="1"/>
    </row>
    <row r="5414" spans="6:6" x14ac:dyDescent="0.35">
      <c r="F5414" s="1"/>
    </row>
    <row r="5415" spans="6:6" x14ac:dyDescent="0.35">
      <c r="F5415" s="1"/>
    </row>
    <row r="5416" spans="6:6" x14ac:dyDescent="0.35">
      <c r="F5416" s="1"/>
    </row>
    <row r="5417" spans="6:6" x14ac:dyDescent="0.35">
      <c r="F5417" s="1"/>
    </row>
    <row r="5418" spans="6:6" x14ac:dyDescent="0.35">
      <c r="F5418" s="1"/>
    </row>
    <row r="5419" spans="6:6" x14ac:dyDescent="0.35">
      <c r="F5419" s="1"/>
    </row>
    <row r="5420" spans="6:6" x14ac:dyDescent="0.35">
      <c r="F5420" s="1"/>
    </row>
    <row r="5421" spans="6:6" x14ac:dyDescent="0.35">
      <c r="F5421" s="1"/>
    </row>
    <row r="5422" spans="6:6" x14ac:dyDescent="0.35">
      <c r="F5422" s="1"/>
    </row>
    <row r="5423" spans="6:6" x14ac:dyDescent="0.35">
      <c r="F5423" s="1"/>
    </row>
    <row r="5424" spans="6:6" x14ac:dyDescent="0.35">
      <c r="F5424" s="1"/>
    </row>
    <row r="5425" spans="6:6" x14ac:dyDescent="0.35">
      <c r="F5425" s="1"/>
    </row>
    <row r="5426" spans="6:6" x14ac:dyDescent="0.35">
      <c r="F5426" s="1"/>
    </row>
    <row r="5427" spans="6:6" x14ac:dyDescent="0.35">
      <c r="F5427" s="1"/>
    </row>
    <row r="5428" spans="6:6" x14ac:dyDescent="0.35">
      <c r="F5428" s="1"/>
    </row>
    <row r="5429" spans="6:6" x14ac:dyDescent="0.35">
      <c r="F5429" s="1"/>
    </row>
    <row r="5430" spans="6:6" x14ac:dyDescent="0.35">
      <c r="F5430" s="1"/>
    </row>
    <row r="5431" spans="6:6" x14ac:dyDescent="0.35">
      <c r="F5431" s="1"/>
    </row>
    <row r="5432" spans="6:6" x14ac:dyDescent="0.35">
      <c r="F5432" s="1"/>
    </row>
    <row r="5433" spans="6:6" x14ac:dyDescent="0.35">
      <c r="F5433" s="1"/>
    </row>
    <row r="5434" spans="6:6" x14ac:dyDescent="0.35">
      <c r="F5434" s="1"/>
    </row>
    <row r="5435" spans="6:6" x14ac:dyDescent="0.35">
      <c r="F5435" s="1"/>
    </row>
    <row r="5436" spans="6:6" x14ac:dyDescent="0.35">
      <c r="F5436" s="1"/>
    </row>
    <row r="5437" spans="6:6" x14ac:dyDescent="0.35">
      <c r="F5437" s="1"/>
    </row>
    <row r="5438" spans="6:6" x14ac:dyDescent="0.35">
      <c r="F5438" s="1"/>
    </row>
    <row r="5439" spans="6:6" x14ac:dyDescent="0.35">
      <c r="F5439" s="1"/>
    </row>
    <row r="5440" spans="6:6" x14ac:dyDescent="0.35">
      <c r="F5440" s="1"/>
    </row>
    <row r="5441" spans="6:6" x14ac:dyDescent="0.35">
      <c r="F5441" s="1"/>
    </row>
    <row r="5442" spans="6:6" x14ac:dyDescent="0.35">
      <c r="F5442" s="1"/>
    </row>
    <row r="5443" spans="6:6" x14ac:dyDescent="0.35">
      <c r="F5443" s="1"/>
    </row>
    <row r="5444" spans="6:6" x14ac:dyDescent="0.35">
      <c r="F5444" s="1"/>
    </row>
    <row r="5445" spans="6:6" x14ac:dyDescent="0.35">
      <c r="F5445" s="1"/>
    </row>
    <row r="5446" spans="6:6" x14ac:dyDescent="0.35">
      <c r="F5446" s="1"/>
    </row>
    <row r="5447" spans="6:6" x14ac:dyDescent="0.35">
      <c r="F5447" s="1"/>
    </row>
    <row r="5448" spans="6:6" x14ac:dyDescent="0.35">
      <c r="F5448" s="1"/>
    </row>
    <row r="5449" spans="6:6" x14ac:dyDescent="0.35">
      <c r="F5449" s="1"/>
    </row>
    <row r="5450" spans="6:6" x14ac:dyDescent="0.35">
      <c r="F5450" s="1"/>
    </row>
    <row r="5451" spans="6:6" x14ac:dyDescent="0.35">
      <c r="F5451" s="1"/>
    </row>
    <row r="5452" spans="6:6" x14ac:dyDescent="0.35">
      <c r="F5452" s="1"/>
    </row>
    <row r="5453" spans="6:6" x14ac:dyDescent="0.35">
      <c r="F5453" s="1"/>
    </row>
    <row r="5454" spans="6:6" x14ac:dyDescent="0.35">
      <c r="F5454" s="1"/>
    </row>
    <row r="5455" spans="6:6" x14ac:dyDescent="0.35">
      <c r="F5455" s="1"/>
    </row>
    <row r="5456" spans="6:6" x14ac:dyDescent="0.35">
      <c r="F5456" s="1"/>
    </row>
    <row r="5457" spans="6:6" x14ac:dyDescent="0.35">
      <c r="F5457" s="1"/>
    </row>
    <row r="5458" spans="6:6" x14ac:dyDescent="0.35">
      <c r="F5458" s="1"/>
    </row>
    <row r="5459" spans="6:6" x14ac:dyDescent="0.35">
      <c r="F5459" s="1"/>
    </row>
    <row r="5460" spans="6:6" x14ac:dyDescent="0.35">
      <c r="F5460" s="1"/>
    </row>
    <row r="5461" spans="6:6" x14ac:dyDescent="0.35">
      <c r="F5461" s="1"/>
    </row>
    <row r="5462" spans="6:6" x14ac:dyDescent="0.35">
      <c r="F5462" s="1"/>
    </row>
    <row r="5463" spans="6:6" x14ac:dyDescent="0.35">
      <c r="F5463" s="1"/>
    </row>
    <row r="5464" spans="6:6" x14ac:dyDescent="0.35">
      <c r="F5464" s="1"/>
    </row>
    <row r="5465" spans="6:6" x14ac:dyDescent="0.35">
      <c r="F5465" s="1"/>
    </row>
    <row r="5466" spans="6:6" x14ac:dyDescent="0.35">
      <c r="F5466" s="1"/>
    </row>
    <row r="5467" spans="6:6" x14ac:dyDescent="0.35">
      <c r="F5467" s="1"/>
    </row>
    <row r="5468" spans="6:6" x14ac:dyDescent="0.35">
      <c r="F5468" s="1"/>
    </row>
    <row r="5469" spans="6:6" x14ac:dyDescent="0.35">
      <c r="F5469" s="1"/>
    </row>
    <row r="5470" spans="6:6" x14ac:dyDescent="0.35">
      <c r="F5470" s="1"/>
    </row>
    <row r="5471" spans="6:6" x14ac:dyDescent="0.35">
      <c r="F5471" s="1"/>
    </row>
    <row r="5472" spans="6:6" x14ac:dyDescent="0.35">
      <c r="F5472" s="1"/>
    </row>
    <row r="5473" spans="6:6" x14ac:dyDescent="0.35">
      <c r="F5473" s="1"/>
    </row>
    <row r="5474" spans="6:6" x14ac:dyDescent="0.35">
      <c r="F5474" s="1"/>
    </row>
    <row r="5475" spans="6:6" x14ac:dyDescent="0.35">
      <c r="F5475" s="1"/>
    </row>
    <row r="5476" spans="6:6" x14ac:dyDescent="0.35">
      <c r="F5476" s="1"/>
    </row>
    <row r="5477" spans="6:6" x14ac:dyDescent="0.35">
      <c r="F5477" s="1"/>
    </row>
    <row r="5478" spans="6:6" x14ac:dyDescent="0.35">
      <c r="F5478" s="1"/>
    </row>
    <row r="5479" spans="6:6" x14ac:dyDescent="0.35">
      <c r="F5479" s="1"/>
    </row>
    <row r="5480" spans="6:6" x14ac:dyDescent="0.35">
      <c r="F5480" s="1"/>
    </row>
    <row r="5481" spans="6:6" x14ac:dyDescent="0.35">
      <c r="F5481" s="1"/>
    </row>
    <row r="5482" spans="6:6" x14ac:dyDescent="0.35">
      <c r="F5482" s="1"/>
    </row>
    <row r="5483" spans="6:6" x14ac:dyDescent="0.35">
      <c r="F5483" s="1"/>
    </row>
    <row r="5484" spans="6:6" x14ac:dyDescent="0.35">
      <c r="F5484" s="1"/>
    </row>
    <row r="5485" spans="6:6" x14ac:dyDescent="0.35">
      <c r="F5485" s="1"/>
    </row>
    <row r="5486" spans="6:6" x14ac:dyDescent="0.35">
      <c r="F5486" s="1"/>
    </row>
    <row r="5487" spans="6:6" x14ac:dyDescent="0.35">
      <c r="F5487" s="1"/>
    </row>
    <row r="5488" spans="6:6" x14ac:dyDescent="0.35">
      <c r="F5488" s="1"/>
    </row>
    <row r="5489" spans="6:6" x14ac:dyDescent="0.35">
      <c r="F5489" s="1"/>
    </row>
    <row r="5490" spans="6:6" x14ac:dyDescent="0.35">
      <c r="F5490" s="1"/>
    </row>
    <row r="5491" spans="6:6" x14ac:dyDescent="0.35">
      <c r="F5491" s="1"/>
    </row>
    <row r="5492" spans="6:6" x14ac:dyDescent="0.35">
      <c r="F5492" s="1"/>
    </row>
    <row r="5493" spans="6:6" x14ac:dyDescent="0.35">
      <c r="F5493" s="1"/>
    </row>
    <row r="5494" spans="6:6" x14ac:dyDescent="0.35">
      <c r="F5494" s="1"/>
    </row>
    <row r="5495" spans="6:6" x14ac:dyDescent="0.35">
      <c r="F5495" s="1"/>
    </row>
    <row r="5496" spans="6:6" x14ac:dyDescent="0.35">
      <c r="F5496" s="1"/>
    </row>
    <row r="5497" spans="6:6" x14ac:dyDescent="0.35">
      <c r="F5497" s="1"/>
    </row>
    <row r="5498" spans="6:6" x14ac:dyDescent="0.35">
      <c r="F5498" s="1"/>
    </row>
    <row r="5499" spans="6:6" x14ac:dyDescent="0.35">
      <c r="F5499" s="1"/>
    </row>
    <row r="5500" spans="6:6" x14ac:dyDescent="0.35">
      <c r="F5500" s="1"/>
    </row>
    <row r="5501" spans="6:6" x14ac:dyDescent="0.35">
      <c r="F5501" s="1"/>
    </row>
    <row r="5502" spans="6:6" x14ac:dyDescent="0.35">
      <c r="F5502" s="1"/>
    </row>
    <row r="5503" spans="6:6" x14ac:dyDescent="0.35">
      <c r="F5503" s="1"/>
    </row>
    <row r="5504" spans="6:6" x14ac:dyDescent="0.35">
      <c r="F5504" s="1"/>
    </row>
    <row r="5505" spans="6:6" x14ac:dyDescent="0.35">
      <c r="F5505" s="1"/>
    </row>
    <row r="5506" spans="6:6" x14ac:dyDescent="0.35">
      <c r="F5506" s="1"/>
    </row>
    <row r="5507" spans="6:6" x14ac:dyDescent="0.35">
      <c r="F5507" s="1"/>
    </row>
    <row r="5508" spans="6:6" x14ac:dyDescent="0.35">
      <c r="F5508" s="1"/>
    </row>
    <row r="5509" spans="6:6" x14ac:dyDescent="0.35">
      <c r="F5509" s="1"/>
    </row>
    <row r="5510" spans="6:6" x14ac:dyDescent="0.35">
      <c r="F5510" s="1"/>
    </row>
    <row r="5511" spans="6:6" x14ac:dyDescent="0.35">
      <c r="F5511" s="1"/>
    </row>
    <row r="5512" spans="6:6" x14ac:dyDescent="0.35">
      <c r="F5512" s="1"/>
    </row>
    <row r="5513" spans="6:6" x14ac:dyDescent="0.35">
      <c r="F5513" s="1"/>
    </row>
    <row r="5514" spans="6:6" x14ac:dyDescent="0.35">
      <c r="F5514" s="1"/>
    </row>
    <row r="5515" spans="6:6" x14ac:dyDescent="0.35">
      <c r="F5515" s="1"/>
    </row>
    <row r="5516" spans="6:6" x14ac:dyDescent="0.35">
      <c r="F5516" s="1"/>
    </row>
    <row r="5517" spans="6:6" x14ac:dyDescent="0.35">
      <c r="F5517" s="1"/>
    </row>
    <row r="5518" spans="6:6" x14ac:dyDescent="0.35">
      <c r="F5518" s="1"/>
    </row>
    <row r="5519" spans="6:6" x14ac:dyDescent="0.35">
      <c r="F5519" s="1"/>
    </row>
    <row r="5520" spans="6:6" x14ac:dyDescent="0.35">
      <c r="F5520" s="1"/>
    </row>
    <row r="5521" spans="6:6" x14ac:dyDescent="0.35">
      <c r="F5521" s="1"/>
    </row>
    <row r="5522" spans="6:6" x14ac:dyDescent="0.35">
      <c r="F5522" s="1"/>
    </row>
    <row r="5523" spans="6:6" x14ac:dyDescent="0.35">
      <c r="F5523" s="1"/>
    </row>
    <row r="5524" spans="6:6" x14ac:dyDescent="0.35">
      <c r="F5524" s="1"/>
    </row>
    <row r="5525" spans="6:6" x14ac:dyDescent="0.35">
      <c r="F5525" s="1"/>
    </row>
    <row r="5526" spans="6:6" x14ac:dyDescent="0.35">
      <c r="F5526" s="1"/>
    </row>
    <row r="5527" spans="6:6" x14ac:dyDescent="0.35">
      <c r="F5527" s="1"/>
    </row>
    <row r="5528" spans="6:6" x14ac:dyDescent="0.35">
      <c r="F5528" s="1"/>
    </row>
    <row r="5529" spans="6:6" x14ac:dyDescent="0.35">
      <c r="F5529" s="1"/>
    </row>
    <row r="5530" spans="6:6" x14ac:dyDescent="0.35">
      <c r="F5530" s="1"/>
    </row>
    <row r="5531" spans="6:6" x14ac:dyDescent="0.35">
      <c r="F5531" s="1"/>
    </row>
    <row r="5532" spans="6:6" x14ac:dyDescent="0.35">
      <c r="F5532" s="1"/>
    </row>
    <row r="5533" spans="6:6" x14ac:dyDescent="0.35">
      <c r="F5533" s="1"/>
    </row>
    <row r="5534" spans="6:6" x14ac:dyDescent="0.35">
      <c r="F5534" s="1"/>
    </row>
    <row r="5535" spans="6:6" x14ac:dyDescent="0.35">
      <c r="F5535" s="1"/>
    </row>
    <row r="5536" spans="6:6" x14ac:dyDescent="0.35">
      <c r="F5536" s="1"/>
    </row>
    <row r="5537" spans="6:6" x14ac:dyDescent="0.35">
      <c r="F5537" s="1"/>
    </row>
    <row r="5538" spans="6:6" x14ac:dyDescent="0.35">
      <c r="F5538" s="1"/>
    </row>
    <row r="5539" spans="6:6" x14ac:dyDescent="0.35">
      <c r="F5539" s="1"/>
    </row>
    <row r="5540" spans="6:6" x14ac:dyDescent="0.35">
      <c r="F5540" s="1"/>
    </row>
    <row r="5541" spans="6:6" x14ac:dyDescent="0.35">
      <c r="F5541" s="1"/>
    </row>
    <row r="5542" spans="6:6" x14ac:dyDescent="0.35">
      <c r="F5542" s="1"/>
    </row>
    <row r="5543" spans="6:6" x14ac:dyDescent="0.35">
      <c r="F5543" s="1"/>
    </row>
    <row r="5544" spans="6:6" x14ac:dyDescent="0.35">
      <c r="F5544" s="1"/>
    </row>
    <row r="5545" spans="6:6" x14ac:dyDescent="0.35">
      <c r="F5545" s="1"/>
    </row>
    <row r="5546" spans="6:6" x14ac:dyDescent="0.35">
      <c r="F5546" s="1"/>
    </row>
    <row r="5547" spans="6:6" x14ac:dyDescent="0.35">
      <c r="F5547" s="1"/>
    </row>
    <row r="5548" spans="6:6" x14ac:dyDescent="0.35">
      <c r="F5548" s="1"/>
    </row>
    <row r="5549" spans="6:6" x14ac:dyDescent="0.35">
      <c r="F5549" s="1"/>
    </row>
    <row r="5550" spans="6:6" x14ac:dyDescent="0.35">
      <c r="F5550" s="1"/>
    </row>
    <row r="5551" spans="6:6" x14ac:dyDescent="0.35">
      <c r="F5551" s="1"/>
    </row>
    <row r="5552" spans="6:6" x14ac:dyDescent="0.35">
      <c r="F5552" s="1"/>
    </row>
    <row r="5553" spans="6:6" x14ac:dyDescent="0.35">
      <c r="F5553" s="1"/>
    </row>
    <row r="5554" spans="6:6" x14ac:dyDescent="0.35">
      <c r="F5554" s="1"/>
    </row>
    <row r="5555" spans="6:6" x14ac:dyDescent="0.35">
      <c r="F5555" s="1"/>
    </row>
    <row r="5556" spans="6:6" x14ac:dyDescent="0.35">
      <c r="F5556" s="1"/>
    </row>
    <row r="5557" spans="6:6" x14ac:dyDescent="0.35">
      <c r="F5557" s="1"/>
    </row>
    <row r="5558" spans="6:6" x14ac:dyDescent="0.35">
      <c r="F5558" s="1"/>
    </row>
    <row r="5559" spans="6:6" x14ac:dyDescent="0.35">
      <c r="F5559" s="1"/>
    </row>
    <row r="5560" spans="6:6" x14ac:dyDescent="0.35">
      <c r="F5560" s="1"/>
    </row>
    <row r="5561" spans="6:6" x14ac:dyDescent="0.35">
      <c r="F5561" s="1"/>
    </row>
    <row r="5562" spans="6:6" x14ac:dyDescent="0.35">
      <c r="F5562" s="1"/>
    </row>
    <row r="5563" spans="6:6" x14ac:dyDescent="0.35">
      <c r="F5563" s="1"/>
    </row>
    <row r="5564" spans="6:6" x14ac:dyDescent="0.35">
      <c r="F5564" s="1"/>
    </row>
    <row r="5565" spans="6:6" x14ac:dyDescent="0.35">
      <c r="F5565" s="1"/>
    </row>
    <row r="5566" spans="6:6" x14ac:dyDescent="0.35">
      <c r="F5566" s="1"/>
    </row>
    <row r="5567" spans="6:6" x14ac:dyDescent="0.35">
      <c r="F5567" s="1"/>
    </row>
    <row r="5568" spans="6:6" x14ac:dyDescent="0.35">
      <c r="F5568" s="1"/>
    </row>
    <row r="5569" spans="6:6" x14ac:dyDescent="0.35">
      <c r="F5569" s="1"/>
    </row>
    <row r="5570" spans="6:6" x14ac:dyDescent="0.35">
      <c r="F5570" s="1"/>
    </row>
    <row r="5571" spans="6:6" x14ac:dyDescent="0.35">
      <c r="F5571" s="1"/>
    </row>
    <row r="5572" spans="6:6" x14ac:dyDescent="0.35">
      <c r="F5572" s="1"/>
    </row>
    <row r="5573" spans="6:6" x14ac:dyDescent="0.35">
      <c r="F5573" s="1"/>
    </row>
    <row r="5574" spans="6:6" x14ac:dyDescent="0.35">
      <c r="F5574" s="1"/>
    </row>
    <row r="5575" spans="6:6" x14ac:dyDescent="0.35">
      <c r="F5575" s="1"/>
    </row>
    <row r="5576" spans="6:6" x14ac:dyDescent="0.35">
      <c r="F5576" s="1"/>
    </row>
    <row r="5577" spans="6:6" x14ac:dyDescent="0.35">
      <c r="F5577" s="1"/>
    </row>
    <row r="5578" spans="6:6" x14ac:dyDescent="0.35">
      <c r="F5578" s="1"/>
    </row>
    <row r="5579" spans="6:6" x14ac:dyDescent="0.35">
      <c r="F5579" s="1"/>
    </row>
    <row r="5580" spans="6:6" x14ac:dyDescent="0.35">
      <c r="F5580" s="1"/>
    </row>
    <row r="5581" spans="6:6" x14ac:dyDescent="0.35">
      <c r="F5581" s="1"/>
    </row>
    <row r="5582" spans="6:6" x14ac:dyDescent="0.35">
      <c r="F5582" s="1"/>
    </row>
    <row r="5583" spans="6:6" x14ac:dyDescent="0.35">
      <c r="F5583" s="1"/>
    </row>
    <row r="5584" spans="6:6" x14ac:dyDescent="0.35">
      <c r="F5584" s="1"/>
    </row>
    <row r="5585" spans="6:6" x14ac:dyDescent="0.35">
      <c r="F5585" s="1"/>
    </row>
    <row r="5586" spans="6:6" x14ac:dyDescent="0.35">
      <c r="F5586" s="1"/>
    </row>
    <row r="5587" spans="6:6" x14ac:dyDescent="0.35">
      <c r="F5587" s="1"/>
    </row>
    <row r="5588" spans="6:6" x14ac:dyDescent="0.35">
      <c r="F5588" s="1"/>
    </row>
    <row r="5589" spans="6:6" x14ac:dyDescent="0.35">
      <c r="F5589" s="1"/>
    </row>
    <row r="5590" spans="6:6" x14ac:dyDescent="0.35">
      <c r="F5590" s="1"/>
    </row>
    <row r="5591" spans="6:6" x14ac:dyDescent="0.35">
      <c r="F5591" s="1"/>
    </row>
    <row r="5592" spans="6:6" x14ac:dyDescent="0.35">
      <c r="F5592" s="1"/>
    </row>
    <row r="5593" spans="6:6" x14ac:dyDescent="0.35">
      <c r="F5593" s="1"/>
    </row>
    <row r="5594" spans="6:6" x14ac:dyDescent="0.35">
      <c r="F5594" s="1"/>
    </row>
    <row r="5595" spans="6:6" x14ac:dyDescent="0.35">
      <c r="F5595" s="1"/>
    </row>
    <row r="5596" spans="6:6" x14ac:dyDescent="0.35">
      <c r="F5596" s="1"/>
    </row>
    <row r="5597" spans="6:6" x14ac:dyDescent="0.35">
      <c r="F5597" s="1"/>
    </row>
    <row r="5598" spans="6:6" x14ac:dyDescent="0.35">
      <c r="F5598" s="1"/>
    </row>
    <row r="5599" spans="6:6" x14ac:dyDescent="0.35">
      <c r="F5599" s="1"/>
    </row>
    <row r="5600" spans="6:6" x14ac:dyDescent="0.35">
      <c r="F5600" s="1"/>
    </row>
    <row r="5601" spans="6:6" x14ac:dyDescent="0.35">
      <c r="F5601" s="1"/>
    </row>
    <row r="5602" spans="6:6" x14ac:dyDescent="0.35">
      <c r="F5602" s="1"/>
    </row>
    <row r="5603" spans="6:6" x14ac:dyDescent="0.35">
      <c r="F5603" s="1"/>
    </row>
    <row r="5604" spans="6:6" x14ac:dyDescent="0.35">
      <c r="F5604" s="1"/>
    </row>
    <row r="5605" spans="6:6" x14ac:dyDescent="0.35">
      <c r="F5605" s="1"/>
    </row>
    <row r="5606" spans="6:6" x14ac:dyDescent="0.35">
      <c r="F5606" s="1"/>
    </row>
    <row r="5607" spans="6:6" x14ac:dyDescent="0.35">
      <c r="F5607" s="1"/>
    </row>
    <row r="5608" spans="6:6" x14ac:dyDescent="0.35">
      <c r="F5608" s="1"/>
    </row>
    <row r="5609" spans="6:6" x14ac:dyDescent="0.35">
      <c r="F5609" s="1"/>
    </row>
    <row r="5610" spans="6:6" x14ac:dyDescent="0.35">
      <c r="F5610" s="1"/>
    </row>
    <row r="5611" spans="6:6" x14ac:dyDescent="0.35">
      <c r="F5611" s="1"/>
    </row>
    <row r="5612" spans="6:6" x14ac:dyDescent="0.35">
      <c r="F5612" s="1"/>
    </row>
    <row r="5613" spans="6:6" x14ac:dyDescent="0.35">
      <c r="F5613" s="1"/>
    </row>
    <row r="5614" spans="6:6" x14ac:dyDescent="0.35">
      <c r="F5614" s="1"/>
    </row>
    <row r="5615" spans="6:6" x14ac:dyDescent="0.35">
      <c r="F5615" s="1"/>
    </row>
    <row r="5616" spans="6:6" x14ac:dyDescent="0.35">
      <c r="F5616" s="1"/>
    </row>
    <row r="5617" spans="6:6" x14ac:dyDescent="0.35">
      <c r="F5617" s="1"/>
    </row>
    <row r="5618" spans="6:6" x14ac:dyDescent="0.35">
      <c r="F5618" s="1"/>
    </row>
    <row r="5619" spans="6:6" x14ac:dyDescent="0.35">
      <c r="F5619" s="1"/>
    </row>
    <row r="5620" spans="6:6" x14ac:dyDescent="0.35">
      <c r="F5620" s="1"/>
    </row>
    <row r="5621" spans="6:6" x14ac:dyDescent="0.35">
      <c r="F5621" s="1"/>
    </row>
    <row r="5622" spans="6:6" x14ac:dyDescent="0.35">
      <c r="F5622" s="1"/>
    </row>
    <row r="5623" spans="6:6" x14ac:dyDescent="0.35">
      <c r="F5623" s="1"/>
    </row>
    <row r="5624" spans="6:6" x14ac:dyDescent="0.35">
      <c r="F5624" s="1"/>
    </row>
    <row r="5625" spans="6:6" x14ac:dyDescent="0.35">
      <c r="F5625" s="1"/>
    </row>
    <row r="5626" spans="6:6" x14ac:dyDescent="0.35">
      <c r="F5626" s="1"/>
    </row>
    <row r="5627" spans="6:6" x14ac:dyDescent="0.35">
      <c r="F5627" s="1"/>
    </row>
    <row r="5628" spans="6:6" x14ac:dyDescent="0.35">
      <c r="F5628" s="1"/>
    </row>
    <row r="5629" spans="6:6" x14ac:dyDescent="0.35">
      <c r="F5629" s="1"/>
    </row>
    <row r="5630" spans="6:6" x14ac:dyDescent="0.35">
      <c r="F5630" s="1"/>
    </row>
    <row r="5631" spans="6:6" x14ac:dyDescent="0.35">
      <c r="F5631" s="1"/>
    </row>
    <row r="5632" spans="6:6" x14ac:dyDescent="0.35">
      <c r="F5632" s="1"/>
    </row>
    <row r="5633" spans="6:6" x14ac:dyDescent="0.35">
      <c r="F5633" s="1"/>
    </row>
    <row r="5634" spans="6:6" x14ac:dyDescent="0.35">
      <c r="F5634" s="1"/>
    </row>
    <row r="5635" spans="6:6" x14ac:dyDescent="0.35">
      <c r="F5635" s="1"/>
    </row>
    <row r="5636" spans="6:6" x14ac:dyDescent="0.35">
      <c r="F5636" s="1"/>
    </row>
    <row r="5637" spans="6:6" x14ac:dyDescent="0.35">
      <c r="F5637" s="1"/>
    </row>
    <row r="5638" spans="6:6" x14ac:dyDescent="0.35">
      <c r="F5638" s="1"/>
    </row>
    <row r="5639" spans="6:6" x14ac:dyDescent="0.35">
      <c r="F5639" s="1"/>
    </row>
    <row r="5640" spans="6:6" x14ac:dyDescent="0.35">
      <c r="F5640" s="1"/>
    </row>
    <row r="5641" spans="6:6" x14ac:dyDescent="0.35">
      <c r="F5641" s="1"/>
    </row>
    <row r="5642" spans="6:6" x14ac:dyDescent="0.35">
      <c r="F5642" s="1"/>
    </row>
    <row r="5643" spans="6:6" x14ac:dyDescent="0.35">
      <c r="F5643" s="1"/>
    </row>
    <row r="5644" spans="6:6" x14ac:dyDescent="0.35">
      <c r="F5644" s="1"/>
    </row>
    <row r="5645" spans="6:6" x14ac:dyDescent="0.35">
      <c r="F5645" s="1"/>
    </row>
    <row r="5646" spans="6:6" x14ac:dyDescent="0.35">
      <c r="F5646" s="1"/>
    </row>
    <row r="5647" spans="6:6" x14ac:dyDescent="0.35">
      <c r="F5647" s="1"/>
    </row>
    <row r="5648" spans="6:6" x14ac:dyDescent="0.35">
      <c r="F5648" s="1"/>
    </row>
    <row r="5649" spans="6:6" x14ac:dyDescent="0.35">
      <c r="F5649" s="1"/>
    </row>
    <row r="5650" spans="6:6" x14ac:dyDescent="0.35">
      <c r="F5650" s="1"/>
    </row>
    <row r="5651" spans="6:6" x14ac:dyDescent="0.35">
      <c r="F5651" s="1"/>
    </row>
    <row r="5652" spans="6:6" x14ac:dyDescent="0.35">
      <c r="F5652" s="1"/>
    </row>
    <row r="5653" spans="6:6" x14ac:dyDescent="0.35">
      <c r="F5653" s="1"/>
    </row>
    <row r="5654" spans="6:6" x14ac:dyDescent="0.35">
      <c r="F5654" s="1"/>
    </row>
    <row r="5655" spans="6:6" x14ac:dyDescent="0.35">
      <c r="F5655" s="1"/>
    </row>
    <row r="5656" spans="6:6" x14ac:dyDescent="0.35">
      <c r="F5656" s="1"/>
    </row>
    <row r="5657" spans="6:6" x14ac:dyDescent="0.35">
      <c r="F5657" s="1"/>
    </row>
    <row r="5658" spans="6:6" x14ac:dyDescent="0.35">
      <c r="F5658" s="1"/>
    </row>
    <row r="5659" spans="6:6" x14ac:dyDescent="0.35">
      <c r="F5659" s="1"/>
    </row>
    <row r="5660" spans="6:6" x14ac:dyDescent="0.35">
      <c r="F5660" s="1"/>
    </row>
    <row r="5661" spans="6:6" x14ac:dyDescent="0.35">
      <c r="F5661" s="1"/>
    </row>
    <row r="5662" spans="6:6" x14ac:dyDescent="0.35">
      <c r="F5662" s="1"/>
    </row>
    <row r="5663" spans="6:6" x14ac:dyDescent="0.35">
      <c r="F5663" s="1"/>
    </row>
    <row r="5664" spans="6:6" x14ac:dyDescent="0.35">
      <c r="F5664" s="1"/>
    </row>
    <row r="5665" spans="6:6" x14ac:dyDescent="0.35">
      <c r="F5665" s="1"/>
    </row>
    <row r="5666" spans="6:6" x14ac:dyDescent="0.35">
      <c r="F5666" s="1"/>
    </row>
    <row r="5667" spans="6:6" x14ac:dyDescent="0.35">
      <c r="F5667" s="1"/>
    </row>
    <row r="5668" spans="6:6" x14ac:dyDescent="0.35">
      <c r="F5668" s="1"/>
    </row>
    <row r="5669" spans="6:6" x14ac:dyDescent="0.35">
      <c r="F5669" s="1"/>
    </row>
    <row r="5670" spans="6:6" x14ac:dyDescent="0.35">
      <c r="F5670" s="1"/>
    </row>
    <row r="5671" spans="6:6" x14ac:dyDescent="0.35">
      <c r="F5671" s="1"/>
    </row>
    <row r="5672" spans="6:6" x14ac:dyDescent="0.35">
      <c r="F5672" s="1"/>
    </row>
    <row r="5673" spans="6:6" x14ac:dyDescent="0.35">
      <c r="F5673" s="1"/>
    </row>
    <row r="5674" spans="6:6" x14ac:dyDescent="0.35">
      <c r="F5674" s="1"/>
    </row>
    <row r="5675" spans="6:6" x14ac:dyDescent="0.35">
      <c r="F5675" s="1"/>
    </row>
    <row r="5676" spans="6:6" x14ac:dyDescent="0.35">
      <c r="F5676" s="1"/>
    </row>
    <row r="5677" spans="6:6" x14ac:dyDescent="0.35">
      <c r="F5677" s="1"/>
    </row>
    <row r="5678" spans="6:6" x14ac:dyDescent="0.35">
      <c r="F5678" s="1"/>
    </row>
    <row r="5679" spans="6:6" x14ac:dyDescent="0.35">
      <c r="F5679" s="1"/>
    </row>
    <row r="5680" spans="6:6" x14ac:dyDescent="0.35">
      <c r="F5680" s="1"/>
    </row>
    <row r="5681" spans="6:6" x14ac:dyDescent="0.35">
      <c r="F5681" s="1"/>
    </row>
    <row r="5682" spans="6:6" x14ac:dyDescent="0.35">
      <c r="F5682" s="1"/>
    </row>
    <row r="5683" spans="6:6" x14ac:dyDescent="0.35">
      <c r="F5683" s="1"/>
    </row>
    <row r="5684" spans="6:6" x14ac:dyDescent="0.35">
      <c r="F5684" s="1"/>
    </row>
    <row r="5685" spans="6:6" x14ac:dyDescent="0.35">
      <c r="F5685" s="1"/>
    </row>
    <row r="5686" spans="6:6" x14ac:dyDescent="0.35">
      <c r="F5686" s="1"/>
    </row>
    <row r="5687" spans="6:6" x14ac:dyDescent="0.35">
      <c r="F5687" s="1"/>
    </row>
    <row r="5688" spans="6:6" x14ac:dyDescent="0.35">
      <c r="F5688" s="1"/>
    </row>
    <row r="5689" spans="6:6" x14ac:dyDescent="0.35">
      <c r="F5689" s="1"/>
    </row>
    <row r="5690" spans="6:6" x14ac:dyDescent="0.35">
      <c r="F5690" s="1"/>
    </row>
    <row r="5691" spans="6:6" x14ac:dyDescent="0.35">
      <c r="F5691" s="1"/>
    </row>
    <row r="5692" spans="6:6" x14ac:dyDescent="0.35">
      <c r="F5692" s="1"/>
    </row>
    <row r="5693" spans="6:6" x14ac:dyDescent="0.35">
      <c r="F5693" s="1"/>
    </row>
    <row r="5694" spans="6:6" x14ac:dyDescent="0.35">
      <c r="F5694" s="1"/>
    </row>
    <row r="5695" spans="6:6" x14ac:dyDescent="0.35">
      <c r="F5695" s="1"/>
    </row>
    <row r="5696" spans="6:6" x14ac:dyDescent="0.35">
      <c r="F5696" s="1"/>
    </row>
    <row r="5697" spans="6:6" x14ac:dyDescent="0.35">
      <c r="F5697" s="1"/>
    </row>
    <row r="5698" spans="6:6" x14ac:dyDescent="0.35">
      <c r="F5698" s="1"/>
    </row>
    <row r="5699" spans="6:6" x14ac:dyDescent="0.35">
      <c r="F5699" s="1"/>
    </row>
    <row r="5700" spans="6:6" x14ac:dyDescent="0.35">
      <c r="F5700" s="1"/>
    </row>
    <row r="5701" spans="6:6" x14ac:dyDescent="0.35">
      <c r="F5701" s="1"/>
    </row>
    <row r="5702" spans="6:6" x14ac:dyDescent="0.35">
      <c r="F5702" s="1"/>
    </row>
    <row r="5703" spans="6:6" x14ac:dyDescent="0.35">
      <c r="F5703" s="1"/>
    </row>
    <row r="5704" spans="6:6" x14ac:dyDescent="0.35">
      <c r="F5704" s="1"/>
    </row>
    <row r="5705" spans="6:6" x14ac:dyDescent="0.35">
      <c r="F5705" s="1"/>
    </row>
    <row r="5706" spans="6:6" x14ac:dyDescent="0.35">
      <c r="F5706" s="1"/>
    </row>
    <row r="5707" spans="6:6" x14ac:dyDescent="0.35">
      <c r="F5707" s="1"/>
    </row>
    <row r="5708" spans="6:6" x14ac:dyDescent="0.35">
      <c r="F5708" s="1"/>
    </row>
    <row r="5709" spans="6:6" x14ac:dyDescent="0.35">
      <c r="F5709" s="1"/>
    </row>
    <row r="5710" spans="6:6" x14ac:dyDescent="0.35">
      <c r="F5710" s="1"/>
    </row>
    <row r="5711" spans="6:6" x14ac:dyDescent="0.35">
      <c r="F5711" s="1"/>
    </row>
    <row r="5712" spans="6:6" x14ac:dyDescent="0.35">
      <c r="F5712" s="1"/>
    </row>
    <row r="5713" spans="6:6" x14ac:dyDescent="0.35">
      <c r="F5713" s="1"/>
    </row>
    <row r="5714" spans="6:6" x14ac:dyDescent="0.35">
      <c r="F5714" s="1"/>
    </row>
    <row r="5715" spans="6:6" x14ac:dyDescent="0.35">
      <c r="F5715" s="1"/>
    </row>
    <row r="5716" spans="6:6" x14ac:dyDescent="0.35">
      <c r="F5716" s="1"/>
    </row>
    <row r="5717" spans="6:6" x14ac:dyDescent="0.35">
      <c r="F5717" s="1"/>
    </row>
    <row r="5718" spans="6:6" x14ac:dyDescent="0.35">
      <c r="F5718" s="1"/>
    </row>
    <row r="5719" spans="6:6" x14ac:dyDescent="0.35">
      <c r="F5719" s="1"/>
    </row>
    <row r="5720" spans="6:6" x14ac:dyDescent="0.35">
      <c r="F5720" s="1"/>
    </row>
    <row r="5721" spans="6:6" x14ac:dyDescent="0.35">
      <c r="F5721" s="1"/>
    </row>
    <row r="5722" spans="6:6" x14ac:dyDescent="0.35">
      <c r="F5722" s="1"/>
    </row>
    <row r="5723" spans="6:6" x14ac:dyDescent="0.35">
      <c r="F5723" s="1"/>
    </row>
    <row r="5724" spans="6:6" x14ac:dyDescent="0.35">
      <c r="F5724" s="1"/>
    </row>
    <row r="5725" spans="6:6" x14ac:dyDescent="0.35">
      <c r="F5725" s="1"/>
    </row>
    <row r="5726" spans="6:6" x14ac:dyDescent="0.35">
      <c r="F5726" s="1"/>
    </row>
    <row r="5727" spans="6:6" x14ac:dyDescent="0.35">
      <c r="F5727" s="1"/>
    </row>
    <row r="5728" spans="6:6" x14ac:dyDescent="0.35">
      <c r="F5728" s="1"/>
    </row>
    <row r="5729" spans="6:6" x14ac:dyDescent="0.35">
      <c r="F5729" s="1"/>
    </row>
    <row r="5730" spans="6:6" x14ac:dyDescent="0.35">
      <c r="F5730" s="1"/>
    </row>
    <row r="5731" spans="6:6" x14ac:dyDescent="0.35">
      <c r="F5731" s="1"/>
    </row>
    <row r="5732" spans="6:6" x14ac:dyDescent="0.35">
      <c r="F5732" s="1"/>
    </row>
    <row r="5733" spans="6:6" x14ac:dyDescent="0.35">
      <c r="F5733" s="1"/>
    </row>
    <row r="5734" spans="6:6" x14ac:dyDescent="0.35">
      <c r="F5734" s="1"/>
    </row>
    <row r="5735" spans="6:6" x14ac:dyDescent="0.35">
      <c r="F5735" s="1"/>
    </row>
    <row r="5736" spans="6:6" x14ac:dyDescent="0.35">
      <c r="F5736" s="1"/>
    </row>
    <row r="5737" spans="6:6" x14ac:dyDescent="0.35">
      <c r="F5737" s="1"/>
    </row>
    <row r="5738" spans="6:6" x14ac:dyDescent="0.35">
      <c r="F5738" s="1"/>
    </row>
    <row r="5739" spans="6:6" x14ac:dyDescent="0.35">
      <c r="F5739" s="1"/>
    </row>
    <row r="5740" spans="6:6" x14ac:dyDescent="0.35">
      <c r="F5740" s="1"/>
    </row>
    <row r="5741" spans="6:6" x14ac:dyDescent="0.35">
      <c r="F5741" s="1"/>
    </row>
    <row r="5742" spans="6:6" x14ac:dyDescent="0.35">
      <c r="F5742" s="1"/>
    </row>
    <row r="5743" spans="6:6" x14ac:dyDescent="0.35">
      <c r="F5743" s="1"/>
    </row>
    <row r="5744" spans="6:6" x14ac:dyDescent="0.35">
      <c r="F5744" s="1"/>
    </row>
    <row r="5745" spans="6:6" x14ac:dyDescent="0.35">
      <c r="F5745" s="1"/>
    </row>
    <row r="5746" spans="6:6" x14ac:dyDescent="0.35">
      <c r="F5746" s="1"/>
    </row>
    <row r="5747" spans="6:6" x14ac:dyDescent="0.35">
      <c r="F5747" s="1"/>
    </row>
    <row r="5748" spans="6:6" x14ac:dyDescent="0.35">
      <c r="F5748" s="1"/>
    </row>
    <row r="5749" spans="6:6" x14ac:dyDescent="0.35">
      <c r="F5749" s="1"/>
    </row>
    <row r="5750" spans="6:6" x14ac:dyDescent="0.35">
      <c r="F5750" s="1"/>
    </row>
    <row r="5751" spans="6:6" x14ac:dyDescent="0.35">
      <c r="F5751" s="1"/>
    </row>
    <row r="5752" spans="6:6" x14ac:dyDescent="0.35">
      <c r="F5752" s="1"/>
    </row>
    <row r="5753" spans="6:6" x14ac:dyDescent="0.35">
      <c r="F5753" s="1"/>
    </row>
    <row r="5754" spans="6:6" x14ac:dyDescent="0.35">
      <c r="F5754" s="1"/>
    </row>
    <row r="5755" spans="6:6" x14ac:dyDescent="0.35">
      <c r="F5755" s="1"/>
    </row>
    <row r="5756" spans="6:6" x14ac:dyDescent="0.35">
      <c r="F5756" s="1"/>
    </row>
    <row r="5757" spans="6:6" x14ac:dyDescent="0.35">
      <c r="F5757" s="1"/>
    </row>
    <row r="5758" spans="6:6" x14ac:dyDescent="0.35">
      <c r="F5758" s="1"/>
    </row>
    <row r="5759" spans="6:6" x14ac:dyDescent="0.35">
      <c r="F5759" s="1"/>
    </row>
    <row r="5760" spans="6:6" x14ac:dyDescent="0.35">
      <c r="F5760" s="1"/>
    </row>
    <row r="5761" spans="6:6" x14ac:dyDescent="0.35">
      <c r="F5761" s="1"/>
    </row>
    <row r="5762" spans="6:6" x14ac:dyDescent="0.35">
      <c r="F5762" s="1"/>
    </row>
    <row r="5763" spans="6:6" x14ac:dyDescent="0.35">
      <c r="F5763" s="1"/>
    </row>
    <row r="5764" spans="6:6" x14ac:dyDescent="0.35">
      <c r="F5764" s="1"/>
    </row>
    <row r="5765" spans="6:6" x14ac:dyDescent="0.35">
      <c r="F5765" s="1"/>
    </row>
    <row r="5766" spans="6:6" x14ac:dyDescent="0.35">
      <c r="F5766" s="1"/>
    </row>
    <row r="5767" spans="6:6" x14ac:dyDescent="0.35">
      <c r="F5767" s="1"/>
    </row>
    <row r="5768" spans="6:6" x14ac:dyDescent="0.35">
      <c r="F5768" s="1"/>
    </row>
    <row r="5769" spans="6:6" x14ac:dyDescent="0.35">
      <c r="F5769" s="1"/>
    </row>
    <row r="5770" spans="6:6" x14ac:dyDescent="0.35">
      <c r="F5770" s="1"/>
    </row>
    <row r="5771" spans="6:6" x14ac:dyDescent="0.35">
      <c r="F5771" s="1"/>
    </row>
    <row r="5772" spans="6:6" x14ac:dyDescent="0.35">
      <c r="F5772" s="1"/>
    </row>
    <row r="5773" spans="6:6" x14ac:dyDescent="0.35">
      <c r="F5773" s="1"/>
    </row>
    <row r="5774" spans="6:6" x14ac:dyDescent="0.35">
      <c r="F5774" s="1"/>
    </row>
    <row r="5775" spans="6:6" x14ac:dyDescent="0.35">
      <c r="F5775" s="1"/>
    </row>
    <row r="5776" spans="6:6" x14ac:dyDescent="0.35">
      <c r="F5776" s="1"/>
    </row>
    <row r="5777" spans="6:6" x14ac:dyDescent="0.35">
      <c r="F5777" s="1"/>
    </row>
    <row r="5778" spans="6:6" x14ac:dyDescent="0.35">
      <c r="F5778" s="1"/>
    </row>
    <row r="5779" spans="6:6" x14ac:dyDescent="0.35">
      <c r="F5779" s="1"/>
    </row>
    <row r="5780" spans="6:6" x14ac:dyDescent="0.35">
      <c r="F5780" s="1"/>
    </row>
    <row r="5781" spans="6:6" x14ac:dyDescent="0.35">
      <c r="F5781" s="1"/>
    </row>
    <row r="5782" spans="6:6" x14ac:dyDescent="0.35">
      <c r="F5782" s="1"/>
    </row>
    <row r="5783" spans="6:6" x14ac:dyDescent="0.35">
      <c r="F5783" s="1"/>
    </row>
    <row r="5784" spans="6:6" x14ac:dyDescent="0.35">
      <c r="F5784" s="1"/>
    </row>
    <row r="5785" spans="6:6" x14ac:dyDescent="0.35">
      <c r="F5785" s="1"/>
    </row>
    <row r="5786" spans="6:6" x14ac:dyDescent="0.35">
      <c r="F5786" s="1"/>
    </row>
    <row r="5787" spans="6:6" x14ac:dyDescent="0.35">
      <c r="F5787" s="1"/>
    </row>
    <row r="5788" spans="6:6" x14ac:dyDescent="0.35">
      <c r="F5788" s="1"/>
    </row>
    <row r="5789" spans="6:6" x14ac:dyDescent="0.35">
      <c r="F5789" s="1"/>
    </row>
    <row r="5790" spans="6:6" x14ac:dyDescent="0.35">
      <c r="F5790" s="1"/>
    </row>
    <row r="5791" spans="6:6" x14ac:dyDescent="0.35">
      <c r="F5791" s="1"/>
    </row>
    <row r="5792" spans="6:6" x14ac:dyDescent="0.35">
      <c r="F5792" s="1"/>
    </row>
    <row r="5793" spans="6:6" x14ac:dyDescent="0.35">
      <c r="F5793" s="1"/>
    </row>
    <row r="5794" spans="6:6" x14ac:dyDescent="0.35">
      <c r="F5794" s="1"/>
    </row>
    <row r="5795" spans="6:6" x14ac:dyDescent="0.35">
      <c r="F5795" s="1"/>
    </row>
    <row r="5796" spans="6:6" x14ac:dyDescent="0.35">
      <c r="F5796" s="1"/>
    </row>
    <row r="5797" spans="6:6" x14ac:dyDescent="0.35">
      <c r="F5797" s="1"/>
    </row>
    <row r="5798" spans="6:6" x14ac:dyDescent="0.35">
      <c r="F5798" s="1"/>
    </row>
    <row r="5799" spans="6:6" x14ac:dyDescent="0.35">
      <c r="F5799" s="1"/>
    </row>
    <row r="5800" spans="6:6" x14ac:dyDescent="0.35">
      <c r="F5800" s="1"/>
    </row>
    <row r="5801" spans="6:6" x14ac:dyDescent="0.35">
      <c r="F5801" s="1"/>
    </row>
    <row r="5802" spans="6:6" x14ac:dyDescent="0.35">
      <c r="F5802" s="1"/>
    </row>
    <row r="5803" spans="6:6" x14ac:dyDescent="0.35">
      <c r="F5803" s="1"/>
    </row>
    <row r="5804" spans="6:6" x14ac:dyDescent="0.35">
      <c r="F5804" s="1"/>
    </row>
    <row r="5805" spans="6:6" x14ac:dyDescent="0.35">
      <c r="F5805" s="1"/>
    </row>
    <row r="5806" spans="6:6" x14ac:dyDescent="0.35">
      <c r="F5806" s="1"/>
    </row>
    <row r="5807" spans="6:6" x14ac:dyDescent="0.35">
      <c r="F5807" s="1"/>
    </row>
    <row r="5808" spans="6:6" x14ac:dyDescent="0.35">
      <c r="F5808" s="1"/>
    </row>
    <row r="5809" spans="6:6" x14ac:dyDescent="0.35">
      <c r="F5809" s="1"/>
    </row>
    <row r="5810" spans="6:6" x14ac:dyDescent="0.35">
      <c r="F5810" s="1"/>
    </row>
    <row r="5811" spans="6:6" x14ac:dyDescent="0.35">
      <c r="F5811" s="1"/>
    </row>
    <row r="5812" spans="6:6" x14ac:dyDescent="0.35">
      <c r="F5812" s="1"/>
    </row>
    <row r="5813" spans="6:6" x14ac:dyDescent="0.35">
      <c r="F5813" s="1"/>
    </row>
    <row r="5814" spans="6:6" x14ac:dyDescent="0.35">
      <c r="F5814" s="1"/>
    </row>
    <row r="5815" spans="6:6" x14ac:dyDescent="0.35">
      <c r="F5815" s="1"/>
    </row>
    <row r="5816" spans="6:6" x14ac:dyDescent="0.35">
      <c r="F5816" s="1"/>
    </row>
    <row r="5817" spans="6:6" x14ac:dyDescent="0.35">
      <c r="F5817" s="1"/>
    </row>
    <row r="5818" spans="6:6" x14ac:dyDescent="0.35">
      <c r="F5818" s="1"/>
    </row>
    <row r="5819" spans="6:6" x14ac:dyDescent="0.35">
      <c r="F5819" s="1"/>
    </row>
    <row r="5820" spans="6:6" x14ac:dyDescent="0.35">
      <c r="F5820" s="1"/>
    </row>
    <row r="5821" spans="6:6" x14ac:dyDescent="0.35">
      <c r="F5821" s="1"/>
    </row>
    <row r="5822" spans="6:6" x14ac:dyDescent="0.35">
      <c r="F5822" s="1"/>
    </row>
    <row r="5823" spans="6:6" x14ac:dyDescent="0.35">
      <c r="F5823" s="1"/>
    </row>
    <row r="5824" spans="6:6" x14ac:dyDescent="0.35">
      <c r="F5824" s="1"/>
    </row>
    <row r="5825" spans="6:6" x14ac:dyDescent="0.35">
      <c r="F5825" s="1"/>
    </row>
    <row r="5826" spans="6:6" x14ac:dyDescent="0.35">
      <c r="F5826" s="1"/>
    </row>
    <row r="5827" spans="6:6" x14ac:dyDescent="0.35">
      <c r="F5827" s="1"/>
    </row>
    <row r="5828" spans="6:6" x14ac:dyDescent="0.35">
      <c r="F5828" s="1"/>
    </row>
    <row r="5829" spans="6:6" x14ac:dyDescent="0.35">
      <c r="F5829" s="1"/>
    </row>
    <row r="5830" spans="6:6" x14ac:dyDescent="0.35">
      <c r="F5830" s="1"/>
    </row>
    <row r="5831" spans="6:6" x14ac:dyDescent="0.35">
      <c r="F5831" s="1"/>
    </row>
    <row r="5832" spans="6:6" x14ac:dyDescent="0.35">
      <c r="F5832" s="1"/>
    </row>
    <row r="5833" spans="6:6" x14ac:dyDescent="0.35">
      <c r="F5833" s="1"/>
    </row>
    <row r="5834" spans="6:6" x14ac:dyDescent="0.35">
      <c r="F5834" s="1"/>
    </row>
    <row r="5835" spans="6:6" x14ac:dyDescent="0.35">
      <c r="F5835" s="1"/>
    </row>
    <row r="5836" spans="6:6" x14ac:dyDescent="0.35">
      <c r="F5836" s="1"/>
    </row>
    <row r="5837" spans="6:6" x14ac:dyDescent="0.35">
      <c r="F5837" s="1"/>
    </row>
    <row r="5838" spans="6:6" x14ac:dyDescent="0.35">
      <c r="F5838" s="1"/>
    </row>
    <row r="5839" spans="6:6" x14ac:dyDescent="0.35">
      <c r="F5839" s="1"/>
    </row>
    <row r="5840" spans="6:6" x14ac:dyDescent="0.35">
      <c r="F5840" s="1"/>
    </row>
    <row r="5841" spans="6:6" x14ac:dyDescent="0.35">
      <c r="F5841" s="1"/>
    </row>
    <row r="5842" spans="6:6" x14ac:dyDescent="0.35">
      <c r="F5842" s="1"/>
    </row>
    <row r="5843" spans="6:6" x14ac:dyDescent="0.35">
      <c r="F5843" s="1"/>
    </row>
    <row r="5844" spans="6:6" x14ac:dyDescent="0.35">
      <c r="F5844" s="1"/>
    </row>
    <row r="5845" spans="6:6" x14ac:dyDescent="0.35">
      <c r="F5845" s="1"/>
    </row>
    <row r="5846" spans="6:6" x14ac:dyDescent="0.35">
      <c r="F5846" s="1"/>
    </row>
    <row r="5847" spans="6:6" x14ac:dyDescent="0.35">
      <c r="F5847" s="1"/>
    </row>
    <row r="5848" spans="6:6" x14ac:dyDescent="0.35">
      <c r="F5848" s="1"/>
    </row>
    <row r="5849" spans="6:6" x14ac:dyDescent="0.35">
      <c r="F5849" s="1"/>
    </row>
    <row r="5850" spans="6:6" x14ac:dyDescent="0.35">
      <c r="F5850" s="1"/>
    </row>
    <row r="5851" spans="6:6" x14ac:dyDescent="0.35">
      <c r="F5851" s="1"/>
    </row>
    <row r="5852" spans="6:6" x14ac:dyDescent="0.35">
      <c r="F5852" s="1"/>
    </row>
    <row r="5853" spans="6:6" x14ac:dyDescent="0.35">
      <c r="F5853" s="1"/>
    </row>
    <row r="5854" spans="6:6" x14ac:dyDescent="0.35">
      <c r="F5854" s="1"/>
    </row>
    <row r="5855" spans="6:6" x14ac:dyDescent="0.35">
      <c r="F5855" s="1"/>
    </row>
    <row r="5856" spans="6:6" x14ac:dyDescent="0.35">
      <c r="F5856" s="1"/>
    </row>
    <row r="5857" spans="6:6" x14ac:dyDescent="0.35">
      <c r="F5857" s="1"/>
    </row>
    <row r="5858" spans="6:6" x14ac:dyDescent="0.35">
      <c r="F5858" s="1"/>
    </row>
    <row r="5859" spans="6:6" x14ac:dyDescent="0.35">
      <c r="F5859" s="1"/>
    </row>
    <row r="5860" spans="6:6" x14ac:dyDescent="0.35">
      <c r="F5860" s="1"/>
    </row>
    <row r="5861" spans="6:6" x14ac:dyDescent="0.35">
      <c r="F5861" s="1"/>
    </row>
    <row r="5862" spans="6:6" x14ac:dyDescent="0.35">
      <c r="F5862" s="1"/>
    </row>
    <row r="5863" spans="6:6" x14ac:dyDescent="0.35">
      <c r="F5863" s="1"/>
    </row>
    <row r="5864" spans="6:6" x14ac:dyDescent="0.35">
      <c r="F5864" s="1"/>
    </row>
    <row r="5865" spans="6:6" x14ac:dyDescent="0.35">
      <c r="F5865" s="1"/>
    </row>
    <row r="5866" spans="6:6" x14ac:dyDescent="0.35">
      <c r="F5866" s="1"/>
    </row>
    <row r="5867" spans="6:6" x14ac:dyDescent="0.35">
      <c r="F5867" s="1"/>
    </row>
    <row r="5868" spans="6:6" x14ac:dyDescent="0.35">
      <c r="F5868" s="1"/>
    </row>
    <row r="5869" spans="6:6" x14ac:dyDescent="0.35">
      <c r="F5869" s="1"/>
    </row>
    <row r="5870" spans="6:6" x14ac:dyDescent="0.35">
      <c r="F5870" s="1"/>
    </row>
    <row r="5871" spans="6:6" x14ac:dyDescent="0.35">
      <c r="F5871" s="1"/>
    </row>
    <row r="5872" spans="6:6" x14ac:dyDescent="0.35">
      <c r="F5872" s="1"/>
    </row>
    <row r="5873" spans="6:6" x14ac:dyDescent="0.35">
      <c r="F5873" s="1"/>
    </row>
    <row r="5874" spans="6:6" x14ac:dyDescent="0.35">
      <c r="F5874" s="1"/>
    </row>
    <row r="5875" spans="6:6" x14ac:dyDescent="0.35">
      <c r="F5875" s="1"/>
    </row>
    <row r="5876" spans="6:6" x14ac:dyDescent="0.35">
      <c r="F5876" s="1"/>
    </row>
    <row r="5877" spans="6:6" x14ac:dyDescent="0.35">
      <c r="F5877" s="1"/>
    </row>
    <row r="5878" spans="6:6" x14ac:dyDescent="0.35">
      <c r="F5878" s="1"/>
    </row>
    <row r="5879" spans="6:6" x14ac:dyDescent="0.35">
      <c r="F5879" s="1"/>
    </row>
    <row r="5880" spans="6:6" x14ac:dyDescent="0.35">
      <c r="F5880" s="1"/>
    </row>
    <row r="5881" spans="6:6" x14ac:dyDescent="0.35">
      <c r="F5881" s="1"/>
    </row>
    <row r="5882" spans="6:6" x14ac:dyDescent="0.35">
      <c r="F5882" s="1"/>
    </row>
    <row r="5883" spans="6:6" x14ac:dyDescent="0.35">
      <c r="F5883" s="1"/>
    </row>
    <row r="5884" spans="6:6" x14ac:dyDescent="0.35">
      <c r="F5884" s="1"/>
    </row>
    <row r="5885" spans="6:6" x14ac:dyDescent="0.35">
      <c r="F5885" s="1"/>
    </row>
    <row r="5886" spans="6:6" x14ac:dyDescent="0.35">
      <c r="F5886" s="1"/>
    </row>
    <row r="5887" spans="6:6" x14ac:dyDescent="0.35">
      <c r="F5887" s="1"/>
    </row>
    <row r="5888" spans="6:6" x14ac:dyDescent="0.35">
      <c r="F5888" s="1"/>
    </row>
    <row r="5889" spans="6:6" x14ac:dyDescent="0.35">
      <c r="F5889" s="1"/>
    </row>
    <row r="5890" spans="6:6" x14ac:dyDescent="0.35">
      <c r="F5890" s="1"/>
    </row>
    <row r="5891" spans="6:6" x14ac:dyDescent="0.35">
      <c r="F5891" s="1"/>
    </row>
    <row r="5892" spans="6:6" x14ac:dyDescent="0.35">
      <c r="F5892" s="1"/>
    </row>
    <row r="5893" spans="6:6" x14ac:dyDescent="0.35">
      <c r="F5893" s="1"/>
    </row>
    <row r="5894" spans="6:6" x14ac:dyDescent="0.35">
      <c r="F5894" s="1"/>
    </row>
    <row r="5895" spans="6:6" x14ac:dyDescent="0.35">
      <c r="F5895" s="1"/>
    </row>
    <row r="5896" spans="6:6" x14ac:dyDescent="0.35">
      <c r="F5896" s="1"/>
    </row>
    <row r="5897" spans="6:6" x14ac:dyDescent="0.35">
      <c r="F5897" s="1"/>
    </row>
    <row r="5898" spans="6:6" x14ac:dyDescent="0.35">
      <c r="F5898" s="1"/>
    </row>
    <row r="5899" spans="6:6" x14ac:dyDescent="0.35">
      <c r="F5899" s="1"/>
    </row>
    <row r="5900" spans="6:6" x14ac:dyDescent="0.35">
      <c r="F5900" s="1"/>
    </row>
    <row r="5901" spans="6:6" x14ac:dyDescent="0.35">
      <c r="F5901" s="1"/>
    </row>
    <row r="5902" spans="6:6" x14ac:dyDescent="0.35">
      <c r="F5902" s="1"/>
    </row>
    <row r="5903" spans="6:6" x14ac:dyDescent="0.35">
      <c r="F5903" s="1"/>
    </row>
    <row r="5904" spans="6:6" x14ac:dyDescent="0.35">
      <c r="F5904" s="1"/>
    </row>
    <row r="5905" spans="6:6" x14ac:dyDescent="0.35">
      <c r="F5905" s="1"/>
    </row>
    <row r="5906" spans="6:6" x14ac:dyDescent="0.35">
      <c r="F5906" s="1"/>
    </row>
    <row r="5907" spans="6:6" x14ac:dyDescent="0.35">
      <c r="F5907" s="1"/>
    </row>
    <row r="5908" spans="6:6" x14ac:dyDescent="0.35">
      <c r="F5908" s="1"/>
    </row>
    <row r="5909" spans="6:6" x14ac:dyDescent="0.35">
      <c r="F5909" s="1"/>
    </row>
    <row r="5910" spans="6:6" x14ac:dyDescent="0.35">
      <c r="F5910" s="1"/>
    </row>
    <row r="5911" spans="6:6" x14ac:dyDescent="0.35">
      <c r="F5911" s="1"/>
    </row>
    <row r="5912" spans="6:6" x14ac:dyDescent="0.35">
      <c r="F5912" s="1"/>
    </row>
    <row r="5913" spans="6:6" x14ac:dyDescent="0.35">
      <c r="F5913" s="1"/>
    </row>
    <row r="5914" spans="6:6" x14ac:dyDescent="0.35">
      <c r="F5914" s="1"/>
    </row>
    <row r="5915" spans="6:6" x14ac:dyDescent="0.35">
      <c r="F5915" s="1"/>
    </row>
    <row r="5916" spans="6:6" x14ac:dyDescent="0.35">
      <c r="F5916" s="1"/>
    </row>
    <row r="5917" spans="6:6" x14ac:dyDescent="0.35">
      <c r="F5917" s="1"/>
    </row>
    <row r="5918" spans="6:6" x14ac:dyDescent="0.35">
      <c r="F5918" s="1"/>
    </row>
    <row r="5919" spans="6:6" x14ac:dyDescent="0.35">
      <c r="F5919" s="1"/>
    </row>
    <row r="5920" spans="6:6" x14ac:dyDescent="0.35">
      <c r="F5920" s="1"/>
    </row>
    <row r="5921" spans="6:6" x14ac:dyDescent="0.35">
      <c r="F5921" s="1"/>
    </row>
    <row r="5922" spans="6:6" x14ac:dyDescent="0.35">
      <c r="F5922" s="1"/>
    </row>
    <row r="5923" spans="6:6" x14ac:dyDescent="0.35">
      <c r="F5923" s="1"/>
    </row>
    <row r="5924" spans="6:6" x14ac:dyDescent="0.35">
      <c r="F5924" s="1"/>
    </row>
    <row r="5925" spans="6:6" x14ac:dyDescent="0.35">
      <c r="F5925" s="1"/>
    </row>
    <row r="5926" spans="6:6" x14ac:dyDescent="0.35">
      <c r="F5926" s="1"/>
    </row>
    <row r="5927" spans="6:6" x14ac:dyDescent="0.35">
      <c r="F5927" s="1"/>
    </row>
    <row r="5928" spans="6:6" x14ac:dyDescent="0.35">
      <c r="F5928" s="1"/>
    </row>
    <row r="5929" spans="6:6" x14ac:dyDescent="0.35">
      <c r="F5929" s="1"/>
    </row>
    <row r="5930" spans="6:6" x14ac:dyDescent="0.35">
      <c r="F5930" s="1"/>
    </row>
    <row r="5931" spans="6:6" x14ac:dyDescent="0.35">
      <c r="F5931" s="1"/>
    </row>
    <row r="5932" spans="6:6" x14ac:dyDescent="0.35">
      <c r="F5932" s="1"/>
    </row>
    <row r="5933" spans="6:6" x14ac:dyDescent="0.35">
      <c r="F5933" s="1"/>
    </row>
    <row r="5934" spans="6:6" x14ac:dyDescent="0.35">
      <c r="F5934" s="1"/>
    </row>
    <row r="5935" spans="6:6" x14ac:dyDescent="0.35">
      <c r="F5935" s="1"/>
    </row>
    <row r="5936" spans="6:6" x14ac:dyDescent="0.35">
      <c r="F5936" s="1"/>
    </row>
    <row r="5937" spans="6:6" x14ac:dyDescent="0.35">
      <c r="F5937" s="1"/>
    </row>
    <row r="5938" spans="6:6" x14ac:dyDescent="0.35">
      <c r="F5938" s="1"/>
    </row>
    <row r="5939" spans="6:6" x14ac:dyDescent="0.35">
      <c r="F5939" s="1"/>
    </row>
    <row r="5940" spans="6:6" x14ac:dyDescent="0.35">
      <c r="F5940" s="1"/>
    </row>
    <row r="5941" spans="6:6" x14ac:dyDescent="0.35">
      <c r="F5941" s="1"/>
    </row>
    <row r="5942" spans="6:6" x14ac:dyDescent="0.35">
      <c r="F5942" s="1"/>
    </row>
    <row r="5943" spans="6:6" x14ac:dyDescent="0.35">
      <c r="F5943" s="1"/>
    </row>
    <row r="5944" spans="6:6" x14ac:dyDescent="0.35">
      <c r="F5944" s="1"/>
    </row>
    <row r="5945" spans="6:6" x14ac:dyDescent="0.35">
      <c r="F5945" s="1"/>
    </row>
    <row r="5946" spans="6:6" x14ac:dyDescent="0.35">
      <c r="F5946" s="1"/>
    </row>
    <row r="5947" spans="6:6" x14ac:dyDescent="0.35">
      <c r="F5947" s="1"/>
    </row>
    <row r="5948" spans="6:6" x14ac:dyDescent="0.35">
      <c r="F5948" s="1"/>
    </row>
    <row r="5949" spans="6:6" x14ac:dyDescent="0.35">
      <c r="F5949" s="1"/>
    </row>
    <row r="5950" spans="6:6" x14ac:dyDescent="0.35">
      <c r="F5950" s="1"/>
    </row>
    <row r="5951" spans="6:6" x14ac:dyDescent="0.35">
      <c r="F5951" s="1"/>
    </row>
    <row r="5952" spans="6:6" x14ac:dyDescent="0.35">
      <c r="F5952" s="1"/>
    </row>
    <row r="5953" spans="6:6" x14ac:dyDescent="0.35">
      <c r="F5953" s="1"/>
    </row>
    <row r="5954" spans="6:6" x14ac:dyDescent="0.35">
      <c r="F5954" s="1"/>
    </row>
    <row r="5955" spans="6:6" x14ac:dyDescent="0.35">
      <c r="F5955" s="1"/>
    </row>
    <row r="5956" spans="6:6" x14ac:dyDescent="0.35">
      <c r="F5956" s="1"/>
    </row>
    <row r="5957" spans="6:6" x14ac:dyDescent="0.35">
      <c r="F5957" s="1"/>
    </row>
    <row r="5958" spans="6:6" x14ac:dyDescent="0.35">
      <c r="F5958" s="1"/>
    </row>
    <row r="5959" spans="6:6" x14ac:dyDescent="0.35">
      <c r="F5959" s="1"/>
    </row>
    <row r="5960" spans="6:6" x14ac:dyDescent="0.35">
      <c r="F5960" s="1"/>
    </row>
    <row r="5961" spans="6:6" x14ac:dyDescent="0.35">
      <c r="F5961" s="1"/>
    </row>
    <row r="5962" spans="6:6" x14ac:dyDescent="0.35">
      <c r="F5962" s="1"/>
    </row>
    <row r="5963" spans="6:6" x14ac:dyDescent="0.35">
      <c r="F5963" s="1"/>
    </row>
    <row r="5964" spans="6:6" x14ac:dyDescent="0.35">
      <c r="F5964" s="1"/>
    </row>
    <row r="5965" spans="6:6" x14ac:dyDescent="0.35">
      <c r="F5965" s="1"/>
    </row>
    <row r="5966" spans="6:6" x14ac:dyDescent="0.35">
      <c r="F5966" s="1"/>
    </row>
    <row r="5967" spans="6:6" x14ac:dyDescent="0.35">
      <c r="F5967" s="1"/>
    </row>
    <row r="5968" spans="6:6" x14ac:dyDescent="0.35">
      <c r="F5968" s="1"/>
    </row>
    <row r="5969" spans="6:6" x14ac:dyDescent="0.35">
      <c r="F5969" s="1"/>
    </row>
    <row r="5970" spans="6:6" x14ac:dyDescent="0.35">
      <c r="F5970" s="1"/>
    </row>
    <row r="5971" spans="6:6" x14ac:dyDescent="0.35">
      <c r="F5971" s="1"/>
    </row>
    <row r="5972" spans="6:6" x14ac:dyDescent="0.35">
      <c r="F5972" s="1"/>
    </row>
    <row r="5973" spans="6:6" x14ac:dyDescent="0.35">
      <c r="F5973" s="1"/>
    </row>
    <row r="5974" spans="6:6" x14ac:dyDescent="0.35">
      <c r="F5974" s="1"/>
    </row>
    <row r="5975" spans="6:6" x14ac:dyDescent="0.35">
      <c r="F5975" s="1"/>
    </row>
    <row r="5976" spans="6:6" x14ac:dyDescent="0.35">
      <c r="F5976" s="1"/>
    </row>
    <row r="5977" spans="6:6" x14ac:dyDescent="0.35">
      <c r="F5977" s="1"/>
    </row>
    <row r="5978" spans="6:6" x14ac:dyDescent="0.35">
      <c r="F5978" s="1"/>
    </row>
    <row r="5979" spans="6:6" x14ac:dyDescent="0.35">
      <c r="F5979" s="1"/>
    </row>
    <row r="5980" spans="6:6" x14ac:dyDescent="0.35">
      <c r="F5980" s="1"/>
    </row>
    <row r="5981" spans="6:6" x14ac:dyDescent="0.35">
      <c r="F5981" s="1"/>
    </row>
    <row r="5982" spans="6:6" x14ac:dyDescent="0.35">
      <c r="F5982" s="1"/>
    </row>
    <row r="5983" spans="6:6" x14ac:dyDescent="0.35">
      <c r="F5983" s="1"/>
    </row>
    <row r="5984" spans="6:6" x14ac:dyDescent="0.35">
      <c r="F5984" s="1"/>
    </row>
    <row r="5985" spans="6:6" x14ac:dyDescent="0.35">
      <c r="F5985" s="1"/>
    </row>
    <row r="5986" spans="6:6" x14ac:dyDescent="0.35">
      <c r="F5986" s="1"/>
    </row>
    <row r="5987" spans="6:6" x14ac:dyDescent="0.35">
      <c r="F5987" s="1"/>
    </row>
    <row r="5988" spans="6:6" x14ac:dyDescent="0.35">
      <c r="F5988" s="1"/>
    </row>
    <row r="5989" spans="6:6" x14ac:dyDescent="0.35">
      <c r="F5989" s="1"/>
    </row>
    <row r="5990" spans="6:6" x14ac:dyDescent="0.35">
      <c r="F5990" s="1"/>
    </row>
    <row r="5991" spans="6:6" x14ac:dyDescent="0.35">
      <c r="F5991" s="1"/>
    </row>
    <row r="5992" spans="6:6" x14ac:dyDescent="0.35">
      <c r="F5992" s="1"/>
    </row>
    <row r="5993" spans="6:6" x14ac:dyDescent="0.35">
      <c r="F5993" s="1"/>
    </row>
    <row r="5994" spans="6:6" x14ac:dyDescent="0.35">
      <c r="F5994" s="1"/>
    </row>
    <row r="5995" spans="6:6" x14ac:dyDescent="0.35">
      <c r="F5995" s="1"/>
    </row>
    <row r="5996" spans="6:6" x14ac:dyDescent="0.35">
      <c r="F5996" s="1"/>
    </row>
    <row r="5997" spans="6:6" x14ac:dyDescent="0.35">
      <c r="F5997" s="1"/>
    </row>
    <row r="5998" spans="6:6" x14ac:dyDescent="0.35">
      <c r="F5998" s="1"/>
    </row>
    <row r="5999" spans="6:6" x14ac:dyDescent="0.35">
      <c r="F5999" s="1"/>
    </row>
    <row r="6000" spans="6:6" x14ac:dyDescent="0.35">
      <c r="F6000" s="1"/>
    </row>
    <row r="6001" spans="6:6" x14ac:dyDescent="0.35">
      <c r="F6001" s="1"/>
    </row>
    <row r="6002" spans="6:6" x14ac:dyDescent="0.35">
      <c r="F6002" s="1"/>
    </row>
    <row r="6003" spans="6:6" x14ac:dyDescent="0.35">
      <c r="F6003" s="1"/>
    </row>
    <row r="6004" spans="6:6" x14ac:dyDescent="0.35">
      <c r="F6004" s="1"/>
    </row>
    <row r="6005" spans="6:6" x14ac:dyDescent="0.35">
      <c r="F6005" s="1"/>
    </row>
    <row r="6006" spans="6:6" x14ac:dyDescent="0.35">
      <c r="F6006" s="1"/>
    </row>
    <row r="6007" spans="6:6" x14ac:dyDescent="0.35">
      <c r="F6007" s="1"/>
    </row>
    <row r="6008" spans="6:6" x14ac:dyDescent="0.35">
      <c r="F6008" s="1"/>
    </row>
    <row r="6009" spans="6:6" x14ac:dyDescent="0.35">
      <c r="F6009" s="1"/>
    </row>
    <row r="6010" spans="6:6" x14ac:dyDescent="0.35">
      <c r="F6010" s="1"/>
    </row>
    <row r="6011" spans="6:6" x14ac:dyDescent="0.35">
      <c r="F6011" s="1"/>
    </row>
    <row r="6012" spans="6:6" x14ac:dyDescent="0.35">
      <c r="F6012" s="1"/>
    </row>
    <row r="6013" spans="6:6" x14ac:dyDescent="0.35">
      <c r="F6013" s="1"/>
    </row>
    <row r="6014" spans="6:6" x14ac:dyDescent="0.35">
      <c r="F6014" s="1"/>
    </row>
    <row r="6015" spans="6:6" x14ac:dyDescent="0.35">
      <c r="F6015" s="1"/>
    </row>
    <row r="6016" spans="6:6" x14ac:dyDescent="0.35">
      <c r="F6016" s="1"/>
    </row>
    <row r="6017" spans="6:6" x14ac:dyDescent="0.35">
      <c r="F6017" s="1"/>
    </row>
    <row r="6018" spans="6:6" x14ac:dyDescent="0.35">
      <c r="F6018" s="1"/>
    </row>
    <row r="6019" spans="6:6" x14ac:dyDescent="0.35">
      <c r="F6019" s="1"/>
    </row>
    <row r="6020" spans="6:6" x14ac:dyDescent="0.35">
      <c r="F6020" s="1"/>
    </row>
    <row r="6021" spans="6:6" x14ac:dyDescent="0.35">
      <c r="F6021" s="1"/>
    </row>
    <row r="6022" spans="6:6" x14ac:dyDescent="0.35">
      <c r="F6022" s="1"/>
    </row>
    <row r="6023" spans="6:6" x14ac:dyDescent="0.35">
      <c r="F6023" s="1"/>
    </row>
    <row r="6024" spans="6:6" x14ac:dyDescent="0.35">
      <c r="F6024" s="1"/>
    </row>
    <row r="6025" spans="6:6" x14ac:dyDescent="0.35">
      <c r="F6025" s="1"/>
    </row>
    <row r="6026" spans="6:6" x14ac:dyDescent="0.35">
      <c r="F6026" s="1"/>
    </row>
    <row r="6027" spans="6:6" x14ac:dyDescent="0.35">
      <c r="F6027" s="1"/>
    </row>
    <row r="6028" spans="6:6" x14ac:dyDescent="0.35">
      <c r="F6028" s="1"/>
    </row>
    <row r="6029" spans="6:6" x14ac:dyDescent="0.35">
      <c r="F6029" s="1"/>
    </row>
    <row r="6030" spans="6:6" x14ac:dyDescent="0.35">
      <c r="F6030" s="1"/>
    </row>
    <row r="6031" spans="6:6" x14ac:dyDescent="0.35">
      <c r="F6031" s="1"/>
    </row>
    <row r="6032" spans="6:6" x14ac:dyDescent="0.35">
      <c r="F6032" s="1"/>
    </row>
    <row r="6033" spans="6:6" x14ac:dyDescent="0.35">
      <c r="F6033" s="1"/>
    </row>
    <row r="6034" spans="6:6" x14ac:dyDescent="0.35">
      <c r="F6034" s="1"/>
    </row>
    <row r="6035" spans="6:6" x14ac:dyDescent="0.35">
      <c r="F6035" s="1"/>
    </row>
    <row r="6036" spans="6:6" x14ac:dyDescent="0.35">
      <c r="F6036" s="1"/>
    </row>
    <row r="6037" spans="6:6" x14ac:dyDescent="0.35">
      <c r="F6037" s="1"/>
    </row>
    <row r="6038" spans="6:6" x14ac:dyDescent="0.35">
      <c r="F6038" s="1"/>
    </row>
    <row r="6039" spans="6:6" x14ac:dyDescent="0.35">
      <c r="F6039" s="1"/>
    </row>
    <row r="6040" spans="6:6" x14ac:dyDescent="0.35">
      <c r="F6040" s="1"/>
    </row>
    <row r="6041" spans="6:6" x14ac:dyDescent="0.35">
      <c r="F6041" s="1"/>
    </row>
    <row r="6042" spans="6:6" x14ac:dyDescent="0.35">
      <c r="F6042" s="1"/>
    </row>
    <row r="6043" spans="6:6" x14ac:dyDescent="0.35">
      <c r="F6043" s="1"/>
    </row>
    <row r="6044" spans="6:6" x14ac:dyDescent="0.35">
      <c r="F6044" s="1"/>
    </row>
    <row r="6045" spans="6:6" x14ac:dyDescent="0.35">
      <c r="F6045" s="1"/>
    </row>
    <row r="6046" spans="6:6" x14ac:dyDescent="0.35">
      <c r="F6046" s="1"/>
    </row>
    <row r="6047" spans="6:6" x14ac:dyDescent="0.35">
      <c r="F6047" s="1"/>
    </row>
    <row r="6048" spans="6:6" x14ac:dyDescent="0.35">
      <c r="F6048" s="1"/>
    </row>
    <row r="6049" spans="6:6" x14ac:dyDescent="0.35">
      <c r="F6049" s="1"/>
    </row>
    <row r="6050" spans="6:6" x14ac:dyDescent="0.35">
      <c r="F6050" s="1"/>
    </row>
    <row r="6051" spans="6:6" x14ac:dyDescent="0.35">
      <c r="F6051" s="1"/>
    </row>
    <row r="6052" spans="6:6" x14ac:dyDescent="0.35">
      <c r="F6052" s="1"/>
    </row>
    <row r="6053" spans="6:6" x14ac:dyDescent="0.35">
      <c r="F6053" s="1"/>
    </row>
    <row r="6054" spans="6:6" x14ac:dyDescent="0.35">
      <c r="F6054" s="1"/>
    </row>
    <row r="6055" spans="6:6" x14ac:dyDescent="0.35">
      <c r="F6055" s="1"/>
    </row>
    <row r="6056" spans="6:6" x14ac:dyDescent="0.35">
      <c r="F6056" s="1"/>
    </row>
    <row r="6057" spans="6:6" x14ac:dyDescent="0.35">
      <c r="F6057" s="1"/>
    </row>
    <row r="6058" spans="6:6" x14ac:dyDescent="0.35">
      <c r="F6058" s="1"/>
    </row>
    <row r="6059" spans="6:6" x14ac:dyDescent="0.35">
      <c r="F6059" s="1"/>
    </row>
    <row r="6060" spans="6:6" x14ac:dyDescent="0.35">
      <c r="F6060" s="1"/>
    </row>
    <row r="6061" spans="6:6" x14ac:dyDescent="0.35">
      <c r="F6061" s="1"/>
    </row>
    <row r="6062" spans="6:6" x14ac:dyDescent="0.35">
      <c r="F6062" s="1"/>
    </row>
    <row r="6063" spans="6:6" x14ac:dyDescent="0.35">
      <c r="F6063" s="1"/>
    </row>
    <row r="6064" spans="6:6" x14ac:dyDescent="0.35">
      <c r="F6064" s="1"/>
    </row>
    <row r="6065" spans="6:6" x14ac:dyDescent="0.35">
      <c r="F6065" s="1"/>
    </row>
    <row r="6066" spans="6:6" x14ac:dyDescent="0.35">
      <c r="F6066" s="1"/>
    </row>
    <row r="6067" spans="6:6" x14ac:dyDescent="0.35">
      <c r="F6067" s="1"/>
    </row>
    <row r="6068" spans="6:6" x14ac:dyDescent="0.35">
      <c r="F6068" s="1"/>
    </row>
    <row r="6069" spans="6:6" x14ac:dyDescent="0.35">
      <c r="F6069" s="1"/>
    </row>
    <row r="6070" spans="6:6" x14ac:dyDescent="0.35">
      <c r="F6070" s="1"/>
    </row>
    <row r="6071" spans="6:6" x14ac:dyDescent="0.35">
      <c r="F6071" s="1"/>
    </row>
    <row r="6072" spans="6:6" x14ac:dyDescent="0.35">
      <c r="F6072" s="1"/>
    </row>
    <row r="6073" spans="6:6" x14ac:dyDescent="0.35">
      <c r="F6073" s="1"/>
    </row>
    <row r="6074" spans="6:6" x14ac:dyDescent="0.35">
      <c r="F6074" s="1"/>
    </row>
    <row r="6075" spans="6:6" x14ac:dyDescent="0.35">
      <c r="F6075" s="1"/>
    </row>
    <row r="6076" spans="6:6" x14ac:dyDescent="0.35">
      <c r="F6076" s="1"/>
    </row>
    <row r="6077" spans="6:6" x14ac:dyDescent="0.35">
      <c r="F6077" s="1"/>
    </row>
    <row r="6078" spans="6:6" x14ac:dyDescent="0.35">
      <c r="F6078" s="1"/>
    </row>
    <row r="6079" spans="6:6" x14ac:dyDescent="0.35">
      <c r="F6079" s="1"/>
    </row>
    <row r="6080" spans="6:6" x14ac:dyDescent="0.35">
      <c r="F6080" s="1"/>
    </row>
    <row r="6081" spans="6:6" x14ac:dyDescent="0.35">
      <c r="F6081" s="1"/>
    </row>
    <row r="6082" spans="6:6" x14ac:dyDescent="0.35">
      <c r="F6082" s="1"/>
    </row>
    <row r="6083" spans="6:6" x14ac:dyDescent="0.35">
      <c r="F6083" s="1"/>
    </row>
    <row r="6084" spans="6:6" x14ac:dyDescent="0.35">
      <c r="F6084" s="1"/>
    </row>
    <row r="6085" spans="6:6" x14ac:dyDescent="0.35">
      <c r="F6085" s="1"/>
    </row>
    <row r="6086" spans="6:6" x14ac:dyDescent="0.35">
      <c r="F6086" s="1"/>
    </row>
    <row r="6087" spans="6:6" x14ac:dyDescent="0.35">
      <c r="F6087" s="1"/>
    </row>
    <row r="6088" spans="6:6" x14ac:dyDescent="0.35">
      <c r="F6088" s="1"/>
    </row>
    <row r="6089" spans="6:6" x14ac:dyDescent="0.35">
      <c r="F6089" s="1"/>
    </row>
    <row r="6090" spans="6:6" x14ac:dyDescent="0.35">
      <c r="F6090" s="1"/>
    </row>
    <row r="6091" spans="6:6" x14ac:dyDescent="0.35">
      <c r="F6091" s="1"/>
    </row>
    <row r="6092" spans="6:6" x14ac:dyDescent="0.35">
      <c r="F6092" s="1"/>
    </row>
    <row r="6093" spans="6:6" x14ac:dyDescent="0.35">
      <c r="F6093" s="1"/>
    </row>
    <row r="6094" spans="6:6" x14ac:dyDescent="0.35">
      <c r="F6094" s="1"/>
    </row>
    <row r="6095" spans="6:6" x14ac:dyDescent="0.35">
      <c r="F6095" s="1"/>
    </row>
    <row r="6096" spans="6:6" x14ac:dyDescent="0.35">
      <c r="F6096" s="1"/>
    </row>
    <row r="6097" spans="6:6" x14ac:dyDescent="0.35">
      <c r="F6097" s="1"/>
    </row>
    <row r="6098" spans="6:6" x14ac:dyDescent="0.35">
      <c r="F6098" s="1"/>
    </row>
    <row r="6099" spans="6:6" x14ac:dyDescent="0.35">
      <c r="F6099" s="1"/>
    </row>
    <row r="6100" spans="6:6" x14ac:dyDescent="0.35">
      <c r="F6100" s="1"/>
    </row>
    <row r="6101" spans="6:6" x14ac:dyDescent="0.35">
      <c r="F6101" s="1"/>
    </row>
    <row r="6102" spans="6:6" x14ac:dyDescent="0.35">
      <c r="F6102" s="1"/>
    </row>
    <row r="6103" spans="6:6" x14ac:dyDescent="0.35">
      <c r="F6103" s="1"/>
    </row>
    <row r="6104" spans="6:6" x14ac:dyDescent="0.35">
      <c r="F6104" s="1"/>
    </row>
    <row r="6105" spans="6:6" x14ac:dyDescent="0.35">
      <c r="F6105" s="1"/>
    </row>
    <row r="6106" spans="6:6" x14ac:dyDescent="0.35">
      <c r="F6106" s="1"/>
    </row>
    <row r="6107" spans="6:6" x14ac:dyDescent="0.35">
      <c r="F6107" s="1"/>
    </row>
    <row r="6108" spans="6:6" x14ac:dyDescent="0.35">
      <c r="F6108" s="1"/>
    </row>
    <row r="6109" spans="6:6" x14ac:dyDescent="0.35">
      <c r="F6109" s="1"/>
    </row>
    <row r="6110" spans="6:6" x14ac:dyDescent="0.35">
      <c r="F6110" s="1"/>
    </row>
    <row r="6111" spans="6:6" x14ac:dyDescent="0.35">
      <c r="F6111" s="1"/>
    </row>
    <row r="6112" spans="6:6" x14ac:dyDescent="0.35">
      <c r="F6112" s="1"/>
    </row>
    <row r="6113" spans="6:6" x14ac:dyDescent="0.35">
      <c r="F6113" s="1"/>
    </row>
    <row r="6114" spans="6:6" x14ac:dyDescent="0.35">
      <c r="F6114" s="1"/>
    </row>
    <row r="6115" spans="6:6" x14ac:dyDescent="0.35">
      <c r="F6115" s="1"/>
    </row>
    <row r="6116" spans="6:6" x14ac:dyDescent="0.35">
      <c r="F6116" s="1"/>
    </row>
    <row r="6117" spans="6:6" x14ac:dyDescent="0.35">
      <c r="F6117" s="1"/>
    </row>
    <row r="6118" spans="6:6" x14ac:dyDescent="0.35">
      <c r="F6118" s="1"/>
    </row>
    <row r="6119" spans="6:6" x14ac:dyDescent="0.35">
      <c r="F6119" s="1"/>
    </row>
    <row r="6120" spans="6:6" x14ac:dyDescent="0.35">
      <c r="F6120" s="1"/>
    </row>
    <row r="6121" spans="6:6" x14ac:dyDescent="0.35">
      <c r="F6121" s="1"/>
    </row>
    <row r="6122" spans="6:6" x14ac:dyDescent="0.35">
      <c r="F6122" s="1"/>
    </row>
    <row r="6123" spans="6:6" x14ac:dyDescent="0.35">
      <c r="F6123" s="1"/>
    </row>
    <row r="6124" spans="6:6" x14ac:dyDescent="0.35">
      <c r="F6124" s="1"/>
    </row>
    <row r="6125" spans="6:6" x14ac:dyDescent="0.35">
      <c r="F6125" s="1"/>
    </row>
    <row r="6126" spans="6:6" x14ac:dyDescent="0.35">
      <c r="F6126" s="1"/>
    </row>
    <row r="6127" spans="6:6" x14ac:dyDescent="0.35">
      <c r="F6127" s="1"/>
    </row>
    <row r="6128" spans="6:6" x14ac:dyDescent="0.35">
      <c r="F6128" s="1"/>
    </row>
    <row r="6129" spans="6:6" x14ac:dyDescent="0.35">
      <c r="F6129" s="1"/>
    </row>
    <row r="6130" spans="6:6" x14ac:dyDescent="0.35">
      <c r="F6130" s="1"/>
    </row>
    <row r="6131" spans="6:6" x14ac:dyDescent="0.35">
      <c r="F6131" s="1"/>
    </row>
    <row r="6132" spans="6:6" x14ac:dyDescent="0.35">
      <c r="F6132" s="1"/>
    </row>
    <row r="6133" spans="6:6" x14ac:dyDescent="0.35">
      <c r="F6133" s="1"/>
    </row>
    <row r="6134" spans="6:6" x14ac:dyDescent="0.35">
      <c r="F6134" s="1"/>
    </row>
    <row r="6135" spans="6:6" x14ac:dyDescent="0.35">
      <c r="F6135" s="1"/>
    </row>
    <row r="6136" spans="6:6" x14ac:dyDescent="0.35">
      <c r="F6136" s="1"/>
    </row>
    <row r="6137" spans="6:6" x14ac:dyDescent="0.35">
      <c r="F6137" s="1"/>
    </row>
    <row r="6138" spans="6:6" x14ac:dyDescent="0.35">
      <c r="F6138" s="1"/>
    </row>
    <row r="6139" spans="6:6" x14ac:dyDescent="0.35">
      <c r="F6139" s="1"/>
    </row>
    <row r="6140" spans="6:6" x14ac:dyDescent="0.35">
      <c r="F6140" s="1"/>
    </row>
    <row r="6141" spans="6:6" x14ac:dyDescent="0.35">
      <c r="F6141" s="1"/>
    </row>
    <row r="6142" spans="6:6" x14ac:dyDescent="0.35">
      <c r="F6142" s="1"/>
    </row>
    <row r="6143" spans="6:6" x14ac:dyDescent="0.35">
      <c r="F6143" s="1"/>
    </row>
    <row r="6144" spans="6:6" x14ac:dyDescent="0.35">
      <c r="F6144" s="1"/>
    </row>
    <row r="6145" spans="6:6" x14ac:dyDescent="0.35">
      <c r="F6145" s="1"/>
    </row>
    <row r="6146" spans="6:6" x14ac:dyDescent="0.35">
      <c r="F6146" s="1"/>
    </row>
    <row r="6147" spans="6:6" x14ac:dyDescent="0.35">
      <c r="F6147" s="1"/>
    </row>
    <row r="6148" spans="6:6" x14ac:dyDescent="0.35">
      <c r="F6148" s="1"/>
    </row>
    <row r="6149" spans="6:6" x14ac:dyDescent="0.35">
      <c r="F6149" s="1"/>
    </row>
    <row r="6150" spans="6:6" x14ac:dyDescent="0.35">
      <c r="F6150" s="1"/>
    </row>
    <row r="6151" spans="6:6" x14ac:dyDescent="0.35">
      <c r="F6151" s="1"/>
    </row>
    <row r="6152" spans="6:6" x14ac:dyDescent="0.35">
      <c r="F6152" s="1"/>
    </row>
    <row r="6153" spans="6:6" x14ac:dyDescent="0.35">
      <c r="F6153" s="1"/>
    </row>
    <row r="6154" spans="6:6" x14ac:dyDescent="0.35">
      <c r="F6154" s="1"/>
    </row>
    <row r="6155" spans="6:6" x14ac:dyDescent="0.35">
      <c r="F6155" s="1"/>
    </row>
    <row r="6156" spans="6:6" x14ac:dyDescent="0.35">
      <c r="F6156" s="1"/>
    </row>
    <row r="6157" spans="6:6" x14ac:dyDescent="0.35">
      <c r="F6157" s="1"/>
    </row>
    <row r="6158" spans="6:6" x14ac:dyDescent="0.35">
      <c r="F6158" s="1"/>
    </row>
    <row r="6159" spans="6:6" x14ac:dyDescent="0.35">
      <c r="F6159" s="1"/>
    </row>
    <row r="6160" spans="6:6" x14ac:dyDescent="0.35">
      <c r="F6160" s="1"/>
    </row>
    <row r="6161" spans="6:6" x14ac:dyDescent="0.35">
      <c r="F6161" s="1"/>
    </row>
    <row r="6162" spans="6:6" x14ac:dyDescent="0.35">
      <c r="F6162" s="1"/>
    </row>
    <row r="6163" spans="6:6" x14ac:dyDescent="0.35">
      <c r="F6163" s="1"/>
    </row>
    <row r="6164" spans="6:6" x14ac:dyDescent="0.35">
      <c r="F6164" s="1"/>
    </row>
    <row r="6165" spans="6:6" x14ac:dyDescent="0.35">
      <c r="F6165" s="1"/>
    </row>
    <row r="6166" spans="6:6" x14ac:dyDescent="0.35">
      <c r="F6166" s="1"/>
    </row>
    <row r="6167" spans="6:6" x14ac:dyDescent="0.35">
      <c r="F6167" s="1"/>
    </row>
    <row r="6168" spans="6:6" x14ac:dyDescent="0.35">
      <c r="F6168" s="1"/>
    </row>
    <row r="6169" spans="6:6" x14ac:dyDescent="0.35">
      <c r="F6169" s="1"/>
    </row>
    <row r="6170" spans="6:6" x14ac:dyDescent="0.35">
      <c r="F6170" s="1"/>
    </row>
    <row r="6171" spans="6:6" x14ac:dyDescent="0.35">
      <c r="F6171" s="1"/>
    </row>
    <row r="6172" spans="6:6" x14ac:dyDescent="0.35">
      <c r="F6172" s="1"/>
    </row>
    <row r="6173" spans="6:6" x14ac:dyDescent="0.35">
      <c r="F6173" s="1"/>
    </row>
    <row r="6174" spans="6:6" x14ac:dyDescent="0.35">
      <c r="F6174" s="1"/>
    </row>
    <row r="6175" spans="6:6" x14ac:dyDescent="0.35">
      <c r="F6175" s="1"/>
    </row>
    <row r="6176" spans="6:6" x14ac:dyDescent="0.35">
      <c r="F6176" s="1"/>
    </row>
    <row r="6177" spans="6:6" x14ac:dyDescent="0.35">
      <c r="F6177" s="1"/>
    </row>
    <row r="6178" spans="6:6" x14ac:dyDescent="0.35">
      <c r="F6178" s="1"/>
    </row>
    <row r="6179" spans="6:6" x14ac:dyDescent="0.35">
      <c r="F6179" s="1"/>
    </row>
    <row r="6180" spans="6:6" x14ac:dyDescent="0.35">
      <c r="F6180" s="1"/>
    </row>
    <row r="6181" spans="6:6" x14ac:dyDescent="0.35">
      <c r="F6181" s="1"/>
    </row>
    <row r="6182" spans="6:6" x14ac:dyDescent="0.35">
      <c r="F6182" s="1"/>
    </row>
    <row r="6183" spans="6:6" x14ac:dyDescent="0.35">
      <c r="F6183" s="1"/>
    </row>
    <row r="6184" spans="6:6" x14ac:dyDescent="0.35">
      <c r="F6184" s="1"/>
    </row>
    <row r="6185" spans="6:6" x14ac:dyDescent="0.35">
      <c r="F6185" s="1"/>
    </row>
    <row r="6186" spans="6:6" x14ac:dyDescent="0.35">
      <c r="F6186" s="1"/>
    </row>
    <row r="6187" spans="6:6" x14ac:dyDescent="0.35">
      <c r="F6187" s="1"/>
    </row>
    <row r="6188" spans="6:6" x14ac:dyDescent="0.35">
      <c r="F6188" s="1"/>
    </row>
    <row r="6189" spans="6:6" x14ac:dyDescent="0.35">
      <c r="F6189" s="1"/>
    </row>
    <row r="6190" spans="6:6" x14ac:dyDescent="0.35">
      <c r="F6190" s="1"/>
    </row>
    <row r="6191" spans="6:6" x14ac:dyDescent="0.35">
      <c r="F6191" s="1"/>
    </row>
    <row r="6192" spans="6:6" x14ac:dyDescent="0.35">
      <c r="F6192" s="1"/>
    </row>
    <row r="6193" spans="6:6" x14ac:dyDescent="0.35">
      <c r="F6193" s="1"/>
    </row>
    <row r="6194" spans="6:6" x14ac:dyDescent="0.35">
      <c r="F6194" s="1"/>
    </row>
    <row r="6195" spans="6:6" x14ac:dyDescent="0.35">
      <c r="F6195" s="1"/>
    </row>
    <row r="6196" spans="6:6" x14ac:dyDescent="0.35">
      <c r="F6196" s="1"/>
    </row>
    <row r="6197" spans="6:6" x14ac:dyDescent="0.35">
      <c r="F6197" s="1"/>
    </row>
    <row r="6198" spans="6:6" x14ac:dyDescent="0.35">
      <c r="F6198" s="1"/>
    </row>
    <row r="6199" spans="6:6" x14ac:dyDescent="0.35">
      <c r="F6199" s="1"/>
    </row>
    <row r="6200" spans="6:6" x14ac:dyDescent="0.35">
      <c r="F6200" s="1"/>
    </row>
    <row r="6201" spans="6:6" x14ac:dyDescent="0.35">
      <c r="F6201" s="1"/>
    </row>
    <row r="6202" spans="6:6" x14ac:dyDescent="0.35">
      <c r="F6202" s="1"/>
    </row>
    <row r="6203" spans="6:6" x14ac:dyDescent="0.35">
      <c r="F6203" s="1"/>
    </row>
    <row r="6204" spans="6:6" x14ac:dyDescent="0.35">
      <c r="F6204" s="1"/>
    </row>
    <row r="6205" spans="6:6" x14ac:dyDescent="0.35">
      <c r="F6205" s="1"/>
    </row>
    <row r="6206" spans="6:6" x14ac:dyDescent="0.35">
      <c r="F6206" s="1"/>
    </row>
    <row r="6207" spans="6:6" x14ac:dyDescent="0.35">
      <c r="F6207" s="1"/>
    </row>
    <row r="6208" spans="6:6" x14ac:dyDescent="0.35">
      <c r="F6208" s="1"/>
    </row>
    <row r="6209" spans="6:6" x14ac:dyDescent="0.35">
      <c r="F6209" s="1"/>
    </row>
    <row r="6210" spans="6:6" x14ac:dyDescent="0.35">
      <c r="F6210" s="1"/>
    </row>
    <row r="6211" spans="6:6" x14ac:dyDescent="0.35">
      <c r="F6211" s="1"/>
    </row>
    <row r="6212" spans="6:6" x14ac:dyDescent="0.35">
      <c r="F6212" s="1"/>
    </row>
    <row r="6213" spans="6:6" x14ac:dyDescent="0.35">
      <c r="F6213" s="1"/>
    </row>
    <row r="6214" spans="6:6" x14ac:dyDescent="0.35">
      <c r="F6214" s="1"/>
    </row>
    <row r="6215" spans="6:6" x14ac:dyDescent="0.35">
      <c r="F6215" s="1"/>
    </row>
    <row r="6216" spans="6:6" x14ac:dyDescent="0.35">
      <c r="F6216" s="1"/>
    </row>
    <row r="6217" spans="6:6" x14ac:dyDescent="0.35">
      <c r="F6217" s="1"/>
    </row>
    <row r="6218" spans="6:6" x14ac:dyDescent="0.35">
      <c r="F6218" s="1"/>
    </row>
    <row r="6219" spans="6:6" x14ac:dyDescent="0.35">
      <c r="F6219" s="1"/>
    </row>
    <row r="6220" spans="6:6" x14ac:dyDescent="0.35">
      <c r="F6220" s="1"/>
    </row>
    <row r="6221" spans="6:6" x14ac:dyDescent="0.35">
      <c r="F6221" s="1"/>
    </row>
    <row r="6222" spans="6:6" x14ac:dyDescent="0.35">
      <c r="F6222" s="1"/>
    </row>
    <row r="6223" spans="6:6" x14ac:dyDescent="0.35">
      <c r="F6223" s="1"/>
    </row>
    <row r="6224" spans="6:6" x14ac:dyDescent="0.35">
      <c r="F6224" s="1"/>
    </row>
    <row r="6225" spans="6:6" x14ac:dyDescent="0.35">
      <c r="F6225" s="1"/>
    </row>
    <row r="6226" spans="6:6" x14ac:dyDescent="0.35">
      <c r="F6226" s="1"/>
    </row>
    <row r="6227" spans="6:6" x14ac:dyDescent="0.35">
      <c r="F6227" s="1"/>
    </row>
    <row r="6228" spans="6:6" x14ac:dyDescent="0.35">
      <c r="F6228" s="1"/>
    </row>
    <row r="6229" spans="6:6" x14ac:dyDescent="0.35">
      <c r="F6229" s="1"/>
    </row>
    <row r="6230" spans="6:6" x14ac:dyDescent="0.35">
      <c r="F6230" s="1"/>
    </row>
    <row r="6231" spans="6:6" x14ac:dyDescent="0.35">
      <c r="F6231" s="1"/>
    </row>
    <row r="6232" spans="6:6" x14ac:dyDescent="0.35">
      <c r="F6232" s="1"/>
    </row>
    <row r="6233" spans="6:6" x14ac:dyDescent="0.35">
      <c r="F6233" s="1"/>
    </row>
    <row r="6234" spans="6:6" x14ac:dyDescent="0.35">
      <c r="F6234" s="1"/>
    </row>
    <row r="6235" spans="6:6" x14ac:dyDescent="0.35">
      <c r="F6235" s="1"/>
    </row>
    <row r="6236" spans="6:6" x14ac:dyDescent="0.35">
      <c r="F6236" s="1"/>
    </row>
    <row r="6237" spans="6:6" x14ac:dyDescent="0.35">
      <c r="F6237" s="1"/>
    </row>
    <row r="6238" spans="6:6" x14ac:dyDescent="0.35">
      <c r="F6238" s="1"/>
    </row>
    <row r="6239" spans="6:6" x14ac:dyDescent="0.35">
      <c r="F6239" s="1"/>
    </row>
    <row r="6240" spans="6:6" x14ac:dyDescent="0.35">
      <c r="F6240" s="1"/>
    </row>
    <row r="6241" spans="6:6" x14ac:dyDescent="0.35">
      <c r="F6241" s="1"/>
    </row>
    <row r="6242" spans="6:6" x14ac:dyDescent="0.35">
      <c r="F6242" s="1"/>
    </row>
    <row r="6243" spans="6:6" x14ac:dyDescent="0.35">
      <c r="F6243" s="1"/>
    </row>
    <row r="6244" spans="6:6" x14ac:dyDescent="0.35">
      <c r="F6244" s="1"/>
    </row>
    <row r="6245" spans="6:6" x14ac:dyDescent="0.35">
      <c r="F6245" s="1"/>
    </row>
    <row r="6246" spans="6:6" x14ac:dyDescent="0.35">
      <c r="F6246" s="1"/>
    </row>
    <row r="6247" spans="6:6" x14ac:dyDescent="0.35">
      <c r="F6247" s="1"/>
    </row>
    <row r="6248" spans="6:6" x14ac:dyDescent="0.35">
      <c r="F6248" s="1"/>
    </row>
    <row r="6249" spans="6:6" x14ac:dyDescent="0.35">
      <c r="F6249" s="1"/>
    </row>
    <row r="6250" spans="6:6" x14ac:dyDescent="0.35">
      <c r="F6250" s="1"/>
    </row>
    <row r="6251" spans="6:6" x14ac:dyDescent="0.35">
      <c r="F6251" s="1"/>
    </row>
    <row r="6252" spans="6:6" x14ac:dyDescent="0.35">
      <c r="F6252" s="1"/>
    </row>
    <row r="6253" spans="6:6" x14ac:dyDescent="0.35">
      <c r="F6253" s="1"/>
    </row>
    <row r="6254" spans="6:6" x14ac:dyDescent="0.35">
      <c r="F6254" s="1"/>
    </row>
    <row r="6255" spans="6:6" x14ac:dyDescent="0.35">
      <c r="F6255" s="1"/>
    </row>
    <row r="6256" spans="6:6" x14ac:dyDescent="0.35">
      <c r="F6256" s="1"/>
    </row>
    <row r="6257" spans="6:6" x14ac:dyDescent="0.35">
      <c r="F6257" s="1"/>
    </row>
    <row r="6258" spans="6:6" x14ac:dyDescent="0.35">
      <c r="F6258" s="1"/>
    </row>
    <row r="6259" spans="6:6" x14ac:dyDescent="0.35">
      <c r="F6259" s="1"/>
    </row>
    <row r="6260" spans="6:6" x14ac:dyDescent="0.35">
      <c r="F6260" s="1"/>
    </row>
    <row r="6261" spans="6:6" x14ac:dyDescent="0.35">
      <c r="F6261" s="1"/>
    </row>
    <row r="6262" spans="6:6" x14ac:dyDescent="0.35">
      <c r="F6262" s="1"/>
    </row>
    <row r="6263" spans="6:6" x14ac:dyDescent="0.35">
      <c r="F6263" s="1"/>
    </row>
    <row r="6264" spans="6:6" x14ac:dyDescent="0.35">
      <c r="F6264" s="1"/>
    </row>
    <row r="6265" spans="6:6" x14ac:dyDescent="0.35">
      <c r="F6265" s="1"/>
    </row>
    <row r="6266" spans="6:6" x14ac:dyDescent="0.35">
      <c r="F6266" s="1"/>
    </row>
    <row r="6267" spans="6:6" x14ac:dyDescent="0.35">
      <c r="F6267" s="1"/>
    </row>
    <row r="6268" spans="6:6" x14ac:dyDescent="0.35">
      <c r="F6268" s="1"/>
    </row>
    <row r="6269" spans="6:6" x14ac:dyDescent="0.35">
      <c r="F6269" s="1"/>
    </row>
    <row r="6270" spans="6:6" x14ac:dyDescent="0.35">
      <c r="F6270" s="1"/>
    </row>
    <row r="6271" spans="6:6" x14ac:dyDescent="0.35">
      <c r="F6271" s="1"/>
    </row>
    <row r="6272" spans="6:6" x14ac:dyDescent="0.35">
      <c r="F6272" s="1"/>
    </row>
    <row r="6273" spans="6:6" x14ac:dyDescent="0.35">
      <c r="F6273" s="1"/>
    </row>
    <row r="6274" spans="6:6" x14ac:dyDescent="0.35">
      <c r="F6274" s="1"/>
    </row>
    <row r="6275" spans="6:6" x14ac:dyDescent="0.35">
      <c r="F6275" s="1"/>
    </row>
    <row r="6276" spans="6:6" x14ac:dyDescent="0.35">
      <c r="F6276" s="1"/>
    </row>
    <row r="6277" spans="6:6" x14ac:dyDescent="0.35">
      <c r="F6277" s="1"/>
    </row>
    <row r="6278" spans="6:6" x14ac:dyDescent="0.35">
      <c r="F6278" s="1"/>
    </row>
    <row r="6279" spans="6:6" x14ac:dyDescent="0.35">
      <c r="F6279" s="1"/>
    </row>
    <row r="6280" spans="6:6" x14ac:dyDescent="0.35">
      <c r="F6280" s="1"/>
    </row>
    <row r="6281" spans="6:6" x14ac:dyDescent="0.35">
      <c r="F6281" s="1"/>
    </row>
    <row r="6282" spans="6:6" x14ac:dyDescent="0.35">
      <c r="F6282" s="1"/>
    </row>
    <row r="6283" spans="6:6" x14ac:dyDescent="0.35">
      <c r="F6283" s="1"/>
    </row>
    <row r="6284" spans="6:6" x14ac:dyDescent="0.35">
      <c r="F6284" s="1"/>
    </row>
    <row r="6285" spans="6:6" x14ac:dyDescent="0.35">
      <c r="F6285" s="1"/>
    </row>
    <row r="6286" spans="6:6" x14ac:dyDescent="0.35">
      <c r="F6286" s="1"/>
    </row>
    <row r="6287" spans="6:6" x14ac:dyDescent="0.35">
      <c r="F6287" s="1"/>
    </row>
    <row r="6288" spans="6:6" x14ac:dyDescent="0.35">
      <c r="F6288" s="1"/>
    </row>
    <row r="6289" spans="6:6" x14ac:dyDescent="0.35">
      <c r="F6289" s="1"/>
    </row>
    <row r="6290" spans="6:6" x14ac:dyDescent="0.35">
      <c r="F6290" s="1"/>
    </row>
    <row r="6291" spans="6:6" x14ac:dyDescent="0.35">
      <c r="F6291" s="1"/>
    </row>
    <row r="6292" spans="6:6" x14ac:dyDescent="0.35">
      <c r="F6292" s="1"/>
    </row>
    <row r="6293" spans="6:6" x14ac:dyDescent="0.35">
      <c r="F6293" s="1"/>
    </row>
    <row r="6294" spans="6:6" x14ac:dyDescent="0.35">
      <c r="F6294" s="1"/>
    </row>
    <row r="6295" spans="6:6" x14ac:dyDescent="0.35">
      <c r="F6295" s="1"/>
    </row>
    <row r="6296" spans="6:6" x14ac:dyDescent="0.35">
      <c r="F6296" s="1"/>
    </row>
    <row r="6297" spans="6:6" x14ac:dyDescent="0.35">
      <c r="F6297" s="1"/>
    </row>
    <row r="6298" spans="6:6" x14ac:dyDescent="0.35">
      <c r="F6298" s="1"/>
    </row>
    <row r="6299" spans="6:6" x14ac:dyDescent="0.35">
      <c r="F6299" s="1"/>
    </row>
    <row r="6300" spans="6:6" x14ac:dyDescent="0.35">
      <c r="F6300" s="1"/>
    </row>
    <row r="6301" spans="6:6" x14ac:dyDescent="0.35">
      <c r="F6301" s="1"/>
    </row>
    <row r="6302" spans="6:6" x14ac:dyDescent="0.35">
      <c r="F6302" s="1"/>
    </row>
    <row r="6303" spans="6:6" x14ac:dyDescent="0.35">
      <c r="F6303" s="1"/>
    </row>
    <row r="6304" spans="6:6" x14ac:dyDescent="0.35">
      <c r="F6304" s="1"/>
    </row>
    <row r="6305" spans="6:6" x14ac:dyDescent="0.35">
      <c r="F6305" s="1"/>
    </row>
    <row r="6306" spans="6:6" x14ac:dyDescent="0.35">
      <c r="F6306" s="1"/>
    </row>
    <row r="6307" spans="6:6" x14ac:dyDescent="0.35">
      <c r="F6307" s="1"/>
    </row>
    <row r="6308" spans="6:6" x14ac:dyDescent="0.35">
      <c r="F6308" s="1"/>
    </row>
    <row r="6309" spans="6:6" x14ac:dyDescent="0.35">
      <c r="F6309" s="1"/>
    </row>
    <row r="6310" spans="6:6" x14ac:dyDescent="0.35">
      <c r="F6310" s="1"/>
    </row>
    <row r="6311" spans="6:6" x14ac:dyDescent="0.35">
      <c r="F6311" s="1"/>
    </row>
    <row r="6312" spans="6:6" x14ac:dyDescent="0.35">
      <c r="F6312" s="1"/>
    </row>
    <row r="6313" spans="6:6" x14ac:dyDescent="0.35">
      <c r="F6313" s="1"/>
    </row>
    <row r="6314" spans="6:6" x14ac:dyDescent="0.35">
      <c r="F6314" s="1"/>
    </row>
    <row r="6315" spans="6:6" x14ac:dyDescent="0.35">
      <c r="F6315" s="1"/>
    </row>
    <row r="6316" spans="6:6" x14ac:dyDescent="0.35">
      <c r="F6316" s="1"/>
    </row>
    <row r="6317" spans="6:6" x14ac:dyDescent="0.35">
      <c r="F6317" s="1"/>
    </row>
    <row r="6318" spans="6:6" x14ac:dyDescent="0.35">
      <c r="F6318" s="1"/>
    </row>
    <row r="6319" spans="6:6" x14ac:dyDescent="0.35">
      <c r="F6319" s="1"/>
    </row>
    <row r="6320" spans="6:6" x14ac:dyDescent="0.35">
      <c r="F6320" s="1"/>
    </row>
    <row r="6321" spans="6:6" x14ac:dyDescent="0.35">
      <c r="F6321" s="1"/>
    </row>
    <row r="6322" spans="6:6" x14ac:dyDescent="0.35">
      <c r="F6322" s="1"/>
    </row>
    <row r="6323" spans="6:6" x14ac:dyDescent="0.35">
      <c r="F6323" s="1"/>
    </row>
    <row r="6324" spans="6:6" x14ac:dyDescent="0.35">
      <c r="F6324" s="1"/>
    </row>
    <row r="6325" spans="6:6" x14ac:dyDescent="0.35">
      <c r="F6325" s="1"/>
    </row>
    <row r="6326" spans="6:6" x14ac:dyDescent="0.35">
      <c r="F6326" s="1"/>
    </row>
    <row r="6327" spans="6:6" x14ac:dyDescent="0.35">
      <c r="F6327" s="1"/>
    </row>
    <row r="6328" spans="6:6" x14ac:dyDescent="0.35">
      <c r="F6328" s="1"/>
    </row>
    <row r="6329" spans="6:6" x14ac:dyDescent="0.35">
      <c r="F6329" s="1"/>
    </row>
    <row r="6330" spans="6:6" x14ac:dyDescent="0.35">
      <c r="F6330" s="1"/>
    </row>
    <row r="6331" spans="6:6" x14ac:dyDescent="0.35">
      <c r="F6331" s="1"/>
    </row>
    <row r="6332" spans="6:6" x14ac:dyDescent="0.35">
      <c r="F6332" s="1"/>
    </row>
    <row r="6333" spans="6:6" x14ac:dyDescent="0.35">
      <c r="F6333" s="1"/>
    </row>
    <row r="6334" spans="6:6" x14ac:dyDescent="0.35">
      <c r="F6334" s="1"/>
    </row>
    <row r="6335" spans="6:6" x14ac:dyDescent="0.35">
      <c r="F6335" s="1"/>
    </row>
    <row r="6336" spans="6:6" x14ac:dyDescent="0.35">
      <c r="F6336" s="1"/>
    </row>
    <row r="6337" spans="6:6" x14ac:dyDescent="0.35">
      <c r="F6337" s="1"/>
    </row>
    <row r="6338" spans="6:6" x14ac:dyDescent="0.35">
      <c r="F6338" s="1"/>
    </row>
    <row r="6339" spans="6:6" x14ac:dyDescent="0.35">
      <c r="F6339" s="1"/>
    </row>
    <row r="6340" spans="6:6" x14ac:dyDescent="0.35">
      <c r="F6340" s="1"/>
    </row>
    <row r="6341" spans="6:6" x14ac:dyDescent="0.35">
      <c r="F6341" s="1"/>
    </row>
    <row r="6342" spans="6:6" x14ac:dyDescent="0.35">
      <c r="F6342" s="1"/>
    </row>
    <row r="6343" spans="6:6" x14ac:dyDescent="0.35">
      <c r="F6343" s="1"/>
    </row>
    <row r="6344" spans="6:6" x14ac:dyDescent="0.35">
      <c r="F6344" s="1"/>
    </row>
    <row r="6345" spans="6:6" x14ac:dyDescent="0.35">
      <c r="F6345" s="1"/>
    </row>
    <row r="6346" spans="6:6" x14ac:dyDescent="0.35">
      <c r="F6346" s="1"/>
    </row>
    <row r="6347" spans="6:6" x14ac:dyDescent="0.35">
      <c r="F6347" s="1"/>
    </row>
    <row r="6348" spans="6:6" x14ac:dyDescent="0.35">
      <c r="F6348" s="1"/>
    </row>
    <row r="6349" spans="6:6" x14ac:dyDescent="0.35">
      <c r="F6349" s="1"/>
    </row>
    <row r="6350" spans="6:6" x14ac:dyDescent="0.35">
      <c r="F6350" s="1"/>
    </row>
    <row r="6351" spans="6:6" x14ac:dyDescent="0.35">
      <c r="F6351" s="1"/>
    </row>
    <row r="6352" spans="6:6" x14ac:dyDescent="0.35">
      <c r="F6352" s="1"/>
    </row>
    <row r="6353" spans="6:6" x14ac:dyDescent="0.35">
      <c r="F6353" s="1"/>
    </row>
    <row r="6354" spans="6:6" x14ac:dyDescent="0.35">
      <c r="F6354" s="1"/>
    </row>
    <row r="6355" spans="6:6" x14ac:dyDescent="0.35">
      <c r="F6355" s="1"/>
    </row>
    <row r="6356" spans="6:6" x14ac:dyDescent="0.35">
      <c r="F6356" s="1"/>
    </row>
    <row r="6357" spans="6:6" x14ac:dyDescent="0.35">
      <c r="F6357" s="1"/>
    </row>
    <row r="6358" spans="6:6" x14ac:dyDescent="0.35">
      <c r="F6358" s="1"/>
    </row>
    <row r="6359" spans="6:6" x14ac:dyDescent="0.35">
      <c r="F6359" s="1"/>
    </row>
    <row r="6360" spans="6:6" x14ac:dyDescent="0.35">
      <c r="F6360" s="1"/>
    </row>
    <row r="6361" spans="6:6" x14ac:dyDescent="0.35">
      <c r="F6361" s="1"/>
    </row>
    <row r="6362" spans="6:6" x14ac:dyDescent="0.35">
      <c r="F6362" s="1"/>
    </row>
    <row r="6363" spans="6:6" x14ac:dyDescent="0.35">
      <c r="F6363" s="1"/>
    </row>
    <row r="6364" spans="6:6" x14ac:dyDescent="0.35">
      <c r="F6364" s="1"/>
    </row>
    <row r="6365" spans="6:6" x14ac:dyDescent="0.35">
      <c r="F6365" s="1"/>
    </row>
    <row r="6366" spans="6:6" x14ac:dyDescent="0.35">
      <c r="F6366" s="1"/>
    </row>
    <row r="6367" spans="6:6" x14ac:dyDescent="0.35">
      <c r="F6367" s="1"/>
    </row>
    <row r="6368" spans="6:6" x14ac:dyDescent="0.35">
      <c r="F6368" s="1"/>
    </row>
    <row r="6369" spans="6:6" x14ac:dyDescent="0.35">
      <c r="F6369" s="1"/>
    </row>
    <row r="6370" spans="6:6" x14ac:dyDescent="0.35">
      <c r="F6370" s="1"/>
    </row>
    <row r="6371" spans="6:6" x14ac:dyDescent="0.35">
      <c r="F6371" s="1"/>
    </row>
    <row r="6372" spans="6:6" x14ac:dyDescent="0.35">
      <c r="F6372" s="1"/>
    </row>
    <row r="6373" spans="6:6" x14ac:dyDescent="0.35">
      <c r="F6373" s="1"/>
    </row>
    <row r="6374" spans="6:6" x14ac:dyDescent="0.35">
      <c r="F6374" s="1"/>
    </row>
    <row r="6375" spans="6:6" x14ac:dyDescent="0.35">
      <c r="F6375" s="1"/>
    </row>
    <row r="6376" spans="6:6" x14ac:dyDescent="0.35">
      <c r="F6376" s="1"/>
    </row>
    <row r="6377" spans="6:6" x14ac:dyDescent="0.35">
      <c r="F6377" s="1"/>
    </row>
    <row r="6378" spans="6:6" x14ac:dyDescent="0.35">
      <c r="F6378" s="1"/>
    </row>
    <row r="6379" spans="6:6" x14ac:dyDescent="0.35">
      <c r="F6379" s="1"/>
    </row>
    <row r="6380" spans="6:6" x14ac:dyDescent="0.35">
      <c r="F6380" s="1"/>
    </row>
    <row r="6381" spans="6:6" x14ac:dyDescent="0.35">
      <c r="F6381" s="1"/>
    </row>
    <row r="6382" spans="6:6" x14ac:dyDescent="0.35">
      <c r="F6382" s="1"/>
    </row>
    <row r="6383" spans="6:6" x14ac:dyDescent="0.35">
      <c r="F6383" s="1"/>
    </row>
    <row r="6384" spans="6:6" x14ac:dyDescent="0.35">
      <c r="F6384" s="1"/>
    </row>
    <row r="6385" spans="6:6" x14ac:dyDescent="0.35">
      <c r="F6385" s="1"/>
    </row>
    <row r="6386" spans="6:6" x14ac:dyDescent="0.35">
      <c r="F6386" s="1"/>
    </row>
    <row r="6387" spans="6:6" x14ac:dyDescent="0.35">
      <c r="F6387" s="1"/>
    </row>
    <row r="6388" spans="6:6" x14ac:dyDescent="0.35">
      <c r="F6388" s="1"/>
    </row>
    <row r="6389" spans="6:6" x14ac:dyDescent="0.35">
      <c r="F6389" s="1"/>
    </row>
    <row r="6390" spans="6:6" x14ac:dyDescent="0.35">
      <c r="F6390" s="1"/>
    </row>
    <row r="6391" spans="6:6" x14ac:dyDescent="0.35">
      <c r="F6391" s="1"/>
    </row>
    <row r="6392" spans="6:6" x14ac:dyDescent="0.35">
      <c r="F6392" s="1"/>
    </row>
    <row r="6393" spans="6:6" x14ac:dyDescent="0.35">
      <c r="F6393" s="1"/>
    </row>
    <row r="6394" spans="6:6" x14ac:dyDescent="0.35">
      <c r="F6394" s="1"/>
    </row>
    <row r="6395" spans="6:6" x14ac:dyDescent="0.35">
      <c r="F6395" s="1"/>
    </row>
    <row r="6396" spans="6:6" x14ac:dyDescent="0.35">
      <c r="F6396" s="1"/>
    </row>
    <row r="6397" spans="6:6" x14ac:dyDescent="0.35">
      <c r="F6397" s="1"/>
    </row>
    <row r="6398" spans="6:6" x14ac:dyDescent="0.35">
      <c r="F6398" s="1"/>
    </row>
    <row r="6399" spans="6:6" x14ac:dyDescent="0.35">
      <c r="F6399" s="1"/>
    </row>
    <row r="6400" spans="6:6" x14ac:dyDescent="0.35">
      <c r="F6400" s="1"/>
    </row>
    <row r="6401" spans="6:6" x14ac:dyDescent="0.35">
      <c r="F6401" s="1"/>
    </row>
    <row r="6402" spans="6:6" x14ac:dyDescent="0.35">
      <c r="F6402" s="1"/>
    </row>
    <row r="6403" spans="6:6" x14ac:dyDescent="0.35">
      <c r="F6403" s="1"/>
    </row>
    <row r="6404" spans="6:6" x14ac:dyDescent="0.35">
      <c r="F6404" s="1"/>
    </row>
    <row r="6405" spans="6:6" x14ac:dyDescent="0.35">
      <c r="F6405" s="1"/>
    </row>
    <row r="6406" spans="6:6" x14ac:dyDescent="0.35">
      <c r="F6406" s="1"/>
    </row>
    <row r="6407" spans="6:6" x14ac:dyDescent="0.35">
      <c r="F6407" s="1"/>
    </row>
    <row r="6408" spans="6:6" x14ac:dyDescent="0.35">
      <c r="F6408" s="1"/>
    </row>
    <row r="6409" spans="6:6" x14ac:dyDescent="0.35">
      <c r="F6409" s="1"/>
    </row>
    <row r="6410" spans="6:6" x14ac:dyDescent="0.35">
      <c r="F6410" s="1"/>
    </row>
    <row r="6411" spans="6:6" x14ac:dyDescent="0.35">
      <c r="F6411" s="1"/>
    </row>
    <row r="6412" spans="6:6" x14ac:dyDescent="0.35">
      <c r="F6412" s="1"/>
    </row>
    <row r="6413" spans="6:6" x14ac:dyDescent="0.35">
      <c r="F6413" s="1"/>
    </row>
    <row r="6414" spans="6:6" x14ac:dyDescent="0.35">
      <c r="F6414" s="1"/>
    </row>
    <row r="6415" spans="6:6" x14ac:dyDescent="0.35">
      <c r="F6415" s="1"/>
    </row>
    <row r="6416" spans="6:6" x14ac:dyDescent="0.35">
      <c r="F6416" s="1"/>
    </row>
    <row r="6417" spans="6:6" x14ac:dyDescent="0.35">
      <c r="F6417" s="1"/>
    </row>
    <row r="6418" spans="6:6" x14ac:dyDescent="0.35">
      <c r="F6418" s="1"/>
    </row>
    <row r="6419" spans="6:6" x14ac:dyDescent="0.35">
      <c r="F6419" s="1"/>
    </row>
    <row r="6420" spans="6:6" x14ac:dyDescent="0.35">
      <c r="F6420" s="1"/>
    </row>
    <row r="6421" spans="6:6" x14ac:dyDescent="0.35">
      <c r="F6421" s="1"/>
    </row>
    <row r="6422" spans="6:6" x14ac:dyDescent="0.35">
      <c r="F6422" s="1"/>
    </row>
    <row r="6423" spans="6:6" x14ac:dyDescent="0.35">
      <c r="F6423" s="1"/>
    </row>
    <row r="6424" spans="6:6" x14ac:dyDescent="0.35">
      <c r="F6424" s="1"/>
    </row>
    <row r="6425" spans="6:6" x14ac:dyDescent="0.35">
      <c r="F6425" s="1"/>
    </row>
    <row r="6426" spans="6:6" x14ac:dyDescent="0.35">
      <c r="F6426" s="1"/>
    </row>
    <row r="6427" spans="6:6" x14ac:dyDescent="0.35">
      <c r="F6427" s="1"/>
    </row>
    <row r="6428" spans="6:6" x14ac:dyDescent="0.35">
      <c r="F6428" s="1"/>
    </row>
    <row r="6429" spans="6:6" x14ac:dyDescent="0.35">
      <c r="F6429" s="1"/>
    </row>
    <row r="6430" spans="6:6" x14ac:dyDescent="0.35">
      <c r="F6430" s="1"/>
    </row>
    <row r="6431" spans="6:6" x14ac:dyDescent="0.35">
      <c r="F6431" s="1"/>
    </row>
    <row r="6432" spans="6:6" x14ac:dyDescent="0.35">
      <c r="F6432" s="1"/>
    </row>
    <row r="6433" spans="6:6" x14ac:dyDescent="0.35">
      <c r="F6433" s="1"/>
    </row>
    <row r="6434" spans="6:6" x14ac:dyDescent="0.35">
      <c r="F6434" s="1"/>
    </row>
    <row r="6435" spans="6:6" x14ac:dyDescent="0.35">
      <c r="F6435" s="1"/>
    </row>
    <row r="6436" spans="6:6" x14ac:dyDescent="0.35">
      <c r="F6436" s="1"/>
    </row>
    <row r="6437" spans="6:6" x14ac:dyDescent="0.35">
      <c r="F6437" s="1"/>
    </row>
    <row r="6438" spans="6:6" x14ac:dyDescent="0.35">
      <c r="F6438" s="1"/>
    </row>
    <row r="6439" spans="6:6" x14ac:dyDescent="0.35">
      <c r="F6439" s="1"/>
    </row>
    <row r="6440" spans="6:6" x14ac:dyDescent="0.35">
      <c r="F6440" s="1"/>
    </row>
    <row r="6441" spans="6:6" x14ac:dyDescent="0.35">
      <c r="F6441" s="1"/>
    </row>
    <row r="6442" spans="6:6" x14ac:dyDescent="0.35">
      <c r="F6442" s="1"/>
    </row>
    <row r="6443" spans="6:6" x14ac:dyDescent="0.35">
      <c r="F6443" s="1"/>
    </row>
    <row r="6444" spans="6:6" x14ac:dyDescent="0.35">
      <c r="F6444" s="1"/>
    </row>
    <row r="6445" spans="6:6" x14ac:dyDescent="0.35">
      <c r="F6445" s="1"/>
    </row>
    <row r="6446" spans="6:6" x14ac:dyDescent="0.35">
      <c r="F6446" s="1"/>
    </row>
    <row r="6447" spans="6:6" x14ac:dyDescent="0.35">
      <c r="F6447" s="1"/>
    </row>
    <row r="6448" spans="6:6" x14ac:dyDescent="0.35">
      <c r="F6448" s="1"/>
    </row>
    <row r="6449" spans="6:6" x14ac:dyDescent="0.35">
      <c r="F6449" s="1"/>
    </row>
    <row r="6450" spans="6:6" x14ac:dyDescent="0.35">
      <c r="F6450" s="1"/>
    </row>
    <row r="6451" spans="6:6" x14ac:dyDescent="0.35">
      <c r="F6451" s="1"/>
    </row>
    <row r="6452" spans="6:6" x14ac:dyDescent="0.35">
      <c r="F6452" s="1"/>
    </row>
    <row r="6453" spans="6:6" x14ac:dyDescent="0.35">
      <c r="F6453" s="1"/>
    </row>
    <row r="6454" spans="6:6" x14ac:dyDescent="0.35">
      <c r="F6454" s="1"/>
    </row>
    <row r="6455" spans="6:6" x14ac:dyDescent="0.35">
      <c r="F6455" s="1"/>
    </row>
    <row r="6456" spans="6:6" x14ac:dyDescent="0.35">
      <c r="F6456" s="1"/>
    </row>
    <row r="6457" spans="6:6" x14ac:dyDescent="0.35">
      <c r="F6457" s="1"/>
    </row>
    <row r="6458" spans="6:6" x14ac:dyDescent="0.35">
      <c r="F6458" s="1"/>
    </row>
    <row r="6459" spans="6:6" x14ac:dyDescent="0.35">
      <c r="F6459" s="1"/>
    </row>
    <row r="6460" spans="6:6" x14ac:dyDescent="0.35">
      <c r="F6460" s="1"/>
    </row>
    <row r="6461" spans="6:6" x14ac:dyDescent="0.35">
      <c r="F6461" s="1"/>
    </row>
    <row r="6462" spans="6:6" x14ac:dyDescent="0.35">
      <c r="F6462" s="1"/>
    </row>
    <row r="6463" spans="6:6" x14ac:dyDescent="0.35">
      <c r="F6463" s="1"/>
    </row>
    <row r="6464" spans="6:6" x14ac:dyDescent="0.35">
      <c r="F6464" s="1"/>
    </row>
    <row r="6465" spans="6:6" x14ac:dyDescent="0.35">
      <c r="F6465" s="1"/>
    </row>
    <row r="6466" spans="6:6" x14ac:dyDescent="0.35">
      <c r="F6466" s="1"/>
    </row>
    <row r="6467" spans="6:6" x14ac:dyDescent="0.35">
      <c r="F6467" s="1"/>
    </row>
    <row r="6468" spans="6:6" x14ac:dyDescent="0.35">
      <c r="F6468" s="1"/>
    </row>
    <row r="6469" spans="6:6" x14ac:dyDescent="0.35">
      <c r="F6469" s="1"/>
    </row>
    <row r="6470" spans="6:6" x14ac:dyDescent="0.35">
      <c r="F6470" s="1"/>
    </row>
    <row r="6471" spans="6:6" x14ac:dyDescent="0.35">
      <c r="F6471" s="1"/>
    </row>
    <row r="6472" spans="6:6" x14ac:dyDescent="0.35">
      <c r="F6472" s="1"/>
    </row>
    <row r="6473" spans="6:6" x14ac:dyDescent="0.35">
      <c r="F6473" s="1"/>
    </row>
    <row r="6474" spans="6:6" x14ac:dyDescent="0.35">
      <c r="F6474" s="1"/>
    </row>
    <row r="6475" spans="6:6" x14ac:dyDescent="0.35">
      <c r="F6475" s="1"/>
    </row>
    <row r="6476" spans="6:6" x14ac:dyDescent="0.35">
      <c r="F6476" s="1"/>
    </row>
    <row r="6477" spans="6:6" x14ac:dyDescent="0.35">
      <c r="F6477" s="1"/>
    </row>
    <row r="6478" spans="6:6" x14ac:dyDescent="0.35">
      <c r="F6478" s="1"/>
    </row>
    <row r="6479" spans="6:6" x14ac:dyDescent="0.35">
      <c r="F6479" s="1"/>
    </row>
    <row r="6480" spans="6:6" x14ac:dyDescent="0.35">
      <c r="F6480" s="1"/>
    </row>
    <row r="6481" spans="6:6" x14ac:dyDescent="0.35">
      <c r="F6481" s="1"/>
    </row>
    <row r="6482" spans="6:6" x14ac:dyDescent="0.35">
      <c r="F6482" s="1"/>
    </row>
    <row r="6483" spans="6:6" x14ac:dyDescent="0.35">
      <c r="F6483" s="1"/>
    </row>
    <row r="6484" spans="6:6" x14ac:dyDescent="0.35">
      <c r="F6484" s="1"/>
    </row>
    <row r="6485" spans="6:6" x14ac:dyDescent="0.35">
      <c r="F6485" s="1"/>
    </row>
    <row r="6486" spans="6:6" x14ac:dyDescent="0.35">
      <c r="F6486" s="1"/>
    </row>
    <row r="6487" spans="6:6" x14ac:dyDescent="0.35">
      <c r="F6487" s="1"/>
    </row>
    <row r="6488" spans="6:6" x14ac:dyDescent="0.35">
      <c r="F6488" s="1"/>
    </row>
    <row r="6489" spans="6:6" x14ac:dyDescent="0.35">
      <c r="F6489" s="1"/>
    </row>
    <row r="6490" spans="6:6" x14ac:dyDescent="0.35">
      <c r="F6490" s="1"/>
    </row>
    <row r="6491" spans="6:6" x14ac:dyDescent="0.35">
      <c r="F6491" s="1"/>
    </row>
    <row r="6492" spans="6:6" x14ac:dyDescent="0.35">
      <c r="F6492" s="1"/>
    </row>
    <row r="6493" spans="6:6" x14ac:dyDescent="0.35">
      <c r="F6493" s="1"/>
    </row>
    <row r="6494" spans="6:6" x14ac:dyDescent="0.35">
      <c r="F6494" s="1"/>
    </row>
    <row r="6495" spans="6:6" x14ac:dyDescent="0.35">
      <c r="F6495" s="1"/>
    </row>
    <row r="6496" spans="6:6" x14ac:dyDescent="0.35">
      <c r="F6496" s="1"/>
    </row>
    <row r="6497" spans="6:6" x14ac:dyDescent="0.35">
      <c r="F6497" s="1"/>
    </row>
    <row r="6498" spans="6:6" x14ac:dyDescent="0.35">
      <c r="F6498" s="1"/>
    </row>
    <row r="6499" spans="6:6" x14ac:dyDescent="0.35">
      <c r="F6499" s="1"/>
    </row>
    <row r="6500" spans="6:6" x14ac:dyDescent="0.35">
      <c r="F6500" s="1"/>
    </row>
    <row r="6501" spans="6:6" x14ac:dyDescent="0.35">
      <c r="F6501" s="1"/>
    </row>
    <row r="6502" spans="6:6" x14ac:dyDescent="0.35">
      <c r="F6502" s="1"/>
    </row>
    <row r="6503" spans="6:6" x14ac:dyDescent="0.35">
      <c r="F6503" s="1"/>
    </row>
    <row r="6504" spans="6:6" x14ac:dyDescent="0.35">
      <c r="F6504" s="1"/>
    </row>
    <row r="6505" spans="6:6" x14ac:dyDescent="0.35">
      <c r="F6505" s="1"/>
    </row>
    <row r="6506" spans="6:6" x14ac:dyDescent="0.35">
      <c r="F6506" s="1"/>
    </row>
    <row r="6507" spans="6:6" x14ac:dyDescent="0.35">
      <c r="F6507" s="1"/>
    </row>
    <row r="6508" spans="6:6" x14ac:dyDescent="0.35">
      <c r="F6508" s="1"/>
    </row>
    <row r="6509" spans="6:6" x14ac:dyDescent="0.35">
      <c r="F6509" s="1"/>
    </row>
    <row r="6510" spans="6:6" x14ac:dyDescent="0.35">
      <c r="F6510" s="1"/>
    </row>
    <row r="6511" spans="6:6" x14ac:dyDescent="0.35">
      <c r="F6511" s="1"/>
    </row>
    <row r="6512" spans="6:6" x14ac:dyDescent="0.35">
      <c r="F6512" s="1"/>
    </row>
    <row r="6513" spans="6:6" x14ac:dyDescent="0.35">
      <c r="F6513" s="1"/>
    </row>
    <row r="6514" spans="6:6" x14ac:dyDescent="0.35">
      <c r="F6514" s="1"/>
    </row>
    <row r="6515" spans="6:6" x14ac:dyDescent="0.35">
      <c r="F6515" s="1"/>
    </row>
    <row r="6516" spans="6:6" x14ac:dyDescent="0.35">
      <c r="F6516" s="1"/>
    </row>
    <row r="6517" spans="6:6" x14ac:dyDescent="0.35">
      <c r="F6517" s="1"/>
    </row>
    <row r="6518" spans="6:6" x14ac:dyDescent="0.35">
      <c r="F6518" s="1"/>
    </row>
    <row r="6519" spans="6:6" x14ac:dyDescent="0.35">
      <c r="F6519" s="1"/>
    </row>
    <row r="6520" spans="6:6" x14ac:dyDescent="0.35">
      <c r="F6520" s="1"/>
    </row>
    <row r="6521" spans="6:6" x14ac:dyDescent="0.35">
      <c r="F6521" s="1"/>
    </row>
    <row r="6522" spans="6:6" x14ac:dyDescent="0.35">
      <c r="F6522" s="1"/>
    </row>
    <row r="6523" spans="6:6" x14ac:dyDescent="0.35">
      <c r="F6523" s="1"/>
    </row>
    <row r="6524" spans="6:6" x14ac:dyDescent="0.35">
      <c r="F6524" s="1"/>
    </row>
    <row r="6525" spans="6:6" x14ac:dyDescent="0.35">
      <c r="F6525" s="1"/>
    </row>
    <row r="6526" spans="6:6" x14ac:dyDescent="0.35">
      <c r="F6526" s="1"/>
    </row>
    <row r="6527" spans="6:6" x14ac:dyDescent="0.35">
      <c r="F6527" s="1"/>
    </row>
    <row r="6528" spans="6:6" x14ac:dyDescent="0.35">
      <c r="F6528" s="1"/>
    </row>
    <row r="6529" spans="6:6" x14ac:dyDescent="0.35">
      <c r="F6529" s="1"/>
    </row>
    <row r="6530" spans="6:6" x14ac:dyDescent="0.35">
      <c r="F6530" s="1"/>
    </row>
    <row r="6531" spans="6:6" x14ac:dyDescent="0.35">
      <c r="F6531" s="1"/>
    </row>
    <row r="6532" spans="6:6" x14ac:dyDescent="0.35">
      <c r="F6532" s="1"/>
    </row>
    <row r="6533" spans="6:6" x14ac:dyDescent="0.35">
      <c r="F6533" s="1"/>
    </row>
    <row r="6534" spans="6:6" x14ac:dyDescent="0.35">
      <c r="F6534" s="1"/>
    </row>
    <row r="6535" spans="6:6" x14ac:dyDescent="0.35">
      <c r="F6535" s="1"/>
    </row>
    <row r="6536" spans="6:6" x14ac:dyDescent="0.35">
      <c r="F6536" s="1"/>
    </row>
    <row r="6537" spans="6:6" x14ac:dyDescent="0.35">
      <c r="F6537" s="1"/>
    </row>
    <row r="6538" spans="6:6" x14ac:dyDescent="0.35">
      <c r="F6538" s="1"/>
    </row>
    <row r="6539" spans="6:6" x14ac:dyDescent="0.35">
      <c r="F6539" s="1"/>
    </row>
    <row r="6540" spans="6:6" x14ac:dyDescent="0.35">
      <c r="F6540" s="1"/>
    </row>
    <row r="6541" spans="6:6" x14ac:dyDescent="0.35">
      <c r="F6541" s="1"/>
    </row>
    <row r="6542" spans="6:6" x14ac:dyDescent="0.35">
      <c r="F6542" s="1"/>
    </row>
    <row r="6543" spans="6:6" x14ac:dyDescent="0.35">
      <c r="F6543" s="1"/>
    </row>
    <row r="6544" spans="6:6" x14ac:dyDescent="0.35">
      <c r="F6544" s="1"/>
    </row>
    <row r="6545" spans="6:6" x14ac:dyDescent="0.35">
      <c r="F6545" s="1"/>
    </row>
    <row r="6546" spans="6:6" x14ac:dyDescent="0.35">
      <c r="F6546" s="1"/>
    </row>
    <row r="6547" spans="6:6" x14ac:dyDescent="0.35">
      <c r="F6547" s="1"/>
    </row>
    <row r="6548" spans="6:6" x14ac:dyDescent="0.35">
      <c r="F6548" s="1"/>
    </row>
    <row r="6549" spans="6:6" x14ac:dyDescent="0.35">
      <c r="F6549" s="1"/>
    </row>
    <row r="6550" spans="6:6" x14ac:dyDescent="0.35">
      <c r="F6550" s="1"/>
    </row>
    <row r="6551" spans="6:6" x14ac:dyDescent="0.35">
      <c r="F6551" s="1"/>
    </row>
    <row r="6552" spans="6:6" x14ac:dyDescent="0.35">
      <c r="F6552" s="1"/>
    </row>
    <row r="6553" spans="6:6" x14ac:dyDescent="0.35">
      <c r="F6553" s="1"/>
    </row>
    <row r="6554" spans="6:6" x14ac:dyDescent="0.35">
      <c r="F6554" s="1"/>
    </row>
    <row r="6555" spans="6:6" x14ac:dyDescent="0.35">
      <c r="F6555" s="1"/>
    </row>
    <row r="6556" spans="6:6" x14ac:dyDescent="0.35">
      <c r="F6556" s="1"/>
    </row>
    <row r="6557" spans="6:6" x14ac:dyDescent="0.35">
      <c r="F6557" s="1"/>
    </row>
    <row r="6558" spans="6:6" x14ac:dyDescent="0.35">
      <c r="F6558" s="1"/>
    </row>
    <row r="6559" spans="6:6" x14ac:dyDescent="0.35">
      <c r="F6559" s="1"/>
    </row>
    <row r="6560" spans="6:6" x14ac:dyDescent="0.35">
      <c r="F6560" s="1"/>
    </row>
    <row r="6561" spans="6:6" x14ac:dyDescent="0.35">
      <c r="F6561" s="1"/>
    </row>
    <row r="6562" spans="6:6" x14ac:dyDescent="0.35">
      <c r="F6562" s="1"/>
    </row>
    <row r="6563" spans="6:6" x14ac:dyDescent="0.35">
      <c r="F6563" s="1"/>
    </row>
    <row r="6564" spans="6:6" x14ac:dyDescent="0.35">
      <c r="F6564" s="1"/>
    </row>
    <row r="6565" spans="6:6" x14ac:dyDescent="0.35">
      <c r="F6565" s="1"/>
    </row>
    <row r="6566" spans="6:6" x14ac:dyDescent="0.35">
      <c r="F6566" s="1"/>
    </row>
    <row r="6567" spans="6:6" x14ac:dyDescent="0.35">
      <c r="F6567" s="1"/>
    </row>
    <row r="6568" spans="6:6" x14ac:dyDescent="0.35">
      <c r="F6568" s="1"/>
    </row>
    <row r="6569" spans="6:6" x14ac:dyDescent="0.35">
      <c r="F6569" s="1"/>
    </row>
    <row r="6570" spans="6:6" x14ac:dyDescent="0.35">
      <c r="F6570" s="1"/>
    </row>
    <row r="6571" spans="6:6" x14ac:dyDescent="0.35">
      <c r="F6571" s="1"/>
    </row>
    <row r="6572" spans="6:6" x14ac:dyDescent="0.35">
      <c r="F6572" s="1"/>
    </row>
    <row r="6573" spans="6:6" x14ac:dyDescent="0.35">
      <c r="F6573" s="1"/>
    </row>
    <row r="6574" spans="6:6" x14ac:dyDescent="0.35">
      <c r="F6574" s="1"/>
    </row>
    <row r="6575" spans="6:6" x14ac:dyDescent="0.35">
      <c r="F6575" s="1"/>
    </row>
    <row r="6576" spans="6:6" x14ac:dyDescent="0.35">
      <c r="F6576" s="1"/>
    </row>
    <row r="6577" spans="6:6" x14ac:dyDescent="0.35">
      <c r="F6577" s="1"/>
    </row>
    <row r="6578" spans="6:6" x14ac:dyDescent="0.35">
      <c r="F6578" s="1"/>
    </row>
    <row r="6579" spans="6:6" x14ac:dyDescent="0.35">
      <c r="F6579" s="1"/>
    </row>
    <row r="6580" spans="6:6" x14ac:dyDescent="0.35">
      <c r="F6580" s="1"/>
    </row>
    <row r="6581" spans="6:6" x14ac:dyDescent="0.35">
      <c r="F6581" s="1"/>
    </row>
    <row r="6582" spans="6:6" x14ac:dyDescent="0.35">
      <c r="F6582" s="1"/>
    </row>
    <row r="6583" spans="6:6" x14ac:dyDescent="0.35">
      <c r="F6583" s="1"/>
    </row>
    <row r="6584" spans="6:6" x14ac:dyDescent="0.35">
      <c r="F6584" s="1"/>
    </row>
    <row r="6585" spans="6:6" x14ac:dyDescent="0.35">
      <c r="F6585" s="1"/>
    </row>
    <row r="6586" spans="6:6" x14ac:dyDescent="0.35">
      <c r="F6586" s="1"/>
    </row>
    <row r="6587" spans="6:6" x14ac:dyDescent="0.35">
      <c r="F6587" s="1"/>
    </row>
    <row r="6588" spans="6:6" x14ac:dyDescent="0.35">
      <c r="F6588" s="1"/>
    </row>
    <row r="6589" spans="6:6" x14ac:dyDescent="0.35">
      <c r="F6589" s="1"/>
    </row>
    <row r="6590" spans="6:6" x14ac:dyDescent="0.35">
      <c r="F6590" s="1"/>
    </row>
    <row r="6591" spans="6:6" x14ac:dyDescent="0.35">
      <c r="F6591" s="1"/>
    </row>
    <row r="6592" spans="6:6" x14ac:dyDescent="0.35">
      <c r="F6592" s="1"/>
    </row>
    <row r="6593" spans="6:6" x14ac:dyDescent="0.35">
      <c r="F6593" s="1"/>
    </row>
    <row r="6594" spans="6:6" x14ac:dyDescent="0.35">
      <c r="F6594" s="1"/>
    </row>
    <row r="6595" spans="6:6" x14ac:dyDescent="0.35">
      <c r="F6595" s="1"/>
    </row>
    <row r="6596" spans="6:6" x14ac:dyDescent="0.35">
      <c r="F6596" s="1"/>
    </row>
    <row r="6597" spans="6:6" x14ac:dyDescent="0.35">
      <c r="F6597" s="1"/>
    </row>
    <row r="6598" spans="6:6" x14ac:dyDescent="0.35">
      <c r="F6598" s="1"/>
    </row>
    <row r="6599" spans="6:6" x14ac:dyDescent="0.35">
      <c r="F6599" s="1"/>
    </row>
    <row r="6600" spans="6:6" x14ac:dyDescent="0.35">
      <c r="F6600" s="1"/>
    </row>
    <row r="6601" spans="6:6" x14ac:dyDescent="0.35">
      <c r="F6601" s="1"/>
    </row>
    <row r="6602" spans="6:6" x14ac:dyDescent="0.35">
      <c r="F6602" s="1"/>
    </row>
    <row r="6603" spans="6:6" x14ac:dyDescent="0.35">
      <c r="F6603" s="1"/>
    </row>
    <row r="6604" spans="6:6" x14ac:dyDescent="0.35">
      <c r="F6604" s="1"/>
    </row>
    <row r="6605" spans="6:6" x14ac:dyDescent="0.35">
      <c r="F6605" s="1"/>
    </row>
    <row r="6606" spans="6:6" x14ac:dyDescent="0.35">
      <c r="F6606" s="1"/>
    </row>
    <row r="6607" spans="6:6" x14ac:dyDescent="0.35">
      <c r="F6607" s="1"/>
    </row>
    <row r="6608" spans="6:6" x14ac:dyDescent="0.35">
      <c r="F6608" s="1"/>
    </row>
    <row r="6609" spans="6:6" x14ac:dyDescent="0.35">
      <c r="F6609" s="1"/>
    </row>
    <row r="6610" spans="6:6" x14ac:dyDescent="0.35">
      <c r="F6610" s="1"/>
    </row>
    <row r="6611" spans="6:6" x14ac:dyDescent="0.35">
      <c r="F6611" s="1"/>
    </row>
    <row r="6612" spans="6:6" x14ac:dyDescent="0.35">
      <c r="F6612" s="1"/>
    </row>
    <row r="6613" spans="6:6" x14ac:dyDescent="0.35">
      <c r="F6613" s="1"/>
    </row>
    <row r="6614" spans="6:6" x14ac:dyDescent="0.35">
      <c r="F6614" s="1"/>
    </row>
    <row r="6615" spans="6:6" x14ac:dyDescent="0.35">
      <c r="F6615" s="1"/>
    </row>
    <row r="6616" spans="6:6" x14ac:dyDescent="0.35">
      <c r="F6616" s="1"/>
    </row>
    <row r="6617" spans="6:6" x14ac:dyDescent="0.35">
      <c r="F6617" s="1"/>
    </row>
    <row r="6618" spans="6:6" x14ac:dyDescent="0.35">
      <c r="F6618" s="1"/>
    </row>
    <row r="6619" spans="6:6" x14ac:dyDescent="0.35">
      <c r="F6619" s="1"/>
    </row>
    <row r="6620" spans="6:6" x14ac:dyDescent="0.35">
      <c r="F6620" s="1"/>
    </row>
    <row r="6621" spans="6:6" x14ac:dyDescent="0.35">
      <c r="F6621" s="1"/>
    </row>
    <row r="6622" spans="6:6" x14ac:dyDescent="0.35">
      <c r="F6622" s="1"/>
    </row>
    <row r="6623" spans="6:6" x14ac:dyDescent="0.35">
      <c r="F6623" s="1"/>
    </row>
    <row r="6624" spans="6:6" x14ac:dyDescent="0.35">
      <c r="F6624" s="1"/>
    </row>
    <row r="6625" spans="6:6" x14ac:dyDescent="0.35">
      <c r="F6625" s="1"/>
    </row>
    <row r="6626" spans="6:6" x14ac:dyDescent="0.35">
      <c r="F6626" s="1"/>
    </row>
    <row r="6627" spans="6:6" x14ac:dyDescent="0.35">
      <c r="F6627" s="1"/>
    </row>
    <row r="6628" spans="6:6" x14ac:dyDescent="0.35">
      <c r="F6628" s="1"/>
    </row>
    <row r="6629" spans="6:6" x14ac:dyDescent="0.35">
      <c r="F6629" s="1"/>
    </row>
    <row r="6630" spans="6:6" x14ac:dyDescent="0.35">
      <c r="F6630" s="1"/>
    </row>
    <row r="6631" spans="6:6" x14ac:dyDescent="0.35">
      <c r="F6631" s="1"/>
    </row>
    <row r="6632" spans="6:6" x14ac:dyDescent="0.35">
      <c r="F6632" s="1"/>
    </row>
    <row r="6633" spans="6:6" x14ac:dyDescent="0.35">
      <c r="F6633" s="1"/>
    </row>
    <row r="6634" spans="6:6" x14ac:dyDescent="0.35">
      <c r="F6634" s="1"/>
    </row>
    <row r="6635" spans="6:6" x14ac:dyDescent="0.35">
      <c r="F6635" s="1"/>
    </row>
    <row r="6636" spans="6:6" x14ac:dyDescent="0.35">
      <c r="F6636" s="1"/>
    </row>
    <row r="6637" spans="6:6" x14ac:dyDescent="0.35">
      <c r="F6637" s="1"/>
    </row>
    <row r="6638" spans="6:6" x14ac:dyDescent="0.35">
      <c r="F6638" s="1"/>
    </row>
    <row r="6639" spans="6:6" x14ac:dyDescent="0.35">
      <c r="F6639" s="1"/>
    </row>
    <row r="6640" spans="6:6" x14ac:dyDescent="0.35">
      <c r="F6640" s="1"/>
    </row>
    <row r="6641" spans="6:6" x14ac:dyDescent="0.35">
      <c r="F6641" s="1"/>
    </row>
    <row r="6642" spans="6:6" x14ac:dyDescent="0.35">
      <c r="F6642" s="1"/>
    </row>
    <row r="6643" spans="6:6" x14ac:dyDescent="0.35">
      <c r="F6643" s="1"/>
    </row>
    <row r="6644" spans="6:6" x14ac:dyDescent="0.35">
      <c r="F6644" s="1"/>
    </row>
    <row r="6645" spans="6:6" x14ac:dyDescent="0.35">
      <c r="F6645" s="1"/>
    </row>
    <row r="6646" spans="6:6" x14ac:dyDescent="0.35">
      <c r="F6646" s="1"/>
    </row>
    <row r="6647" spans="6:6" x14ac:dyDescent="0.35">
      <c r="F6647" s="1"/>
    </row>
    <row r="6648" spans="6:6" x14ac:dyDescent="0.35">
      <c r="F6648" s="1"/>
    </row>
    <row r="6649" spans="6:6" x14ac:dyDescent="0.35">
      <c r="F6649" s="1"/>
    </row>
    <row r="6650" spans="6:6" x14ac:dyDescent="0.35">
      <c r="F6650" s="1"/>
    </row>
    <row r="6651" spans="6:6" x14ac:dyDescent="0.35">
      <c r="F6651" s="1"/>
    </row>
    <row r="6652" spans="6:6" x14ac:dyDescent="0.35">
      <c r="F6652" s="1"/>
    </row>
    <row r="6653" spans="6:6" x14ac:dyDescent="0.35">
      <c r="F6653" s="1"/>
    </row>
    <row r="6654" spans="6:6" x14ac:dyDescent="0.35">
      <c r="F6654" s="1"/>
    </row>
    <row r="6655" spans="6:6" x14ac:dyDescent="0.35">
      <c r="F6655" s="1"/>
    </row>
    <row r="6656" spans="6:6" x14ac:dyDescent="0.35">
      <c r="F6656" s="1"/>
    </row>
    <row r="6657" spans="6:6" x14ac:dyDescent="0.35">
      <c r="F6657" s="1"/>
    </row>
    <row r="6658" spans="6:6" x14ac:dyDescent="0.35">
      <c r="F6658" s="1"/>
    </row>
    <row r="6659" spans="6:6" x14ac:dyDescent="0.35">
      <c r="F6659" s="1"/>
    </row>
    <row r="6660" spans="6:6" x14ac:dyDescent="0.35">
      <c r="F6660" s="1"/>
    </row>
    <row r="6661" spans="6:6" x14ac:dyDescent="0.35">
      <c r="F6661" s="1"/>
    </row>
    <row r="6662" spans="6:6" x14ac:dyDescent="0.35">
      <c r="F6662" s="1"/>
    </row>
    <row r="6663" spans="6:6" x14ac:dyDescent="0.35">
      <c r="F6663" s="1"/>
    </row>
    <row r="6664" spans="6:6" x14ac:dyDescent="0.35">
      <c r="F6664" s="1"/>
    </row>
    <row r="6665" spans="6:6" x14ac:dyDescent="0.35">
      <c r="F6665" s="1"/>
    </row>
    <row r="6666" spans="6:6" x14ac:dyDescent="0.35">
      <c r="F6666" s="1"/>
    </row>
    <row r="6667" spans="6:6" x14ac:dyDescent="0.35">
      <c r="F6667" s="1"/>
    </row>
    <row r="6668" spans="6:6" x14ac:dyDescent="0.35">
      <c r="F6668" s="1"/>
    </row>
    <row r="6669" spans="6:6" x14ac:dyDescent="0.35">
      <c r="F6669" s="1"/>
    </row>
    <row r="6670" spans="6:6" x14ac:dyDescent="0.35">
      <c r="F6670" s="1"/>
    </row>
    <row r="6671" spans="6:6" x14ac:dyDescent="0.35">
      <c r="F6671" s="1"/>
    </row>
    <row r="6672" spans="6:6" x14ac:dyDescent="0.35">
      <c r="F6672" s="1"/>
    </row>
    <row r="6673" spans="6:6" x14ac:dyDescent="0.35">
      <c r="F6673" s="1"/>
    </row>
    <row r="6674" spans="6:6" x14ac:dyDescent="0.35">
      <c r="F6674" s="1"/>
    </row>
    <row r="6675" spans="6:6" x14ac:dyDescent="0.35">
      <c r="F6675" s="1"/>
    </row>
    <row r="6676" spans="6:6" x14ac:dyDescent="0.35">
      <c r="F6676" s="1"/>
    </row>
    <row r="6677" spans="6:6" x14ac:dyDescent="0.35">
      <c r="F6677" s="1"/>
    </row>
    <row r="6678" spans="6:6" x14ac:dyDescent="0.35">
      <c r="F6678" s="1"/>
    </row>
    <row r="6679" spans="6:6" x14ac:dyDescent="0.35">
      <c r="F6679" s="1"/>
    </row>
    <row r="6680" spans="6:6" x14ac:dyDescent="0.35">
      <c r="F6680" s="1"/>
    </row>
    <row r="6681" spans="6:6" x14ac:dyDescent="0.35">
      <c r="F6681" s="1"/>
    </row>
    <row r="6682" spans="6:6" x14ac:dyDescent="0.35">
      <c r="F6682" s="1"/>
    </row>
    <row r="6683" spans="6:6" x14ac:dyDescent="0.35">
      <c r="F6683" s="1"/>
    </row>
    <row r="6684" spans="6:6" x14ac:dyDescent="0.35">
      <c r="F6684" s="1"/>
    </row>
    <row r="6685" spans="6:6" x14ac:dyDescent="0.35">
      <c r="F6685" s="1"/>
    </row>
    <row r="6686" spans="6:6" x14ac:dyDescent="0.35">
      <c r="F6686" s="1"/>
    </row>
    <row r="6687" spans="6:6" x14ac:dyDescent="0.35">
      <c r="F6687" s="1"/>
    </row>
    <row r="6688" spans="6:6" x14ac:dyDescent="0.35">
      <c r="F6688" s="1"/>
    </row>
    <row r="6689" spans="6:6" x14ac:dyDescent="0.35">
      <c r="F6689" s="1"/>
    </row>
    <row r="6690" spans="6:6" x14ac:dyDescent="0.35">
      <c r="F6690" s="1"/>
    </row>
    <row r="6691" spans="6:6" x14ac:dyDescent="0.35">
      <c r="F6691" s="1"/>
    </row>
    <row r="6692" spans="6:6" x14ac:dyDescent="0.35">
      <c r="F6692" s="1"/>
    </row>
    <row r="6693" spans="6:6" x14ac:dyDescent="0.35">
      <c r="F6693" s="1"/>
    </row>
    <row r="6694" spans="6:6" x14ac:dyDescent="0.35">
      <c r="F6694" s="1"/>
    </row>
    <row r="6695" spans="6:6" x14ac:dyDescent="0.35">
      <c r="F6695" s="1"/>
    </row>
    <row r="6696" spans="6:6" x14ac:dyDescent="0.35">
      <c r="F6696" s="1"/>
    </row>
    <row r="6697" spans="6:6" x14ac:dyDescent="0.35">
      <c r="F6697" s="1"/>
    </row>
    <row r="6698" spans="6:6" x14ac:dyDescent="0.35">
      <c r="F6698" s="1"/>
    </row>
    <row r="6699" spans="6:6" x14ac:dyDescent="0.35">
      <c r="F6699" s="1"/>
    </row>
    <row r="6700" spans="6:6" x14ac:dyDescent="0.35">
      <c r="F6700" s="1"/>
    </row>
    <row r="6701" spans="6:6" x14ac:dyDescent="0.35">
      <c r="F6701" s="1"/>
    </row>
    <row r="6702" spans="6:6" x14ac:dyDescent="0.35">
      <c r="F6702" s="1"/>
    </row>
    <row r="6703" spans="6:6" x14ac:dyDescent="0.35">
      <c r="F6703" s="1"/>
    </row>
    <row r="6704" spans="6:6" x14ac:dyDescent="0.35">
      <c r="F6704" s="1"/>
    </row>
    <row r="6705" spans="6:6" x14ac:dyDescent="0.35">
      <c r="F6705" s="1"/>
    </row>
    <row r="6706" spans="6:6" x14ac:dyDescent="0.35">
      <c r="F6706" s="1"/>
    </row>
    <row r="6707" spans="6:6" x14ac:dyDescent="0.35">
      <c r="F6707" s="1"/>
    </row>
    <row r="6708" spans="6:6" x14ac:dyDescent="0.35">
      <c r="F6708" s="1"/>
    </row>
    <row r="6709" spans="6:6" x14ac:dyDescent="0.35">
      <c r="F6709" s="1"/>
    </row>
    <row r="6710" spans="6:6" x14ac:dyDescent="0.35">
      <c r="F6710" s="1"/>
    </row>
    <row r="6711" spans="6:6" x14ac:dyDescent="0.35">
      <c r="F6711" s="1"/>
    </row>
    <row r="6712" spans="6:6" x14ac:dyDescent="0.35">
      <c r="F6712" s="1"/>
    </row>
    <row r="6713" spans="6:6" x14ac:dyDescent="0.35">
      <c r="F6713" s="1"/>
    </row>
    <row r="6714" spans="6:6" x14ac:dyDescent="0.35">
      <c r="F6714" s="1"/>
    </row>
    <row r="6715" spans="6:6" x14ac:dyDescent="0.35">
      <c r="F6715" s="1"/>
    </row>
    <row r="6716" spans="6:6" x14ac:dyDescent="0.35">
      <c r="F6716" s="1"/>
    </row>
    <row r="6717" spans="6:6" x14ac:dyDescent="0.35">
      <c r="F6717" s="1"/>
    </row>
    <row r="6718" spans="6:6" x14ac:dyDescent="0.35">
      <c r="F6718" s="1"/>
    </row>
    <row r="6719" spans="6:6" x14ac:dyDescent="0.35">
      <c r="F6719" s="1"/>
    </row>
    <row r="6720" spans="6:6" x14ac:dyDescent="0.35">
      <c r="F6720" s="1"/>
    </row>
    <row r="6721" spans="6:6" x14ac:dyDescent="0.35">
      <c r="F6721" s="1"/>
    </row>
    <row r="6722" spans="6:6" x14ac:dyDescent="0.35">
      <c r="F6722" s="1"/>
    </row>
    <row r="6723" spans="6:6" x14ac:dyDescent="0.35">
      <c r="F6723" s="1"/>
    </row>
    <row r="6724" spans="6:6" x14ac:dyDescent="0.35">
      <c r="F6724" s="1"/>
    </row>
    <row r="6725" spans="6:6" x14ac:dyDescent="0.35">
      <c r="F6725" s="1"/>
    </row>
    <row r="6726" spans="6:6" x14ac:dyDescent="0.35">
      <c r="F6726" s="1"/>
    </row>
    <row r="6727" spans="6:6" x14ac:dyDescent="0.35">
      <c r="F6727" s="1"/>
    </row>
    <row r="6728" spans="6:6" x14ac:dyDescent="0.35">
      <c r="F6728" s="1"/>
    </row>
    <row r="6729" spans="6:6" x14ac:dyDescent="0.35">
      <c r="F6729" s="1"/>
    </row>
    <row r="6730" spans="6:6" x14ac:dyDescent="0.35">
      <c r="F6730" s="1"/>
    </row>
    <row r="6731" spans="6:6" x14ac:dyDescent="0.35">
      <c r="F6731" s="1"/>
    </row>
    <row r="6732" spans="6:6" x14ac:dyDescent="0.35">
      <c r="F6732" s="1"/>
    </row>
    <row r="6733" spans="6:6" x14ac:dyDescent="0.35">
      <c r="F6733" s="1"/>
    </row>
    <row r="6734" spans="6:6" x14ac:dyDescent="0.35">
      <c r="F6734" s="1"/>
    </row>
    <row r="6735" spans="6:6" x14ac:dyDescent="0.35">
      <c r="F6735" s="1"/>
    </row>
    <row r="6736" spans="6:6" x14ac:dyDescent="0.35">
      <c r="F6736" s="1"/>
    </row>
    <row r="6737" spans="6:6" x14ac:dyDescent="0.35">
      <c r="F6737" s="1"/>
    </row>
    <row r="6738" spans="6:6" x14ac:dyDescent="0.35">
      <c r="F6738" s="1"/>
    </row>
    <row r="6739" spans="6:6" x14ac:dyDescent="0.35">
      <c r="F6739" s="1"/>
    </row>
    <row r="6740" spans="6:6" x14ac:dyDescent="0.35">
      <c r="F6740" s="1"/>
    </row>
    <row r="6741" spans="6:6" x14ac:dyDescent="0.35">
      <c r="F6741" s="1"/>
    </row>
    <row r="6742" spans="6:6" x14ac:dyDescent="0.35">
      <c r="F6742" s="1"/>
    </row>
    <row r="6743" spans="6:6" x14ac:dyDescent="0.35">
      <c r="F6743" s="1"/>
    </row>
    <row r="6744" spans="6:6" x14ac:dyDescent="0.35">
      <c r="F6744" s="1"/>
    </row>
    <row r="6745" spans="6:6" x14ac:dyDescent="0.35">
      <c r="F6745" s="1"/>
    </row>
    <row r="6746" spans="6:6" x14ac:dyDescent="0.35">
      <c r="F6746" s="1"/>
    </row>
    <row r="6747" spans="6:6" x14ac:dyDescent="0.35">
      <c r="F6747" s="1"/>
    </row>
    <row r="6748" spans="6:6" x14ac:dyDescent="0.35">
      <c r="F6748" s="1"/>
    </row>
    <row r="6749" spans="6:6" x14ac:dyDescent="0.35">
      <c r="F6749" s="1"/>
    </row>
    <row r="6750" spans="6:6" x14ac:dyDescent="0.35">
      <c r="F6750" s="1"/>
    </row>
    <row r="6751" spans="6:6" x14ac:dyDescent="0.35">
      <c r="F6751" s="1"/>
    </row>
    <row r="6752" spans="6:6" x14ac:dyDescent="0.35">
      <c r="F6752" s="1"/>
    </row>
    <row r="6753" spans="6:6" x14ac:dyDescent="0.35">
      <c r="F6753" s="1"/>
    </row>
    <row r="6754" spans="6:6" x14ac:dyDescent="0.35">
      <c r="F6754" s="1"/>
    </row>
    <row r="6755" spans="6:6" x14ac:dyDescent="0.35">
      <c r="F6755" s="1"/>
    </row>
    <row r="6756" spans="6:6" x14ac:dyDescent="0.35">
      <c r="F6756" s="1"/>
    </row>
    <row r="6757" spans="6:6" x14ac:dyDescent="0.35">
      <c r="F6757" s="1"/>
    </row>
    <row r="6758" spans="6:6" x14ac:dyDescent="0.35">
      <c r="F6758" s="1"/>
    </row>
    <row r="6759" spans="6:6" x14ac:dyDescent="0.35">
      <c r="F6759" s="1"/>
    </row>
    <row r="6760" spans="6:6" x14ac:dyDescent="0.35">
      <c r="F6760" s="1"/>
    </row>
    <row r="6761" spans="6:6" x14ac:dyDescent="0.35">
      <c r="F6761" s="1"/>
    </row>
    <row r="6762" spans="6:6" x14ac:dyDescent="0.35">
      <c r="F6762" s="1"/>
    </row>
    <row r="6763" spans="6:6" x14ac:dyDescent="0.35">
      <c r="F6763" s="1"/>
    </row>
    <row r="6764" spans="6:6" x14ac:dyDescent="0.35">
      <c r="F6764" s="1"/>
    </row>
    <row r="6765" spans="6:6" x14ac:dyDescent="0.35">
      <c r="F6765" s="1"/>
    </row>
    <row r="6766" spans="6:6" x14ac:dyDescent="0.35">
      <c r="F6766" s="1"/>
    </row>
    <row r="6767" spans="6:6" x14ac:dyDescent="0.35">
      <c r="F6767" s="1"/>
    </row>
    <row r="6768" spans="6:6" x14ac:dyDescent="0.35">
      <c r="F6768" s="1"/>
    </row>
    <row r="6769" spans="6:6" x14ac:dyDescent="0.35">
      <c r="F6769" s="1"/>
    </row>
    <row r="6770" spans="6:6" x14ac:dyDescent="0.35">
      <c r="F6770" s="1"/>
    </row>
    <row r="6771" spans="6:6" x14ac:dyDescent="0.35">
      <c r="F6771" s="1"/>
    </row>
    <row r="6772" spans="6:6" x14ac:dyDescent="0.35">
      <c r="F6772" s="1"/>
    </row>
    <row r="6773" spans="6:6" x14ac:dyDescent="0.35">
      <c r="F6773" s="1"/>
    </row>
    <row r="6774" spans="6:6" x14ac:dyDescent="0.35">
      <c r="F6774" s="1"/>
    </row>
    <row r="6775" spans="6:6" x14ac:dyDescent="0.35">
      <c r="F6775" s="1"/>
    </row>
    <row r="6776" spans="6:6" x14ac:dyDescent="0.35">
      <c r="F6776" s="1"/>
    </row>
    <row r="6777" spans="6:6" x14ac:dyDescent="0.35">
      <c r="F6777" s="1"/>
    </row>
    <row r="6778" spans="6:6" x14ac:dyDescent="0.35">
      <c r="F6778" s="1"/>
    </row>
    <row r="6779" spans="6:6" x14ac:dyDescent="0.35">
      <c r="F6779" s="1"/>
    </row>
    <row r="6780" spans="6:6" x14ac:dyDescent="0.35">
      <c r="F6780" s="1"/>
    </row>
    <row r="6781" spans="6:6" x14ac:dyDescent="0.35">
      <c r="F6781" s="1"/>
    </row>
    <row r="6782" spans="6:6" x14ac:dyDescent="0.35">
      <c r="F6782" s="1"/>
    </row>
    <row r="6783" spans="6:6" x14ac:dyDescent="0.35">
      <c r="F6783" s="1"/>
    </row>
    <row r="6784" spans="6:6" x14ac:dyDescent="0.35">
      <c r="F6784" s="1"/>
    </row>
    <row r="6785" spans="6:6" x14ac:dyDescent="0.35">
      <c r="F6785" s="1"/>
    </row>
    <row r="6786" spans="6:6" x14ac:dyDescent="0.35">
      <c r="F6786" s="1"/>
    </row>
    <row r="6787" spans="6:6" x14ac:dyDescent="0.35">
      <c r="F6787" s="1"/>
    </row>
    <row r="6788" spans="6:6" x14ac:dyDescent="0.35">
      <c r="F6788" s="1"/>
    </row>
    <row r="6789" spans="6:6" x14ac:dyDescent="0.35">
      <c r="F6789" s="1"/>
    </row>
    <row r="6790" spans="6:6" x14ac:dyDescent="0.35">
      <c r="F6790" s="1"/>
    </row>
    <row r="6791" spans="6:6" x14ac:dyDescent="0.35">
      <c r="F6791" s="1"/>
    </row>
    <row r="6792" spans="6:6" x14ac:dyDescent="0.35">
      <c r="F6792" s="1"/>
    </row>
    <row r="6793" spans="6:6" x14ac:dyDescent="0.35">
      <c r="F6793" s="1"/>
    </row>
    <row r="6794" spans="6:6" x14ac:dyDescent="0.35">
      <c r="F6794" s="1"/>
    </row>
    <row r="6795" spans="6:6" x14ac:dyDescent="0.35">
      <c r="F6795" s="1"/>
    </row>
    <row r="6796" spans="6:6" x14ac:dyDescent="0.35">
      <c r="F6796" s="1"/>
    </row>
    <row r="6797" spans="6:6" x14ac:dyDescent="0.35">
      <c r="F6797" s="1"/>
    </row>
    <row r="6798" spans="6:6" x14ac:dyDescent="0.35">
      <c r="F6798" s="1"/>
    </row>
    <row r="6799" spans="6:6" x14ac:dyDescent="0.35">
      <c r="F6799" s="1"/>
    </row>
    <row r="6800" spans="6:6" x14ac:dyDescent="0.35">
      <c r="F6800" s="1"/>
    </row>
    <row r="6801" spans="6:6" x14ac:dyDescent="0.35">
      <c r="F6801" s="1"/>
    </row>
    <row r="6802" spans="6:6" x14ac:dyDescent="0.35">
      <c r="F6802" s="1"/>
    </row>
    <row r="6803" spans="6:6" x14ac:dyDescent="0.35">
      <c r="F6803" s="1"/>
    </row>
    <row r="6804" spans="6:6" x14ac:dyDescent="0.35">
      <c r="F6804" s="1"/>
    </row>
    <row r="6805" spans="6:6" x14ac:dyDescent="0.35">
      <c r="F6805" s="1"/>
    </row>
    <row r="6806" spans="6:6" x14ac:dyDescent="0.35">
      <c r="F6806" s="1"/>
    </row>
    <row r="6807" spans="6:6" x14ac:dyDescent="0.35">
      <c r="F6807" s="1"/>
    </row>
    <row r="6808" spans="6:6" x14ac:dyDescent="0.35">
      <c r="F6808" s="1"/>
    </row>
    <row r="6809" spans="6:6" x14ac:dyDescent="0.35">
      <c r="F6809" s="1"/>
    </row>
    <row r="6810" spans="6:6" x14ac:dyDescent="0.35">
      <c r="F6810" s="1"/>
    </row>
    <row r="6811" spans="6:6" x14ac:dyDescent="0.35">
      <c r="F6811" s="1"/>
    </row>
    <row r="6812" spans="6:6" x14ac:dyDescent="0.35">
      <c r="F6812" s="1"/>
    </row>
    <row r="6813" spans="6:6" x14ac:dyDescent="0.35">
      <c r="F6813" s="1"/>
    </row>
    <row r="6814" spans="6:6" x14ac:dyDescent="0.35">
      <c r="F6814" s="1"/>
    </row>
    <row r="6815" spans="6:6" x14ac:dyDescent="0.35">
      <c r="F6815" s="1"/>
    </row>
    <row r="6816" spans="6:6" x14ac:dyDescent="0.35">
      <c r="F6816" s="1"/>
    </row>
    <row r="6817" spans="6:6" x14ac:dyDescent="0.35">
      <c r="F6817" s="1"/>
    </row>
    <row r="6818" spans="6:6" x14ac:dyDescent="0.35">
      <c r="F6818" s="1"/>
    </row>
    <row r="6819" spans="6:6" x14ac:dyDescent="0.35">
      <c r="F6819" s="1"/>
    </row>
    <row r="6820" spans="6:6" x14ac:dyDescent="0.35">
      <c r="F6820" s="1"/>
    </row>
    <row r="6821" spans="6:6" x14ac:dyDescent="0.35">
      <c r="F6821" s="1"/>
    </row>
    <row r="6822" spans="6:6" x14ac:dyDescent="0.35">
      <c r="F6822" s="1"/>
    </row>
    <row r="6823" spans="6:6" x14ac:dyDescent="0.35">
      <c r="F6823" s="1"/>
    </row>
    <row r="6824" spans="6:6" x14ac:dyDescent="0.35">
      <c r="F6824" s="1"/>
    </row>
    <row r="6825" spans="6:6" x14ac:dyDescent="0.35">
      <c r="F6825" s="1"/>
    </row>
    <row r="6826" spans="6:6" x14ac:dyDescent="0.35">
      <c r="F6826" s="1"/>
    </row>
    <row r="6827" spans="6:6" x14ac:dyDescent="0.35">
      <c r="F6827" s="1"/>
    </row>
    <row r="6828" spans="6:6" x14ac:dyDescent="0.35">
      <c r="F6828" s="1"/>
    </row>
    <row r="6829" spans="6:6" x14ac:dyDescent="0.35">
      <c r="F6829" s="1"/>
    </row>
    <row r="6830" spans="6:6" x14ac:dyDescent="0.35">
      <c r="F6830" s="1"/>
    </row>
    <row r="6831" spans="6:6" x14ac:dyDescent="0.35">
      <c r="F6831" s="1"/>
    </row>
    <row r="6832" spans="6:6" x14ac:dyDescent="0.35">
      <c r="F6832" s="1"/>
    </row>
    <row r="6833" spans="6:6" x14ac:dyDescent="0.35">
      <c r="F6833" s="1"/>
    </row>
    <row r="6834" spans="6:6" x14ac:dyDescent="0.35">
      <c r="F6834" s="1"/>
    </row>
    <row r="6835" spans="6:6" x14ac:dyDescent="0.35">
      <c r="F6835" s="1"/>
    </row>
    <row r="6836" spans="6:6" x14ac:dyDescent="0.35">
      <c r="F6836" s="1"/>
    </row>
    <row r="6837" spans="6:6" x14ac:dyDescent="0.35">
      <c r="F6837" s="1"/>
    </row>
    <row r="6838" spans="6:6" x14ac:dyDescent="0.35">
      <c r="F6838" s="1"/>
    </row>
    <row r="6839" spans="6:6" x14ac:dyDescent="0.35">
      <c r="F6839" s="1"/>
    </row>
    <row r="6840" spans="6:6" x14ac:dyDescent="0.35">
      <c r="F6840" s="1"/>
    </row>
    <row r="6841" spans="6:6" x14ac:dyDescent="0.35">
      <c r="F6841" s="1"/>
    </row>
    <row r="6842" spans="6:6" x14ac:dyDescent="0.35">
      <c r="F6842" s="1"/>
    </row>
    <row r="6843" spans="6:6" x14ac:dyDescent="0.35">
      <c r="F6843" s="1"/>
    </row>
    <row r="6844" spans="6:6" x14ac:dyDescent="0.35">
      <c r="F6844" s="1"/>
    </row>
    <row r="6845" spans="6:6" x14ac:dyDescent="0.35">
      <c r="F6845" s="1"/>
    </row>
    <row r="6846" spans="6:6" x14ac:dyDescent="0.35">
      <c r="F6846" s="1"/>
    </row>
    <row r="6847" spans="6:6" x14ac:dyDescent="0.35">
      <c r="F6847" s="1"/>
    </row>
    <row r="6848" spans="6:6" x14ac:dyDescent="0.35">
      <c r="F6848" s="1"/>
    </row>
    <row r="6849" spans="6:6" x14ac:dyDescent="0.35">
      <c r="F6849" s="1"/>
    </row>
    <row r="6850" spans="6:6" x14ac:dyDescent="0.35">
      <c r="F6850" s="1"/>
    </row>
    <row r="6851" spans="6:6" x14ac:dyDescent="0.35">
      <c r="F6851" s="1"/>
    </row>
    <row r="6852" spans="6:6" x14ac:dyDescent="0.35">
      <c r="F6852" s="1"/>
    </row>
    <row r="6853" spans="6:6" x14ac:dyDescent="0.35">
      <c r="F6853" s="1"/>
    </row>
    <row r="6854" spans="6:6" x14ac:dyDescent="0.35">
      <c r="F6854" s="1"/>
    </row>
    <row r="6855" spans="6:6" x14ac:dyDescent="0.35">
      <c r="F6855" s="1"/>
    </row>
    <row r="6856" spans="6:6" x14ac:dyDescent="0.35">
      <c r="F6856" s="1"/>
    </row>
    <row r="6857" spans="6:6" x14ac:dyDescent="0.35">
      <c r="F6857" s="1"/>
    </row>
    <row r="6858" spans="6:6" x14ac:dyDescent="0.35">
      <c r="F6858" s="1"/>
    </row>
    <row r="6859" spans="6:6" x14ac:dyDescent="0.35">
      <c r="F6859" s="1"/>
    </row>
    <row r="6860" spans="6:6" x14ac:dyDescent="0.35">
      <c r="F6860" s="1"/>
    </row>
    <row r="6861" spans="6:6" x14ac:dyDescent="0.35">
      <c r="F6861" s="1"/>
    </row>
    <row r="6862" spans="6:6" x14ac:dyDescent="0.35">
      <c r="F6862" s="1"/>
    </row>
    <row r="6863" spans="6:6" x14ac:dyDescent="0.35">
      <c r="F6863" s="1"/>
    </row>
    <row r="6864" spans="6:6" x14ac:dyDescent="0.35">
      <c r="F6864" s="1"/>
    </row>
    <row r="6865" spans="6:6" x14ac:dyDescent="0.35">
      <c r="F6865" s="1"/>
    </row>
    <row r="6866" spans="6:6" x14ac:dyDescent="0.35">
      <c r="F6866" s="1"/>
    </row>
    <row r="6867" spans="6:6" x14ac:dyDescent="0.35">
      <c r="F6867" s="1"/>
    </row>
    <row r="6868" spans="6:6" x14ac:dyDescent="0.35">
      <c r="F6868" s="1"/>
    </row>
    <row r="6869" spans="6:6" x14ac:dyDescent="0.35">
      <c r="F6869" s="1"/>
    </row>
    <row r="6870" spans="6:6" x14ac:dyDescent="0.35">
      <c r="F6870" s="1"/>
    </row>
    <row r="6871" spans="6:6" x14ac:dyDescent="0.35">
      <c r="F6871" s="1"/>
    </row>
    <row r="6872" spans="6:6" x14ac:dyDescent="0.35">
      <c r="F6872" s="1"/>
    </row>
    <row r="6873" spans="6:6" x14ac:dyDescent="0.35">
      <c r="F6873" s="1"/>
    </row>
    <row r="6874" spans="6:6" x14ac:dyDescent="0.35">
      <c r="F6874" s="1"/>
    </row>
    <row r="6875" spans="6:6" x14ac:dyDescent="0.35">
      <c r="F6875" s="1"/>
    </row>
    <row r="6876" spans="6:6" x14ac:dyDescent="0.35">
      <c r="F6876" s="1"/>
    </row>
    <row r="6877" spans="6:6" x14ac:dyDescent="0.35">
      <c r="F6877" s="1"/>
    </row>
    <row r="6878" spans="6:6" x14ac:dyDescent="0.35">
      <c r="F6878" s="1"/>
    </row>
    <row r="6879" spans="6:6" x14ac:dyDescent="0.35">
      <c r="F6879" s="1"/>
    </row>
    <row r="6880" spans="6:6" x14ac:dyDescent="0.35">
      <c r="F6880" s="1"/>
    </row>
    <row r="6881" spans="6:6" x14ac:dyDescent="0.35">
      <c r="F6881" s="1"/>
    </row>
    <row r="6882" spans="6:6" x14ac:dyDescent="0.35">
      <c r="F6882" s="1"/>
    </row>
    <row r="6883" spans="6:6" x14ac:dyDescent="0.35">
      <c r="F6883" s="1"/>
    </row>
    <row r="6884" spans="6:6" x14ac:dyDescent="0.35">
      <c r="F6884" s="1"/>
    </row>
    <row r="6885" spans="6:6" x14ac:dyDescent="0.35">
      <c r="F6885" s="1"/>
    </row>
    <row r="6886" spans="6:6" x14ac:dyDescent="0.35">
      <c r="F6886" s="1"/>
    </row>
    <row r="6887" spans="6:6" x14ac:dyDescent="0.35">
      <c r="F6887" s="1"/>
    </row>
    <row r="6888" spans="6:6" x14ac:dyDescent="0.35">
      <c r="F6888" s="1"/>
    </row>
    <row r="6889" spans="6:6" x14ac:dyDescent="0.35">
      <c r="F6889" s="1"/>
    </row>
    <row r="6890" spans="6:6" x14ac:dyDescent="0.35">
      <c r="F6890" s="1"/>
    </row>
    <row r="6891" spans="6:6" x14ac:dyDescent="0.35">
      <c r="F6891" s="1"/>
    </row>
    <row r="6892" spans="6:6" x14ac:dyDescent="0.35">
      <c r="F6892" s="1"/>
    </row>
    <row r="6893" spans="6:6" x14ac:dyDescent="0.35">
      <c r="F6893" s="1"/>
    </row>
    <row r="6894" spans="6:6" x14ac:dyDescent="0.35">
      <c r="F6894" s="1"/>
    </row>
    <row r="6895" spans="6:6" x14ac:dyDescent="0.35">
      <c r="F6895" s="1"/>
    </row>
    <row r="6896" spans="6:6" x14ac:dyDescent="0.35">
      <c r="F6896" s="1"/>
    </row>
    <row r="6897" spans="6:6" x14ac:dyDescent="0.35">
      <c r="F6897" s="1"/>
    </row>
    <row r="6898" spans="6:6" x14ac:dyDescent="0.35">
      <c r="F6898" s="1"/>
    </row>
    <row r="6899" spans="6:6" x14ac:dyDescent="0.35">
      <c r="F6899" s="1"/>
    </row>
    <row r="6900" spans="6:6" x14ac:dyDescent="0.35">
      <c r="F6900" s="1"/>
    </row>
    <row r="6901" spans="6:6" x14ac:dyDescent="0.35">
      <c r="F6901" s="1"/>
    </row>
    <row r="6902" spans="6:6" x14ac:dyDescent="0.35">
      <c r="F6902" s="1"/>
    </row>
    <row r="6903" spans="6:6" x14ac:dyDescent="0.35">
      <c r="F6903" s="1"/>
    </row>
    <row r="6904" spans="6:6" x14ac:dyDescent="0.35">
      <c r="F6904" s="1"/>
    </row>
    <row r="6905" spans="6:6" x14ac:dyDescent="0.35">
      <c r="F6905" s="1"/>
    </row>
    <row r="6906" spans="6:6" x14ac:dyDescent="0.35">
      <c r="F6906" s="1"/>
    </row>
    <row r="6907" spans="6:6" x14ac:dyDescent="0.35">
      <c r="F6907" s="1"/>
    </row>
    <row r="6908" spans="6:6" x14ac:dyDescent="0.35">
      <c r="F6908" s="1"/>
    </row>
    <row r="6909" spans="6:6" x14ac:dyDescent="0.35">
      <c r="F6909" s="1"/>
    </row>
    <row r="6910" spans="6:6" x14ac:dyDescent="0.35">
      <c r="F6910" s="1"/>
    </row>
    <row r="6911" spans="6:6" x14ac:dyDescent="0.35">
      <c r="F6911" s="1"/>
    </row>
    <row r="6912" spans="6:6" x14ac:dyDescent="0.35">
      <c r="F6912" s="1"/>
    </row>
    <row r="6913" spans="6:6" x14ac:dyDescent="0.35">
      <c r="F6913" s="1"/>
    </row>
    <row r="6914" spans="6:6" x14ac:dyDescent="0.35">
      <c r="F6914" s="1"/>
    </row>
    <row r="6915" spans="6:6" x14ac:dyDescent="0.35">
      <c r="F6915" s="1"/>
    </row>
    <row r="6916" spans="6:6" x14ac:dyDescent="0.35">
      <c r="F6916" s="1"/>
    </row>
    <row r="6917" spans="6:6" x14ac:dyDescent="0.35">
      <c r="F6917" s="1"/>
    </row>
    <row r="6918" spans="6:6" x14ac:dyDescent="0.35">
      <c r="F6918" s="1"/>
    </row>
    <row r="6919" spans="6:6" x14ac:dyDescent="0.35">
      <c r="F6919" s="1"/>
    </row>
    <row r="6920" spans="6:6" x14ac:dyDescent="0.35">
      <c r="F6920" s="1"/>
    </row>
    <row r="6921" spans="6:6" x14ac:dyDescent="0.35">
      <c r="F6921" s="1"/>
    </row>
    <row r="6922" spans="6:6" x14ac:dyDescent="0.35">
      <c r="F6922" s="1"/>
    </row>
    <row r="6923" spans="6:6" x14ac:dyDescent="0.35">
      <c r="F6923" s="1"/>
    </row>
    <row r="6924" spans="6:6" x14ac:dyDescent="0.35">
      <c r="F6924" s="1"/>
    </row>
    <row r="6925" spans="6:6" x14ac:dyDescent="0.35">
      <c r="F6925" s="1"/>
    </row>
    <row r="6926" spans="6:6" x14ac:dyDescent="0.35">
      <c r="F6926" s="1"/>
    </row>
    <row r="6927" spans="6:6" x14ac:dyDescent="0.35">
      <c r="F6927" s="1"/>
    </row>
    <row r="6928" spans="6:6" x14ac:dyDescent="0.35">
      <c r="F6928" s="1"/>
    </row>
    <row r="6929" spans="6:6" x14ac:dyDescent="0.35">
      <c r="F6929" s="1"/>
    </row>
    <row r="6930" spans="6:6" x14ac:dyDescent="0.35">
      <c r="F6930" s="1"/>
    </row>
    <row r="6931" spans="6:6" x14ac:dyDescent="0.35">
      <c r="F6931" s="1"/>
    </row>
    <row r="6932" spans="6:6" x14ac:dyDescent="0.35">
      <c r="F6932" s="1"/>
    </row>
    <row r="6933" spans="6:6" x14ac:dyDescent="0.35">
      <c r="F6933" s="1"/>
    </row>
    <row r="6934" spans="6:6" x14ac:dyDescent="0.35">
      <c r="F6934" s="1"/>
    </row>
    <row r="6935" spans="6:6" x14ac:dyDescent="0.35">
      <c r="F6935" s="1"/>
    </row>
    <row r="6936" spans="6:6" x14ac:dyDescent="0.35">
      <c r="F6936" s="1"/>
    </row>
    <row r="6937" spans="6:6" x14ac:dyDescent="0.35">
      <c r="F6937" s="1"/>
    </row>
    <row r="6938" spans="6:6" x14ac:dyDescent="0.35">
      <c r="F6938" s="1"/>
    </row>
    <row r="6939" spans="6:6" x14ac:dyDescent="0.35">
      <c r="F6939" s="1"/>
    </row>
    <row r="6940" spans="6:6" x14ac:dyDescent="0.35">
      <c r="F6940" s="1"/>
    </row>
    <row r="6941" spans="6:6" x14ac:dyDescent="0.35">
      <c r="F6941" s="1"/>
    </row>
    <row r="6942" spans="6:6" x14ac:dyDescent="0.35">
      <c r="F6942" s="1"/>
    </row>
    <row r="6943" spans="6:6" x14ac:dyDescent="0.35">
      <c r="F6943" s="1"/>
    </row>
    <row r="6944" spans="6:6" x14ac:dyDescent="0.35">
      <c r="F6944" s="1"/>
    </row>
    <row r="6945" spans="6:6" x14ac:dyDescent="0.35">
      <c r="F6945" s="1"/>
    </row>
    <row r="6946" spans="6:6" x14ac:dyDescent="0.35">
      <c r="F6946" s="1"/>
    </row>
    <row r="6947" spans="6:6" x14ac:dyDescent="0.35">
      <c r="F6947" s="1"/>
    </row>
    <row r="6948" spans="6:6" x14ac:dyDescent="0.35">
      <c r="F6948" s="1"/>
    </row>
    <row r="6949" spans="6:6" x14ac:dyDescent="0.35">
      <c r="F6949" s="1"/>
    </row>
    <row r="6950" spans="6:6" x14ac:dyDescent="0.35">
      <c r="F6950" s="1"/>
    </row>
    <row r="6951" spans="6:6" x14ac:dyDescent="0.35">
      <c r="F6951" s="1"/>
    </row>
    <row r="6952" spans="6:6" x14ac:dyDescent="0.35">
      <c r="F6952" s="1"/>
    </row>
    <row r="6953" spans="6:6" x14ac:dyDescent="0.35">
      <c r="F6953" s="1"/>
    </row>
    <row r="6954" spans="6:6" x14ac:dyDescent="0.35">
      <c r="F6954" s="1"/>
    </row>
    <row r="6955" spans="6:6" x14ac:dyDescent="0.35">
      <c r="F6955" s="1"/>
    </row>
    <row r="6956" spans="6:6" x14ac:dyDescent="0.35">
      <c r="F6956" s="1"/>
    </row>
    <row r="6957" spans="6:6" x14ac:dyDescent="0.35">
      <c r="F6957" s="1"/>
    </row>
    <row r="6958" spans="6:6" x14ac:dyDescent="0.35">
      <c r="F6958" s="1"/>
    </row>
    <row r="6959" spans="6:6" x14ac:dyDescent="0.35">
      <c r="F6959" s="1"/>
    </row>
    <row r="6960" spans="6:6" x14ac:dyDescent="0.35">
      <c r="F6960" s="1"/>
    </row>
    <row r="6961" spans="6:6" x14ac:dyDescent="0.35">
      <c r="F6961" s="1"/>
    </row>
    <row r="6962" spans="6:6" x14ac:dyDescent="0.35">
      <c r="F6962" s="1"/>
    </row>
    <row r="6963" spans="6:6" x14ac:dyDescent="0.35">
      <c r="F6963" s="1"/>
    </row>
    <row r="6964" spans="6:6" x14ac:dyDescent="0.35">
      <c r="F6964" s="1"/>
    </row>
    <row r="6965" spans="6:6" x14ac:dyDescent="0.35">
      <c r="F6965" s="1"/>
    </row>
    <row r="6966" spans="6:6" x14ac:dyDescent="0.35">
      <c r="F6966" s="1"/>
    </row>
    <row r="6967" spans="6:6" x14ac:dyDescent="0.35">
      <c r="F6967" s="1"/>
    </row>
    <row r="6968" spans="6:6" x14ac:dyDescent="0.35">
      <c r="F6968" s="1"/>
    </row>
    <row r="6969" spans="6:6" x14ac:dyDescent="0.35">
      <c r="F6969" s="1"/>
    </row>
    <row r="6970" spans="6:6" x14ac:dyDescent="0.35">
      <c r="F6970" s="1"/>
    </row>
    <row r="6971" spans="6:6" x14ac:dyDescent="0.35">
      <c r="F6971" s="1"/>
    </row>
    <row r="6972" spans="6:6" x14ac:dyDescent="0.35">
      <c r="F6972" s="1"/>
    </row>
    <row r="6973" spans="6:6" x14ac:dyDescent="0.35">
      <c r="F6973" s="1"/>
    </row>
    <row r="6974" spans="6:6" x14ac:dyDescent="0.35">
      <c r="F6974" s="1"/>
    </row>
    <row r="6975" spans="6:6" x14ac:dyDescent="0.35">
      <c r="F6975" s="1"/>
    </row>
    <row r="6976" spans="6:6" x14ac:dyDescent="0.35">
      <c r="F6976" s="1"/>
    </row>
    <row r="6977" spans="6:6" x14ac:dyDescent="0.35">
      <c r="F6977" s="1"/>
    </row>
    <row r="6978" spans="6:6" x14ac:dyDescent="0.35">
      <c r="F6978" s="1"/>
    </row>
    <row r="6979" spans="6:6" x14ac:dyDescent="0.35">
      <c r="F6979" s="1"/>
    </row>
    <row r="6980" spans="6:6" x14ac:dyDescent="0.35">
      <c r="F6980" s="1"/>
    </row>
    <row r="6981" spans="6:6" x14ac:dyDescent="0.35">
      <c r="F6981" s="1"/>
    </row>
    <row r="6982" spans="6:6" x14ac:dyDescent="0.35">
      <c r="F6982" s="1"/>
    </row>
    <row r="6983" spans="6:6" x14ac:dyDescent="0.35">
      <c r="F6983" s="1"/>
    </row>
    <row r="6984" spans="6:6" x14ac:dyDescent="0.35">
      <c r="F6984" s="1"/>
    </row>
    <row r="6985" spans="6:6" x14ac:dyDescent="0.35">
      <c r="F6985" s="1"/>
    </row>
    <row r="6986" spans="6:6" x14ac:dyDescent="0.35">
      <c r="F6986" s="1"/>
    </row>
    <row r="6987" spans="6:6" x14ac:dyDescent="0.35">
      <c r="F6987" s="1"/>
    </row>
    <row r="6988" spans="6:6" x14ac:dyDescent="0.35">
      <c r="F6988" s="1"/>
    </row>
    <row r="6989" spans="6:6" x14ac:dyDescent="0.35">
      <c r="F6989" s="1"/>
    </row>
    <row r="6990" spans="6:6" x14ac:dyDescent="0.35">
      <c r="F6990" s="1"/>
    </row>
    <row r="6991" spans="6:6" x14ac:dyDescent="0.35">
      <c r="F6991" s="1"/>
    </row>
    <row r="6992" spans="6:6" x14ac:dyDescent="0.35">
      <c r="F6992" s="1"/>
    </row>
    <row r="6993" spans="6:6" x14ac:dyDescent="0.35">
      <c r="F6993" s="1"/>
    </row>
    <row r="6994" spans="6:6" x14ac:dyDescent="0.35">
      <c r="F6994" s="1"/>
    </row>
    <row r="6995" spans="6:6" x14ac:dyDescent="0.35">
      <c r="F6995" s="1"/>
    </row>
    <row r="6996" spans="6:6" x14ac:dyDescent="0.35">
      <c r="F6996" s="1"/>
    </row>
    <row r="6997" spans="6:6" x14ac:dyDescent="0.35">
      <c r="F6997" s="1"/>
    </row>
    <row r="6998" spans="6:6" x14ac:dyDescent="0.35">
      <c r="F6998" s="1"/>
    </row>
    <row r="6999" spans="6:6" x14ac:dyDescent="0.35">
      <c r="F6999" s="1"/>
    </row>
    <row r="7000" spans="6:6" x14ac:dyDescent="0.35">
      <c r="F7000" s="1"/>
    </row>
    <row r="7001" spans="6:6" x14ac:dyDescent="0.35">
      <c r="F7001" s="1"/>
    </row>
    <row r="7002" spans="6:6" x14ac:dyDescent="0.35">
      <c r="F7002" s="1"/>
    </row>
    <row r="7003" spans="6:6" x14ac:dyDescent="0.35">
      <c r="F7003" s="1"/>
    </row>
    <row r="7004" spans="6:6" x14ac:dyDescent="0.35">
      <c r="F7004" s="1"/>
    </row>
    <row r="7005" spans="6:6" x14ac:dyDescent="0.35">
      <c r="F7005" s="1"/>
    </row>
    <row r="7006" spans="6:6" x14ac:dyDescent="0.35">
      <c r="F7006" s="1"/>
    </row>
    <row r="7007" spans="6:6" x14ac:dyDescent="0.35">
      <c r="F7007" s="1"/>
    </row>
    <row r="7008" spans="6:6" x14ac:dyDescent="0.35">
      <c r="F7008" s="1"/>
    </row>
    <row r="7009" spans="6:6" x14ac:dyDescent="0.35">
      <c r="F7009" s="1"/>
    </row>
    <row r="7010" spans="6:6" x14ac:dyDescent="0.35">
      <c r="F7010" s="1"/>
    </row>
    <row r="7011" spans="6:6" x14ac:dyDescent="0.35">
      <c r="F7011" s="1"/>
    </row>
    <row r="7012" spans="6:6" x14ac:dyDescent="0.35">
      <c r="F7012" s="1"/>
    </row>
    <row r="7013" spans="6:6" x14ac:dyDescent="0.35">
      <c r="F7013" s="1"/>
    </row>
    <row r="7014" spans="6:6" x14ac:dyDescent="0.35">
      <c r="F7014" s="1"/>
    </row>
    <row r="7015" spans="6:6" x14ac:dyDescent="0.35">
      <c r="F7015" s="1"/>
    </row>
    <row r="7016" spans="6:6" x14ac:dyDescent="0.35">
      <c r="F7016" s="1"/>
    </row>
    <row r="7017" spans="6:6" x14ac:dyDescent="0.35">
      <c r="F7017" s="1"/>
    </row>
    <row r="7018" spans="6:6" x14ac:dyDescent="0.35">
      <c r="F7018" s="1"/>
    </row>
    <row r="7019" spans="6:6" x14ac:dyDescent="0.35">
      <c r="F7019" s="1"/>
    </row>
    <row r="7020" spans="6:6" x14ac:dyDescent="0.35">
      <c r="F7020" s="1"/>
    </row>
    <row r="7021" spans="6:6" x14ac:dyDescent="0.35">
      <c r="F7021" s="1"/>
    </row>
    <row r="7022" spans="6:6" x14ac:dyDescent="0.35">
      <c r="F7022" s="1"/>
    </row>
    <row r="7023" spans="6:6" x14ac:dyDescent="0.35">
      <c r="F7023" s="1"/>
    </row>
    <row r="7024" spans="6:6" x14ac:dyDescent="0.35">
      <c r="F7024" s="1"/>
    </row>
    <row r="7025" spans="6:6" x14ac:dyDescent="0.35">
      <c r="F7025" s="1"/>
    </row>
    <row r="7026" spans="6:6" x14ac:dyDescent="0.35">
      <c r="F7026" s="1"/>
    </row>
    <row r="7027" spans="6:6" x14ac:dyDescent="0.35">
      <c r="F7027" s="1"/>
    </row>
    <row r="7028" spans="6:6" x14ac:dyDescent="0.35">
      <c r="F7028" s="1"/>
    </row>
    <row r="7029" spans="6:6" x14ac:dyDescent="0.35">
      <c r="F7029" s="1"/>
    </row>
    <row r="7030" spans="6:6" x14ac:dyDescent="0.35">
      <c r="F7030" s="1"/>
    </row>
    <row r="7031" spans="6:6" x14ac:dyDescent="0.35">
      <c r="F7031" s="1"/>
    </row>
    <row r="7032" spans="6:6" x14ac:dyDescent="0.35">
      <c r="F7032" s="1"/>
    </row>
    <row r="7033" spans="6:6" x14ac:dyDescent="0.35">
      <c r="F7033" s="1"/>
    </row>
    <row r="7034" spans="6:6" x14ac:dyDescent="0.35">
      <c r="F7034" s="1"/>
    </row>
    <row r="7035" spans="6:6" x14ac:dyDescent="0.35">
      <c r="F7035" s="1"/>
    </row>
    <row r="7036" spans="6:6" x14ac:dyDescent="0.35">
      <c r="F7036" s="1"/>
    </row>
    <row r="7037" spans="6:6" x14ac:dyDescent="0.35">
      <c r="F7037" s="1"/>
    </row>
    <row r="7038" spans="6:6" x14ac:dyDescent="0.35">
      <c r="F7038" s="1"/>
    </row>
    <row r="7039" spans="6:6" x14ac:dyDescent="0.35">
      <c r="F7039" s="1"/>
    </row>
    <row r="7040" spans="6:6" x14ac:dyDescent="0.35">
      <c r="F7040" s="1"/>
    </row>
    <row r="7041" spans="6:6" x14ac:dyDescent="0.35">
      <c r="F7041" s="1"/>
    </row>
    <row r="7042" spans="6:6" x14ac:dyDescent="0.35">
      <c r="F7042" s="1"/>
    </row>
    <row r="7043" spans="6:6" x14ac:dyDescent="0.35">
      <c r="F7043" s="1"/>
    </row>
    <row r="7044" spans="6:6" x14ac:dyDescent="0.35">
      <c r="F7044" s="1"/>
    </row>
    <row r="7045" spans="6:6" x14ac:dyDescent="0.35">
      <c r="F7045" s="1"/>
    </row>
    <row r="7046" spans="6:6" x14ac:dyDescent="0.35">
      <c r="F7046" s="1"/>
    </row>
    <row r="7047" spans="6:6" x14ac:dyDescent="0.35">
      <c r="F7047" s="1"/>
    </row>
    <row r="7048" spans="6:6" x14ac:dyDescent="0.35">
      <c r="F7048" s="1"/>
    </row>
    <row r="7049" spans="6:6" x14ac:dyDescent="0.35">
      <c r="F7049" s="1"/>
    </row>
    <row r="7050" spans="6:6" x14ac:dyDescent="0.35">
      <c r="F7050" s="1"/>
    </row>
    <row r="7051" spans="6:6" x14ac:dyDescent="0.35">
      <c r="F7051" s="1"/>
    </row>
    <row r="7052" spans="6:6" x14ac:dyDescent="0.35">
      <c r="F7052" s="1"/>
    </row>
    <row r="7053" spans="6:6" x14ac:dyDescent="0.35">
      <c r="F7053" s="1"/>
    </row>
    <row r="7054" spans="6:6" x14ac:dyDescent="0.35">
      <c r="F7054" s="1"/>
    </row>
    <row r="7055" spans="6:6" x14ac:dyDescent="0.35">
      <c r="F7055" s="1"/>
    </row>
    <row r="7056" spans="6:6" x14ac:dyDescent="0.35">
      <c r="F7056" s="1"/>
    </row>
    <row r="7057" spans="6:6" x14ac:dyDescent="0.35">
      <c r="F7057" s="1"/>
    </row>
    <row r="7058" spans="6:6" x14ac:dyDescent="0.35">
      <c r="F7058" s="1"/>
    </row>
    <row r="7059" spans="6:6" x14ac:dyDescent="0.35">
      <c r="F7059" s="1"/>
    </row>
    <row r="7060" spans="6:6" x14ac:dyDescent="0.35">
      <c r="F7060" s="1"/>
    </row>
    <row r="7061" spans="6:6" x14ac:dyDescent="0.35">
      <c r="F7061" s="1"/>
    </row>
    <row r="7062" spans="6:6" x14ac:dyDescent="0.35">
      <c r="F7062" s="1"/>
    </row>
    <row r="7063" spans="6:6" x14ac:dyDescent="0.35">
      <c r="F7063" s="1"/>
    </row>
    <row r="7064" spans="6:6" x14ac:dyDescent="0.35">
      <c r="F7064" s="1"/>
    </row>
    <row r="7065" spans="6:6" x14ac:dyDescent="0.35">
      <c r="F7065" s="1"/>
    </row>
    <row r="7066" spans="6:6" x14ac:dyDescent="0.35">
      <c r="F7066" s="1"/>
    </row>
    <row r="7067" spans="6:6" x14ac:dyDescent="0.35">
      <c r="F7067" s="1"/>
    </row>
    <row r="7068" spans="6:6" x14ac:dyDescent="0.35">
      <c r="F7068" s="1"/>
    </row>
    <row r="7069" spans="6:6" x14ac:dyDescent="0.35">
      <c r="F7069" s="1"/>
    </row>
    <row r="7070" spans="6:6" x14ac:dyDescent="0.35">
      <c r="F7070" s="1"/>
    </row>
    <row r="7071" spans="6:6" x14ac:dyDescent="0.35">
      <c r="F7071" s="1"/>
    </row>
    <row r="7072" spans="6:6" x14ac:dyDescent="0.35">
      <c r="F7072" s="1"/>
    </row>
    <row r="7073" spans="6:6" x14ac:dyDescent="0.35">
      <c r="F7073" s="1"/>
    </row>
    <row r="7074" spans="6:6" x14ac:dyDescent="0.35">
      <c r="F7074" s="1"/>
    </row>
    <row r="7075" spans="6:6" x14ac:dyDescent="0.35">
      <c r="F7075" s="1"/>
    </row>
    <row r="7076" spans="6:6" x14ac:dyDescent="0.35">
      <c r="F7076" s="1"/>
    </row>
    <row r="7077" spans="6:6" x14ac:dyDescent="0.35">
      <c r="F7077" s="1"/>
    </row>
    <row r="7078" spans="6:6" x14ac:dyDescent="0.35">
      <c r="F7078" s="1"/>
    </row>
    <row r="7079" spans="6:6" x14ac:dyDescent="0.35">
      <c r="F7079" s="1"/>
    </row>
    <row r="7080" spans="6:6" x14ac:dyDescent="0.35">
      <c r="F7080" s="1"/>
    </row>
    <row r="7081" spans="6:6" x14ac:dyDescent="0.35">
      <c r="F7081" s="1"/>
    </row>
    <row r="7082" spans="6:6" x14ac:dyDescent="0.35">
      <c r="F7082" s="1"/>
    </row>
    <row r="7083" spans="6:6" x14ac:dyDescent="0.35">
      <c r="F7083" s="1"/>
    </row>
    <row r="7084" spans="6:6" x14ac:dyDescent="0.35">
      <c r="F7084" s="1"/>
    </row>
    <row r="7085" spans="6:6" x14ac:dyDescent="0.35">
      <c r="F7085" s="1"/>
    </row>
    <row r="7086" spans="6:6" x14ac:dyDescent="0.35">
      <c r="F7086" s="1"/>
    </row>
    <row r="7087" spans="6:6" x14ac:dyDescent="0.35">
      <c r="F7087" s="1"/>
    </row>
    <row r="7088" spans="6:6" x14ac:dyDescent="0.35">
      <c r="F7088" s="1"/>
    </row>
    <row r="7089" spans="6:6" x14ac:dyDescent="0.35">
      <c r="F7089" s="1"/>
    </row>
    <row r="7090" spans="6:6" x14ac:dyDescent="0.35">
      <c r="F7090" s="1"/>
    </row>
    <row r="7091" spans="6:6" x14ac:dyDescent="0.35">
      <c r="F7091" s="1"/>
    </row>
    <row r="7092" spans="6:6" x14ac:dyDescent="0.35">
      <c r="F7092" s="1"/>
    </row>
    <row r="7093" spans="6:6" x14ac:dyDescent="0.35">
      <c r="F7093" s="1"/>
    </row>
    <row r="7094" spans="6:6" x14ac:dyDescent="0.35">
      <c r="F7094" s="1"/>
    </row>
    <row r="7095" spans="6:6" x14ac:dyDescent="0.35">
      <c r="F7095" s="1"/>
    </row>
    <row r="7096" spans="6:6" x14ac:dyDescent="0.35">
      <c r="F7096" s="1"/>
    </row>
    <row r="7097" spans="6:6" x14ac:dyDescent="0.35">
      <c r="F7097" s="1"/>
    </row>
    <row r="7098" spans="6:6" x14ac:dyDescent="0.35">
      <c r="F7098" s="1"/>
    </row>
    <row r="7099" spans="6:6" x14ac:dyDescent="0.35">
      <c r="F7099" s="1"/>
    </row>
    <row r="7100" spans="6:6" x14ac:dyDescent="0.35">
      <c r="F7100" s="1"/>
    </row>
    <row r="7101" spans="6:6" x14ac:dyDescent="0.35">
      <c r="F7101" s="1"/>
    </row>
    <row r="7102" spans="6:6" x14ac:dyDescent="0.35">
      <c r="F7102" s="1"/>
    </row>
    <row r="7103" spans="6:6" x14ac:dyDescent="0.35">
      <c r="F7103" s="1"/>
    </row>
    <row r="7104" spans="6:6" x14ac:dyDescent="0.35">
      <c r="F7104" s="1"/>
    </row>
    <row r="7105" spans="6:6" x14ac:dyDescent="0.35">
      <c r="F7105" s="1"/>
    </row>
    <row r="7106" spans="6:6" x14ac:dyDescent="0.35">
      <c r="F7106" s="1"/>
    </row>
    <row r="7107" spans="6:6" x14ac:dyDescent="0.35">
      <c r="F7107" s="1"/>
    </row>
    <row r="7108" spans="6:6" x14ac:dyDescent="0.35">
      <c r="F7108" s="1"/>
    </row>
    <row r="7109" spans="6:6" x14ac:dyDescent="0.35">
      <c r="F7109" s="1"/>
    </row>
    <row r="7110" spans="6:6" x14ac:dyDescent="0.35">
      <c r="F7110" s="1"/>
    </row>
    <row r="7111" spans="6:6" x14ac:dyDescent="0.35">
      <c r="F7111" s="1"/>
    </row>
    <row r="7112" spans="6:6" x14ac:dyDescent="0.35">
      <c r="F7112" s="1"/>
    </row>
    <row r="7113" spans="6:6" x14ac:dyDescent="0.35">
      <c r="F7113" s="1"/>
    </row>
    <row r="7114" spans="6:6" x14ac:dyDescent="0.35">
      <c r="F7114" s="1"/>
    </row>
    <row r="7115" spans="6:6" x14ac:dyDescent="0.35">
      <c r="F7115" s="1"/>
    </row>
    <row r="7116" spans="6:6" x14ac:dyDescent="0.35">
      <c r="F7116" s="1"/>
    </row>
    <row r="7117" spans="6:6" x14ac:dyDescent="0.35">
      <c r="F7117" s="1"/>
    </row>
    <row r="7118" spans="6:6" x14ac:dyDescent="0.35">
      <c r="F7118" s="1"/>
    </row>
    <row r="7119" spans="6:6" x14ac:dyDescent="0.35">
      <c r="F7119" s="1"/>
    </row>
    <row r="7120" spans="6:6" x14ac:dyDescent="0.35">
      <c r="F7120" s="1"/>
    </row>
    <row r="7121" spans="6:6" x14ac:dyDescent="0.35">
      <c r="F7121" s="1"/>
    </row>
    <row r="7122" spans="6:6" x14ac:dyDescent="0.35">
      <c r="F7122" s="1"/>
    </row>
    <row r="7123" spans="6:6" x14ac:dyDescent="0.35">
      <c r="F7123" s="1"/>
    </row>
    <row r="7124" spans="6:6" x14ac:dyDescent="0.35">
      <c r="F7124" s="1"/>
    </row>
    <row r="7125" spans="6:6" x14ac:dyDescent="0.35">
      <c r="F7125" s="1"/>
    </row>
    <row r="7126" spans="6:6" x14ac:dyDescent="0.35">
      <c r="F7126" s="1"/>
    </row>
    <row r="7127" spans="6:6" x14ac:dyDescent="0.35">
      <c r="F7127" s="1"/>
    </row>
    <row r="7128" spans="6:6" x14ac:dyDescent="0.35">
      <c r="F7128" s="1"/>
    </row>
    <row r="7129" spans="6:6" x14ac:dyDescent="0.35">
      <c r="F7129" s="1"/>
    </row>
    <row r="7130" spans="6:6" x14ac:dyDescent="0.35">
      <c r="F7130" s="1"/>
    </row>
    <row r="7131" spans="6:6" x14ac:dyDescent="0.35">
      <c r="F7131" s="1"/>
    </row>
    <row r="7132" spans="6:6" x14ac:dyDescent="0.35">
      <c r="F7132" s="1"/>
    </row>
    <row r="7133" spans="6:6" x14ac:dyDescent="0.35">
      <c r="F7133" s="1"/>
    </row>
    <row r="7134" spans="6:6" x14ac:dyDescent="0.35">
      <c r="F7134" s="1"/>
    </row>
    <row r="7135" spans="6:6" x14ac:dyDescent="0.35">
      <c r="F7135" s="1"/>
    </row>
    <row r="7136" spans="6:6" x14ac:dyDescent="0.35">
      <c r="F7136" s="1"/>
    </row>
    <row r="7137" spans="6:6" x14ac:dyDescent="0.35">
      <c r="F7137" s="1"/>
    </row>
    <row r="7138" spans="6:6" x14ac:dyDescent="0.35">
      <c r="F7138" s="1"/>
    </row>
    <row r="7139" spans="6:6" x14ac:dyDescent="0.35">
      <c r="F7139" s="1"/>
    </row>
    <row r="7140" spans="6:6" x14ac:dyDescent="0.35">
      <c r="F7140" s="1"/>
    </row>
    <row r="7141" spans="6:6" x14ac:dyDescent="0.35">
      <c r="F7141" s="1"/>
    </row>
    <row r="7142" spans="6:6" x14ac:dyDescent="0.35">
      <c r="F7142" s="1"/>
    </row>
    <row r="7143" spans="6:6" x14ac:dyDescent="0.35">
      <c r="F7143" s="1"/>
    </row>
    <row r="7144" spans="6:6" x14ac:dyDescent="0.35">
      <c r="F7144" s="1"/>
    </row>
    <row r="7145" spans="6:6" x14ac:dyDescent="0.35">
      <c r="F7145" s="1"/>
    </row>
    <row r="7146" spans="6:6" x14ac:dyDescent="0.35">
      <c r="F7146" s="1"/>
    </row>
    <row r="7147" spans="6:6" x14ac:dyDescent="0.35">
      <c r="F7147" s="1"/>
    </row>
    <row r="7148" spans="6:6" x14ac:dyDescent="0.35">
      <c r="F7148" s="1"/>
    </row>
    <row r="7149" spans="6:6" x14ac:dyDescent="0.35">
      <c r="F7149" s="1"/>
    </row>
    <row r="7150" spans="6:6" x14ac:dyDescent="0.35">
      <c r="F7150" s="1"/>
    </row>
    <row r="7151" spans="6:6" x14ac:dyDescent="0.35">
      <c r="F7151" s="1"/>
    </row>
    <row r="7152" spans="6:6" x14ac:dyDescent="0.35">
      <c r="F7152" s="1"/>
    </row>
    <row r="7153" spans="6:6" x14ac:dyDescent="0.35">
      <c r="F7153" s="1"/>
    </row>
    <row r="7154" spans="6:6" x14ac:dyDescent="0.35">
      <c r="F7154" s="1"/>
    </row>
    <row r="7155" spans="6:6" x14ac:dyDescent="0.35">
      <c r="F7155" s="1"/>
    </row>
    <row r="7156" spans="6:6" x14ac:dyDescent="0.35">
      <c r="F7156" s="1"/>
    </row>
    <row r="7157" spans="6:6" x14ac:dyDescent="0.35">
      <c r="F7157" s="1"/>
    </row>
    <row r="7158" spans="6:6" x14ac:dyDescent="0.35">
      <c r="F7158" s="1"/>
    </row>
    <row r="7159" spans="6:6" x14ac:dyDescent="0.35">
      <c r="F7159" s="1"/>
    </row>
    <row r="7160" spans="6:6" x14ac:dyDescent="0.35">
      <c r="F7160" s="1"/>
    </row>
    <row r="7161" spans="6:6" x14ac:dyDescent="0.35">
      <c r="F7161" s="1"/>
    </row>
    <row r="7162" spans="6:6" x14ac:dyDescent="0.35">
      <c r="F7162" s="1"/>
    </row>
    <row r="7163" spans="6:6" x14ac:dyDescent="0.35">
      <c r="F7163" s="1"/>
    </row>
    <row r="7164" spans="6:6" x14ac:dyDescent="0.35">
      <c r="F7164" s="1"/>
    </row>
    <row r="7165" spans="6:6" x14ac:dyDescent="0.35">
      <c r="F7165" s="1"/>
    </row>
    <row r="7166" spans="6:6" x14ac:dyDescent="0.35">
      <c r="F7166" s="1"/>
    </row>
    <row r="7167" spans="6:6" x14ac:dyDescent="0.35">
      <c r="F7167" s="1"/>
    </row>
    <row r="7168" spans="6:6" x14ac:dyDescent="0.35">
      <c r="F7168" s="1"/>
    </row>
    <row r="7169" spans="6:6" x14ac:dyDescent="0.35">
      <c r="F7169" s="1"/>
    </row>
    <row r="7170" spans="6:6" x14ac:dyDescent="0.35">
      <c r="F7170" s="1"/>
    </row>
    <row r="7171" spans="6:6" x14ac:dyDescent="0.35">
      <c r="F7171" s="1"/>
    </row>
    <row r="7172" spans="6:6" x14ac:dyDescent="0.35">
      <c r="F7172" s="1"/>
    </row>
    <row r="7173" spans="6:6" x14ac:dyDescent="0.35">
      <c r="F7173" s="1"/>
    </row>
    <row r="7174" spans="6:6" x14ac:dyDescent="0.35">
      <c r="F7174" s="1"/>
    </row>
    <row r="7175" spans="6:6" x14ac:dyDescent="0.35">
      <c r="F7175" s="1"/>
    </row>
    <row r="7176" spans="6:6" x14ac:dyDescent="0.35">
      <c r="F7176" s="1"/>
    </row>
    <row r="7177" spans="6:6" x14ac:dyDescent="0.35">
      <c r="F7177" s="1"/>
    </row>
    <row r="7178" spans="6:6" x14ac:dyDescent="0.35">
      <c r="F7178" s="1"/>
    </row>
    <row r="7179" spans="6:6" x14ac:dyDescent="0.35">
      <c r="F7179" s="1"/>
    </row>
    <row r="7180" spans="6:6" x14ac:dyDescent="0.35">
      <c r="F7180" s="1"/>
    </row>
    <row r="7181" spans="6:6" x14ac:dyDescent="0.35">
      <c r="F7181" s="1"/>
    </row>
    <row r="7182" spans="6:6" x14ac:dyDescent="0.35">
      <c r="F7182" s="1"/>
    </row>
    <row r="7183" spans="6:6" x14ac:dyDescent="0.35">
      <c r="F7183" s="1"/>
    </row>
    <row r="7184" spans="6:6" x14ac:dyDescent="0.35">
      <c r="F7184" s="1"/>
    </row>
    <row r="7185" spans="6:6" x14ac:dyDescent="0.35">
      <c r="F7185" s="1"/>
    </row>
    <row r="7186" spans="6:6" x14ac:dyDescent="0.35">
      <c r="F7186" s="1"/>
    </row>
    <row r="7187" spans="6:6" x14ac:dyDescent="0.35">
      <c r="F7187" s="1"/>
    </row>
    <row r="7188" spans="6:6" x14ac:dyDescent="0.35">
      <c r="F7188" s="1"/>
    </row>
    <row r="7189" spans="6:6" x14ac:dyDescent="0.35">
      <c r="F7189" s="1"/>
    </row>
    <row r="7190" spans="6:6" x14ac:dyDescent="0.35">
      <c r="F7190" s="1"/>
    </row>
    <row r="7191" spans="6:6" x14ac:dyDescent="0.35">
      <c r="F7191" s="1"/>
    </row>
    <row r="7192" spans="6:6" x14ac:dyDescent="0.35">
      <c r="F7192" s="1"/>
    </row>
    <row r="7193" spans="6:6" x14ac:dyDescent="0.35">
      <c r="F7193" s="1"/>
    </row>
    <row r="7194" spans="6:6" x14ac:dyDescent="0.35">
      <c r="F7194" s="1"/>
    </row>
    <row r="7195" spans="6:6" x14ac:dyDescent="0.35">
      <c r="F7195" s="1"/>
    </row>
    <row r="7196" spans="6:6" x14ac:dyDescent="0.35">
      <c r="F7196" s="1"/>
    </row>
    <row r="7197" spans="6:6" x14ac:dyDescent="0.35">
      <c r="F7197" s="1"/>
    </row>
    <row r="7198" spans="6:6" x14ac:dyDescent="0.35">
      <c r="F7198" s="1"/>
    </row>
    <row r="7199" spans="6:6" x14ac:dyDescent="0.35">
      <c r="F7199" s="1"/>
    </row>
    <row r="7200" spans="6:6" x14ac:dyDescent="0.35">
      <c r="F7200" s="1"/>
    </row>
    <row r="7201" spans="6:6" x14ac:dyDescent="0.35">
      <c r="F7201" s="1"/>
    </row>
    <row r="7202" spans="6:6" x14ac:dyDescent="0.35">
      <c r="F7202" s="1"/>
    </row>
    <row r="7203" spans="6:6" x14ac:dyDescent="0.35">
      <c r="F7203" s="1"/>
    </row>
    <row r="7204" spans="6:6" x14ac:dyDescent="0.35">
      <c r="F7204" s="1"/>
    </row>
    <row r="7205" spans="6:6" x14ac:dyDescent="0.35">
      <c r="F7205" s="1"/>
    </row>
    <row r="7206" spans="6:6" x14ac:dyDescent="0.35">
      <c r="F7206" s="1"/>
    </row>
    <row r="7207" spans="6:6" x14ac:dyDescent="0.35">
      <c r="F7207" s="1"/>
    </row>
    <row r="7208" spans="6:6" x14ac:dyDescent="0.35">
      <c r="F7208" s="1"/>
    </row>
    <row r="7209" spans="6:6" x14ac:dyDescent="0.35">
      <c r="F7209" s="1"/>
    </row>
    <row r="7210" spans="6:6" x14ac:dyDescent="0.35">
      <c r="F7210" s="1"/>
    </row>
    <row r="7211" spans="6:6" x14ac:dyDescent="0.35">
      <c r="F7211" s="1"/>
    </row>
    <row r="7212" spans="6:6" x14ac:dyDescent="0.35">
      <c r="F7212" s="1"/>
    </row>
    <row r="7213" spans="6:6" x14ac:dyDescent="0.35">
      <c r="F7213" s="1"/>
    </row>
    <row r="7214" spans="6:6" x14ac:dyDescent="0.35">
      <c r="F7214" s="1"/>
    </row>
    <row r="7215" spans="6:6" x14ac:dyDescent="0.35">
      <c r="F7215" s="1"/>
    </row>
    <row r="7216" spans="6:6" x14ac:dyDescent="0.35">
      <c r="F7216" s="1"/>
    </row>
    <row r="7217" spans="6:6" x14ac:dyDescent="0.35">
      <c r="F7217" s="1"/>
    </row>
    <row r="7218" spans="6:6" x14ac:dyDescent="0.35">
      <c r="F7218" s="1"/>
    </row>
    <row r="7219" spans="6:6" x14ac:dyDescent="0.35">
      <c r="F7219" s="1"/>
    </row>
    <row r="7220" spans="6:6" x14ac:dyDescent="0.35">
      <c r="F7220" s="1"/>
    </row>
    <row r="7221" spans="6:6" x14ac:dyDescent="0.35">
      <c r="F7221" s="1"/>
    </row>
    <row r="7222" spans="6:6" x14ac:dyDescent="0.35">
      <c r="F7222" s="1"/>
    </row>
    <row r="7223" spans="6:6" x14ac:dyDescent="0.35">
      <c r="F7223" s="1"/>
    </row>
    <row r="7224" spans="6:6" x14ac:dyDescent="0.35">
      <c r="F7224" s="1"/>
    </row>
    <row r="7225" spans="6:6" x14ac:dyDescent="0.35">
      <c r="F7225" s="1"/>
    </row>
    <row r="7226" spans="6:6" x14ac:dyDescent="0.35">
      <c r="F7226" s="1"/>
    </row>
    <row r="7227" spans="6:6" x14ac:dyDescent="0.35">
      <c r="F7227" s="1"/>
    </row>
    <row r="7228" spans="6:6" x14ac:dyDescent="0.35">
      <c r="F7228" s="1"/>
    </row>
    <row r="7229" spans="6:6" x14ac:dyDescent="0.35">
      <c r="F7229" s="1"/>
    </row>
    <row r="7230" spans="6:6" x14ac:dyDescent="0.35">
      <c r="F7230" s="1"/>
    </row>
    <row r="7231" spans="6:6" x14ac:dyDescent="0.35">
      <c r="F7231" s="1"/>
    </row>
    <row r="7232" spans="6:6" x14ac:dyDescent="0.35">
      <c r="F7232" s="1"/>
    </row>
    <row r="7233" spans="6:6" x14ac:dyDescent="0.35">
      <c r="F7233" s="1"/>
    </row>
    <row r="7234" spans="6:6" x14ac:dyDescent="0.35">
      <c r="F7234" s="1"/>
    </row>
    <row r="7235" spans="6:6" x14ac:dyDescent="0.35">
      <c r="F7235" s="1"/>
    </row>
    <row r="7236" spans="6:6" x14ac:dyDescent="0.35">
      <c r="F7236" s="1"/>
    </row>
    <row r="7237" spans="6:6" x14ac:dyDescent="0.35">
      <c r="F7237" s="1"/>
    </row>
    <row r="7238" spans="6:6" x14ac:dyDescent="0.35">
      <c r="F7238" s="1"/>
    </row>
    <row r="7239" spans="6:6" x14ac:dyDescent="0.35">
      <c r="F7239" s="1"/>
    </row>
    <row r="7240" spans="6:6" x14ac:dyDescent="0.35">
      <c r="F7240" s="1"/>
    </row>
    <row r="7241" spans="6:6" x14ac:dyDescent="0.35">
      <c r="F7241" s="1"/>
    </row>
    <row r="7242" spans="6:6" x14ac:dyDescent="0.35">
      <c r="F7242" s="1"/>
    </row>
    <row r="7243" spans="6:6" x14ac:dyDescent="0.35">
      <c r="F7243" s="1"/>
    </row>
    <row r="7244" spans="6:6" x14ac:dyDescent="0.35">
      <c r="F7244" s="1"/>
    </row>
    <row r="7245" spans="6:6" x14ac:dyDescent="0.35">
      <c r="F7245" s="1"/>
    </row>
    <row r="7246" spans="6:6" x14ac:dyDescent="0.35">
      <c r="F7246" s="1"/>
    </row>
    <row r="7247" spans="6:6" x14ac:dyDescent="0.35">
      <c r="F7247" s="1"/>
    </row>
    <row r="7248" spans="6:6" x14ac:dyDescent="0.35">
      <c r="F7248" s="1"/>
    </row>
    <row r="7249" spans="6:6" x14ac:dyDescent="0.35">
      <c r="F7249" s="1"/>
    </row>
    <row r="7250" spans="6:6" x14ac:dyDescent="0.35">
      <c r="F7250" s="1"/>
    </row>
    <row r="7251" spans="6:6" x14ac:dyDescent="0.35">
      <c r="F7251" s="1"/>
    </row>
    <row r="7252" spans="6:6" x14ac:dyDescent="0.35">
      <c r="F7252" s="1"/>
    </row>
    <row r="7253" spans="6:6" x14ac:dyDescent="0.35">
      <c r="F7253" s="1"/>
    </row>
    <row r="7254" spans="6:6" x14ac:dyDescent="0.35">
      <c r="F7254" s="1"/>
    </row>
    <row r="7255" spans="6:6" x14ac:dyDescent="0.35">
      <c r="F7255" s="1"/>
    </row>
    <row r="7256" spans="6:6" x14ac:dyDescent="0.35">
      <c r="F7256" s="1"/>
    </row>
    <row r="7257" spans="6:6" x14ac:dyDescent="0.35">
      <c r="F7257" s="1"/>
    </row>
    <row r="7258" spans="6:6" x14ac:dyDescent="0.35">
      <c r="F7258" s="1"/>
    </row>
    <row r="7259" spans="6:6" x14ac:dyDescent="0.35">
      <c r="F7259" s="1"/>
    </row>
    <row r="7260" spans="6:6" x14ac:dyDescent="0.35">
      <c r="F7260" s="1"/>
    </row>
    <row r="7261" spans="6:6" x14ac:dyDescent="0.35">
      <c r="F7261" s="1"/>
    </row>
    <row r="7262" spans="6:6" x14ac:dyDescent="0.35">
      <c r="F7262" s="1"/>
    </row>
    <row r="7263" spans="6:6" x14ac:dyDescent="0.35">
      <c r="F7263" s="1"/>
    </row>
    <row r="7264" spans="6:6" x14ac:dyDescent="0.35">
      <c r="F7264" s="1"/>
    </row>
    <row r="7265" spans="6:6" x14ac:dyDescent="0.35">
      <c r="F7265" s="1"/>
    </row>
    <row r="7266" spans="6:6" x14ac:dyDescent="0.35">
      <c r="F7266" s="1"/>
    </row>
    <row r="7267" spans="6:6" x14ac:dyDescent="0.35">
      <c r="F7267" s="1"/>
    </row>
    <row r="7268" spans="6:6" x14ac:dyDescent="0.35">
      <c r="F7268" s="1"/>
    </row>
    <row r="7269" spans="6:6" x14ac:dyDescent="0.35">
      <c r="F7269" s="1"/>
    </row>
    <row r="7270" spans="6:6" x14ac:dyDescent="0.35">
      <c r="F7270" s="1"/>
    </row>
    <row r="7271" spans="6:6" x14ac:dyDescent="0.35">
      <c r="F7271" s="1"/>
    </row>
    <row r="7272" spans="6:6" x14ac:dyDescent="0.35">
      <c r="F7272" s="1"/>
    </row>
    <row r="7273" spans="6:6" x14ac:dyDescent="0.35">
      <c r="F7273" s="1"/>
    </row>
    <row r="7274" spans="6:6" x14ac:dyDescent="0.35">
      <c r="F7274" s="1"/>
    </row>
    <row r="7275" spans="6:6" x14ac:dyDescent="0.35">
      <c r="F7275" s="1"/>
    </row>
    <row r="7276" spans="6:6" x14ac:dyDescent="0.35">
      <c r="F7276" s="1"/>
    </row>
    <row r="7277" spans="6:6" x14ac:dyDescent="0.35">
      <c r="F7277" s="1"/>
    </row>
    <row r="7278" spans="6:6" x14ac:dyDescent="0.35">
      <c r="F7278" s="1"/>
    </row>
    <row r="7279" spans="6:6" x14ac:dyDescent="0.35">
      <c r="F7279" s="1"/>
    </row>
    <row r="7280" spans="6:6" x14ac:dyDescent="0.35">
      <c r="F7280" s="1"/>
    </row>
    <row r="7281" spans="6:6" x14ac:dyDescent="0.35">
      <c r="F7281" s="1"/>
    </row>
    <row r="7282" spans="6:6" x14ac:dyDescent="0.35">
      <c r="F7282" s="1"/>
    </row>
    <row r="7283" spans="6:6" x14ac:dyDescent="0.35">
      <c r="F7283" s="1"/>
    </row>
    <row r="7284" spans="6:6" x14ac:dyDescent="0.35">
      <c r="F7284" s="1"/>
    </row>
    <row r="7285" spans="6:6" x14ac:dyDescent="0.35">
      <c r="F7285" s="1"/>
    </row>
    <row r="7286" spans="6:6" x14ac:dyDescent="0.35">
      <c r="F7286" s="1"/>
    </row>
    <row r="7287" spans="6:6" x14ac:dyDescent="0.35">
      <c r="F7287" s="1"/>
    </row>
    <row r="7288" spans="6:6" x14ac:dyDescent="0.35">
      <c r="F7288" s="1"/>
    </row>
    <row r="7289" spans="6:6" x14ac:dyDescent="0.35">
      <c r="F7289" s="1"/>
    </row>
    <row r="7290" spans="6:6" x14ac:dyDescent="0.35">
      <c r="F7290" s="1"/>
    </row>
    <row r="7291" spans="6:6" x14ac:dyDescent="0.35">
      <c r="F7291" s="1"/>
    </row>
    <row r="7292" spans="6:6" x14ac:dyDescent="0.35">
      <c r="F7292" s="1"/>
    </row>
    <row r="7293" spans="6:6" x14ac:dyDescent="0.35">
      <c r="F7293" s="1"/>
    </row>
    <row r="7294" spans="6:6" x14ac:dyDescent="0.35">
      <c r="F7294" s="1"/>
    </row>
    <row r="7295" spans="6:6" x14ac:dyDescent="0.35">
      <c r="F7295" s="1"/>
    </row>
    <row r="7296" spans="6:6" x14ac:dyDescent="0.35">
      <c r="F7296" s="1"/>
    </row>
    <row r="7297" spans="6:6" x14ac:dyDescent="0.35">
      <c r="F7297" s="1"/>
    </row>
    <row r="7298" spans="6:6" x14ac:dyDescent="0.35">
      <c r="F7298" s="1"/>
    </row>
    <row r="7299" spans="6:6" x14ac:dyDescent="0.35">
      <c r="F7299" s="1"/>
    </row>
    <row r="7300" spans="6:6" x14ac:dyDescent="0.35">
      <c r="F7300" s="1"/>
    </row>
    <row r="7301" spans="6:6" x14ac:dyDescent="0.35">
      <c r="F7301" s="1"/>
    </row>
    <row r="7302" spans="6:6" x14ac:dyDescent="0.35">
      <c r="F7302" s="1"/>
    </row>
    <row r="7303" spans="6:6" x14ac:dyDescent="0.35">
      <c r="F7303" s="1"/>
    </row>
    <row r="7304" spans="6:6" x14ac:dyDescent="0.35">
      <c r="F7304" s="1"/>
    </row>
    <row r="7305" spans="6:6" x14ac:dyDescent="0.35">
      <c r="F7305" s="1"/>
    </row>
    <row r="7306" spans="6:6" x14ac:dyDescent="0.35">
      <c r="F7306" s="1"/>
    </row>
    <row r="7307" spans="6:6" x14ac:dyDescent="0.35">
      <c r="F7307" s="1"/>
    </row>
    <row r="7308" spans="6:6" x14ac:dyDescent="0.35">
      <c r="F7308" s="1"/>
    </row>
    <row r="7309" spans="6:6" x14ac:dyDescent="0.35">
      <c r="F7309" s="1"/>
    </row>
    <row r="7310" spans="6:6" x14ac:dyDescent="0.35">
      <c r="F7310" s="1"/>
    </row>
    <row r="7311" spans="6:6" x14ac:dyDescent="0.35">
      <c r="F7311" s="1"/>
    </row>
    <row r="7312" spans="6:6" x14ac:dyDescent="0.35">
      <c r="F7312" s="1"/>
    </row>
    <row r="7313" spans="6:6" x14ac:dyDescent="0.35">
      <c r="F7313" s="1"/>
    </row>
    <row r="7314" spans="6:6" x14ac:dyDescent="0.35">
      <c r="F7314" s="1"/>
    </row>
    <row r="7315" spans="6:6" x14ac:dyDescent="0.35">
      <c r="F7315" s="1"/>
    </row>
    <row r="7316" spans="6:6" x14ac:dyDescent="0.35">
      <c r="F7316" s="1"/>
    </row>
    <row r="7317" spans="6:6" x14ac:dyDescent="0.35">
      <c r="F7317" s="1"/>
    </row>
    <row r="7318" spans="6:6" x14ac:dyDescent="0.35">
      <c r="F7318" s="1"/>
    </row>
    <row r="7319" spans="6:6" x14ac:dyDescent="0.35">
      <c r="F7319" s="1"/>
    </row>
    <row r="7320" spans="6:6" x14ac:dyDescent="0.35">
      <c r="F7320" s="1"/>
    </row>
    <row r="7321" spans="6:6" x14ac:dyDescent="0.35">
      <c r="F7321" s="1"/>
    </row>
    <row r="7322" spans="6:6" x14ac:dyDescent="0.35">
      <c r="F7322" s="1"/>
    </row>
    <row r="7323" spans="6:6" x14ac:dyDescent="0.35">
      <c r="F7323" s="1"/>
    </row>
    <row r="7324" spans="6:6" x14ac:dyDescent="0.35">
      <c r="F7324" s="1"/>
    </row>
    <row r="7325" spans="6:6" x14ac:dyDescent="0.35">
      <c r="F7325" s="1"/>
    </row>
    <row r="7326" spans="6:6" x14ac:dyDescent="0.35">
      <c r="F7326" s="1"/>
    </row>
    <row r="7327" spans="6:6" x14ac:dyDescent="0.35">
      <c r="F7327" s="1"/>
    </row>
    <row r="7328" spans="6:6" x14ac:dyDescent="0.35">
      <c r="F7328" s="1"/>
    </row>
    <row r="7329" spans="6:6" x14ac:dyDescent="0.35">
      <c r="F7329" s="1"/>
    </row>
    <row r="7330" spans="6:6" x14ac:dyDescent="0.35">
      <c r="F7330" s="1"/>
    </row>
    <row r="7331" spans="6:6" x14ac:dyDescent="0.35">
      <c r="F7331" s="1"/>
    </row>
    <row r="7332" spans="6:6" x14ac:dyDescent="0.35">
      <c r="F7332" s="1"/>
    </row>
    <row r="7333" spans="6:6" x14ac:dyDescent="0.35">
      <c r="F7333" s="1"/>
    </row>
    <row r="7334" spans="6:6" x14ac:dyDescent="0.35">
      <c r="F7334" s="1"/>
    </row>
    <row r="7335" spans="6:6" x14ac:dyDescent="0.35">
      <c r="F7335" s="1"/>
    </row>
    <row r="7336" spans="6:6" x14ac:dyDescent="0.35">
      <c r="F7336" s="1"/>
    </row>
    <row r="7337" spans="6:6" x14ac:dyDescent="0.35">
      <c r="F7337" s="1"/>
    </row>
    <row r="7338" spans="6:6" x14ac:dyDescent="0.35">
      <c r="F7338" s="1"/>
    </row>
    <row r="7339" spans="6:6" x14ac:dyDescent="0.35">
      <c r="F7339" s="1"/>
    </row>
    <row r="7340" spans="6:6" x14ac:dyDescent="0.35">
      <c r="F7340" s="1"/>
    </row>
    <row r="7341" spans="6:6" x14ac:dyDescent="0.35">
      <c r="F7341" s="1"/>
    </row>
    <row r="7342" spans="6:6" x14ac:dyDescent="0.35">
      <c r="F7342" s="1"/>
    </row>
    <row r="7343" spans="6:6" x14ac:dyDescent="0.35">
      <c r="F7343" s="1"/>
    </row>
    <row r="7344" spans="6:6" x14ac:dyDescent="0.35">
      <c r="F7344" s="1"/>
    </row>
    <row r="7345" spans="6:6" x14ac:dyDescent="0.35">
      <c r="F7345" s="1"/>
    </row>
    <row r="7346" spans="6:6" x14ac:dyDescent="0.35">
      <c r="F7346" s="1"/>
    </row>
    <row r="7347" spans="6:6" x14ac:dyDescent="0.35">
      <c r="F7347" s="1"/>
    </row>
    <row r="7348" spans="6:6" x14ac:dyDescent="0.35">
      <c r="F7348" s="1"/>
    </row>
    <row r="7349" spans="6:6" x14ac:dyDescent="0.35">
      <c r="F7349" s="1"/>
    </row>
    <row r="7350" spans="6:6" x14ac:dyDescent="0.35">
      <c r="F7350" s="1"/>
    </row>
    <row r="7351" spans="6:6" x14ac:dyDescent="0.35">
      <c r="F7351" s="1"/>
    </row>
    <row r="7352" spans="6:6" x14ac:dyDescent="0.35">
      <c r="F7352" s="1"/>
    </row>
    <row r="7353" spans="6:6" x14ac:dyDescent="0.35">
      <c r="F7353" s="1"/>
    </row>
    <row r="7354" spans="6:6" x14ac:dyDescent="0.35">
      <c r="F7354" s="1"/>
    </row>
    <row r="7355" spans="6:6" x14ac:dyDescent="0.35">
      <c r="F7355" s="1"/>
    </row>
    <row r="7356" spans="6:6" x14ac:dyDescent="0.35">
      <c r="F7356" s="1"/>
    </row>
    <row r="7357" spans="6:6" x14ac:dyDescent="0.35">
      <c r="F7357" s="1"/>
    </row>
    <row r="7358" spans="6:6" x14ac:dyDescent="0.35">
      <c r="F7358" s="1"/>
    </row>
    <row r="7359" spans="6:6" x14ac:dyDescent="0.35">
      <c r="F7359" s="1"/>
    </row>
    <row r="7360" spans="6:6" x14ac:dyDescent="0.35">
      <c r="F7360" s="1"/>
    </row>
    <row r="7361" spans="6:6" x14ac:dyDescent="0.35">
      <c r="F7361" s="1"/>
    </row>
    <row r="7362" spans="6:6" x14ac:dyDescent="0.35">
      <c r="F7362" s="1"/>
    </row>
    <row r="7363" spans="6:6" x14ac:dyDescent="0.35">
      <c r="F7363" s="1"/>
    </row>
    <row r="7364" spans="6:6" x14ac:dyDescent="0.35">
      <c r="F7364" s="1"/>
    </row>
    <row r="7365" spans="6:6" x14ac:dyDescent="0.35">
      <c r="F7365" s="1"/>
    </row>
    <row r="7366" spans="6:6" x14ac:dyDescent="0.35">
      <c r="F7366" s="1"/>
    </row>
    <row r="7367" spans="6:6" x14ac:dyDescent="0.35">
      <c r="F7367" s="1"/>
    </row>
    <row r="7368" spans="6:6" x14ac:dyDescent="0.35">
      <c r="F7368" s="1"/>
    </row>
    <row r="7369" spans="6:6" x14ac:dyDescent="0.35">
      <c r="F7369" s="1"/>
    </row>
    <row r="7370" spans="6:6" x14ac:dyDescent="0.35">
      <c r="F7370" s="1"/>
    </row>
    <row r="7371" spans="6:6" x14ac:dyDescent="0.35">
      <c r="F7371" s="1"/>
    </row>
    <row r="7372" spans="6:6" x14ac:dyDescent="0.35">
      <c r="F7372" s="1"/>
    </row>
    <row r="7373" spans="6:6" x14ac:dyDescent="0.35">
      <c r="F7373" s="1"/>
    </row>
    <row r="7374" spans="6:6" x14ac:dyDescent="0.35">
      <c r="F7374" s="1"/>
    </row>
    <row r="7375" spans="6:6" x14ac:dyDescent="0.35">
      <c r="F7375" s="1"/>
    </row>
    <row r="7376" spans="6:6" x14ac:dyDescent="0.35">
      <c r="F7376" s="1"/>
    </row>
    <row r="7377" spans="6:6" x14ac:dyDescent="0.35">
      <c r="F7377" s="1"/>
    </row>
    <row r="7378" spans="6:6" x14ac:dyDescent="0.35">
      <c r="F7378" s="1"/>
    </row>
    <row r="7379" spans="6:6" x14ac:dyDescent="0.35">
      <c r="F7379" s="1"/>
    </row>
    <row r="7380" spans="6:6" x14ac:dyDescent="0.35">
      <c r="F7380" s="1"/>
    </row>
    <row r="7381" spans="6:6" x14ac:dyDescent="0.35">
      <c r="F7381" s="1"/>
    </row>
    <row r="7382" spans="6:6" x14ac:dyDescent="0.35">
      <c r="F7382" s="1"/>
    </row>
    <row r="7383" spans="6:6" x14ac:dyDescent="0.35">
      <c r="F7383" s="1"/>
    </row>
    <row r="7384" spans="6:6" x14ac:dyDescent="0.35">
      <c r="F7384" s="1"/>
    </row>
    <row r="7385" spans="6:6" x14ac:dyDescent="0.35">
      <c r="F7385" s="1"/>
    </row>
    <row r="7386" spans="6:6" x14ac:dyDescent="0.35">
      <c r="F7386" s="1"/>
    </row>
    <row r="7387" spans="6:6" x14ac:dyDescent="0.35">
      <c r="F7387" s="1"/>
    </row>
    <row r="7388" spans="6:6" x14ac:dyDescent="0.35">
      <c r="F7388" s="1"/>
    </row>
    <row r="7389" spans="6:6" x14ac:dyDescent="0.35">
      <c r="F7389" s="1"/>
    </row>
    <row r="7390" spans="6:6" x14ac:dyDescent="0.35">
      <c r="F7390" s="1"/>
    </row>
    <row r="7391" spans="6:6" x14ac:dyDescent="0.35">
      <c r="F7391" s="1"/>
    </row>
    <row r="7392" spans="6:6" x14ac:dyDescent="0.35">
      <c r="F7392" s="1"/>
    </row>
    <row r="7393" spans="6:6" x14ac:dyDescent="0.35">
      <c r="F7393" s="1"/>
    </row>
    <row r="7394" spans="6:6" x14ac:dyDescent="0.35">
      <c r="F7394" s="1"/>
    </row>
    <row r="7395" spans="6:6" x14ac:dyDescent="0.35">
      <c r="F7395" s="1"/>
    </row>
    <row r="7396" spans="6:6" x14ac:dyDescent="0.35">
      <c r="F7396" s="1"/>
    </row>
    <row r="7397" spans="6:6" x14ac:dyDescent="0.35">
      <c r="F7397" s="1"/>
    </row>
    <row r="7398" spans="6:6" x14ac:dyDescent="0.35">
      <c r="F7398" s="1"/>
    </row>
    <row r="7399" spans="6:6" x14ac:dyDescent="0.35">
      <c r="F7399" s="1"/>
    </row>
    <row r="7400" spans="6:6" x14ac:dyDescent="0.35">
      <c r="F7400" s="1"/>
    </row>
    <row r="7401" spans="6:6" x14ac:dyDescent="0.35">
      <c r="F7401" s="1"/>
    </row>
    <row r="7402" spans="6:6" x14ac:dyDescent="0.35">
      <c r="F7402" s="1"/>
    </row>
    <row r="7403" spans="6:6" x14ac:dyDescent="0.35">
      <c r="F7403" s="1"/>
    </row>
    <row r="7404" spans="6:6" x14ac:dyDescent="0.35">
      <c r="F7404" s="1"/>
    </row>
    <row r="7405" spans="6:6" x14ac:dyDescent="0.35">
      <c r="F7405" s="1"/>
    </row>
    <row r="7406" spans="6:6" x14ac:dyDescent="0.35">
      <c r="F7406" s="1"/>
    </row>
    <row r="7407" spans="6:6" x14ac:dyDescent="0.35">
      <c r="F7407" s="1"/>
    </row>
    <row r="7408" spans="6:6" x14ac:dyDescent="0.35">
      <c r="F7408" s="1"/>
    </row>
    <row r="7409" spans="6:6" x14ac:dyDescent="0.35">
      <c r="F7409" s="1"/>
    </row>
    <row r="7410" spans="6:6" x14ac:dyDescent="0.35">
      <c r="F7410" s="1"/>
    </row>
    <row r="7411" spans="6:6" x14ac:dyDescent="0.35">
      <c r="F7411" s="1"/>
    </row>
    <row r="7412" spans="6:6" x14ac:dyDescent="0.35">
      <c r="F7412" s="1"/>
    </row>
    <row r="7413" spans="6:6" x14ac:dyDescent="0.35">
      <c r="F7413" s="1"/>
    </row>
    <row r="7414" spans="6:6" x14ac:dyDescent="0.35">
      <c r="F7414" s="1"/>
    </row>
    <row r="7415" spans="6:6" x14ac:dyDescent="0.35">
      <c r="F7415" s="1"/>
    </row>
    <row r="7416" spans="6:6" x14ac:dyDescent="0.35">
      <c r="F7416" s="1"/>
    </row>
    <row r="7417" spans="6:6" x14ac:dyDescent="0.35">
      <c r="F7417" s="1"/>
    </row>
    <row r="7418" spans="6:6" x14ac:dyDescent="0.35">
      <c r="F7418" s="1"/>
    </row>
    <row r="7419" spans="6:6" x14ac:dyDescent="0.35">
      <c r="F7419" s="1"/>
    </row>
    <row r="7420" spans="6:6" x14ac:dyDescent="0.35">
      <c r="F7420" s="1"/>
    </row>
    <row r="7421" spans="6:6" x14ac:dyDescent="0.35">
      <c r="F7421" s="1"/>
    </row>
    <row r="7422" spans="6:6" x14ac:dyDescent="0.35">
      <c r="F7422" s="1"/>
    </row>
    <row r="7423" spans="6:6" x14ac:dyDescent="0.35">
      <c r="F7423" s="1"/>
    </row>
    <row r="7424" spans="6:6" x14ac:dyDescent="0.35">
      <c r="F7424" s="1"/>
    </row>
    <row r="7425" spans="6:6" x14ac:dyDescent="0.35">
      <c r="F7425" s="1"/>
    </row>
    <row r="7426" spans="6:6" x14ac:dyDescent="0.35">
      <c r="F7426" s="1"/>
    </row>
    <row r="7427" spans="6:6" x14ac:dyDescent="0.35">
      <c r="F7427" s="1"/>
    </row>
    <row r="7428" spans="6:6" x14ac:dyDescent="0.35">
      <c r="F7428" s="1"/>
    </row>
    <row r="7429" spans="6:6" x14ac:dyDescent="0.35">
      <c r="F7429" s="1"/>
    </row>
    <row r="7430" spans="6:6" x14ac:dyDescent="0.35">
      <c r="F7430" s="1"/>
    </row>
    <row r="7431" spans="6:6" x14ac:dyDescent="0.35">
      <c r="F7431" s="1"/>
    </row>
    <row r="7432" spans="6:6" x14ac:dyDescent="0.35">
      <c r="F7432" s="1"/>
    </row>
    <row r="7433" spans="6:6" x14ac:dyDescent="0.35">
      <c r="F7433" s="1"/>
    </row>
    <row r="7434" spans="6:6" x14ac:dyDescent="0.35">
      <c r="F7434" s="1"/>
    </row>
    <row r="7435" spans="6:6" x14ac:dyDescent="0.35">
      <c r="F7435" s="1"/>
    </row>
    <row r="7436" spans="6:6" x14ac:dyDescent="0.35">
      <c r="F7436" s="1"/>
    </row>
    <row r="7437" spans="6:6" x14ac:dyDescent="0.35">
      <c r="F7437" s="1"/>
    </row>
    <row r="7438" spans="6:6" x14ac:dyDescent="0.35">
      <c r="F7438" s="1"/>
    </row>
    <row r="7439" spans="6:6" x14ac:dyDescent="0.35">
      <c r="F7439" s="1"/>
    </row>
    <row r="7440" spans="6:6" x14ac:dyDescent="0.35">
      <c r="F7440" s="1"/>
    </row>
    <row r="7441" spans="6:6" x14ac:dyDescent="0.35">
      <c r="F7441" s="1"/>
    </row>
    <row r="7442" spans="6:6" x14ac:dyDescent="0.35">
      <c r="F7442" s="1"/>
    </row>
    <row r="7443" spans="6:6" x14ac:dyDescent="0.35">
      <c r="F7443" s="1"/>
    </row>
    <row r="7444" spans="6:6" x14ac:dyDescent="0.35">
      <c r="F7444" s="1"/>
    </row>
    <row r="7445" spans="6:6" x14ac:dyDescent="0.35">
      <c r="F7445" s="1"/>
    </row>
    <row r="7446" spans="6:6" x14ac:dyDescent="0.35">
      <c r="F7446" s="1"/>
    </row>
    <row r="7447" spans="6:6" x14ac:dyDescent="0.35">
      <c r="F7447" s="1"/>
    </row>
    <row r="7448" spans="6:6" x14ac:dyDescent="0.35">
      <c r="F7448" s="1"/>
    </row>
    <row r="7449" spans="6:6" x14ac:dyDescent="0.35">
      <c r="F7449" s="1"/>
    </row>
    <row r="7450" spans="6:6" x14ac:dyDescent="0.35">
      <c r="F7450" s="1"/>
    </row>
    <row r="7451" spans="6:6" x14ac:dyDescent="0.35">
      <c r="F7451" s="1"/>
    </row>
    <row r="7452" spans="6:6" x14ac:dyDescent="0.35">
      <c r="F7452" s="1"/>
    </row>
    <row r="7453" spans="6:6" x14ac:dyDescent="0.35">
      <c r="F7453" s="1"/>
    </row>
    <row r="7454" spans="6:6" x14ac:dyDescent="0.35">
      <c r="F7454" s="1"/>
    </row>
    <row r="7455" spans="6:6" x14ac:dyDescent="0.35">
      <c r="F7455" s="1"/>
    </row>
    <row r="7456" spans="6:6" x14ac:dyDescent="0.35">
      <c r="F7456" s="1"/>
    </row>
    <row r="7457" spans="6:6" x14ac:dyDescent="0.35">
      <c r="F7457" s="1"/>
    </row>
    <row r="7458" spans="6:6" x14ac:dyDescent="0.35">
      <c r="F7458" s="1"/>
    </row>
    <row r="7459" spans="6:6" x14ac:dyDescent="0.35">
      <c r="F7459" s="1"/>
    </row>
    <row r="7460" spans="6:6" x14ac:dyDescent="0.35">
      <c r="F7460" s="1"/>
    </row>
    <row r="7461" spans="6:6" x14ac:dyDescent="0.35">
      <c r="F7461" s="1"/>
    </row>
    <row r="7462" spans="6:6" x14ac:dyDescent="0.35">
      <c r="F7462" s="1"/>
    </row>
    <row r="7463" spans="6:6" x14ac:dyDescent="0.35">
      <c r="F7463" s="1"/>
    </row>
    <row r="7464" spans="6:6" x14ac:dyDescent="0.35">
      <c r="F7464" s="1"/>
    </row>
    <row r="7465" spans="6:6" x14ac:dyDescent="0.35">
      <c r="F7465" s="1"/>
    </row>
    <row r="7466" spans="6:6" x14ac:dyDescent="0.35">
      <c r="F7466" s="1"/>
    </row>
    <row r="7467" spans="6:6" x14ac:dyDescent="0.35">
      <c r="F7467" s="1"/>
    </row>
    <row r="7468" spans="6:6" x14ac:dyDescent="0.35">
      <c r="F7468" s="1"/>
    </row>
    <row r="7469" spans="6:6" x14ac:dyDescent="0.35">
      <c r="F7469" s="1"/>
    </row>
    <row r="7470" spans="6:6" x14ac:dyDescent="0.35">
      <c r="F7470" s="1"/>
    </row>
    <row r="7471" spans="6:6" x14ac:dyDescent="0.35">
      <c r="F7471" s="1"/>
    </row>
    <row r="7472" spans="6:6" x14ac:dyDescent="0.35">
      <c r="F7472" s="1"/>
    </row>
    <row r="7473" spans="6:6" x14ac:dyDescent="0.35">
      <c r="F7473" s="1"/>
    </row>
    <row r="7474" spans="6:6" x14ac:dyDescent="0.35">
      <c r="F7474" s="1"/>
    </row>
    <row r="7475" spans="6:6" x14ac:dyDescent="0.35">
      <c r="F7475" s="1"/>
    </row>
    <row r="7476" spans="6:6" x14ac:dyDescent="0.35">
      <c r="F7476" s="1"/>
    </row>
    <row r="7477" spans="6:6" x14ac:dyDescent="0.35">
      <c r="F7477" s="1"/>
    </row>
    <row r="7478" spans="6:6" x14ac:dyDescent="0.35">
      <c r="F7478" s="1"/>
    </row>
    <row r="7479" spans="6:6" x14ac:dyDescent="0.35">
      <c r="F7479" s="1"/>
    </row>
    <row r="7480" spans="6:6" x14ac:dyDescent="0.35">
      <c r="F7480" s="1"/>
    </row>
    <row r="7481" spans="6:6" x14ac:dyDescent="0.35">
      <c r="F7481" s="1"/>
    </row>
    <row r="7482" spans="6:6" x14ac:dyDescent="0.35">
      <c r="F7482" s="1"/>
    </row>
    <row r="7483" spans="6:6" x14ac:dyDescent="0.35">
      <c r="F7483" s="1"/>
    </row>
    <row r="7484" spans="6:6" x14ac:dyDescent="0.35">
      <c r="F7484" s="1"/>
    </row>
    <row r="7485" spans="6:6" x14ac:dyDescent="0.35">
      <c r="F7485" s="1"/>
    </row>
    <row r="7486" spans="6:6" x14ac:dyDescent="0.35">
      <c r="F7486" s="1"/>
    </row>
    <row r="7487" spans="6:6" x14ac:dyDescent="0.35">
      <c r="F7487" s="1"/>
    </row>
    <row r="7488" spans="6:6" x14ac:dyDescent="0.35">
      <c r="F7488" s="1"/>
    </row>
    <row r="7489" spans="6:6" x14ac:dyDescent="0.35">
      <c r="F7489" s="1"/>
    </row>
    <row r="7490" spans="6:6" x14ac:dyDescent="0.35">
      <c r="F7490" s="1"/>
    </row>
    <row r="7491" spans="6:6" x14ac:dyDescent="0.35">
      <c r="F7491" s="1"/>
    </row>
    <row r="7492" spans="6:6" x14ac:dyDescent="0.35">
      <c r="F7492" s="1"/>
    </row>
    <row r="7493" spans="6:6" x14ac:dyDescent="0.35">
      <c r="F7493" s="1"/>
    </row>
    <row r="7494" spans="6:6" x14ac:dyDescent="0.35">
      <c r="F7494" s="1"/>
    </row>
    <row r="7495" spans="6:6" x14ac:dyDescent="0.35">
      <c r="F7495" s="1"/>
    </row>
    <row r="7496" spans="6:6" x14ac:dyDescent="0.35">
      <c r="F7496" s="1"/>
    </row>
    <row r="7497" spans="6:6" x14ac:dyDescent="0.35">
      <c r="F7497" s="1"/>
    </row>
    <row r="7498" spans="6:6" x14ac:dyDescent="0.35">
      <c r="F7498" s="1"/>
    </row>
    <row r="7499" spans="6:6" x14ac:dyDescent="0.35">
      <c r="F7499" s="1"/>
    </row>
    <row r="7500" spans="6:6" x14ac:dyDescent="0.35">
      <c r="F7500" s="1"/>
    </row>
    <row r="7501" spans="6:6" x14ac:dyDescent="0.35">
      <c r="F7501" s="1"/>
    </row>
    <row r="7502" spans="6:6" x14ac:dyDescent="0.35">
      <c r="F7502" s="1"/>
    </row>
    <row r="7503" spans="6:6" x14ac:dyDescent="0.35">
      <c r="F7503" s="1"/>
    </row>
    <row r="7504" spans="6:6" x14ac:dyDescent="0.35">
      <c r="F7504" s="1"/>
    </row>
    <row r="7505" spans="6:6" x14ac:dyDescent="0.35">
      <c r="F7505" s="1"/>
    </row>
    <row r="7506" spans="6:6" x14ac:dyDescent="0.35">
      <c r="F7506" s="1"/>
    </row>
    <row r="7507" spans="6:6" x14ac:dyDescent="0.35">
      <c r="F7507" s="1"/>
    </row>
    <row r="7508" spans="6:6" x14ac:dyDescent="0.35">
      <c r="F7508" s="1"/>
    </row>
    <row r="7509" spans="6:6" x14ac:dyDescent="0.35">
      <c r="F7509" s="1"/>
    </row>
    <row r="7510" spans="6:6" x14ac:dyDescent="0.35">
      <c r="F7510" s="1"/>
    </row>
    <row r="7511" spans="6:6" x14ac:dyDescent="0.35">
      <c r="F7511" s="1"/>
    </row>
    <row r="7512" spans="6:6" x14ac:dyDescent="0.35">
      <c r="F7512" s="1"/>
    </row>
    <row r="7513" spans="6:6" x14ac:dyDescent="0.35">
      <c r="F7513" s="1"/>
    </row>
    <row r="7514" spans="6:6" x14ac:dyDescent="0.35">
      <c r="F7514" s="1"/>
    </row>
    <row r="7515" spans="6:6" x14ac:dyDescent="0.35">
      <c r="F7515" s="1"/>
    </row>
    <row r="7516" spans="6:6" x14ac:dyDescent="0.35">
      <c r="F7516" s="1"/>
    </row>
    <row r="7517" spans="6:6" x14ac:dyDescent="0.35">
      <c r="F7517" s="1"/>
    </row>
    <row r="7518" spans="6:6" x14ac:dyDescent="0.35">
      <c r="F7518" s="1"/>
    </row>
    <row r="7519" spans="6:6" x14ac:dyDescent="0.35">
      <c r="F7519" s="1"/>
    </row>
    <row r="7520" spans="6:6" x14ac:dyDescent="0.35">
      <c r="F7520" s="1"/>
    </row>
    <row r="7521" spans="6:6" x14ac:dyDescent="0.35">
      <c r="F7521" s="1"/>
    </row>
    <row r="7522" spans="6:6" x14ac:dyDescent="0.35">
      <c r="F7522" s="1"/>
    </row>
    <row r="7523" spans="6:6" x14ac:dyDescent="0.35">
      <c r="F7523" s="1"/>
    </row>
    <row r="7524" spans="6:6" x14ac:dyDescent="0.35">
      <c r="F7524" s="1"/>
    </row>
    <row r="7525" spans="6:6" x14ac:dyDescent="0.35">
      <c r="F7525" s="1"/>
    </row>
    <row r="7526" spans="6:6" x14ac:dyDescent="0.35">
      <c r="F7526" s="1"/>
    </row>
    <row r="7527" spans="6:6" x14ac:dyDescent="0.35">
      <c r="F7527" s="1"/>
    </row>
    <row r="7528" spans="6:6" x14ac:dyDescent="0.35">
      <c r="F7528" s="1"/>
    </row>
    <row r="7529" spans="6:6" x14ac:dyDescent="0.35">
      <c r="F7529" s="1"/>
    </row>
    <row r="7530" spans="6:6" x14ac:dyDescent="0.35">
      <c r="F7530" s="1"/>
    </row>
    <row r="7531" spans="6:6" x14ac:dyDescent="0.35">
      <c r="F7531" s="1"/>
    </row>
    <row r="7532" spans="6:6" x14ac:dyDescent="0.35">
      <c r="F7532" s="1"/>
    </row>
    <row r="7533" spans="6:6" x14ac:dyDescent="0.35">
      <c r="F7533" s="1"/>
    </row>
    <row r="7534" spans="6:6" x14ac:dyDescent="0.35">
      <c r="F7534" s="1"/>
    </row>
    <row r="7535" spans="6:6" x14ac:dyDescent="0.35">
      <c r="F7535" s="1"/>
    </row>
    <row r="7536" spans="6:6" x14ac:dyDescent="0.35">
      <c r="F7536" s="1"/>
    </row>
    <row r="7537" spans="6:6" x14ac:dyDescent="0.35">
      <c r="F7537" s="1"/>
    </row>
    <row r="7538" spans="6:6" x14ac:dyDescent="0.35">
      <c r="F7538" s="1"/>
    </row>
    <row r="7539" spans="6:6" x14ac:dyDescent="0.35">
      <c r="F7539" s="1"/>
    </row>
    <row r="7540" spans="6:6" x14ac:dyDescent="0.35">
      <c r="F7540" s="1"/>
    </row>
    <row r="7541" spans="6:6" x14ac:dyDescent="0.35">
      <c r="F7541" s="1"/>
    </row>
    <row r="7542" spans="6:6" x14ac:dyDescent="0.35">
      <c r="F7542" s="1"/>
    </row>
    <row r="7543" spans="6:6" x14ac:dyDescent="0.35">
      <c r="F7543" s="1"/>
    </row>
    <row r="7544" spans="6:6" x14ac:dyDescent="0.35">
      <c r="F7544" s="1"/>
    </row>
    <row r="7545" spans="6:6" x14ac:dyDescent="0.35">
      <c r="F7545" s="1"/>
    </row>
    <row r="7546" spans="6:6" x14ac:dyDescent="0.35">
      <c r="F7546" s="1"/>
    </row>
    <row r="7547" spans="6:6" x14ac:dyDescent="0.35">
      <c r="F7547" s="1"/>
    </row>
    <row r="7548" spans="6:6" x14ac:dyDescent="0.35">
      <c r="F7548" s="1"/>
    </row>
    <row r="7549" spans="6:6" x14ac:dyDescent="0.35">
      <c r="F7549" s="1"/>
    </row>
    <row r="7550" spans="6:6" x14ac:dyDescent="0.35">
      <c r="F7550" s="1"/>
    </row>
    <row r="7551" spans="6:6" x14ac:dyDescent="0.35">
      <c r="F7551" s="1"/>
    </row>
    <row r="7552" spans="6:6" x14ac:dyDescent="0.35">
      <c r="F7552" s="1"/>
    </row>
    <row r="7553" spans="6:6" x14ac:dyDescent="0.35">
      <c r="F7553" s="1"/>
    </row>
    <row r="7554" spans="6:6" x14ac:dyDescent="0.35">
      <c r="F7554" s="1"/>
    </row>
    <row r="7555" spans="6:6" x14ac:dyDescent="0.35">
      <c r="F7555" s="1"/>
    </row>
    <row r="7556" spans="6:6" x14ac:dyDescent="0.35">
      <c r="F7556" s="1"/>
    </row>
    <row r="7557" spans="6:6" x14ac:dyDescent="0.35">
      <c r="F7557" s="1"/>
    </row>
    <row r="7558" spans="6:6" x14ac:dyDescent="0.35">
      <c r="F7558" s="1"/>
    </row>
    <row r="7559" spans="6:6" x14ac:dyDescent="0.35">
      <c r="F7559" s="1"/>
    </row>
    <row r="7560" spans="6:6" x14ac:dyDescent="0.35">
      <c r="F7560" s="1"/>
    </row>
    <row r="7561" spans="6:6" x14ac:dyDescent="0.35">
      <c r="F7561" s="1"/>
    </row>
    <row r="7562" spans="6:6" x14ac:dyDescent="0.35">
      <c r="F7562" s="1"/>
    </row>
    <row r="7563" spans="6:6" x14ac:dyDescent="0.35">
      <c r="F7563" s="1"/>
    </row>
    <row r="7564" spans="6:6" x14ac:dyDescent="0.35">
      <c r="F7564" s="1"/>
    </row>
    <row r="7565" spans="6:6" x14ac:dyDescent="0.35">
      <c r="F7565" s="1"/>
    </row>
    <row r="7566" spans="6:6" x14ac:dyDescent="0.35">
      <c r="F7566" s="1"/>
    </row>
    <row r="7567" spans="6:6" x14ac:dyDescent="0.35">
      <c r="F7567" s="1"/>
    </row>
    <row r="7568" spans="6:6" x14ac:dyDescent="0.35">
      <c r="F7568" s="1"/>
    </row>
    <row r="7569" spans="6:6" x14ac:dyDescent="0.35">
      <c r="F7569" s="1"/>
    </row>
    <row r="7570" spans="6:6" x14ac:dyDescent="0.35">
      <c r="F7570" s="1"/>
    </row>
    <row r="7571" spans="6:6" x14ac:dyDescent="0.35">
      <c r="F7571" s="1"/>
    </row>
    <row r="7572" spans="6:6" x14ac:dyDescent="0.35">
      <c r="F7572" s="1"/>
    </row>
    <row r="7573" spans="6:6" x14ac:dyDescent="0.35">
      <c r="F7573" s="1"/>
    </row>
    <row r="7574" spans="6:6" x14ac:dyDescent="0.35">
      <c r="F7574" s="1"/>
    </row>
    <row r="7575" spans="6:6" x14ac:dyDescent="0.35">
      <c r="F7575" s="1"/>
    </row>
    <row r="7576" spans="6:6" x14ac:dyDescent="0.35">
      <c r="F7576" s="1"/>
    </row>
    <row r="7577" spans="6:6" x14ac:dyDescent="0.35">
      <c r="F7577" s="1"/>
    </row>
    <row r="7578" spans="6:6" x14ac:dyDescent="0.35">
      <c r="F7578" s="1"/>
    </row>
    <row r="7579" spans="6:6" x14ac:dyDescent="0.35">
      <c r="F7579" s="1"/>
    </row>
    <row r="7580" spans="6:6" x14ac:dyDescent="0.35">
      <c r="F7580" s="1"/>
    </row>
    <row r="7581" spans="6:6" x14ac:dyDescent="0.35">
      <c r="F7581" s="1"/>
    </row>
    <row r="7582" spans="6:6" x14ac:dyDescent="0.35">
      <c r="F7582" s="1"/>
    </row>
    <row r="7583" spans="6:6" x14ac:dyDescent="0.35">
      <c r="F7583" s="1"/>
    </row>
    <row r="7584" spans="6:6" x14ac:dyDescent="0.35">
      <c r="F7584" s="1"/>
    </row>
    <row r="7585" spans="6:6" x14ac:dyDescent="0.35">
      <c r="F7585" s="1"/>
    </row>
    <row r="7586" spans="6:6" x14ac:dyDescent="0.35">
      <c r="F7586" s="1"/>
    </row>
    <row r="7587" spans="6:6" x14ac:dyDescent="0.35">
      <c r="F7587" s="1"/>
    </row>
    <row r="7588" spans="6:6" x14ac:dyDescent="0.35">
      <c r="F7588" s="1"/>
    </row>
    <row r="7589" spans="6:6" x14ac:dyDescent="0.35">
      <c r="F7589" s="1"/>
    </row>
    <row r="7590" spans="6:6" x14ac:dyDescent="0.35">
      <c r="F7590" s="1"/>
    </row>
    <row r="7591" spans="6:6" x14ac:dyDescent="0.35">
      <c r="F7591" s="1"/>
    </row>
    <row r="7592" spans="6:6" x14ac:dyDescent="0.35">
      <c r="F7592" s="1"/>
    </row>
    <row r="7593" spans="6:6" x14ac:dyDescent="0.35">
      <c r="F7593" s="1"/>
    </row>
    <row r="7594" spans="6:6" x14ac:dyDescent="0.35">
      <c r="F7594" s="1"/>
    </row>
    <row r="7595" spans="6:6" x14ac:dyDescent="0.35">
      <c r="F7595" s="1"/>
    </row>
    <row r="7596" spans="6:6" x14ac:dyDescent="0.35">
      <c r="F7596" s="1"/>
    </row>
    <row r="7597" spans="6:6" x14ac:dyDescent="0.35">
      <c r="F7597" s="1"/>
    </row>
    <row r="7598" spans="6:6" x14ac:dyDescent="0.35">
      <c r="F7598" s="1"/>
    </row>
    <row r="7599" spans="6:6" x14ac:dyDescent="0.35">
      <c r="F7599" s="1"/>
    </row>
    <row r="7600" spans="6:6" x14ac:dyDescent="0.35">
      <c r="F7600" s="1"/>
    </row>
    <row r="7601" spans="6:6" x14ac:dyDescent="0.35">
      <c r="F7601" s="1"/>
    </row>
    <row r="7602" spans="6:6" x14ac:dyDescent="0.35">
      <c r="F7602" s="1"/>
    </row>
    <row r="7603" spans="6:6" x14ac:dyDescent="0.35">
      <c r="F7603" s="1"/>
    </row>
    <row r="7604" spans="6:6" x14ac:dyDescent="0.35">
      <c r="F7604" s="1"/>
    </row>
    <row r="7605" spans="6:6" x14ac:dyDescent="0.35">
      <c r="F7605" s="1"/>
    </row>
    <row r="7606" spans="6:6" x14ac:dyDescent="0.35">
      <c r="F7606" s="1"/>
    </row>
    <row r="7607" spans="6:6" x14ac:dyDescent="0.35">
      <c r="F7607" s="1"/>
    </row>
    <row r="7608" spans="6:6" x14ac:dyDescent="0.35">
      <c r="F7608" s="1"/>
    </row>
    <row r="7609" spans="6:6" x14ac:dyDescent="0.35">
      <c r="F7609" s="1"/>
    </row>
    <row r="7610" spans="6:6" x14ac:dyDescent="0.35">
      <c r="F7610" s="1"/>
    </row>
    <row r="7611" spans="6:6" x14ac:dyDescent="0.35">
      <c r="F7611" s="1"/>
    </row>
    <row r="7612" spans="6:6" x14ac:dyDescent="0.35">
      <c r="F7612" s="1"/>
    </row>
    <row r="7613" spans="6:6" x14ac:dyDescent="0.35">
      <c r="F7613" s="1"/>
    </row>
    <row r="7614" spans="6:6" x14ac:dyDescent="0.35">
      <c r="F7614" s="1"/>
    </row>
    <row r="7615" spans="6:6" x14ac:dyDescent="0.35">
      <c r="F7615" s="1"/>
    </row>
    <row r="7616" spans="6:6" x14ac:dyDescent="0.35">
      <c r="F7616" s="1"/>
    </row>
    <row r="7617" spans="6:6" x14ac:dyDescent="0.35">
      <c r="F7617" s="1"/>
    </row>
    <row r="7618" spans="6:6" x14ac:dyDescent="0.35">
      <c r="F7618" s="1"/>
    </row>
    <row r="7619" spans="6:6" x14ac:dyDescent="0.35">
      <c r="F7619" s="1"/>
    </row>
    <row r="7620" spans="6:6" x14ac:dyDescent="0.35">
      <c r="F7620" s="1"/>
    </row>
    <row r="7621" spans="6:6" x14ac:dyDescent="0.35">
      <c r="F7621" s="1"/>
    </row>
    <row r="7622" spans="6:6" x14ac:dyDescent="0.35">
      <c r="F7622" s="1"/>
    </row>
    <row r="7623" spans="6:6" x14ac:dyDescent="0.35">
      <c r="F7623" s="1"/>
    </row>
    <row r="7624" spans="6:6" x14ac:dyDescent="0.35">
      <c r="F7624" s="1"/>
    </row>
    <row r="7625" spans="6:6" x14ac:dyDescent="0.35">
      <c r="F7625" s="1"/>
    </row>
    <row r="7626" spans="6:6" x14ac:dyDescent="0.35">
      <c r="F7626" s="1"/>
    </row>
    <row r="7627" spans="6:6" x14ac:dyDescent="0.35">
      <c r="F7627" s="1"/>
    </row>
    <row r="7628" spans="6:6" x14ac:dyDescent="0.35">
      <c r="F7628" s="1"/>
    </row>
    <row r="7629" spans="6:6" x14ac:dyDescent="0.35">
      <c r="F7629" s="1"/>
    </row>
    <row r="7630" spans="6:6" x14ac:dyDescent="0.35">
      <c r="F7630" s="1"/>
    </row>
    <row r="7631" spans="6:6" x14ac:dyDescent="0.35">
      <c r="F7631" s="1"/>
    </row>
    <row r="7632" spans="6:6" x14ac:dyDescent="0.35">
      <c r="F7632" s="1"/>
    </row>
    <row r="7633" spans="6:6" x14ac:dyDescent="0.35">
      <c r="F7633" s="1"/>
    </row>
    <row r="7634" spans="6:6" x14ac:dyDescent="0.35">
      <c r="F7634" s="1"/>
    </row>
    <row r="7635" spans="6:6" x14ac:dyDescent="0.35">
      <c r="F7635" s="1"/>
    </row>
    <row r="7636" spans="6:6" x14ac:dyDescent="0.35">
      <c r="F7636" s="1"/>
    </row>
    <row r="7637" spans="6:6" x14ac:dyDescent="0.35">
      <c r="F7637" s="1"/>
    </row>
    <row r="7638" spans="6:6" x14ac:dyDescent="0.35">
      <c r="F7638" s="1"/>
    </row>
    <row r="7639" spans="6:6" x14ac:dyDescent="0.35">
      <c r="F7639" s="1"/>
    </row>
    <row r="7640" spans="6:6" x14ac:dyDescent="0.35">
      <c r="F7640" s="1"/>
    </row>
    <row r="7641" spans="6:6" x14ac:dyDescent="0.35">
      <c r="F7641" s="1"/>
    </row>
    <row r="7642" spans="6:6" x14ac:dyDescent="0.35">
      <c r="F7642" s="1"/>
    </row>
    <row r="7643" spans="6:6" x14ac:dyDescent="0.35">
      <c r="F7643" s="1"/>
    </row>
    <row r="7644" spans="6:6" x14ac:dyDescent="0.35">
      <c r="F7644" s="1"/>
    </row>
    <row r="7645" spans="6:6" x14ac:dyDescent="0.35">
      <c r="F7645" s="1"/>
    </row>
    <row r="7646" spans="6:6" x14ac:dyDescent="0.35">
      <c r="F7646" s="1"/>
    </row>
    <row r="7647" spans="6:6" x14ac:dyDescent="0.35">
      <c r="F7647" s="1"/>
    </row>
    <row r="7648" spans="6:6" x14ac:dyDescent="0.35">
      <c r="F7648" s="1"/>
    </row>
    <row r="7649" spans="6:6" x14ac:dyDescent="0.35">
      <c r="F7649" s="1"/>
    </row>
    <row r="7650" spans="6:6" x14ac:dyDescent="0.35">
      <c r="F7650" s="1"/>
    </row>
    <row r="7651" spans="6:6" x14ac:dyDescent="0.35">
      <c r="F7651" s="1"/>
    </row>
    <row r="7652" spans="6:6" x14ac:dyDescent="0.35">
      <c r="F7652" s="1"/>
    </row>
    <row r="7653" spans="6:6" x14ac:dyDescent="0.35">
      <c r="F7653" s="1"/>
    </row>
    <row r="7654" spans="6:6" x14ac:dyDescent="0.35">
      <c r="F7654" s="1"/>
    </row>
    <row r="7655" spans="6:6" x14ac:dyDescent="0.35">
      <c r="F7655" s="1"/>
    </row>
    <row r="7656" spans="6:6" x14ac:dyDescent="0.35">
      <c r="F7656" s="1"/>
    </row>
    <row r="7657" spans="6:6" x14ac:dyDescent="0.35">
      <c r="F7657" s="1"/>
    </row>
    <row r="7658" spans="6:6" x14ac:dyDescent="0.35">
      <c r="F7658" s="1"/>
    </row>
    <row r="7659" spans="6:6" x14ac:dyDescent="0.35">
      <c r="F7659" s="1"/>
    </row>
    <row r="7660" spans="6:6" x14ac:dyDescent="0.35">
      <c r="F7660" s="1"/>
    </row>
    <row r="7661" spans="6:6" x14ac:dyDescent="0.35">
      <c r="F7661" s="1"/>
    </row>
    <row r="7662" spans="6:6" x14ac:dyDescent="0.35">
      <c r="F7662" s="1"/>
    </row>
    <row r="7663" spans="6:6" x14ac:dyDescent="0.35">
      <c r="F7663" s="1"/>
    </row>
    <row r="7664" spans="6:6" x14ac:dyDescent="0.35">
      <c r="F7664" s="1"/>
    </row>
    <row r="7665" spans="6:6" x14ac:dyDescent="0.35">
      <c r="F7665" s="1"/>
    </row>
    <row r="7666" spans="6:6" x14ac:dyDescent="0.35">
      <c r="F7666" s="1"/>
    </row>
    <row r="7667" spans="6:6" x14ac:dyDescent="0.35">
      <c r="F7667" s="1"/>
    </row>
    <row r="7668" spans="6:6" x14ac:dyDescent="0.35">
      <c r="F7668" s="1"/>
    </row>
    <row r="7669" spans="6:6" x14ac:dyDescent="0.35">
      <c r="F7669" s="1"/>
    </row>
    <row r="7670" spans="6:6" x14ac:dyDescent="0.35">
      <c r="F7670" s="1"/>
    </row>
    <row r="7671" spans="6:6" x14ac:dyDescent="0.35">
      <c r="F7671" s="1"/>
    </row>
    <row r="7672" spans="6:6" x14ac:dyDescent="0.35">
      <c r="F7672" s="1"/>
    </row>
    <row r="7673" spans="6:6" x14ac:dyDescent="0.35">
      <c r="F7673" s="1"/>
    </row>
    <row r="7674" spans="6:6" x14ac:dyDescent="0.35">
      <c r="F7674" s="1"/>
    </row>
    <row r="7675" spans="6:6" x14ac:dyDescent="0.35">
      <c r="F7675" s="1"/>
    </row>
    <row r="7676" spans="6:6" x14ac:dyDescent="0.35">
      <c r="F7676" s="1"/>
    </row>
    <row r="7677" spans="6:6" x14ac:dyDescent="0.35">
      <c r="F7677" s="1"/>
    </row>
    <row r="7678" spans="6:6" x14ac:dyDescent="0.35">
      <c r="F7678" s="1"/>
    </row>
    <row r="7679" spans="6:6" x14ac:dyDescent="0.35">
      <c r="F7679" s="1"/>
    </row>
    <row r="7680" spans="6:6" x14ac:dyDescent="0.35">
      <c r="F7680" s="1"/>
    </row>
    <row r="7681" spans="6:6" x14ac:dyDescent="0.35">
      <c r="F7681" s="1"/>
    </row>
    <row r="7682" spans="6:6" x14ac:dyDescent="0.35">
      <c r="F7682" s="1"/>
    </row>
    <row r="7683" spans="6:6" x14ac:dyDescent="0.35">
      <c r="F7683" s="1"/>
    </row>
    <row r="7684" spans="6:6" x14ac:dyDescent="0.35">
      <c r="F7684" s="1"/>
    </row>
    <row r="7685" spans="6:6" x14ac:dyDescent="0.35">
      <c r="F7685" s="1"/>
    </row>
    <row r="7686" spans="6:6" x14ac:dyDescent="0.35">
      <c r="F7686" s="1"/>
    </row>
    <row r="7687" spans="6:6" x14ac:dyDescent="0.35">
      <c r="F7687" s="1"/>
    </row>
    <row r="7688" spans="6:6" x14ac:dyDescent="0.35">
      <c r="F7688" s="1"/>
    </row>
    <row r="7689" spans="6:6" x14ac:dyDescent="0.35">
      <c r="F7689" s="1"/>
    </row>
    <row r="7690" spans="6:6" x14ac:dyDescent="0.35">
      <c r="F7690" s="1"/>
    </row>
    <row r="7691" spans="6:6" x14ac:dyDescent="0.35">
      <c r="F7691" s="1"/>
    </row>
    <row r="7692" spans="6:6" x14ac:dyDescent="0.35">
      <c r="F7692" s="1"/>
    </row>
    <row r="7693" spans="6:6" x14ac:dyDescent="0.35">
      <c r="F7693" s="1"/>
    </row>
    <row r="7694" spans="6:6" x14ac:dyDescent="0.35">
      <c r="F7694" s="1"/>
    </row>
    <row r="7695" spans="6:6" x14ac:dyDescent="0.35">
      <c r="F7695" s="1"/>
    </row>
    <row r="7696" spans="6:6" x14ac:dyDescent="0.35">
      <c r="F7696" s="1"/>
    </row>
    <row r="7697" spans="6:6" x14ac:dyDescent="0.35">
      <c r="F7697" s="1"/>
    </row>
    <row r="7698" spans="6:6" x14ac:dyDescent="0.35">
      <c r="F7698" s="1"/>
    </row>
    <row r="7699" spans="6:6" x14ac:dyDescent="0.35">
      <c r="F7699" s="1"/>
    </row>
    <row r="7700" spans="6:6" x14ac:dyDescent="0.35">
      <c r="F7700" s="1"/>
    </row>
    <row r="7701" spans="6:6" x14ac:dyDescent="0.35">
      <c r="F7701" s="1"/>
    </row>
    <row r="7702" spans="6:6" x14ac:dyDescent="0.35">
      <c r="F7702" s="1"/>
    </row>
    <row r="7703" spans="6:6" x14ac:dyDescent="0.35">
      <c r="F7703" s="1"/>
    </row>
    <row r="7704" spans="6:6" x14ac:dyDescent="0.35">
      <c r="F7704" s="1"/>
    </row>
    <row r="7705" spans="6:6" x14ac:dyDescent="0.35">
      <c r="F7705" s="1"/>
    </row>
    <row r="7706" spans="6:6" x14ac:dyDescent="0.35">
      <c r="F7706" s="1"/>
    </row>
    <row r="7707" spans="6:6" x14ac:dyDescent="0.35">
      <c r="F7707" s="1"/>
    </row>
    <row r="7708" spans="6:6" x14ac:dyDescent="0.35">
      <c r="F7708" s="1"/>
    </row>
    <row r="7709" spans="6:6" x14ac:dyDescent="0.35">
      <c r="F7709" s="1"/>
    </row>
    <row r="7710" spans="6:6" x14ac:dyDescent="0.35">
      <c r="F7710" s="1"/>
    </row>
    <row r="7711" spans="6:6" x14ac:dyDescent="0.35">
      <c r="F7711" s="1"/>
    </row>
    <row r="7712" spans="6:6" x14ac:dyDescent="0.35">
      <c r="F7712" s="1"/>
    </row>
    <row r="7713" spans="6:6" x14ac:dyDescent="0.35">
      <c r="F7713" s="1"/>
    </row>
    <row r="7714" spans="6:6" x14ac:dyDescent="0.35">
      <c r="F7714" s="1"/>
    </row>
    <row r="7715" spans="6:6" x14ac:dyDescent="0.35">
      <c r="F7715" s="1"/>
    </row>
    <row r="7716" spans="6:6" x14ac:dyDescent="0.35">
      <c r="F7716" s="1"/>
    </row>
    <row r="7717" spans="6:6" x14ac:dyDescent="0.35">
      <c r="F7717" s="1"/>
    </row>
    <row r="7718" spans="6:6" x14ac:dyDescent="0.35">
      <c r="F7718" s="1"/>
    </row>
    <row r="7719" spans="6:6" x14ac:dyDescent="0.35">
      <c r="F7719" s="1"/>
    </row>
    <row r="7720" spans="6:6" x14ac:dyDescent="0.35">
      <c r="F7720" s="1"/>
    </row>
    <row r="7721" spans="6:6" x14ac:dyDescent="0.35">
      <c r="F7721" s="1"/>
    </row>
    <row r="7722" spans="6:6" x14ac:dyDescent="0.35">
      <c r="F7722" s="1"/>
    </row>
    <row r="7723" spans="6:6" x14ac:dyDescent="0.35">
      <c r="F7723" s="1"/>
    </row>
    <row r="7724" spans="6:6" x14ac:dyDescent="0.35">
      <c r="F7724" s="1"/>
    </row>
    <row r="7725" spans="6:6" x14ac:dyDescent="0.35">
      <c r="F7725" s="1"/>
    </row>
    <row r="7726" spans="6:6" x14ac:dyDescent="0.35">
      <c r="F7726" s="1"/>
    </row>
    <row r="7727" spans="6:6" x14ac:dyDescent="0.35">
      <c r="F7727" s="1"/>
    </row>
    <row r="7728" spans="6:6" x14ac:dyDescent="0.35">
      <c r="F7728" s="1"/>
    </row>
    <row r="7729" spans="6:6" x14ac:dyDescent="0.35">
      <c r="F7729" s="1"/>
    </row>
    <row r="7730" spans="6:6" x14ac:dyDescent="0.35">
      <c r="F7730" s="1"/>
    </row>
    <row r="7731" spans="6:6" x14ac:dyDescent="0.35">
      <c r="F7731" s="1"/>
    </row>
    <row r="7732" spans="6:6" x14ac:dyDescent="0.35">
      <c r="F7732" s="1"/>
    </row>
    <row r="7733" spans="6:6" x14ac:dyDescent="0.35">
      <c r="F7733" s="1"/>
    </row>
    <row r="7734" spans="6:6" x14ac:dyDescent="0.35">
      <c r="F7734" s="1"/>
    </row>
    <row r="7735" spans="6:6" x14ac:dyDescent="0.35">
      <c r="F7735" s="1"/>
    </row>
    <row r="7736" spans="6:6" x14ac:dyDescent="0.35">
      <c r="F7736" s="1"/>
    </row>
    <row r="7737" spans="6:6" x14ac:dyDescent="0.35">
      <c r="F7737" s="1"/>
    </row>
    <row r="7738" spans="6:6" x14ac:dyDescent="0.35">
      <c r="F7738" s="1"/>
    </row>
    <row r="7739" spans="6:6" x14ac:dyDescent="0.35">
      <c r="F7739" s="1"/>
    </row>
    <row r="7740" spans="6:6" x14ac:dyDescent="0.35">
      <c r="F7740" s="1"/>
    </row>
    <row r="7741" spans="6:6" x14ac:dyDescent="0.35">
      <c r="F7741" s="1"/>
    </row>
    <row r="7742" spans="6:6" x14ac:dyDescent="0.35">
      <c r="F7742" s="1"/>
    </row>
    <row r="7743" spans="6:6" x14ac:dyDescent="0.35">
      <c r="F7743" s="1"/>
    </row>
    <row r="7744" spans="6:6" x14ac:dyDescent="0.35">
      <c r="F7744" s="1"/>
    </row>
    <row r="7745" spans="6:6" x14ac:dyDescent="0.35">
      <c r="F7745" s="1"/>
    </row>
    <row r="7746" spans="6:6" x14ac:dyDescent="0.35">
      <c r="F7746" s="1"/>
    </row>
    <row r="7747" spans="6:6" x14ac:dyDescent="0.35">
      <c r="F7747" s="1"/>
    </row>
    <row r="7748" spans="6:6" x14ac:dyDescent="0.35">
      <c r="F7748" s="1"/>
    </row>
    <row r="7749" spans="6:6" x14ac:dyDescent="0.35">
      <c r="F7749" s="1"/>
    </row>
    <row r="7750" spans="6:6" x14ac:dyDescent="0.35">
      <c r="F7750" s="1"/>
    </row>
    <row r="7751" spans="6:6" x14ac:dyDescent="0.35">
      <c r="F7751" s="1"/>
    </row>
    <row r="7752" spans="6:6" x14ac:dyDescent="0.35">
      <c r="F7752" s="1"/>
    </row>
    <row r="7753" spans="6:6" x14ac:dyDescent="0.35">
      <c r="F7753" s="1"/>
    </row>
    <row r="7754" spans="6:6" x14ac:dyDescent="0.35">
      <c r="F7754" s="1"/>
    </row>
    <row r="7755" spans="6:6" x14ac:dyDescent="0.35">
      <c r="F7755" s="1"/>
    </row>
    <row r="7756" spans="6:6" x14ac:dyDescent="0.35">
      <c r="F7756" s="1"/>
    </row>
    <row r="7757" spans="6:6" x14ac:dyDescent="0.35">
      <c r="F7757" s="1"/>
    </row>
    <row r="7758" spans="6:6" x14ac:dyDescent="0.35">
      <c r="F7758" s="1"/>
    </row>
    <row r="7759" spans="6:6" x14ac:dyDescent="0.35">
      <c r="F7759" s="1"/>
    </row>
    <row r="7760" spans="6:6" x14ac:dyDescent="0.35">
      <c r="F7760" s="1"/>
    </row>
    <row r="7761" spans="6:6" x14ac:dyDescent="0.35">
      <c r="F7761" s="1"/>
    </row>
    <row r="7762" spans="6:6" x14ac:dyDescent="0.35">
      <c r="F7762" s="1"/>
    </row>
    <row r="7763" spans="6:6" x14ac:dyDescent="0.35">
      <c r="F7763" s="1"/>
    </row>
    <row r="7764" spans="6:6" x14ac:dyDescent="0.35">
      <c r="F7764" s="1"/>
    </row>
    <row r="7765" spans="6:6" x14ac:dyDescent="0.35">
      <c r="F7765" s="1"/>
    </row>
    <row r="7766" spans="6:6" x14ac:dyDescent="0.35">
      <c r="F7766" s="1"/>
    </row>
    <row r="7767" spans="6:6" x14ac:dyDescent="0.35">
      <c r="F7767" s="1"/>
    </row>
    <row r="7768" spans="6:6" x14ac:dyDescent="0.35">
      <c r="F7768" s="1"/>
    </row>
    <row r="7769" spans="6:6" x14ac:dyDescent="0.35">
      <c r="F7769" s="1"/>
    </row>
    <row r="7770" spans="6:6" x14ac:dyDescent="0.35">
      <c r="F7770" s="1"/>
    </row>
    <row r="7771" spans="6:6" x14ac:dyDescent="0.35">
      <c r="F7771" s="1"/>
    </row>
    <row r="7772" spans="6:6" x14ac:dyDescent="0.35">
      <c r="F7772" s="1"/>
    </row>
    <row r="7773" spans="6:6" x14ac:dyDescent="0.35">
      <c r="F7773" s="1"/>
    </row>
    <row r="7774" spans="6:6" x14ac:dyDescent="0.35">
      <c r="F7774" s="1"/>
    </row>
    <row r="7775" spans="6:6" x14ac:dyDescent="0.35">
      <c r="F7775" s="1"/>
    </row>
    <row r="7776" spans="6:6" x14ac:dyDescent="0.35">
      <c r="F7776" s="1"/>
    </row>
    <row r="7777" spans="6:6" x14ac:dyDescent="0.35">
      <c r="F7777" s="1"/>
    </row>
    <row r="7778" spans="6:6" x14ac:dyDescent="0.35">
      <c r="F7778" s="1"/>
    </row>
    <row r="7779" spans="6:6" x14ac:dyDescent="0.35">
      <c r="F7779" s="1"/>
    </row>
    <row r="7780" spans="6:6" x14ac:dyDescent="0.35">
      <c r="F7780" s="1"/>
    </row>
    <row r="7781" spans="6:6" x14ac:dyDescent="0.35">
      <c r="F7781" s="1"/>
    </row>
    <row r="7782" spans="6:6" x14ac:dyDescent="0.35">
      <c r="F7782" s="1"/>
    </row>
    <row r="7783" spans="6:6" x14ac:dyDescent="0.35">
      <c r="F7783" s="1"/>
    </row>
    <row r="7784" spans="6:6" x14ac:dyDescent="0.35">
      <c r="F7784" s="1"/>
    </row>
    <row r="7785" spans="6:6" x14ac:dyDescent="0.35">
      <c r="F7785" s="1"/>
    </row>
    <row r="7786" spans="6:6" x14ac:dyDescent="0.35">
      <c r="F7786" s="1"/>
    </row>
    <row r="7787" spans="6:6" x14ac:dyDescent="0.35">
      <c r="F7787" s="1"/>
    </row>
    <row r="7788" spans="6:6" x14ac:dyDescent="0.35">
      <c r="F7788" s="1"/>
    </row>
    <row r="7789" spans="6:6" x14ac:dyDescent="0.35">
      <c r="F7789" s="1"/>
    </row>
    <row r="7790" spans="6:6" x14ac:dyDescent="0.35">
      <c r="F7790" s="1"/>
    </row>
    <row r="7791" spans="6:6" x14ac:dyDescent="0.35">
      <c r="F7791" s="1"/>
    </row>
    <row r="7792" spans="6:6" x14ac:dyDescent="0.35">
      <c r="F7792" s="1"/>
    </row>
    <row r="7793" spans="6:6" x14ac:dyDescent="0.35">
      <c r="F7793" s="1"/>
    </row>
    <row r="7794" spans="6:6" x14ac:dyDescent="0.35">
      <c r="F7794" s="1"/>
    </row>
    <row r="7795" spans="6:6" x14ac:dyDescent="0.35">
      <c r="F7795" s="1"/>
    </row>
    <row r="7796" spans="6:6" x14ac:dyDescent="0.35">
      <c r="F7796" s="1"/>
    </row>
    <row r="7797" spans="6:6" x14ac:dyDescent="0.35">
      <c r="F7797" s="1"/>
    </row>
    <row r="7798" spans="6:6" x14ac:dyDescent="0.35">
      <c r="F7798" s="1"/>
    </row>
    <row r="7799" spans="6:6" x14ac:dyDescent="0.35">
      <c r="F7799" s="1"/>
    </row>
    <row r="7800" spans="6:6" x14ac:dyDescent="0.35">
      <c r="F7800" s="1"/>
    </row>
    <row r="7801" spans="6:6" x14ac:dyDescent="0.35">
      <c r="F7801" s="1"/>
    </row>
    <row r="7802" spans="6:6" x14ac:dyDescent="0.35">
      <c r="F7802" s="1"/>
    </row>
    <row r="7803" spans="6:6" x14ac:dyDescent="0.35">
      <c r="F7803" s="1"/>
    </row>
    <row r="7804" spans="6:6" x14ac:dyDescent="0.35">
      <c r="F7804" s="1"/>
    </row>
    <row r="7805" spans="6:6" x14ac:dyDescent="0.35">
      <c r="F7805" s="1"/>
    </row>
    <row r="7806" spans="6:6" x14ac:dyDescent="0.35">
      <c r="F7806" s="1"/>
    </row>
    <row r="7807" spans="6:6" x14ac:dyDescent="0.35">
      <c r="F7807" s="1"/>
    </row>
    <row r="7808" spans="6:6" x14ac:dyDescent="0.35">
      <c r="F7808" s="1"/>
    </row>
    <row r="7809" spans="6:6" x14ac:dyDescent="0.35">
      <c r="F7809" s="1"/>
    </row>
    <row r="7810" spans="6:6" x14ac:dyDescent="0.35">
      <c r="F7810" s="1"/>
    </row>
    <row r="7811" spans="6:6" x14ac:dyDescent="0.35">
      <c r="F7811" s="1"/>
    </row>
    <row r="7812" spans="6:6" x14ac:dyDescent="0.35">
      <c r="F7812" s="1"/>
    </row>
    <row r="7813" spans="6:6" x14ac:dyDescent="0.35">
      <c r="F7813" s="1"/>
    </row>
    <row r="7814" spans="6:6" x14ac:dyDescent="0.35">
      <c r="F7814" s="1"/>
    </row>
    <row r="7815" spans="6:6" x14ac:dyDescent="0.35">
      <c r="F7815" s="1"/>
    </row>
    <row r="7816" spans="6:6" x14ac:dyDescent="0.35">
      <c r="F7816" s="1"/>
    </row>
    <row r="7817" spans="6:6" x14ac:dyDescent="0.35">
      <c r="F7817" s="1"/>
    </row>
    <row r="7818" spans="6:6" x14ac:dyDescent="0.35">
      <c r="F7818" s="1"/>
    </row>
    <row r="7819" spans="6:6" x14ac:dyDescent="0.35">
      <c r="F7819" s="1"/>
    </row>
    <row r="7820" spans="6:6" x14ac:dyDescent="0.35">
      <c r="F7820" s="1"/>
    </row>
    <row r="7821" spans="6:6" x14ac:dyDescent="0.35">
      <c r="F7821" s="1"/>
    </row>
    <row r="7822" spans="6:6" x14ac:dyDescent="0.35">
      <c r="F7822" s="1"/>
    </row>
    <row r="7823" spans="6:6" x14ac:dyDescent="0.35">
      <c r="F7823" s="1"/>
    </row>
    <row r="7824" spans="6:6" x14ac:dyDescent="0.35">
      <c r="F7824" s="1"/>
    </row>
    <row r="7825" spans="6:6" x14ac:dyDescent="0.35">
      <c r="F7825" s="1"/>
    </row>
    <row r="7826" spans="6:6" x14ac:dyDescent="0.35">
      <c r="F7826" s="1"/>
    </row>
    <row r="7827" spans="6:6" x14ac:dyDescent="0.35">
      <c r="F7827" s="1"/>
    </row>
    <row r="7828" spans="6:6" x14ac:dyDescent="0.35">
      <c r="F7828" s="1"/>
    </row>
    <row r="7829" spans="6:6" x14ac:dyDescent="0.35">
      <c r="F7829" s="1"/>
    </row>
    <row r="7830" spans="6:6" x14ac:dyDescent="0.35">
      <c r="F7830" s="1"/>
    </row>
    <row r="7831" spans="6:6" x14ac:dyDescent="0.35">
      <c r="F7831" s="1"/>
    </row>
    <row r="7832" spans="6:6" x14ac:dyDescent="0.35">
      <c r="F7832" s="1"/>
    </row>
    <row r="7833" spans="6:6" x14ac:dyDescent="0.35">
      <c r="F7833" s="1"/>
    </row>
    <row r="7834" spans="6:6" x14ac:dyDescent="0.35">
      <c r="F7834" s="1"/>
    </row>
    <row r="7835" spans="6:6" x14ac:dyDescent="0.35">
      <c r="F7835" s="1"/>
    </row>
    <row r="7836" spans="6:6" x14ac:dyDescent="0.35">
      <c r="F7836" s="1"/>
    </row>
    <row r="7837" spans="6:6" x14ac:dyDescent="0.35">
      <c r="F7837" s="1"/>
    </row>
    <row r="7838" spans="6:6" x14ac:dyDescent="0.35">
      <c r="F7838" s="1"/>
    </row>
    <row r="7839" spans="6:6" x14ac:dyDescent="0.35">
      <c r="F7839" s="1"/>
    </row>
    <row r="7840" spans="6:6" x14ac:dyDescent="0.35">
      <c r="F7840" s="1"/>
    </row>
    <row r="7841" spans="6:6" x14ac:dyDescent="0.35">
      <c r="F7841" s="1"/>
    </row>
    <row r="7842" spans="6:6" x14ac:dyDescent="0.35">
      <c r="F7842" s="1"/>
    </row>
    <row r="7843" spans="6:6" x14ac:dyDescent="0.35">
      <c r="F7843" s="1"/>
    </row>
    <row r="7844" spans="6:6" x14ac:dyDescent="0.35">
      <c r="F7844" s="1"/>
    </row>
    <row r="7845" spans="6:6" x14ac:dyDescent="0.35">
      <c r="F7845" s="1"/>
    </row>
    <row r="7846" spans="6:6" x14ac:dyDescent="0.35">
      <c r="F7846" s="1"/>
    </row>
    <row r="7847" spans="6:6" x14ac:dyDescent="0.35">
      <c r="F7847" s="1"/>
    </row>
    <row r="7848" spans="6:6" x14ac:dyDescent="0.35">
      <c r="F7848" s="1"/>
    </row>
    <row r="7849" spans="6:6" x14ac:dyDescent="0.35">
      <c r="F7849" s="1"/>
    </row>
    <row r="7850" spans="6:6" x14ac:dyDescent="0.35">
      <c r="F7850" s="1"/>
    </row>
    <row r="7851" spans="6:6" x14ac:dyDescent="0.35">
      <c r="F7851" s="1"/>
    </row>
    <row r="7852" spans="6:6" x14ac:dyDescent="0.35">
      <c r="F7852" s="1"/>
    </row>
    <row r="7853" spans="6:6" x14ac:dyDescent="0.35">
      <c r="F7853" s="1"/>
    </row>
    <row r="7854" spans="6:6" x14ac:dyDescent="0.35">
      <c r="F7854" s="1"/>
    </row>
    <row r="7855" spans="6:6" x14ac:dyDescent="0.35">
      <c r="F7855" s="1"/>
    </row>
    <row r="7856" spans="6:6" x14ac:dyDescent="0.35">
      <c r="F7856" s="1"/>
    </row>
    <row r="7857" spans="6:6" x14ac:dyDescent="0.35">
      <c r="F7857" s="1"/>
    </row>
    <row r="7858" spans="6:6" x14ac:dyDescent="0.35">
      <c r="F7858" s="1"/>
    </row>
    <row r="7859" spans="6:6" x14ac:dyDescent="0.35">
      <c r="F7859" s="1"/>
    </row>
    <row r="7860" spans="6:6" x14ac:dyDescent="0.35">
      <c r="F7860" s="1"/>
    </row>
    <row r="7861" spans="6:6" x14ac:dyDescent="0.35">
      <c r="F7861" s="1"/>
    </row>
    <row r="7862" spans="6:6" x14ac:dyDescent="0.35">
      <c r="F7862" s="1"/>
    </row>
    <row r="7863" spans="6:6" x14ac:dyDescent="0.35">
      <c r="F7863" s="1"/>
    </row>
    <row r="7864" spans="6:6" x14ac:dyDescent="0.35">
      <c r="F7864" s="1"/>
    </row>
    <row r="7865" spans="6:6" x14ac:dyDescent="0.35">
      <c r="F7865" s="1"/>
    </row>
    <row r="7866" spans="6:6" x14ac:dyDescent="0.35">
      <c r="F7866" s="1"/>
    </row>
    <row r="7867" spans="6:6" x14ac:dyDescent="0.35">
      <c r="F7867" s="1"/>
    </row>
    <row r="7868" spans="6:6" x14ac:dyDescent="0.35">
      <c r="F7868" s="1"/>
    </row>
    <row r="7869" spans="6:6" x14ac:dyDescent="0.35">
      <c r="F7869" s="1"/>
    </row>
    <row r="7870" spans="6:6" x14ac:dyDescent="0.35">
      <c r="F7870" s="1"/>
    </row>
    <row r="7871" spans="6:6" x14ac:dyDescent="0.35">
      <c r="F7871" s="1"/>
    </row>
    <row r="7872" spans="6:6" x14ac:dyDescent="0.35">
      <c r="F7872" s="1"/>
    </row>
    <row r="7873" spans="6:6" x14ac:dyDescent="0.35">
      <c r="F7873" s="1"/>
    </row>
    <row r="7874" spans="6:6" x14ac:dyDescent="0.35">
      <c r="F7874" s="1"/>
    </row>
    <row r="7875" spans="6:6" x14ac:dyDescent="0.35">
      <c r="F7875" s="1"/>
    </row>
    <row r="7876" spans="6:6" x14ac:dyDescent="0.35">
      <c r="F7876" s="1"/>
    </row>
    <row r="7877" spans="6:6" x14ac:dyDescent="0.35">
      <c r="F7877" s="1"/>
    </row>
    <row r="7878" spans="6:6" x14ac:dyDescent="0.35">
      <c r="F7878" s="1"/>
    </row>
    <row r="7879" spans="6:6" x14ac:dyDescent="0.35">
      <c r="F7879" s="1"/>
    </row>
    <row r="7880" spans="6:6" x14ac:dyDescent="0.35">
      <c r="F7880" s="1"/>
    </row>
    <row r="7881" spans="6:6" x14ac:dyDescent="0.35">
      <c r="F7881" s="1"/>
    </row>
    <row r="7882" spans="6:6" x14ac:dyDescent="0.35">
      <c r="F7882" s="1"/>
    </row>
    <row r="7883" spans="6:6" x14ac:dyDescent="0.35">
      <c r="F7883" s="1"/>
    </row>
    <row r="7884" spans="6:6" x14ac:dyDescent="0.35">
      <c r="F7884" s="1"/>
    </row>
    <row r="7885" spans="6:6" x14ac:dyDescent="0.35">
      <c r="F7885" s="1"/>
    </row>
    <row r="7886" spans="6:6" x14ac:dyDescent="0.35">
      <c r="F7886" s="1"/>
    </row>
    <row r="7887" spans="6:6" x14ac:dyDescent="0.35">
      <c r="F7887" s="1"/>
    </row>
    <row r="7888" spans="6:6" x14ac:dyDescent="0.35">
      <c r="F7888" s="1"/>
    </row>
    <row r="7889" spans="6:6" x14ac:dyDescent="0.35">
      <c r="F7889" s="1"/>
    </row>
    <row r="7890" spans="6:6" x14ac:dyDescent="0.35">
      <c r="F7890" s="1"/>
    </row>
    <row r="7891" spans="6:6" x14ac:dyDescent="0.35">
      <c r="F7891" s="1"/>
    </row>
    <row r="7892" spans="6:6" x14ac:dyDescent="0.35">
      <c r="F7892" s="1"/>
    </row>
    <row r="7893" spans="6:6" x14ac:dyDescent="0.35">
      <c r="F7893" s="1"/>
    </row>
    <row r="7894" spans="6:6" x14ac:dyDescent="0.35">
      <c r="F7894" s="1"/>
    </row>
    <row r="7895" spans="6:6" x14ac:dyDescent="0.35">
      <c r="F7895" s="1"/>
    </row>
    <row r="7896" spans="6:6" x14ac:dyDescent="0.35">
      <c r="F7896" s="1"/>
    </row>
    <row r="7897" spans="6:6" x14ac:dyDescent="0.35">
      <c r="F7897" s="1"/>
    </row>
    <row r="7898" spans="6:6" x14ac:dyDescent="0.35">
      <c r="F7898" s="1"/>
    </row>
    <row r="7899" spans="6:6" x14ac:dyDescent="0.35">
      <c r="F7899" s="1"/>
    </row>
    <row r="7900" spans="6:6" x14ac:dyDescent="0.35">
      <c r="F7900" s="1"/>
    </row>
    <row r="7901" spans="6:6" x14ac:dyDescent="0.35">
      <c r="F7901" s="1"/>
    </row>
    <row r="7902" spans="6:6" x14ac:dyDescent="0.35">
      <c r="F7902" s="1"/>
    </row>
    <row r="7903" spans="6:6" x14ac:dyDescent="0.35">
      <c r="F7903" s="1"/>
    </row>
    <row r="7904" spans="6:6" x14ac:dyDescent="0.35">
      <c r="F7904" s="1"/>
    </row>
    <row r="7905" spans="6:6" x14ac:dyDescent="0.35">
      <c r="F7905" s="1"/>
    </row>
    <row r="7906" spans="6:6" x14ac:dyDescent="0.35">
      <c r="F7906" s="1"/>
    </row>
    <row r="7907" spans="6:6" x14ac:dyDescent="0.35">
      <c r="F7907" s="1"/>
    </row>
    <row r="7908" spans="6:6" x14ac:dyDescent="0.35">
      <c r="F7908" s="1"/>
    </row>
    <row r="7909" spans="6:6" x14ac:dyDescent="0.35">
      <c r="F7909" s="1"/>
    </row>
    <row r="7910" spans="6:6" x14ac:dyDescent="0.35">
      <c r="F7910" s="1"/>
    </row>
    <row r="7911" spans="6:6" x14ac:dyDescent="0.35">
      <c r="F7911" s="1"/>
    </row>
    <row r="7912" spans="6:6" x14ac:dyDescent="0.35">
      <c r="F7912" s="1"/>
    </row>
    <row r="7913" spans="6:6" x14ac:dyDescent="0.35">
      <c r="F7913" s="1"/>
    </row>
    <row r="7914" spans="6:6" x14ac:dyDescent="0.35">
      <c r="F7914" s="1"/>
    </row>
    <row r="7915" spans="6:6" x14ac:dyDescent="0.35">
      <c r="F7915" s="1"/>
    </row>
    <row r="7916" spans="6:6" x14ac:dyDescent="0.35">
      <c r="F7916" s="1"/>
    </row>
    <row r="7917" spans="6:6" x14ac:dyDescent="0.35">
      <c r="F7917" s="1"/>
    </row>
    <row r="7918" spans="6:6" x14ac:dyDescent="0.35">
      <c r="F7918" s="1"/>
    </row>
    <row r="7919" spans="6:6" x14ac:dyDescent="0.35">
      <c r="F7919" s="1"/>
    </row>
    <row r="7920" spans="6:6" x14ac:dyDescent="0.35">
      <c r="F7920" s="1"/>
    </row>
    <row r="7921" spans="6:6" x14ac:dyDescent="0.35">
      <c r="F7921" s="1"/>
    </row>
    <row r="7922" spans="6:6" x14ac:dyDescent="0.35">
      <c r="F7922" s="1"/>
    </row>
    <row r="7923" spans="6:6" x14ac:dyDescent="0.35">
      <c r="F7923" s="1"/>
    </row>
    <row r="7924" spans="6:6" x14ac:dyDescent="0.35">
      <c r="F7924" s="1"/>
    </row>
    <row r="7925" spans="6:6" x14ac:dyDescent="0.35">
      <c r="F7925" s="1"/>
    </row>
    <row r="7926" spans="6:6" x14ac:dyDescent="0.35">
      <c r="F7926" s="1"/>
    </row>
    <row r="7927" spans="6:6" x14ac:dyDescent="0.35">
      <c r="F7927" s="1"/>
    </row>
    <row r="7928" spans="6:6" x14ac:dyDescent="0.35">
      <c r="F7928" s="1"/>
    </row>
    <row r="7929" spans="6:6" x14ac:dyDescent="0.35">
      <c r="F7929" s="1"/>
    </row>
    <row r="7930" spans="6:6" x14ac:dyDescent="0.35">
      <c r="F7930" s="1"/>
    </row>
    <row r="7931" spans="6:6" x14ac:dyDescent="0.35">
      <c r="F7931" s="1"/>
    </row>
    <row r="7932" spans="6:6" x14ac:dyDescent="0.35">
      <c r="F7932" s="1"/>
    </row>
    <row r="7933" spans="6:6" x14ac:dyDescent="0.35">
      <c r="F7933" s="1"/>
    </row>
    <row r="7934" spans="6:6" x14ac:dyDescent="0.35">
      <c r="F7934" s="1"/>
    </row>
    <row r="7935" spans="6:6" x14ac:dyDescent="0.35">
      <c r="F7935" s="1"/>
    </row>
    <row r="7936" spans="6:6" x14ac:dyDescent="0.35">
      <c r="F7936" s="1"/>
    </row>
    <row r="7937" spans="6:6" x14ac:dyDescent="0.35">
      <c r="F7937" s="1"/>
    </row>
    <row r="7938" spans="6:6" x14ac:dyDescent="0.35">
      <c r="F7938" s="1"/>
    </row>
    <row r="7939" spans="6:6" x14ac:dyDescent="0.35">
      <c r="F7939" s="1"/>
    </row>
    <row r="7940" spans="6:6" x14ac:dyDescent="0.35">
      <c r="F7940" s="1"/>
    </row>
    <row r="7941" spans="6:6" x14ac:dyDescent="0.35">
      <c r="F7941" s="1"/>
    </row>
    <row r="7942" spans="6:6" x14ac:dyDescent="0.35">
      <c r="F7942" s="1"/>
    </row>
    <row r="7943" spans="6:6" x14ac:dyDescent="0.35">
      <c r="F7943" s="1"/>
    </row>
    <row r="7944" spans="6:6" x14ac:dyDescent="0.35">
      <c r="F7944" s="1"/>
    </row>
    <row r="7945" spans="6:6" x14ac:dyDescent="0.35">
      <c r="F7945" s="1"/>
    </row>
    <row r="7946" spans="6:6" x14ac:dyDescent="0.35">
      <c r="F7946" s="1"/>
    </row>
    <row r="7947" spans="6:6" x14ac:dyDescent="0.35">
      <c r="F7947" s="1"/>
    </row>
    <row r="7948" spans="6:6" x14ac:dyDescent="0.35">
      <c r="F7948" s="1"/>
    </row>
    <row r="7949" spans="6:6" x14ac:dyDescent="0.35">
      <c r="F7949" s="1"/>
    </row>
    <row r="7950" spans="6:6" x14ac:dyDescent="0.35">
      <c r="F7950" s="1"/>
    </row>
    <row r="7951" spans="6:6" x14ac:dyDescent="0.35">
      <c r="F7951" s="1"/>
    </row>
    <row r="7952" spans="6:6" x14ac:dyDescent="0.35">
      <c r="F7952" s="1"/>
    </row>
    <row r="7953" spans="6:6" x14ac:dyDescent="0.35">
      <c r="F7953" s="1"/>
    </row>
    <row r="7954" spans="6:6" x14ac:dyDescent="0.35">
      <c r="F7954" s="1"/>
    </row>
    <row r="7955" spans="6:6" x14ac:dyDescent="0.35">
      <c r="F7955" s="1"/>
    </row>
    <row r="7956" spans="6:6" x14ac:dyDescent="0.35">
      <c r="F7956" s="1"/>
    </row>
    <row r="7957" spans="6:6" x14ac:dyDescent="0.35">
      <c r="F7957" s="1"/>
    </row>
    <row r="7958" spans="6:6" x14ac:dyDescent="0.35">
      <c r="F7958" s="1"/>
    </row>
    <row r="7959" spans="6:6" x14ac:dyDescent="0.35">
      <c r="F7959" s="1"/>
    </row>
    <row r="7960" spans="6:6" x14ac:dyDescent="0.35">
      <c r="F7960" s="1"/>
    </row>
    <row r="7961" spans="6:6" x14ac:dyDescent="0.35">
      <c r="F7961" s="1"/>
    </row>
    <row r="7962" spans="6:6" x14ac:dyDescent="0.35">
      <c r="F7962" s="1"/>
    </row>
    <row r="7963" spans="6:6" x14ac:dyDescent="0.35">
      <c r="F7963" s="1"/>
    </row>
    <row r="7964" spans="6:6" x14ac:dyDescent="0.35">
      <c r="F7964" s="1"/>
    </row>
    <row r="7965" spans="6:6" x14ac:dyDescent="0.35">
      <c r="F7965" s="1"/>
    </row>
    <row r="7966" spans="6:6" x14ac:dyDescent="0.35">
      <c r="F7966" s="1"/>
    </row>
    <row r="7967" spans="6:6" x14ac:dyDescent="0.35">
      <c r="F7967" s="1"/>
    </row>
    <row r="7968" spans="6:6" x14ac:dyDescent="0.35">
      <c r="F7968" s="1"/>
    </row>
    <row r="7969" spans="6:6" x14ac:dyDescent="0.35">
      <c r="F7969" s="1"/>
    </row>
    <row r="7970" spans="6:6" x14ac:dyDescent="0.35">
      <c r="F7970" s="1"/>
    </row>
    <row r="7971" spans="6:6" x14ac:dyDescent="0.35">
      <c r="F7971" s="1"/>
    </row>
    <row r="7972" spans="6:6" x14ac:dyDescent="0.35">
      <c r="F7972" s="1"/>
    </row>
    <row r="7973" spans="6:6" x14ac:dyDescent="0.35">
      <c r="F7973" s="1"/>
    </row>
    <row r="7974" spans="6:6" x14ac:dyDescent="0.35">
      <c r="F7974" s="1"/>
    </row>
    <row r="7975" spans="6:6" x14ac:dyDescent="0.35">
      <c r="F7975" s="1"/>
    </row>
    <row r="7976" spans="6:6" x14ac:dyDescent="0.35">
      <c r="F7976" s="1"/>
    </row>
    <row r="7977" spans="6:6" x14ac:dyDescent="0.35">
      <c r="F7977" s="1"/>
    </row>
    <row r="7978" spans="6:6" x14ac:dyDescent="0.35">
      <c r="F7978" s="1"/>
    </row>
    <row r="7979" spans="6:6" x14ac:dyDescent="0.35">
      <c r="F7979" s="1"/>
    </row>
    <row r="7980" spans="6:6" x14ac:dyDescent="0.35">
      <c r="F7980" s="1"/>
    </row>
    <row r="7981" spans="6:6" x14ac:dyDescent="0.35">
      <c r="F7981" s="1"/>
    </row>
    <row r="7982" spans="6:6" x14ac:dyDescent="0.35">
      <c r="F7982" s="1"/>
    </row>
    <row r="7983" spans="6:6" x14ac:dyDescent="0.35">
      <c r="F7983" s="1"/>
    </row>
    <row r="7984" spans="6:6" x14ac:dyDescent="0.35">
      <c r="F7984" s="1"/>
    </row>
    <row r="7985" spans="6:6" x14ac:dyDescent="0.35">
      <c r="F7985" s="1"/>
    </row>
    <row r="7986" spans="6:6" x14ac:dyDescent="0.35">
      <c r="F7986" s="1"/>
    </row>
    <row r="7987" spans="6:6" x14ac:dyDescent="0.35">
      <c r="F7987" s="1"/>
    </row>
    <row r="7988" spans="6:6" x14ac:dyDescent="0.35">
      <c r="F7988" s="1"/>
    </row>
    <row r="7989" spans="6:6" x14ac:dyDescent="0.35">
      <c r="F7989" s="1"/>
    </row>
    <row r="7990" spans="6:6" x14ac:dyDescent="0.35">
      <c r="F7990" s="1"/>
    </row>
    <row r="7991" spans="6:6" x14ac:dyDescent="0.35">
      <c r="F7991" s="1"/>
    </row>
    <row r="7992" spans="6:6" x14ac:dyDescent="0.35">
      <c r="F7992" s="1"/>
    </row>
    <row r="7993" spans="6:6" x14ac:dyDescent="0.35">
      <c r="F7993" s="1"/>
    </row>
    <row r="7994" spans="6:6" x14ac:dyDescent="0.35">
      <c r="F7994" s="1"/>
    </row>
    <row r="7995" spans="6:6" x14ac:dyDescent="0.35">
      <c r="F7995" s="1"/>
    </row>
    <row r="7996" spans="6:6" x14ac:dyDescent="0.35">
      <c r="F7996" s="1"/>
    </row>
    <row r="7997" spans="6:6" x14ac:dyDescent="0.35">
      <c r="F7997" s="1"/>
    </row>
    <row r="7998" spans="6:6" x14ac:dyDescent="0.35">
      <c r="F7998" s="1"/>
    </row>
    <row r="7999" spans="6:6" x14ac:dyDescent="0.35">
      <c r="F7999" s="1"/>
    </row>
    <row r="8000" spans="6:6" x14ac:dyDescent="0.35">
      <c r="F8000" s="1"/>
    </row>
    <row r="8001" spans="6:6" x14ac:dyDescent="0.35">
      <c r="F8001" s="1"/>
    </row>
    <row r="8002" spans="6:6" x14ac:dyDescent="0.35">
      <c r="F8002" s="1"/>
    </row>
    <row r="8003" spans="6:6" x14ac:dyDescent="0.35">
      <c r="F8003" s="1"/>
    </row>
    <row r="8004" spans="6:6" x14ac:dyDescent="0.35">
      <c r="F8004" s="1"/>
    </row>
    <row r="8005" spans="6:6" x14ac:dyDescent="0.35">
      <c r="F8005" s="1"/>
    </row>
    <row r="8006" spans="6:6" x14ac:dyDescent="0.35">
      <c r="F8006" s="1"/>
    </row>
    <row r="8007" spans="6:6" x14ac:dyDescent="0.35">
      <c r="F8007" s="1"/>
    </row>
    <row r="8008" spans="6:6" x14ac:dyDescent="0.35">
      <c r="F8008" s="1"/>
    </row>
    <row r="8009" spans="6:6" x14ac:dyDescent="0.35">
      <c r="F8009" s="1"/>
    </row>
    <row r="8010" spans="6:6" x14ac:dyDescent="0.35">
      <c r="F8010" s="1"/>
    </row>
    <row r="8011" spans="6:6" x14ac:dyDescent="0.35">
      <c r="F8011" s="1"/>
    </row>
    <row r="8012" spans="6:6" x14ac:dyDescent="0.35">
      <c r="F8012" s="1"/>
    </row>
    <row r="8013" spans="6:6" x14ac:dyDescent="0.35">
      <c r="F8013" s="1"/>
    </row>
    <row r="8014" spans="6:6" x14ac:dyDescent="0.35">
      <c r="F8014" s="1"/>
    </row>
    <row r="8015" spans="6:6" x14ac:dyDescent="0.35">
      <c r="F8015" s="1"/>
    </row>
    <row r="8016" spans="6:6" x14ac:dyDescent="0.35">
      <c r="F8016" s="1"/>
    </row>
    <row r="8017" spans="6:6" x14ac:dyDescent="0.35">
      <c r="F8017" s="1"/>
    </row>
    <row r="8018" spans="6:6" x14ac:dyDescent="0.35">
      <c r="F8018" s="1"/>
    </row>
    <row r="8019" spans="6:6" x14ac:dyDescent="0.35">
      <c r="F8019" s="1"/>
    </row>
    <row r="8020" spans="6:6" x14ac:dyDescent="0.35">
      <c r="F8020" s="1"/>
    </row>
    <row r="8021" spans="6:6" x14ac:dyDescent="0.35">
      <c r="F8021" s="1"/>
    </row>
    <row r="8022" spans="6:6" x14ac:dyDescent="0.35">
      <c r="F8022" s="1"/>
    </row>
    <row r="8023" spans="6:6" x14ac:dyDescent="0.35">
      <c r="F8023" s="1"/>
    </row>
    <row r="8024" spans="6:6" x14ac:dyDescent="0.35">
      <c r="F8024" s="1"/>
    </row>
    <row r="8025" spans="6:6" x14ac:dyDescent="0.35">
      <c r="F8025" s="1"/>
    </row>
    <row r="8026" spans="6:6" x14ac:dyDescent="0.35">
      <c r="F8026" s="1"/>
    </row>
    <row r="8027" spans="6:6" x14ac:dyDescent="0.35">
      <c r="F8027" s="1"/>
    </row>
    <row r="8028" spans="6:6" x14ac:dyDescent="0.35">
      <c r="F8028" s="1"/>
    </row>
    <row r="8029" spans="6:6" x14ac:dyDescent="0.35">
      <c r="F8029" s="1"/>
    </row>
    <row r="8030" spans="6:6" x14ac:dyDescent="0.35">
      <c r="F8030" s="1"/>
    </row>
    <row r="8031" spans="6:6" x14ac:dyDescent="0.35">
      <c r="F8031" s="1"/>
    </row>
    <row r="8032" spans="6:6" x14ac:dyDescent="0.35">
      <c r="F8032" s="1"/>
    </row>
    <row r="8033" spans="6:6" x14ac:dyDescent="0.35">
      <c r="F8033" s="1"/>
    </row>
    <row r="8034" spans="6:6" x14ac:dyDescent="0.35">
      <c r="F8034" s="1"/>
    </row>
    <row r="8035" spans="6:6" x14ac:dyDescent="0.35">
      <c r="F8035" s="1"/>
    </row>
    <row r="8036" spans="6:6" x14ac:dyDescent="0.35">
      <c r="F8036" s="1"/>
    </row>
    <row r="8037" spans="6:6" x14ac:dyDescent="0.35">
      <c r="F8037" s="1"/>
    </row>
    <row r="8038" spans="6:6" x14ac:dyDescent="0.35">
      <c r="F8038" s="1"/>
    </row>
    <row r="8039" spans="6:6" x14ac:dyDescent="0.35">
      <c r="F8039" s="1"/>
    </row>
    <row r="8040" spans="6:6" x14ac:dyDescent="0.35">
      <c r="F8040" s="1"/>
    </row>
    <row r="8041" spans="6:6" x14ac:dyDescent="0.35">
      <c r="F8041" s="1"/>
    </row>
    <row r="8042" spans="6:6" x14ac:dyDescent="0.35">
      <c r="F8042" s="1"/>
    </row>
    <row r="8043" spans="6:6" x14ac:dyDescent="0.35">
      <c r="F8043" s="1"/>
    </row>
    <row r="8044" spans="6:6" x14ac:dyDescent="0.35">
      <c r="F8044" s="1"/>
    </row>
    <row r="8045" spans="6:6" x14ac:dyDescent="0.35">
      <c r="F8045" s="1"/>
    </row>
    <row r="8046" spans="6:6" x14ac:dyDescent="0.35">
      <c r="F8046" s="1"/>
    </row>
    <row r="8047" spans="6:6" x14ac:dyDescent="0.35">
      <c r="F8047" s="1"/>
    </row>
    <row r="8048" spans="6:6" x14ac:dyDescent="0.35">
      <c r="F8048" s="1"/>
    </row>
    <row r="8049" spans="6:6" x14ac:dyDescent="0.35">
      <c r="F8049" s="1"/>
    </row>
    <row r="8050" spans="6:6" x14ac:dyDescent="0.35">
      <c r="F8050" s="1"/>
    </row>
    <row r="8051" spans="6:6" x14ac:dyDescent="0.35">
      <c r="F8051" s="1"/>
    </row>
    <row r="8052" spans="6:6" x14ac:dyDescent="0.35">
      <c r="F8052" s="1"/>
    </row>
    <row r="8053" spans="6:6" x14ac:dyDescent="0.35">
      <c r="F8053" s="1"/>
    </row>
    <row r="8054" spans="6:6" x14ac:dyDescent="0.35">
      <c r="F8054" s="1"/>
    </row>
    <row r="8055" spans="6:6" x14ac:dyDescent="0.35">
      <c r="F8055" s="1"/>
    </row>
    <row r="8056" spans="6:6" x14ac:dyDescent="0.35">
      <c r="F8056" s="1"/>
    </row>
    <row r="8057" spans="6:6" x14ac:dyDescent="0.35">
      <c r="F8057" s="1"/>
    </row>
    <row r="8058" spans="6:6" x14ac:dyDescent="0.35">
      <c r="F8058" s="1"/>
    </row>
    <row r="8059" spans="6:6" x14ac:dyDescent="0.35">
      <c r="F8059" s="1"/>
    </row>
    <row r="8060" spans="6:6" x14ac:dyDescent="0.35">
      <c r="F8060" s="1"/>
    </row>
    <row r="8061" spans="6:6" x14ac:dyDescent="0.35">
      <c r="F8061" s="1"/>
    </row>
    <row r="8062" spans="6:6" x14ac:dyDescent="0.35">
      <c r="F8062" s="1"/>
    </row>
    <row r="8063" spans="6:6" x14ac:dyDescent="0.35">
      <c r="F8063" s="1"/>
    </row>
    <row r="8064" spans="6:6" x14ac:dyDescent="0.35">
      <c r="F8064" s="1"/>
    </row>
    <row r="8065" spans="6:6" x14ac:dyDescent="0.35">
      <c r="F8065" s="1"/>
    </row>
    <row r="8066" spans="6:6" x14ac:dyDescent="0.35">
      <c r="F8066" s="1"/>
    </row>
    <row r="8067" spans="6:6" x14ac:dyDescent="0.35">
      <c r="F8067" s="1"/>
    </row>
    <row r="8068" spans="6:6" x14ac:dyDescent="0.35">
      <c r="F8068" s="1"/>
    </row>
    <row r="8069" spans="6:6" x14ac:dyDescent="0.35">
      <c r="F8069" s="1"/>
    </row>
    <row r="8070" spans="6:6" x14ac:dyDescent="0.35">
      <c r="F8070" s="1"/>
    </row>
    <row r="8071" spans="6:6" x14ac:dyDescent="0.35">
      <c r="F8071" s="1"/>
    </row>
    <row r="8072" spans="6:6" x14ac:dyDescent="0.35">
      <c r="F8072" s="1"/>
    </row>
    <row r="8073" spans="6:6" x14ac:dyDescent="0.35">
      <c r="F8073" s="1"/>
    </row>
    <row r="8074" spans="6:6" x14ac:dyDescent="0.35">
      <c r="F8074" s="1"/>
    </row>
    <row r="8075" spans="6:6" x14ac:dyDescent="0.35">
      <c r="F8075" s="1"/>
    </row>
    <row r="8076" spans="6:6" x14ac:dyDescent="0.35">
      <c r="F8076" s="1"/>
    </row>
    <row r="8077" spans="6:6" x14ac:dyDescent="0.35">
      <c r="F8077" s="1"/>
    </row>
    <row r="8078" spans="6:6" x14ac:dyDescent="0.35">
      <c r="F8078" s="1"/>
    </row>
    <row r="8079" spans="6:6" x14ac:dyDescent="0.35">
      <c r="F8079" s="1"/>
    </row>
    <row r="8080" spans="6:6" x14ac:dyDescent="0.35">
      <c r="F8080" s="1"/>
    </row>
    <row r="8081" spans="6:6" x14ac:dyDescent="0.35">
      <c r="F8081" s="1"/>
    </row>
    <row r="8082" spans="6:6" x14ac:dyDescent="0.35">
      <c r="F8082" s="1"/>
    </row>
    <row r="8083" spans="6:6" x14ac:dyDescent="0.35">
      <c r="F8083" s="1"/>
    </row>
    <row r="8084" spans="6:6" x14ac:dyDescent="0.35">
      <c r="F8084" s="1"/>
    </row>
    <row r="8085" spans="6:6" x14ac:dyDescent="0.35">
      <c r="F8085" s="1"/>
    </row>
    <row r="8086" spans="6:6" x14ac:dyDescent="0.35">
      <c r="F8086" s="1"/>
    </row>
    <row r="8087" spans="6:6" x14ac:dyDescent="0.35">
      <c r="F8087" s="1"/>
    </row>
    <row r="8088" spans="6:6" x14ac:dyDescent="0.35">
      <c r="F8088" s="1"/>
    </row>
    <row r="8089" spans="6:6" x14ac:dyDescent="0.35">
      <c r="F8089" s="1"/>
    </row>
    <row r="8090" spans="6:6" x14ac:dyDescent="0.35">
      <c r="F8090" s="1"/>
    </row>
    <row r="8091" spans="6:6" x14ac:dyDescent="0.35">
      <c r="F8091" s="1"/>
    </row>
    <row r="8092" spans="6:6" x14ac:dyDescent="0.35">
      <c r="F8092" s="1"/>
    </row>
    <row r="8093" spans="6:6" x14ac:dyDescent="0.35">
      <c r="F8093" s="1"/>
    </row>
    <row r="8094" spans="6:6" x14ac:dyDescent="0.35">
      <c r="F8094" s="1"/>
    </row>
    <row r="8095" spans="6:6" x14ac:dyDescent="0.35">
      <c r="F8095" s="1"/>
    </row>
    <row r="8096" spans="6:6" x14ac:dyDescent="0.35">
      <c r="F8096" s="1"/>
    </row>
    <row r="8097" spans="6:6" x14ac:dyDescent="0.35">
      <c r="F8097" s="1"/>
    </row>
    <row r="8098" spans="6:6" x14ac:dyDescent="0.35">
      <c r="F8098" s="1"/>
    </row>
    <row r="8099" spans="6:6" x14ac:dyDescent="0.35">
      <c r="F8099" s="1"/>
    </row>
    <row r="8100" spans="6:6" x14ac:dyDescent="0.35">
      <c r="F8100" s="1"/>
    </row>
    <row r="8101" spans="6:6" x14ac:dyDescent="0.35">
      <c r="F8101" s="1"/>
    </row>
    <row r="8102" spans="6:6" x14ac:dyDescent="0.35">
      <c r="F8102" s="1"/>
    </row>
    <row r="8103" spans="6:6" x14ac:dyDescent="0.35">
      <c r="F8103" s="1"/>
    </row>
    <row r="8104" spans="6:6" x14ac:dyDescent="0.35">
      <c r="F8104" s="1"/>
    </row>
    <row r="8105" spans="6:6" x14ac:dyDescent="0.35">
      <c r="F8105" s="1"/>
    </row>
    <row r="8106" spans="6:6" x14ac:dyDescent="0.35">
      <c r="F8106" s="1"/>
    </row>
    <row r="8107" spans="6:6" x14ac:dyDescent="0.35">
      <c r="F8107" s="1"/>
    </row>
    <row r="8108" spans="6:6" x14ac:dyDescent="0.35">
      <c r="F8108" s="1"/>
    </row>
    <row r="8109" spans="6:6" x14ac:dyDescent="0.35">
      <c r="F8109" s="1"/>
    </row>
    <row r="8110" spans="6:6" x14ac:dyDescent="0.35">
      <c r="F8110" s="1"/>
    </row>
    <row r="8111" spans="6:6" x14ac:dyDescent="0.35">
      <c r="F8111" s="1"/>
    </row>
    <row r="8112" spans="6:6" x14ac:dyDescent="0.35">
      <c r="F8112" s="1"/>
    </row>
    <row r="8113" spans="6:6" x14ac:dyDescent="0.35">
      <c r="F8113" s="1"/>
    </row>
    <row r="8114" spans="6:6" x14ac:dyDescent="0.35">
      <c r="F8114" s="1"/>
    </row>
    <row r="8115" spans="6:6" x14ac:dyDescent="0.35">
      <c r="F8115" s="1"/>
    </row>
    <row r="8116" spans="6:6" x14ac:dyDescent="0.35">
      <c r="F8116" s="1"/>
    </row>
    <row r="8117" spans="6:6" x14ac:dyDescent="0.35">
      <c r="F8117" s="1"/>
    </row>
    <row r="8118" spans="6:6" x14ac:dyDescent="0.35">
      <c r="F8118" s="1"/>
    </row>
    <row r="8119" spans="6:6" x14ac:dyDescent="0.35">
      <c r="F8119" s="1"/>
    </row>
    <row r="8120" spans="6:6" x14ac:dyDescent="0.35">
      <c r="F8120" s="1"/>
    </row>
    <row r="8121" spans="6:6" x14ac:dyDescent="0.35">
      <c r="F8121" s="1"/>
    </row>
    <row r="8122" spans="6:6" x14ac:dyDescent="0.35">
      <c r="F8122" s="1"/>
    </row>
    <row r="8123" spans="6:6" x14ac:dyDescent="0.35">
      <c r="F8123" s="1"/>
    </row>
    <row r="8124" spans="6:6" x14ac:dyDescent="0.35">
      <c r="F8124" s="1"/>
    </row>
    <row r="8125" spans="6:6" x14ac:dyDescent="0.35">
      <c r="F8125" s="1"/>
    </row>
    <row r="8126" spans="6:6" x14ac:dyDescent="0.35">
      <c r="F8126" s="1"/>
    </row>
    <row r="8127" spans="6:6" x14ac:dyDescent="0.35">
      <c r="F8127" s="1"/>
    </row>
    <row r="8128" spans="6:6" x14ac:dyDescent="0.35">
      <c r="F8128" s="1"/>
    </row>
    <row r="8129" spans="6:6" x14ac:dyDescent="0.35">
      <c r="F8129" s="1"/>
    </row>
    <row r="8130" spans="6:6" x14ac:dyDescent="0.35">
      <c r="F8130" s="1"/>
    </row>
    <row r="8131" spans="6:6" x14ac:dyDescent="0.35">
      <c r="F8131" s="1"/>
    </row>
    <row r="8132" spans="6:6" x14ac:dyDescent="0.35">
      <c r="F8132" s="1"/>
    </row>
    <row r="8133" spans="6:6" x14ac:dyDescent="0.35">
      <c r="F8133" s="1"/>
    </row>
    <row r="8134" spans="6:6" x14ac:dyDescent="0.35">
      <c r="F8134" s="1"/>
    </row>
    <row r="8135" spans="6:6" x14ac:dyDescent="0.35">
      <c r="F8135" s="1"/>
    </row>
    <row r="8136" spans="6:6" x14ac:dyDescent="0.35">
      <c r="F8136" s="1"/>
    </row>
    <row r="8137" spans="6:6" x14ac:dyDescent="0.35">
      <c r="F8137" s="1"/>
    </row>
    <row r="8138" spans="6:6" x14ac:dyDescent="0.35">
      <c r="F8138" s="1"/>
    </row>
    <row r="8139" spans="6:6" x14ac:dyDescent="0.35">
      <c r="F8139" s="1"/>
    </row>
    <row r="8140" spans="6:6" x14ac:dyDescent="0.35">
      <c r="F8140" s="1"/>
    </row>
    <row r="8141" spans="6:6" x14ac:dyDescent="0.35">
      <c r="F8141" s="1"/>
    </row>
    <row r="8142" spans="6:6" x14ac:dyDescent="0.35">
      <c r="F8142" s="1"/>
    </row>
    <row r="8143" spans="6:6" x14ac:dyDescent="0.35">
      <c r="F8143" s="1"/>
    </row>
    <row r="8144" spans="6:6" x14ac:dyDescent="0.35">
      <c r="F8144" s="1"/>
    </row>
    <row r="8145" spans="6:6" x14ac:dyDescent="0.35">
      <c r="F8145" s="1"/>
    </row>
    <row r="8146" spans="6:6" x14ac:dyDescent="0.35">
      <c r="F8146" s="1"/>
    </row>
    <row r="8147" spans="6:6" x14ac:dyDescent="0.35">
      <c r="F8147" s="1"/>
    </row>
    <row r="8148" spans="6:6" x14ac:dyDescent="0.35">
      <c r="F8148" s="1"/>
    </row>
    <row r="8149" spans="6:6" x14ac:dyDescent="0.35">
      <c r="F8149" s="1"/>
    </row>
    <row r="8150" spans="6:6" x14ac:dyDescent="0.35">
      <c r="F8150" s="1"/>
    </row>
    <row r="8151" spans="6:6" x14ac:dyDescent="0.35">
      <c r="F8151" s="1"/>
    </row>
    <row r="8152" spans="6:6" x14ac:dyDescent="0.35">
      <c r="F8152" s="1"/>
    </row>
    <row r="8153" spans="6:6" x14ac:dyDescent="0.35">
      <c r="F8153" s="1"/>
    </row>
    <row r="8154" spans="6:6" x14ac:dyDescent="0.35">
      <c r="F8154" s="1"/>
    </row>
    <row r="8155" spans="6:6" x14ac:dyDescent="0.35">
      <c r="F8155" s="1"/>
    </row>
    <row r="8156" spans="6:6" x14ac:dyDescent="0.35">
      <c r="F8156" s="1"/>
    </row>
    <row r="8157" spans="6:6" x14ac:dyDescent="0.35">
      <c r="F8157" s="1"/>
    </row>
    <row r="8158" spans="6:6" x14ac:dyDescent="0.35">
      <c r="F8158" s="1"/>
    </row>
    <row r="8159" spans="6:6" x14ac:dyDescent="0.35">
      <c r="F8159" s="1"/>
    </row>
    <row r="8160" spans="6:6" x14ac:dyDescent="0.35">
      <c r="F8160" s="1"/>
    </row>
    <row r="8161" spans="6:6" x14ac:dyDescent="0.35">
      <c r="F8161" s="1"/>
    </row>
    <row r="8162" spans="6:6" x14ac:dyDescent="0.35">
      <c r="F8162" s="1"/>
    </row>
    <row r="8163" spans="6:6" x14ac:dyDescent="0.35">
      <c r="F8163" s="1"/>
    </row>
    <row r="8164" spans="6:6" x14ac:dyDescent="0.35">
      <c r="F8164" s="1"/>
    </row>
    <row r="8165" spans="6:6" x14ac:dyDescent="0.35">
      <c r="F8165" s="1"/>
    </row>
    <row r="8166" spans="6:6" x14ac:dyDescent="0.35">
      <c r="F8166" s="1"/>
    </row>
    <row r="8167" spans="6:6" x14ac:dyDescent="0.35">
      <c r="F8167" s="1"/>
    </row>
    <row r="8168" spans="6:6" x14ac:dyDescent="0.35">
      <c r="F8168" s="1"/>
    </row>
    <row r="8169" spans="6:6" x14ac:dyDescent="0.35">
      <c r="F8169" s="1"/>
    </row>
    <row r="8170" spans="6:6" x14ac:dyDescent="0.35">
      <c r="F8170" s="1"/>
    </row>
    <row r="8171" spans="6:6" x14ac:dyDescent="0.35">
      <c r="F8171" s="1"/>
    </row>
    <row r="8172" spans="6:6" x14ac:dyDescent="0.35">
      <c r="F8172" s="1"/>
    </row>
    <row r="8173" spans="6:6" x14ac:dyDescent="0.35">
      <c r="F8173" s="1"/>
    </row>
    <row r="8174" spans="6:6" x14ac:dyDescent="0.35">
      <c r="F8174" s="1"/>
    </row>
    <row r="8175" spans="6:6" x14ac:dyDescent="0.35">
      <c r="F8175" s="1"/>
    </row>
    <row r="8176" spans="6:6" x14ac:dyDescent="0.35">
      <c r="F8176" s="1"/>
    </row>
    <row r="8177" spans="6:6" x14ac:dyDescent="0.35">
      <c r="F8177" s="1"/>
    </row>
    <row r="8178" spans="6:6" x14ac:dyDescent="0.35">
      <c r="F8178" s="1"/>
    </row>
    <row r="8179" spans="6:6" x14ac:dyDescent="0.35">
      <c r="F8179" s="1"/>
    </row>
    <row r="8180" spans="6:6" x14ac:dyDescent="0.35">
      <c r="F8180" s="1"/>
    </row>
    <row r="8181" spans="6:6" x14ac:dyDescent="0.35">
      <c r="F8181" s="1"/>
    </row>
    <row r="8182" spans="6:6" x14ac:dyDescent="0.35">
      <c r="F8182" s="1"/>
    </row>
    <row r="8183" spans="6:6" x14ac:dyDescent="0.35">
      <c r="F8183" s="1"/>
    </row>
    <row r="8184" spans="6:6" x14ac:dyDescent="0.35">
      <c r="F8184" s="1"/>
    </row>
    <row r="8185" spans="6:6" x14ac:dyDescent="0.35">
      <c r="F8185" s="1"/>
    </row>
    <row r="8186" spans="6:6" x14ac:dyDescent="0.35">
      <c r="F8186" s="1"/>
    </row>
    <row r="8187" spans="6:6" x14ac:dyDescent="0.35">
      <c r="F8187" s="1"/>
    </row>
    <row r="8188" spans="6:6" x14ac:dyDescent="0.35">
      <c r="F8188" s="1"/>
    </row>
    <row r="8189" spans="6:6" x14ac:dyDescent="0.35">
      <c r="F8189" s="1"/>
    </row>
    <row r="8190" spans="6:6" x14ac:dyDescent="0.35">
      <c r="F8190" s="1"/>
    </row>
    <row r="8191" spans="6:6" x14ac:dyDescent="0.35">
      <c r="F8191" s="1"/>
    </row>
    <row r="8192" spans="6:6" x14ac:dyDescent="0.35">
      <c r="F8192" s="1"/>
    </row>
    <row r="8193" spans="6:6" x14ac:dyDescent="0.35">
      <c r="F8193" s="1"/>
    </row>
    <row r="8194" spans="6:6" x14ac:dyDescent="0.35">
      <c r="F8194" s="1"/>
    </row>
    <row r="8195" spans="6:6" x14ac:dyDescent="0.35">
      <c r="F8195" s="1"/>
    </row>
    <row r="8196" spans="6:6" x14ac:dyDescent="0.35">
      <c r="F8196" s="1"/>
    </row>
    <row r="8197" spans="6:6" x14ac:dyDescent="0.35">
      <c r="F8197" s="1"/>
    </row>
    <row r="8198" spans="6:6" x14ac:dyDescent="0.35">
      <c r="F8198" s="1"/>
    </row>
    <row r="8199" spans="6:6" x14ac:dyDescent="0.35">
      <c r="F8199" s="1"/>
    </row>
    <row r="8200" spans="6:6" x14ac:dyDescent="0.35">
      <c r="F8200" s="1"/>
    </row>
    <row r="8201" spans="6:6" x14ac:dyDescent="0.35">
      <c r="F8201" s="1"/>
    </row>
    <row r="8202" spans="6:6" x14ac:dyDescent="0.35">
      <c r="F8202" s="1"/>
    </row>
    <row r="8203" spans="6:6" x14ac:dyDescent="0.35">
      <c r="F8203" s="1"/>
    </row>
    <row r="8204" spans="6:6" x14ac:dyDescent="0.35">
      <c r="F8204" s="1"/>
    </row>
    <row r="8205" spans="6:6" x14ac:dyDescent="0.35">
      <c r="F8205" s="1"/>
    </row>
    <row r="8206" spans="6:6" x14ac:dyDescent="0.35">
      <c r="F8206" s="1"/>
    </row>
    <row r="8207" spans="6:6" x14ac:dyDescent="0.35">
      <c r="F8207" s="1"/>
    </row>
    <row r="8208" spans="6:6" x14ac:dyDescent="0.35">
      <c r="F8208" s="1"/>
    </row>
    <row r="8209" spans="6:6" x14ac:dyDescent="0.35">
      <c r="F8209" s="1"/>
    </row>
    <row r="8210" spans="6:6" x14ac:dyDescent="0.35">
      <c r="F8210" s="1"/>
    </row>
    <row r="8211" spans="6:6" x14ac:dyDescent="0.35">
      <c r="F8211" s="1"/>
    </row>
    <row r="8212" spans="6:6" x14ac:dyDescent="0.35">
      <c r="F8212" s="1"/>
    </row>
    <row r="8213" spans="6:6" x14ac:dyDescent="0.35">
      <c r="F8213" s="1"/>
    </row>
    <row r="8214" spans="6:6" x14ac:dyDescent="0.35">
      <c r="F8214" s="1"/>
    </row>
    <row r="8215" spans="6:6" x14ac:dyDescent="0.35">
      <c r="F8215" s="1"/>
    </row>
    <row r="8216" spans="6:6" x14ac:dyDescent="0.35">
      <c r="F8216" s="1"/>
    </row>
    <row r="8217" spans="6:6" x14ac:dyDescent="0.35">
      <c r="F8217" s="1"/>
    </row>
    <row r="8218" spans="6:6" x14ac:dyDescent="0.35">
      <c r="F8218" s="1"/>
    </row>
    <row r="8219" spans="6:6" x14ac:dyDescent="0.35">
      <c r="F8219" s="1"/>
    </row>
    <row r="8220" spans="6:6" x14ac:dyDescent="0.35">
      <c r="F8220" s="1"/>
    </row>
    <row r="8221" spans="6:6" x14ac:dyDescent="0.35">
      <c r="F8221" s="1"/>
    </row>
    <row r="8222" spans="6:6" x14ac:dyDescent="0.35">
      <c r="F8222" s="1"/>
    </row>
    <row r="8223" spans="6:6" x14ac:dyDescent="0.35">
      <c r="F8223" s="1"/>
    </row>
    <row r="8224" spans="6:6" x14ac:dyDescent="0.35">
      <c r="F8224" s="1"/>
    </row>
    <row r="8225" spans="6:6" x14ac:dyDescent="0.35">
      <c r="F8225" s="1"/>
    </row>
    <row r="8226" spans="6:6" x14ac:dyDescent="0.35">
      <c r="F8226" s="1"/>
    </row>
    <row r="8227" spans="6:6" x14ac:dyDescent="0.35">
      <c r="F8227" s="1"/>
    </row>
    <row r="8228" spans="6:6" x14ac:dyDescent="0.35">
      <c r="F8228" s="1"/>
    </row>
    <row r="8229" spans="6:6" x14ac:dyDescent="0.35">
      <c r="F8229" s="1"/>
    </row>
    <row r="8230" spans="6:6" x14ac:dyDescent="0.35">
      <c r="F8230" s="1"/>
    </row>
    <row r="8231" spans="6:6" x14ac:dyDescent="0.35">
      <c r="F8231" s="1"/>
    </row>
    <row r="8232" spans="6:6" x14ac:dyDescent="0.35">
      <c r="F8232" s="1"/>
    </row>
    <row r="8233" spans="6:6" x14ac:dyDescent="0.35">
      <c r="F8233" s="1"/>
    </row>
    <row r="8234" spans="6:6" x14ac:dyDescent="0.35">
      <c r="F8234" s="1"/>
    </row>
    <row r="8235" spans="6:6" x14ac:dyDescent="0.35">
      <c r="F8235" s="1"/>
    </row>
    <row r="8236" spans="6:6" x14ac:dyDescent="0.35">
      <c r="F8236" s="1"/>
    </row>
    <row r="8237" spans="6:6" x14ac:dyDescent="0.35">
      <c r="F8237" s="1"/>
    </row>
    <row r="8238" spans="6:6" x14ac:dyDescent="0.35">
      <c r="F8238" s="1"/>
    </row>
    <row r="8239" spans="6:6" x14ac:dyDescent="0.35">
      <c r="F8239" s="1"/>
    </row>
    <row r="8240" spans="6:6" x14ac:dyDescent="0.35">
      <c r="F8240" s="1"/>
    </row>
    <row r="8241" spans="6:6" x14ac:dyDescent="0.35">
      <c r="F8241" s="1"/>
    </row>
    <row r="8242" spans="6:6" x14ac:dyDescent="0.35">
      <c r="F8242" s="1"/>
    </row>
    <row r="8243" spans="6:6" x14ac:dyDescent="0.35">
      <c r="F8243" s="1"/>
    </row>
    <row r="8244" spans="6:6" x14ac:dyDescent="0.35">
      <c r="F8244" s="1"/>
    </row>
    <row r="8245" spans="6:6" x14ac:dyDescent="0.35">
      <c r="F8245" s="1"/>
    </row>
    <row r="8246" spans="6:6" x14ac:dyDescent="0.35">
      <c r="F8246" s="1"/>
    </row>
    <row r="8247" spans="6:6" x14ac:dyDescent="0.35">
      <c r="F8247" s="1"/>
    </row>
    <row r="8248" spans="6:6" x14ac:dyDescent="0.35">
      <c r="F8248" s="1"/>
    </row>
    <row r="8249" spans="6:6" x14ac:dyDescent="0.35">
      <c r="F8249" s="1"/>
    </row>
    <row r="8250" spans="6:6" x14ac:dyDescent="0.35">
      <c r="F8250" s="1"/>
    </row>
    <row r="8251" spans="6:6" x14ac:dyDescent="0.35">
      <c r="F8251" s="1"/>
    </row>
    <row r="8252" spans="6:6" x14ac:dyDescent="0.35">
      <c r="F8252" s="1"/>
    </row>
    <row r="8253" spans="6:6" x14ac:dyDescent="0.35">
      <c r="F8253" s="1"/>
    </row>
    <row r="8254" spans="6:6" x14ac:dyDescent="0.35">
      <c r="F8254" s="1"/>
    </row>
    <row r="8255" spans="6:6" x14ac:dyDescent="0.35">
      <c r="F8255" s="1"/>
    </row>
    <row r="8256" spans="6:6" x14ac:dyDescent="0.35">
      <c r="F8256" s="1"/>
    </row>
    <row r="8257" spans="6:6" x14ac:dyDescent="0.35">
      <c r="F8257" s="1"/>
    </row>
    <row r="8258" spans="6:6" x14ac:dyDescent="0.35">
      <c r="F8258" s="1"/>
    </row>
    <row r="8259" spans="6:6" x14ac:dyDescent="0.35">
      <c r="F8259" s="1"/>
    </row>
    <row r="8260" spans="6:6" x14ac:dyDescent="0.35">
      <c r="F8260" s="1"/>
    </row>
    <row r="8261" spans="6:6" x14ac:dyDescent="0.35">
      <c r="F8261" s="1"/>
    </row>
    <row r="8262" spans="6:6" x14ac:dyDescent="0.35">
      <c r="F8262" s="1"/>
    </row>
    <row r="8263" spans="6:6" x14ac:dyDescent="0.35">
      <c r="F8263" s="1"/>
    </row>
    <row r="8264" spans="6:6" x14ac:dyDescent="0.35">
      <c r="F8264" s="1"/>
    </row>
    <row r="8265" spans="6:6" x14ac:dyDescent="0.35">
      <c r="F8265" s="1"/>
    </row>
    <row r="8266" spans="6:6" x14ac:dyDescent="0.35">
      <c r="F8266" s="1"/>
    </row>
    <row r="8267" spans="6:6" x14ac:dyDescent="0.35">
      <c r="F8267" s="1"/>
    </row>
    <row r="8268" spans="6:6" x14ac:dyDescent="0.35">
      <c r="F8268" s="1"/>
    </row>
    <row r="8269" spans="6:6" x14ac:dyDescent="0.35">
      <c r="F8269" s="1"/>
    </row>
    <row r="8270" spans="6:6" x14ac:dyDescent="0.35">
      <c r="F8270" s="1"/>
    </row>
    <row r="8271" spans="6:6" x14ac:dyDescent="0.35">
      <c r="F8271" s="1"/>
    </row>
    <row r="8272" spans="6:6" x14ac:dyDescent="0.35">
      <c r="F8272" s="1"/>
    </row>
    <row r="8273" spans="6:6" x14ac:dyDescent="0.35">
      <c r="F8273" s="1"/>
    </row>
    <row r="8274" spans="6:6" x14ac:dyDescent="0.35">
      <c r="F8274" s="1"/>
    </row>
    <row r="8275" spans="6:6" x14ac:dyDescent="0.35">
      <c r="F8275" s="1"/>
    </row>
    <row r="8276" spans="6:6" x14ac:dyDescent="0.35">
      <c r="F8276" s="1"/>
    </row>
    <row r="8277" spans="6:6" x14ac:dyDescent="0.35">
      <c r="F8277" s="1"/>
    </row>
    <row r="8278" spans="6:6" x14ac:dyDescent="0.35">
      <c r="F8278" s="1"/>
    </row>
    <row r="8279" spans="6:6" x14ac:dyDescent="0.35">
      <c r="F8279" s="1"/>
    </row>
    <row r="8280" spans="6:6" x14ac:dyDescent="0.35">
      <c r="F8280" s="1"/>
    </row>
    <row r="8281" spans="6:6" x14ac:dyDescent="0.35">
      <c r="F8281" s="1"/>
    </row>
    <row r="8282" spans="6:6" x14ac:dyDescent="0.35">
      <c r="F8282" s="1"/>
    </row>
    <row r="8283" spans="6:6" x14ac:dyDescent="0.35">
      <c r="F8283" s="1"/>
    </row>
    <row r="8284" spans="6:6" x14ac:dyDescent="0.35">
      <c r="F8284" s="1"/>
    </row>
    <row r="8285" spans="6:6" x14ac:dyDescent="0.35">
      <c r="F8285" s="1"/>
    </row>
    <row r="8286" spans="6:6" x14ac:dyDescent="0.35">
      <c r="F8286" s="1"/>
    </row>
    <row r="8287" spans="6:6" x14ac:dyDescent="0.35">
      <c r="F8287" s="1"/>
    </row>
    <row r="8288" spans="6:6" x14ac:dyDescent="0.35">
      <c r="F8288" s="1"/>
    </row>
    <row r="8289" spans="6:6" x14ac:dyDescent="0.35">
      <c r="F8289" s="1"/>
    </row>
    <row r="8290" spans="6:6" x14ac:dyDescent="0.35">
      <c r="F8290" s="1"/>
    </row>
    <row r="8291" spans="6:6" x14ac:dyDescent="0.35">
      <c r="F8291" s="1"/>
    </row>
    <row r="8292" spans="6:6" x14ac:dyDescent="0.35">
      <c r="F8292" s="1"/>
    </row>
    <row r="8293" spans="6:6" x14ac:dyDescent="0.35">
      <c r="F8293" s="1"/>
    </row>
    <row r="8294" spans="6:6" x14ac:dyDescent="0.35">
      <c r="F8294" s="1"/>
    </row>
    <row r="8295" spans="6:6" x14ac:dyDescent="0.35">
      <c r="F8295" s="1"/>
    </row>
    <row r="8296" spans="6:6" x14ac:dyDescent="0.35">
      <c r="F8296" s="1"/>
    </row>
    <row r="8297" spans="6:6" x14ac:dyDescent="0.35">
      <c r="F8297" s="1"/>
    </row>
    <row r="8298" spans="6:6" x14ac:dyDescent="0.35">
      <c r="F8298" s="1"/>
    </row>
    <row r="8299" spans="6:6" x14ac:dyDescent="0.35">
      <c r="F8299" s="1"/>
    </row>
    <row r="8300" spans="6:6" x14ac:dyDescent="0.35">
      <c r="F8300" s="1"/>
    </row>
    <row r="8301" spans="6:6" x14ac:dyDescent="0.35">
      <c r="F8301" s="1"/>
    </row>
    <row r="8302" spans="6:6" x14ac:dyDescent="0.35">
      <c r="F8302" s="1"/>
    </row>
    <row r="8303" spans="6:6" x14ac:dyDescent="0.35">
      <c r="F8303" s="1"/>
    </row>
    <row r="8304" spans="6:6" x14ac:dyDescent="0.35">
      <c r="F8304" s="1"/>
    </row>
    <row r="8305" spans="6:6" x14ac:dyDescent="0.35">
      <c r="F8305" s="1"/>
    </row>
    <row r="8306" spans="6:6" x14ac:dyDescent="0.35">
      <c r="F8306" s="1"/>
    </row>
    <row r="8307" spans="6:6" x14ac:dyDescent="0.35">
      <c r="F8307" s="1"/>
    </row>
    <row r="8308" spans="6:6" x14ac:dyDescent="0.35">
      <c r="F8308" s="1"/>
    </row>
    <row r="8309" spans="6:6" x14ac:dyDescent="0.35">
      <c r="F8309" s="1"/>
    </row>
    <row r="8310" spans="6:6" x14ac:dyDescent="0.35">
      <c r="F8310" s="1"/>
    </row>
    <row r="8311" spans="6:6" x14ac:dyDescent="0.35">
      <c r="F8311" s="1"/>
    </row>
    <row r="8312" spans="6:6" x14ac:dyDescent="0.35">
      <c r="F8312" s="1"/>
    </row>
    <row r="8313" spans="6:6" x14ac:dyDescent="0.35">
      <c r="F8313" s="1"/>
    </row>
    <row r="8314" spans="6:6" x14ac:dyDescent="0.35">
      <c r="F8314" s="1"/>
    </row>
    <row r="8315" spans="6:6" x14ac:dyDescent="0.35">
      <c r="F8315" s="1"/>
    </row>
    <row r="8316" spans="6:6" x14ac:dyDescent="0.35">
      <c r="F8316" s="1"/>
    </row>
    <row r="8317" spans="6:6" x14ac:dyDescent="0.35">
      <c r="F8317" s="1"/>
    </row>
    <row r="8318" spans="6:6" x14ac:dyDescent="0.35">
      <c r="F8318" s="1"/>
    </row>
    <row r="8319" spans="6:6" x14ac:dyDescent="0.35">
      <c r="F8319" s="1"/>
    </row>
    <row r="8320" spans="6:6" x14ac:dyDescent="0.35">
      <c r="F8320" s="1"/>
    </row>
    <row r="8321" spans="6:6" x14ac:dyDescent="0.35">
      <c r="F8321" s="1"/>
    </row>
    <row r="8322" spans="6:6" x14ac:dyDescent="0.35">
      <c r="F8322" s="1"/>
    </row>
    <row r="8323" spans="6:6" x14ac:dyDescent="0.35">
      <c r="F8323" s="1"/>
    </row>
    <row r="8324" spans="6:6" x14ac:dyDescent="0.35">
      <c r="F8324" s="1"/>
    </row>
    <row r="8325" spans="6:6" x14ac:dyDescent="0.35">
      <c r="F8325" s="1"/>
    </row>
    <row r="8326" spans="6:6" x14ac:dyDescent="0.35">
      <c r="F8326" s="1"/>
    </row>
    <row r="8327" spans="6:6" x14ac:dyDescent="0.35">
      <c r="F8327" s="1"/>
    </row>
    <row r="8328" spans="6:6" x14ac:dyDescent="0.35">
      <c r="F8328" s="1"/>
    </row>
    <row r="8329" spans="6:6" x14ac:dyDescent="0.35">
      <c r="F8329" s="1"/>
    </row>
    <row r="8330" spans="6:6" x14ac:dyDescent="0.35">
      <c r="F8330" s="1"/>
    </row>
    <row r="8331" spans="6:6" x14ac:dyDescent="0.35">
      <c r="F8331" s="1"/>
    </row>
    <row r="8332" spans="6:6" x14ac:dyDescent="0.35">
      <c r="F8332" s="1"/>
    </row>
    <row r="8333" spans="6:6" x14ac:dyDescent="0.35">
      <c r="F8333" s="1"/>
    </row>
    <row r="8334" spans="6:6" x14ac:dyDescent="0.35">
      <c r="F8334" s="1"/>
    </row>
    <row r="8335" spans="6:6" x14ac:dyDescent="0.35">
      <c r="F8335" s="1"/>
    </row>
    <row r="8336" spans="6:6" x14ac:dyDescent="0.35">
      <c r="F8336" s="1"/>
    </row>
    <row r="8337" spans="6:6" x14ac:dyDescent="0.35">
      <c r="F8337" s="1"/>
    </row>
    <row r="8338" spans="6:6" x14ac:dyDescent="0.35">
      <c r="F8338" s="1"/>
    </row>
    <row r="8339" spans="6:6" x14ac:dyDescent="0.35">
      <c r="F8339" s="1"/>
    </row>
    <row r="8340" spans="6:6" x14ac:dyDescent="0.35">
      <c r="F8340" s="1"/>
    </row>
    <row r="8341" spans="6:6" x14ac:dyDescent="0.35">
      <c r="F8341" s="1"/>
    </row>
    <row r="8342" spans="6:6" x14ac:dyDescent="0.35">
      <c r="F8342" s="1"/>
    </row>
    <row r="8343" spans="6:6" x14ac:dyDescent="0.35">
      <c r="F8343" s="1"/>
    </row>
    <row r="8344" spans="6:6" x14ac:dyDescent="0.35">
      <c r="F8344" s="1"/>
    </row>
    <row r="8345" spans="6:6" x14ac:dyDescent="0.35">
      <c r="F8345" s="1"/>
    </row>
    <row r="8346" spans="6:6" x14ac:dyDescent="0.35">
      <c r="F8346" s="1"/>
    </row>
    <row r="8347" spans="6:6" x14ac:dyDescent="0.35">
      <c r="F8347" s="1"/>
    </row>
    <row r="8348" spans="6:6" x14ac:dyDescent="0.35">
      <c r="F8348" s="1"/>
    </row>
    <row r="8349" spans="6:6" x14ac:dyDescent="0.35">
      <c r="F8349" s="1"/>
    </row>
    <row r="8350" spans="6:6" x14ac:dyDescent="0.35">
      <c r="F8350" s="1"/>
    </row>
    <row r="8351" spans="6:6" x14ac:dyDescent="0.35">
      <c r="F8351" s="1"/>
    </row>
    <row r="8352" spans="6:6" x14ac:dyDescent="0.35">
      <c r="F8352" s="1"/>
    </row>
    <row r="8353" spans="6:6" x14ac:dyDescent="0.35">
      <c r="F8353" s="1"/>
    </row>
    <row r="8354" spans="6:6" x14ac:dyDescent="0.35">
      <c r="F8354" s="1"/>
    </row>
    <row r="8355" spans="6:6" x14ac:dyDescent="0.35">
      <c r="F8355" s="1"/>
    </row>
    <row r="8356" spans="6:6" x14ac:dyDescent="0.35">
      <c r="F8356" s="1"/>
    </row>
    <row r="8357" spans="6:6" x14ac:dyDescent="0.35">
      <c r="F8357" s="1"/>
    </row>
    <row r="8358" spans="6:6" x14ac:dyDescent="0.35">
      <c r="F8358" s="1"/>
    </row>
    <row r="8359" spans="6:6" x14ac:dyDescent="0.35">
      <c r="F8359" s="1"/>
    </row>
    <row r="8360" spans="6:6" x14ac:dyDescent="0.35">
      <c r="F8360" s="1"/>
    </row>
    <row r="8361" spans="6:6" x14ac:dyDescent="0.35">
      <c r="F8361" s="1"/>
    </row>
    <row r="8362" spans="6:6" x14ac:dyDescent="0.35">
      <c r="F8362" s="1"/>
    </row>
    <row r="8363" spans="6:6" x14ac:dyDescent="0.35">
      <c r="F8363" s="1"/>
    </row>
    <row r="8364" spans="6:6" x14ac:dyDescent="0.35">
      <c r="F8364" s="1"/>
    </row>
    <row r="8365" spans="6:6" x14ac:dyDescent="0.35">
      <c r="F8365" s="1"/>
    </row>
    <row r="8366" spans="6:6" x14ac:dyDescent="0.35">
      <c r="F8366" s="1"/>
    </row>
    <row r="8367" spans="6:6" x14ac:dyDescent="0.35">
      <c r="F8367" s="1"/>
    </row>
    <row r="8368" spans="6:6" x14ac:dyDescent="0.35">
      <c r="F8368" s="1"/>
    </row>
    <row r="8369" spans="6:6" x14ac:dyDescent="0.35">
      <c r="F8369" s="1"/>
    </row>
    <row r="8370" spans="6:6" x14ac:dyDescent="0.35">
      <c r="F8370" s="1"/>
    </row>
    <row r="8371" spans="6:6" x14ac:dyDescent="0.35">
      <c r="F8371" s="1"/>
    </row>
    <row r="8372" spans="6:6" x14ac:dyDescent="0.35">
      <c r="F8372" s="1"/>
    </row>
    <row r="8373" spans="6:6" x14ac:dyDescent="0.35">
      <c r="F8373" s="1"/>
    </row>
    <row r="8374" spans="6:6" x14ac:dyDescent="0.35">
      <c r="F8374" s="1"/>
    </row>
    <row r="8375" spans="6:6" x14ac:dyDescent="0.35">
      <c r="F8375" s="1"/>
    </row>
    <row r="8376" spans="6:6" x14ac:dyDescent="0.35">
      <c r="F8376" s="1"/>
    </row>
    <row r="8377" spans="6:6" x14ac:dyDescent="0.35">
      <c r="F8377" s="1"/>
    </row>
    <row r="8378" spans="6:6" x14ac:dyDescent="0.35">
      <c r="F8378" s="1"/>
    </row>
    <row r="8379" spans="6:6" x14ac:dyDescent="0.35">
      <c r="F8379" s="1"/>
    </row>
    <row r="8380" spans="6:6" x14ac:dyDescent="0.35">
      <c r="F8380" s="1"/>
    </row>
    <row r="8381" spans="6:6" x14ac:dyDescent="0.35">
      <c r="F8381" s="1"/>
    </row>
    <row r="8382" spans="6:6" x14ac:dyDescent="0.35">
      <c r="F8382" s="1"/>
    </row>
    <row r="8383" spans="6:6" x14ac:dyDescent="0.35">
      <c r="F8383" s="1"/>
    </row>
    <row r="8384" spans="6:6" x14ac:dyDescent="0.35">
      <c r="F8384" s="1"/>
    </row>
    <row r="8385" spans="6:6" x14ac:dyDescent="0.35">
      <c r="F8385" s="1"/>
    </row>
    <row r="8386" spans="6:6" x14ac:dyDescent="0.35">
      <c r="F8386" s="1"/>
    </row>
    <row r="8387" spans="6:6" x14ac:dyDescent="0.35">
      <c r="F8387" s="1"/>
    </row>
    <row r="8388" spans="6:6" x14ac:dyDescent="0.35">
      <c r="F8388" s="1"/>
    </row>
    <row r="8389" spans="6:6" x14ac:dyDescent="0.35">
      <c r="F8389" s="1"/>
    </row>
    <row r="8390" spans="6:6" x14ac:dyDescent="0.35">
      <c r="F8390" s="1"/>
    </row>
    <row r="8391" spans="6:6" x14ac:dyDescent="0.35">
      <c r="F8391" s="1"/>
    </row>
    <row r="8392" spans="6:6" x14ac:dyDescent="0.35">
      <c r="F8392" s="1"/>
    </row>
    <row r="8393" spans="6:6" x14ac:dyDescent="0.35">
      <c r="F8393" s="1"/>
    </row>
    <row r="8394" spans="6:6" x14ac:dyDescent="0.35">
      <c r="F8394" s="1"/>
    </row>
    <row r="8395" spans="6:6" x14ac:dyDescent="0.35">
      <c r="F8395" s="1"/>
    </row>
    <row r="8396" spans="6:6" x14ac:dyDescent="0.35">
      <c r="F8396" s="1"/>
    </row>
    <row r="8397" spans="6:6" x14ac:dyDescent="0.35">
      <c r="F8397" s="1"/>
    </row>
    <row r="8398" spans="6:6" x14ac:dyDescent="0.35">
      <c r="F8398" s="1"/>
    </row>
    <row r="8399" spans="6:6" x14ac:dyDescent="0.35">
      <c r="F8399" s="1"/>
    </row>
    <row r="8400" spans="6:6" x14ac:dyDescent="0.35">
      <c r="F8400" s="1"/>
    </row>
    <row r="8401" spans="6:6" x14ac:dyDescent="0.35">
      <c r="F8401" s="1"/>
    </row>
    <row r="8402" spans="6:6" x14ac:dyDescent="0.35">
      <c r="F8402" s="1"/>
    </row>
    <row r="8403" spans="6:6" x14ac:dyDescent="0.35">
      <c r="F8403" s="1"/>
    </row>
    <row r="8404" spans="6:6" x14ac:dyDescent="0.35">
      <c r="F8404" s="1"/>
    </row>
    <row r="8405" spans="6:6" x14ac:dyDescent="0.35">
      <c r="F8405" s="1"/>
    </row>
    <row r="8406" spans="6:6" x14ac:dyDescent="0.35">
      <c r="F8406" s="1"/>
    </row>
    <row r="8407" spans="6:6" x14ac:dyDescent="0.35">
      <c r="F8407" s="1"/>
    </row>
    <row r="8408" spans="6:6" x14ac:dyDescent="0.35">
      <c r="F8408" s="1"/>
    </row>
    <row r="8409" spans="6:6" x14ac:dyDescent="0.35">
      <c r="F8409" s="1"/>
    </row>
    <row r="8410" spans="6:6" x14ac:dyDescent="0.35">
      <c r="F8410" s="1"/>
    </row>
    <row r="8411" spans="6:6" x14ac:dyDescent="0.35">
      <c r="F8411" s="1"/>
    </row>
    <row r="8412" spans="6:6" x14ac:dyDescent="0.35">
      <c r="F8412" s="1"/>
    </row>
    <row r="8413" spans="6:6" x14ac:dyDescent="0.35">
      <c r="F8413" s="1"/>
    </row>
    <row r="8414" spans="6:6" x14ac:dyDescent="0.35">
      <c r="F8414" s="1"/>
    </row>
    <row r="8415" spans="6:6" x14ac:dyDescent="0.35">
      <c r="F8415" s="1"/>
    </row>
    <row r="8416" spans="6:6" x14ac:dyDescent="0.35">
      <c r="F8416" s="1"/>
    </row>
    <row r="8417" spans="6:6" x14ac:dyDescent="0.35">
      <c r="F8417" s="1"/>
    </row>
    <row r="8418" spans="6:6" x14ac:dyDescent="0.35">
      <c r="F8418" s="1"/>
    </row>
    <row r="8419" spans="6:6" x14ac:dyDescent="0.35">
      <c r="F8419" s="1"/>
    </row>
    <row r="8420" spans="6:6" x14ac:dyDescent="0.35">
      <c r="F8420" s="1"/>
    </row>
    <row r="8421" spans="6:6" x14ac:dyDescent="0.35">
      <c r="F8421" s="1"/>
    </row>
    <row r="8422" spans="6:6" x14ac:dyDescent="0.35">
      <c r="F8422" s="1"/>
    </row>
    <row r="8423" spans="6:6" x14ac:dyDescent="0.35">
      <c r="F8423" s="1"/>
    </row>
    <row r="8424" spans="6:6" x14ac:dyDescent="0.35">
      <c r="F8424" s="1"/>
    </row>
    <row r="8425" spans="6:6" x14ac:dyDescent="0.35">
      <c r="F8425" s="1"/>
    </row>
    <row r="8426" spans="6:6" x14ac:dyDescent="0.35">
      <c r="F8426" s="1"/>
    </row>
    <row r="8427" spans="6:6" x14ac:dyDescent="0.35">
      <c r="F8427" s="1"/>
    </row>
    <row r="8428" spans="6:6" x14ac:dyDescent="0.35">
      <c r="F8428" s="1"/>
    </row>
    <row r="8429" spans="6:6" x14ac:dyDescent="0.35">
      <c r="F8429" s="1"/>
    </row>
    <row r="8430" spans="6:6" x14ac:dyDescent="0.35">
      <c r="F8430" s="1"/>
    </row>
    <row r="8431" spans="6:6" x14ac:dyDescent="0.35">
      <c r="F8431" s="1"/>
    </row>
    <row r="8432" spans="6:6" x14ac:dyDescent="0.35">
      <c r="F8432" s="1"/>
    </row>
    <row r="8433" spans="6:6" x14ac:dyDescent="0.35">
      <c r="F8433" s="1"/>
    </row>
    <row r="8434" spans="6:6" x14ac:dyDescent="0.35">
      <c r="F8434" s="1"/>
    </row>
    <row r="8435" spans="6:6" x14ac:dyDescent="0.35">
      <c r="F8435" s="1"/>
    </row>
    <row r="8436" spans="6:6" x14ac:dyDescent="0.35">
      <c r="F8436" s="1"/>
    </row>
    <row r="8437" spans="6:6" x14ac:dyDescent="0.35">
      <c r="F8437" s="1"/>
    </row>
    <row r="8438" spans="6:6" x14ac:dyDescent="0.35">
      <c r="F8438" s="1"/>
    </row>
    <row r="8439" spans="6:6" x14ac:dyDescent="0.35">
      <c r="F8439" s="1"/>
    </row>
    <row r="8440" spans="6:6" x14ac:dyDescent="0.35">
      <c r="F8440" s="1"/>
    </row>
    <row r="8441" spans="6:6" x14ac:dyDescent="0.35">
      <c r="F8441" s="1"/>
    </row>
    <row r="8442" spans="6:6" x14ac:dyDescent="0.35">
      <c r="F8442" s="1"/>
    </row>
    <row r="8443" spans="6:6" x14ac:dyDescent="0.35">
      <c r="F8443" s="1"/>
    </row>
    <row r="8444" spans="6:6" x14ac:dyDescent="0.35">
      <c r="F8444" s="1"/>
    </row>
    <row r="8445" spans="6:6" x14ac:dyDescent="0.35">
      <c r="F8445" s="1"/>
    </row>
    <row r="8446" spans="6:6" x14ac:dyDescent="0.35">
      <c r="F8446" s="1"/>
    </row>
    <row r="8447" spans="6:6" x14ac:dyDescent="0.35">
      <c r="F8447" s="1"/>
    </row>
    <row r="8448" spans="6:6" x14ac:dyDescent="0.35">
      <c r="F8448" s="1"/>
    </row>
    <row r="8449" spans="6:6" x14ac:dyDescent="0.35">
      <c r="F8449" s="1"/>
    </row>
    <row r="8450" spans="6:6" x14ac:dyDescent="0.35">
      <c r="F8450" s="1"/>
    </row>
    <row r="8451" spans="6:6" x14ac:dyDescent="0.35">
      <c r="F8451" s="1"/>
    </row>
    <row r="8452" spans="6:6" x14ac:dyDescent="0.35">
      <c r="F8452" s="1"/>
    </row>
    <row r="8453" spans="6:6" x14ac:dyDescent="0.35">
      <c r="F8453" s="1"/>
    </row>
    <row r="8454" spans="6:6" x14ac:dyDescent="0.35">
      <c r="F8454" s="1"/>
    </row>
    <row r="8455" spans="6:6" x14ac:dyDescent="0.35">
      <c r="F8455" s="1"/>
    </row>
    <row r="8456" spans="6:6" x14ac:dyDescent="0.35">
      <c r="F8456" s="1"/>
    </row>
    <row r="8457" spans="6:6" x14ac:dyDescent="0.35">
      <c r="F8457" s="1"/>
    </row>
    <row r="8458" spans="6:6" x14ac:dyDescent="0.35">
      <c r="F8458" s="1"/>
    </row>
    <row r="8459" spans="6:6" x14ac:dyDescent="0.35">
      <c r="F8459" s="1"/>
    </row>
    <row r="8460" spans="6:6" x14ac:dyDescent="0.35">
      <c r="F8460" s="1"/>
    </row>
    <row r="8461" spans="6:6" x14ac:dyDescent="0.35">
      <c r="F8461" s="1"/>
    </row>
    <row r="8462" spans="6:6" x14ac:dyDescent="0.35">
      <c r="F8462" s="1"/>
    </row>
    <row r="8463" spans="6:6" x14ac:dyDescent="0.35">
      <c r="F8463" s="1"/>
    </row>
    <row r="8464" spans="6:6" x14ac:dyDescent="0.35">
      <c r="F8464" s="1"/>
    </row>
    <row r="8465" spans="6:6" x14ac:dyDescent="0.35">
      <c r="F8465" s="1"/>
    </row>
    <row r="8466" spans="6:6" x14ac:dyDescent="0.35">
      <c r="F8466" s="1"/>
    </row>
    <row r="8467" spans="6:6" x14ac:dyDescent="0.35">
      <c r="F8467" s="1"/>
    </row>
    <row r="8468" spans="6:6" x14ac:dyDescent="0.35">
      <c r="F8468" s="1"/>
    </row>
    <row r="8469" spans="6:6" x14ac:dyDescent="0.35">
      <c r="F8469" s="1"/>
    </row>
    <row r="8470" spans="6:6" x14ac:dyDescent="0.35">
      <c r="F8470" s="1"/>
    </row>
    <row r="8471" spans="6:6" x14ac:dyDescent="0.35">
      <c r="F8471" s="1"/>
    </row>
    <row r="8472" spans="6:6" x14ac:dyDescent="0.35">
      <c r="F8472" s="1"/>
    </row>
    <row r="8473" spans="6:6" x14ac:dyDescent="0.35">
      <c r="F8473" s="1"/>
    </row>
    <row r="8474" spans="6:6" x14ac:dyDescent="0.35">
      <c r="F8474" s="1"/>
    </row>
    <row r="8475" spans="6:6" x14ac:dyDescent="0.35">
      <c r="F8475" s="1"/>
    </row>
    <row r="8476" spans="6:6" x14ac:dyDescent="0.35">
      <c r="F8476" s="1"/>
    </row>
    <row r="8477" spans="6:6" x14ac:dyDescent="0.35">
      <c r="F8477" s="1"/>
    </row>
    <row r="8478" spans="6:6" x14ac:dyDescent="0.35">
      <c r="F8478" s="1"/>
    </row>
    <row r="8479" spans="6:6" x14ac:dyDescent="0.35">
      <c r="F8479" s="1"/>
    </row>
    <row r="8480" spans="6:6" x14ac:dyDescent="0.35">
      <c r="F8480" s="1"/>
    </row>
    <row r="8481" spans="6:6" x14ac:dyDescent="0.35">
      <c r="F8481" s="1"/>
    </row>
    <row r="8482" spans="6:6" x14ac:dyDescent="0.35">
      <c r="F8482" s="1"/>
    </row>
    <row r="8483" spans="6:6" x14ac:dyDescent="0.35">
      <c r="F8483" s="1"/>
    </row>
    <row r="8484" spans="6:6" x14ac:dyDescent="0.35">
      <c r="F8484" s="1"/>
    </row>
    <row r="8485" spans="6:6" x14ac:dyDescent="0.35">
      <c r="F8485" s="1"/>
    </row>
    <row r="8486" spans="6:6" x14ac:dyDescent="0.35">
      <c r="F8486" s="1"/>
    </row>
    <row r="8487" spans="6:6" x14ac:dyDescent="0.35">
      <c r="F8487" s="1"/>
    </row>
    <row r="8488" spans="6:6" x14ac:dyDescent="0.35">
      <c r="F8488" s="1"/>
    </row>
    <row r="8489" spans="6:6" x14ac:dyDescent="0.35">
      <c r="F8489" s="1"/>
    </row>
    <row r="8490" spans="6:6" x14ac:dyDescent="0.35">
      <c r="F8490" s="1"/>
    </row>
    <row r="8491" spans="6:6" x14ac:dyDescent="0.35">
      <c r="F8491" s="1"/>
    </row>
    <row r="8492" spans="6:6" x14ac:dyDescent="0.35">
      <c r="F8492" s="1"/>
    </row>
    <row r="8493" spans="6:6" x14ac:dyDescent="0.35">
      <c r="F8493" s="1"/>
    </row>
    <row r="8494" spans="6:6" x14ac:dyDescent="0.35">
      <c r="F8494" s="1"/>
    </row>
    <row r="8495" spans="6:6" x14ac:dyDescent="0.35">
      <c r="F8495" s="1"/>
    </row>
    <row r="8496" spans="6:6" x14ac:dyDescent="0.35">
      <c r="F8496" s="1"/>
    </row>
    <row r="8497" spans="6:6" x14ac:dyDescent="0.35">
      <c r="F8497" s="1"/>
    </row>
    <row r="8498" spans="6:6" x14ac:dyDescent="0.35">
      <c r="F8498" s="1"/>
    </row>
    <row r="8499" spans="6:6" x14ac:dyDescent="0.35">
      <c r="F8499" s="1"/>
    </row>
    <row r="8500" spans="6:6" x14ac:dyDescent="0.35">
      <c r="F8500" s="1"/>
    </row>
    <row r="8501" spans="6:6" x14ac:dyDescent="0.35">
      <c r="F8501" s="1"/>
    </row>
    <row r="8502" spans="6:6" x14ac:dyDescent="0.35">
      <c r="F8502" s="1"/>
    </row>
    <row r="8503" spans="6:6" x14ac:dyDescent="0.35">
      <c r="F8503" s="1"/>
    </row>
    <row r="8504" spans="6:6" x14ac:dyDescent="0.35">
      <c r="F8504" s="1"/>
    </row>
    <row r="8505" spans="6:6" x14ac:dyDescent="0.35">
      <c r="F8505" s="1"/>
    </row>
    <row r="8506" spans="6:6" x14ac:dyDescent="0.35">
      <c r="F8506" s="1"/>
    </row>
    <row r="8507" spans="6:6" x14ac:dyDescent="0.35">
      <c r="F8507" s="1"/>
    </row>
    <row r="8508" spans="6:6" x14ac:dyDescent="0.35">
      <c r="F8508" s="1"/>
    </row>
    <row r="8509" spans="6:6" x14ac:dyDescent="0.35">
      <c r="F8509" s="1"/>
    </row>
    <row r="8510" spans="6:6" x14ac:dyDescent="0.35">
      <c r="F8510" s="1"/>
    </row>
    <row r="8511" spans="6:6" x14ac:dyDescent="0.35">
      <c r="F8511" s="1"/>
    </row>
    <row r="8512" spans="6:6" x14ac:dyDescent="0.35">
      <c r="F8512" s="1"/>
    </row>
    <row r="8513" spans="6:6" x14ac:dyDescent="0.35">
      <c r="F8513" s="1"/>
    </row>
    <row r="8514" spans="6:6" x14ac:dyDescent="0.35">
      <c r="F8514" s="1"/>
    </row>
    <row r="8515" spans="6:6" x14ac:dyDescent="0.35">
      <c r="F8515" s="1"/>
    </row>
    <row r="8516" spans="6:6" x14ac:dyDescent="0.35">
      <c r="F8516" s="1"/>
    </row>
    <row r="8517" spans="6:6" x14ac:dyDescent="0.35">
      <c r="F8517" s="1"/>
    </row>
    <row r="8518" spans="6:6" x14ac:dyDescent="0.35">
      <c r="F8518" s="1"/>
    </row>
    <row r="8519" spans="6:6" x14ac:dyDescent="0.35">
      <c r="F8519" s="1"/>
    </row>
    <row r="8520" spans="6:6" x14ac:dyDescent="0.35">
      <c r="F8520" s="1"/>
    </row>
    <row r="8521" spans="6:6" x14ac:dyDescent="0.35">
      <c r="F8521" s="1"/>
    </row>
    <row r="8522" spans="6:6" x14ac:dyDescent="0.35">
      <c r="F8522" s="1"/>
    </row>
    <row r="8523" spans="6:6" x14ac:dyDescent="0.35">
      <c r="F8523" s="1"/>
    </row>
    <row r="8524" spans="6:6" x14ac:dyDescent="0.35">
      <c r="F8524" s="1"/>
    </row>
    <row r="8525" spans="6:6" x14ac:dyDescent="0.35">
      <c r="F8525" s="1"/>
    </row>
    <row r="8526" spans="6:6" x14ac:dyDescent="0.35">
      <c r="F8526" s="1"/>
    </row>
    <row r="8527" spans="6:6" x14ac:dyDescent="0.35">
      <c r="F8527" s="1"/>
    </row>
    <row r="8528" spans="6:6" x14ac:dyDescent="0.35">
      <c r="F8528" s="1"/>
    </row>
    <row r="8529" spans="6:6" x14ac:dyDescent="0.35">
      <c r="F8529" s="1"/>
    </row>
    <row r="8530" spans="6:6" x14ac:dyDescent="0.35">
      <c r="F8530" s="1"/>
    </row>
    <row r="8531" spans="6:6" x14ac:dyDescent="0.35">
      <c r="F8531" s="1"/>
    </row>
    <row r="8532" spans="6:6" x14ac:dyDescent="0.35">
      <c r="F8532" s="1"/>
    </row>
    <row r="8533" spans="6:6" x14ac:dyDescent="0.35">
      <c r="F8533" s="1"/>
    </row>
    <row r="8534" spans="6:6" x14ac:dyDescent="0.35">
      <c r="F8534" s="1"/>
    </row>
    <row r="8535" spans="6:6" x14ac:dyDescent="0.35">
      <c r="F8535" s="1"/>
    </row>
    <row r="8536" spans="6:6" x14ac:dyDescent="0.35">
      <c r="F8536" s="1"/>
    </row>
    <row r="8537" spans="6:6" x14ac:dyDescent="0.35">
      <c r="F8537" s="1"/>
    </row>
    <row r="8538" spans="6:6" x14ac:dyDescent="0.35">
      <c r="F8538" s="1"/>
    </row>
    <row r="8539" spans="6:6" x14ac:dyDescent="0.35">
      <c r="F8539" s="1"/>
    </row>
    <row r="8540" spans="6:6" x14ac:dyDescent="0.35">
      <c r="F8540" s="1"/>
    </row>
    <row r="8541" spans="6:6" x14ac:dyDescent="0.35">
      <c r="F8541" s="1"/>
    </row>
    <row r="8542" spans="6:6" x14ac:dyDescent="0.35">
      <c r="F8542" s="1"/>
    </row>
    <row r="8543" spans="6:6" x14ac:dyDescent="0.35">
      <c r="F8543" s="1"/>
    </row>
    <row r="8544" spans="6:6" x14ac:dyDescent="0.35">
      <c r="F8544" s="1"/>
    </row>
    <row r="8545" spans="6:6" x14ac:dyDescent="0.35">
      <c r="F8545" s="1"/>
    </row>
    <row r="8546" spans="6:6" x14ac:dyDescent="0.35">
      <c r="F8546" s="1"/>
    </row>
    <row r="8547" spans="6:6" x14ac:dyDescent="0.35">
      <c r="F8547" s="1"/>
    </row>
    <row r="8548" spans="6:6" x14ac:dyDescent="0.35">
      <c r="F8548" s="1"/>
    </row>
    <row r="8549" spans="6:6" x14ac:dyDescent="0.35">
      <c r="F8549" s="1"/>
    </row>
    <row r="8550" spans="6:6" x14ac:dyDescent="0.35">
      <c r="F8550" s="1"/>
    </row>
    <row r="8551" spans="6:6" x14ac:dyDescent="0.35">
      <c r="F8551" s="1"/>
    </row>
    <row r="8552" spans="6:6" x14ac:dyDescent="0.35">
      <c r="F8552" s="1"/>
    </row>
    <row r="8553" spans="6:6" x14ac:dyDescent="0.35">
      <c r="F8553" s="1"/>
    </row>
    <row r="8554" spans="6:6" x14ac:dyDescent="0.35">
      <c r="F8554" s="1"/>
    </row>
    <row r="8555" spans="6:6" x14ac:dyDescent="0.35">
      <c r="F8555" s="1"/>
    </row>
    <row r="8556" spans="6:6" x14ac:dyDescent="0.35">
      <c r="F8556" s="1"/>
    </row>
    <row r="8557" spans="6:6" x14ac:dyDescent="0.35">
      <c r="F8557" s="1"/>
    </row>
    <row r="8558" spans="6:6" x14ac:dyDescent="0.35">
      <c r="F8558" s="1"/>
    </row>
    <row r="8559" spans="6:6" x14ac:dyDescent="0.35">
      <c r="F8559" s="1"/>
    </row>
    <row r="8560" spans="6:6" x14ac:dyDescent="0.35">
      <c r="F8560" s="1"/>
    </row>
    <row r="8561" spans="6:6" x14ac:dyDescent="0.35">
      <c r="F8561" s="1"/>
    </row>
    <row r="8562" spans="6:6" x14ac:dyDescent="0.35">
      <c r="F8562" s="1"/>
    </row>
    <row r="8563" spans="6:6" x14ac:dyDescent="0.35">
      <c r="F8563" s="1"/>
    </row>
    <row r="8564" spans="6:6" x14ac:dyDescent="0.35">
      <c r="F8564" s="1"/>
    </row>
    <row r="8565" spans="6:6" x14ac:dyDescent="0.35">
      <c r="F8565" s="1"/>
    </row>
    <row r="8566" spans="6:6" x14ac:dyDescent="0.35">
      <c r="F8566" s="1"/>
    </row>
    <row r="8567" spans="6:6" x14ac:dyDescent="0.35">
      <c r="F8567" s="1"/>
    </row>
    <row r="8568" spans="6:6" x14ac:dyDescent="0.35">
      <c r="F8568" s="1"/>
    </row>
    <row r="8569" spans="6:6" x14ac:dyDescent="0.35">
      <c r="F8569" s="1"/>
    </row>
    <row r="8570" spans="6:6" x14ac:dyDescent="0.35">
      <c r="F8570" s="1"/>
    </row>
    <row r="8571" spans="6:6" x14ac:dyDescent="0.35">
      <c r="F8571" s="1"/>
    </row>
    <row r="8572" spans="6:6" x14ac:dyDescent="0.35">
      <c r="F8572" s="1"/>
    </row>
    <row r="8573" spans="6:6" x14ac:dyDescent="0.35">
      <c r="F8573" s="1"/>
    </row>
    <row r="8574" spans="6:6" x14ac:dyDescent="0.35">
      <c r="F8574" s="1"/>
    </row>
    <row r="8575" spans="6:6" x14ac:dyDescent="0.35">
      <c r="F8575" s="1"/>
    </row>
    <row r="8576" spans="6:6" x14ac:dyDescent="0.35">
      <c r="F8576" s="1"/>
    </row>
    <row r="8577" spans="6:6" x14ac:dyDescent="0.35">
      <c r="F8577" s="1"/>
    </row>
    <row r="8578" spans="6:6" x14ac:dyDescent="0.35">
      <c r="F8578" s="1"/>
    </row>
    <row r="8579" spans="6:6" x14ac:dyDescent="0.35">
      <c r="F8579" s="1"/>
    </row>
    <row r="8580" spans="6:6" x14ac:dyDescent="0.35">
      <c r="F8580" s="1"/>
    </row>
    <row r="8581" spans="6:6" x14ac:dyDescent="0.35">
      <c r="F8581" s="1"/>
    </row>
    <row r="8582" spans="6:6" x14ac:dyDescent="0.35">
      <c r="F8582" s="1"/>
    </row>
    <row r="8583" spans="6:6" x14ac:dyDescent="0.35">
      <c r="F8583" s="1"/>
    </row>
    <row r="8584" spans="6:6" x14ac:dyDescent="0.35">
      <c r="F8584" s="1"/>
    </row>
    <row r="8585" spans="6:6" x14ac:dyDescent="0.35">
      <c r="F8585" s="1"/>
    </row>
    <row r="8586" spans="6:6" x14ac:dyDescent="0.35">
      <c r="F8586" s="1"/>
    </row>
    <row r="8587" spans="6:6" x14ac:dyDescent="0.35">
      <c r="F8587" s="1"/>
    </row>
    <row r="8588" spans="6:6" x14ac:dyDescent="0.35">
      <c r="F8588" s="1"/>
    </row>
    <row r="8589" spans="6:6" x14ac:dyDescent="0.35">
      <c r="F8589" s="1"/>
    </row>
    <row r="8590" spans="6:6" x14ac:dyDescent="0.35">
      <c r="F8590" s="1"/>
    </row>
    <row r="8591" spans="6:6" x14ac:dyDescent="0.35">
      <c r="F8591" s="1"/>
    </row>
    <row r="8592" spans="6:6" x14ac:dyDescent="0.35">
      <c r="F8592" s="1"/>
    </row>
    <row r="8593" spans="6:6" x14ac:dyDescent="0.35">
      <c r="F8593" s="1"/>
    </row>
    <row r="8594" spans="6:6" x14ac:dyDescent="0.35">
      <c r="F8594" s="1"/>
    </row>
    <row r="8595" spans="6:6" x14ac:dyDescent="0.35">
      <c r="F8595" s="1"/>
    </row>
    <row r="8596" spans="6:6" x14ac:dyDescent="0.35">
      <c r="F8596" s="1"/>
    </row>
    <row r="8597" spans="6:6" x14ac:dyDescent="0.35">
      <c r="F8597" s="1"/>
    </row>
    <row r="8598" spans="6:6" x14ac:dyDescent="0.35">
      <c r="F8598" s="1"/>
    </row>
    <row r="8599" spans="6:6" x14ac:dyDescent="0.35">
      <c r="F8599" s="1"/>
    </row>
    <row r="8600" spans="6:6" x14ac:dyDescent="0.35">
      <c r="F8600" s="1"/>
    </row>
    <row r="8601" spans="6:6" x14ac:dyDescent="0.35">
      <c r="F8601" s="1"/>
    </row>
    <row r="8602" spans="6:6" x14ac:dyDescent="0.35">
      <c r="F8602" s="1"/>
    </row>
    <row r="8603" spans="6:6" x14ac:dyDescent="0.35">
      <c r="F8603" s="1"/>
    </row>
    <row r="8604" spans="6:6" x14ac:dyDescent="0.35">
      <c r="F8604" s="1"/>
    </row>
    <row r="8605" spans="6:6" x14ac:dyDescent="0.35">
      <c r="F8605" s="1"/>
    </row>
    <row r="8606" spans="6:6" x14ac:dyDescent="0.35">
      <c r="F8606" s="1"/>
    </row>
    <row r="8607" spans="6:6" x14ac:dyDescent="0.35">
      <c r="F8607" s="1"/>
    </row>
    <row r="8608" spans="6:6" x14ac:dyDescent="0.35">
      <c r="F8608" s="1"/>
    </row>
    <row r="8609" spans="6:6" x14ac:dyDescent="0.35">
      <c r="F8609" s="1"/>
    </row>
    <row r="8610" spans="6:6" x14ac:dyDescent="0.35">
      <c r="F8610" s="1"/>
    </row>
    <row r="8611" spans="6:6" x14ac:dyDescent="0.35">
      <c r="F8611" s="1"/>
    </row>
    <row r="8612" spans="6:6" x14ac:dyDescent="0.35">
      <c r="F8612" s="1"/>
    </row>
    <row r="8613" spans="6:6" x14ac:dyDescent="0.35">
      <c r="F8613" s="1"/>
    </row>
    <row r="8614" spans="6:6" x14ac:dyDescent="0.35">
      <c r="F8614" s="1"/>
    </row>
    <row r="8615" spans="6:6" x14ac:dyDescent="0.35">
      <c r="F8615" s="1"/>
    </row>
    <row r="8616" spans="6:6" x14ac:dyDescent="0.35">
      <c r="F8616" s="1"/>
    </row>
    <row r="8617" spans="6:6" x14ac:dyDescent="0.35">
      <c r="F8617" s="1"/>
    </row>
    <row r="8618" spans="6:6" x14ac:dyDescent="0.35">
      <c r="F8618" s="1"/>
    </row>
    <row r="8619" spans="6:6" x14ac:dyDescent="0.35">
      <c r="F8619" s="1"/>
    </row>
    <row r="8620" spans="6:6" x14ac:dyDescent="0.35">
      <c r="F8620" s="1"/>
    </row>
    <row r="8621" spans="6:6" x14ac:dyDescent="0.35">
      <c r="F8621" s="1"/>
    </row>
    <row r="8622" spans="6:6" x14ac:dyDescent="0.35">
      <c r="F8622" s="1"/>
    </row>
    <row r="8623" spans="6:6" x14ac:dyDescent="0.35">
      <c r="F8623" s="1"/>
    </row>
    <row r="8624" spans="6:6" x14ac:dyDescent="0.35">
      <c r="F8624" s="1"/>
    </row>
    <row r="8625" spans="6:6" x14ac:dyDescent="0.35">
      <c r="F8625" s="1"/>
    </row>
    <row r="8626" spans="6:6" x14ac:dyDescent="0.35">
      <c r="F8626" s="1"/>
    </row>
    <row r="8627" spans="6:6" x14ac:dyDescent="0.35">
      <c r="F8627" s="1"/>
    </row>
    <row r="8628" spans="6:6" x14ac:dyDescent="0.35">
      <c r="F8628" s="1"/>
    </row>
    <row r="8629" spans="6:6" x14ac:dyDescent="0.35">
      <c r="F8629" s="1"/>
    </row>
    <row r="8630" spans="6:6" x14ac:dyDescent="0.35">
      <c r="F8630" s="1"/>
    </row>
    <row r="8631" spans="6:6" x14ac:dyDescent="0.35">
      <c r="F8631" s="1"/>
    </row>
    <row r="8632" spans="6:6" x14ac:dyDescent="0.35">
      <c r="F8632" s="1"/>
    </row>
    <row r="8633" spans="6:6" x14ac:dyDescent="0.35">
      <c r="F8633" s="1"/>
    </row>
    <row r="8634" spans="6:6" x14ac:dyDescent="0.35">
      <c r="F8634" s="1"/>
    </row>
    <row r="8635" spans="6:6" x14ac:dyDescent="0.35">
      <c r="F8635" s="1"/>
    </row>
    <row r="8636" spans="6:6" x14ac:dyDescent="0.35">
      <c r="F8636" s="1"/>
    </row>
    <row r="8637" spans="6:6" x14ac:dyDescent="0.35">
      <c r="F8637" s="1"/>
    </row>
    <row r="8638" spans="6:6" x14ac:dyDescent="0.35">
      <c r="F8638" s="1"/>
    </row>
    <row r="8639" spans="6:6" x14ac:dyDescent="0.35">
      <c r="F8639" s="1"/>
    </row>
    <row r="8640" spans="6:6" x14ac:dyDescent="0.35">
      <c r="F8640" s="1"/>
    </row>
    <row r="8641" spans="6:6" x14ac:dyDescent="0.35">
      <c r="F8641" s="1"/>
    </row>
    <row r="8642" spans="6:6" x14ac:dyDescent="0.35">
      <c r="F8642" s="1"/>
    </row>
    <row r="8643" spans="6:6" x14ac:dyDescent="0.35">
      <c r="F8643" s="1"/>
    </row>
    <row r="8644" spans="6:6" x14ac:dyDescent="0.35">
      <c r="F8644" s="1"/>
    </row>
    <row r="8645" spans="6:6" x14ac:dyDescent="0.35">
      <c r="F8645" s="1"/>
    </row>
    <row r="8646" spans="6:6" x14ac:dyDescent="0.35">
      <c r="F8646" s="1"/>
    </row>
    <row r="8647" spans="6:6" x14ac:dyDescent="0.35">
      <c r="F8647" s="1"/>
    </row>
    <row r="8648" spans="6:6" x14ac:dyDescent="0.35">
      <c r="F8648" s="1"/>
    </row>
    <row r="8649" spans="6:6" x14ac:dyDescent="0.35">
      <c r="F8649" s="1"/>
    </row>
    <row r="8650" spans="6:6" x14ac:dyDescent="0.35">
      <c r="F8650" s="1"/>
    </row>
    <row r="8651" spans="6:6" x14ac:dyDescent="0.35">
      <c r="F8651" s="1"/>
    </row>
    <row r="8652" spans="6:6" x14ac:dyDescent="0.35">
      <c r="F8652" s="1"/>
    </row>
    <row r="8653" spans="6:6" x14ac:dyDescent="0.35">
      <c r="F8653" s="1"/>
    </row>
    <row r="8654" spans="6:6" x14ac:dyDescent="0.35">
      <c r="F8654" s="1"/>
    </row>
    <row r="8655" spans="6:6" x14ac:dyDescent="0.35">
      <c r="F8655" s="1"/>
    </row>
    <row r="8656" spans="6:6" x14ac:dyDescent="0.35">
      <c r="F8656" s="1"/>
    </row>
    <row r="8657" spans="6:6" x14ac:dyDescent="0.35">
      <c r="F8657" s="1"/>
    </row>
    <row r="8658" spans="6:6" x14ac:dyDescent="0.35">
      <c r="F8658" s="1"/>
    </row>
    <row r="8659" spans="6:6" x14ac:dyDescent="0.35">
      <c r="F8659" s="1"/>
    </row>
    <row r="8660" spans="6:6" x14ac:dyDescent="0.35">
      <c r="F8660" s="1"/>
    </row>
    <row r="8661" spans="6:6" x14ac:dyDescent="0.35">
      <c r="F8661" s="1"/>
    </row>
    <row r="8662" spans="6:6" x14ac:dyDescent="0.35">
      <c r="F8662" s="1"/>
    </row>
    <row r="8663" spans="6:6" x14ac:dyDescent="0.35">
      <c r="F8663" s="1"/>
    </row>
    <row r="8664" spans="6:6" x14ac:dyDescent="0.35">
      <c r="F8664" s="1"/>
    </row>
    <row r="8665" spans="6:6" x14ac:dyDescent="0.35">
      <c r="F8665" s="1"/>
    </row>
    <row r="8666" spans="6:6" x14ac:dyDescent="0.35">
      <c r="F8666" s="1"/>
    </row>
    <row r="8667" spans="6:6" x14ac:dyDescent="0.35">
      <c r="F8667" s="1"/>
    </row>
    <row r="8668" spans="6:6" x14ac:dyDescent="0.35">
      <c r="F8668" s="1"/>
    </row>
    <row r="8669" spans="6:6" x14ac:dyDescent="0.35">
      <c r="F8669" s="1"/>
    </row>
    <row r="8670" spans="6:6" x14ac:dyDescent="0.35">
      <c r="F8670" s="1"/>
    </row>
    <row r="8671" spans="6:6" x14ac:dyDescent="0.35">
      <c r="F8671" s="1"/>
    </row>
    <row r="8672" spans="6:6" x14ac:dyDescent="0.35">
      <c r="F8672" s="1"/>
    </row>
    <row r="8673" spans="6:6" x14ac:dyDescent="0.35">
      <c r="F8673" s="1"/>
    </row>
    <row r="8674" spans="6:6" x14ac:dyDescent="0.35">
      <c r="F8674" s="1"/>
    </row>
    <row r="8675" spans="6:6" x14ac:dyDescent="0.35">
      <c r="F8675" s="1"/>
    </row>
    <row r="8676" spans="6:6" x14ac:dyDescent="0.35">
      <c r="F8676" s="1"/>
    </row>
    <row r="8677" spans="6:6" x14ac:dyDescent="0.35">
      <c r="F8677" s="1"/>
    </row>
  </sheetData>
  <conditionalFormatting sqref="R4:U984">
    <cfRule type="containsText" dxfId="3" priority="1" operator="containsText" text="1">
      <formula>NOT(ISERROR(SEARCH("1",R4)))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1011B-B301-4EAF-8477-96B890CCFA16}">
  <sheetPr codeName="Sheet2" filterMode="1"/>
  <dimension ref="A1:AC4939"/>
  <sheetViews>
    <sheetView topLeftCell="B1" zoomScale="83" zoomScaleNormal="115" workbookViewId="0">
      <pane ySplit="3" topLeftCell="A206" activePane="bottomLeft" state="frozen"/>
      <selection pane="bottomLeft" activeCell="Y4941" sqref="Y4941"/>
    </sheetView>
  </sheetViews>
  <sheetFormatPr defaultRowHeight="14.5" x14ac:dyDescent="0.35"/>
  <cols>
    <col min="1" max="1" width="0" hidden="1" customWidth="1"/>
    <col min="2" max="2" width="6.6328125" bestFit="1" customWidth="1"/>
    <col min="3" max="3" width="12.54296875" bestFit="1" customWidth="1"/>
    <col min="4" max="4" width="12.453125" bestFit="1" customWidth="1"/>
    <col min="5" max="5" width="6.36328125" bestFit="1" customWidth="1"/>
    <col min="6" max="6" width="28.453125" bestFit="1" customWidth="1"/>
    <col min="10" max="10" width="3.7265625" style="58" customWidth="1"/>
    <col min="11" max="13" width="5.1796875" hidden="1" customWidth="1"/>
    <col min="14" max="14" width="7.1796875" hidden="1" customWidth="1"/>
    <col min="15" max="15" width="5.1796875" hidden="1" customWidth="1"/>
    <col min="16" max="16" width="4.453125" style="58" hidden="1" customWidth="1"/>
    <col min="17" max="17" width="5.1796875" style="58" hidden="1" customWidth="1"/>
    <col min="18" max="18" width="5.1796875" style="58" bestFit="1" customWidth="1"/>
    <col min="19" max="22" width="5.1796875" style="58" hidden="1" customWidth="1"/>
    <col min="23" max="23" width="5.1796875" style="58" bestFit="1" customWidth="1"/>
    <col min="24" max="24" width="3.81640625" customWidth="1"/>
  </cols>
  <sheetData>
    <row r="1" spans="1:29" x14ac:dyDescent="0.35">
      <c r="J1" s="52" t="s">
        <v>0</v>
      </c>
      <c r="K1" s="33"/>
      <c r="L1" s="33"/>
      <c r="M1" s="33"/>
      <c r="N1" s="33"/>
      <c r="O1" s="2"/>
      <c r="P1" s="2" t="s">
        <v>1</v>
      </c>
      <c r="Q1" s="59"/>
      <c r="R1" s="59"/>
      <c r="S1" s="59"/>
      <c r="T1" s="59"/>
      <c r="U1" s="59"/>
      <c r="V1" s="3"/>
      <c r="W1" s="61"/>
    </row>
    <row r="2" spans="1:29" x14ac:dyDescent="0.35">
      <c r="J2" s="53" t="s">
        <v>2</v>
      </c>
      <c r="K2" s="34"/>
      <c r="L2" s="34"/>
      <c r="M2" s="34"/>
      <c r="N2" s="34"/>
      <c r="O2" s="4"/>
      <c r="P2" s="4"/>
      <c r="V2" s="5"/>
      <c r="W2" s="62"/>
    </row>
    <row r="3" spans="1:29" ht="142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4" t="s">
        <v>7571</v>
      </c>
      <c r="J3" s="54" t="s">
        <v>3957</v>
      </c>
      <c r="K3" s="25" t="s">
        <v>11</v>
      </c>
      <c r="L3" s="25" t="s">
        <v>12</v>
      </c>
      <c r="M3" s="25" t="s">
        <v>13</v>
      </c>
      <c r="N3" s="25" t="s">
        <v>14</v>
      </c>
      <c r="O3" s="67" t="s">
        <v>15</v>
      </c>
      <c r="P3" s="67" t="s">
        <v>16</v>
      </c>
      <c r="Q3" s="66" t="s">
        <v>17</v>
      </c>
      <c r="R3" s="66" t="s">
        <v>18</v>
      </c>
      <c r="S3" s="66" t="s">
        <v>19</v>
      </c>
      <c r="T3" s="66" t="s">
        <v>20</v>
      </c>
      <c r="U3" s="66" t="s">
        <v>21</v>
      </c>
      <c r="V3" s="68" t="s">
        <v>22</v>
      </c>
      <c r="W3" s="66" t="s">
        <v>6929</v>
      </c>
      <c r="X3" s="9" t="s">
        <v>24</v>
      </c>
      <c r="Y3" s="9" t="s">
        <v>25</v>
      </c>
      <c r="AB3" s="8" t="s">
        <v>23</v>
      </c>
    </row>
    <row r="4" spans="1:29" x14ac:dyDescent="0.35">
      <c r="A4">
        <v>0</v>
      </c>
      <c r="B4">
        <v>1</v>
      </c>
      <c r="C4">
        <v>146.0687504</v>
      </c>
      <c r="D4">
        <v>-17.512214620000002</v>
      </c>
      <c r="G4">
        <v>1</v>
      </c>
      <c r="H4" t="s">
        <v>26</v>
      </c>
      <c r="I4" t="str">
        <f>IF(H4="X","X",IF(J4="NA","X",IF(J4="","X",J4)))</f>
        <v>X</v>
      </c>
      <c r="J4" s="53"/>
      <c r="K4" s="32"/>
      <c r="L4" s="32"/>
      <c r="M4" s="32"/>
      <c r="N4" s="32"/>
      <c r="O4" s="10"/>
      <c r="P4" s="4"/>
      <c r="Q4" s="4"/>
      <c r="R4" s="4"/>
      <c r="V4" s="5"/>
      <c r="W4" s="4"/>
      <c r="AB4">
        <v>1</v>
      </c>
      <c r="AC4" t="s">
        <v>27</v>
      </c>
    </row>
    <row r="5" spans="1:29" x14ac:dyDescent="0.35">
      <c r="A5">
        <v>1</v>
      </c>
      <c r="B5">
        <v>2</v>
      </c>
      <c r="C5">
        <v>146.0686929</v>
      </c>
      <c r="D5">
        <v>-17.512139869999999</v>
      </c>
      <c r="G5">
        <v>1</v>
      </c>
      <c r="H5" t="s">
        <v>26</v>
      </c>
      <c r="I5" t="str">
        <f t="shared" ref="I5:I68" si="0">IF(H5="X","X",IF(J5="NA","X",IF(J5="","X",J5)))</f>
        <v>X</v>
      </c>
      <c r="J5" s="53"/>
      <c r="K5" s="32"/>
      <c r="L5" s="32"/>
      <c r="M5" s="32"/>
      <c r="N5" s="32"/>
      <c r="O5" s="10"/>
      <c r="P5" s="4"/>
      <c r="Q5" s="4"/>
      <c r="R5" s="4"/>
      <c r="V5" s="5"/>
      <c r="W5" s="4"/>
      <c r="AB5">
        <v>2</v>
      </c>
      <c r="AC5" t="s">
        <v>28</v>
      </c>
    </row>
    <row r="6" spans="1:29" x14ac:dyDescent="0.35">
      <c r="A6">
        <v>2</v>
      </c>
      <c r="B6">
        <v>3</v>
      </c>
      <c r="C6">
        <v>146.06863540000001</v>
      </c>
      <c r="D6">
        <v>-17.51206513</v>
      </c>
      <c r="G6">
        <v>1</v>
      </c>
      <c r="H6" t="s">
        <v>26</v>
      </c>
      <c r="I6" t="str">
        <f t="shared" si="0"/>
        <v>X</v>
      </c>
      <c r="J6" s="53"/>
      <c r="K6" s="32"/>
      <c r="L6" s="32"/>
      <c r="M6" s="32"/>
      <c r="N6" s="32"/>
      <c r="O6" s="10"/>
      <c r="P6" s="4"/>
      <c r="Q6" s="4"/>
      <c r="R6" s="4"/>
      <c r="V6" s="5"/>
      <c r="W6" s="4"/>
      <c r="AB6">
        <v>3</v>
      </c>
      <c r="AC6" t="s">
        <v>29</v>
      </c>
    </row>
    <row r="7" spans="1:29" x14ac:dyDescent="0.35">
      <c r="A7">
        <v>3</v>
      </c>
      <c r="B7">
        <v>4</v>
      </c>
      <c r="C7">
        <v>146.06857790000001</v>
      </c>
      <c r="D7">
        <v>-17.511990390000001</v>
      </c>
      <c r="G7">
        <v>1</v>
      </c>
      <c r="H7" t="s">
        <v>26</v>
      </c>
      <c r="I7" t="str">
        <f t="shared" si="0"/>
        <v>X</v>
      </c>
      <c r="J7" s="53"/>
      <c r="K7" s="32"/>
      <c r="L7" s="32"/>
      <c r="M7" s="32"/>
      <c r="N7" s="32"/>
      <c r="O7" s="10"/>
      <c r="P7" s="4"/>
      <c r="Q7" s="4"/>
      <c r="R7" s="4"/>
      <c r="V7" s="5"/>
      <c r="W7" s="4"/>
      <c r="AB7">
        <v>4</v>
      </c>
      <c r="AC7" t="s">
        <v>30</v>
      </c>
    </row>
    <row r="8" spans="1:29" x14ac:dyDescent="0.35">
      <c r="A8">
        <v>4</v>
      </c>
      <c r="B8">
        <v>5</v>
      </c>
      <c r="C8">
        <v>146.06851420000001</v>
      </c>
      <c r="D8">
        <v>-17.511920889999999</v>
      </c>
      <c r="E8">
        <v>50</v>
      </c>
      <c r="G8">
        <v>1</v>
      </c>
      <c r="H8" t="s">
        <v>26</v>
      </c>
      <c r="I8" t="str">
        <f t="shared" si="0"/>
        <v>X</v>
      </c>
      <c r="J8" s="53"/>
      <c r="K8" s="32"/>
      <c r="L8" s="32"/>
      <c r="M8" s="32"/>
      <c r="N8" s="32"/>
      <c r="O8" s="10"/>
      <c r="P8" s="4"/>
      <c r="Q8" s="4"/>
      <c r="R8" s="4"/>
      <c r="V8" s="5"/>
      <c r="W8" s="4"/>
    </row>
    <row r="9" spans="1:29" x14ac:dyDescent="0.35">
      <c r="A9">
        <v>5</v>
      </c>
      <c r="B9">
        <v>6</v>
      </c>
      <c r="C9">
        <v>146.0684493</v>
      </c>
      <c r="D9">
        <v>-17.511852470000001</v>
      </c>
      <c r="G9">
        <v>1</v>
      </c>
      <c r="H9" t="s">
        <v>26</v>
      </c>
      <c r="I9" t="str">
        <f t="shared" si="0"/>
        <v>X</v>
      </c>
      <c r="J9" s="53"/>
      <c r="K9" s="32"/>
      <c r="L9" s="32"/>
      <c r="M9" s="32"/>
      <c r="N9" s="32"/>
      <c r="O9" s="10"/>
      <c r="P9" s="4"/>
      <c r="Q9" s="4"/>
      <c r="R9" s="4"/>
      <c r="V9" s="5"/>
      <c r="W9" s="4"/>
    </row>
    <row r="10" spans="1:29" x14ac:dyDescent="0.35">
      <c r="A10">
        <v>6</v>
      </c>
      <c r="B10">
        <v>7</v>
      </c>
      <c r="C10">
        <v>146.06838440000001</v>
      </c>
      <c r="D10">
        <v>-17.511784039999998</v>
      </c>
      <c r="G10">
        <v>1</v>
      </c>
      <c r="H10" t="s">
        <v>26</v>
      </c>
      <c r="I10" t="str">
        <f t="shared" si="0"/>
        <v>X</v>
      </c>
      <c r="J10" s="53"/>
      <c r="K10" s="32"/>
      <c r="L10" s="32"/>
      <c r="M10" s="32"/>
      <c r="N10" s="32"/>
      <c r="O10" s="10"/>
      <c r="P10" s="4"/>
      <c r="Q10" s="4"/>
      <c r="R10" s="4"/>
      <c r="V10" s="5"/>
      <c r="W10" s="4"/>
      <c r="AB10" s="58"/>
      <c r="AC10" t="s">
        <v>31</v>
      </c>
    </row>
    <row r="11" spans="1:29" x14ac:dyDescent="0.35">
      <c r="A11">
        <v>7</v>
      </c>
      <c r="B11">
        <v>8</v>
      </c>
      <c r="C11">
        <v>146.0683195</v>
      </c>
      <c r="D11">
        <v>-17.51171561</v>
      </c>
      <c r="G11">
        <v>1</v>
      </c>
      <c r="H11" t="s">
        <v>26</v>
      </c>
      <c r="I11" t="str">
        <f t="shared" si="0"/>
        <v>X</v>
      </c>
      <c r="J11" s="53"/>
      <c r="K11" s="32"/>
      <c r="L11" s="32"/>
      <c r="M11" s="32"/>
      <c r="N11" s="32"/>
      <c r="O11" s="10"/>
      <c r="P11" s="4"/>
      <c r="Q11" s="4"/>
      <c r="R11" s="4"/>
      <c r="V11" s="5"/>
      <c r="W11" s="4"/>
    </row>
    <row r="12" spans="1:29" x14ac:dyDescent="0.35">
      <c r="A12">
        <v>8</v>
      </c>
      <c r="B12">
        <v>9</v>
      </c>
      <c r="C12">
        <v>146.06828669999999</v>
      </c>
      <c r="D12">
        <v>-17.511629419999998</v>
      </c>
      <c r="G12">
        <v>1</v>
      </c>
      <c r="H12" t="s">
        <v>26</v>
      </c>
      <c r="I12" t="str">
        <f t="shared" si="0"/>
        <v>X</v>
      </c>
      <c r="J12" s="53"/>
      <c r="K12" s="32"/>
      <c r="L12" s="32"/>
      <c r="M12" s="32"/>
      <c r="N12" s="32"/>
      <c r="O12" s="10"/>
      <c r="P12" s="4"/>
      <c r="Q12" s="4"/>
      <c r="R12" s="4"/>
      <c r="V12" s="5"/>
      <c r="W12" s="4"/>
    </row>
    <row r="13" spans="1:29" x14ac:dyDescent="0.35">
      <c r="A13">
        <v>9</v>
      </c>
      <c r="B13">
        <v>10</v>
      </c>
      <c r="C13">
        <v>146.0682631</v>
      </c>
      <c r="D13">
        <v>-17.511538120000001</v>
      </c>
      <c r="E13">
        <v>50</v>
      </c>
      <c r="G13">
        <v>1</v>
      </c>
      <c r="H13" t="s">
        <v>26</v>
      </c>
      <c r="I13" t="str">
        <f t="shared" si="0"/>
        <v>X</v>
      </c>
      <c r="J13" s="53"/>
      <c r="K13" s="32"/>
      <c r="L13" s="32"/>
      <c r="M13" s="32"/>
      <c r="N13" s="32"/>
      <c r="O13" s="10"/>
      <c r="P13" s="4"/>
      <c r="Q13" s="4"/>
      <c r="R13" s="4"/>
      <c r="V13" s="5"/>
      <c r="W13" s="4"/>
    </row>
    <row r="14" spans="1:29" ht="15" thickBot="1" x14ac:dyDescent="0.4">
      <c r="A14">
        <v>10</v>
      </c>
      <c r="B14">
        <v>11</v>
      </c>
      <c r="C14">
        <v>146.06823940000001</v>
      </c>
      <c r="D14">
        <v>-17.511446830000001</v>
      </c>
      <c r="G14">
        <v>1</v>
      </c>
      <c r="H14" t="s">
        <v>26</v>
      </c>
      <c r="I14" t="str">
        <f t="shared" si="0"/>
        <v>X</v>
      </c>
      <c r="J14" s="53"/>
      <c r="K14" s="32"/>
      <c r="L14" s="32"/>
      <c r="M14" s="32"/>
      <c r="N14" s="32"/>
      <c r="O14" s="10"/>
      <c r="P14" s="4"/>
      <c r="Q14" s="4"/>
      <c r="R14" s="4"/>
      <c r="V14" s="5"/>
      <c r="W14" s="4"/>
      <c r="AB14" s="63"/>
    </row>
    <row r="15" spans="1:29" x14ac:dyDescent="0.35">
      <c r="A15">
        <v>11</v>
      </c>
      <c r="B15">
        <v>12</v>
      </c>
      <c r="C15">
        <v>146.06821579999999</v>
      </c>
      <c r="D15">
        <v>-17.511355529999999</v>
      </c>
      <c r="G15">
        <v>1</v>
      </c>
      <c r="H15" t="s">
        <v>26</v>
      </c>
      <c r="I15" t="str">
        <f t="shared" si="0"/>
        <v>X</v>
      </c>
      <c r="J15" s="53"/>
      <c r="K15" s="32"/>
      <c r="L15" s="32"/>
      <c r="M15" s="32"/>
      <c r="N15" s="32"/>
      <c r="O15" s="10"/>
      <c r="P15" s="4"/>
      <c r="Q15" s="4"/>
      <c r="R15" s="4"/>
      <c r="V15" s="5"/>
      <c r="W15" s="4"/>
    </row>
    <row r="16" spans="1:29" x14ac:dyDescent="0.35">
      <c r="A16">
        <v>12</v>
      </c>
      <c r="B16">
        <v>13</v>
      </c>
      <c r="C16">
        <v>146.0681922</v>
      </c>
      <c r="D16">
        <v>-17.511264239999999</v>
      </c>
      <c r="G16">
        <v>1</v>
      </c>
      <c r="H16" t="s">
        <v>26</v>
      </c>
      <c r="I16" t="str">
        <f t="shared" si="0"/>
        <v>X</v>
      </c>
      <c r="J16" s="53"/>
      <c r="K16" s="32"/>
      <c r="L16" s="32"/>
      <c r="M16" s="32"/>
      <c r="N16" s="32"/>
      <c r="O16" s="10"/>
      <c r="P16" s="4"/>
      <c r="Q16" s="4"/>
      <c r="R16" s="4"/>
      <c r="V16" s="5"/>
      <c r="W16" s="4"/>
    </row>
    <row r="17" spans="1:23" x14ac:dyDescent="0.35">
      <c r="A17">
        <v>13</v>
      </c>
      <c r="B17">
        <v>14</v>
      </c>
      <c r="C17">
        <v>146.0681672</v>
      </c>
      <c r="D17">
        <v>-17.51117331</v>
      </c>
      <c r="G17">
        <v>1</v>
      </c>
      <c r="H17" t="s">
        <v>26</v>
      </c>
      <c r="I17" t="str">
        <f t="shared" si="0"/>
        <v>X</v>
      </c>
      <c r="J17" s="53"/>
      <c r="K17" s="32"/>
      <c r="L17" s="32"/>
      <c r="M17" s="32"/>
      <c r="N17" s="32"/>
      <c r="O17" s="10"/>
      <c r="P17" s="4"/>
      <c r="Q17" s="4"/>
      <c r="R17" s="4"/>
      <c r="V17" s="5"/>
      <c r="W17" s="4"/>
    </row>
    <row r="18" spans="1:23" x14ac:dyDescent="0.35">
      <c r="A18">
        <v>14</v>
      </c>
      <c r="B18">
        <v>15</v>
      </c>
      <c r="C18">
        <v>146.06814209999999</v>
      </c>
      <c r="D18">
        <v>-17.511082399999999</v>
      </c>
      <c r="E18">
        <v>50</v>
      </c>
      <c r="G18">
        <v>1</v>
      </c>
      <c r="H18" t="s">
        <v>26</v>
      </c>
      <c r="I18" t="str">
        <f t="shared" si="0"/>
        <v>X</v>
      </c>
      <c r="J18" s="53"/>
      <c r="K18" s="32"/>
      <c r="L18" s="32"/>
      <c r="M18" s="32"/>
      <c r="N18" s="32"/>
      <c r="O18" s="10"/>
      <c r="P18" s="4"/>
      <c r="Q18" s="4"/>
      <c r="R18" s="4"/>
      <c r="V18" s="5"/>
      <c r="W18" s="4"/>
    </row>
    <row r="19" spans="1:23" x14ac:dyDescent="0.35">
      <c r="A19">
        <v>15</v>
      </c>
      <c r="B19">
        <v>16</v>
      </c>
      <c r="C19">
        <v>146.068117</v>
      </c>
      <c r="D19">
        <v>-17.510991489999999</v>
      </c>
      <c r="G19">
        <v>1</v>
      </c>
      <c r="H19" t="s">
        <v>26</v>
      </c>
      <c r="I19" t="str">
        <f t="shared" si="0"/>
        <v>X</v>
      </c>
      <c r="J19" s="53"/>
      <c r="K19" s="32"/>
      <c r="L19" s="32"/>
      <c r="M19" s="32"/>
      <c r="N19" s="32"/>
      <c r="O19" s="10"/>
      <c r="P19" s="4"/>
      <c r="Q19" s="4"/>
      <c r="R19" s="4"/>
      <c r="V19" s="5"/>
      <c r="W19" s="4"/>
    </row>
    <row r="20" spans="1:23" x14ac:dyDescent="0.35">
      <c r="A20">
        <v>16</v>
      </c>
      <c r="B20">
        <v>17</v>
      </c>
      <c r="C20">
        <v>146.06809200000001</v>
      </c>
      <c r="D20">
        <v>-17.510900580000001</v>
      </c>
      <c r="G20">
        <v>1</v>
      </c>
      <c r="H20" t="s">
        <v>26</v>
      </c>
      <c r="I20" t="str">
        <f t="shared" si="0"/>
        <v>X</v>
      </c>
      <c r="J20" s="53"/>
      <c r="K20" s="32"/>
      <c r="L20" s="32"/>
      <c r="M20" s="32"/>
      <c r="N20" s="32"/>
      <c r="O20" s="10"/>
      <c r="P20" s="4"/>
      <c r="Q20" s="4"/>
      <c r="R20" s="4"/>
      <c r="V20" s="5"/>
      <c r="W20" s="4"/>
    </row>
    <row r="21" spans="1:23" x14ac:dyDescent="0.35">
      <c r="A21">
        <v>17</v>
      </c>
      <c r="B21">
        <v>18</v>
      </c>
      <c r="C21">
        <v>146.06806689999999</v>
      </c>
      <c r="D21">
        <v>-17.510809680000001</v>
      </c>
      <c r="G21">
        <v>1</v>
      </c>
      <c r="H21" t="s">
        <v>26</v>
      </c>
      <c r="I21" t="str">
        <f t="shared" si="0"/>
        <v>X</v>
      </c>
      <c r="J21" s="53"/>
      <c r="K21" s="32"/>
      <c r="L21" s="32"/>
      <c r="M21" s="32"/>
      <c r="N21" s="32"/>
      <c r="O21" s="10"/>
      <c r="P21" s="4"/>
      <c r="Q21" s="4"/>
      <c r="R21" s="4"/>
      <c r="V21" s="5"/>
      <c r="W21" s="4"/>
    </row>
    <row r="22" spans="1:23" x14ac:dyDescent="0.35">
      <c r="A22">
        <v>18</v>
      </c>
      <c r="B22">
        <v>19</v>
      </c>
      <c r="C22">
        <v>146.0680418</v>
      </c>
      <c r="D22">
        <v>-17.51071877</v>
      </c>
      <c r="G22">
        <v>1</v>
      </c>
      <c r="H22" t="s">
        <v>26</v>
      </c>
      <c r="I22" t="str">
        <f t="shared" si="0"/>
        <v>X</v>
      </c>
      <c r="J22" s="53"/>
      <c r="K22" s="32"/>
      <c r="L22" s="32"/>
      <c r="M22" s="32"/>
      <c r="N22" s="32"/>
      <c r="O22" s="10"/>
      <c r="P22" s="4"/>
      <c r="Q22" s="4"/>
      <c r="R22" s="4"/>
      <c r="V22" s="5"/>
      <c r="W22" s="4"/>
    </row>
    <row r="23" spans="1:23" x14ac:dyDescent="0.35">
      <c r="A23">
        <v>19</v>
      </c>
      <c r="B23">
        <v>20</v>
      </c>
      <c r="C23">
        <v>146.06799290000001</v>
      </c>
      <c r="D23">
        <v>-17.51064062</v>
      </c>
      <c r="E23">
        <v>50</v>
      </c>
      <c r="G23">
        <v>1</v>
      </c>
      <c r="H23" t="s">
        <v>26</v>
      </c>
      <c r="I23" t="str">
        <f t="shared" si="0"/>
        <v>X</v>
      </c>
      <c r="J23" s="53"/>
      <c r="K23" s="32"/>
      <c r="L23" s="32"/>
      <c r="M23" s="32"/>
      <c r="N23" s="32"/>
      <c r="O23" s="10"/>
      <c r="P23" s="4"/>
      <c r="Q23" s="4"/>
      <c r="R23" s="4"/>
      <c r="V23" s="5"/>
      <c r="W23" s="4"/>
    </row>
    <row r="24" spans="1:23" x14ac:dyDescent="0.35">
      <c r="A24">
        <v>20</v>
      </c>
      <c r="B24">
        <v>21</v>
      </c>
      <c r="C24">
        <v>146.0679312</v>
      </c>
      <c r="D24">
        <v>-17.510569279999999</v>
      </c>
      <c r="G24">
        <v>1</v>
      </c>
      <c r="H24" t="s">
        <v>26</v>
      </c>
      <c r="I24" t="str">
        <f t="shared" si="0"/>
        <v>X</v>
      </c>
      <c r="J24" s="53"/>
      <c r="K24" s="32"/>
      <c r="L24" s="32"/>
      <c r="M24" s="32"/>
      <c r="N24" s="32"/>
      <c r="O24" s="10"/>
      <c r="P24" s="4"/>
      <c r="Q24" s="4"/>
      <c r="R24" s="4"/>
      <c r="V24" s="5"/>
      <c r="W24" s="4"/>
    </row>
    <row r="25" spans="1:23" x14ac:dyDescent="0.35">
      <c r="A25">
        <v>21</v>
      </c>
      <c r="B25">
        <v>22</v>
      </c>
      <c r="C25">
        <v>146.0678695</v>
      </c>
      <c r="D25">
        <v>-17.51049794</v>
      </c>
      <c r="G25">
        <v>1</v>
      </c>
      <c r="H25" t="s">
        <v>26</v>
      </c>
      <c r="I25" t="str">
        <f t="shared" si="0"/>
        <v>X</v>
      </c>
      <c r="J25" s="53"/>
      <c r="K25" s="32"/>
      <c r="L25" s="32"/>
      <c r="M25" s="32"/>
      <c r="N25" s="32"/>
      <c r="O25" s="10"/>
      <c r="P25" s="4"/>
      <c r="Q25" s="4"/>
      <c r="R25" s="4"/>
      <c r="V25" s="5"/>
      <c r="W25" s="4"/>
    </row>
    <row r="26" spans="1:23" x14ac:dyDescent="0.35">
      <c r="A26">
        <v>22</v>
      </c>
      <c r="B26">
        <v>23</v>
      </c>
      <c r="C26">
        <v>146.0678078</v>
      </c>
      <c r="D26">
        <v>-17.510426590000002</v>
      </c>
      <c r="G26">
        <v>1</v>
      </c>
      <c r="H26" t="s">
        <v>26</v>
      </c>
      <c r="I26" t="str">
        <f t="shared" si="0"/>
        <v>X</v>
      </c>
      <c r="J26" s="53"/>
      <c r="K26" s="32"/>
      <c r="L26" s="32"/>
      <c r="M26" s="32"/>
      <c r="N26" s="32"/>
      <c r="O26" s="10"/>
      <c r="P26" s="4"/>
      <c r="Q26" s="4"/>
      <c r="R26" s="4"/>
      <c r="V26" s="5"/>
      <c r="W26" s="4"/>
    </row>
    <row r="27" spans="1:23" x14ac:dyDescent="0.35">
      <c r="A27">
        <v>23</v>
      </c>
      <c r="B27">
        <v>24</v>
      </c>
      <c r="C27">
        <v>146.06774619999999</v>
      </c>
      <c r="D27">
        <v>-17.51035525</v>
      </c>
      <c r="G27">
        <v>1</v>
      </c>
      <c r="H27" t="s">
        <v>26</v>
      </c>
      <c r="I27" t="str">
        <f t="shared" si="0"/>
        <v>X</v>
      </c>
      <c r="J27" s="53"/>
      <c r="K27" s="32"/>
      <c r="L27" s="32"/>
      <c r="M27" s="32"/>
      <c r="N27" s="32"/>
      <c r="O27" s="10"/>
      <c r="P27" s="4"/>
      <c r="Q27" s="4"/>
      <c r="R27" s="4"/>
      <c r="V27" s="5"/>
      <c r="W27" s="4"/>
    </row>
    <row r="28" spans="1:23" x14ac:dyDescent="0.35">
      <c r="A28">
        <v>24</v>
      </c>
      <c r="B28">
        <v>25</v>
      </c>
      <c r="C28">
        <v>146.06768450000001</v>
      </c>
      <c r="D28">
        <v>-17.510283900000001</v>
      </c>
      <c r="E28">
        <v>50</v>
      </c>
      <c r="G28">
        <v>1</v>
      </c>
      <c r="H28" t="s">
        <v>26</v>
      </c>
      <c r="I28" t="str">
        <f t="shared" si="0"/>
        <v>X</v>
      </c>
      <c r="J28" s="53"/>
      <c r="K28" s="32"/>
      <c r="L28" s="32"/>
      <c r="M28" s="32"/>
      <c r="N28" s="32"/>
      <c r="O28" s="10"/>
      <c r="P28" s="4"/>
      <c r="Q28" s="4"/>
      <c r="R28" s="4"/>
      <c r="V28" s="5"/>
      <c r="W28" s="4"/>
    </row>
    <row r="29" spans="1:23" x14ac:dyDescent="0.35">
      <c r="A29">
        <v>25</v>
      </c>
      <c r="B29">
        <v>26</v>
      </c>
      <c r="C29">
        <v>146.06762280000001</v>
      </c>
      <c r="D29">
        <v>-17.510212559999999</v>
      </c>
      <c r="G29">
        <v>1</v>
      </c>
      <c r="H29" t="s">
        <v>26</v>
      </c>
      <c r="I29" t="str">
        <f t="shared" si="0"/>
        <v>X</v>
      </c>
      <c r="J29" s="53"/>
      <c r="K29" s="32"/>
      <c r="L29" s="32"/>
      <c r="M29" s="32"/>
      <c r="N29" s="32"/>
      <c r="O29" s="10"/>
      <c r="P29" s="4"/>
      <c r="Q29" s="4"/>
      <c r="R29" s="4"/>
      <c r="V29" s="5"/>
      <c r="W29" s="4"/>
    </row>
    <row r="30" spans="1:23" x14ac:dyDescent="0.35">
      <c r="A30">
        <v>26</v>
      </c>
      <c r="B30">
        <v>27</v>
      </c>
      <c r="C30">
        <v>146.0675612</v>
      </c>
      <c r="D30">
        <v>-17.510141220000001</v>
      </c>
      <c r="G30">
        <v>1</v>
      </c>
      <c r="H30" t="s">
        <v>26</v>
      </c>
      <c r="I30" t="str">
        <f t="shared" si="0"/>
        <v>X</v>
      </c>
      <c r="J30" s="53"/>
      <c r="K30" s="32"/>
      <c r="L30" s="32"/>
      <c r="M30" s="32"/>
      <c r="N30" s="32"/>
      <c r="O30" s="10"/>
      <c r="P30" s="4"/>
      <c r="Q30" s="4"/>
      <c r="R30" s="4"/>
      <c r="V30" s="5"/>
      <c r="W30" s="4"/>
    </row>
    <row r="31" spans="1:23" x14ac:dyDescent="0.35">
      <c r="A31">
        <v>27</v>
      </c>
      <c r="B31">
        <v>28</v>
      </c>
      <c r="C31">
        <v>146.06748709999999</v>
      </c>
      <c r="D31">
        <v>-17.510086739999998</v>
      </c>
      <c r="G31">
        <v>1</v>
      </c>
      <c r="H31" t="s">
        <v>26</v>
      </c>
      <c r="I31" t="str">
        <f t="shared" si="0"/>
        <v>X</v>
      </c>
      <c r="J31" s="53"/>
      <c r="K31" s="32"/>
      <c r="L31" s="32"/>
      <c r="M31" s="32"/>
      <c r="N31" s="32"/>
      <c r="O31" s="10"/>
      <c r="P31" s="4"/>
      <c r="Q31" s="4"/>
      <c r="R31" s="4"/>
      <c r="V31" s="5"/>
      <c r="W31" s="4"/>
    </row>
    <row r="32" spans="1:23" x14ac:dyDescent="0.35">
      <c r="A32">
        <v>28</v>
      </c>
      <c r="B32">
        <v>29</v>
      </c>
      <c r="C32">
        <v>146.06740070000001</v>
      </c>
      <c r="D32">
        <v>-17.510048879999999</v>
      </c>
      <c r="G32">
        <v>1</v>
      </c>
      <c r="H32" t="s">
        <v>26</v>
      </c>
      <c r="I32" t="str">
        <f t="shared" si="0"/>
        <v>X</v>
      </c>
      <c r="J32" s="53"/>
      <c r="K32" s="32"/>
      <c r="L32" s="32"/>
      <c r="M32" s="32"/>
      <c r="N32" s="32"/>
      <c r="O32" s="10"/>
      <c r="P32" s="4"/>
      <c r="Q32" s="4"/>
      <c r="R32" s="4"/>
      <c r="V32" s="5"/>
      <c r="W32" s="4"/>
    </row>
    <row r="33" spans="1:23" x14ac:dyDescent="0.35">
      <c r="A33">
        <v>29</v>
      </c>
      <c r="B33">
        <v>30</v>
      </c>
      <c r="C33">
        <v>146.06731429999999</v>
      </c>
      <c r="D33">
        <v>-17.51001102</v>
      </c>
      <c r="E33">
        <v>50</v>
      </c>
      <c r="G33">
        <v>1</v>
      </c>
      <c r="H33" t="s">
        <v>26</v>
      </c>
      <c r="I33" t="str">
        <f t="shared" si="0"/>
        <v>X</v>
      </c>
      <c r="J33" s="53"/>
      <c r="K33" s="32"/>
      <c r="L33" s="32"/>
      <c r="M33" s="32"/>
      <c r="N33" s="32"/>
      <c r="O33" s="10"/>
      <c r="P33" s="4"/>
      <c r="Q33" s="4"/>
      <c r="R33" s="4"/>
      <c r="V33" s="5"/>
      <c r="W33" s="4"/>
    </row>
    <row r="34" spans="1:23" x14ac:dyDescent="0.35">
      <c r="A34">
        <v>30</v>
      </c>
      <c r="B34">
        <v>31</v>
      </c>
      <c r="C34">
        <v>146.06722790000001</v>
      </c>
      <c r="D34">
        <v>-17.50997315</v>
      </c>
      <c r="G34">
        <v>1</v>
      </c>
      <c r="H34" t="s">
        <v>26</v>
      </c>
      <c r="I34" t="str">
        <f t="shared" si="0"/>
        <v>X</v>
      </c>
      <c r="J34" s="53"/>
      <c r="K34" s="32"/>
      <c r="L34" s="32"/>
      <c r="M34" s="32"/>
      <c r="N34" s="32"/>
      <c r="O34" s="10"/>
      <c r="P34" s="4"/>
      <c r="Q34" s="4"/>
      <c r="R34" s="4"/>
      <c r="V34" s="5"/>
      <c r="W34" s="4"/>
    </row>
    <row r="35" spans="1:23" x14ac:dyDescent="0.35">
      <c r="A35">
        <v>31</v>
      </c>
      <c r="B35">
        <v>32</v>
      </c>
      <c r="C35">
        <v>146.06714160000001</v>
      </c>
      <c r="D35">
        <v>-17.509935290000001</v>
      </c>
      <c r="G35">
        <v>1</v>
      </c>
      <c r="H35" t="s">
        <v>26</v>
      </c>
      <c r="I35" t="str">
        <f t="shared" si="0"/>
        <v>X</v>
      </c>
      <c r="J35" s="53"/>
      <c r="K35" s="32"/>
      <c r="L35" s="32"/>
      <c r="M35" s="32"/>
      <c r="N35" s="32"/>
      <c r="O35" s="10"/>
      <c r="P35" s="4"/>
      <c r="Q35" s="4"/>
      <c r="R35" s="4"/>
      <c r="V35" s="5"/>
      <c r="W35" s="4"/>
    </row>
    <row r="36" spans="1:23" x14ac:dyDescent="0.35">
      <c r="A36">
        <v>32</v>
      </c>
      <c r="B36">
        <v>33</v>
      </c>
      <c r="C36">
        <v>146.0670552</v>
      </c>
      <c r="D36">
        <v>-17.509897429999999</v>
      </c>
      <c r="G36">
        <v>1</v>
      </c>
      <c r="H36" t="s">
        <v>26</v>
      </c>
      <c r="I36" t="str">
        <f t="shared" si="0"/>
        <v>X</v>
      </c>
      <c r="J36" s="53"/>
      <c r="K36" s="32"/>
      <c r="L36" s="32"/>
      <c r="M36" s="32"/>
      <c r="N36" s="32"/>
      <c r="O36" s="10"/>
      <c r="P36" s="4"/>
      <c r="Q36" s="4"/>
      <c r="R36" s="4"/>
      <c r="V36" s="5"/>
      <c r="W36" s="4"/>
    </row>
    <row r="37" spans="1:23" x14ac:dyDescent="0.35">
      <c r="A37">
        <v>33</v>
      </c>
      <c r="B37">
        <v>34</v>
      </c>
      <c r="C37">
        <v>146.06696880000001</v>
      </c>
      <c r="D37">
        <v>-17.50985957</v>
      </c>
      <c r="G37">
        <v>1</v>
      </c>
      <c r="H37" t="s">
        <v>26</v>
      </c>
      <c r="I37" t="str">
        <f t="shared" si="0"/>
        <v>X</v>
      </c>
      <c r="J37" s="53"/>
      <c r="K37" s="32"/>
      <c r="L37" s="32"/>
      <c r="M37" s="32"/>
      <c r="N37" s="32"/>
      <c r="O37" s="10"/>
      <c r="P37" s="4"/>
      <c r="Q37" s="4"/>
      <c r="R37" s="4"/>
      <c r="V37" s="5"/>
      <c r="W37" s="4"/>
    </row>
    <row r="38" spans="1:23" x14ac:dyDescent="0.35">
      <c r="A38">
        <v>34</v>
      </c>
      <c r="B38">
        <v>35</v>
      </c>
      <c r="C38">
        <v>146.06688249999999</v>
      </c>
      <c r="D38">
        <v>-17.509821710000001</v>
      </c>
      <c r="E38">
        <v>50</v>
      </c>
      <c r="G38">
        <v>1</v>
      </c>
      <c r="H38" t="s">
        <v>26</v>
      </c>
      <c r="I38" t="str">
        <f t="shared" si="0"/>
        <v>X</v>
      </c>
      <c r="J38" s="53"/>
      <c r="K38" s="32"/>
      <c r="L38" s="32"/>
      <c r="M38" s="32"/>
      <c r="N38" s="32"/>
      <c r="O38" s="10"/>
      <c r="P38" s="4"/>
      <c r="Q38" s="4"/>
      <c r="R38" s="4"/>
      <c r="V38" s="5"/>
      <c r="W38" s="4"/>
    </row>
    <row r="39" spans="1:23" x14ac:dyDescent="0.35">
      <c r="A39">
        <v>35</v>
      </c>
      <c r="B39">
        <v>36</v>
      </c>
      <c r="C39">
        <v>146.06679489999999</v>
      </c>
      <c r="D39">
        <v>-17.509792879999999</v>
      </c>
      <c r="G39">
        <v>1</v>
      </c>
      <c r="H39" t="s">
        <v>26</v>
      </c>
      <c r="I39" t="str">
        <f t="shared" si="0"/>
        <v>X</v>
      </c>
      <c r="J39" s="53"/>
      <c r="K39" s="32"/>
      <c r="L39" s="32"/>
      <c r="M39" s="32"/>
      <c r="N39" s="32"/>
      <c r="O39" s="10"/>
      <c r="P39" s="4"/>
      <c r="Q39" s="4"/>
      <c r="R39" s="4"/>
      <c r="V39" s="5"/>
      <c r="W39" s="4"/>
    </row>
    <row r="40" spans="1:23" x14ac:dyDescent="0.35">
      <c r="A40">
        <v>36</v>
      </c>
      <c r="B40">
        <v>37</v>
      </c>
      <c r="C40">
        <v>146.06670159999999</v>
      </c>
      <c r="D40">
        <v>-17.509806480000002</v>
      </c>
      <c r="G40">
        <v>1</v>
      </c>
      <c r="H40" t="s">
        <v>26</v>
      </c>
      <c r="I40" t="str">
        <f t="shared" si="0"/>
        <v>X</v>
      </c>
      <c r="J40" s="53"/>
      <c r="K40" s="32"/>
      <c r="L40" s="32"/>
      <c r="M40" s="32"/>
      <c r="N40" s="32"/>
      <c r="O40" s="10"/>
      <c r="P40" s="4"/>
      <c r="Q40" s="4"/>
      <c r="R40" s="4"/>
      <c r="V40" s="5"/>
      <c r="W40" s="4"/>
    </row>
    <row r="41" spans="1:23" x14ac:dyDescent="0.35">
      <c r="A41">
        <v>37</v>
      </c>
      <c r="B41">
        <v>38</v>
      </c>
      <c r="C41">
        <v>146.06660819999999</v>
      </c>
      <c r="D41">
        <v>-17.509820090000002</v>
      </c>
      <c r="G41">
        <v>1</v>
      </c>
      <c r="H41" t="s">
        <v>26</v>
      </c>
      <c r="I41" t="str">
        <f t="shared" si="0"/>
        <v>X</v>
      </c>
      <c r="J41" s="53"/>
      <c r="K41" s="32"/>
      <c r="L41" s="32"/>
      <c r="M41" s="32"/>
      <c r="N41" s="32"/>
      <c r="O41" s="10"/>
      <c r="P41" s="4"/>
      <c r="Q41" s="4"/>
      <c r="R41" s="4"/>
      <c r="V41" s="5"/>
      <c r="W41" s="4"/>
    </row>
    <row r="42" spans="1:23" x14ac:dyDescent="0.35">
      <c r="A42">
        <v>38</v>
      </c>
      <c r="B42">
        <v>39</v>
      </c>
      <c r="C42">
        <v>146.06651489999999</v>
      </c>
      <c r="D42">
        <v>-17.509833700000001</v>
      </c>
      <c r="G42">
        <v>1</v>
      </c>
      <c r="H42" t="s">
        <v>26</v>
      </c>
      <c r="I42" t="str">
        <f t="shared" si="0"/>
        <v>X</v>
      </c>
      <c r="J42" s="53"/>
      <c r="K42" s="32"/>
      <c r="L42" s="32"/>
      <c r="M42" s="32"/>
      <c r="N42" s="32"/>
      <c r="O42" s="10"/>
      <c r="P42" s="4"/>
      <c r="Q42" s="4"/>
      <c r="R42" s="4"/>
      <c r="V42" s="5"/>
      <c r="W42" s="4"/>
    </row>
    <row r="43" spans="1:23" x14ac:dyDescent="0.35">
      <c r="A43">
        <v>39</v>
      </c>
      <c r="B43">
        <v>40</v>
      </c>
      <c r="C43">
        <v>146.06642160000001</v>
      </c>
      <c r="D43">
        <v>-17.509847310000001</v>
      </c>
      <c r="E43">
        <v>50</v>
      </c>
      <c r="G43">
        <v>1</v>
      </c>
      <c r="H43" t="s">
        <v>26</v>
      </c>
      <c r="I43" t="str">
        <f t="shared" si="0"/>
        <v>X</v>
      </c>
      <c r="J43" s="53"/>
      <c r="K43" s="32"/>
      <c r="L43" s="32"/>
      <c r="M43" s="32"/>
      <c r="N43" s="32"/>
      <c r="O43" s="10"/>
      <c r="P43" s="4"/>
      <c r="Q43" s="4"/>
      <c r="R43" s="4"/>
      <c r="V43" s="5"/>
      <c r="W43" s="4"/>
    </row>
    <row r="44" spans="1:23" x14ac:dyDescent="0.35">
      <c r="A44">
        <v>40</v>
      </c>
      <c r="B44">
        <v>41</v>
      </c>
      <c r="C44">
        <v>146.0663285</v>
      </c>
      <c r="D44">
        <v>-17.50986181</v>
      </c>
      <c r="G44">
        <v>1</v>
      </c>
      <c r="H44" t="s">
        <v>26</v>
      </c>
      <c r="I44" t="str">
        <f t="shared" si="0"/>
        <v>X</v>
      </c>
      <c r="J44" s="53"/>
      <c r="K44" s="32"/>
      <c r="L44" s="32"/>
      <c r="M44" s="32"/>
      <c r="N44" s="32"/>
      <c r="O44" s="10"/>
      <c r="P44" s="4"/>
      <c r="Q44" s="4"/>
      <c r="R44" s="4"/>
      <c r="V44" s="5"/>
      <c r="W44" s="4"/>
    </row>
    <row r="45" spans="1:23" x14ac:dyDescent="0.35">
      <c r="A45">
        <v>41</v>
      </c>
      <c r="B45">
        <v>42</v>
      </c>
      <c r="C45">
        <v>146.06623680000001</v>
      </c>
      <c r="D45">
        <v>-17.509883760000001</v>
      </c>
      <c r="G45">
        <v>1</v>
      </c>
      <c r="H45" t="s">
        <v>26</v>
      </c>
      <c r="I45" t="str">
        <f t="shared" si="0"/>
        <v>X</v>
      </c>
      <c r="J45" s="53"/>
      <c r="K45" s="32"/>
      <c r="L45" s="32"/>
      <c r="M45" s="32"/>
      <c r="N45" s="32"/>
      <c r="O45" s="10"/>
      <c r="P45" s="4"/>
      <c r="Q45" s="4"/>
      <c r="R45" s="4"/>
      <c r="V45" s="5"/>
      <c r="W45" s="4"/>
    </row>
    <row r="46" spans="1:23" x14ac:dyDescent="0.35">
      <c r="A46">
        <v>42</v>
      </c>
      <c r="B46">
        <v>43</v>
      </c>
      <c r="C46">
        <v>146.06614500000001</v>
      </c>
      <c r="D46">
        <v>-17.509905710000002</v>
      </c>
      <c r="G46">
        <v>1</v>
      </c>
      <c r="H46" t="s">
        <v>26</v>
      </c>
      <c r="I46" t="str">
        <f t="shared" si="0"/>
        <v>X</v>
      </c>
      <c r="J46" s="53"/>
      <c r="K46" s="32"/>
      <c r="L46" s="32"/>
      <c r="M46" s="32"/>
      <c r="N46" s="32"/>
      <c r="O46" s="10"/>
      <c r="P46" s="4"/>
      <c r="Q46" s="4"/>
      <c r="R46" s="4"/>
      <c r="V46" s="5"/>
      <c r="W46" s="4"/>
    </row>
    <row r="47" spans="1:23" x14ac:dyDescent="0.35">
      <c r="A47">
        <v>43</v>
      </c>
      <c r="B47">
        <v>44</v>
      </c>
      <c r="C47">
        <v>146.06605329999999</v>
      </c>
      <c r="D47">
        <v>-17.509927659999999</v>
      </c>
      <c r="G47">
        <v>1</v>
      </c>
      <c r="H47" t="s">
        <v>26</v>
      </c>
      <c r="I47" t="str">
        <f t="shared" si="0"/>
        <v>X</v>
      </c>
      <c r="J47" s="53"/>
      <c r="K47" s="32"/>
      <c r="L47" s="32"/>
      <c r="M47" s="32"/>
      <c r="N47" s="32"/>
      <c r="O47" s="10"/>
      <c r="P47" s="4"/>
      <c r="Q47" s="4"/>
      <c r="R47" s="4"/>
      <c r="V47" s="5"/>
      <c r="W47" s="4"/>
    </row>
    <row r="48" spans="1:23" x14ac:dyDescent="0.35">
      <c r="A48">
        <v>44</v>
      </c>
      <c r="B48">
        <v>45</v>
      </c>
      <c r="C48">
        <v>146.06596160000001</v>
      </c>
      <c r="D48">
        <v>-17.509949599999999</v>
      </c>
      <c r="E48">
        <v>50</v>
      </c>
      <c r="G48">
        <v>1</v>
      </c>
      <c r="H48" t="s">
        <v>26</v>
      </c>
      <c r="I48" t="str">
        <f t="shared" si="0"/>
        <v>X</v>
      </c>
      <c r="J48" s="53"/>
      <c r="K48" s="32"/>
      <c r="L48" s="32"/>
      <c r="M48" s="32"/>
      <c r="N48" s="32"/>
      <c r="O48" s="10"/>
      <c r="P48" s="4"/>
      <c r="Q48" s="4"/>
      <c r="R48" s="4"/>
      <c r="V48" s="5"/>
      <c r="W48" s="4"/>
    </row>
    <row r="49" spans="1:23" x14ac:dyDescent="0.35">
      <c r="A49">
        <v>45</v>
      </c>
      <c r="B49">
        <v>46</v>
      </c>
      <c r="C49">
        <v>146.0658699</v>
      </c>
      <c r="D49">
        <v>-17.509971549999999</v>
      </c>
      <c r="G49">
        <v>1</v>
      </c>
      <c r="H49" t="s">
        <v>26</v>
      </c>
      <c r="I49" t="str">
        <f t="shared" si="0"/>
        <v>X</v>
      </c>
      <c r="J49" s="53"/>
      <c r="K49" s="32"/>
      <c r="L49" s="32"/>
      <c r="M49" s="32"/>
      <c r="N49" s="32"/>
      <c r="O49" s="10"/>
      <c r="P49" s="4"/>
      <c r="Q49" s="4"/>
      <c r="R49" s="4"/>
      <c r="V49" s="5"/>
      <c r="W49" s="4"/>
    </row>
    <row r="50" spans="1:23" x14ac:dyDescent="0.35">
      <c r="A50">
        <v>46</v>
      </c>
      <c r="B50">
        <v>47</v>
      </c>
      <c r="C50">
        <v>146.06577820000001</v>
      </c>
      <c r="D50">
        <v>-17.5099935</v>
      </c>
      <c r="G50">
        <v>1</v>
      </c>
      <c r="H50" t="s">
        <v>26</v>
      </c>
      <c r="I50" t="str">
        <f t="shared" si="0"/>
        <v>X</v>
      </c>
      <c r="J50" s="53"/>
      <c r="K50" s="32"/>
      <c r="L50" s="32"/>
      <c r="M50" s="32"/>
      <c r="N50" s="32"/>
      <c r="O50" s="10"/>
      <c r="P50" s="4"/>
      <c r="Q50" s="4"/>
      <c r="R50" s="4"/>
      <c r="V50" s="5"/>
      <c r="W50" s="4"/>
    </row>
    <row r="51" spans="1:23" x14ac:dyDescent="0.35">
      <c r="A51">
        <v>47</v>
      </c>
      <c r="B51">
        <v>48</v>
      </c>
      <c r="C51">
        <v>146.0656865</v>
      </c>
      <c r="D51">
        <v>-17.510015450000001</v>
      </c>
      <c r="G51">
        <v>1</v>
      </c>
      <c r="H51" t="s">
        <v>26</v>
      </c>
      <c r="I51" t="str">
        <f t="shared" si="0"/>
        <v>X</v>
      </c>
      <c r="J51" s="53"/>
      <c r="K51" s="32"/>
      <c r="L51" s="32"/>
      <c r="M51" s="32"/>
      <c r="N51" s="32"/>
      <c r="O51" s="10"/>
      <c r="P51" s="4"/>
      <c r="Q51" s="4"/>
      <c r="R51" s="4"/>
      <c r="V51" s="5"/>
      <c r="W51" s="4"/>
    </row>
    <row r="52" spans="1:23" x14ac:dyDescent="0.35">
      <c r="A52">
        <v>48</v>
      </c>
      <c r="B52">
        <v>49</v>
      </c>
      <c r="C52">
        <v>146.06559480000001</v>
      </c>
      <c r="D52">
        <v>-17.510037400000002</v>
      </c>
      <c r="G52">
        <v>1</v>
      </c>
      <c r="H52" t="s">
        <v>26</v>
      </c>
      <c r="I52" t="str">
        <f t="shared" si="0"/>
        <v>X</v>
      </c>
      <c r="J52" s="53"/>
      <c r="K52" s="32"/>
      <c r="L52" s="32"/>
      <c r="M52" s="32"/>
      <c r="N52" s="32"/>
      <c r="O52" s="10"/>
      <c r="P52" s="4"/>
      <c r="Q52" s="4"/>
      <c r="R52" s="4"/>
      <c r="V52" s="5"/>
      <c r="W52" s="4"/>
    </row>
    <row r="53" spans="1:23" x14ac:dyDescent="0.35">
      <c r="A53">
        <v>49</v>
      </c>
      <c r="B53">
        <v>50</v>
      </c>
      <c r="C53">
        <v>146.06550300000001</v>
      </c>
      <c r="D53">
        <v>-17.510059349999999</v>
      </c>
      <c r="E53">
        <v>50</v>
      </c>
      <c r="G53">
        <v>1</v>
      </c>
      <c r="H53" t="s">
        <v>26</v>
      </c>
      <c r="I53" t="str">
        <f t="shared" si="0"/>
        <v>X</v>
      </c>
      <c r="J53" s="53"/>
      <c r="K53" s="32"/>
      <c r="L53" s="32"/>
      <c r="M53" s="32"/>
      <c r="N53" s="32"/>
      <c r="O53" s="10"/>
      <c r="P53" s="4"/>
      <c r="Q53" s="4"/>
      <c r="R53" s="4"/>
      <c r="V53" s="5"/>
      <c r="W53" s="4"/>
    </row>
    <row r="54" spans="1:23" x14ac:dyDescent="0.35">
      <c r="A54">
        <v>50</v>
      </c>
      <c r="B54">
        <v>51</v>
      </c>
      <c r="C54">
        <v>146.06541129999999</v>
      </c>
      <c r="D54">
        <v>-17.5100813</v>
      </c>
      <c r="G54">
        <v>1</v>
      </c>
      <c r="H54" t="s">
        <v>26</v>
      </c>
      <c r="I54" t="str">
        <f t="shared" si="0"/>
        <v>X</v>
      </c>
      <c r="J54" s="53"/>
      <c r="K54" s="32"/>
      <c r="L54" s="32"/>
      <c r="M54" s="32"/>
      <c r="N54" s="32"/>
      <c r="O54" s="10"/>
      <c r="P54" s="4"/>
      <c r="Q54" s="4"/>
      <c r="R54" s="4"/>
      <c r="V54" s="5"/>
      <c r="W54" s="4"/>
    </row>
    <row r="55" spans="1:23" x14ac:dyDescent="0.35">
      <c r="A55">
        <v>51</v>
      </c>
      <c r="B55">
        <v>52</v>
      </c>
      <c r="C55">
        <v>146.0653197</v>
      </c>
      <c r="D55">
        <v>-17.51010067</v>
      </c>
      <c r="G55">
        <v>1</v>
      </c>
      <c r="H55" t="s">
        <v>26</v>
      </c>
      <c r="I55" t="str">
        <f t="shared" si="0"/>
        <v>X</v>
      </c>
      <c r="J55" s="53"/>
      <c r="K55" s="32"/>
      <c r="L55" s="32"/>
      <c r="M55" s="32"/>
      <c r="N55" s="32"/>
      <c r="O55" s="10"/>
      <c r="P55" s="4"/>
      <c r="Q55" s="4"/>
      <c r="R55" s="4"/>
      <c r="V55" s="5"/>
      <c r="W55" s="4"/>
    </row>
    <row r="56" spans="1:23" x14ac:dyDescent="0.35">
      <c r="A56">
        <v>52</v>
      </c>
      <c r="B56">
        <v>53</v>
      </c>
      <c r="C56">
        <v>146.0652298</v>
      </c>
      <c r="D56">
        <v>-17.51007216</v>
      </c>
      <c r="G56">
        <v>1</v>
      </c>
      <c r="H56" t="s">
        <v>26</v>
      </c>
      <c r="I56" t="str">
        <f t="shared" si="0"/>
        <v>X</v>
      </c>
      <c r="J56" s="53"/>
      <c r="K56" s="32"/>
      <c r="L56" s="32"/>
      <c r="M56" s="32"/>
      <c r="N56" s="32"/>
      <c r="O56" s="10"/>
      <c r="P56" s="4"/>
      <c r="Q56" s="4"/>
      <c r="R56" s="4"/>
      <c r="V56" s="5"/>
      <c r="W56" s="4"/>
    </row>
    <row r="57" spans="1:23" x14ac:dyDescent="0.35">
      <c r="A57">
        <v>53</v>
      </c>
      <c r="B57">
        <v>54</v>
      </c>
      <c r="C57">
        <v>146.06513989999999</v>
      </c>
      <c r="D57">
        <v>-17.510043660000001</v>
      </c>
      <c r="G57">
        <v>1</v>
      </c>
      <c r="H57" t="s">
        <v>26</v>
      </c>
      <c r="I57" t="str">
        <f t="shared" si="0"/>
        <v>X</v>
      </c>
      <c r="J57" s="53"/>
      <c r="K57" s="32"/>
      <c r="L57" s="32"/>
      <c r="M57" s="32"/>
      <c r="N57" s="32"/>
      <c r="O57" s="10"/>
      <c r="P57" s="4"/>
      <c r="Q57" s="4"/>
      <c r="R57" s="4"/>
      <c r="V57" s="5"/>
      <c r="W57" s="4"/>
    </row>
    <row r="58" spans="1:23" x14ac:dyDescent="0.35">
      <c r="A58">
        <v>54</v>
      </c>
      <c r="B58">
        <v>55</v>
      </c>
      <c r="C58">
        <v>146.0650521</v>
      </c>
      <c r="D58">
        <v>-17.510009310000001</v>
      </c>
      <c r="E58">
        <v>50</v>
      </c>
      <c r="G58">
        <v>1</v>
      </c>
      <c r="H58" t="s">
        <v>26</v>
      </c>
      <c r="I58" t="str">
        <f t="shared" si="0"/>
        <v>X</v>
      </c>
      <c r="J58" s="53"/>
      <c r="K58" s="32"/>
      <c r="L58" s="32"/>
      <c r="M58" s="32"/>
      <c r="N58" s="32"/>
      <c r="O58" s="10"/>
      <c r="P58" s="4"/>
      <c r="Q58" s="4"/>
      <c r="R58" s="4"/>
      <c r="V58" s="5"/>
      <c r="W58" s="4"/>
    </row>
    <row r="59" spans="1:23" x14ac:dyDescent="0.35">
      <c r="A59">
        <v>55</v>
      </c>
      <c r="B59">
        <v>56</v>
      </c>
      <c r="C59">
        <v>146.0649645</v>
      </c>
      <c r="D59">
        <v>-17.50997443</v>
      </c>
      <c r="G59">
        <v>1</v>
      </c>
      <c r="H59" t="s">
        <v>26</v>
      </c>
      <c r="I59" t="str">
        <f t="shared" si="0"/>
        <v>X</v>
      </c>
      <c r="J59" s="53"/>
      <c r="K59" s="32"/>
      <c r="L59" s="32"/>
      <c r="M59" s="32"/>
      <c r="N59" s="32"/>
      <c r="O59" s="10"/>
      <c r="P59" s="4"/>
      <c r="Q59" s="4"/>
      <c r="R59" s="4"/>
      <c r="V59" s="5"/>
      <c r="W59" s="4"/>
    </row>
    <row r="60" spans="1:23" x14ac:dyDescent="0.35">
      <c r="A60">
        <v>56</v>
      </c>
      <c r="B60">
        <v>57</v>
      </c>
      <c r="C60">
        <v>146.0648764</v>
      </c>
      <c r="D60">
        <v>-17.509941470000001</v>
      </c>
      <c r="G60">
        <v>1</v>
      </c>
      <c r="H60" t="s">
        <v>26</v>
      </c>
      <c r="I60" t="str">
        <f t="shared" si="0"/>
        <v>X</v>
      </c>
      <c r="J60" s="53"/>
      <c r="K60" s="32"/>
      <c r="L60" s="32"/>
      <c r="M60" s="32"/>
      <c r="N60" s="32"/>
      <c r="O60" s="10"/>
      <c r="P60" s="4"/>
      <c r="Q60" s="4"/>
      <c r="R60" s="4"/>
      <c r="V60" s="5"/>
      <c r="W60" s="4"/>
    </row>
    <row r="61" spans="1:23" x14ac:dyDescent="0.35">
      <c r="A61">
        <v>57</v>
      </c>
      <c r="B61">
        <v>58</v>
      </c>
      <c r="C61">
        <v>146.06478240000001</v>
      </c>
      <c r="D61">
        <v>-17.509934340000001</v>
      </c>
      <c r="G61">
        <v>1</v>
      </c>
      <c r="H61" t="s">
        <v>26</v>
      </c>
      <c r="I61" t="str">
        <f t="shared" si="0"/>
        <v>X</v>
      </c>
      <c r="J61" s="53"/>
      <c r="K61" s="32"/>
      <c r="L61" s="32"/>
      <c r="M61" s="32"/>
      <c r="N61" s="32"/>
      <c r="O61" s="10"/>
      <c r="P61" s="4"/>
      <c r="Q61" s="4"/>
      <c r="R61" s="4"/>
      <c r="V61" s="5"/>
      <c r="W61" s="4"/>
    </row>
    <row r="62" spans="1:23" x14ac:dyDescent="0.35">
      <c r="A62">
        <v>58</v>
      </c>
      <c r="B62">
        <v>59</v>
      </c>
      <c r="C62">
        <v>146.0646883</v>
      </c>
      <c r="D62">
        <v>-17.509930140000002</v>
      </c>
      <c r="G62">
        <v>1</v>
      </c>
      <c r="H62" t="s">
        <v>26</v>
      </c>
      <c r="I62" t="str">
        <f t="shared" si="0"/>
        <v>X</v>
      </c>
      <c r="J62" s="53"/>
      <c r="K62" s="32"/>
      <c r="L62" s="32"/>
      <c r="M62" s="32"/>
      <c r="N62" s="32"/>
      <c r="O62" s="10"/>
      <c r="P62" s="4"/>
      <c r="Q62" s="4"/>
      <c r="R62" s="4"/>
      <c r="V62" s="5"/>
      <c r="W62" s="4"/>
    </row>
    <row r="63" spans="1:23" x14ac:dyDescent="0.35">
      <c r="A63">
        <v>59</v>
      </c>
      <c r="B63">
        <v>60</v>
      </c>
      <c r="C63">
        <v>146.064594</v>
      </c>
      <c r="D63">
        <v>-17.50992969</v>
      </c>
      <c r="E63">
        <v>50</v>
      </c>
      <c r="G63">
        <v>1</v>
      </c>
      <c r="H63" t="s">
        <v>26</v>
      </c>
      <c r="I63" t="str">
        <f t="shared" si="0"/>
        <v>X</v>
      </c>
      <c r="J63" s="53"/>
      <c r="K63" s="32"/>
      <c r="L63" s="32"/>
      <c r="M63" s="32"/>
      <c r="N63" s="32"/>
      <c r="O63" s="10"/>
      <c r="P63" s="4"/>
      <c r="Q63" s="4"/>
      <c r="R63" s="4"/>
      <c r="V63" s="5"/>
      <c r="W63" s="4"/>
    </row>
    <row r="64" spans="1:23" x14ac:dyDescent="0.35">
      <c r="A64">
        <v>60</v>
      </c>
      <c r="B64">
        <v>61</v>
      </c>
      <c r="C64">
        <v>146.0644997</v>
      </c>
      <c r="D64">
        <v>-17.509929469999999</v>
      </c>
      <c r="G64">
        <v>1</v>
      </c>
      <c r="H64" t="s">
        <v>26</v>
      </c>
      <c r="I64" t="str">
        <f t="shared" si="0"/>
        <v>X</v>
      </c>
      <c r="J64" s="53"/>
      <c r="K64" s="32"/>
      <c r="L64" s="32"/>
      <c r="M64" s="32"/>
      <c r="N64" s="32"/>
      <c r="O64" s="10"/>
      <c r="P64" s="4"/>
      <c r="Q64" s="4"/>
      <c r="R64" s="4"/>
      <c r="V64" s="5"/>
      <c r="W64" s="4"/>
    </row>
    <row r="65" spans="1:23" x14ac:dyDescent="0.35">
      <c r="A65">
        <v>61</v>
      </c>
      <c r="B65">
        <v>62</v>
      </c>
      <c r="C65">
        <v>146.06440570000001</v>
      </c>
      <c r="D65">
        <v>-17.50993789</v>
      </c>
      <c r="G65">
        <v>1</v>
      </c>
      <c r="H65" t="s">
        <v>26</v>
      </c>
      <c r="I65" t="str">
        <f t="shared" si="0"/>
        <v>X</v>
      </c>
      <c r="J65" s="53"/>
      <c r="K65" s="32"/>
      <c r="L65" s="32"/>
      <c r="M65" s="32"/>
      <c r="N65" s="32"/>
      <c r="O65" s="10"/>
      <c r="P65" s="4"/>
      <c r="Q65" s="4"/>
      <c r="R65" s="4"/>
      <c r="V65" s="5"/>
      <c r="W65" s="4"/>
    </row>
    <row r="66" spans="1:23" x14ac:dyDescent="0.35">
      <c r="A66">
        <v>62</v>
      </c>
      <c r="B66">
        <v>63</v>
      </c>
      <c r="C66">
        <v>146.06431180000001</v>
      </c>
      <c r="D66">
        <v>-17.50994631</v>
      </c>
      <c r="G66">
        <v>1</v>
      </c>
      <c r="H66" t="s">
        <v>26</v>
      </c>
      <c r="I66" t="str">
        <f t="shared" si="0"/>
        <v>X</v>
      </c>
      <c r="J66" s="53"/>
      <c r="K66" s="32"/>
      <c r="L66" s="32"/>
      <c r="M66" s="32"/>
      <c r="N66" s="32"/>
      <c r="O66" s="10"/>
      <c r="P66" s="4"/>
      <c r="Q66" s="4"/>
      <c r="R66" s="4"/>
      <c r="V66" s="5"/>
      <c r="W66" s="4"/>
    </row>
    <row r="67" spans="1:23" x14ac:dyDescent="0.35">
      <c r="A67">
        <v>63</v>
      </c>
      <c r="B67">
        <v>64</v>
      </c>
      <c r="C67">
        <v>146.06421789999999</v>
      </c>
      <c r="D67">
        <v>-17.50995473</v>
      </c>
      <c r="G67">
        <v>1</v>
      </c>
      <c r="H67" t="s">
        <v>26</v>
      </c>
      <c r="I67" t="str">
        <f t="shared" si="0"/>
        <v>X</v>
      </c>
      <c r="J67" s="53"/>
      <c r="K67" s="32"/>
      <c r="L67" s="32"/>
      <c r="M67" s="32"/>
      <c r="N67" s="32"/>
      <c r="O67" s="10"/>
      <c r="P67" s="4"/>
      <c r="Q67" s="4"/>
      <c r="R67" s="4"/>
      <c r="V67" s="5"/>
      <c r="W67" s="4"/>
    </row>
    <row r="68" spans="1:23" x14ac:dyDescent="0.35">
      <c r="A68">
        <v>64</v>
      </c>
      <c r="B68">
        <v>65</v>
      </c>
      <c r="C68">
        <v>146.0641238</v>
      </c>
      <c r="D68">
        <v>-17.509960899999999</v>
      </c>
      <c r="E68">
        <v>50</v>
      </c>
      <c r="G68">
        <v>1</v>
      </c>
      <c r="H68" t="s">
        <v>26</v>
      </c>
      <c r="I68" t="str">
        <f t="shared" si="0"/>
        <v>X</v>
      </c>
      <c r="J68" s="53"/>
      <c r="K68" s="32"/>
      <c r="L68" s="32"/>
      <c r="M68" s="32"/>
      <c r="N68" s="32"/>
      <c r="O68" s="10"/>
      <c r="P68" s="4"/>
      <c r="Q68" s="4"/>
      <c r="R68" s="4"/>
      <c r="V68" s="5"/>
      <c r="W68" s="4"/>
    </row>
    <row r="69" spans="1:23" x14ac:dyDescent="0.35">
      <c r="A69">
        <v>65</v>
      </c>
      <c r="B69">
        <v>66</v>
      </c>
      <c r="C69">
        <v>146.0640295</v>
      </c>
      <c r="D69">
        <v>-17.509962560000002</v>
      </c>
      <c r="G69">
        <v>1</v>
      </c>
      <c r="H69" t="s">
        <v>26</v>
      </c>
      <c r="I69" t="str">
        <f t="shared" ref="I69:I132" si="1">IF(H69="X","X",IF(J69="NA","X",IF(J69="","X",J69)))</f>
        <v>X</v>
      </c>
      <c r="J69" s="53"/>
      <c r="K69" s="32"/>
      <c r="L69" s="32"/>
      <c r="M69" s="32"/>
      <c r="N69" s="32"/>
      <c r="O69" s="10"/>
      <c r="P69" s="4"/>
      <c r="Q69" s="4"/>
      <c r="R69" s="4"/>
      <c r="V69" s="5"/>
      <c r="W69" s="4"/>
    </row>
    <row r="70" spans="1:23" x14ac:dyDescent="0.35">
      <c r="A70">
        <v>66</v>
      </c>
      <c r="B70">
        <v>67</v>
      </c>
      <c r="C70">
        <v>146.0639353</v>
      </c>
      <c r="D70">
        <v>-17.509964220000001</v>
      </c>
      <c r="G70">
        <v>1</v>
      </c>
      <c r="H70" t="s">
        <v>26</v>
      </c>
      <c r="I70" t="str">
        <f t="shared" si="1"/>
        <v>X</v>
      </c>
      <c r="J70" s="53"/>
      <c r="K70" s="32"/>
      <c r="L70" s="32"/>
      <c r="M70" s="32"/>
      <c r="N70" s="32"/>
      <c r="O70" s="10"/>
      <c r="P70" s="4"/>
      <c r="Q70" s="4"/>
      <c r="R70" s="4"/>
      <c r="V70" s="5"/>
      <c r="W70" s="4"/>
    </row>
    <row r="71" spans="1:23" x14ac:dyDescent="0.35">
      <c r="A71">
        <v>67</v>
      </c>
      <c r="B71">
        <v>68</v>
      </c>
      <c r="C71">
        <v>146.06384220000001</v>
      </c>
      <c r="D71">
        <v>-17.509951480000002</v>
      </c>
      <c r="G71">
        <v>1</v>
      </c>
      <c r="H71" t="s">
        <v>26</v>
      </c>
      <c r="I71" t="str">
        <f t="shared" si="1"/>
        <v>X</v>
      </c>
      <c r="J71" s="53"/>
      <c r="K71" s="32"/>
      <c r="L71" s="32"/>
      <c r="M71" s="32"/>
      <c r="N71" s="32"/>
      <c r="O71" s="10"/>
      <c r="P71" s="4"/>
      <c r="Q71" s="4"/>
      <c r="R71" s="4"/>
      <c r="V71" s="5"/>
      <c r="W71" s="4"/>
    </row>
    <row r="72" spans="1:23" x14ac:dyDescent="0.35">
      <c r="A72">
        <v>68</v>
      </c>
      <c r="B72">
        <v>69</v>
      </c>
      <c r="C72">
        <v>146.06374959999999</v>
      </c>
      <c r="D72">
        <v>-17.509933650000001</v>
      </c>
      <c r="G72">
        <v>1</v>
      </c>
      <c r="H72" t="s">
        <v>26</v>
      </c>
      <c r="I72" t="str">
        <f t="shared" si="1"/>
        <v>X</v>
      </c>
      <c r="J72" s="53"/>
      <c r="K72" s="32"/>
      <c r="L72" s="32"/>
      <c r="M72" s="32"/>
      <c r="N72" s="32"/>
      <c r="O72" s="10"/>
      <c r="P72" s="4"/>
      <c r="Q72" s="4"/>
      <c r="R72" s="4"/>
      <c r="V72" s="5"/>
      <c r="W72" s="4"/>
    </row>
    <row r="73" spans="1:23" x14ac:dyDescent="0.35">
      <c r="A73">
        <v>69</v>
      </c>
      <c r="B73">
        <v>70</v>
      </c>
      <c r="C73">
        <v>146.06365700000001</v>
      </c>
      <c r="D73">
        <v>-17.509915809999999</v>
      </c>
      <c r="E73">
        <v>50</v>
      </c>
      <c r="G73">
        <v>1</v>
      </c>
      <c r="H73" t="s">
        <v>26</v>
      </c>
      <c r="I73" t="str">
        <f t="shared" si="1"/>
        <v>X</v>
      </c>
      <c r="J73" s="53"/>
      <c r="K73" s="32"/>
      <c r="L73" s="32"/>
      <c r="M73" s="32"/>
      <c r="N73" s="32"/>
      <c r="O73" s="10"/>
      <c r="P73" s="4"/>
      <c r="Q73" s="4"/>
      <c r="R73" s="4"/>
      <c r="V73" s="5"/>
      <c r="W73" s="4"/>
    </row>
    <row r="74" spans="1:23" x14ac:dyDescent="0.35">
      <c r="A74">
        <v>70</v>
      </c>
      <c r="B74">
        <v>71</v>
      </c>
      <c r="C74">
        <v>146.0635656</v>
      </c>
      <c r="D74">
        <v>-17.50989268</v>
      </c>
      <c r="G74">
        <v>1</v>
      </c>
      <c r="H74" t="s">
        <v>26</v>
      </c>
      <c r="I74" t="str">
        <f t="shared" si="1"/>
        <v>X</v>
      </c>
      <c r="J74" s="53"/>
      <c r="K74" s="32"/>
      <c r="L74" s="32"/>
      <c r="M74" s="32"/>
      <c r="N74" s="32"/>
      <c r="O74" s="10"/>
      <c r="P74" s="4"/>
      <c r="Q74" s="4"/>
      <c r="R74" s="4"/>
      <c r="V74" s="5"/>
      <c r="W74" s="4"/>
    </row>
    <row r="75" spans="1:23" x14ac:dyDescent="0.35">
      <c r="A75">
        <v>71</v>
      </c>
      <c r="B75">
        <v>72</v>
      </c>
      <c r="C75">
        <v>146.0634743</v>
      </c>
      <c r="D75">
        <v>-17.509869080000001</v>
      </c>
      <c r="G75">
        <v>1</v>
      </c>
      <c r="H75" t="s">
        <v>26</v>
      </c>
      <c r="I75" t="str">
        <f t="shared" si="1"/>
        <v>X</v>
      </c>
      <c r="J75" s="53"/>
      <c r="K75" s="32"/>
      <c r="L75" s="32"/>
      <c r="M75" s="32"/>
      <c r="N75" s="32"/>
      <c r="O75" s="10"/>
      <c r="P75" s="4"/>
      <c r="Q75" s="4"/>
      <c r="R75" s="4"/>
      <c r="V75" s="5"/>
      <c r="W75" s="4"/>
    </row>
    <row r="76" spans="1:23" x14ac:dyDescent="0.35">
      <c r="A76">
        <v>72</v>
      </c>
      <c r="B76">
        <v>73</v>
      </c>
      <c r="C76">
        <v>146.06338299999999</v>
      </c>
      <c r="D76">
        <v>-17.509845479999999</v>
      </c>
      <c r="G76">
        <v>1</v>
      </c>
      <c r="H76" t="s">
        <v>26</v>
      </c>
      <c r="I76" t="str">
        <f t="shared" si="1"/>
        <v>X</v>
      </c>
      <c r="J76" s="53"/>
      <c r="K76" s="32"/>
      <c r="L76" s="32"/>
      <c r="M76" s="32"/>
      <c r="N76" s="32"/>
      <c r="O76" s="10"/>
      <c r="P76" s="4"/>
      <c r="Q76" s="4"/>
      <c r="R76" s="4"/>
      <c r="V76" s="5"/>
      <c r="W76" s="4"/>
    </row>
    <row r="77" spans="1:23" x14ac:dyDescent="0.35">
      <c r="A77">
        <v>73</v>
      </c>
      <c r="B77">
        <v>74</v>
      </c>
      <c r="C77">
        <v>146.06329009999999</v>
      </c>
      <c r="D77">
        <v>-17.509842460000002</v>
      </c>
      <c r="G77">
        <v>1</v>
      </c>
      <c r="H77" t="s">
        <v>26</v>
      </c>
      <c r="I77" t="str">
        <f t="shared" si="1"/>
        <v>X</v>
      </c>
      <c r="J77" s="53"/>
      <c r="K77" s="32"/>
      <c r="L77" s="32"/>
      <c r="M77" s="32"/>
      <c r="N77" s="32"/>
      <c r="O77" s="10"/>
      <c r="P77" s="4"/>
      <c r="Q77" s="4"/>
      <c r="R77" s="4"/>
      <c r="V77" s="5"/>
      <c r="W77" s="4"/>
    </row>
    <row r="78" spans="1:23" x14ac:dyDescent="0.35">
      <c r="A78">
        <v>74</v>
      </c>
      <c r="B78">
        <v>75</v>
      </c>
      <c r="C78">
        <v>146.06319629999999</v>
      </c>
      <c r="D78">
        <v>-17.50985202</v>
      </c>
      <c r="E78">
        <v>50</v>
      </c>
      <c r="G78">
        <v>1</v>
      </c>
      <c r="H78" t="s">
        <v>26</v>
      </c>
      <c r="I78" t="str">
        <f t="shared" si="1"/>
        <v>X</v>
      </c>
      <c r="J78" s="53"/>
      <c r="K78" s="32"/>
      <c r="L78" s="32"/>
      <c r="M78" s="32"/>
      <c r="N78" s="32"/>
      <c r="O78" s="10"/>
      <c r="P78" s="4"/>
      <c r="Q78" s="4"/>
      <c r="R78" s="4"/>
      <c r="V78" s="5"/>
      <c r="W78" s="4"/>
    </row>
    <row r="79" spans="1:23" x14ac:dyDescent="0.35">
      <c r="A79">
        <v>75</v>
      </c>
      <c r="B79">
        <v>76</v>
      </c>
      <c r="C79">
        <v>146.0631027</v>
      </c>
      <c r="D79">
        <v>-17.50986297</v>
      </c>
      <c r="G79">
        <v>1</v>
      </c>
      <c r="H79" t="s">
        <v>26</v>
      </c>
      <c r="I79" t="str">
        <f t="shared" si="1"/>
        <v>X</v>
      </c>
      <c r="J79" s="53"/>
      <c r="K79" s="32"/>
      <c r="L79" s="32"/>
      <c r="M79" s="32"/>
      <c r="N79" s="32"/>
      <c r="O79" s="10"/>
      <c r="P79" s="4"/>
      <c r="Q79" s="4"/>
      <c r="R79" s="4"/>
      <c r="V79" s="5"/>
      <c r="W79" s="4"/>
    </row>
    <row r="80" spans="1:23" x14ac:dyDescent="0.35">
      <c r="A80">
        <v>76</v>
      </c>
      <c r="B80">
        <v>77</v>
      </c>
      <c r="C80">
        <v>146.06300920000001</v>
      </c>
      <c r="D80">
        <v>-17.509875699999998</v>
      </c>
      <c r="G80">
        <v>1</v>
      </c>
      <c r="H80" t="s">
        <v>26</v>
      </c>
      <c r="I80" t="str">
        <f t="shared" si="1"/>
        <v>X</v>
      </c>
      <c r="J80" s="53"/>
      <c r="K80" s="32"/>
      <c r="L80" s="32"/>
      <c r="M80" s="32"/>
      <c r="N80" s="32"/>
      <c r="O80" s="10"/>
      <c r="P80" s="4"/>
      <c r="Q80" s="4"/>
      <c r="R80" s="4"/>
      <c r="V80" s="5"/>
      <c r="W80" s="4"/>
    </row>
    <row r="81" spans="1:23" x14ac:dyDescent="0.35">
      <c r="A81">
        <v>77</v>
      </c>
      <c r="B81">
        <v>78</v>
      </c>
      <c r="C81">
        <v>146.06291580000001</v>
      </c>
      <c r="D81">
        <v>-17.5098883</v>
      </c>
      <c r="G81">
        <v>1</v>
      </c>
      <c r="H81" t="s">
        <v>26</v>
      </c>
      <c r="I81" t="str">
        <f t="shared" si="1"/>
        <v>X</v>
      </c>
      <c r="J81" s="53"/>
      <c r="K81" s="32"/>
      <c r="L81" s="32"/>
      <c r="M81" s="32"/>
      <c r="N81" s="32"/>
      <c r="O81" s="10"/>
      <c r="P81" s="4"/>
      <c r="Q81" s="4"/>
      <c r="R81" s="4"/>
      <c r="V81" s="5"/>
      <c r="W81" s="4"/>
    </row>
    <row r="82" spans="1:23" x14ac:dyDescent="0.35">
      <c r="A82">
        <v>78</v>
      </c>
      <c r="B82">
        <v>79</v>
      </c>
      <c r="C82">
        <v>146.06282229999999</v>
      </c>
      <c r="D82">
        <v>-17.50990066</v>
      </c>
      <c r="G82">
        <v>1</v>
      </c>
      <c r="H82" t="s">
        <v>26</v>
      </c>
      <c r="I82" t="str">
        <f t="shared" si="1"/>
        <v>X</v>
      </c>
      <c r="J82" s="53"/>
      <c r="K82" s="32"/>
      <c r="L82" s="32"/>
      <c r="M82" s="32"/>
      <c r="N82" s="32"/>
      <c r="O82" s="10"/>
      <c r="P82" s="4"/>
      <c r="Q82" s="4"/>
      <c r="R82" s="4"/>
      <c r="V82" s="5"/>
      <c r="W82" s="4"/>
    </row>
    <row r="83" spans="1:23" x14ac:dyDescent="0.35">
      <c r="A83">
        <v>79</v>
      </c>
      <c r="B83">
        <v>80</v>
      </c>
      <c r="C83">
        <v>146.0627288</v>
      </c>
      <c r="D83">
        <v>-17.50991303</v>
      </c>
      <c r="E83">
        <v>50</v>
      </c>
      <c r="G83">
        <v>1</v>
      </c>
      <c r="H83" t="s">
        <v>26</v>
      </c>
      <c r="I83" t="str">
        <f t="shared" si="1"/>
        <v>X</v>
      </c>
      <c r="J83" s="53"/>
      <c r="K83" s="32"/>
      <c r="L83" s="32"/>
      <c r="M83" s="32"/>
      <c r="N83" s="32"/>
      <c r="O83" s="10"/>
      <c r="P83" s="4"/>
      <c r="Q83" s="4"/>
      <c r="R83" s="4"/>
      <c r="V83" s="5"/>
      <c r="W83" s="4"/>
    </row>
    <row r="84" spans="1:23" x14ac:dyDescent="0.35">
      <c r="A84">
        <v>80</v>
      </c>
      <c r="B84">
        <v>81</v>
      </c>
      <c r="C84">
        <v>146.06263530000001</v>
      </c>
      <c r="D84">
        <v>-17.509925389999999</v>
      </c>
      <c r="G84">
        <v>1</v>
      </c>
      <c r="H84" t="s">
        <v>26</v>
      </c>
      <c r="I84" t="str">
        <f t="shared" si="1"/>
        <v>X</v>
      </c>
      <c r="J84" s="53"/>
      <c r="K84" s="32"/>
      <c r="L84" s="32"/>
      <c r="M84" s="32"/>
      <c r="N84" s="32"/>
      <c r="O84" s="10"/>
      <c r="P84" s="4"/>
      <c r="Q84" s="4"/>
      <c r="R84" s="4"/>
      <c r="V84" s="5"/>
      <c r="W84" s="4"/>
    </row>
    <row r="85" spans="1:23" x14ac:dyDescent="0.35">
      <c r="A85">
        <v>81</v>
      </c>
      <c r="B85">
        <v>82</v>
      </c>
      <c r="C85">
        <v>146.06254100000001</v>
      </c>
      <c r="D85">
        <v>-17.509925460000002</v>
      </c>
      <c r="G85">
        <v>1</v>
      </c>
      <c r="H85" t="s">
        <v>26</v>
      </c>
      <c r="I85" t="str">
        <f t="shared" si="1"/>
        <v>X</v>
      </c>
      <c r="J85" s="53"/>
      <c r="K85" s="32"/>
      <c r="L85" s="32"/>
      <c r="M85" s="32"/>
      <c r="N85" s="32"/>
      <c r="O85" s="10"/>
      <c r="P85" s="4"/>
      <c r="Q85" s="4"/>
      <c r="R85" s="4"/>
      <c r="V85" s="5"/>
      <c r="W85" s="4"/>
    </row>
    <row r="86" spans="1:23" x14ac:dyDescent="0.35">
      <c r="A86">
        <v>82</v>
      </c>
      <c r="B86">
        <v>83</v>
      </c>
      <c r="C86">
        <v>146.06244670000001</v>
      </c>
      <c r="D86">
        <v>-17.509925020000001</v>
      </c>
      <c r="G86">
        <v>1</v>
      </c>
      <c r="H86" t="s">
        <v>26</v>
      </c>
      <c r="I86" t="str">
        <f t="shared" si="1"/>
        <v>X</v>
      </c>
      <c r="J86" s="53"/>
      <c r="K86" s="32"/>
      <c r="L86" s="32"/>
      <c r="M86" s="32"/>
      <c r="N86" s="32"/>
      <c r="O86" s="10"/>
      <c r="P86" s="4"/>
      <c r="Q86" s="4"/>
      <c r="R86" s="4"/>
      <c r="V86" s="5"/>
      <c r="W86" s="4"/>
    </row>
    <row r="87" spans="1:23" x14ac:dyDescent="0.35">
      <c r="A87">
        <v>83</v>
      </c>
      <c r="B87">
        <v>84</v>
      </c>
      <c r="C87">
        <v>146.06235240000001</v>
      </c>
      <c r="D87">
        <v>-17.509924569999999</v>
      </c>
      <c r="G87">
        <v>1</v>
      </c>
      <c r="H87" t="s">
        <v>26</v>
      </c>
      <c r="I87" t="str">
        <f t="shared" si="1"/>
        <v>X</v>
      </c>
      <c r="J87" s="53"/>
      <c r="K87" s="32"/>
      <c r="L87" s="32"/>
      <c r="M87" s="32"/>
      <c r="N87" s="32"/>
      <c r="O87" s="10"/>
      <c r="P87" s="4"/>
      <c r="Q87" s="4"/>
      <c r="R87" s="4"/>
      <c r="V87" s="5"/>
      <c r="W87" s="4"/>
    </row>
    <row r="88" spans="1:23" x14ac:dyDescent="0.35">
      <c r="A88">
        <v>84</v>
      </c>
      <c r="B88">
        <v>85</v>
      </c>
      <c r="C88">
        <v>146.0622597</v>
      </c>
      <c r="D88">
        <v>-17.50993828</v>
      </c>
      <c r="E88">
        <v>50</v>
      </c>
      <c r="G88">
        <v>1</v>
      </c>
      <c r="H88" t="s">
        <v>26</v>
      </c>
      <c r="I88" t="str">
        <f t="shared" si="1"/>
        <v>X</v>
      </c>
      <c r="J88" s="53"/>
      <c r="K88" s="32"/>
      <c r="L88" s="32"/>
      <c r="M88" s="32"/>
      <c r="N88" s="32"/>
      <c r="O88" s="10"/>
      <c r="P88" s="4"/>
      <c r="Q88" s="4"/>
      <c r="R88" s="4"/>
      <c r="V88" s="5"/>
      <c r="W88" s="4"/>
    </row>
    <row r="89" spans="1:23" x14ac:dyDescent="0.35">
      <c r="A89">
        <v>85</v>
      </c>
      <c r="B89">
        <v>86</v>
      </c>
      <c r="C89">
        <v>146.0621678</v>
      </c>
      <c r="D89">
        <v>-17.509959519999999</v>
      </c>
      <c r="G89">
        <v>1</v>
      </c>
      <c r="H89" t="s">
        <v>26</v>
      </c>
      <c r="I89" t="str">
        <f t="shared" si="1"/>
        <v>X</v>
      </c>
      <c r="J89" s="53"/>
      <c r="K89" s="32"/>
      <c r="L89" s="32"/>
      <c r="M89" s="32"/>
      <c r="N89" s="32"/>
      <c r="O89" s="10"/>
      <c r="P89" s="4"/>
      <c r="Q89" s="4"/>
      <c r="R89" s="4"/>
      <c r="V89" s="5"/>
      <c r="W89" s="4"/>
    </row>
    <row r="90" spans="1:23" x14ac:dyDescent="0.35">
      <c r="A90">
        <v>86</v>
      </c>
      <c r="B90">
        <v>87</v>
      </c>
      <c r="C90">
        <v>146.0620758</v>
      </c>
      <c r="D90">
        <v>-17.509978350000001</v>
      </c>
      <c r="G90">
        <v>1</v>
      </c>
      <c r="H90" t="s">
        <v>26</v>
      </c>
      <c r="I90" t="str">
        <f t="shared" si="1"/>
        <v>X</v>
      </c>
      <c r="J90" s="53"/>
      <c r="K90" s="32"/>
      <c r="L90" s="32"/>
      <c r="M90" s="32"/>
      <c r="N90" s="32"/>
      <c r="O90" s="10"/>
      <c r="P90" s="4"/>
      <c r="Q90" s="4"/>
      <c r="R90" s="4"/>
      <c r="V90" s="5"/>
      <c r="W90" s="4"/>
    </row>
    <row r="91" spans="1:23" x14ac:dyDescent="0.35">
      <c r="A91">
        <v>87</v>
      </c>
      <c r="B91">
        <v>88</v>
      </c>
      <c r="C91">
        <v>146.06198190000001</v>
      </c>
      <c r="D91">
        <v>-17.5099698</v>
      </c>
      <c r="G91">
        <v>1</v>
      </c>
      <c r="H91" t="s">
        <v>26</v>
      </c>
      <c r="I91" t="str">
        <f t="shared" si="1"/>
        <v>X</v>
      </c>
      <c r="J91" s="53"/>
      <c r="K91" s="32"/>
      <c r="L91" s="32"/>
      <c r="M91" s="32"/>
      <c r="N91" s="32"/>
      <c r="O91" s="10"/>
      <c r="P91" s="4"/>
      <c r="Q91" s="4"/>
      <c r="R91" s="4"/>
      <c r="V91" s="5"/>
      <c r="W91" s="4"/>
    </row>
    <row r="92" spans="1:23" x14ac:dyDescent="0.35">
      <c r="A92">
        <v>88</v>
      </c>
      <c r="B92">
        <v>89</v>
      </c>
      <c r="C92">
        <v>146.06188789999999</v>
      </c>
      <c r="D92">
        <v>-17.509961260000001</v>
      </c>
      <c r="G92">
        <v>1</v>
      </c>
      <c r="H92" t="s">
        <v>26</v>
      </c>
      <c r="I92" t="str">
        <f t="shared" si="1"/>
        <v>X</v>
      </c>
      <c r="J92" s="53"/>
      <c r="K92" s="32"/>
      <c r="L92" s="32"/>
      <c r="M92" s="32"/>
      <c r="N92" s="32"/>
      <c r="O92" s="10"/>
      <c r="P92" s="4"/>
      <c r="Q92" s="4"/>
      <c r="R92" s="4"/>
      <c r="V92" s="5"/>
      <c r="W92" s="4"/>
    </row>
    <row r="93" spans="1:23" x14ac:dyDescent="0.35">
      <c r="A93">
        <v>89</v>
      </c>
      <c r="B93">
        <v>90</v>
      </c>
      <c r="C93">
        <v>146.06179589999999</v>
      </c>
      <c r="D93">
        <v>-17.50998177</v>
      </c>
      <c r="E93">
        <v>50</v>
      </c>
      <c r="G93">
        <v>1</v>
      </c>
      <c r="H93" t="s">
        <v>26</v>
      </c>
      <c r="I93" t="str">
        <f t="shared" si="1"/>
        <v>X</v>
      </c>
      <c r="J93" s="53"/>
      <c r="K93" s="32"/>
      <c r="L93" s="32"/>
      <c r="M93" s="32"/>
      <c r="N93" s="32"/>
      <c r="O93" s="10"/>
      <c r="P93" s="4"/>
      <c r="Q93" s="4"/>
      <c r="R93" s="4"/>
      <c r="V93" s="5"/>
      <c r="W93" s="4"/>
    </row>
    <row r="94" spans="1:23" x14ac:dyDescent="0.35">
      <c r="A94">
        <v>90</v>
      </c>
      <c r="B94">
        <v>91</v>
      </c>
      <c r="C94">
        <v>146.0617039</v>
      </c>
      <c r="D94">
        <v>-17.51000239</v>
      </c>
      <c r="G94">
        <v>1</v>
      </c>
      <c r="H94" t="s">
        <v>26</v>
      </c>
      <c r="I94" t="str">
        <f t="shared" si="1"/>
        <v>X</v>
      </c>
      <c r="J94" s="53"/>
      <c r="K94" s="32"/>
      <c r="L94" s="32"/>
      <c r="M94" s="32"/>
      <c r="N94" s="32"/>
      <c r="O94" s="10"/>
      <c r="P94" s="4"/>
      <c r="Q94" s="4"/>
      <c r="R94" s="4"/>
      <c r="V94" s="5"/>
      <c r="W94" s="4"/>
    </row>
    <row r="95" spans="1:23" x14ac:dyDescent="0.35">
      <c r="A95">
        <v>91</v>
      </c>
      <c r="B95">
        <v>92</v>
      </c>
      <c r="C95">
        <v>146.06161259999999</v>
      </c>
      <c r="D95">
        <v>-17.51002609</v>
      </c>
      <c r="G95">
        <v>1</v>
      </c>
      <c r="H95" t="s">
        <v>26</v>
      </c>
      <c r="I95" t="str">
        <f t="shared" si="1"/>
        <v>X</v>
      </c>
      <c r="J95" s="53"/>
      <c r="K95" s="32"/>
      <c r="L95" s="32"/>
      <c r="M95" s="32"/>
      <c r="N95" s="32"/>
      <c r="O95" s="10"/>
      <c r="P95" s="4"/>
      <c r="Q95" s="4"/>
      <c r="R95" s="4"/>
      <c r="V95" s="5"/>
      <c r="W95" s="4"/>
    </row>
    <row r="96" spans="1:23" x14ac:dyDescent="0.35">
      <c r="A96">
        <v>92</v>
      </c>
      <c r="B96">
        <v>93</v>
      </c>
      <c r="C96">
        <v>146.06152169999999</v>
      </c>
      <c r="D96">
        <v>-17.510051130000001</v>
      </c>
      <c r="G96">
        <v>1</v>
      </c>
      <c r="H96" t="s">
        <v>26</v>
      </c>
      <c r="I96" t="str">
        <f t="shared" si="1"/>
        <v>X</v>
      </c>
      <c r="J96" s="53"/>
      <c r="K96" s="32"/>
      <c r="L96" s="32"/>
      <c r="M96" s="32"/>
      <c r="N96" s="32"/>
      <c r="O96" s="10"/>
      <c r="P96" s="4"/>
      <c r="Q96" s="4"/>
      <c r="R96" s="4"/>
      <c r="V96" s="5"/>
      <c r="W96" s="4"/>
    </row>
    <row r="97" spans="1:23" x14ac:dyDescent="0.35">
      <c r="A97">
        <v>93</v>
      </c>
      <c r="B97">
        <v>94</v>
      </c>
      <c r="C97">
        <v>146.06143080000001</v>
      </c>
      <c r="D97">
        <v>-17.510076160000001</v>
      </c>
      <c r="G97">
        <v>1</v>
      </c>
      <c r="H97" t="s">
        <v>26</v>
      </c>
      <c r="I97" t="str">
        <f t="shared" si="1"/>
        <v>X</v>
      </c>
      <c r="J97" s="53"/>
      <c r="K97" s="32"/>
      <c r="L97" s="32"/>
      <c r="M97" s="32"/>
      <c r="N97" s="32"/>
      <c r="O97" s="10"/>
      <c r="P97" s="4"/>
      <c r="Q97" s="4"/>
      <c r="R97" s="4"/>
      <c r="V97" s="5"/>
      <c r="W97" s="4"/>
    </row>
    <row r="98" spans="1:23" x14ac:dyDescent="0.35">
      <c r="A98">
        <v>94</v>
      </c>
      <c r="B98">
        <v>95</v>
      </c>
      <c r="C98">
        <v>146.06133990000001</v>
      </c>
      <c r="D98">
        <v>-17.51010119</v>
      </c>
      <c r="E98">
        <v>50</v>
      </c>
      <c r="G98">
        <v>1</v>
      </c>
      <c r="H98" t="s">
        <v>26</v>
      </c>
      <c r="I98" t="str">
        <f t="shared" si="1"/>
        <v>X</v>
      </c>
      <c r="J98" s="53"/>
      <c r="K98" s="32"/>
      <c r="L98" s="32"/>
      <c r="M98" s="32"/>
      <c r="N98" s="32"/>
      <c r="O98" s="10"/>
      <c r="P98" s="4"/>
      <c r="Q98" s="4"/>
      <c r="R98" s="4"/>
      <c r="V98" s="5"/>
      <c r="W98" s="4"/>
    </row>
    <row r="99" spans="1:23" x14ac:dyDescent="0.35">
      <c r="A99">
        <v>95</v>
      </c>
      <c r="B99">
        <v>96</v>
      </c>
      <c r="C99">
        <v>146.06125109999999</v>
      </c>
      <c r="D99">
        <v>-17.51013266</v>
      </c>
      <c r="G99">
        <v>1</v>
      </c>
      <c r="H99" t="s">
        <v>26</v>
      </c>
      <c r="I99" t="str">
        <f t="shared" si="1"/>
        <v>X</v>
      </c>
      <c r="J99" s="53"/>
      <c r="K99" s="32"/>
      <c r="L99" s="32"/>
      <c r="M99" s="32"/>
      <c r="N99" s="32"/>
      <c r="O99" s="10"/>
      <c r="P99" s="4"/>
      <c r="Q99" s="4"/>
      <c r="R99" s="4"/>
      <c r="V99" s="5"/>
      <c r="W99" s="4"/>
    </row>
    <row r="100" spans="1:23" x14ac:dyDescent="0.35">
      <c r="A100">
        <v>96</v>
      </c>
      <c r="B100">
        <v>97</v>
      </c>
      <c r="C100">
        <v>146.06116370000001</v>
      </c>
      <c r="D100">
        <v>-17.510167970000001</v>
      </c>
      <c r="G100">
        <v>1</v>
      </c>
      <c r="H100" t="s">
        <v>26</v>
      </c>
      <c r="I100" t="str">
        <f t="shared" si="1"/>
        <v>X</v>
      </c>
      <c r="J100" s="53"/>
      <c r="K100" s="32"/>
      <c r="L100" s="32"/>
      <c r="M100" s="32"/>
      <c r="N100" s="32"/>
      <c r="O100" s="10"/>
      <c r="P100" s="4"/>
      <c r="Q100" s="4"/>
      <c r="R100" s="4"/>
      <c r="V100" s="5"/>
      <c r="W100" s="4"/>
    </row>
    <row r="101" spans="1:23" x14ac:dyDescent="0.35">
      <c r="A101">
        <v>97</v>
      </c>
      <c r="B101">
        <v>98</v>
      </c>
      <c r="C101">
        <v>146.0610762</v>
      </c>
      <c r="D101">
        <v>-17.510203279999999</v>
      </c>
      <c r="G101">
        <v>1</v>
      </c>
      <c r="H101" t="s">
        <v>26</v>
      </c>
      <c r="I101" t="str">
        <f t="shared" si="1"/>
        <v>X</v>
      </c>
      <c r="J101" s="53"/>
      <c r="K101" s="32"/>
      <c r="L101" s="32"/>
      <c r="M101" s="32"/>
      <c r="N101" s="32"/>
      <c r="O101" s="10"/>
      <c r="P101" s="4"/>
      <c r="Q101" s="4"/>
      <c r="R101" s="4"/>
      <c r="V101" s="5"/>
      <c r="W101" s="4"/>
    </row>
    <row r="102" spans="1:23" x14ac:dyDescent="0.35">
      <c r="A102">
        <v>98</v>
      </c>
      <c r="B102">
        <v>99</v>
      </c>
      <c r="C102">
        <v>146.06098879999999</v>
      </c>
      <c r="D102">
        <v>-17.51023859</v>
      </c>
      <c r="G102">
        <v>1</v>
      </c>
      <c r="H102" t="s">
        <v>26</v>
      </c>
      <c r="I102" t="str">
        <f t="shared" si="1"/>
        <v>X</v>
      </c>
      <c r="J102" s="53"/>
      <c r="K102" s="32"/>
      <c r="L102" s="32"/>
      <c r="M102" s="32"/>
      <c r="N102" s="32"/>
      <c r="O102" s="10"/>
      <c r="P102" s="4"/>
      <c r="Q102" s="4"/>
      <c r="R102" s="4"/>
      <c r="V102" s="5"/>
      <c r="W102" s="4"/>
    </row>
    <row r="103" spans="1:23" x14ac:dyDescent="0.35">
      <c r="A103">
        <v>99</v>
      </c>
      <c r="B103">
        <v>100</v>
      </c>
      <c r="C103">
        <v>146.06090140000001</v>
      </c>
      <c r="D103">
        <v>-17.510273900000001</v>
      </c>
      <c r="E103">
        <v>50</v>
      </c>
      <c r="G103">
        <v>1</v>
      </c>
      <c r="H103" t="s">
        <v>26</v>
      </c>
      <c r="I103" t="str">
        <f t="shared" si="1"/>
        <v>X</v>
      </c>
      <c r="J103" s="53"/>
      <c r="K103" s="32"/>
      <c r="L103" s="32"/>
      <c r="M103" s="32"/>
      <c r="N103" s="32"/>
      <c r="O103" s="10"/>
      <c r="P103" s="4"/>
      <c r="Q103" s="4"/>
      <c r="R103" s="4"/>
      <c r="V103" s="5"/>
      <c r="W103" s="4"/>
    </row>
    <row r="104" spans="1:23" x14ac:dyDescent="0.35">
      <c r="A104">
        <v>100</v>
      </c>
      <c r="B104">
        <v>101</v>
      </c>
      <c r="C104">
        <v>146.06082559999999</v>
      </c>
      <c r="D104">
        <v>-17.510328470000001</v>
      </c>
      <c r="G104">
        <v>1</v>
      </c>
      <c r="H104" t="s">
        <v>26</v>
      </c>
      <c r="I104" t="str">
        <f t="shared" si="1"/>
        <v>X</v>
      </c>
      <c r="J104" s="53"/>
      <c r="K104" s="32"/>
      <c r="L104" s="32"/>
      <c r="M104" s="32"/>
      <c r="N104" s="32"/>
      <c r="O104" s="10"/>
      <c r="P104" s="4"/>
      <c r="Q104" s="4"/>
      <c r="R104" s="4"/>
      <c r="V104" s="5"/>
      <c r="W104" s="4"/>
    </row>
    <row r="105" spans="1:23" x14ac:dyDescent="0.35">
      <c r="A105">
        <v>101</v>
      </c>
      <c r="B105">
        <v>102</v>
      </c>
      <c r="C105">
        <v>146.060754</v>
      </c>
      <c r="D105">
        <v>-17.51038982</v>
      </c>
      <c r="G105">
        <v>1</v>
      </c>
      <c r="H105" t="s">
        <v>26</v>
      </c>
      <c r="I105" t="str">
        <f t="shared" si="1"/>
        <v>X</v>
      </c>
      <c r="J105" s="53"/>
      <c r="K105" s="32"/>
      <c r="L105" s="32"/>
      <c r="M105" s="32"/>
      <c r="N105" s="32"/>
      <c r="O105" s="10"/>
      <c r="P105" s="4"/>
      <c r="Q105" s="4"/>
      <c r="R105" s="4"/>
      <c r="V105" s="5"/>
      <c r="W105" s="4"/>
    </row>
    <row r="106" spans="1:23" x14ac:dyDescent="0.35">
      <c r="A106">
        <v>102</v>
      </c>
      <c r="B106">
        <v>103</v>
      </c>
      <c r="C106">
        <v>146.06068239999999</v>
      </c>
      <c r="D106">
        <v>-17.510451159999999</v>
      </c>
      <c r="G106">
        <v>1</v>
      </c>
      <c r="H106" t="s">
        <v>26</v>
      </c>
      <c r="I106" t="str">
        <f t="shared" si="1"/>
        <v>X</v>
      </c>
      <c r="J106" s="53"/>
      <c r="K106" s="32"/>
      <c r="L106" s="32"/>
      <c r="M106" s="32"/>
      <c r="N106" s="32"/>
      <c r="O106" s="10"/>
      <c r="P106" s="4"/>
      <c r="Q106" s="4"/>
      <c r="R106" s="4"/>
      <c r="V106" s="5"/>
      <c r="W106" s="4"/>
    </row>
    <row r="107" spans="1:23" x14ac:dyDescent="0.35">
      <c r="A107">
        <v>103</v>
      </c>
      <c r="B107">
        <v>104</v>
      </c>
      <c r="C107">
        <v>146.06061080000001</v>
      </c>
      <c r="D107">
        <v>-17.510512510000002</v>
      </c>
      <c r="G107">
        <v>1</v>
      </c>
      <c r="H107" t="s">
        <v>26</v>
      </c>
      <c r="I107" t="str">
        <f t="shared" si="1"/>
        <v>X</v>
      </c>
      <c r="J107" s="53"/>
      <c r="K107" s="32"/>
      <c r="L107" s="32"/>
      <c r="M107" s="32"/>
      <c r="N107" s="32"/>
      <c r="O107" s="10"/>
      <c r="P107" s="4"/>
      <c r="Q107" s="4"/>
      <c r="R107" s="4"/>
      <c r="V107" s="5"/>
      <c r="W107" s="4"/>
    </row>
    <row r="108" spans="1:23" x14ac:dyDescent="0.35">
      <c r="A108">
        <v>104</v>
      </c>
      <c r="B108">
        <v>105</v>
      </c>
      <c r="C108">
        <v>146.0605391</v>
      </c>
      <c r="D108">
        <v>-17.510573860000001</v>
      </c>
      <c r="E108">
        <v>50</v>
      </c>
      <c r="F108" s="1" t="str">
        <f>HYPERLINK("D:\Data From Lucan\2024\Johnstone\Frames_for_Analysis\105_20240610_0007_R_0674.jpg","105_20240610_0007_R_0674.jpg")</f>
        <v>105_20240610_0007_R_0674.jpg</v>
      </c>
      <c r="G108">
        <v>1</v>
      </c>
      <c r="H108" t="s">
        <v>26</v>
      </c>
      <c r="I108" t="str">
        <f t="shared" si="1"/>
        <v>X</v>
      </c>
      <c r="J108" s="53"/>
      <c r="K108" s="32"/>
      <c r="L108" s="32"/>
      <c r="M108" s="32"/>
      <c r="N108" s="32"/>
      <c r="O108" s="10">
        <v>1</v>
      </c>
      <c r="P108" s="4">
        <v>0</v>
      </c>
      <c r="Q108" s="4">
        <v>0</v>
      </c>
      <c r="R108" s="4"/>
      <c r="S108" s="58">
        <v>0</v>
      </c>
      <c r="T108" s="58">
        <v>0</v>
      </c>
      <c r="U108" s="58">
        <v>0</v>
      </c>
      <c r="V108" s="5">
        <v>0</v>
      </c>
      <c r="W108" s="4"/>
    </row>
    <row r="109" spans="1:23" x14ac:dyDescent="0.35">
      <c r="A109">
        <v>105</v>
      </c>
      <c r="B109">
        <v>106</v>
      </c>
      <c r="C109">
        <v>146.06047559999999</v>
      </c>
      <c r="D109">
        <v>-17.510643389999998</v>
      </c>
      <c r="F109" t="str">
        <f>HYPERLINK("D:\Data From Lucan\2024\Johnstone\Frames_for_Analysis\106_20240610_0007_R_0673.jpg","106_20240610_0007_R_0673.jpg")</f>
        <v>106_20240610_0007_R_0673.jpg</v>
      </c>
      <c r="G109">
        <v>1</v>
      </c>
      <c r="I109">
        <f t="shared" si="1"/>
        <v>0</v>
      </c>
      <c r="J109" s="53">
        <v>0</v>
      </c>
      <c r="K109" s="32"/>
      <c r="L109" s="32"/>
      <c r="M109" s="32"/>
      <c r="N109" s="32"/>
      <c r="O109" s="10">
        <v>1</v>
      </c>
      <c r="P109" s="4">
        <v>0</v>
      </c>
      <c r="Q109" s="4">
        <v>0</v>
      </c>
      <c r="R109" s="4">
        <v>0</v>
      </c>
      <c r="S109" s="58">
        <v>0</v>
      </c>
      <c r="T109" s="58">
        <v>0</v>
      </c>
      <c r="U109" s="58">
        <v>0</v>
      </c>
      <c r="V109" s="5">
        <v>0</v>
      </c>
      <c r="W109" s="4">
        <v>0</v>
      </c>
    </row>
    <row r="110" spans="1:23" x14ac:dyDescent="0.35">
      <c r="A110">
        <v>106</v>
      </c>
      <c r="B110">
        <v>107</v>
      </c>
      <c r="C110">
        <v>146.0604132</v>
      </c>
      <c r="D110">
        <v>-17.51071409</v>
      </c>
      <c r="F110" t="str">
        <f>HYPERLINK("D:\Data From Lucan\2024\Johnstone\Frames_for_Analysis\107_20240610_0007_R_0671.jpg","107_20240610_0007_R_0671.jpg")</f>
        <v>107_20240610_0007_R_0671.jpg</v>
      </c>
      <c r="G110">
        <v>1</v>
      </c>
      <c r="I110">
        <f t="shared" si="1"/>
        <v>0</v>
      </c>
      <c r="J110" s="53">
        <v>0</v>
      </c>
      <c r="K110" s="32"/>
      <c r="L110" s="32"/>
      <c r="M110" s="32"/>
      <c r="N110" s="32"/>
      <c r="O110" s="10">
        <v>1</v>
      </c>
      <c r="P110" s="4">
        <v>0</v>
      </c>
      <c r="Q110" s="4">
        <v>0</v>
      </c>
      <c r="R110" s="4">
        <v>0</v>
      </c>
      <c r="S110" s="58">
        <v>0</v>
      </c>
      <c r="T110" s="58">
        <v>0</v>
      </c>
      <c r="U110" s="58">
        <v>0</v>
      </c>
      <c r="V110" s="5">
        <v>0</v>
      </c>
      <c r="W110" s="4">
        <v>0</v>
      </c>
    </row>
    <row r="111" spans="1:23" x14ac:dyDescent="0.35">
      <c r="A111">
        <v>107</v>
      </c>
      <c r="B111">
        <v>108</v>
      </c>
      <c r="C111">
        <v>146.06037090000001</v>
      </c>
      <c r="D111">
        <v>-17.5107952</v>
      </c>
      <c r="F111" t="str">
        <f>HYPERLINK("D:\Data From Lucan\2024\Johnstone\Frames_for_Analysis\108_20240610_0007_R_0668.jpg","108_20240610_0007_R_0668.jpg")</f>
        <v>108_20240610_0007_R_0668.jpg</v>
      </c>
      <c r="G111">
        <v>1</v>
      </c>
      <c r="I111">
        <f t="shared" si="1"/>
        <v>1</v>
      </c>
      <c r="J111" s="53">
        <v>1</v>
      </c>
      <c r="K111" s="32"/>
      <c r="L111" s="32"/>
      <c r="M111" s="32"/>
      <c r="N111" s="32"/>
      <c r="O111" s="10">
        <v>1</v>
      </c>
      <c r="P111" s="4">
        <v>0</v>
      </c>
      <c r="Q111" s="4">
        <v>0</v>
      </c>
      <c r="R111" s="4">
        <v>0</v>
      </c>
      <c r="S111" s="58">
        <v>0</v>
      </c>
      <c r="T111" s="58">
        <v>0</v>
      </c>
      <c r="U111" s="58">
        <v>0</v>
      </c>
      <c r="V111" s="5">
        <v>0</v>
      </c>
      <c r="W111" s="4">
        <v>0</v>
      </c>
    </row>
    <row r="112" spans="1:23" x14ac:dyDescent="0.35">
      <c r="A112">
        <v>108</v>
      </c>
      <c r="B112">
        <v>109</v>
      </c>
      <c r="C112">
        <v>146.06034940000001</v>
      </c>
      <c r="D112">
        <v>-17.510887019999998</v>
      </c>
      <c r="F112" t="str">
        <f>HYPERLINK("D:\Data From Lucan\2024\Johnstone\Frames_for_Analysis\109_20240610_0007_R_0666.jpg","109_20240610_0007_R_0666.jpg")</f>
        <v>109_20240610_0007_R_0666.jpg</v>
      </c>
      <c r="G112">
        <v>1</v>
      </c>
      <c r="I112">
        <f t="shared" si="1"/>
        <v>1</v>
      </c>
      <c r="J112" s="53">
        <v>1</v>
      </c>
      <c r="K112" s="32"/>
      <c r="L112" s="32"/>
      <c r="M112" s="32"/>
      <c r="N112" s="32"/>
      <c r="O112" s="10">
        <v>1</v>
      </c>
      <c r="P112" s="4">
        <v>0</v>
      </c>
      <c r="Q112" s="4">
        <v>0</v>
      </c>
      <c r="R112" s="4">
        <v>0</v>
      </c>
      <c r="S112" s="58">
        <v>0</v>
      </c>
      <c r="T112" s="58">
        <v>0</v>
      </c>
      <c r="U112" s="58">
        <v>0</v>
      </c>
      <c r="V112" s="5">
        <v>0</v>
      </c>
      <c r="W112" s="4">
        <v>0</v>
      </c>
    </row>
    <row r="113" spans="1:23" x14ac:dyDescent="0.35">
      <c r="A113">
        <v>109</v>
      </c>
      <c r="B113">
        <v>110</v>
      </c>
      <c r="C113">
        <v>146.06032949999999</v>
      </c>
      <c r="D113">
        <v>-17.510978980000001</v>
      </c>
      <c r="E113">
        <v>50</v>
      </c>
      <c r="F113" t="str">
        <f>HYPERLINK("D:\Data From Lucan\2024\Johnstone\Frames_for_Analysis\110_20240610_0007_R_0657.jpg","110_20240610_0007_R_0657.jpg")</f>
        <v>110_20240610_0007_R_0657.jpg</v>
      </c>
      <c r="G113">
        <v>1</v>
      </c>
      <c r="I113">
        <v>0</v>
      </c>
      <c r="J113" s="53">
        <v>2</v>
      </c>
      <c r="K113" s="32"/>
      <c r="L113" s="32"/>
      <c r="M113" s="32"/>
      <c r="N113" s="32"/>
      <c r="O113" s="10">
        <v>1</v>
      </c>
      <c r="P113" s="4">
        <v>0</v>
      </c>
      <c r="Q113" s="4">
        <v>0</v>
      </c>
      <c r="R113" s="4">
        <v>0</v>
      </c>
      <c r="S113" s="58">
        <v>0</v>
      </c>
      <c r="T113" s="58">
        <v>0</v>
      </c>
      <c r="U113" s="58">
        <v>0</v>
      </c>
      <c r="V113" s="5">
        <v>0</v>
      </c>
      <c r="W113" s="4">
        <v>0</v>
      </c>
    </row>
    <row r="114" spans="1:23" x14ac:dyDescent="0.35">
      <c r="A114">
        <v>110</v>
      </c>
      <c r="B114">
        <v>111</v>
      </c>
      <c r="C114">
        <v>146.06033400000001</v>
      </c>
      <c r="D114">
        <v>-17.51107318</v>
      </c>
      <c r="F114" t="str">
        <f>HYPERLINK("D:\Data From Lucan\2024\Johnstone\Frames_for_Analysis\111_20240610_0007_R_0653.jpg","111_20240610_0007_R_0653.jpg")</f>
        <v>111_20240610_0007_R_0653.jpg</v>
      </c>
      <c r="G114">
        <v>1</v>
      </c>
      <c r="I114">
        <v>0</v>
      </c>
      <c r="J114" s="53">
        <v>2</v>
      </c>
      <c r="K114" s="32"/>
      <c r="L114" s="32"/>
      <c r="M114" s="32"/>
      <c r="N114" s="32"/>
      <c r="O114" s="10">
        <v>1</v>
      </c>
      <c r="P114" s="4">
        <v>0</v>
      </c>
      <c r="Q114" s="4">
        <v>0</v>
      </c>
      <c r="R114" s="4">
        <v>0</v>
      </c>
      <c r="S114" s="58">
        <v>0</v>
      </c>
      <c r="T114" s="58">
        <v>0</v>
      </c>
      <c r="U114" s="58">
        <v>0</v>
      </c>
      <c r="V114" s="5">
        <v>0</v>
      </c>
      <c r="W114" s="4">
        <v>0</v>
      </c>
    </row>
    <row r="115" spans="1:23" x14ac:dyDescent="0.35">
      <c r="A115">
        <v>111</v>
      </c>
      <c r="B115">
        <v>112</v>
      </c>
      <c r="C115">
        <v>146.06033840000001</v>
      </c>
      <c r="D115">
        <v>-17.511167369999999</v>
      </c>
      <c r="F115" t="str">
        <f>HYPERLINK("D:\Data From Lucan\2024\Johnstone\Frames_for_Analysis\112_20240610_0007_R_0648.jpg","112_20240610_0007_R_0648.jpg")</f>
        <v>112_20240610_0007_R_0648.jpg</v>
      </c>
      <c r="G115">
        <v>1</v>
      </c>
      <c r="I115">
        <f t="shared" si="1"/>
        <v>1</v>
      </c>
      <c r="J115" s="53">
        <v>1</v>
      </c>
      <c r="K115" s="32"/>
      <c r="L115" s="32"/>
      <c r="M115" s="32"/>
      <c r="N115" s="32"/>
      <c r="O115" s="10">
        <v>1</v>
      </c>
      <c r="P115" s="4">
        <v>0</v>
      </c>
      <c r="Q115" s="4">
        <v>0</v>
      </c>
      <c r="R115" s="4">
        <v>0</v>
      </c>
      <c r="S115" s="58">
        <v>0</v>
      </c>
      <c r="T115" s="58">
        <v>0</v>
      </c>
      <c r="U115" s="58">
        <v>0</v>
      </c>
      <c r="V115" s="5">
        <v>0</v>
      </c>
      <c r="W115" s="4">
        <v>0</v>
      </c>
    </row>
    <row r="116" spans="1:23" x14ac:dyDescent="0.35">
      <c r="A116">
        <v>112</v>
      </c>
      <c r="B116">
        <v>113</v>
      </c>
      <c r="C116">
        <v>146.06034289999999</v>
      </c>
      <c r="D116">
        <v>-17.511261569999998</v>
      </c>
      <c r="F116" t="str">
        <f>HYPERLINK("D:\Data From Lucan\2024\Johnstone\Frames_for_Analysis\113_20240610_0007_R_0644.jpg","113_20240610_0007_R_0644.jpg")</f>
        <v>113_20240610_0007_R_0644.jpg</v>
      </c>
      <c r="G116">
        <v>1</v>
      </c>
      <c r="I116">
        <f t="shared" si="1"/>
        <v>1</v>
      </c>
      <c r="J116" s="53">
        <v>1</v>
      </c>
      <c r="K116" s="32"/>
      <c r="L116" s="32"/>
      <c r="M116" s="32"/>
      <c r="N116" s="32"/>
      <c r="O116" s="10">
        <v>1</v>
      </c>
      <c r="P116" s="4">
        <v>0</v>
      </c>
      <c r="Q116" s="4">
        <v>0</v>
      </c>
      <c r="R116" s="4">
        <v>0</v>
      </c>
      <c r="S116" s="58">
        <v>0</v>
      </c>
      <c r="T116" s="58">
        <v>0</v>
      </c>
      <c r="U116" s="58">
        <v>0</v>
      </c>
      <c r="V116" s="5">
        <v>0</v>
      </c>
      <c r="W116" s="4">
        <v>0</v>
      </c>
    </row>
    <row r="117" spans="1:23" x14ac:dyDescent="0.35">
      <c r="A117">
        <v>113</v>
      </c>
      <c r="B117">
        <v>114</v>
      </c>
      <c r="C117">
        <v>146.06034579999999</v>
      </c>
      <c r="D117">
        <v>-17.511355729999998</v>
      </c>
      <c r="F117" t="str">
        <f>HYPERLINK("D:\Data From Lucan\2024\Johnstone\Frames_for_Analysis\114_20240610_0007_R_0639.jpg","114_20240610_0007_R_0639.jpg")</f>
        <v>114_20240610_0007_R_0639.jpg</v>
      </c>
      <c r="G117">
        <v>1</v>
      </c>
      <c r="I117">
        <f t="shared" si="1"/>
        <v>1</v>
      </c>
      <c r="J117" s="53">
        <v>1</v>
      </c>
      <c r="K117" s="32"/>
      <c r="L117" s="32"/>
      <c r="M117" s="32"/>
      <c r="N117" s="32"/>
      <c r="O117" s="10">
        <v>1</v>
      </c>
      <c r="P117" s="4">
        <v>0</v>
      </c>
      <c r="Q117" s="4">
        <v>0</v>
      </c>
      <c r="R117" s="4">
        <v>0</v>
      </c>
      <c r="S117" s="58">
        <v>0</v>
      </c>
      <c r="T117" s="58">
        <v>0</v>
      </c>
      <c r="U117" s="58">
        <v>0</v>
      </c>
      <c r="V117" s="5">
        <v>0</v>
      </c>
      <c r="W117" s="4">
        <v>0</v>
      </c>
    </row>
    <row r="118" spans="1:23" x14ac:dyDescent="0.35">
      <c r="A118">
        <v>114</v>
      </c>
      <c r="B118">
        <v>115</v>
      </c>
      <c r="C118">
        <v>146.06033719999999</v>
      </c>
      <c r="D118">
        <v>-17.511449639999999</v>
      </c>
      <c r="E118">
        <v>50</v>
      </c>
      <c r="F118" t="str">
        <f>HYPERLINK("D:\Data From Lucan\2024\Johnstone\Frames_for_Analysis\115_20240610_0007_R_0635.jpg","115_20240610_0007_R_0635.jpg")</f>
        <v>115_20240610_0007_R_0635.jpg</v>
      </c>
      <c r="G118">
        <v>1</v>
      </c>
      <c r="I118">
        <f t="shared" si="1"/>
        <v>1</v>
      </c>
      <c r="J118" s="53">
        <v>1</v>
      </c>
      <c r="K118" s="32"/>
      <c r="L118" s="32"/>
      <c r="M118" s="32"/>
      <c r="N118" s="32"/>
      <c r="O118" s="10">
        <v>1</v>
      </c>
      <c r="P118" s="4">
        <v>0</v>
      </c>
      <c r="Q118" s="4">
        <v>0</v>
      </c>
      <c r="R118" s="4">
        <v>0</v>
      </c>
      <c r="S118" s="58">
        <v>0</v>
      </c>
      <c r="T118" s="58">
        <v>0</v>
      </c>
      <c r="U118" s="58">
        <v>0</v>
      </c>
      <c r="V118" s="5">
        <v>0</v>
      </c>
      <c r="W118" s="4">
        <v>0</v>
      </c>
    </row>
    <row r="119" spans="1:23" x14ac:dyDescent="0.35">
      <c r="A119">
        <v>115</v>
      </c>
      <c r="B119">
        <v>116</v>
      </c>
      <c r="C119">
        <v>146.0603285</v>
      </c>
      <c r="D119">
        <v>-17.511543540000002</v>
      </c>
      <c r="F119" t="str">
        <f>HYPERLINK("D:\Data From Lucan\2024\Johnstone\Frames_for_Analysis\116_20240610_0007_R_0631.jpg","116_20240610_0007_R_0631.jpg")</f>
        <v>116_20240610_0007_R_0631.jpg</v>
      </c>
      <c r="G119">
        <v>1</v>
      </c>
      <c r="I119">
        <f t="shared" si="1"/>
        <v>1</v>
      </c>
      <c r="J119" s="53">
        <v>1</v>
      </c>
      <c r="K119" s="32"/>
      <c r="L119" s="32"/>
      <c r="M119" s="32"/>
      <c r="N119" s="32"/>
      <c r="O119" s="10">
        <v>1</v>
      </c>
      <c r="P119" s="4">
        <v>0</v>
      </c>
      <c r="Q119" s="4">
        <v>0</v>
      </c>
      <c r="R119" s="4">
        <v>0</v>
      </c>
      <c r="S119" s="58">
        <v>0</v>
      </c>
      <c r="T119" s="58">
        <v>0</v>
      </c>
      <c r="U119" s="58">
        <v>0</v>
      </c>
      <c r="V119" s="5">
        <v>0</v>
      </c>
      <c r="W119" s="4">
        <v>0</v>
      </c>
    </row>
    <row r="120" spans="1:23" x14ac:dyDescent="0.35">
      <c r="A120">
        <v>116</v>
      </c>
      <c r="B120">
        <v>117</v>
      </c>
      <c r="C120">
        <v>146.0603198</v>
      </c>
      <c r="D120">
        <v>-17.511637440000001</v>
      </c>
      <c r="F120" t="str">
        <f>HYPERLINK("D:\Data From Lucan\2024\Johnstone\Frames_for_Analysis\117_20240610_0007_R_0627.jpg","117_20240610_0007_R_0627.jpg")</f>
        <v>117_20240610_0007_R_0627.jpg</v>
      </c>
      <c r="G120">
        <v>1</v>
      </c>
      <c r="I120">
        <f t="shared" si="1"/>
        <v>1</v>
      </c>
      <c r="J120" s="53">
        <v>1</v>
      </c>
      <c r="K120" s="32"/>
      <c r="L120" s="32"/>
      <c r="M120" s="32"/>
      <c r="N120" s="32"/>
      <c r="O120" s="10">
        <v>1</v>
      </c>
      <c r="P120" s="4">
        <v>0</v>
      </c>
      <c r="Q120" s="4">
        <v>0</v>
      </c>
      <c r="R120" s="4">
        <v>0</v>
      </c>
      <c r="S120" s="58">
        <v>0</v>
      </c>
      <c r="T120" s="58">
        <v>0</v>
      </c>
      <c r="U120" s="58">
        <v>0</v>
      </c>
      <c r="V120" s="5">
        <v>0</v>
      </c>
      <c r="W120" s="4">
        <v>0</v>
      </c>
    </row>
    <row r="121" spans="1:23" x14ac:dyDescent="0.35">
      <c r="A121">
        <v>117</v>
      </c>
      <c r="B121">
        <v>118</v>
      </c>
      <c r="C121">
        <v>146.0603084</v>
      </c>
      <c r="D121">
        <v>-17.511730549999999</v>
      </c>
      <c r="F121" t="str">
        <f>HYPERLINK("D:\Data From Lucan\2024\Johnstone\Frames_for_Analysis\118_20240610_0007_R_0624.jpg","118_20240610_0007_R_0624.jpg")</f>
        <v>118_20240610_0007_R_0624.jpg</v>
      </c>
      <c r="G121">
        <v>1</v>
      </c>
      <c r="I121">
        <f t="shared" si="1"/>
        <v>1</v>
      </c>
      <c r="J121" s="53">
        <v>1</v>
      </c>
      <c r="K121" s="32"/>
      <c r="L121" s="32"/>
      <c r="M121" s="32"/>
      <c r="N121" s="32"/>
      <c r="O121" s="10">
        <v>1</v>
      </c>
      <c r="P121" s="4">
        <v>0</v>
      </c>
      <c r="Q121" s="4">
        <v>0</v>
      </c>
      <c r="R121" s="4">
        <v>0</v>
      </c>
      <c r="S121" s="58">
        <v>0</v>
      </c>
      <c r="T121" s="58">
        <v>0</v>
      </c>
      <c r="U121" s="58">
        <v>0</v>
      </c>
      <c r="V121" s="5">
        <v>0</v>
      </c>
      <c r="W121" s="4">
        <v>0</v>
      </c>
    </row>
    <row r="122" spans="1:23" x14ac:dyDescent="0.35">
      <c r="A122">
        <v>118</v>
      </c>
      <c r="B122">
        <v>119</v>
      </c>
      <c r="C122">
        <v>146.06026510000001</v>
      </c>
      <c r="D122">
        <v>-17.511814319999999</v>
      </c>
      <c r="F122" t="str">
        <f>HYPERLINK("D:\Data From Lucan\2024\Johnstone\Frames_for_Analysis\119_20240610_0007_R_0622.jpg","119_20240610_0007_R_0622.jpg")</f>
        <v>119_20240610_0007_R_0622.jpg</v>
      </c>
      <c r="G122">
        <v>1</v>
      </c>
      <c r="I122">
        <f t="shared" si="1"/>
        <v>1</v>
      </c>
      <c r="J122" s="53">
        <v>1</v>
      </c>
      <c r="K122" s="32"/>
      <c r="L122" s="32"/>
      <c r="M122" s="32"/>
      <c r="N122" s="32"/>
      <c r="O122" s="10">
        <v>1</v>
      </c>
      <c r="P122" s="4">
        <v>0</v>
      </c>
      <c r="Q122" s="4">
        <v>0</v>
      </c>
      <c r="R122" s="4">
        <v>0</v>
      </c>
      <c r="S122" s="58">
        <v>0</v>
      </c>
      <c r="T122" s="58">
        <v>0</v>
      </c>
      <c r="U122" s="58">
        <v>0</v>
      </c>
      <c r="V122" s="5">
        <v>0</v>
      </c>
      <c r="W122" s="4">
        <v>0</v>
      </c>
    </row>
    <row r="123" spans="1:23" x14ac:dyDescent="0.35">
      <c r="A123">
        <v>119</v>
      </c>
      <c r="B123">
        <v>120</v>
      </c>
      <c r="C123">
        <v>146.06022179999999</v>
      </c>
      <c r="D123">
        <v>-17.5118981</v>
      </c>
      <c r="E123">
        <v>50</v>
      </c>
      <c r="F123" t="str">
        <f>HYPERLINK("D:\Data From Lucan\2024\Johnstone\Frames_for_Analysis\120_20240610_0007_R_0619.jpg","120_20240610_0007_R_0619.jpg")</f>
        <v>120_20240610_0007_R_0619.jpg</v>
      </c>
      <c r="G123">
        <v>1</v>
      </c>
      <c r="I123">
        <f t="shared" si="1"/>
        <v>1</v>
      </c>
      <c r="J123" s="53">
        <v>1</v>
      </c>
      <c r="K123" s="32"/>
      <c r="L123" s="32"/>
      <c r="M123" s="32"/>
      <c r="N123" s="32"/>
      <c r="O123" s="10">
        <v>1</v>
      </c>
      <c r="P123" s="4">
        <v>0</v>
      </c>
      <c r="Q123" s="4">
        <v>0</v>
      </c>
      <c r="R123" s="4">
        <v>0</v>
      </c>
      <c r="S123" s="58">
        <v>0</v>
      </c>
      <c r="T123" s="58">
        <v>0</v>
      </c>
      <c r="U123" s="58">
        <v>0</v>
      </c>
      <c r="V123" s="5">
        <v>0</v>
      </c>
      <c r="W123" s="4">
        <v>0</v>
      </c>
    </row>
    <row r="124" spans="1:23" x14ac:dyDescent="0.35">
      <c r="A124">
        <v>120</v>
      </c>
      <c r="B124">
        <v>121</v>
      </c>
      <c r="C124">
        <v>146.06017850000001</v>
      </c>
      <c r="D124">
        <v>-17.51198187</v>
      </c>
      <c r="F124" t="str">
        <f>HYPERLINK("D:\Data From Lucan\2024\Johnstone\Frames_for_Analysis\121_20240610_0007_R_0616.jpg","121_20240610_0007_R_0616.jpg")</f>
        <v>121_20240610_0007_R_0616.jpg</v>
      </c>
      <c r="G124">
        <v>1</v>
      </c>
      <c r="I124">
        <f t="shared" si="1"/>
        <v>1</v>
      </c>
      <c r="J124" s="53">
        <v>1</v>
      </c>
      <c r="K124" s="32"/>
      <c r="L124" s="32"/>
      <c r="M124" s="32"/>
      <c r="N124" s="32"/>
      <c r="O124" s="10">
        <v>1</v>
      </c>
      <c r="P124" s="4">
        <v>0</v>
      </c>
      <c r="Q124" s="4">
        <v>0</v>
      </c>
      <c r="R124" s="4">
        <v>0</v>
      </c>
      <c r="S124" s="58">
        <v>0</v>
      </c>
      <c r="T124" s="58">
        <v>0</v>
      </c>
      <c r="U124" s="58">
        <v>0</v>
      </c>
      <c r="V124" s="5">
        <v>0</v>
      </c>
      <c r="W124" s="4">
        <v>0</v>
      </c>
    </row>
    <row r="125" spans="1:23" x14ac:dyDescent="0.35">
      <c r="A125">
        <v>121</v>
      </c>
      <c r="B125">
        <v>122</v>
      </c>
      <c r="C125">
        <v>146.06013519999999</v>
      </c>
      <c r="D125">
        <v>-17.512065639999999</v>
      </c>
      <c r="F125" t="str">
        <f>HYPERLINK("D:\Data From Lucan\2024\Johnstone\Frames_for_Analysis\122_20240610_0007_R_0614.jpg","122_20240610_0007_R_0614.jpg")</f>
        <v>122_20240610_0007_R_0614.jpg</v>
      </c>
      <c r="G125">
        <v>1</v>
      </c>
      <c r="I125">
        <f t="shared" si="1"/>
        <v>1</v>
      </c>
      <c r="J125" s="53">
        <v>1</v>
      </c>
      <c r="K125" s="32"/>
      <c r="L125" s="32"/>
      <c r="M125" s="32"/>
      <c r="N125" s="32"/>
      <c r="O125" s="10">
        <v>1</v>
      </c>
      <c r="P125" s="4">
        <v>0</v>
      </c>
      <c r="Q125" s="4">
        <v>0</v>
      </c>
      <c r="R125" s="4">
        <v>0</v>
      </c>
      <c r="S125" s="58">
        <v>0</v>
      </c>
      <c r="T125" s="58">
        <v>0</v>
      </c>
      <c r="U125" s="58">
        <v>0</v>
      </c>
      <c r="V125" s="5">
        <v>0</v>
      </c>
      <c r="W125" s="4">
        <v>0</v>
      </c>
    </row>
    <row r="126" spans="1:23" x14ac:dyDescent="0.35">
      <c r="A126">
        <v>122</v>
      </c>
      <c r="B126">
        <v>123</v>
      </c>
      <c r="C126">
        <v>146.0600919</v>
      </c>
      <c r="D126">
        <v>-17.512149409999999</v>
      </c>
      <c r="F126" t="str">
        <f>HYPERLINK("D:\Data From Lucan\2024\Johnstone\Frames_for_Analysis\123_20240610_0007_R_0611.jpg","123_20240610_0007_R_0611.jpg")</f>
        <v>123_20240610_0007_R_0611.jpg</v>
      </c>
      <c r="G126">
        <v>1</v>
      </c>
      <c r="I126">
        <f t="shared" si="1"/>
        <v>1</v>
      </c>
      <c r="J126" s="53">
        <v>1</v>
      </c>
      <c r="K126" s="32"/>
      <c r="L126" s="32"/>
      <c r="M126" s="32"/>
      <c r="N126" s="32"/>
      <c r="O126" s="10">
        <v>1</v>
      </c>
      <c r="P126" s="4">
        <v>0</v>
      </c>
      <c r="Q126" s="4">
        <v>0</v>
      </c>
      <c r="R126" s="4">
        <v>0</v>
      </c>
      <c r="S126" s="58">
        <v>0</v>
      </c>
      <c r="T126" s="58">
        <v>0</v>
      </c>
      <c r="U126" s="58">
        <v>0</v>
      </c>
      <c r="V126" s="5">
        <v>0</v>
      </c>
      <c r="W126" s="4">
        <v>0</v>
      </c>
    </row>
    <row r="127" spans="1:23" x14ac:dyDescent="0.35">
      <c r="A127">
        <v>123</v>
      </c>
      <c r="B127">
        <v>124</v>
      </c>
      <c r="C127">
        <v>146.0600499</v>
      </c>
      <c r="D127">
        <v>-17.512233859999998</v>
      </c>
      <c r="F127" t="str">
        <f>HYPERLINK("D:\Data From Lucan\2024\Johnstone\Frames_for_Analysis\124_20240610_0007_R_0608.jpg","124_20240610_0007_R_0608.jpg")</f>
        <v>124_20240610_0007_R_0608.jpg</v>
      </c>
      <c r="G127">
        <v>1</v>
      </c>
      <c r="I127">
        <f t="shared" si="1"/>
        <v>1</v>
      </c>
      <c r="J127" s="53">
        <v>1</v>
      </c>
      <c r="K127" s="32"/>
      <c r="L127" s="32"/>
      <c r="M127" s="32"/>
      <c r="N127" s="32"/>
      <c r="O127" s="10">
        <v>1</v>
      </c>
      <c r="P127" s="4">
        <v>0</v>
      </c>
      <c r="Q127" s="4">
        <v>0</v>
      </c>
      <c r="R127" s="4">
        <v>0</v>
      </c>
      <c r="S127" s="58">
        <v>0</v>
      </c>
      <c r="T127" s="58">
        <v>0</v>
      </c>
      <c r="U127" s="58">
        <v>0</v>
      </c>
      <c r="V127" s="5">
        <v>0</v>
      </c>
      <c r="W127" s="4">
        <v>0</v>
      </c>
    </row>
    <row r="128" spans="1:23" x14ac:dyDescent="0.35">
      <c r="A128">
        <v>124</v>
      </c>
      <c r="B128">
        <v>125</v>
      </c>
      <c r="C128">
        <v>146.06000839999999</v>
      </c>
      <c r="D128">
        <v>-17.512318539999999</v>
      </c>
      <c r="E128">
        <v>50</v>
      </c>
      <c r="F128" t="str">
        <f>HYPERLINK("D:\Data From Lucan\2024\Johnstone\Frames_for_Analysis\125_20240610_0007_R_0605.jpg","125_20240610_0007_R_0605.jpg")</f>
        <v>125_20240610_0007_R_0605.jpg</v>
      </c>
      <c r="G128">
        <v>1</v>
      </c>
      <c r="I128">
        <f t="shared" si="1"/>
        <v>1</v>
      </c>
      <c r="J128" s="53">
        <v>1</v>
      </c>
      <c r="K128" s="32"/>
      <c r="L128" s="32"/>
      <c r="M128" s="32"/>
      <c r="N128" s="32"/>
      <c r="O128" s="10">
        <v>1</v>
      </c>
      <c r="P128" s="4">
        <v>0</v>
      </c>
      <c r="Q128" s="4">
        <v>0</v>
      </c>
      <c r="R128" s="4">
        <v>0</v>
      </c>
      <c r="S128" s="58">
        <v>0</v>
      </c>
      <c r="T128" s="58">
        <v>0</v>
      </c>
      <c r="U128" s="58">
        <v>0</v>
      </c>
      <c r="V128" s="5">
        <v>0</v>
      </c>
      <c r="W128" s="4">
        <v>0</v>
      </c>
    </row>
    <row r="129" spans="1:23" x14ac:dyDescent="0.35">
      <c r="A129">
        <v>125</v>
      </c>
      <c r="B129">
        <v>126</v>
      </c>
      <c r="C129">
        <v>146.05996690000001</v>
      </c>
      <c r="D129">
        <v>-17.512403219999999</v>
      </c>
      <c r="F129" t="str">
        <f>HYPERLINK("D:\Data From Lucan\2024\Johnstone\Frames_for_Analysis\126_20240610_0007_R_0602.jpg","126_20240610_0007_R_0602.jpg")</f>
        <v>126_20240610_0007_R_0602.jpg</v>
      </c>
      <c r="G129">
        <v>1</v>
      </c>
      <c r="I129">
        <f t="shared" si="1"/>
        <v>1</v>
      </c>
      <c r="J129" s="53">
        <v>1</v>
      </c>
      <c r="K129" s="32"/>
      <c r="L129" s="32"/>
      <c r="M129" s="32"/>
      <c r="N129" s="32"/>
      <c r="O129" s="10">
        <v>1</v>
      </c>
      <c r="P129" s="4">
        <v>0</v>
      </c>
      <c r="Q129" s="4">
        <v>0</v>
      </c>
      <c r="R129" s="4">
        <v>0</v>
      </c>
      <c r="S129" s="58">
        <v>0</v>
      </c>
      <c r="T129" s="58">
        <v>0</v>
      </c>
      <c r="U129" s="58">
        <v>0</v>
      </c>
      <c r="V129" s="5">
        <v>0</v>
      </c>
      <c r="W129" s="4">
        <v>0</v>
      </c>
    </row>
    <row r="130" spans="1:23" x14ac:dyDescent="0.35">
      <c r="A130">
        <v>126</v>
      </c>
      <c r="B130">
        <v>127</v>
      </c>
      <c r="C130">
        <v>146.0599254</v>
      </c>
      <c r="D130">
        <v>-17.5124879</v>
      </c>
      <c r="F130" t="str">
        <f>HYPERLINK("D:\Data From Lucan\2024\Johnstone\Frames_for_Analysis\127_20240610_0007_R_0599.jpg","127_20240610_0007_R_0599.jpg")</f>
        <v>127_20240610_0007_R_0599.jpg</v>
      </c>
      <c r="G130">
        <v>1</v>
      </c>
      <c r="I130">
        <f t="shared" si="1"/>
        <v>1</v>
      </c>
      <c r="J130" s="53">
        <v>1</v>
      </c>
      <c r="K130" s="32"/>
      <c r="L130" s="32"/>
      <c r="M130" s="32"/>
      <c r="N130" s="32"/>
      <c r="O130" s="10">
        <v>1</v>
      </c>
      <c r="P130" s="4">
        <v>0</v>
      </c>
      <c r="Q130" s="4">
        <v>0</v>
      </c>
      <c r="R130" s="4">
        <v>0</v>
      </c>
      <c r="S130" s="58">
        <v>0</v>
      </c>
      <c r="T130" s="58">
        <v>0</v>
      </c>
      <c r="U130" s="58">
        <v>0</v>
      </c>
      <c r="V130" s="5">
        <v>0</v>
      </c>
      <c r="W130" s="4">
        <v>0</v>
      </c>
    </row>
    <row r="131" spans="1:23" x14ac:dyDescent="0.35">
      <c r="A131">
        <v>127</v>
      </c>
      <c r="B131">
        <v>128</v>
      </c>
      <c r="C131">
        <v>146.05989030000001</v>
      </c>
      <c r="D131">
        <v>-17.512575259999998</v>
      </c>
      <c r="F131" t="str">
        <f>HYPERLINK("D:\Data From Lucan\2024\Johnstone\Frames_for_Analysis\128_20240610_0007_R_0596.jpg","128_20240610_0007_R_0596.jpg")</f>
        <v>128_20240610_0007_R_0596.jpg</v>
      </c>
      <c r="G131">
        <v>1</v>
      </c>
      <c r="I131">
        <f t="shared" si="1"/>
        <v>1</v>
      </c>
      <c r="J131" s="53">
        <v>1</v>
      </c>
      <c r="K131" s="32"/>
      <c r="L131" s="32"/>
      <c r="M131" s="32"/>
      <c r="N131" s="32"/>
      <c r="O131" s="10">
        <v>1</v>
      </c>
      <c r="P131" s="4">
        <v>0</v>
      </c>
      <c r="Q131" s="4">
        <v>0</v>
      </c>
      <c r="R131" s="4">
        <v>0</v>
      </c>
      <c r="S131" s="58">
        <v>0</v>
      </c>
      <c r="T131" s="58">
        <v>0</v>
      </c>
      <c r="U131" s="58">
        <v>0</v>
      </c>
      <c r="V131" s="5">
        <v>0</v>
      </c>
      <c r="W131" s="4">
        <v>0</v>
      </c>
    </row>
    <row r="132" spans="1:23" x14ac:dyDescent="0.35">
      <c r="A132">
        <v>128</v>
      </c>
      <c r="B132">
        <v>129</v>
      </c>
      <c r="C132">
        <v>146.05985849999999</v>
      </c>
      <c r="D132">
        <v>-17.51266407</v>
      </c>
      <c r="F132" t="str">
        <f>HYPERLINK("D:\Data From Lucan\2024\Johnstone\Frames_for_Analysis\129_20240610_0007_R_0593.jpg","129_20240610_0007_R_0593.jpg")</f>
        <v>129_20240610_0007_R_0593.jpg</v>
      </c>
      <c r="G132">
        <v>1</v>
      </c>
      <c r="I132">
        <f t="shared" si="1"/>
        <v>1</v>
      </c>
      <c r="J132" s="53">
        <v>1</v>
      </c>
      <c r="K132" s="32"/>
      <c r="L132" s="32"/>
      <c r="M132" s="32"/>
      <c r="N132" s="32"/>
      <c r="O132" s="10">
        <v>1</v>
      </c>
      <c r="P132" s="4">
        <v>0</v>
      </c>
      <c r="Q132" s="4">
        <v>0</v>
      </c>
      <c r="R132" s="4">
        <v>0</v>
      </c>
      <c r="S132" s="58">
        <v>0</v>
      </c>
      <c r="T132" s="58">
        <v>0</v>
      </c>
      <c r="U132" s="58">
        <v>0</v>
      </c>
      <c r="V132" s="5">
        <v>0</v>
      </c>
      <c r="W132" s="4">
        <v>0</v>
      </c>
    </row>
    <row r="133" spans="1:23" x14ac:dyDescent="0.35">
      <c r="A133">
        <v>129</v>
      </c>
      <c r="B133">
        <v>130</v>
      </c>
      <c r="C133">
        <v>146.0598268</v>
      </c>
      <c r="D133">
        <v>-17.512752880000001</v>
      </c>
      <c r="E133">
        <v>50</v>
      </c>
      <c r="F133" t="str">
        <f>HYPERLINK("D:\Data From Lucan\2024\Johnstone\Frames_for_Analysis\130_20240610_0007_R_0590.jpg","130_20240610_0007_R_0590.jpg")</f>
        <v>130_20240610_0007_R_0590.jpg</v>
      </c>
      <c r="G133">
        <v>1</v>
      </c>
      <c r="I133">
        <f t="shared" ref="I133:I196" si="2">IF(H133="X","X",IF(J133="NA","X",IF(J133="","X",J133)))</f>
        <v>1</v>
      </c>
      <c r="J133" s="53">
        <v>1</v>
      </c>
      <c r="K133" s="32"/>
      <c r="L133" s="32"/>
      <c r="M133" s="32"/>
      <c r="N133" s="32"/>
      <c r="O133" s="10">
        <v>1</v>
      </c>
      <c r="P133" s="4">
        <v>0</v>
      </c>
      <c r="Q133" s="4">
        <v>0</v>
      </c>
      <c r="R133" s="4">
        <v>0</v>
      </c>
      <c r="S133" s="58">
        <v>0</v>
      </c>
      <c r="T133" s="58">
        <v>0</v>
      </c>
      <c r="U133" s="58">
        <v>0</v>
      </c>
      <c r="V133" s="5">
        <v>0</v>
      </c>
      <c r="W133" s="4">
        <v>0</v>
      </c>
    </row>
    <row r="134" spans="1:23" x14ac:dyDescent="0.35">
      <c r="A134">
        <v>130</v>
      </c>
      <c r="B134">
        <v>131</v>
      </c>
      <c r="C134">
        <v>146.0597951</v>
      </c>
      <c r="D134">
        <v>-17.512841689999998</v>
      </c>
      <c r="F134" t="str">
        <f>HYPERLINK("D:\Data From Lucan\2024\Johnstone\Frames_for_Analysis\131_20240610_0007_R_0588.jpg","131_20240610_0007_R_0588.jpg")</f>
        <v>131_20240610_0007_R_0588.jpg</v>
      </c>
      <c r="G134">
        <v>1</v>
      </c>
      <c r="I134">
        <f t="shared" si="2"/>
        <v>1</v>
      </c>
      <c r="J134" s="53">
        <v>1</v>
      </c>
      <c r="K134" s="32"/>
      <c r="L134" s="32"/>
      <c r="M134" s="32"/>
      <c r="N134" s="32"/>
      <c r="O134" s="10">
        <v>1</v>
      </c>
      <c r="P134" s="4">
        <v>0</v>
      </c>
      <c r="Q134" s="4">
        <v>0</v>
      </c>
      <c r="R134" s="4">
        <v>0</v>
      </c>
      <c r="S134" s="58">
        <v>0</v>
      </c>
      <c r="T134" s="58">
        <v>0</v>
      </c>
      <c r="U134" s="58">
        <v>0</v>
      </c>
      <c r="V134" s="5">
        <v>0</v>
      </c>
      <c r="W134" s="4">
        <v>0</v>
      </c>
    </row>
    <row r="135" spans="1:23" x14ac:dyDescent="0.35">
      <c r="A135">
        <v>131</v>
      </c>
      <c r="B135">
        <v>132</v>
      </c>
      <c r="C135">
        <v>146.05976279999999</v>
      </c>
      <c r="D135">
        <v>-17.51293021</v>
      </c>
      <c r="F135" t="str">
        <f>HYPERLINK("D:\Data From Lucan\2024\Johnstone\Frames_for_Analysis\132_20240610_0007_R_0585.jpg","132_20240610_0007_R_0585.jpg")</f>
        <v>132_20240610_0007_R_0585.jpg</v>
      </c>
      <c r="G135">
        <v>1</v>
      </c>
      <c r="I135">
        <f t="shared" si="2"/>
        <v>1</v>
      </c>
      <c r="J135" s="53">
        <v>1</v>
      </c>
      <c r="K135" s="32"/>
      <c r="L135" s="32"/>
      <c r="M135" s="32"/>
      <c r="N135" s="32"/>
      <c r="O135" s="10">
        <v>1</v>
      </c>
      <c r="P135" s="4">
        <v>0</v>
      </c>
      <c r="Q135" s="4">
        <v>0</v>
      </c>
      <c r="R135" s="4">
        <v>0</v>
      </c>
      <c r="S135" s="58">
        <v>0</v>
      </c>
      <c r="T135" s="58">
        <v>0</v>
      </c>
      <c r="U135" s="58">
        <v>0</v>
      </c>
      <c r="V135" s="5">
        <v>0</v>
      </c>
      <c r="W135" s="4">
        <v>0</v>
      </c>
    </row>
    <row r="136" spans="1:23" x14ac:dyDescent="0.35">
      <c r="A136">
        <v>132</v>
      </c>
      <c r="B136">
        <v>133</v>
      </c>
      <c r="C136">
        <v>146.0597108</v>
      </c>
      <c r="D136">
        <v>-17.513008889999998</v>
      </c>
      <c r="F136" t="str">
        <f>HYPERLINK("D:\Data From Lucan\2024\Johnstone\Frames_for_Analysis\133_20240610_0007_R_0582.jpg","133_20240610_0007_R_0582.jpg")</f>
        <v>133_20240610_0007_R_0582.jpg</v>
      </c>
      <c r="G136">
        <v>1</v>
      </c>
      <c r="I136">
        <f t="shared" si="2"/>
        <v>1</v>
      </c>
      <c r="J136" s="53">
        <v>1</v>
      </c>
      <c r="K136" s="32"/>
      <c r="L136" s="32"/>
      <c r="M136" s="32"/>
      <c r="N136" s="32"/>
      <c r="O136" s="10">
        <v>1</v>
      </c>
      <c r="P136" s="4">
        <v>0</v>
      </c>
      <c r="Q136" s="4">
        <v>0</v>
      </c>
      <c r="R136" s="4">
        <v>0</v>
      </c>
      <c r="S136" s="58">
        <v>0</v>
      </c>
      <c r="T136" s="58">
        <v>0</v>
      </c>
      <c r="U136" s="58">
        <v>0</v>
      </c>
      <c r="V136" s="5">
        <v>0</v>
      </c>
      <c r="W136" s="4">
        <v>0</v>
      </c>
    </row>
    <row r="137" spans="1:23" x14ac:dyDescent="0.35">
      <c r="A137">
        <v>133</v>
      </c>
      <c r="B137">
        <v>134</v>
      </c>
      <c r="C137">
        <v>146.05965879999999</v>
      </c>
      <c r="D137">
        <v>-17.51308757</v>
      </c>
      <c r="F137" t="str">
        <f>HYPERLINK("D:\Data From Lucan\2024\Johnstone\Frames_for_Analysis\134_20240610_0007_R_0580.jpg","134_20240610_0007_R_0580.jpg")</f>
        <v>134_20240610_0007_R_0580.jpg</v>
      </c>
      <c r="G137">
        <v>1</v>
      </c>
      <c r="I137">
        <f t="shared" si="2"/>
        <v>1</v>
      </c>
      <c r="J137" s="53">
        <v>1</v>
      </c>
      <c r="K137" s="32"/>
      <c r="L137" s="32"/>
      <c r="M137" s="32"/>
      <c r="N137" s="32"/>
      <c r="O137" s="10">
        <v>1</v>
      </c>
      <c r="P137" s="4">
        <v>0</v>
      </c>
      <c r="Q137" s="4">
        <v>0</v>
      </c>
      <c r="R137" s="4">
        <v>0</v>
      </c>
      <c r="S137" s="58">
        <v>0</v>
      </c>
      <c r="T137" s="58">
        <v>0</v>
      </c>
      <c r="U137" s="58">
        <v>0</v>
      </c>
      <c r="V137" s="5">
        <v>0</v>
      </c>
      <c r="W137" s="4">
        <v>0</v>
      </c>
    </row>
    <row r="138" spans="1:23" x14ac:dyDescent="0.35">
      <c r="A138">
        <v>134</v>
      </c>
      <c r="B138">
        <v>135</v>
      </c>
      <c r="C138">
        <v>146.05960680000001</v>
      </c>
      <c r="D138">
        <v>-17.51316624</v>
      </c>
      <c r="E138">
        <v>50</v>
      </c>
      <c r="F138" t="str">
        <f>HYPERLINK("D:\Data From Lucan\2024\Johnstone\Frames_for_Analysis\135_20240610_0007_R_0576.jpg","135_20240610_0007_R_0576.jpg")</f>
        <v>135_20240610_0007_R_0576.jpg</v>
      </c>
      <c r="G138">
        <v>1</v>
      </c>
      <c r="I138">
        <f t="shared" si="2"/>
        <v>1</v>
      </c>
      <c r="J138" s="53">
        <v>1</v>
      </c>
      <c r="K138" s="32"/>
      <c r="L138" s="32"/>
      <c r="M138" s="32"/>
      <c r="N138" s="32"/>
      <c r="O138" s="10">
        <v>1</v>
      </c>
      <c r="P138" s="4">
        <v>0</v>
      </c>
      <c r="Q138" s="4">
        <v>0</v>
      </c>
      <c r="R138" s="4">
        <v>0</v>
      </c>
      <c r="S138" s="58">
        <v>0</v>
      </c>
      <c r="T138" s="58">
        <v>0</v>
      </c>
      <c r="U138" s="58">
        <v>0</v>
      </c>
      <c r="V138" s="5">
        <v>0</v>
      </c>
      <c r="W138" s="4">
        <v>0</v>
      </c>
    </row>
    <row r="139" spans="1:23" x14ac:dyDescent="0.35">
      <c r="A139">
        <v>135</v>
      </c>
      <c r="B139">
        <v>136</v>
      </c>
      <c r="C139">
        <v>146.05955660000001</v>
      </c>
      <c r="D139">
        <v>-17.513245699999999</v>
      </c>
      <c r="F139" t="str">
        <f>HYPERLINK("D:\Data From Lucan\2024\Johnstone\Frames_for_Analysis\136_20240610_0007_R_0574.jpg","136_20240610_0007_R_0574.jpg")</f>
        <v>136_20240610_0007_R_0574.jpg</v>
      </c>
      <c r="G139">
        <v>1</v>
      </c>
      <c r="I139">
        <f t="shared" si="2"/>
        <v>1</v>
      </c>
      <c r="J139" s="53">
        <v>1</v>
      </c>
      <c r="K139" s="32"/>
      <c r="L139" s="32"/>
      <c r="M139" s="32"/>
      <c r="N139" s="32"/>
      <c r="O139" s="10">
        <v>1</v>
      </c>
      <c r="P139" s="4">
        <v>0</v>
      </c>
      <c r="Q139" s="4">
        <v>0</v>
      </c>
      <c r="R139" s="4">
        <v>0</v>
      </c>
      <c r="S139" s="58">
        <v>0</v>
      </c>
      <c r="T139" s="58">
        <v>0</v>
      </c>
      <c r="U139" s="58">
        <v>0</v>
      </c>
      <c r="V139" s="5">
        <v>0</v>
      </c>
      <c r="W139" s="4">
        <v>0</v>
      </c>
    </row>
    <row r="140" spans="1:23" x14ac:dyDescent="0.35">
      <c r="A140">
        <v>136</v>
      </c>
      <c r="B140">
        <v>137</v>
      </c>
      <c r="C140">
        <v>146.059527</v>
      </c>
      <c r="D140">
        <v>-17.513335179999999</v>
      </c>
      <c r="F140" t="str">
        <f>HYPERLINK("D:\Data From Lucan\2024\Johnstone\Frames_for_Analysis\137_20240610_0007_R_0571.jpg","137_20240610_0007_R_0571.jpg")</f>
        <v>137_20240610_0007_R_0571.jpg</v>
      </c>
      <c r="G140">
        <v>1</v>
      </c>
      <c r="I140">
        <f t="shared" si="2"/>
        <v>1</v>
      </c>
      <c r="J140" s="53">
        <v>1</v>
      </c>
      <c r="K140" s="32"/>
      <c r="L140" s="32"/>
      <c r="M140" s="32"/>
      <c r="N140" s="32"/>
      <c r="O140" s="10">
        <v>1</v>
      </c>
      <c r="P140" s="4">
        <v>0</v>
      </c>
      <c r="Q140" s="4">
        <v>0</v>
      </c>
      <c r="R140" s="4">
        <v>0</v>
      </c>
      <c r="S140" s="58">
        <v>0</v>
      </c>
      <c r="T140" s="58">
        <v>0</v>
      </c>
      <c r="U140" s="58">
        <v>0</v>
      </c>
      <c r="V140" s="5">
        <v>0</v>
      </c>
      <c r="W140" s="4">
        <v>0</v>
      </c>
    </row>
    <row r="141" spans="1:23" x14ac:dyDescent="0.35">
      <c r="A141">
        <v>137</v>
      </c>
      <c r="B141">
        <v>138</v>
      </c>
      <c r="C141">
        <v>146.0594949</v>
      </c>
      <c r="D141">
        <v>-17.51342386</v>
      </c>
      <c r="F141" t="str">
        <f>HYPERLINK("D:\Data From Lucan\2024\Johnstone\Frames_for_Analysis\138_20240610_0007_R_0569.jpg","138_20240610_0007_R_0569.jpg")</f>
        <v>138_20240610_0007_R_0569.jpg</v>
      </c>
      <c r="G141">
        <v>1</v>
      </c>
      <c r="I141">
        <f t="shared" si="2"/>
        <v>1</v>
      </c>
      <c r="J141" s="53">
        <v>1</v>
      </c>
      <c r="K141" s="32"/>
      <c r="L141" s="32"/>
      <c r="M141" s="32"/>
      <c r="N141" s="32"/>
      <c r="O141" s="10">
        <v>1</v>
      </c>
      <c r="P141" s="4">
        <v>0</v>
      </c>
      <c r="Q141" s="4">
        <v>0</v>
      </c>
      <c r="R141" s="4">
        <v>0</v>
      </c>
      <c r="S141" s="58">
        <v>0</v>
      </c>
      <c r="T141" s="58">
        <v>0</v>
      </c>
      <c r="U141" s="58">
        <v>0</v>
      </c>
      <c r="V141" s="5">
        <v>0</v>
      </c>
      <c r="W141" s="4">
        <v>0</v>
      </c>
    </row>
    <row r="142" spans="1:23" x14ac:dyDescent="0.35">
      <c r="A142">
        <v>138</v>
      </c>
      <c r="B142">
        <v>139</v>
      </c>
      <c r="C142">
        <v>146.0594591</v>
      </c>
      <c r="D142">
        <v>-17.51351064</v>
      </c>
      <c r="F142" t="str">
        <f>HYPERLINK("D:\Data From Lucan\2024\Johnstone\Frames_for_Analysis\139_20240610_0007_R_0564.jpg","139_20240610_0007_R_0564.jpg")</f>
        <v>139_20240610_0007_R_0564.jpg</v>
      </c>
      <c r="G142">
        <v>1</v>
      </c>
      <c r="I142">
        <f t="shared" si="2"/>
        <v>1</v>
      </c>
      <c r="J142" s="53">
        <v>1</v>
      </c>
      <c r="K142" s="32"/>
      <c r="L142" s="32"/>
      <c r="M142" s="32"/>
      <c r="N142" s="32"/>
      <c r="O142" s="10">
        <v>1</v>
      </c>
      <c r="P142" s="4">
        <v>0</v>
      </c>
      <c r="Q142" s="4">
        <v>0</v>
      </c>
      <c r="R142" s="4">
        <v>0</v>
      </c>
      <c r="S142" s="58">
        <v>0</v>
      </c>
      <c r="T142" s="58">
        <v>0</v>
      </c>
      <c r="U142" s="58">
        <v>0</v>
      </c>
      <c r="V142" s="5">
        <v>0</v>
      </c>
      <c r="W142" s="4">
        <v>0</v>
      </c>
    </row>
    <row r="143" spans="1:23" x14ac:dyDescent="0.35">
      <c r="A143">
        <v>139</v>
      </c>
      <c r="B143">
        <v>140</v>
      </c>
      <c r="C143">
        <v>146.0594049</v>
      </c>
      <c r="D143">
        <v>-17.513587810000001</v>
      </c>
      <c r="E143">
        <v>50</v>
      </c>
      <c r="F143" t="str">
        <f>HYPERLINK("D:\Data From Lucan\2024\Johnstone\Frames_for_Analysis\140_20240610_0007_R_0563.jpg","140_20240610_0007_R_0563.jpg")</f>
        <v>140_20240610_0007_R_0563.jpg</v>
      </c>
      <c r="G143">
        <v>1</v>
      </c>
      <c r="I143">
        <f t="shared" si="2"/>
        <v>1</v>
      </c>
      <c r="J143" s="53">
        <v>1</v>
      </c>
      <c r="K143" s="32"/>
      <c r="L143" s="32"/>
      <c r="M143" s="32"/>
      <c r="N143" s="32"/>
      <c r="O143" s="10">
        <v>2</v>
      </c>
      <c r="P143" s="4">
        <v>0</v>
      </c>
      <c r="Q143" s="4">
        <v>0</v>
      </c>
      <c r="R143" s="4">
        <v>3</v>
      </c>
      <c r="S143" s="58">
        <v>0</v>
      </c>
      <c r="T143" s="58">
        <v>0</v>
      </c>
      <c r="U143" s="58">
        <v>0</v>
      </c>
      <c r="V143" s="5">
        <v>0</v>
      </c>
      <c r="W143" s="4">
        <v>1</v>
      </c>
    </row>
    <row r="144" spans="1:23" x14ac:dyDescent="0.35">
      <c r="A144">
        <v>140</v>
      </c>
      <c r="B144">
        <v>141</v>
      </c>
      <c r="C144">
        <v>146.05935070000001</v>
      </c>
      <c r="D144">
        <v>-17.513664970000001</v>
      </c>
      <c r="F144" t="str">
        <f>HYPERLINK("D:\Data From Lucan\2024\Johnstone\Frames_for_Analysis\141_20240610_0007_R_0560.jpg","141_20240610_0007_R_0560.jpg")</f>
        <v>141_20240610_0007_R_0560.jpg</v>
      </c>
      <c r="G144">
        <v>1</v>
      </c>
      <c r="I144">
        <f t="shared" si="2"/>
        <v>1</v>
      </c>
      <c r="J144" s="53">
        <v>1</v>
      </c>
      <c r="K144" s="32"/>
      <c r="L144" s="32"/>
      <c r="M144" s="32"/>
      <c r="N144" s="32"/>
      <c r="O144" s="10">
        <v>2</v>
      </c>
      <c r="P144" s="4">
        <v>0</v>
      </c>
      <c r="Q144" s="4">
        <v>0</v>
      </c>
      <c r="R144" s="4">
        <v>0</v>
      </c>
      <c r="S144" s="58">
        <v>0</v>
      </c>
      <c r="T144" s="58">
        <v>0</v>
      </c>
      <c r="U144" s="58">
        <v>0</v>
      </c>
      <c r="V144" s="5">
        <v>0</v>
      </c>
      <c r="W144" s="4">
        <v>1</v>
      </c>
    </row>
    <row r="145" spans="1:23" x14ac:dyDescent="0.35">
      <c r="A145">
        <v>141</v>
      </c>
      <c r="B145">
        <v>142</v>
      </c>
      <c r="C145">
        <v>146.05930369999999</v>
      </c>
      <c r="D145">
        <v>-17.513745669999999</v>
      </c>
      <c r="F145" t="str">
        <f>HYPERLINK("D:\Data From Lucan\2024\Johnstone\Frames_for_Analysis\142_20240610_0007_R_0558.jpg","142_20240610_0007_R_0558.jpg")</f>
        <v>142_20240610_0007_R_0558.jpg</v>
      </c>
      <c r="G145">
        <v>1</v>
      </c>
      <c r="I145">
        <f t="shared" si="2"/>
        <v>0</v>
      </c>
      <c r="J145" s="53">
        <v>0</v>
      </c>
      <c r="K145" s="32"/>
      <c r="L145" s="32"/>
      <c r="M145" s="32"/>
      <c r="N145" s="32"/>
      <c r="O145" s="10">
        <v>2</v>
      </c>
      <c r="P145" s="4">
        <v>1</v>
      </c>
      <c r="Q145" s="4">
        <v>1</v>
      </c>
      <c r="R145" s="4">
        <v>0</v>
      </c>
      <c r="S145" s="58">
        <v>0</v>
      </c>
      <c r="T145" s="58">
        <v>0</v>
      </c>
      <c r="U145" s="58">
        <v>0</v>
      </c>
      <c r="V145" s="5">
        <v>0</v>
      </c>
      <c r="W145" s="4">
        <v>1</v>
      </c>
    </row>
    <row r="146" spans="1:23" x14ac:dyDescent="0.35">
      <c r="A146">
        <v>142</v>
      </c>
      <c r="B146">
        <v>143</v>
      </c>
      <c r="C146">
        <v>146.0592752</v>
      </c>
      <c r="D146">
        <v>-17.513835570000001</v>
      </c>
      <c r="F146" t="str">
        <f>HYPERLINK("D:\Data From Lucan\2024\Johnstone\Frames_for_Analysis\143_20240610_0007_R_0554.jpg","143_20240610_0007_R_0554.jpg")</f>
        <v>143_20240610_0007_R_0554.jpg</v>
      </c>
      <c r="G146">
        <v>1</v>
      </c>
      <c r="I146">
        <f t="shared" si="2"/>
        <v>0</v>
      </c>
      <c r="J146" s="53">
        <v>0</v>
      </c>
      <c r="K146" s="32"/>
      <c r="L146" s="32"/>
      <c r="M146" s="32"/>
      <c r="N146" s="32"/>
      <c r="O146" s="10">
        <v>2</v>
      </c>
      <c r="P146" s="4">
        <v>1</v>
      </c>
      <c r="Q146" s="4">
        <v>1</v>
      </c>
      <c r="R146" s="4">
        <v>0</v>
      </c>
      <c r="S146" s="58">
        <v>0</v>
      </c>
      <c r="T146" s="58">
        <v>0</v>
      </c>
      <c r="U146" s="58">
        <v>0</v>
      </c>
      <c r="V146" s="5">
        <v>0</v>
      </c>
      <c r="W146" s="4">
        <v>1</v>
      </c>
    </row>
    <row r="147" spans="1:23" x14ac:dyDescent="0.35">
      <c r="A147">
        <v>143</v>
      </c>
      <c r="B147">
        <v>144</v>
      </c>
      <c r="C147">
        <v>146.05924669999999</v>
      </c>
      <c r="D147">
        <v>-17.51392547</v>
      </c>
      <c r="F147" t="str">
        <f>HYPERLINK("D:\Data From Lucan\2024\Johnstone\Frames_for_Analysis\144_20240610_0007_R_0551.jpg","144_20240610_0007_R_0551.jpg")</f>
        <v>144_20240610_0007_R_0551.jpg</v>
      </c>
      <c r="G147">
        <v>1</v>
      </c>
      <c r="I147">
        <f t="shared" si="2"/>
        <v>0</v>
      </c>
      <c r="J147" s="53">
        <v>0</v>
      </c>
      <c r="K147" s="32"/>
      <c r="L147" s="32"/>
      <c r="M147" s="32"/>
      <c r="N147" s="32"/>
      <c r="O147" s="10">
        <v>2</v>
      </c>
      <c r="P147" s="4">
        <v>1</v>
      </c>
      <c r="Q147" s="4">
        <v>1</v>
      </c>
      <c r="R147" s="4">
        <v>0</v>
      </c>
      <c r="S147" s="58">
        <v>0</v>
      </c>
      <c r="T147" s="58">
        <v>0</v>
      </c>
      <c r="U147" s="58">
        <v>0</v>
      </c>
      <c r="V147" s="5">
        <v>0</v>
      </c>
      <c r="W147" s="4">
        <v>1</v>
      </c>
    </row>
    <row r="148" spans="1:23" x14ac:dyDescent="0.35">
      <c r="A148">
        <v>144</v>
      </c>
      <c r="B148">
        <v>145</v>
      </c>
      <c r="C148">
        <v>146.0592182</v>
      </c>
      <c r="D148">
        <v>-17.514015369999999</v>
      </c>
      <c r="E148">
        <v>50</v>
      </c>
      <c r="F148" t="str">
        <f>HYPERLINK("D:\Data From Lucan\2024\Johnstone\Frames_for_Analysis\145_20240610_0007_R_0548.jpg","145_20240610_0007_R_0548.jpg")</f>
        <v>145_20240610_0007_R_0548.jpg</v>
      </c>
      <c r="G148">
        <v>1</v>
      </c>
      <c r="I148">
        <f t="shared" si="2"/>
        <v>0</v>
      </c>
      <c r="J148" s="53">
        <v>0</v>
      </c>
      <c r="K148" s="32"/>
      <c r="L148" s="32"/>
      <c r="M148" s="32"/>
      <c r="N148" s="32"/>
      <c r="O148" s="10">
        <v>3</v>
      </c>
      <c r="P148" s="4">
        <v>1</v>
      </c>
      <c r="Q148" s="4">
        <v>1</v>
      </c>
      <c r="R148" s="4">
        <v>1</v>
      </c>
      <c r="S148" s="58">
        <v>0</v>
      </c>
      <c r="T148" s="58">
        <v>0</v>
      </c>
      <c r="U148" s="58">
        <v>0</v>
      </c>
      <c r="V148" s="5">
        <v>0</v>
      </c>
      <c r="W148" s="4">
        <v>2</v>
      </c>
    </row>
    <row r="149" spans="1:23" x14ac:dyDescent="0.35">
      <c r="A149">
        <v>145</v>
      </c>
      <c r="B149">
        <v>146</v>
      </c>
      <c r="C149">
        <v>146.059191</v>
      </c>
      <c r="D149">
        <v>-17.51410563</v>
      </c>
      <c r="F149" t="str">
        <f>HYPERLINK("D:\Data From Lucan\2024\Johnstone\Frames_for_Analysis\146_20240610_0007_R_0544.jpg","146_20240610_0007_R_0544.jpg")</f>
        <v>146_20240610_0007_R_0544.jpg</v>
      </c>
      <c r="G149">
        <v>1</v>
      </c>
      <c r="I149">
        <f t="shared" si="2"/>
        <v>1</v>
      </c>
      <c r="J149" s="53">
        <v>1</v>
      </c>
      <c r="K149" s="32"/>
      <c r="L149" s="32"/>
      <c r="M149" s="32"/>
      <c r="N149" s="32"/>
      <c r="O149" s="10">
        <v>1</v>
      </c>
      <c r="P149" s="4">
        <v>0</v>
      </c>
      <c r="Q149" s="4">
        <v>1</v>
      </c>
      <c r="R149" s="4">
        <v>0</v>
      </c>
      <c r="S149" s="58">
        <v>0</v>
      </c>
      <c r="T149" s="58">
        <v>0</v>
      </c>
      <c r="U149" s="58">
        <v>0</v>
      </c>
      <c r="V149" s="5">
        <v>0</v>
      </c>
      <c r="W149" s="4">
        <v>0</v>
      </c>
    </row>
    <row r="150" spans="1:23" x14ac:dyDescent="0.35">
      <c r="A150">
        <v>146</v>
      </c>
      <c r="B150">
        <v>147</v>
      </c>
      <c r="C150">
        <v>146.0591684</v>
      </c>
      <c r="D150">
        <v>-17.51419718</v>
      </c>
      <c r="F150" t="str">
        <f>HYPERLINK("D:\Data From Lucan\2024\Johnstone\Frames_for_Analysis\147_20240610_0007_R_0541.jpg","147_20240610_0007_R_0541.jpg")</f>
        <v>147_20240610_0007_R_0541.jpg</v>
      </c>
      <c r="G150">
        <v>1</v>
      </c>
      <c r="I150">
        <f t="shared" si="2"/>
        <v>1</v>
      </c>
      <c r="J150" s="53">
        <v>1</v>
      </c>
      <c r="K150" s="32"/>
      <c r="L150" s="32"/>
      <c r="M150" s="32"/>
      <c r="N150" s="32"/>
      <c r="O150" s="10">
        <v>1</v>
      </c>
      <c r="P150" s="4">
        <v>0</v>
      </c>
      <c r="Q150" s="4">
        <v>1</v>
      </c>
      <c r="R150" s="4">
        <v>0</v>
      </c>
      <c r="S150" s="58">
        <v>0</v>
      </c>
      <c r="T150" s="58">
        <v>0</v>
      </c>
      <c r="U150" s="58">
        <v>0</v>
      </c>
      <c r="V150" s="5">
        <v>0</v>
      </c>
      <c r="W150" s="4">
        <v>0</v>
      </c>
    </row>
    <row r="151" spans="1:23" x14ac:dyDescent="0.35">
      <c r="A151">
        <v>147</v>
      </c>
      <c r="B151">
        <v>148</v>
      </c>
      <c r="C151">
        <v>146.05914569999999</v>
      </c>
      <c r="D151">
        <v>-17.51428872</v>
      </c>
      <c r="F151" t="str">
        <f>HYPERLINK("D:\Data From Lucan\2024\Johnstone\Frames_for_Analysis\148_20240610_0007_R_0539.jpg","148_20240610_0007_R_0539.jpg")</f>
        <v>148_20240610_0007_R_0539.jpg</v>
      </c>
      <c r="G151">
        <v>1</v>
      </c>
      <c r="I151">
        <f t="shared" si="2"/>
        <v>1</v>
      </c>
      <c r="J151" s="53">
        <v>1</v>
      </c>
      <c r="K151" s="32"/>
      <c r="L151" s="32"/>
      <c r="M151" s="32"/>
      <c r="N151" s="32"/>
      <c r="O151" s="10">
        <v>1</v>
      </c>
      <c r="P151" s="4">
        <v>0</v>
      </c>
      <c r="Q151" s="4">
        <v>0</v>
      </c>
      <c r="R151" s="4">
        <v>0</v>
      </c>
      <c r="S151" s="58">
        <v>0</v>
      </c>
      <c r="T151" s="58">
        <v>0</v>
      </c>
      <c r="U151" s="58">
        <v>0</v>
      </c>
      <c r="V151" s="5">
        <v>0</v>
      </c>
      <c r="W151" s="4">
        <v>0</v>
      </c>
    </row>
    <row r="152" spans="1:23" x14ac:dyDescent="0.35">
      <c r="A152">
        <v>148</v>
      </c>
      <c r="B152">
        <v>149</v>
      </c>
      <c r="C152">
        <v>146.05912309999999</v>
      </c>
      <c r="D152">
        <v>-17.514380259999999</v>
      </c>
      <c r="F152" t="str">
        <f>HYPERLINK("D:\Data From Lucan\2024\Johnstone\Frames_for_Analysis\149_20240610_0007_R_0534.jpg","149_20240610_0007_R_0534.jpg")</f>
        <v>149_20240610_0007_R_0534.jpg</v>
      </c>
      <c r="G152">
        <v>1</v>
      </c>
      <c r="I152">
        <f t="shared" si="2"/>
        <v>1</v>
      </c>
      <c r="J152" s="53">
        <v>1</v>
      </c>
      <c r="K152" s="32"/>
      <c r="L152" s="32"/>
      <c r="M152" s="32"/>
      <c r="N152" s="32"/>
      <c r="O152" s="10">
        <v>1</v>
      </c>
      <c r="P152" s="4">
        <v>0</v>
      </c>
      <c r="Q152" s="4">
        <v>0</v>
      </c>
      <c r="R152" s="4">
        <v>0</v>
      </c>
      <c r="S152" s="58">
        <v>0</v>
      </c>
      <c r="T152" s="58">
        <v>0</v>
      </c>
      <c r="U152" s="58">
        <v>0</v>
      </c>
      <c r="V152" s="5">
        <v>0</v>
      </c>
      <c r="W152" s="4">
        <v>0</v>
      </c>
    </row>
    <row r="153" spans="1:23" x14ac:dyDescent="0.35">
      <c r="A153">
        <v>149</v>
      </c>
      <c r="B153">
        <v>150</v>
      </c>
      <c r="C153">
        <v>146.05910040000001</v>
      </c>
      <c r="D153">
        <v>-17.51447181</v>
      </c>
      <c r="E153">
        <v>50</v>
      </c>
      <c r="F153" t="str">
        <f>HYPERLINK("D:\Data From Lucan\2024\Johnstone\Frames_for_Analysis\150_20240610_0007_R_0532.jpg","150_20240610_0007_R_0532.jpg")</f>
        <v>150_20240610_0007_R_0532.jpg</v>
      </c>
      <c r="G153">
        <v>1</v>
      </c>
      <c r="I153">
        <f t="shared" si="2"/>
        <v>1</v>
      </c>
      <c r="J153" s="53">
        <v>1</v>
      </c>
      <c r="K153" s="32"/>
      <c r="L153" s="32"/>
      <c r="M153" s="32"/>
      <c r="N153" s="32"/>
      <c r="O153" s="10">
        <v>1</v>
      </c>
      <c r="P153" s="4">
        <v>0</v>
      </c>
      <c r="Q153" s="4">
        <v>0</v>
      </c>
      <c r="R153" s="4">
        <v>0</v>
      </c>
      <c r="S153" s="58">
        <v>0</v>
      </c>
      <c r="T153" s="58">
        <v>0</v>
      </c>
      <c r="U153" s="58">
        <v>0</v>
      </c>
      <c r="V153" s="5">
        <v>0</v>
      </c>
      <c r="W153" s="4">
        <v>0</v>
      </c>
    </row>
    <row r="154" spans="1:23" x14ac:dyDescent="0.35">
      <c r="A154">
        <v>150</v>
      </c>
      <c r="B154">
        <v>151</v>
      </c>
      <c r="C154">
        <v>146.05907780000001</v>
      </c>
      <c r="D154">
        <v>-17.51456335</v>
      </c>
      <c r="F154" t="str">
        <f>HYPERLINK("D:\Data From Lucan\2024\Johnstone\Frames_for_Analysis\151_20240610_0007_R_0529.jpg","151_20240610_0007_R_0529.jpg")</f>
        <v>151_20240610_0007_R_0529.jpg</v>
      </c>
      <c r="G154">
        <v>1</v>
      </c>
      <c r="I154">
        <f t="shared" si="2"/>
        <v>1</v>
      </c>
      <c r="J154" s="53">
        <v>1</v>
      </c>
      <c r="K154" s="32"/>
      <c r="L154" s="32"/>
      <c r="M154" s="32"/>
      <c r="N154" s="32"/>
      <c r="O154" s="10">
        <v>1</v>
      </c>
      <c r="P154" s="4">
        <v>0</v>
      </c>
      <c r="Q154" s="4">
        <v>0</v>
      </c>
      <c r="R154" s="4">
        <v>0</v>
      </c>
      <c r="S154" s="58">
        <v>0</v>
      </c>
      <c r="T154" s="58">
        <v>0</v>
      </c>
      <c r="U154" s="58">
        <v>0</v>
      </c>
      <c r="V154" s="5">
        <v>0</v>
      </c>
      <c r="W154" s="4">
        <v>0</v>
      </c>
    </row>
    <row r="155" spans="1:23" x14ac:dyDescent="0.35">
      <c r="A155">
        <v>151</v>
      </c>
      <c r="B155">
        <v>152</v>
      </c>
      <c r="C155">
        <v>146.05905509999999</v>
      </c>
      <c r="D155">
        <v>-17.5146549</v>
      </c>
      <c r="F155" t="str">
        <f>HYPERLINK("D:\Data From Lucan\2024\Johnstone\Frames_for_Analysis\152_20240610_0007_R_0526.jpg","152_20240610_0007_R_0526.jpg")</f>
        <v>152_20240610_0007_R_0526.jpg</v>
      </c>
      <c r="G155">
        <v>2</v>
      </c>
      <c r="I155">
        <f t="shared" si="2"/>
        <v>1</v>
      </c>
      <c r="J155" s="53">
        <v>1</v>
      </c>
      <c r="K155" s="32"/>
      <c r="L155" s="32"/>
      <c r="M155" s="32"/>
      <c r="N155" s="32"/>
      <c r="O155" s="10">
        <v>1</v>
      </c>
      <c r="P155" s="4">
        <v>0</v>
      </c>
      <c r="Q155" s="4">
        <v>0</v>
      </c>
      <c r="R155" s="4">
        <v>0</v>
      </c>
      <c r="S155" s="58">
        <v>0</v>
      </c>
      <c r="T155" s="58">
        <v>0</v>
      </c>
      <c r="U155" s="58">
        <v>0</v>
      </c>
      <c r="V155" s="5">
        <v>0</v>
      </c>
      <c r="W155" s="4">
        <v>0</v>
      </c>
    </row>
    <row r="156" spans="1:23" x14ac:dyDescent="0.35">
      <c r="A156">
        <v>152</v>
      </c>
      <c r="B156">
        <v>153</v>
      </c>
      <c r="C156">
        <v>146.0590377</v>
      </c>
      <c r="D156">
        <v>-17.514747459999999</v>
      </c>
      <c r="F156" t="str">
        <f>HYPERLINK("D:\Data From Lucan\2024\Johnstone\Frames_for_Analysis\153_20240610_0007_R_0523.jpg","153_20240610_0007_R_0523.jpg")</f>
        <v>153_20240610_0007_R_0523.jpg</v>
      </c>
      <c r="G156">
        <v>2</v>
      </c>
      <c r="I156">
        <f t="shared" si="2"/>
        <v>1</v>
      </c>
      <c r="J156" s="53">
        <v>1</v>
      </c>
      <c r="K156" s="32"/>
      <c r="L156" s="32"/>
      <c r="M156" s="32"/>
      <c r="N156" s="32"/>
      <c r="O156" s="10">
        <v>1</v>
      </c>
      <c r="P156" s="4">
        <v>0</v>
      </c>
      <c r="Q156" s="4">
        <v>0</v>
      </c>
      <c r="R156" s="4">
        <v>0</v>
      </c>
      <c r="S156" s="58">
        <v>0</v>
      </c>
      <c r="T156" s="58">
        <v>0</v>
      </c>
      <c r="U156" s="58">
        <v>0</v>
      </c>
      <c r="V156" s="5">
        <v>0</v>
      </c>
      <c r="W156" s="4">
        <v>0</v>
      </c>
    </row>
    <row r="157" spans="1:23" x14ac:dyDescent="0.35">
      <c r="A157">
        <v>153</v>
      </c>
      <c r="B157">
        <v>154</v>
      </c>
      <c r="C157">
        <v>146.05902459999999</v>
      </c>
      <c r="D157">
        <v>-17.514840840000002</v>
      </c>
      <c r="F157" t="str">
        <f>HYPERLINK("D:\Data From Lucan\2024\Johnstone\Frames_for_Analysis\154_20240610_0007_R_0519.jpg","154_20240610_0007_R_0519.jpg")</f>
        <v>154_20240610_0007_R_0519.jpg</v>
      </c>
      <c r="G157">
        <v>2</v>
      </c>
      <c r="I157">
        <f t="shared" si="2"/>
        <v>1</v>
      </c>
      <c r="J157" s="53">
        <v>1</v>
      </c>
      <c r="K157" s="32"/>
      <c r="L157" s="32"/>
      <c r="M157" s="32"/>
      <c r="N157" s="32"/>
      <c r="O157" s="10">
        <v>1</v>
      </c>
      <c r="P157" s="4">
        <v>0</v>
      </c>
      <c r="Q157" s="4">
        <v>0</v>
      </c>
      <c r="R157" s="4">
        <v>0</v>
      </c>
      <c r="S157" s="58">
        <v>0</v>
      </c>
      <c r="T157" s="58">
        <v>0</v>
      </c>
      <c r="U157" s="58">
        <v>0</v>
      </c>
      <c r="V157" s="5">
        <v>0</v>
      </c>
      <c r="W157" s="4">
        <v>0</v>
      </c>
    </row>
    <row r="158" spans="1:23" x14ac:dyDescent="0.35">
      <c r="A158">
        <v>154</v>
      </c>
      <c r="B158">
        <v>155</v>
      </c>
      <c r="C158">
        <v>146.0590115</v>
      </c>
      <c r="D158">
        <v>-17.514934230000001</v>
      </c>
      <c r="E158">
        <v>50</v>
      </c>
      <c r="F158" t="str">
        <f>HYPERLINK("D:\Data From Lucan\2024\Johnstone\Frames_for_Analysis\155_20240610_0007_R_0516.jpg","155_20240610_0007_R_0516.jpg")</f>
        <v>155_20240610_0007_R_0516.jpg</v>
      </c>
      <c r="G158">
        <v>2</v>
      </c>
      <c r="I158">
        <f t="shared" si="2"/>
        <v>1</v>
      </c>
      <c r="J158" s="53">
        <v>1</v>
      </c>
      <c r="K158" s="32"/>
      <c r="L158" s="32"/>
      <c r="M158" s="32"/>
      <c r="N158" s="32"/>
      <c r="O158" s="10">
        <v>1</v>
      </c>
      <c r="P158" s="4">
        <v>0</v>
      </c>
      <c r="Q158" s="4">
        <v>0</v>
      </c>
      <c r="R158" s="4">
        <v>0</v>
      </c>
      <c r="S158" s="58">
        <v>0</v>
      </c>
      <c r="T158" s="58">
        <v>0</v>
      </c>
      <c r="U158" s="58">
        <v>0</v>
      </c>
      <c r="V158" s="5">
        <v>0</v>
      </c>
      <c r="W158" s="4">
        <v>0</v>
      </c>
    </row>
    <row r="159" spans="1:23" x14ac:dyDescent="0.35">
      <c r="A159">
        <v>155</v>
      </c>
      <c r="B159">
        <v>156</v>
      </c>
      <c r="C159">
        <v>146.05899840000001</v>
      </c>
      <c r="D159">
        <v>-17.515027610000001</v>
      </c>
      <c r="F159" t="str">
        <f>HYPERLINK("D:\Data From Lucan\2024\Johnstone\Frames_for_Analysis\156_20240610_0007_R_0513.jpg","156_20240610_0007_R_0513.jpg")</f>
        <v>156_20240610_0007_R_0513.jpg</v>
      </c>
      <c r="G159">
        <v>2</v>
      </c>
      <c r="I159">
        <f t="shared" si="2"/>
        <v>1</v>
      </c>
      <c r="J159" s="53">
        <v>1</v>
      </c>
      <c r="K159" s="32"/>
      <c r="L159" s="32"/>
      <c r="M159" s="32"/>
      <c r="N159" s="32"/>
      <c r="O159" s="10">
        <v>1</v>
      </c>
      <c r="P159" s="4">
        <v>0</v>
      </c>
      <c r="Q159" s="4">
        <v>0</v>
      </c>
      <c r="R159" s="4">
        <v>0</v>
      </c>
      <c r="S159" s="58">
        <v>0</v>
      </c>
      <c r="T159" s="58">
        <v>0</v>
      </c>
      <c r="U159" s="58">
        <v>0</v>
      </c>
      <c r="V159" s="5">
        <v>0</v>
      </c>
      <c r="W159" s="4">
        <v>0</v>
      </c>
    </row>
    <row r="160" spans="1:23" x14ac:dyDescent="0.35">
      <c r="A160">
        <v>156</v>
      </c>
      <c r="B160">
        <v>157</v>
      </c>
      <c r="C160">
        <v>146.05898540000001</v>
      </c>
      <c r="D160">
        <v>-17.515121019999999</v>
      </c>
      <c r="F160" t="str">
        <f>HYPERLINK("D:\Data From Lucan\2024\Johnstone\Frames_for_Analysis\157_20240610_0007_R_0510.jpg","157_20240610_0007_R_0510.jpg")</f>
        <v>157_20240610_0007_R_0510.jpg</v>
      </c>
      <c r="G160">
        <v>2</v>
      </c>
      <c r="I160">
        <f t="shared" si="2"/>
        <v>1</v>
      </c>
      <c r="J160" s="53">
        <v>1</v>
      </c>
      <c r="K160" s="32"/>
      <c r="L160" s="32"/>
      <c r="M160" s="32"/>
      <c r="N160" s="32"/>
      <c r="O160" s="10">
        <v>1</v>
      </c>
      <c r="P160" s="4">
        <v>0</v>
      </c>
      <c r="Q160" s="4">
        <v>0</v>
      </c>
      <c r="R160" s="4">
        <v>0</v>
      </c>
      <c r="S160" s="58">
        <v>0</v>
      </c>
      <c r="T160" s="58">
        <v>0</v>
      </c>
      <c r="U160" s="58">
        <v>0</v>
      </c>
      <c r="V160" s="5">
        <v>0</v>
      </c>
      <c r="W160" s="4">
        <v>0</v>
      </c>
    </row>
    <row r="161" spans="1:23" x14ac:dyDescent="0.35">
      <c r="A161">
        <v>157</v>
      </c>
      <c r="B161">
        <v>158</v>
      </c>
      <c r="C161">
        <v>146.0589756</v>
      </c>
      <c r="D161">
        <v>-17.51521481</v>
      </c>
      <c r="F161" t="str">
        <f>HYPERLINK("D:\Data From Lucan\2024\Johnstone\Frames_for_Analysis\158_20240610_0007_R_0507.jpg","158_20240610_0007_R_0507.jpg")</f>
        <v>158_20240610_0007_R_0507.jpg</v>
      </c>
      <c r="G161">
        <v>2</v>
      </c>
      <c r="I161">
        <f t="shared" si="2"/>
        <v>1</v>
      </c>
      <c r="J161" s="53">
        <v>1</v>
      </c>
      <c r="K161" s="32"/>
      <c r="L161" s="32"/>
      <c r="M161" s="32"/>
      <c r="N161" s="32"/>
      <c r="O161" s="10">
        <v>1</v>
      </c>
      <c r="P161" s="4">
        <v>0</v>
      </c>
      <c r="Q161" s="4">
        <v>0</v>
      </c>
      <c r="R161" s="4">
        <v>0</v>
      </c>
      <c r="S161" s="58">
        <v>0</v>
      </c>
      <c r="T161" s="58">
        <v>0</v>
      </c>
      <c r="U161" s="58">
        <v>0</v>
      </c>
      <c r="V161" s="5">
        <v>0</v>
      </c>
      <c r="W161" s="4">
        <v>0</v>
      </c>
    </row>
    <row r="162" spans="1:23" x14ac:dyDescent="0.35">
      <c r="A162">
        <v>158</v>
      </c>
      <c r="B162">
        <v>159</v>
      </c>
      <c r="C162">
        <v>146.05896580000001</v>
      </c>
      <c r="D162">
        <v>-17.515308610000002</v>
      </c>
      <c r="F162" t="str">
        <f>HYPERLINK("D:\Data From Lucan\2024\Johnstone\Frames_for_Analysis\159_20240610_0007_R_0504.jpg","159_20240610_0007_R_0504.jpg")</f>
        <v>159_20240610_0007_R_0504.jpg</v>
      </c>
      <c r="G162">
        <v>2</v>
      </c>
      <c r="I162">
        <f t="shared" si="2"/>
        <v>0</v>
      </c>
      <c r="J162" s="53">
        <v>0</v>
      </c>
      <c r="K162" s="32"/>
      <c r="L162" s="32"/>
      <c r="M162" s="32"/>
      <c r="N162" s="32"/>
      <c r="O162" s="10">
        <v>1</v>
      </c>
      <c r="P162" s="4">
        <v>0</v>
      </c>
      <c r="Q162" s="4">
        <v>0</v>
      </c>
      <c r="R162" s="4">
        <v>0</v>
      </c>
      <c r="S162" s="58">
        <v>0</v>
      </c>
      <c r="T162" s="58">
        <v>0</v>
      </c>
      <c r="U162" s="58">
        <v>0</v>
      </c>
      <c r="V162" s="5">
        <v>0</v>
      </c>
      <c r="W162" s="4">
        <v>0</v>
      </c>
    </row>
    <row r="163" spans="1:23" x14ac:dyDescent="0.35">
      <c r="A163">
        <v>159</v>
      </c>
      <c r="B163">
        <v>160</v>
      </c>
      <c r="C163">
        <v>146.05895599999999</v>
      </c>
      <c r="D163">
        <v>-17.515402399999999</v>
      </c>
      <c r="E163">
        <v>50</v>
      </c>
      <c r="F163" t="str">
        <f>HYPERLINK("D:\Data From Lucan\2024\Johnstone\Frames_for_Analysis\160_20240610_0007_R_0501.jpg","160_20240610_0007_R_0501.jpg")</f>
        <v>160_20240610_0007_R_0501.jpg</v>
      </c>
      <c r="G163">
        <v>2</v>
      </c>
      <c r="I163">
        <f t="shared" si="2"/>
        <v>0</v>
      </c>
      <c r="J163" s="53">
        <v>0</v>
      </c>
      <c r="K163" s="32"/>
      <c r="L163" s="32"/>
      <c r="M163" s="32"/>
      <c r="N163" s="32"/>
      <c r="O163" s="10">
        <v>1</v>
      </c>
      <c r="P163" s="4">
        <v>0</v>
      </c>
      <c r="Q163" s="4">
        <v>0</v>
      </c>
      <c r="R163" s="4">
        <v>0</v>
      </c>
      <c r="S163" s="58">
        <v>0</v>
      </c>
      <c r="T163" s="58">
        <v>0</v>
      </c>
      <c r="U163" s="58">
        <v>0</v>
      </c>
      <c r="V163" s="5">
        <v>0</v>
      </c>
      <c r="W163" s="4">
        <v>0</v>
      </c>
    </row>
    <row r="164" spans="1:23" x14ac:dyDescent="0.35">
      <c r="A164">
        <v>160</v>
      </c>
      <c r="B164">
        <v>161</v>
      </c>
      <c r="C164">
        <v>146.05894620000001</v>
      </c>
      <c r="D164">
        <v>-17.51549619</v>
      </c>
      <c r="F164" t="str">
        <f>HYPERLINK("D:\Data From Lucan\2024\Johnstone\Frames_for_Analysis\161_20240610_0007_R_0498.jpg","161_20240610_0007_R_0498.jpg")</f>
        <v>161_20240610_0007_R_0498.jpg</v>
      </c>
      <c r="G164">
        <v>2</v>
      </c>
      <c r="I164">
        <v>0</v>
      </c>
      <c r="J164" s="53">
        <v>2</v>
      </c>
      <c r="K164" s="32"/>
      <c r="L164" s="32"/>
      <c r="M164" s="32"/>
      <c r="N164" s="32"/>
      <c r="O164" s="10">
        <v>1</v>
      </c>
      <c r="P164" s="4">
        <v>0</v>
      </c>
      <c r="Q164" s="4">
        <v>0</v>
      </c>
      <c r="R164" s="4">
        <v>0</v>
      </c>
      <c r="S164" s="58">
        <v>0</v>
      </c>
      <c r="T164" s="58">
        <v>0</v>
      </c>
      <c r="U164" s="58">
        <v>0</v>
      </c>
      <c r="V164" s="5">
        <v>0</v>
      </c>
      <c r="W164" s="4">
        <v>0</v>
      </c>
    </row>
    <row r="165" spans="1:23" x14ac:dyDescent="0.35">
      <c r="A165">
        <v>161</v>
      </c>
      <c r="B165">
        <v>162</v>
      </c>
      <c r="C165">
        <v>146.05893639999999</v>
      </c>
      <c r="D165">
        <v>-17.515589989999999</v>
      </c>
      <c r="F165" t="str">
        <f>HYPERLINK("D:\Data From Lucan\2024\Johnstone\Frames_for_Analysis\162_20240610_0007_R_0495.jpg","162_20240610_0007_R_0495.jpg")</f>
        <v>162_20240610_0007_R_0495.jpg</v>
      </c>
      <c r="G165">
        <v>2</v>
      </c>
      <c r="I165">
        <v>0</v>
      </c>
      <c r="J165" s="53">
        <v>2</v>
      </c>
      <c r="K165" s="32"/>
      <c r="L165" s="32"/>
      <c r="M165" s="32"/>
      <c r="N165" s="32"/>
      <c r="O165" s="10">
        <v>1</v>
      </c>
      <c r="P165" s="4">
        <v>0</v>
      </c>
      <c r="Q165" s="4">
        <v>0</v>
      </c>
      <c r="R165" s="4">
        <v>0</v>
      </c>
      <c r="S165" s="58">
        <v>0</v>
      </c>
      <c r="T165" s="58">
        <v>0</v>
      </c>
      <c r="U165" s="58">
        <v>0</v>
      </c>
      <c r="V165" s="5">
        <v>0</v>
      </c>
      <c r="W165" s="4">
        <v>0</v>
      </c>
    </row>
    <row r="166" spans="1:23" x14ac:dyDescent="0.35">
      <c r="A166">
        <v>162</v>
      </c>
      <c r="B166">
        <v>163</v>
      </c>
      <c r="C166">
        <v>146.05892660000001</v>
      </c>
      <c r="D166">
        <v>-17.51568378</v>
      </c>
      <c r="F166" t="str">
        <f>HYPERLINK("D:\Data From Lucan\2024\Johnstone\Frames_for_Analysis\163_20240610_0007_R_0492.jpg","163_20240610_0007_R_0492.jpg")</f>
        <v>163_20240610_0007_R_0492.jpg</v>
      </c>
      <c r="G166">
        <v>2</v>
      </c>
      <c r="I166">
        <f t="shared" si="2"/>
        <v>0</v>
      </c>
      <c r="J166" s="53">
        <v>0</v>
      </c>
      <c r="K166" s="32"/>
      <c r="L166" s="32"/>
      <c r="M166" s="32"/>
      <c r="N166" s="32"/>
      <c r="O166" s="10">
        <v>1</v>
      </c>
      <c r="P166" s="4">
        <v>0</v>
      </c>
      <c r="Q166" s="4">
        <v>0</v>
      </c>
      <c r="R166" s="4">
        <v>0</v>
      </c>
      <c r="S166" s="58">
        <v>0</v>
      </c>
      <c r="T166" s="58">
        <v>0</v>
      </c>
      <c r="U166" s="58">
        <v>0</v>
      </c>
      <c r="V166" s="5">
        <v>0</v>
      </c>
      <c r="W166" s="4">
        <v>0</v>
      </c>
    </row>
    <row r="167" spans="1:23" x14ac:dyDescent="0.35">
      <c r="A167">
        <v>163</v>
      </c>
      <c r="B167">
        <v>164</v>
      </c>
      <c r="C167">
        <v>146.05891679999999</v>
      </c>
      <c r="D167">
        <v>-17.515777570000001</v>
      </c>
      <c r="F167" t="str">
        <f>HYPERLINK("D:\Data From Lucan\2024\Johnstone\Frames_for_Analysis\164_20240610_0007_R_0488.jpg","164_20240610_0007_R_0488.jpg")</f>
        <v>164_20240610_0007_R_0488.jpg</v>
      </c>
      <c r="G167">
        <v>2</v>
      </c>
      <c r="I167">
        <f t="shared" si="2"/>
        <v>0</v>
      </c>
      <c r="J167" s="53">
        <v>0</v>
      </c>
      <c r="K167" s="32"/>
      <c r="L167" s="32"/>
      <c r="M167" s="32"/>
      <c r="N167" s="32"/>
      <c r="O167" s="10">
        <v>1</v>
      </c>
      <c r="P167" s="4">
        <v>0</v>
      </c>
      <c r="Q167" s="4">
        <v>0</v>
      </c>
      <c r="R167" s="4">
        <v>0</v>
      </c>
      <c r="S167" s="58">
        <v>0</v>
      </c>
      <c r="T167" s="58">
        <v>0</v>
      </c>
      <c r="U167" s="58">
        <v>0</v>
      </c>
      <c r="V167" s="5">
        <v>1</v>
      </c>
      <c r="W167" s="4">
        <v>0</v>
      </c>
    </row>
    <row r="168" spans="1:23" x14ac:dyDescent="0.35">
      <c r="A168">
        <v>164</v>
      </c>
      <c r="B168">
        <v>165</v>
      </c>
      <c r="C168">
        <v>146.05891489999999</v>
      </c>
      <c r="D168">
        <v>-17.515871730000001</v>
      </c>
      <c r="E168">
        <v>50</v>
      </c>
      <c r="F168" t="str">
        <f>HYPERLINK("D:\Data From Lucan\2024\Johnstone\Frames_for_Analysis\165_20240610_0007_R_0485.jpg","165_20240610_0007_R_0485.jpg")</f>
        <v>165_20240610_0007_R_0485.jpg</v>
      </c>
      <c r="G168">
        <v>2</v>
      </c>
      <c r="I168">
        <f t="shared" si="2"/>
        <v>1</v>
      </c>
      <c r="J168" s="53">
        <v>1</v>
      </c>
      <c r="K168" s="32"/>
      <c r="L168" s="32"/>
      <c r="M168" s="32"/>
      <c r="N168" s="32"/>
      <c r="O168" s="10">
        <v>1</v>
      </c>
      <c r="P168" s="4">
        <v>0</v>
      </c>
      <c r="Q168" s="4">
        <v>0</v>
      </c>
      <c r="R168" s="4">
        <v>0</v>
      </c>
      <c r="S168" s="58">
        <v>0</v>
      </c>
      <c r="T168" s="58">
        <v>0</v>
      </c>
      <c r="U168" s="58">
        <v>0</v>
      </c>
      <c r="V168" s="5">
        <v>1</v>
      </c>
      <c r="W168" s="4">
        <v>0</v>
      </c>
    </row>
    <row r="169" spans="1:23" x14ac:dyDescent="0.35">
      <c r="A169">
        <v>165</v>
      </c>
      <c r="B169">
        <v>166</v>
      </c>
      <c r="C169">
        <v>146.05891579999999</v>
      </c>
      <c r="D169">
        <v>-17.515966030000001</v>
      </c>
      <c r="F169" t="str">
        <f>HYPERLINK("D:\Data From Lucan\2024\Johnstone\Frames_for_Analysis\166_20240610_0007_R_0482.jpg","166_20240610_0007_R_0482.jpg")</f>
        <v>166_20240610_0007_R_0482.jpg</v>
      </c>
      <c r="G169">
        <v>2</v>
      </c>
      <c r="I169">
        <f t="shared" si="2"/>
        <v>1</v>
      </c>
      <c r="J169" s="53">
        <v>1</v>
      </c>
      <c r="K169" s="32"/>
      <c r="L169" s="32"/>
      <c r="M169" s="32"/>
      <c r="N169" s="32"/>
      <c r="O169" s="10">
        <v>1</v>
      </c>
      <c r="P169" s="4">
        <v>0</v>
      </c>
      <c r="Q169" s="4">
        <v>0</v>
      </c>
      <c r="R169" s="4">
        <v>0</v>
      </c>
      <c r="S169" s="58">
        <v>0</v>
      </c>
      <c r="T169" s="58">
        <v>0</v>
      </c>
      <c r="U169" s="58">
        <v>0</v>
      </c>
      <c r="V169" s="5">
        <v>1</v>
      </c>
      <c r="W169" s="4">
        <v>0</v>
      </c>
    </row>
    <row r="170" spans="1:23" x14ac:dyDescent="0.35">
      <c r="A170">
        <v>166</v>
      </c>
      <c r="B170">
        <v>167</v>
      </c>
      <c r="C170">
        <v>146.05891679999999</v>
      </c>
      <c r="D170">
        <v>-17.516060329999998</v>
      </c>
      <c r="F170" t="str">
        <f>HYPERLINK("D:\Data From Lucan\2024\Johnstone\Frames_for_Analysis\167_20240610_0007_R_0478.jpg","167_20240610_0007_R_0478.jpg")</f>
        <v>167_20240610_0007_R_0478.jpg</v>
      </c>
      <c r="G170">
        <v>2</v>
      </c>
      <c r="I170">
        <v>0</v>
      </c>
      <c r="J170" s="53">
        <v>2</v>
      </c>
      <c r="K170" s="32"/>
      <c r="L170" s="32"/>
      <c r="M170" s="32"/>
      <c r="N170" s="32"/>
      <c r="O170" s="10">
        <v>1</v>
      </c>
      <c r="P170" s="4">
        <v>0</v>
      </c>
      <c r="Q170" s="4">
        <v>0</v>
      </c>
      <c r="R170" s="4">
        <v>0</v>
      </c>
      <c r="S170" s="58">
        <v>0</v>
      </c>
      <c r="T170" s="58">
        <v>0</v>
      </c>
      <c r="U170" s="58">
        <v>0</v>
      </c>
      <c r="V170" s="5">
        <v>0</v>
      </c>
      <c r="W170" s="4">
        <v>0</v>
      </c>
    </row>
    <row r="171" spans="1:23" x14ac:dyDescent="0.35">
      <c r="A171">
        <v>167</v>
      </c>
      <c r="B171">
        <v>168</v>
      </c>
      <c r="C171">
        <v>146.05891769999999</v>
      </c>
      <c r="D171">
        <v>-17.516154629999999</v>
      </c>
      <c r="F171" t="str">
        <f>HYPERLINK("D:\Data From Lucan\2024\Johnstone\Frames_for_Analysis\168_20240610_0007_R_0475.jpg","168_20240610_0007_R_0475.jpg")</f>
        <v>168_20240610_0007_R_0475.jpg</v>
      </c>
      <c r="G171">
        <v>2</v>
      </c>
      <c r="I171">
        <v>0</v>
      </c>
      <c r="J171" s="53">
        <v>2</v>
      </c>
      <c r="K171" s="32"/>
      <c r="L171" s="32"/>
      <c r="M171" s="32"/>
      <c r="N171" s="32"/>
      <c r="O171" s="10">
        <v>1</v>
      </c>
      <c r="P171" s="4">
        <v>0</v>
      </c>
      <c r="Q171" s="4">
        <v>0</v>
      </c>
      <c r="R171" s="4">
        <v>0</v>
      </c>
      <c r="S171" s="58">
        <v>0</v>
      </c>
      <c r="T171" s="58">
        <v>0</v>
      </c>
      <c r="U171" s="58">
        <v>0</v>
      </c>
      <c r="V171" s="5">
        <v>0</v>
      </c>
      <c r="W171" s="4">
        <v>0</v>
      </c>
    </row>
    <row r="172" spans="1:23" x14ac:dyDescent="0.35">
      <c r="A172">
        <v>168</v>
      </c>
      <c r="B172">
        <v>169</v>
      </c>
      <c r="C172">
        <v>146.05892270000001</v>
      </c>
      <c r="D172">
        <v>-17.516248770000001</v>
      </c>
      <c r="F172" t="str">
        <f>HYPERLINK("D:\Data From Lucan\2024\Johnstone\Frames_for_Analysis\169_20240610_0007_R_0472.jpg","169_20240610_0007_R_0472.jpg")</f>
        <v>169_20240610_0007_R_0472.jpg</v>
      </c>
      <c r="G172">
        <v>2</v>
      </c>
      <c r="I172">
        <v>0</v>
      </c>
      <c r="J172" s="53">
        <v>2</v>
      </c>
      <c r="K172" s="32"/>
      <c r="L172" s="32"/>
      <c r="M172" s="32"/>
      <c r="N172" s="32"/>
      <c r="O172" s="10">
        <v>1</v>
      </c>
      <c r="P172" s="4">
        <v>0</v>
      </c>
      <c r="Q172" s="4">
        <v>0</v>
      </c>
      <c r="R172" s="4">
        <v>0</v>
      </c>
      <c r="S172" s="58">
        <v>0</v>
      </c>
      <c r="T172" s="58">
        <v>0</v>
      </c>
      <c r="U172" s="58">
        <v>0</v>
      </c>
      <c r="V172" s="5">
        <v>0</v>
      </c>
      <c r="W172" s="4">
        <v>0</v>
      </c>
    </row>
    <row r="173" spans="1:23" x14ac:dyDescent="0.35">
      <c r="A173">
        <v>169</v>
      </c>
      <c r="B173">
        <v>170</v>
      </c>
      <c r="C173">
        <v>146.0589291</v>
      </c>
      <c r="D173">
        <v>-17.516342850000001</v>
      </c>
      <c r="E173">
        <v>50</v>
      </c>
      <c r="F173" t="str">
        <f>HYPERLINK("D:\Data From Lucan\2024\Johnstone\Frames_for_Analysis\170_20240610_0007_R_0468.jpg","170_20240610_0007_R_0468.jpg")</f>
        <v>170_20240610_0007_R_0468.jpg</v>
      </c>
      <c r="G173">
        <v>2</v>
      </c>
      <c r="I173">
        <f t="shared" si="2"/>
        <v>1</v>
      </c>
      <c r="J173" s="53">
        <v>1</v>
      </c>
      <c r="K173" s="32"/>
      <c r="L173" s="32"/>
      <c r="M173" s="32"/>
      <c r="N173" s="32"/>
      <c r="O173" s="10">
        <v>1</v>
      </c>
      <c r="P173" s="4">
        <v>0</v>
      </c>
      <c r="Q173" s="4">
        <v>0</v>
      </c>
      <c r="R173" s="4">
        <v>0</v>
      </c>
      <c r="S173" s="58">
        <v>0</v>
      </c>
      <c r="T173" s="58">
        <v>0</v>
      </c>
      <c r="U173" s="58">
        <v>0</v>
      </c>
      <c r="V173" s="5">
        <v>0</v>
      </c>
      <c r="W173" s="4">
        <v>0</v>
      </c>
    </row>
    <row r="174" spans="1:23" x14ac:dyDescent="0.35">
      <c r="A174">
        <v>170</v>
      </c>
      <c r="B174">
        <v>171</v>
      </c>
      <c r="C174">
        <v>146.05893560000001</v>
      </c>
      <c r="D174">
        <v>-17.516436939999998</v>
      </c>
      <c r="F174" t="str">
        <f>HYPERLINK("D:\Data From Lucan\2024\Johnstone\Frames_for_Analysis\171_20240610_0007_R_0466.jpg","171_20240610_0007_R_0466.jpg")</f>
        <v>171_20240610_0007_R_0466.jpg</v>
      </c>
      <c r="G174">
        <v>2</v>
      </c>
      <c r="I174">
        <f t="shared" si="2"/>
        <v>1</v>
      </c>
      <c r="J174" s="53">
        <v>1</v>
      </c>
      <c r="K174" s="32"/>
      <c r="L174" s="32"/>
      <c r="M174" s="32"/>
      <c r="N174" s="32"/>
      <c r="O174" s="10">
        <v>1</v>
      </c>
      <c r="P174" s="4">
        <v>0</v>
      </c>
      <c r="Q174" s="4">
        <v>0</v>
      </c>
      <c r="R174" s="4">
        <v>0</v>
      </c>
      <c r="S174" s="58">
        <v>0</v>
      </c>
      <c r="T174" s="58">
        <v>0</v>
      </c>
      <c r="U174" s="58">
        <v>0</v>
      </c>
      <c r="V174" s="5">
        <v>0</v>
      </c>
      <c r="W174" s="4">
        <v>0</v>
      </c>
    </row>
    <row r="175" spans="1:23" x14ac:dyDescent="0.35">
      <c r="A175">
        <v>171</v>
      </c>
      <c r="B175">
        <v>172</v>
      </c>
      <c r="C175">
        <v>146.058942</v>
      </c>
      <c r="D175">
        <v>-17.516531019999999</v>
      </c>
      <c r="F175" t="str">
        <f>HYPERLINK("D:\Data From Lucan\2024\Johnstone\Frames_for_Analysis\172_20240610_0007_R_0463.jpg","172_20240610_0007_R_0463.jpg")</f>
        <v>172_20240610_0007_R_0463.jpg</v>
      </c>
      <c r="G175">
        <v>2</v>
      </c>
      <c r="I175">
        <v>0</v>
      </c>
      <c r="J175" s="53">
        <v>2</v>
      </c>
      <c r="K175" s="32"/>
      <c r="L175" s="32"/>
      <c r="M175" s="32"/>
      <c r="N175" s="32"/>
      <c r="O175" s="10">
        <v>1</v>
      </c>
      <c r="P175" s="4">
        <v>0</v>
      </c>
      <c r="Q175" s="4">
        <v>0</v>
      </c>
      <c r="R175" s="4">
        <v>0</v>
      </c>
      <c r="S175" s="58">
        <v>0</v>
      </c>
      <c r="T175" s="58">
        <v>0</v>
      </c>
      <c r="U175" s="58">
        <v>0</v>
      </c>
      <c r="V175" s="5">
        <v>0</v>
      </c>
      <c r="W175" s="4">
        <v>0</v>
      </c>
    </row>
    <row r="176" spans="1:23" x14ac:dyDescent="0.35">
      <c r="A176">
        <v>172</v>
      </c>
      <c r="B176">
        <v>173</v>
      </c>
      <c r="C176">
        <v>146.05894839999999</v>
      </c>
      <c r="D176">
        <v>-17.51662511</v>
      </c>
      <c r="F176" t="str">
        <f>HYPERLINK("D:\Data From Lucan\2024\Johnstone\Frames_for_Analysis\173_20240610_0007_R_0460.jpg","173_20240610_0007_R_0460.jpg")</f>
        <v>173_20240610_0007_R_0460.jpg</v>
      </c>
      <c r="G176">
        <v>2</v>
      </c>
      <c r="I176">
        <f t="shared" si="2"/>
        <v>1</v>
      </c>
      <c r="J176" s="53">
        <v>1</v>
      </c>
      <c r="K176" s="32"/>
      <c r="L176" s="32"/>
      <c r="M176" s="32"/>
      <c r="N176" s="32"/>
      <c r="O176" s="10">
        <v>1</v>
      </c>
      <c r="P176" s="4">
        <v>0</v>
      </c>
      <c r="Q176" s="4">
        <v>0</v>
      </c>
      <c r="R176" s="4">
        <v>1</v>
      </c>
      <c r="S176" s="58">
        <v>0</v>
      </c>
      <c r="T176" s="58">
        <v>0</v>
      </c>
      <c r="U176" s="58">
        <v>0</v>
      </c>
      <c r="V176" s="5">
        <v>0</v>
      </c>
      <c r="W176" s="4">
        <v>0</v>
      </c>
    </row>
    <row r="177" spans="1:23" x14ac:dyDescent="0.35">
      <c r="A177">
        <v>173</v>
      </c>
      <c r="B177">
        <v>174</v>
      </c>
      <c r="C177">
        <v>146.05896519999999</v>
      </c>
      <c r="D177">
        <v>-17.51671777</v>
      </c>
      <c r="F177" t="str">
        <f>HYPERLINK("D:\Data From Lucan\2024\Johnstone\Frames_for_Analysis\174_20240610_0007_R_0458.jpg","174_20240610_0007_R_0458.jpg")</f>
        <v>174_20240610_0007_R_0458.jpg</v>
      </c>
      <c r="G177">
        <v>2</v>
      </c>
      <c r="I177">
        <v>0</v>
      </c>
      <c r="J177" s="53">
        <v>2</v>
      </c>
      <c r="K177" s="32"/>
      <c r="L177" s="32"/>
      <c r="M177" s="32"/>
      <c r="N177" s="32"/>
      <c r="O177" s="10">
        <v>1</v>
      </c>
      <c r="P177" s="4">
        <v>0</v>
      </c>
      <c r="Q177" s="4">
        <v>0</v>
      </c>
      <c r="R177" s="4">
        <v>0</v>
      </c>
      <c r="S177" s="58">
        <v>0</v>
      </c>
      <c r="T177" s="58">
        <v>0</v>
      </c>
      <c r="U177" s="58">
        <v>0</v>
      </c>
      <c r="V177" s="5">
        <v>0</v>
      </c>
      <c r="W177" s="4">
        <v>0</v>
      </c>
    </row>
    <row r="178" spans="1:23" x14ac:dyDescent="0.35">
      <c r="A178">
        <v>174</v>
      </c>
      <c r="B178">
        <v>175</v>
      </c>
      <c r="C178">
        <v>146.05898440000001</v>
      </c>
      <c r="D178">
        <v>-17.516810100000001</v>
      </c>
      <c r="E178">
        <v>50</v>
      </c>
      <c r="F178" t="str">
        <f>HYPERLINK("D:\Data From Lucan\2024\Johnstone\Frames_for_Analysis\175_20240610_0007_R_0455.jpg","175_20240610_0007_R_0455.jpg")</f>
        <v>175_20240610_0007_R_0455.jpg</v>
      </c>
      <c r="G178">
        <v>2</v>
      </c>
      <c r="I178">
        <v>0</v>
      </c>
      <c r="J178" s="53">
        <v>2</v>
      </c>
      <c r="K178" s="32"/>
      <c r="L178" s="32"/>
      <c r="M178" s="32"/>
      <c r="N178" s="32"/>
      <c r="O178" s="10">
        <v>1</v>
      </c>
      <c r="P178" s="4">
        <v>0</v>
      </c>
      <c r="Q178" s="4">
        <v>0</v>
      </c>
      <c r="R178" s="4">
        <v>0</v>
      </c>
      <c r="S178" s="58">
        <v>0</v>
      </c>
      <c r="T178" s="58">
        <v>0</v>
      </c>
      <c r="U178" s="58">
        <v>0</v>
      </c>
      <c r="V178" s="5">
        <v>0</v>
      </c>
      <c r="W178" s="4">
        <v>0</v>
      </c>
    </row>
    <row r="179" spans="1:23" x14ac:dyDescent="0.35">
      <c r="A179">
        <v>175</v>
      </c>
      <c r="B179">
        <v>176</v>
      </c>
      <c r="C179">
        <v>146.05900869999999</v>
      </c>
      <c r="D179">
        <v>-17.516900580000001</v>
      </c>
      <c r="F179" t="str">
        <f>HYPERLINK("D:\Data From Lucan\2024\Johnstone\Frames_for_Analysis\176_20240610_0007_R_0452.jpg","176_20240610_0007_R_0452.jpg")</f>
        <v>176_20240610_0007_R_0452.jpg</v>
      </c>
      <c r="G179">
        <v>2</v>
      </c>
      <c r="I179">
        <f t="shared" si="2"/>
        <v>1</v>
      </c>
      <c r="J179" s="53">
        <v>1</v>
      </c>
      <c r="K179" s="32"/>
      <c r="L179" s="32"/>
      <c r="M179" s="32"/>
      <c r="N179" s="32"/>
      <c r="O179" s="10">
        <v>1</v>
      </c>
      <c r="P179" s="4">
        <v>0</v>
      </c>
      <c r="Q179" s="4">
        <v>0</v>
      </c>
      <c r="R179" s="4">
        <v>0</v>
      </c>
      <c r="S179" s="58">
        <v>0</v>
      </c>
      <c r="T179" s="58">
        <v>0</v>
      </c>
      <c r="U179" s="58">
        <v>0</v>
      </c>
      <c r="V179" s="5">
        <v>0</v>
      </c>
      <c r="W179" s="4">
        <v>0</v>
      </c>
    </row>
    <row r="180" spans="1:23" x14ac:dyDescent="0.35">
      <c r="A180">
        <v>176</v>
      </c>
      <c r="B180">
        <v>177</v>
      </c>
      <c r="C180">
        <v>146.05905279999999</v>
      </c>
      <c r="D180">
        <v>-17.51698395</v>
      </c>
      <c r="F180" t="str">
        <f>HYPERLINK("D:\Data From Lucan\2024\Johnstone\Frames_for_Analysis\177_20240610_0007_R_0450.jpg","177_20240610_0007_R_0450.jpg")</f>
        <v>177_20240610_0007_R_0450.jpg</v>
      </c>
      <c r="G180">
        <v>2</v>
      </c>
      <c r="I180">
        <f t="shared" si="2"/>
        <v>1</v>
      </c>
      <c r="J180" s="53">
        <v>1</v>
      </c>
      <c r="K180" s="32"/>
      <c r="L180" s="32"/>
      <c r="M180" s="32"/>
      <c r="N180" s="32"/>
      <c r="O180" s="10">
        <v>1</v>
      </c>
      <c r="P180" s="4">
        <v>0</v>
      </c>
      <c r="Q180" s="4">
        <v>1</v>
      </c>
      <c r="R180" s="4">
        <v>0</v>
      </c>
      <c r="S180" s="58">
        <v>0</v>
      </c>
      <c r="T180" s="58">
        <v>0</v>
      </c>
      <c r="U180" s="58">
        <v>0</v>
      </c>
      <c r="V180" s="5">
        <v>0</v>
      </c>
      <c r="W180" s="4">
        <v>0</v>
      </c>
    </row>
    <row r="181" spans="1:23" x14ac:dyDescent="0.35">
      <c r="A181">
        <v>177</v>
      </c>
      <c r="B181">
        <v>178</v>
      </c>
      <c r="C181">
        <v>146.05909689999999</v>
      </c>
      <c r="D181">
        <v>-17.517067319999999</v>
      </c>
      <c r="F181" t="str">
        <f>HYPERLINK("D:\Data From Lucan\2024\Johnstone\Frames_for_Analysis\178_20240610_0007_R_0447.jpg","178_20240610_0007_R_0447.jpg")</f>
        <v>178_20240610_0007_R_0447.jpg</v>
      </c>
      <c r="G181">
        <v>2</v>
      </c>
      <c r="I181">
        <f t="shared" si="2"/>
        <v>1</v>
      </c>
      <c r="J181" s="53">
        <v>1</v>
      </c>
      <c r="K181" s="32"/>
      <c r="L181" s="32"/>
      <c r="M181" s="32"/>
      <c r="N181" s="32"/>
      <c r="O181" s="10">
        <v>2</v>
      </c>
      <c r="P181" s="4">
        <v>1</v>
      </c>
      <c r="Q181" s="4">
        <v>1</v>
      </c>
      <c r="R181" s="4">
        <v>0</v>
      </c>
      <c r="S181" s="58">
        <v>0</v>
      </c>
      <c r="T181" s="58">
        <v>0</v>
      </c>
      <c r="U181" s="58">
        <v>0</v>
      </c>
      <c r="V181" s="5">
        <v>0</v>
      </c>
      <c r="W181" s="4">
        <v>1</v>
      </c>
    </row>
    <row r="182" spans="1:23" x14ac:dyDescent="0.35">
      <c r="A182">
        <v>178</v>
      </c>
      <c r="B182">
        <v>179</v>
      </c>
      <c r="C182">
        <v>146.05913150000001</v>
      </c>
      <c r="D182">
        <v>-17.517154850000001</v>
      </c>
      <c r="F182" t="str">
        <f>HYPERLINK("D:\Data From Lucan\2024\Johnstone\Frames_for_Analysis\179_20240610_0007_R_0443.jpg","179_20240610_0007_R_0443.jpg")</f>
        <v>179_20240610_0007_R_0443.jpg</v>
      </c>
      <c r="G182">
        <v>2</v>
      </c>
      <c r="I182">
        <f t="shared" si="2"/>
        <v>0</v>
      </c>
      <c r="J182" s="53">
        <v>0</v>
      </c>
      <c r="K182" s="32"/>
      <c r="L182" s="32"/>
      <c r="M182" s="32"/>
      <c r="N182" s="32"/>
      <c r="O182" s="10">
        <v>1</v>
      </c>
      <c r="P182" s="4">
        <v>0</v>
      </c>
      <c r="Q182" s="4">
        <v>0</v>
      </c>
      <c r="R182" s="4">
        <v>0</v>
      </c>
      <c r="S182" s="58">
        <v>0</v>
      </c>
      <c r="T182" s="58">
        <v>0</v>
      </c>
      <c r="U182" s="58">
        <v>0</v>
      </c>
      <c r="V182" s="5">
        <v>0</v>
      </c>
      <c r="W182" s="4">
        <v>0</v>
      </c>
    </row>
    <row r="183" spans="1:23" x14ac:dyDescent="0.35">
      <c r="A183">
        <v>179</v>
      </c>
      <c r="B183">
        <v>180</v>
      </c>
      <c r="C183">
        <v>146.05917769999999</v>
      </c>
      <c r="D183">
        <v>-17.517235670000002</v>
      </c>
      <c r="E183">
        <v>50</v>
      </c>
      <c r="F183" t="str">
        <f>HYPERLINK("D:\Data From Lucan\2024\Johnstone\Frames_for_Analysis\180_20240610_0007_R_0439.jpg","180_20240610_0007_R_0439.jpg")</f>
        <v>180_20240610_0007_R_0439.jpg</v>
      </c>
      <c r="G183">
        <v>2</v>
      </c>
      <c r="I183">
        <f t="shared" si="2"/>
        <v>0</v>
      </c>
      <c r="J183" s="53">
        <v>0</v>
      </c>
      <c r="K183" s="32"/>
      <c r="L183" s="32"/>
      <c r="M183" s="32"/>
      <c r="N183" s="32"/>
      <c r="O183" s="10">
        <v>1</v>
      </c>
      <c r="P183" s="4">
        <v>0</v>
      </c>
      <c r="Q183" s="4">
        <v>0</v>
      </c>
      <c r="R183" s="4">
        <v>0</v>
      </c>
      <c r="S183" s="58">
        <v>0</v>
      </c>
      <c r="T183" s="58">
        <v>0</v>
      </c>
      <c r="U183" s="58">
        <v>0</v>
      </c>
      <c r="V183" s="5">
        <v>0</v>
      </c>
      <c r="W183" s="4">
        <v>0</v>
      </c>
    </row>
    <row r="184" spans="1:23" x14ac:dyDescent="0.35">
      <c r="A184">
        <v>180</v>
      </c>
      <c r="B184">
        <v>181</v>
      </c>
      <c r="C184">
        <v>146.05923480000001</v>
      </c>
      <c r="D184">
        <v>-17.517310720000001</v>
      </c>
      <c r="F184" t="str">
        <f>HYPERLINK("D:\Data From Lucan\2024\Johnstone\Frames_for_Analysis\181_20240610_0007_R_0436.jpg","181_20240610_0007_R_0436.jpg")</f>
        <v>181_20240610_0007_R_0436.jpg</v>
      </c>
      <c r="G184">
        <v>2</v>
      </c>
      <c r="I184">
        <f t="shared" si="2"/>
        <v>1</v>
      </c>
      <c r="J184" s="53">
        <v>1</v>
      </c>
      <c r="K184" s="32"/>
      <c r="L184" s="32"/>
      <c r="M184" s="32"/>
      <c r="N184" s="32"/>
      <c r="O184" s="10">
        <v>1</v>
      </c>
      <c r="P184" s="4">
        <v>0</v>
      </c>
      <c r="Q184" s="4">
        <v>0</v>
      </c>
      <c r="R184" s="4">
        <v>0</v>
      </c>
      <c r="S184" s="58">
        <v>0</v>
      </c>
      <c r="T184" s="58">
        <v>0</v>
      </c>
      <c r="U184" s="58">
        <v>0</v>
      </c>
      <c r="V184" s="5">
        <v>0</v>
      </c>
      <c r="W184" s="4">
        <v>0</v>
      </c>
    </row>
    <row r="185" spans="1:23" x14ac:dyDescent="0.35">
      <c r="A185">
        <v>181</v>
      </c>
      <c r="B185">
        <v>182</v>
      </c>
      <c r="C185">
        <v>146.05929190000001</v>
      </c>
      <c r="D185">
        <v>-17.51738576</v>
      </c>
      <c r="F185" t="str">
        <f>HYPERLINK("D:\Data From Lucan\2024\Johnstone\Frames_for_Analysis\182_20240610_0007_R_0433.jpg","182_20240610_0007_R_0433.jpg")</f>
        <v>182_20240610_0007_R_0433.jpg</v>
      </c>
      <c r="G185">
        <v>2</v>
      </c>
      <c r="I185">
        <v>0</v>
      </c>
      <c r="J185" s="53">
        <v>2</v>
      </c>
      <c r="K185" s="32"/>
      <c r="L185" s="32"/>
      <c r="M185" s="32"/>
      <c r="N185" s="32"/>
      <c r="O185" s="10">
        <v>1</v>
      </c>
      <c r="P185" s="4">
        <v>0</v>
      </c>
      <c r="Q185" s="4">
        <v>0</v>
      </c>
      <c r="R185" s="4">
        <v>0</v>
      </c>
      <c r="S185" s="58">
        <v>0</v>
      </c>
      <c r="T185" s="58">
        <v>0</v>
      </c>
      <c r="U185" s="58">
        <v>0</v>
      </c>
      <c r="V185" s="5">
        <v>0</v>
      </c>
      <c r="W185" s="4">
        <v>0</v>
      </c>
    </row>
    <row r="186" spans="1:23" x14ac:dyDescent="0.35">
      <c r="A186">
        <v>182</v>
      </c>
      <c r="B186">
        <v>183</v>
      </c>
      <c r="C186">
        <v>146.059349</v>
      </c>
      <c r="D186">
        <v>-17.517460799999998</v>
      </c>
      <c r="F186" t="str">
        <f>HYPERLINK("D:\Data From Lucan\2024\Johnstone\Frames_for_Analysis\183_20240610_0007_R_0427.jpg","183_20240610_0007_R_0427.jpg")</f>
        <v>183_20240610_0007_R_0427.jpg</v>
      </c>
      <c r="G186">
        <v>2</v>
      </c>
      <c r="I186">
        <f t="shared" si="2"/>
        <v>1</v>
      </c>
      <c r="J186" s="53">
        <v>1</v>
      </c>
      <c r="K186" s="32"/>
      <c r="L186" s="32"/>
      <c r="M186" s="32"/>
      <c r="N186" s="32"/>
      <c r="O186" s="10">
        <v>1</v>
      </c>
      <c r="P186" s="4">
        <v>0</v>
      </c>
      <c r="Q186" s="4">
        <v>0</v>
      </c>
      <c r="R186" s="4">
        <v>0</v>
      </c>
      <c r="S186" s="58">
        <v>0</v>
      </c>
      <c r="T186" s="58">
        <v>0</v>
      </c>
      <c r="U186" s="58">
        <v>0</v>
      </c>
      <c r="V186" s="5">
        <v>0</v>
      </c>
      <c r="W186" s="4">
        <v>0</v>
      </c>
    </row>
    <row r="187" spans="1:23" x14ac:dyDescent="0.35">
      <c r="A187">
        <v>183</v>
      </c>
      <c r="B187">
        <v>184</v>
      </c>
      <c r="C187">
        <v>146.05942250000001</v>
      </c>
      <c r="D187">
        <v>-17.517513000000001</v>
      </c>
      <c r="F187" t="str">
        <f>HYPERLINK("D:\Data From Lucan\2024\Johnstone\Frames_for_Analysis\184_20240610_0007_R_0423.jpg","184_20240610_0007_R_0423.jpg")</f>
        <v>184_20240610_0007_R_0423.jpg</v>
      </c>
      <c r="G187">
        <v>2</v>
      </c>
      <c r="I187">
        <f t="shared" si="2"/>
        <v>0</v>
      </c>
      <c r="J187" s="53">
        <v>0</v>
      </c>
      <c r="K187" s="32"/>
      <c r="L187" s="32"/>
      <c r="M187" s="32"/>
      <c r="N187" s="32"/>
      <c r="O187" s="10">
        <v>1</v>
      </c>
      <c r="P187" s="4">
        <v>0</v>
      </c>
      <c r="Q187" s="4">
        <v>0</v>
      </c>
      <c r="R187" s="4">
        <v>0</v>
      </c>
      <c r="S187" s="58">
        <v>0</v>
      </c>
      <c r="T187" s="58">
        <v>0</v>
      </c>
      <c r="U187" s="58">
        <v>0</v>
      </c>
      <c r="V187" s="5">
        <v>0</v>
      </c>
      <c r="W187" s="4">
        <v>0</v>
      </c>
    </row>
    <row r="188" spans="1:23" x14ac:dyDescent="0.35">
      <c r="A188">
        <v>184</v>
      </c>
      <c r="B188">
        <v>185</v>
      </c>
      <c r="C188">
        <v>146.05951200000001</v>
      </c>
      <c r="D188">
        <v>-17.517542850000002</v>
      </c>
      <c r="E188">
        <v>50</v>
      </c>
      <c r="F188" t="str">
        <f>HYPERLINK("D:\Data From Lucan\2024\Johnstone\Frames_for_Analysis\185_20240610_0007_R_0419.jpg","185_20240610_0007_R_0419.jpg")</f>
        <v>185_20240610_0007_R_0419.jpg</v>
      </c>
      <c r="G188">
        <v>2</v>
      </c>
      <c r="I188">
        <f t="shared" si="2"/>
        <v>1</v>
      </c>
      <c r="J188" s="53">
        <v>1</v>
      </c>
      <c r="K188" s="32"/>
      <c r="L188" s="32"/>
      <c r="M188" s="32"/>
      <c r="N188" s="32"/>
      <c r="O188" s="10">
        <v>1</v>
      </c>
      <c r="P188" s="4">
        <v>0</v>
      </c>
      <c r="Q188" s="4">
        <v>0</v>
      </c>
      <c r="R188" s="4">
        <v>0</v>
      </c>
      <c r="S188" s="58">
        <v>0</v>
      </c>
      <c r="T188" s="58">
        <v>0</v>
      </c>
      <c r="U188" s="58">
        <v>0</v>
      </c>
      <c r="V188" s="5">
        <v>0</v>
      </c>
      <c r="W188" s="4">
        <v>0</v>
      </c>
    </row>
    <row r="189" spans="1:23" x14ac:dyDescent="0.35">
      <c r="A189">
        <v>185</v>
      </c>
      <c r="B189">
        <v>186</v>
      </c>
      <c r="C189">
        <v>146.0596037</v>
      </c>
      <c r="D189">
        <v>-17.517564180000001</v>
      </c>
      <c r="F189" t="str">
        <f>HYPERLINK("D:\Data From Lucan\2024\Johnstone\Frames_for_Analysis\186_20240610_0007_R_0416.jpg","186_20240610_0007_R_0416.jpg")</f>
        <v>186_20240610_0007_R_0416.jpg</v>
      </c>
      <c r="G189">
        <v>2</v>
      </c>
      <c r="I189">
        <v>0</v>
      </c>
      <c r="J189" s="53">
        <v>2</v>
      </c>
      <c r="K189" s="32"/>
      <c r="L189" s="32"/>
      <c r="M189" s="32"/>
      <c r="N189" s="32"/>
      <c r="O189" s="10">
        <v>1</v>
      </c>
      <c r="P189" s="4">
        <v>0</v>
      </c>
      <c r="Q189" s="4">
        <v>0</v>
      </c>
      <c r="R189" s="4">
        <v>0</v>
      </c>
      <c r="S189" s="58">
        <v>0</v>
      </c>
      <c r="T189" s="58">
        <v>0</v>
      </c>
      <c r="U189" s="58">
        <v>0</v>
      </c>
      <c r="V189" s="5">
        <v>0</v>
      </c>
      <c r="W189" s="4">
        <v>0</v>
      </c>
    </row>
    <row r="190" spans="1:23" x14ac:dyDescent="0.35">
      <c r="A190">
        <v>186</v>
      </c>
      <c r="B190">
        <v>187</v>
      </c>
      <c r="C190">
        <v>146.0596961</v>
      </c>
      <c r="D190">
        <v>-17.51758298</v>
      </c>
      <c r="F190" t="str">
        <f>HYPERLINK("D:\Data From Lucan\2024\Johnstone\Frames_for_Analysis\187_20240610_0007_R_0415.jpg","187_20240610_0007_R_0415.jpg")</f>
        <v>187_20240610_0007_R_0415.jpg</v>
      </c>
      <c r="G190">
        <v>2</v>
      </c>
      <c r="I190">
        <v>0</v>
      </c>
      <c r="J190" s="53">
        <v>2</v>
      </c>
      <c r="K190" s="32"/>
      <c r="L190" s="32"/>
      <c r="M190" s="32"/>
      <c r="N190" s="32"/>
      <c r="O190" s="10">
        <v>1</v>
      </c>
      <c r="P190" s="4">
        <v>0</v>
      </c>
      <c r="Q190" s="4">
        <v>0</v>
      </c>
      <c r="R190" s="4">
        <v>0</v>
      </c>
      <c r="S190" s="58">
        <v>0</v>
      </c>
      <c r="T190" s="58">
        <v>0</v>
      </c>
      <c r="U190" s="58">
        <v>0</v>
      </c>
      <c r="V190" s="5">
        <v>0</v>
      </c>
      <c r="W190" s="4">
        <v>0</v>
      </c>
    </row>
    <row r="191" spans="1:23" x14ac:dyDescent="0.35">
      <c r="A191">
        <v>187</v>
      </c>
      <c r="B191">
        <v>188</v>
      </c>
      <c r="C191">
        <v>146.0597885</v>
      </c>
      <c r="D191">
        <v>-17.51760178</v>
      </c>
      <c r="F191" t="str">
        <f>HYPERLINK("D:\Data From Lucan\2024\Johnstone\Frames_for_Analysis\188_20240610_0007_R_0413.jpg","188_20240610_0007_R_0413.jpg")</f>
        <v>188_20240610_0007_R_0413.jpg</v>
      </c>
      <c r="G191">
        <v>2</v>
      </c>
      <c r="I191">
        <v>0</v>
      </c>
      <c r="J191" s="53">
        <v>2</v>
      </c>
      <c r="K191" s="32"/>
      <c r="L191" s="32"/>
      <c r="M191" s="32"/>
      <c r="N191" s="32"/>
      <c r="O191" s="10">
        <v>1</v>
      </c>
      <c r="P191" s="4">
        <v>0</v>
      </c>
      <c r="Q191" s="4">
        <v>0</v>
      </c>
      <c r="R191" s="4">
        <v>0</v>
      </c>
      <c r="S191" s="58">
        <v>0</v>
      </c>
      <c r="T191" s="58">
        <v>0</v>
      </c>
      <c r="U191" s="58">
        <v>0</v>
      </c>
      <c r="V191" s="5">
        <v>0</v>
      </c>
      <c r="W191" s="4">
        <v>0</v>
      </c>
    </row>
    <row r="192" spans="1:23" x14ac:dyDescent="0.35">
      <c r="A192">
        <v>188</v>
      </c>
      <c r="B192">
        <v>189</v>
      </c>
      <c r="C192">
        <v>146.05987830000001</v>
      </c>
      <c r="D192">
        <v>-17.517628699999999</v>
      </c>
      <c r="F192" t="str">
        <f>HYPERLINK("D:\Data From Lucan\2024\Johnstone\Frames_for_Analysis\189_20240610_0007_R_0410.jpg","189_20240610_0007_R_0410.jpg")</f>
        <v>189_20240610_0007_R_0410.jpg</v>
      </c>
      <c r="G192">
        <v>2</v>
      </c>
      <c r="I192">
        <f t="shared" si="2"/>
        <v>1</v>
      </c>
      <c r="J192" s="53">
        <v>1</v>
      </c>
      <c r="K192" s="32"/>
      <c r="L192" s="32"/>
      <c r="M192" s="32"/>
      <c r="N192" s="32"/>
      <c r="O192" s="10">
        <v>1</v>
      </c>
      <c r="P192" s="4">
        <v>0</v>
      </c>
      <c r="Q192" s="4">
        <v>0</v>
      </c>
      <c r="R192" s="4">
        <v>0</v>
      </c>
      <c r="S192" s="58">
        <v>0</v>
      </c>
      <c r="T192" s="58">
        <v>0</v>
      </c>
      <c r="U192" s="58">
        <v>0</v>
      </c>
      <c r="V192" s="5">
        <v>0</v>
      </c>
      <c r="W192" s="4">
        <v>0</v>
      </c>
    </row>
    <row r="193" spans="1:23" x14ac:dyDescent="0.35">
      <c r="A193">
        <v>189</v>
      </c>
      <c r="B193">
        <v>190</v>
      </c>
      <c r="C193">
        <v>146.05996440000001</v>
      </c>
      <c r="D193">
        <v>-17.517667280000001</v>
      </c>
      <c r="E193">
        <v>50</v>
      </c>
      <c r="F193" t="str">
        <f>HYPERLINK("D:\Data From Lucan\2024\Johnstone\Frames_for_Analysis\190_20240610_0007_R_0406.jpg","190_20240610_0007_R_0406.jpg")</f>
        <v>190_20240610_0007_R_0406.jpg</v>
      </c>
      <c r="G193">
        <v>2</v>
      </c>
      <c r="I193">
        <f t="shared" si="2"/>
        <v>1</v>
      </c>
      <c r="J193" s="53">
        <v>1</v>
      </c>
      <c r="K193" s="32"/>
      <c r="L193" s="32"/>
      <c r="M193" s="32"/>
      <c r="N193" s="32"/>
      <c r="O193" s="10">
        <v>1</v>
      </c>
      <c r="P193" s="4">
        <v>0</v>
      </c>
      <c r="Q193" s="4">
        <v>0</v>
      </c>
      <c r="R193" s="4">
        <v>0</v>
      </c>
      <c r="S193" s="58">
        <v>0</v>
      </c>
      <c r="T193" s="58">
        <v>0</v>
      </c>
      <c r="U193" s="58">
        <v>0</v>
      </c>
      <c r="V193" s="5">
        <v>0</v>
      </c>
      <c r="W193" s="4">
        <v>0</v>
      </c>
    </row>
    <row r="194" spans="1:23" x14ac:dyDescent="0.35">
      <c r="A194">
        <v>190</v>
      </c>
      <c r="B194">
        <v>191</v>
      </c>
      <c r="C194">
        <v>146.06005039999999</v>
      </c>
      <c r="D194">
        <v>-17.51770587</v>
      </c>
      <c r="F194" t="str">
        <f>HYPERLINK("D:\Data From Lucan\2024\Johnstone\Frames_for_Analysis\191_20240610_0007_R_0405.jpg","191_20240610_0007_R_0405.jpg")</f>
        <v>191_20240610_0007_R_0405.jpg</v>
      </c>
      <c r="G194">
        <v>2</v>
      </c>
      <c r="I194">
        <f t="shared" si="2"/>
        <v>1</v>
      </c>
      <c r="J194" s="53">
        <v>1</v>
      </c>
      <c r="K194" s="32"/>
      <c r="L194" s="32"/>
      <c r="M194" s="32"/>
      <c r="N194" s="32"/>
      <c r="O194" s="10">
        <v>1</v>
      </c>
      <c r="P194" s="4">
        <v>0</v>
      </c>
      <c r="Q194" s="4">
        <v>0</v>
      </c>
      <c r="R194" s="4">
        <v>0</v>
      </c>
      <c r="S194" s="58">
        <v>0</v>
      </c>
      <c r="T194" s="58">
        <v>0</v>
      </c>
      <c r="U194" s="58">
        <v>0</v>
      </c>
      <c r="V194" s="5">
        <v>0</v>
      </c>
      <c r="W194" s="4">
        <v>0</v>
      </c>
    </row>
    <row r="195" spans="1:23" x14ac:dyDescent="0.35">
      <c r="A195">
        <v>191</v>
      </c>
      <c r="B195">
        <v>192</v>
      </c>
      <c r="C195">
        <v>146.0601336</v>
      </c>
      <c r="D195">
        <v>-17.517749569999999</v>
      </c>
      <c r="F195" t="str">
        <f>HYPERLINK("D:\Data From Lucan\2024\Johnstone\Frames_for_Analysis\192_20240610_0007_R_0400.jpg","192_20240610_0007_R_0400.jpg")</f>
        <v>192_20240610_0007_R_0400.jpg</v>
      </c>
      <c r="G195">
        <v>2</v>
      </c>
      <c r="I195">
        <f t="shared" si="2"/>
        <v>1</v>
      </c>
      <c r="J195" s="53">
        <v>1</v>
      </c>
      <c r="K195" s="32"/>
      <c r="L195" s="32"/>
      <c r="M195" s="32"/>
      <c r="N195" s="32"/>
      <c r="O195" s="10">
        <v>1</v>
      </c>
      <c r="P195" s="4">
        <v>0</v>
      </c>
      <c r="Q195" s="4">
        <v>0</v>
      </c>
      <c r="R195" s="4">
        <v>0</v>
      </c>
      <c r="S195" s="58">
        <v>0</v>
      </c>
      <c r="T195" s="58">
        <v>0</v>
      </c>
      <c r="U195" s="58">
        <v>0</v>
      </c>
      <c r="V195" s="5">
        <v>0</v>
      </c>
      <c r="W195" s="4">
        <v>0</v>
      </c>
    </row>
    <row r="196" spans="1:23" x14ac:dyDescent="0.35">
      <c r="A196">
        <v>192</v>
      </c>
      <c r="B196">
        <v>193</v>
      </c>
      <c r="C196">
        <v>146.0602117</v>
      </c>
      <c r="D196">
        <v>-17.517802469999999</v>
      </c>
      <c r="F196" t="str">
        <f>HYPERLINK("D:\Data From Lucan\2024\Johnstone\Frames_for_Analysis\193_20240610_0007_R_0396.jpg","193_20240610_0007_R_0396.jpg")</f>
        <v>193_20240610_0007_R_0396.jpg</v>
      </c>
      <c r="G196">
        <v>2</v>
      </c>
      <c r="I196">
        <v>0</v>
      </c>
      <c r="J196" s="53">
        <v>2</v>
      </c>
      <c r="K196" s="32"/>
      <c r="L196" s="32"/>
      <c r="M196" s="32"/>
      <c r="N196" s="32"/>
      <c r="O196" s="10">
        <v>1</v>
      </c>
      <c r="P196" s="4">
        <v>0</v>
      </c>
      <c r="Q196" s="4">
        <v>0</v>
      </c>
      <c r="R196" s="4">
        <v>0</v>
      </c>
      <c r="S196" s="58">
        <v>0</v>
      </c>
      <c r="T196" s="58">
        <v>0</v>
      </c>
      <c r="U196" s="58">
        <v>0</v>
      </c>
      <c r="V196" s="5">
        <v>0</v>
      </c>
      <c r="W196" s="4">
        <v>0</v>
      </c>
    </row>
    <row r="197" spans="1:23" x14ac:dyDescent="0.35">
      <c r="A197">
        <v>193</v>
      </c>
      <c r="B197">
        <v>194</v>
      </c>
      <c r="C197">
        <v>146.0602897</v>
      </c>
      <c r="D197">
        <v>-17.51785538</v>
      </c>
      <c r="F197" t="str">
        <f>HYPERLINK("D:\Data From Lucan\2024\Johnstone\Frames_for_Analysis\194_20240610_0007_R_0393.jpg","194_20240610_0007_R_0393.jpg")</f>
        <v>194_20240610_0007_R_0393.jpg</v>
      </c>
      <c r="G197">
        <v>2</v>
      </c>
      <c r="I197">
        <v>0</v>
      </c>
      <c r="J197" s="53">
        <v>2</v>
      </c>
      <c r="K197" s="32"/>
      <c r="L197" s="32"/>
      <c r="M197" s="32"/>
      <c r="N197" s="32"/>
      <c r="O197" s="10">
        <v>1</v>
      </c>
      <c r="P197" s="4">
        <v>0</v>
      </c>
      <c r="Q197" s="4">
        <v>0</v>
      </c>
      <c r="R197" s="4">
        <v>0</v>
      </c>
      <c r="S197" s="58">
        <v>0</v>
      </c>
      <c r="T197" s="58">
        <v>0</v>
      </c>
      <c r="U197" s="58">
        <v>0</v>
      </c>
      <c r="V197" s="5">
        <v>0</v>
      </c>
      <c r="W197" s="4">
        <v>0</v>
      </c>
    </row>
    <row r="198" spans="1:23" x14ac:dyDescent="0.35">
      <c r="A198">
        <v>194</v>
      </c>
      <c r="B198">
        <v>195</v>
      </c>
      <c r="C198">
        <v>146.06036779999999</v>
      </c>
      <c r="D198">
        <v>-17.517908290000001</v>
      </c>
      <c r="E198">
        <v>50</v>
      </c>
      <c r="F198" t="str">
        <f>HYPERLINK("D:\Data From Lucan\2024\Johnstone\Frames_for_Analysis\195_20240610_0007_R_0390.jpg","195_20240610_0007_R_0390.jpg")</f>
        <v>195_20240610_0007_R_0390.jpg</v>
      </c>
      <c r="G198">
        <v>2</v>
      </c>
      <c r="I198">
        <f t="shared" ref="I197:I260" si="3">IF(H198="X","X",IF(J198="NA","X",IF(J198="","X",J198)))</f>
        <v>1</v>
      </c>
      <c r="J198" s="53">
        <v>1</v>
      </c>
      <c r="K198" s="32"/>
      <c r="L198" s="32"/>
      <c r="M198" s="32"/>
      <c r="N198" s="32"/>
      <c r="O198" s="10">
        <v>1</v>
      </c>
      <c r="P198" s="4">
        <v>0</v>
      </c>
      <c r="Q198" s="4">
        <v>0</v>
      </c>
      <c r="R198" s="4">
        <v>0</v>
      </c>
      <c r="S198" s="58">
        <v>0</v>
      </c>
      <c r="T198" s="58">
        <v>0</v>
      </c>
      <c r="U198" s="58">
        <v>0</v>
      </c>
      <c r="V198" s="5">
        <v>0</v>
      </c>
      <c r="W198" s="4">
        <v>0</v>
      </c>
    </row>
    <row r="199" spans="1:23" x14ac:dyDescent="0.35">
      <c r="A199">
        <v>195</v>
      </c>
      <c r="B199">
        <v>196</v>
      </c>
      <c r="C199">
        <v>146.06043310000001</v>
      </c>
      <c r="D199">
        <v>-17.517976239999999</v>
      </c>
      <c r="F199" t="str">
        <f>HYPERLINK("D:\Data From Lucan\2024\Johnstone\Frames_for_Analysis\196_20240610_0007_R_0386.jpg","196_20240610_0007_R_0386.jpg")</f>
        <v>196_20240610_0007_R_0386.jpg</v>
      </c>
      <c r="G199">
        <v>2</v>
      </c>
      <c r="I199">
        <f t="shared" si="3"/>
        <v>1</v>
      </c>
      <c r="J199" s="53">
        <v>1</v>
      </c>
      <c r="K199" s="32"/>
      <c r="L199" s="32"/>
      <c r="M199" s="32"/>
      <c r="N199" s="32"/>
      <c r="O199" s="10">
        <v>1</v>
      </c>
      <c r="P199" s="4">
        <v>0</v>
      </c>
      <c r="Q199" s="4">
        <v>0</v>
      </c>
      <c r="R199" s="4">
        <v>0</v>
      </c>
      <c r="S199" s="58">
        <v>0</v>
      </c>
      <c r="T199" s="58">
        <v>0</v>
      </c>
      <c r="U199" s="58">
        <v>0</v>
      </c>
      <c r="V199" s="5">
        <v>0</v>
      </c>
      <c r="W199" s="4">
        <v>0</v>
      </c>
    </row>
    <row r="200" spans="1:23" x14ac:dyDescent="0.35">
      <c r="A200">
        <v>196</v>
      </c>
      <c r="B200">
        <v>197</v>
      </c>
      <c r="C200">
        <v>146.060498</v>
      </c>
      <c r="D200">
        <v>-17.51804469</v>
      </c>
      <c r="F200" t="str">
        <f>HYPERLINK("D:\Data From Lucan\2024\Johnstone\Frames_for_Analysis\197_20240610_0007_R_0382.jpg","197_20240610_0007_R_0382.jpg")</f>
        <v>197_20240610_0007_R_0382.jpg</v>
      </c>
      <c r="G200">
        <v>2</v>
      </c>
      <c r="I200">
        <f t="shared" si="3"/>
        <v>1</v>
      </c>
      <c r="J200" s="53">
        <v>1</v>
      </c>
      <c r="K200" s="32"/>
      <c r="L200" s="32"/>
      <c r="M200" s="32"/>
      <c r="N200" s="32"/>
      <c r="O200" s="10">
        <v>1</v>
      </c>
      <c r="P200" s="4">
        <v>0</v>
      </c>
      <c r="Q200" s="4">
        <v>0</v>
      </c>
      <c r="R200" s="4">
        <v>0</v>
      </c>
      <c r="S200" s="58">
        <v>0</v>
      </c>
      <c r="T200" s="58">
        <v>0</v>
      </c>
      <c r="U200" s="58">
        <v>0</v>
      </c>
      <c r="V200" s="5">
        <v>0</v>
      </c>
      <c r="W200" s="4">
        <v>0</v>
      </c>
    </row>
    <row r="201" spans="1:23" x14ac:dyDescent="0.35">
      <c r="A201">
        <v>197</v>
      </c>
      <c r="B201">
        <v>198</v>
      </c>
      <c r="C201">
        <v>146.06056280000001</v>
      </c>
      <c r="D201">
        <v>-17.518113140000001</v>
      </c>
      <c r="F201" t="str">
        <f>HYPERLINK("D:\Data From Lucan\2024\Johnstone\Frames_for_Analysis\198_20240610_0007_R_0379.jpg","198_20240610_0007_R_0379.jpg")</f>
        <v>198_20240610_0007_R_0379.jpg</v>
      </c>
      <c r="G201">
        <v>2</v>
      </c>
      <c r="I201">
        <f t="shared" si="3"/>
        <v>1</v>
      </c>
      <c r="J201" s="53">
        <v>1</v>
      </c>
      <c r="K201" s="32"/>
      <c r="L201" s="32"/>
      <c r="M201" s="32"/>
      <c r="N201" s="32"/>
      <c r="O201" s="10">
        <v>1</v>
      </c>
      <c r="P201" s="4">
        <v>0</v>
      </c>
      <c r="Q201" s="4">
        <v>0</v>
      </c>
      <c r="R201" s="4">
        <v>0</v>
      </c>
      <c r="S201" s="58">
        <v>0</v>
      </c>
      <c r="T201" s="58">
        <v>0</v>
      </c>
      <c r="U201" s="58">
        <v>0</v>
      </c>
      <c r="V201" s="5">
        <v>0</v>
      </c>
      <c r="W201" s="4">
        <v>0</v>
      </c>
    </row>
    <row r="202" spans="1:23" x14ac:dyDescent="0.35">
      <c r="A202">
        <v>198</v>
      </c>
      <c r="B202">
        <v>199</v>
      </c>
      <c r="C202">
        <v>146.06062729999999</v>
      </c>
      <c r="D202">
        <v>-17.518181940000002</v>
      </c>
      <c r="F202" t="str">
        <f>HYPERLINK("D:\Data From Lucan\2024\Johnstone\Frames_for_Analysis\199_20240610_0007_R_0377.jpg","199_20240610_0007_R_0377.jpg")</f>
        <v>199_20240610_0007_R_0377.jpg</v>
      </c>
      <c r="G202">
        <v>2</v>
      </c>
      <c r="I202">
        <f t="shared" si="3"/>
        <v>1</v>
      </c>
      <c r="J202" s="53">
        <v>1</v>
      </c>
      <c r="K202" s="32"/>
      <c r="L202" s="32"/>
      <c r="M202" s="32"/>
      <c r="N202" s="32"/>
      <c r="O202" s="10">
        <v>1</v>
      </c>
      <c r="P202" s="4">
        <v>0</v>
      </c>
      <c r="Q202" s="4">
        <v>0</v>
      </c>
      <c r="R202" s="4">
        <v>0</v>
      </c>
      <c r="S202" s="58">
        <v>0</v>
      </c>
      <c r="T202" s="58">
        <v>0</v>
      </c>
      <c r="U202" s="58">
        <v>0</v>
      </c>
      <c r="V202" s="5">
        <v>0</v>
      </c>
      <c r="W202" s="4">
        <v>0</v>
      </c>
    </row>
    <row r="203" spans="1:23" x14ac:dyDescent="0.35">
      <c r="A203">
        <v>199</v>
      </c>
      <c r="B203">
        <v>200</v>
      </c>
      <c r="C203">
        <v>146.0606827</v>
      </c>
      <c r="D203">
        <v>-17.518258230000001</v>
      </c>
      <c r="E203">
        <v>50</v>
      </c>
      <c r="F203" t="str">
        <f>HYPERLINK("D:\Data From Lucan\2024\Johnstone\Frames_for_Analysis\200_20240610_0007_R_0373.jpg","200_20240610_0007_R_0373.jpg")</f>
        <v>200_20240610_0007_R_0373.jpg</v>
      </c>
      <c r="G203">
        <v>2</v>
      </c>
      <c r="I203">
        <f t="shared" si="3"/>
        <v>1</v>
      </c>
      <c r="J203" s="53">
        <v>1</v>
      </c>
      <c r="K203" s="32"/>
      <c r="L203" s="32"/>
      <c r="M203" s="32"/>
      <c r="N203" s="32"/>
      <c r="O203" s="10">
        <v>1</v>
      </c>
      <c r="P203" s="4">
        <v>0</v>
      </c>
      <c r="Q203" s="4">
        <v>0</v>
      </c>
      <c r="R203" s="4">
        <v>0</v>
      </c>
      <c r="S203" s="58">
        <v>0</v>
      </c>
      <c r="T203" s="58">
        <v>0</v>
      </c>
      <c r="U203" s="58">
        <v>0</v>
      </c>
      <c r="V203" s="5">
        <v>0</v>
      </c>
      <c r="W203" s="4">
        <v>0</v>
      </c>
    </row>
    <row r="204" spans="1:23" x14ac:dyDescent="0.35">
      <c r="A204">
        <v>200</v>
      </c>
      <c r="B204">
        <v>201</v>
      </c>
      <c r="C204">
        <v>146.06073810000001</v>
      </c>
      <c r="D204">
        <v>-17.51833452</v>
      </c>
      <c r="F204" t="str">
        <f>HYPERLINK("D:\Data From Lucan\2024\Johnstone\Frames_for_Analysis\201_20240610_0007_R_0370.jpg","201_20240610_0007_R_0370.jpg")</f>
        <v>201_20240610_0007_R_0370.jpg</v>
      </c>
      <c r="G204">
        <v>2</v>
      </c>
      <c r="I204">
        <f t="shared" si="3"/>
        <v>1</v>
      </c>
      <c r="J204" s="53">
        <v>1</v>
      </c>
      <c r="K204" s="32"/>
      <c r="L204" s="32"/>
      <c r="M204" s="32"/>
      <c r="N204" s="32"/>
      <c r="O204" s="10">
        <v>1</v>
      </c>
      <c r="P204" s="4">
        <v>0</v>
      </c>
      <c r="Q204" s="4">
        <v>0</v>
      </c>
      <c r="R204" s="4">
        <v>0</v>
      </c>
      <c r="S204" s="58">
        <v>0</v>
      </c>
      <c r="T204" s="58">
        <v>0</v>
      </c>
      <c r="U204" s="58">
        <v>0</v>
      </c>
      <c r="V204" s="5">
        <v>0</v>
      </c>
      <c r="W204" s="4">
        <v>0</v>
      </c>
    </row>
    <row r="205" spans="1:23" x14ac:dyDescent="0.35">
      <c r="A205">
        <v>201</v>
      </c>
      <c r="B205">
        <v>202</v>
      </c>
      <c r="C205">
        <v>146.06081800000001</v>
      </c>
      <c r="D205">
        <v>-17.518379639999999</v>
      </c>
      <c r="F205" t="str">
        <f>HYPERLINK("D:\Data From Lucan\2024\Johnstone\Frames_for_Analysis\202_20240610_0007_R_0367.jpg","202_20240610_0007_R_0367.jpg")</f>
        <v>202_20240610_0007_R_0367.jpg</v>
      </c>
      <c r="G205">
        <v>2</v>
      </c>
      <c r="I205">
        <f t="shared" si="3"/>
        <v>1</v>
      </c>
      <c r="J205" s="53">
        <v>1</v>
      </c>
      <c r="K205" s="32"/>
      <c r="L205" s="32"/>
      <c r="M205" s="32"/>
      <c r="N205" s="32"/>
      <c r="O205" s="10">
        <v>1</v>
      </c>
      <c r="P205" s="4">
        <v>0</v>
      </c>
      <c r="Q205" s="4">
        <v>0</v>
      </c>
      <c r="R205" s="4">
        <v>0</v>
      </c>
      <c r="S205" s="58">
        <v>0</v>
      </c>
      <c r="T205" s="58">
        <v>0</v>
      </c>
      <c r="U205" s="58">
        <v>0</v>
      </c>
      <c r="V205" s="5">
        <v>0</v>
      </c>
      <c r="W205" s="4">
        <v>0</v>
      </c>
    </row>
    <row r="206" spans="1:23" x14ac:dyDescent="0.35">
      <c r="A206">
        <v>202</v>
      </c>
      <c r="B206">
        <v>203</v>
      </c>
      <c r="C206">
        <v>146.0609054</v>
      </c>
      <c r="D206">
        <v>-17.518415059999999</v>
      </c>
      <c r="F206" t="str">
        <f>HYPERLINK("D:\Data From Lucan\2024\Johnstone\Frames_for_Analysis\203_20240610_0007_R_0364.jpg","203_20240610_0007_R_0364.jpg")</f>
        <v>203_20240610_0007_R_0364.jpg</v>
      </c>
      <c r="G206">
        <v>2</v>
      </c>
      <c r="I206">
        <f t="shared" si="3"/>
        <v>1</v>
      </c>
      <c r="J206" s="53">
        <v>1</v>
      </c>
      <c r="K206" s="32"/>
      <c r="L206" s="32"/>
      <c r="M206" s="32"/>
      <c r="N206" s="32"/>
      <c r="O206" s="10" t="s">
        <v>3958</v>
      </c>
      <c r="P206" s="4">
        <v>0</v>
      </c>
      <c r="Q206" s="4">
        <v>0</v>
      </c>
      <c r="R206" s="4">
        <v>0</v>
      </c>
      <c r="S206" s="58">
        <v>0</v>
      </c>
      <c r="T206" s="58">
        <v>0</v>
      </c>
      <c r="U206" s="58">
        <v>0</v>
      </c>
      <c r="V206" s="5">
        <v>0</v>
      </c>
      <c r="W206" s="4">
        <v>0</v>
      </c>
    </row>
    <row r="207" spans="1:23" x14ac:dyDescent="0.35">
      <c r="A207">
        <v>203</v>
      </c>
      <c r="B207">
        <v>204</v>
      </c>
      <c r="C207">
        <v>146.06099280000001</v>
      </c>
      <c r="D207">
        <v>-17.518450479999998</v>
      </c>
      <c r="F207" t="str">
        <f>HYPERLINK("D:\Data From Lucan\2024\Johnstone\Frames_for_Analysis\204_20240610_0007_R_0363.jpg","204_20240610_0007_R_0363.jpg")</f>
        <v>204_20240610_0007_R_0363.jpg</v>
      </c>
      <c r="G207">
        <v>2</v>
      </c>
      <c r="I207">
        <f t="shared" si="3"/>
        <v>1</v>
      </c>
      <c r="J207" s="53">
        <v>1</v>
      </c>
      <c r="K207" s="32"/>
      <c r="L207" s="32"/>
      <c r="M207" s="32"/>
      <c r="N207" s="32"/>
      <c r="O207" s="10">
        <v>1</v>
      </c>
      <c r="P207" s="4">
        <v>0</v>
      </c>
      <c r="Q207" s="4">
        <v>0</v>
      </c>
      <c r="R207" s="4">
        <v>0</v>
      </c>
      <c r="S207" s="58">
        <v>0</v>
      </c>
      <c r="T207" s="58">
        <v>0</v>
      </c>
      <c r="U207" s="58">
        <v>0</v>
      </c>
      <c r="V207" s="5">
        <v>0</v>
      </c>
      <c r="W207" s="4">
        <v>0</v>
      </c>
    </row>
    <row r="208" spans="1:23" x14ac:dyDescent="0.35">
      <c r="A208">
        <v>204</v>
      </c>
      <c r="B208">
        <v>205</v>
      </c>
      <c r="C208">
        <v>146.06107309999999</v>
      </c>
      <c r="D208">
        <v>-17.51849459</v>
      </c>
      <c r="E208">
        <v>50</v>
      </c>
      <c r="F208" t="str">
        <f>HYPERLINK("D:\Data From Lucan\2024\Johnstone\Frames_for_Analysis\205_20240610_0007_R_0360.jpg","205_20240610_0007_R_0360.jpg")</f>
        <v>205_20240610_0007_R_0360.jpg</v>
      </c>
      <c r="G208">
        <v>2</v>
      </c>
      <c r="I208">
        <f t="shared" si="3"/>
        <v>1</v>
      </c>
      <c r="J208" s="53">
        <v>1</v>
      </c>
      <c r="K208" s="32"/>
      <c r="L208" s="32"/>
      <c r="M208" s="32"/>
      <c r="N208" s="32"/>
      <c r="O208" s="10">
        <v>1</v>
      </c>
      <c r="P208" s="4">
        <v>0</v>
      </c>
      <c r="Q208" s="4">
        <v>0</v>
      </c>
      <c r="R208" s="4">
        <v>0</v>
      </c>
      <c r="S208" s="58">
        <v>0</v>
      </c>
      <c r="T208" s="58">
        <v>0</v>
      </c>
      <c r="U208" s="58">
        <v>0</v>
      </c>
      <c r="V208" s="5">
        <v>0</v>
      </c>
      <c r="W208" s="4">
        <v>0</v>
      </c>
    </row>
    <row r="209" spans="1:23" x14ac:dyDescent="0.35">
      <c r="A209">
        <v>205</v>
      </c>
      <c r="B209">
        <v>206</v>
      </c>
      <c r="C209">
        <v>146.06112540000001</v>
      </c>
      <c r="D209">
        <v>-17.518573060000001</v>
      </c>
      <c r="F209" t="str">
        <f>HYPERLINK("D:\Data From Lucan\2024\Johnstone\Frames_for_Analysis\206_20240610_0007_R_0359.jpg","206_20240610_0007_R_0359.jpg")</f>
        <v>206_20240610_0007_R_0359.jpg</v>
      </c>
      <c r="G209">
        <v>2</v>
      </c>
      <c r="I209">
        <f t="shared" si="3"/>
        <v>1</v>
      </c>
      <c r="J209" s="53">
        <v>1</v>
      </c>
      <c r="K209" s="32"/>
      <c r="L209" s="32"/>
      <c r="M209" s="32"/>
      <c r="N209" s="32"/>
      <c r="O209" s="10">
        <v>1</v>
      </c>
      <c r="P209" s="4">
        <v>0</v>
      </c>
      <c r="Q209" s="4">
        <v>0</v>
      </c>
      <c r="R209" s="4">
        <v>0</v>
      </c>
      <c r="S209" s="58">
        <v>0</v>
      </c>
      <c r="T209" s="58">
        <v>0</v>
      </c>
      <c r="U209" s="58">
        <v>0</v>
      </c>
      <c r="V209" s="5">
        <v>0</v>
      </c>
      <c r="W209" s="4">
        <v>0</v>
      </c>
    </row>
    <row r="210" spans="1:23" x14ac:dyDescent="0.35">
      <c r="A210">
        <v>206</v>
      </c>
      <c r="B210">
        <v>207</v>
      </c>
      <c r="C210">
        <v>146.0611777</v>
      </c>
      <c r="D210">
        <v>-17.51865154</v>
      </c>
      <c r="F210" t="str">
        <f>HYPERLINK("D:\Data From Lucan\2024\Johnstone\Frames_for_Analysis\207_20240610_0007_R_0357.jpg","207_20240610_0007_R_0357.jpg")</f>
        <v>207_20240610_0007_R_0357.jpg</v>
      </c>
      <c r="G210">
        <v>2</v>
      </c>
      <c r="I210">
        <f t="shared" si="3"/>
        <v>1</v>
      </c>
      <c r="J210" s="53">
        <v>1</v>
      </c>
      <c r="K210" s="32"/>
      <c r="L210" s="32"/>
      <c r="M210" s="32"/>
      <c r="N210" s="32"/>
      <c r="O210" s="10">
        <v>1</v>
      </c>
      <c r="P210" s="4">
        <v>0</v>
      </c>
      <c r="Q210" s="4">
        <v>0</v>
      </c>
      <c r="R210" s="4">
        <v>0</v>
      </c>
      <c r="S210" s="58">
        <v>0</v>
      </c>
      <c r="T210" s="58">
        <v>0</v>
      </c>
      <c r="U210" s="58">
        <v>0</v>
      </c>
      <c r="V210" s="5">
        <v>0</v>
      </c>
      <c r="W210" s="4">
        <v>0</v>
      </c>
    </row>
    <row r="211" spans="1:23" x14ac:dyDescent="0.35">
      <c r="A211">
        <v>207</v>
      </c>
      <c r="B211">
        <v>208</v>
      </c>
      <c r="C211">
        <v>146.0612299</v>
      </c>
      <c r="D211">
        <v>-17.51873002</v>
      </c>
      <c r="F211" t="str">
        <f>HYPERLINK("D:\Data From Lucan\2024\Johnstone\Frames_for_Analysis\208_20240610_0007_R_0354.jpg","208_20240610_0007_R_0354.jpg")</f>
        <v>208_20240610_0007_R_0354.jpg</v>
      </c>
      <c r="G211">
        <v>2</v>
      </c>
      <c r="I211">
        <v>0</v>
      </c>
      <c r="J211" s="53">
        <v>2</v>
      </c>
      <c r="K211" s="32"/>
      <c r="L211" s="32"/>
      <c r="M211" s="32"/>
      <c r="N211" s="32"/>
      <c r="O211" s="10">
        <v>1</v>
      </c>
      <c r="P211" s="4">
        <v>0</v>
      </c>
      <c r="Q211" s="4">
        <v>0</v>
      </c>
      <c r="R211" s="4">
        <v>0</v>
      </c>
      <c r="S211" s="58">
        <v>0</v>
      </c>
      <c r="T211" s="58">
        <v>0</v>
      </c>
      <c r="U211" s="58">
        <v>0</v>
      </c>
      <c r="V211" s="5">
        <v>0</v>
      </c>
      <c r="W211" s="4">
        <v>0</v>
      </c>
    </row>
    <row r="212" spans="1:23" x14ac:dyDescent="0.35">
      <c r="A212">
        <v>208</v>
      </c>
      <c r="B212">
        <v>209</v>
      </c>
      <c r="C212">
        <v>146.0612625</v>
      </c>
      <c r="D212">
        <v>-17.518817689999999</v>
      </c>
      <c r="F212" t="str">
        <f>HYPERLINK("D:\Data From Lucan\2024\Johnstone\Frames_for_Analysis\209_20240610_0007_R_0353.jpg","209_20240610_0007_R_0353.jpg")</f>
        <v>209_20240610_0007_R_0353.jpg</v>
      </c>
      <c r="G212">
        <v>2</v>
      </c>
      <c r="I212">
        <v>0</v>
      </c>
      <c r="J212" s="53">
        <v>2</v>
      </c>
      <c r="K212" s="32"/>
      <c r="L212" s="32"/>
      <c r="M212" s="32"/>
      <c r="N212" s="32"/>
      <c r="O212" s="10">
        <v>1</v>
      </c>
      <c r="P212" s="4">
        <v>0</v>
      </c>
      <c r="Q212" s="4">
        <v>0</v>
      </c>
      <c r="R212" s="4">
        <v>0</v>
      </c>
      <c r="S212" s="58">
        <v>0</v>
      </c>
      <c r="T212" s="58">
        <v>0</v>
      </c>
      <c r="U212" s="58">
        <v>0</v>
      </c>
      <c r="V212" s="5">
        <v>0</v>
      </c>
      <c r="W212" s="4">
        <v>0</v>
      </c>
    </row>
    <row r="213" spans="1:23" x14ac:dyDescent="0.35">
      <c r="A213">
        <v>209</v>
      </c>
      <c r="B213">
        <v>210</v>
      </c>
      <c r="C213">
        <v>146.06128000000001</v>
      </c>
      <c r="D213">
        <v>-17.518909090000001</v>
      </c>
      <c r="E213">
        <v>50</v>
      </c>
      <c r="F213" t="str">
        <f>HYPERLINK("D:\Data From Lucan\2024\Johnstone\Frames_for_Analysis\210_20240610_0007_R_0350.jpg","210_20240610_0007_R_0350.jpg")</f>
        <v>210_20240610_0007_R_0350.jpg</v>
      </c>
      <c r="G213">
        <v>2</v>
      </c>
      <c r="I213">
        <f t="shared" si="3"/>
        <v>1</v>
      </c>
      <c r="J213" s="53">
        <v>1</v>
      </c>
      <c r="K213" s="32"/>
      <c r="L213" s="32"/>
      <c r="M213" s="32"/>
      <c r="N213" s="32"/>
      <c r="O213" s="10">
        <v>1</v>
      </c>
      <c r="P213" s="4">
        <v>0</v>
      </c>
      <c r="Q213" s="4">
        <v>0</v>
      </c>
      <c r="R213" s="4">
        <v>0</v>
      </c>
      <c r="S213" s="58">
        <v>0</v>
      </c>
      <c r="T213" s="58">
        <v>0</v>
      </c>
      <c r="U213" s="58">
        <v>0</v>
      </c>
      <c r="V213" s="5">
        <v>0</v>
      </c>
      <c r="W213" s="4">
        <v>0</v>
      </c>
    </row>
    <row r="214" spans="1:23" x14ac:dyDescent="0.35">
      <c r="A214">
        <v>210</v>
      </c>
      <c r="B214">
        <v>211</v>
      </c>
      <c r="C214">
        <v>146.0612716</v>
      </c>
      <c r="D214">
        <v>-17.51900302</v>
      </c>
      <c r="F214" t="str">
        <f>HYPERLINK("D:\Data From Lucan\2024\Johnstone\Frames_for_Analysis\211_20240610_0007_R_0340.jpg","211_20240610_0007_R_0340.jpg")</f>
        <v>211_20240610_0007_R_0340.jpg</v>
      </c>
      <c r="G214">
        <v>2</v>
      </c>
      <c r="I214">
        <f t="shared" si="3"/>
        <v>0</v>
      </c>
      <c r="J214" s="53">
        <v>0</v>
      </c>
      <c r="K214" s="32"/>
      <c r="L214" s="32"/>
      <c r="M214" s="32"/>
      <c r="N214" s="32"/>
      <c r="O214" s="10">
        <v>1</v>
      </c>
      <c r="P214" s="4">
        <v>0</v>
      </c>
      <c r="Q214" s="4">
        <v>0</v>
      </c>
      <c r="R214" s="4">
        <v>1</v>
      </c>
      <c r="S214" s="58">
        <v>0</v>
      </c>
      <c r="T214" s="58">
        <v>0</v>
      </c>
      <c r="U214" s="58">
        <v>0</v>
      </c>
      <c r="V214" s="5">
        <v>0</v>
      </c>
      <c r="W214" s="4">
        <v>0</v>
      </c>
    </row>
    <row r="215" spans="1:23" x14ac:dyDescent="0.35">
      <c r="A215">
        <v>211</v>
      </c>
      <c r="B215">
        <v>212</v>
      </c>
      <c r="C215">
        <v>146.06127480000001</v>
      </c>
      <c r="D215">
        <v>-17.519096730000001</v>
      </c>
      <c r="F215" t="str">
        <f>HYPERLINK("D:\Data From Lucan\2024\Johnstone\Frames_for_Analysis\212_20240610_0007_R_0337.jpg","212_20240610_0007_R_0337.jpg")</f>
        <v>212_20240610_0007_R_0337.jpg</v>
      </c>
      <c r="G215">
        <v>2</v>
      </c>
      <c r="I215">
        <v>0</v>
      </c>
      <c r="J215" s="53">
        <v>2</v>
      </c>
      <c r="K215" s="32"/>
      <c r="L215" s="32"/>
      <c r="M215" s="32"/>
      <c r="N215" s="32"/>
      <c r="O215" s="10">
        <v>1</v>
      </c>
      <c r="P215" s="4">
        <v>0</v>
      </c>
      <c r="Q215" s="4">
        <v>0</v>
      </c>
      <c r="R215" s="4">
        <v>0</v>
      </c>
      <c r="S215" s="58">
        <v>0</v>
      </c>
      <c r="T215" s="58">
        <v>0</v>
      </c>
      <c r="U215" s="58">
        <v>0</v>
      </c>
      <c r="V215" s="5">
        <v>0</v>
      </c>
      <c r="W215" s="4">
        <v>0</v>
      </c>
    </row>
    <row r="216" spans="1:23" x14ac:dyDescent="0.35">
      <c r="A216">
        <v>212</v>
      </c>
      <c r="B216">
        <v>213</v>
      </c>
      <c r="C216">
        <v>146.0612868</v>
      </c>
      <c r="D216">
        <v>-17.519190269999999</v>
      </c>
      <c r="F216" t="str">
        <f>HYPERLINK("D:\Data From Lucan\2024\Johnstone\Frames_for_Analysis\213_20240610_0007_R_0349.jpg","213_20240610_0007_R_0349.jpg")</f>
        <v>213_20240610_0007_R_0349.jpg</v>
      </c>
      <c r="G216">
        <v>2</v>
      </c>
      <c r="I216">
        <f t="shared" si="3"/>
        <v>1</v>
      </c>
      <c r="J216" s="53">
        <v>1</v>
      </c>
      <c r="K216" s="32"/>
      <c r="L216" s="32"/>
      <c r="M216" s="32"/>
      <c r="N216" s="32"/>
      <c r="O216" s="10">
        <v>1</v>
      </c>
      <c r="P216" s="4">
        <v>0</v>
      </c>
      <c r="Q216" s="4">
        <v>0</v>
      </c>
      <c r="R216" s="4">
        <v>0</v>
      </c>
      <c r="S216" s="58">
        <v>0</v>
      </c>
      <c r="T216" s="58">
        <v>0</v>
      </c>
      <c r="U216" s="58">
        <v>0</v>
      </c>
      <c r="V216" s="5">
        <v>0</v>
      </c>
      <c r="W216" s="4">
        <v>0</v>
      </c>
    </row>
    <row r="217" spans="1:23" x14ac:dyDescent="0.35">
      <c r="A217">
        <v>213</v>
      </c>
      <c r="B217">
        <v>214</v>
      </c>
      <c r="C217">
        <v>146.06129870000001</v>
      </c>
      <c r="D217">
        <v>-17.519283810000001</v>
      </c>
      <c r="F217" t="str">
        <f>HYPERLINK("D:\Data From Lucan\2024\Johnstone\Frames_for_Analysis\214_20240610_0007_R_0331.jpg","214_20240610_0007_R_0331.jpg")</f>
        <v>214_20240610_0007_R_0331.jpg</v>
      </c>
      <c r="G217">
        <v>2</v>
      </c>
      <c r="I217">
        <f t="shared" si="3"/>
        <v>1</v>
      </c>
      <c r="J217" s="53">
        <v>1</v>
      </c>
      <c r="K217" s="32"/>
      <c r="L217" s="32"/>
      <c r="M217" s="32"/>
      <c r="N217" s="32"/>
      <c r="O217" s="10">
        <v>1</v>
      </c>
      <c r="P217" s="4">
        <v>0</v>
      </c>
      <c r="Q217" s="4">
        <v>0</v>
      </c>
      <c r="R217" s="4">
        <v>0</v>
      </c>
      <c r="S217" s="58">
        <v>0</v>
      </c>
      <c r="T217" s="58">
        <v>0</v>
      </c>
      <c r="U217" s="58">
        <v>0</v>
      </c>
      <c r="V217" s="5">
        <v>0</v>
      </c>
      <c r="W217" s="4">
        <v>0</v>
      </c>
    </row>
    <row r="218" spans="1:23" x14ac:dyDescent="0.35">
      <c r="A218">
        <v>214</v>
      </c>
      <c r="B218">
        <v>215</v>
      </c>
      <c r="C218">
        <v>146.06131070000001</v>
      </c>
      <c r="D218">
        <v>-17.519377349999999</v>
      </c>
      <c r="E218">
        <v>50</v>
      </c>
      <c r="F218" t="str">
        <f>HYPERLINK("D:\Data From Lucan\2024\Johnstone\Frames_for_Analysis\215_20240610_0007_R_0327.jpg","215_20240610_0007_R_0327.jpg")</f>
        <v>215_20240610_0007_R_0327.jpg</v>
      </c>
      <c r="G218">
        <v>2</v>
      </c>
      <c r="I218">
        <v>0</v>
      </c>
      <c r="J218" s="53">
        <v>2</v>
      </c>
      <c r="K218" s="32"/>
      <c r="L218" s="32"/>
      <c r="M218" s="32"/>
      <c r="N218" s="32"/>
      <c r="O218" s="10">
        <v>1</v>
      </c>
      <c r="P218" s="4">
        <v>0</v>
      </c>
      <c r="Q218" s="4">
        <v>0</v>
      </c>
      <c r="R218" s="4">
        <v>0</v>
      </c>
      <c r="S218" s="58">
        <v>0</v>
      </c>
      <c r="T218" s="58">
        <v>0</v>
      </c>
      <c r="U218" s="58">
        <v>0</v>
      </c>
      <c r="V218" s="5">
        <v>0</v>
      </c>
      <c r="W218" s="4">
        <v>0</v>
      </c>
    </row>
    <row r="219" spans="1:23" x14ac:dyDescent="0.35">
      <c r="A219">
        <v>215</v>
      </c>
      <c r="B219">
        <v>216</v>
      </c>
      <c r="C219">
        <v>146.06132270000001</v>
      </c>
      <c r="D219">
        <v>-17.519470900000002</v>
      </c>
      <c r="F219" t="str">
        <f>HYPERLINK("D:\Data From Lucan\2024\Johnstone\Frames_for_Analysis\216_20240610_0007_R_0325.jpg","216_20240610_0007_R_0325.jpg")</f>
        <v>216_20240610_0007_R_0325.jpg</v>
      </c>
      <c r="G219">
        <v>2</v>
      </c>
      <c r="I219">
        <f t="shared" si="3"/>
        <v>1</v>
      </c>
      <c r="J219" s="53">
        <v>1</v>
      </c>
      <c r="K219" s="32"/>
      <c r="L219" s="32"/>
      <c r="M219" s="32"/>
      <c r="N219" s="32"/>
      <c r="O219" s="10">
        <v>1</v>
      </c>
      <c r="P219" s="4">
        <v>0</v>
      </c>
      <c r="Q219" s="4">
        <v>0</v>
      </c>
      <c r="R219" s="4">
        <v>0</v>
      </c>
      <c r="S219" s="58">
        <v>0</v>
      </c>
      <c r="T219" s="58">
        <v>0</v>
      </c>
      <c r="U219" s="58">
        <v>0</v>
      </c>
      <c r="V219" s="5">
        <v>0</v>
      </c>
      <c r="W219" s="4">
        <v>0</v>
      </c>
    </row>
    <row r="220" spans="1:23" x14ac:dyDescent="0.35">
      <c r="A220">
        <v>216</v>
      </c>
      <c r="B220">
        <v>217</v>
      </c>
      <c r="C220">
        <v>146.06133460000001</v>
      </c>
      <c r="D220">
        <v>-17.51956444</v>
      </c>
      <c r="F220" t="str">
        <f>HYPERLINK("D:\Data From Lucan\2024\Johnstone\Frames_for_Analysis\217_20240610_0007_R_0319.jpg","217_20240610_0007_R_0319.jpg")</f>
        <v>217_20240610_0007_R_0319.jpg</v>
      </c>
      <c r="G220">
        <v>2</v>
      </c>
      <c r="I220">
        <f t="shared" si="3"/>
        <v>1</v>
      </c>
      <c r="J220" s="53">
        <v>1</v>
      </c>
      <c r="K220" s="32"/>
      <c r="L220" s="32"/>
      <c r="M220" s="32"/>
      <c r="N220" s="32"/>
      <c r="O220" s="10">
        <v>1</v>
      </c>
      <c r="P220" s="4">
        <v>0</v>
      </c>
      <c r="Q220" s="4">
        <v>0</v>
      </c>
      <c r="R220" s="4">
        <v>0</v>
      </c>
      <c r="S220" s="58">
        <v>0</v>
      </c>
      <c r="T220" s="58">
        <v>0</v>
      </c>
      <c r="U220" s="58">
        <v>0</v>
      </c>
      <c r="V220" s="5">
        <v>0</v>
      </c>
      <c r="W220" s="4">
        <v>0</v>
      </c>
    </row>
    <row r="221" spans="1:23" x14ac:dyDescent="0.35">
      <c r="A221">
        <v>217</v>
      </c>
      <c r="B221">
        <v>218</v>
      </c>
      <c r="C221">
        <v>146.06134779999999</v>
      </c>
      <c r="D221">
        <v>-17.519657810000002</v>
      </c>
      <c r="F221" t="str">
        <f>HYPERLINK("D:\Data From Lucan\2024\Johnstone\Frames_for_Analysis\218_20240610_0007_R_0317.jpg","218_20240610_0007_R_0317.jpg")</f>
        <v>218_20240610_0007_R_0317.jpg</v>
      </c>
      <c r="G221">
        <v>2</v>
      </c>
      <c r="I221">
        <f t="shared" si="3"/>
        <v>0</v>
      </c>
      <c r="J221" s="53">
        <v>0</v>
      </c>
      <c r="K221" s="32"/>
      <c r="L221" s="32"/>
      <c r="M221" s="32"/>
      <c r="N221" s="32"/>
      <c r="O221" s="10">
        <v>2</v>
      </c>
      <c r="P221" s="4">
        <v>1</v>
      </c>
      <c r="Q221" s="4">
        <v>1</v>
      </c>
      <c r="R221" s="4">
        <v>2</v>
      </c>
      <c r="S221" s="58">
        <v>0</v>
      </c>
      <c r="T221" s="58">
        <v>0</v>
      </c>
      <c r="U221" s="58">
        <v>0</v>
      </c>
      <c r="V221" s="5">
        <v>0</v>
      </c>
      <c r="W221" s="4">
        <v>2</v>
      </c>
    </row>
    <row r="222" spans="1:23" x14ac:dyDescent="0.35">
      <c r="A222">
        <v>218</v>
      </c>
      <c r="B222">
        <v>219</v>
      </c>
      <c r="C222">
        <v>146.06136140000001</v>
      </c>
      <c r="D222">
        <v>-17.51975113</v>
      </c>
      <c r="F222" t="str">
        <f>HYPERLINK("D:\Data From Lucan\2024\Johnstone\Frames_for_Analysis\219_20240610_0007_R_0315.jpg","219_20240610_0007_R_0315.jpg")</f>
        <v>219_20240610_0007_R_0315.jpg</v>
      </c>
      <c r="G222">
        <v>2</v>
      </c>
      <c r="I222">
        <v>0</v>
      </c>
      <c r="J222" s="53">
        <v>2</v>
      </c>
      <c r="K222" s="32"/>
      <c r="L222" s="32"/>
      <c r="M222" s="32"/>
      <c r="N222" s="32"/>
      <c r="O222" s="10">
        <v>1</v>
      </c>
      <c r="P222" s="4">
        <v>0</v>
      </c>
      <c r="Q222" s="4">
        <v>0</v>
      </c>
      <c r="R222" s="4">
        <v>0</v>
      </c>
      <c r="S222" s="58">
        <v>0</v>
      </c>
      <c r="T222" s="58">
        <v>0</v>
      </c>
      <c r="U222" s="58">
        <v>0</v>
      </c>
      <c r="V222" s="5">
        <v>0</v>
      </c>
      <c r="W222" s="4">
        <v>0</v>
      </c>
    </row>
    <row r="223" spans="1:23" x14ac:dyDescent="0.35">
      <c r="A223">
        <v>219</v>
      </c>
      <c r="B223">
        <v>220</v>
      </c>
      <c r="C223">
        <v>146.061375</v>
      </c>
      <c r="D223">
        <v>-17.519844450000001</v>
      </c>
      <c r="E223">
        <v>50</v>
      </c>
      <c r="F223" t="str">
        <f>HYPERLINK("D:\Data From Lucan\2024\Johnstone\Frames_for_Analysis\220_20240610_0007_R_0307.jpg","220_20240610_0007_R_0307.jpg")</f>
        <v>220_20240610_0007_R_0307.jpg</v>
      </c>
      <c r="G223">
        <v>2</v>
      </c>
      <c r="I223">
        <v>0</v>
      </c>
      <c r="J223" s="53">
        <v>2</v>
      </c>
      <c r="K223" s="32"/>
      <c r="L223" s="32"/>
      <c r="M223" s="32"/>
      <c r="N223" s="32"/>
      <c r="O223" s="10">
        <v>1</v>
      </c>
      <c r="P223" s="4">
        <v>0</v>
      </c>
      <c r="Q223" s="4">
        <v>0</v>
      </c>
      <c r="R223" s="4">
        <v>0</v>
      </c>
      <c r="S223" s="58">
        <v>0</v>
      </c>
      <c r="T223" s="58">
        <v>0</v>
      </c>
      <c r="U223" s="58">
        <v>0</v>
      </c>
      <c r="V223" s="5">
        <v>0</v>
      </c>
      <c r="W223" s="4">
        <v>0</v>
      </c>
    </row>
    <row r="224" spans="1:23" x14ac:dyDescent="0.35">
      <c r="A224">
        <v>220</v>
      </c>
      <c r="B224">
        <v>221</v>
      </c>
      <c r="C224">
        <v>146.0613889</v>
      </c>
      <c r="D224">
        <v>-17.519937710000001</v>
      </c>
      <c r="F224" t="str">
        <f>HYPERLINK("D:\Data From Lucan\2024\Johnstone\Frames_for_Analysis\221_20240610_0007_R_0300.jpg","221_20240610_0007_R_0300.jpg")</f>
        <v>221_20240610_0007_R_0300.jpg</v>
      </c>
      <c r="G224">
        <v>2</v>
      </c>
      <c r="I224">
        <f t="shared" si="3"/>
        <v>1</v>
      </c>
      <c r="J224" s="53">
        <v>1</v>
      </c>
      <c r="K224" s="32"/>
      <c r="L224" s="32"/>
      <c r="M224" s="32"/>
      <c r="N224" s="32"/>
      <c r="O224" s="10">
        <v>1</v>
      </c>
      <c r="P224" s="4">
        <v>0</v>
      </c>
      <c r="Q224" s="4">
        <v>0</v>
      </c>
      <c r="R224" s="4">
        <v>0</v>
      </c>
      <c r="S224" s="58">
        <v>0</v>
      </c>
      <c r="T224" s="58">
        <v>0</v>
      </c>
      <c r="U224" s="58">
        <v>0</v>
      </c>
      <c r="V224" s="5">
        <v>0</v>
      </c>
      <c r="W224" s="4">
        <v>0</v>
      </c>
    </row>
    <row r="225" spans="1:23" x14ac:dyDescent="0.35">
      <c r="A225">
        <v>221</v>
      </c>
      <c r="B225">
        <v>222</v>
      </c>
      <c r="C225">
        <v>146.06140909999999</v>
      </c>
      <c r="D225">
        <v>-17.520029820000001</v>
      </c>
      <c r="F225" t="str">
        <f>HYPERLINK("D:\Data From Lucan\2024\Johnstone\Frames_for_Analysis\222_20240610_0007_R_0291.jpg","222_20240610_0007_R_0291.jpg")</f>
        <v>222_20240610_0007_R_0291.jpg</v>
      </c>
      <c r="G225">
        <v>2</v>
      </c>
      <c r="I225">
        <f t="shared" si="3"/>
        <v>1</v>
      </c>
      <c r="J225" s="53">
        <v>1</v>
      </c>
      <c r="K225" s="32"/>
      <c r="L225" s="32"/>
      <c r="M225" s="32"/>
      <c r="N225" s="32"/>
      <c r="O225" s="10">
        <v>1</v>
      </c>
      <c r="P225" s="4">
        <v>0</v>
      </c>
      <c r="Q225" s="4">
        <v>0</v>
      </c>
      <c r="R225" s="4">
        <v>1</v>
      </c>
      <c r="S225" s="58">
        <v>0</v>
      </c>
      <c r="T225" s="58">
        <v>0</v>
      </c>
      <c r="U225" s="58">
        <v>0</v>
      </c>
      <c r="V225" s="5">
        <v>0</v>
      </c>
      <c r="W225" s="4">
        <v>0</v>
      </c>
    </row>
    <row r="226" spans="1:23" x14ac:dyDescent="0.35">
      <c r="A226">
        <v>222</v>
      </c>
      <c r="B226">
        <v>223</v>
      </c>
      <c r="C226">
        <v>146.06142929999999</v>
      </c>
      <c r="D226">
        <v>-17.520121929999998</v>
      </c>
      <c r="F226" t="str">
        <f>HYPERLINK("D:\Data From Lucan\2024\Johnstone\Frames_for_Analysis\223_20240610_0007_R_0272.jpg","223_20240610_0007_R_0272.jpg")</f>
        <v>223_20240610_0007_R_0272.jpg</v>
      </c>
      <c r="G226">
        <v>2</v>
      </c>
      <c r="H226" t="s">
        <v>26</v>
      </c>
      <c r="I226" t="str">
        <f t="shared" si="3"/>
        <v>X</v>
      </c>
      <c r="J226" s="53"/>
      <c r="K226" s="32"/>
      <c r="L226" s="32"/>
      <c r="M226" s="32"/>
      <c r="N226" s="32"/>
      <c r="O226" s="10">
        <v>1</v>
      </c>
      <c r="P226" s="4">
        <v>0</v>
      </c>
      <c r="Q226" s="4">
        <v>0</v>
      </c>
      <c r="R226" s="4"/>
      <c r="S226" s="58">
        <v>0</v>
      </c>
      <c r="T226" s="58">
        <v>0</v>
      </c>
      <c r="U226" s="58">
        <v>0</v>
      </c>
      <c r="V226" s="5">
        <v>0</v>
      </c>
      <c r="W226" s="4"/>
    </row>
    <row r="227" spans="1:23" x14ac:dyDescent="0.35">
      <c r="A227">
        <v>223</v>
      </c>
      <c r="B227">
        <v>224</v>
      </c>
      <c r="C227">
        <v>146.06145520000001</v>
      </c>
      <c r="D227">
        <v>-17.520212019999999</v>
      </c>
      <c r="F227" t="str">
        <f>HYPERLINK("D:\Data From Lucan\2024\Johnstone\Frames_for_Analysis\224_20240610_0007_R_0286.jpg","224_20240610_0007_R_0286.jpg")</f>
        <v>224_20240610_0007_R_0286.jpg</v>
      </c>
      <c r="G227">
        <v>2</v>
      </c>
      <c r="I227">
        <f t="shared" si="3"/>
        <v>1</v>
      </c>
      <c r="J227" s="53">
        <v>1</v>
      </c>
      <c r="K227" s="32"/>
      <c r="L227" s="32"/>
      <c r="M227" s="32"/>
      <c r="N227" s="32"/>
      <c r="O227" s="10">
        <v>1</v>
      </c>
      <c r="P227" s="4">
        <v>0</v>
      </c>
      <c r="Q227" s="4">
        <v>0</v>
      </c>
      <c r="R227" s="4">
        <v>0</v>
      </c>
      <c r="S227" s="58">
        <v>0</v>
      </c>
      <c r="T227" s="58">
        <v>0</v>
      </c>
      <c r="U227" s="58">
        <v>0</v>
      </c>
      <c r="V227" s="5">
        <v>0</v>
      </c>
      <c r="W227" s="4">
        <v>0</v>
      </c>
    </row>
    <row r="228" spans="1:23" x14ac:dyDescent="0.35">
      <c r="A228">
        <v>224</v>
      </c>
      <c r="B228">
        <v>225</v>
      </c>
      <c r="C228">
        <v>146.06149809999999</v>
      </c>
      <c r="D228">
        <v>-17.520296009999999</v>
      </c>
      <c r="E228">
        <v>50</v>
      </c>
      <c r="F228" t="str">
        <f>HYPERLINK("D:\Data From Lucan\2024\Johnstone\Frames_for_Analysis\225_20240610_0007_R_0282.jpg","225_20240610_0007_R_0282.jpg")</f>
        <v>225_20240610_0007_R_0282.jpg</v>
      </c>
      <c r="G228">
        <v>2</v>
      </c>
      <c r="I228">
        <f t="shared" si="3"/>
        <v>1</v>
      </c>
      <c r="J228" s="53">
        <v>1</v>
      </c>
      <c r="K228" s="32"/>
      <c r="L228" s="32"/>
      <c r="M228" s="32"/>
      <c r="N228" s="32"/>
      <c r="O228" s="10">
        <v>1</v>
      </c>
      <c r="P228" s="4">
        <v>0</v>
      </c>
      <c r="Q228" s="4">
        <v>0</v>
      </c>
      <c r="R228" s="4">
        <v>0</v>
      </c>
      <c r="S228" s="58">
        <v>0</v>
      </c>
      <c r="T228" s="58">
        <v>0</v>
      </c>
      <c r="U228" s="58">
        <v>0</v>
      </c>
      <c r="V228" s="5">
        <v>0</v>
      </c>
      <c r="W228" s="4">
        <v>0</v>
      </c>
    </row>
    <row r="229" spans="1:23" x14ac:dyDescent="0.35">
      <c r="A229">
        <v>225</v>
      </c>
      <c r="B229">
        <v>226</v>
      </c>
      <c r="C229">
        <v>146.06154100000001</v>
      </c>
      <c r="D229">
        <v>-17.520379999999999</v>
      </c>
      <c r="F229" t="str">
        <f>HYPERLINK("D:\Data From Lucan\2024\Johnstone\Frames_for_Analysis\226_20240610_0007_R_0275.jpg","226_20240610_0007_R_0275.jpg")</f>
        <v>226_20240610_0007_R_0275.jpg</v>
      </c>
      <c r="G229">
        <v>2</v>
      </c>
      <c r="I229">
        <f t="shared" si="3"/>
        <v>1</v>
      </c>
      <c r="J229" s="53">
        <v>1</v>
      </c>
      <c r="K229" s="32"/>
      <c r="L229" s="32"/>
      <c r="M229" s="32"/>
      <c r="N229" s="32"/>
      <c r="O229" s="10">
        <v>1</v>
      </c>
      <c r="P229" s="4">
        <v>0</v>
      </c>
      <c r="Q229" s="4">
        <v>0</v>
      </c>
      <c r="R229" s="4">
        <v>0</v>
      </c>
      <c r="S229" s="58">
        <v>0</v>
      </c>
      <c r="T229" s="58">
        <v>0</v>
      </c>
      <c r="U229" s="58">
        <v>0</v>
      </c>
      <c r="V229" s="5">
        <v>0</v>
      </c>
      <c r="W229" s="4">
        <v>0</v>
      </c>
    </row>
    <row r="230" spans="1:23" x14ac:dyDescent="0.35">
      <c r="A230">
        <v>226</v>
      </c>
      <c r="B230">
        <v>227</v>
      </c>
      <c r="C230">
        <v>146.06158389999999</v>
      </c>
      <c r="D230">
        <v>-17.52046399</v>
      </c>
      <c r="F230" t="str">
        <f>HYPERLINK("D:\Data From Lucan\2024\Johnstone\Frames_for_Analysis\227_20240610_0007_R_0284.jpg","227_20240610_0007_R_0284.jpg")</f>
        <v>227_20240610_0007_R_0284.jpg</v>
      </c>
      <c r="G230">
        <v>2</v>
      </c>
      <c r="H230" t="s">
        <v>26</v>
      </c>
      <c r="I230" t="str">
        <f t="shared" si="3"/>
        <v>X</v>
      </c>
      <c r="J230" s="53"/>
      <c r="K230" s="32"/>
      <c r="L230" s="32"/>
      <c r="M230" s="32"/>
      <c r="N230" s="32"/>
      <c r="O230" s="10">
        <v>1</v>
      </c>
      <c r="P230" s="4">
        <v>0</v>
      </c>
      <c r="Q230" s="4">
        <v>0</v>
      </c>
      <c r="R230" s="4"/>
      <c r="S230" s="58">
        <v>0</v>
      </c>
      <c r="T230" s="58">
        <v>0</v>
      </c>
      <c r="U230" s="58">
        <v>0</v>
      </c>
      <c r="V230" s="5">
        <v>0</v>
      </c>
      <c r="W230" s="4"/>
    </row>
    <row r="231" spans="1:23" x14ac:dyDescent="0.35">
      <c r="A231">
        <v>227</v>
      </c>
      <c r="B231">
        <v>228</v>
      </c>
      <c r="C231">
        <v>146.06160510000001</v>
      </c>
      <c r="D231">
        <v>-17.520553150000001</v>
      </c>
      <c r="F231" t="str">
        <f>HYPERLINK("D:\Data From Lucan\2024\Johnstone\Frames_for_Analysis\228_20240610_0007_R_0263.jpg","228_20240610_0007_R_0263.jpg")</f>
        <v>228_20240610_0007_R_0263.jpg</v>
      </c>
      <c r="G231">
        <v>2</v>
      </c>
      <c r="I231">
        <f t="shared" si="3"/>
        <v>1</v>
      </c>
      <c r="J231" s="53">
        <v>1</v>
      </c>
      <c r="K231" s="32"/>
      <c r="L231" s="32"/>
      <c r="M231" s="32"/>
      <c r="N231" s="32"/>
      <c r="O231" s="10">
        <v>1</v>
      </c>
      <c r="P231" s="4">
        <v>0</v>
      </c>
      <c r="Q231" s="4">
        <v>0</v>
      </c>
      <c r="R231" s="4">
        <v>0</v>
      </c>
      <c r="S231" s="58">
        <v>0</v>
      </c>
      <c r="T231" s="58">
        <v>0</v>
      </c>
      <c r="U231" s="58">
        <v>0</v>
      </c>
      <c r="V231" s="5">
        <v>0</v>
      </c>
      <c r="W231" s="4">
        <v>0</v>
      </c>
    </row>
    <row r="232" spans="1:23" x14ac:dyDescent="0.35">
      <c r="A232">
        <v>228</v>
      </c>
      <c r="B232">
        <v>229</v>
      </c>
      <c r="C232">
        <v>146.06160679999999</v>
      </c>
      <c r="D232">
        <v>-17.520647440000001</v>
      </c>
      <c r="F232" t="str">
        <f>HYPERLINK("D:\Data From Lucan\2024\Johnstone\Frames_for_Analysis\229_20240610_0007_R_0267.jpg","229_20240610_0007_R_0267.jpg")</f>
        <v>229_20240610_0007_R_0267.jpg</v>
      </c>
      <c r="G232">
        <v>2</v>
      </c>
      <c r="I232">
        <f t="shared" si="3"/>
        <v>1</v>
      </c>
      <c r="J232" s="53">
        <v>1</v>
      </c>
      <c r="K232" s="32"/>
      <c r="L232" s="32"/>
      <c r="M232" s="32"/>
      <c r="N232" s="32"/>
      <c r="O232" s="10">
        <v>1</v>
      </c>
      <c r="P232" s="4">
        <v>0</v>
      </c>
      <c r="Q232" s="4">
        <v>0</v>
      </c>
      <c r="R232" s="4">
        <v>0</v>
      </c>
      <c r="S232" s="58">
        <v>0</v>
      </c>
      <c r="T232" s="58">
        <v>0</v>
      </c>
      <c r="U232" s="58">
        <v>0</v>
      </c>
      <c r="V232" s="5">
        <v>0</v>
      </c>
      <c r="W232" s="4">
        <v>0</v>
      </c>
    </row>
    <row r="233" spans="1:23" x14ac:dyDescent="0.35">
      <c r="A233">
        <v>229</v>
      </c>
      <c r="B233">
        <v>230</v>
      </c>
      <c r="C233">
        <v>146.06160840000001</v>
      </c>
      <c r="D233">
        <v>-17.520741730000001</v>
      </c>
      <c r="E233">
        <v>50</v>
      </c>
      <c r="G233">
        <v>2</v>
      </c>
      <c r="H233" t="s">
        <v>26</v>
      </c>
      <c r="I233" t="str">
        <f t="shared" si="3"/>
        <v>X</v>
      </c>
      <c r="J233" s="53"/>
      <c r="K233" s="32"/>
      <c r="L233" s="32"/>
      <c r="M233" s="32"/>
      <c r="N233" s="32"/>
      <c r="O233" s="10"/>
      <c r="P233" s="4"/>
      <c r="Q233" s="4"/>
      <c r="R233" s="4"/>
      <c r="V233" s="5"/>
      <c r="W233" s="4"/>
    </row>
    <row r="234" spans="1:23" x14ac:dyDescent="0.35">
      <c r="A234">
        <v>230</v>
      </c>
      <c r="B234">
        <v>231</v>
      </c>
      <c r="C234">
        <v>146.06161</v>
      </c>
      <c r="D234">
        <v>-17.520836020000001</v>
      </c>
      <c r="F234" t="str">
        <f>HYPERLINK("D:\Data From Lucan\2024\Johnstone\Frames_for_Analysis\231_20240610_0007_R_0254.jpg","231_20240610_0007_R_0254.jpg")</f>
        <v>231_20240610_0007_R_0254.jpg</v>
      </c>
      <c r="G234">
        <v>2</v>
      </c>
      <c r="I234">
        <f t="shared" si="3"/>
        <v>1</v>
      </c>
      <c r="J234" s="53">
        <v>1</v>
      </c>
      <c r="K234" s="32"/>
      <c r="L234" s="32"/>
      <c r="M234" s="32"/>
      <c r="N234" s="32"/>
      <c r="O234" s="10">
        <v>1</v>
      </c>
      <c r="P234" s="4">
        <v>0</v>
      </c>
      <c r="Q234" s="4">
        <v>0</v>
      </c>
      <c r="R234" s="4">
        <v>0</v>
      </c>
      <c r="S234" s="58">
        <v>0</v>
      </c>
      <c r="T234" s="58">
        <v>0</v>
      </c>
      <c r="U234" s="58">
        <v>0</v>
      </c>
      <c r="V234" s="5">
        <v>0</v>
      </c>
      <c r="W234" s="4">
        <v>0</v>
      </c>
    </row>
    <row r="235" spans="1:23" x14ac:dyDescent="0.35">
      <c r="A235">
        <v>231</v>
      </c>
      <c r="B235">
        <v>232</v>
      </c>
      <c r="C235">
        <v>146.06159400000001</v>
      </c>
      <c r="D235">
        <v>-17.520927060000002</v>
      </c>
      <c r="F235" t="str">
        <f>HYPERLINK("D:\Data From Lucan\2024\Johnstone\Frames_for_Analysis\232_20240610_0007_R_0256.jpg","232_20240610_0007_R_0256.jpg")</f>
        <v>232_20240610_0007_R_0256.jpg</v>
      </c>
      <c r="G235">
        <v>2</v>
      </c>
      <c r="I235">
        <f t="shared" si="3"/>
        <v>1</v>
      </c>
      <c r="J235" s="53">
        <v>1</v>
      </c>
      <c r="K235" s="32"/>
      <c r="L235" s="32"/>
      <c r="M235" s="32"/>
      <c r="N235" s="32"/>
      <c r="O235" s="10">
        <v>1</v>
      </c>
      <c r="P235" s="4">
        <v>0</v>
      </c>
      <c r="Q235" s="4">
        <v>0</v>
      </c>
      <c r="R235" s="4">
        <v>0</v>
      </c>
      <c r="S235" s="58">
        <v>0</v>
      </c>
      <c r="T235" s="58">
        <v>0</v>
      </c>
      <c r="U235" s="58">
        <v>0</v>
      </c>
      <c r="V235" s="5">
        <v>0</v>
      </c>
      <c r="W235" s="4">
        <v>0</v>
      </c>
    </row>
    <row r="236" spans="1:23" x14ac:dyDescent="0.35">
      <c r="A236">
        <v>232</v>
      </c>
      <c r="B236">
        <v>233</v>
      </c>
      <c r="C236">
        <v>146.06155889999999</v>
      </c>
      <c r="D236">
        <v>-17.52101459</v>
      </c>
      <c r="F236" t="str">
        <f>HYPERLINK("D:\Data From Lucan\2024\Johnstone\Frames_for_Analysis\233_20240610_0007_R_0250.jpg","233_20240610_0007_R_0250.jpg")</f>
        <v>233_20240610_0007_R_0250.jpg</v>
      </c>
      <c r="G236">
        <v>2</v>
      </c>
      <c r="I236">
        <f t="shared" si="3"/>
        <v>1</v>
      </c>
      <c r="J236" s="53">
        <v>1</v>
      </c>
      <c r="K236" s="32"/>
      <c r="L236" s="32"/>
      <c r="M236" s="32"/>
      <c r="N236" s="32"/>
      <c r="O236" s="10">
        <v>1</v>
      </c>
      <c r="P236" s="4">
        <v>0</v>
      </c>
      <c r="Q236" s="4">
        <v>0</v>
      </c>
      <c r="R236" s="4">
        <v>0</v>
      </c>
      <c r="S236" s="58">
        <v>0</v>
      </c>
      <c r="T236" s="58">
        <v>0</v>
      </c>
      <c r="U236" s="58">
        <v>0</v>
      </c>
      <c r="V236" s="5">
        <v>0</v>
      </c>
      <c r="W236" s="4">
        <v>0</v>
      </c>
    </row>
    <row r="237" spans="1:23" x14ac:dyDescent="0.35">
      <c r="A237">
        <v>233</v>
      </c>
      <c r="B237">
        <v>234</v>
      </c>
      <c r="C237">
        <v>146.0615238</v>
      </c>
      <c r="D237">
        <v>-17.521102129999999</v>
      </c>
      <c r="F237" t="str">
        <f>HYPERLINK("D:\Data From Lucan\2024\Johnstone\Frames_for_Analysis\234_20240610_0007_R_0249.jpg","234_20240610_0007_R_0249.jpg")</f>
        <v>234_20240610_0007_R_0249.jpg</v>
      </c>
      <c r="G237">
        <v>2</v>
      </c>
      <c r="I237">
        <f t="shared" si="3"/>
        <v>1</v>
      </c>
      <c r="J237" s="53">
        <v>1</v>
      </c>
      <c r="K237" s="32"/>
      <c r="L237" s="32"/>
      <c r="M237" s="32"/>
      <c r="N237" s="32"/>
      <c r="O237" s="10">
        <v>1</v>
      </c>
      <c r="P237" s="4">
        <v>0</v>
      </c>
      <c r="Q237" s="4">
        <v>0</v>
      </c>
      <c r="R237" s="4">
        <v>0</v>
      </c>
      <c r="S237" s="58">
        <v>0</v>
      </c>
      <c r="T237" s="58">
        <v>0</v>
      </c>
      <c r="U237" s="58">
        <v>0</v>
      </c>
      <c r="V237" s="5">
        <v>0</v>
      </c>
      <c r="W237" s="4">
        <v>0</v>
      </c>
    </row>
    <row r="238" spans="1:23" x14ac:dyDescent="0.35">
      <c r="A238">
        <v>234</v>
      </c>
      <c r="B238">
        <v>235</v>
      </c>
      <c r="C238">
        <v>146.06148870000001</v>
      </c>
      <c r="D238">
        <v>-17.521189669999998</v>
      </c>
      <c r="E238">
        <v>50</v>
      </c>
      <c r="F238" t="str">
        <f>HYPERLINK("D:\Data From Lucan\2024\Johnstone\Frames_for_Analysis\235_20240610_0007_R_0247.jpg","235_20240610_0007_R_0247.jpg")</f>
        <v>235_20240610_0007_R_0247.jpg</v>
      </c>
      <c r="G238">
        <v>2</v>
      </c>
      <c r="I238">
        <f t="shared" si="3"/>
        <v>1</v>
      </c>
      <c r="J238" s="53">
        <v>1</v>
      </c>
      <c r="K238" s="32"/>
      <c r="L238" s="32"/>
      <c r="M238" s="32"/>
      <c r="N238" s="32"/>
      <c r="O238" s="10">
        <v>1</v>
      </c>
      <c r="P238" s="4">
        <v>0</v>
      </c>
      <c r="Q238" s="4">
        <v>0</v>
      </c>
      <c r="R238" s="4">
        <v>0</v>
      </c>
      <c r="S238" s="58">
        <v>0</v>
      </c>
      <c r="T238" s="58">
        <v>0</v>
      </c>
      <c r="U238" s="58">
        <v>0</v>
      </c>
      <c r="V238" s="5">
        <v>0</v>
      </c>
      <c r="W238" s="4">
        <v>0</v>
      </c>
    </row>
    <row r="239" spans="1:23" x14ac:dyDescent="0.35">
      <c r="A239">
        <v>235</v>
      </c>
      <c r="B239">
        <v>236</v>
      </c>
      <c r="C239">
        <v>146.06146010000001</v>
      </c>
      <c r="D239">
        <v>-17.52127922</v>
      </c>
      <c r="F239" t="str">
        <f>HYPERLINK("D:\Data From Lucan\2024\Johnstone\Frames_for_Analysis\236_20240610_0007_R_0245.jpg","236_20240610_0007_R_0245.jpg")</f>
        <v>236_20240610_0007_R_0245.jpg</v>
      </c>
      <c r="G239">
        <v>2</v>
      </c>
      <c r="I239">
        <f t="shared" si="3"/>
        <v>1</v>
      </c>
      <c r="J239" s="53">
        <v>1</v>
      </c>
      <c r="K239" s="32"/>
      <c r="L239" s="32"/>
      <c r="M239" s="32"/>
      <c r="N239" s="32"/>
      <c r="O239" s="10">
        <v>1</v>
      </c>
      <c r="P239" s="4">
        <v>0</v>
      </c>
      <c r="Q239" s="4">
        <v>0</v>
      </c>
      <c r="R239" s="4">
        <v>0</v>
      </c>
      <c r="S239" s="58">
        <v>0</v>
      </c>
      <c r="T239" s="58">
        <v>0</v>
      </c>
      <c r="U239" s="58">
        <v>0</v>
      </c>
      <c r="V239" s="5">
        <v>0</v>
      </c>
      <c r="W239" s="4">
        <v>0</v>
      </c>
    </row>
    <row r="240" spans="1:23" x14ac:dyDescent="0.35">
      <c r="A240">
        <v>236</v>
      </c>
      <c r="B240">
        <v>237</v>
      </c>
      <c r="C240">
        <v>146.06143890000001</v>
      </c>
      <c r="D240">
        <v>-17.521371120000001</v>
      </c>
      <c r="F240" t="str">
        <f>HYPERLINK("D:\Data From Lucan\2024\Johnstone\Frames_for_Analysis\237_20240610_0007_R_0243.jpg","237_20240610_0007_R_0243.jpg")</f>
        <v>237_20240610_0007_R_0243.jpg</v>
      </c>
      <c r="G240">
        <v>2</v>
      </c>
      <c r="I240">
        <f t="shared" si="3"/>
        <v>1</v>
      </c>
      <c r="J240" s="53">
        <v>1</v>
      </c>
      <c r="K240" s="32"/>
      <c r="L240" s="32"/>
      <c r="M240" s="32"/>
      <c r="N240" s="32"/>
      <c r="O240" s="10">
        <v>1</v>
      </c>
      <c r="P240" s="4">
        <v>0</v>
      </c>
      <c r="Q240" s="4">
        <v>0</v>
      </c>
      <c r="R240" s="4">
        <v>0</v>
      </c>
      <c r="S240" s="58">
        <v>0</v>
      </c>
      <c r="T240" s="58">
        <v>0</v>
      </c>
      <c r="U240" s="58">
        <v>0</v>
      </c>
      <c r="V240" s="5">
        <v>0</v>
      </c>
      <c r="W240" s="4">
        <v>0</v>
      </c>
    </row>
    <row r="241" spans="1:23" x14ac:dyDescent="0.35">
      <c r="A241">
        <v>237</v>
      </c>
      <c r="B241">
        <v>238</v>
      </c>
      <c r="C241">
        <v>146.06141779999999</v>
      </c>
      <c r="D241">
        <v>-17.521463019999999</v>
      </c>
      <c r="F241" t="str">
        <f>HYPERLINK("D:\Data From Lucan\2024\Johnstone\Frames_for_Analysis\238_20240610_0007_R_0242.jpg","238_20240610_0007_R_0242.jpg")</f>
        <v>238_20240610_0007_R_0242.jpg</v>
      </c>
      <c r="G241">
        <v>2</v>
      </c>
      <c r="I241">
        <f t="shared" si="3"/>
        <v>1</v>
      </c>
      <c r="J241" s="53">
        <v>1</v>
      </c>
      <c r="K241" s="32"/>
      <c r="L241" s="32"/>
      <c r="M241" s="32"/>
      <c r="N241" s="32"/>
      <c r="O241" s="10">
        <v>1</v>
      </c>
      <c r="P241" s="4">
        <v>0</v>
      </c>
      <c r="Q241" s="4">
        <v>0</v>
      </c>
      <c r="R241" s="4">
        <v>0</v>
      </c>
      <c r="S241" s="58">
        <v>0</v>
      </c>
      <c r="T241" s="58">
        <v>0</v>
      </c>
      <c r="U241" s="58">
        <v>0</v>
      </c>
      <c r="V241" s="5">
        <v>0</v>
      </c>
      <c r="W241" s="4">
        <v>0</v>
      </c>
    </row>
    <row r="242" spans="1:23" x14ac:dyDescent="0.35">
      <c r="A242">
        <v>238</v>
      </c>
      <c r="B242">
        <v>239</v>
      </c>
      <c r="C242">
        <v>146.06137699999999</v>
      </c>
      <c r="D242">
        <v>-17.52154522</v>
      </c>
      <c r="F242" t="str">
        <f>HYPERLINK("D:\Data From Lucan\2024\Johnstone\Frames_for_Analysis\239_20240610_0007_R_0239.jpg","239_20240610_0007_R_0239.jpg")</f>
        <v>239_20240610_0007_R_0239.jpg</v>
      </c>
      <c r="G242">
        <v>2</v>
      </c>
      <c r="I242">
        <f t="shared" si="3"/>
        <v>1</v>
      </c>
      <c r="J242" s="53">
        <v>1</v>
      </c>
      <c r="K242" s="32"/>
      <c r="L242" s="32"/>
      <c r="M242" s="32"/>
      <c r="N242" s="32"/>
      <c r="O242" s="10">
        <v>1</v>
      </c>
      <c r="P242" s="4">
        <v>0</v>
      </c>
      <c r="Q242" s="4">
        <v>0</v>
      </c>
      <c r="R242" s="4">
        <v>0</v>
      </c>
      <c r="S242" s="58">
        <v>0</v>
      </c>
      <c r="T242" s="58">
        <v>0</v>
      </c>
      <c r="U242" s="58">
        <v>0</v>
      </c>
      <c r="V242" s="5">
        <v>0</v>
      </c>
      <c r="W242" s="4">
        <v>0</v>
      </c>
    </row>
    <row r="243" spans="1:23" x14ac:dyDescent="0.35">
      <c r="A243">
        <v>239</v>
      </c>
      <c r="B243">
        <v>240</v>
      </c>
      <c r="C243">
        <v>146.06131679999999</v>
      </c>
      <c r="D243">
        <v>-17.52161774</v>
      </c>
      <c r="E243">
        <v>50</v>
      </c>
      <c r="F243" t="str">
        <f>HYPERLINK("D:\Data From Lucan\2024\Johnstone\Frames_for_Analysis\240_20240610_0007_R_0237.jpg","240_20240610_0007_R_0237.jpg")</f>
        <v>240_20240610_0007_R_0237.jpg</v>
      </c>
      <c r="G243">
        <v>2</v>
      </c>
      <c r="I243">
        <f t="shared" si="3"/>
        <v>1</v>
      </c>
      <c r="J243" s="53">
        <v>1</v>
      </c>
      <c r="K243" s="32"/>
      <c r="L243" s="32"/>
      <c r="M243" s="32"/>
      <c r="N243" s="32"/>
      <c r="O243" s="10">
        <v>1</v>
      </c>
      <c r="P243" s="4">
        <v>0</v>
      </c>
      <c r="Q243" s="4">
        <v>0</v>
      </c>
      <c r="R243" s="4">
        <v>0</v>
      </c>
      <c r="S243" s="58">
        <v>0</v>
      </c>
      <c r="T243" s="58">
        <v>0</v>
      </c>
      <c r="U243" s="58">
        <v>0</v>
      </c>
      <c r="V243" s="5">
        <v>0</v>
      </c>
      <c r="W243" s="4">
        <v>0</v>
      </c>
    </row>
    <row r="244" spans="1:23" x14ac:dyDescent="0.35">
      <c r="A244">
        <v>240</v>
      </c>
      <c r="B244">
        <v>241</v>
      </c>
      <c r="C244">
        <v>146.06125650000001</v>
      </c>
      <c r="D244">
        <v>-17.52169026</v>
      </c>
      <c r="F244" t="str">
        <f>HYPERLINK("D:\Data From Lucan\2024\Johnstone\Frames_for_Analysis\241_20240610_0007_R_0233.jpg","241_20240610_0007_R_0233.jpg")</f>
        <v>241_20240610_0007_R_0233.jpg</v>
      </c>
      <c r="G244">
        <v>2</v>
      </c>
      <c r="I244">
        <f t="shared" si="3"/>
        <v>1</v>
      </c>
      <c r="J244" s="53">
        <v>1</v>
      </c>
      <c r="K244" s="32"/>
      <c r="L244" s="32"/>
      <c r="M244" s="32"/>
      <c r="N244" s="32"/>
      <c r="O244" s="10">
        <v>1</v>
      </c>
      <c r="P244" s="4">
        <v>0</v>
      </c>
      <c r="Q244" s="4">
        <v>0</v>
      </c>
      <c r="R244" s="4">
        <v>0</v>
      </c>
      <c r="S244" s="58">
        <v>0</v>
      </c>
      <c r="T244" s="58">
        <v>0</v>
      </c>
      <c r="U244" s="58">
        <v>0</v>
      </c>
      <c r="V244" s="5">
        <v>0</v>
      </c>
      <c r="W244" s="4">
        <v>0</v>
      </c>
    </row>
    <row r="245" spans="1:23" x14ac:dyDescent="0.35">
      <c r="A245">
        <v>241</v>
      </c>
      <c r="B245">
        <v>242</v>
      </c>
      <c r="C245">
        <v>146.06119620000001</v>
      </c>
      <c r="D245">
        <v>-17.52176278</v>
      </c>
      <c r="F245" t="str">
        <f>HYPERLINK("D:\Data From Lucan\2024\Johnstone\Frames_for_Analysis\242_20240610_0007_R_0225.jpg","242_20240610_0007_R_0225.jpg")</f>
        <v>242_20240610_0007_R_0225.jpg</v>
      </c>
      <c r="G245">
        <v>2</v>
      </c>
      <c r="I245">
        <f t="shared" si="3"/>
        <v>1</v>
      </c>
      <c r="J245" s="53">
        <v>1</v>
      </c>
      <c r="K245" s="32"/>
      <c r="L245" s="32"/>
      <c r="M245" s="32"/>
      <c r="N245" s="32"/>
      <c r="O245" s="10">
        <v>1</v>
      </c>
      <c r="P245" s="4">
        <v>0</v>
      </c>
      <c r="Q245" s="4">
        <v>0</v>
      </c>
      <c r="R245" s="4">
        <v>0</v>
      </c>
      <c r="S245" s="58">
        <v>0</v>
      </c>
      <c r="T245" s="58">
        <v>0</v>
      </c>
      <c r="U245" s="58">
        <v>0</v>
      </c>
      <c r="V245" s="5">
        <v>0</v>
      </c>
      <c r="W245" s="4">
        <v>0</v>
      </c>
    </row>
    <row r="246" spans="1:23" x14ac:dyDescent="0.35">
      <c r="A246">
        <v>242</v>
      </c>
      <c r="B246">
        <v>243</v>
      </c>
      <c r="C246">
        <v>146.06113590000001</v>
      </c>
      <c r="D246">
        <v>-17.521835299999999</v>
      </c>
      <c r="F246" t="str">
        <f>HYPERLINK("D:\Data From Lucan\2024\Johnstone\Frames_for_Analysis\243_20240610_0007_R_0220.jpg","243_20240610_0007_R_0220.jpg")</f>
        <v>243_20240610_0007_R_0220.jpg</v>
      </c>
      <c r="G246">
        <v>2</v>
      </c>
      <c r="I246">
        <f t="shared" si="3"/>
        <v>1</v>
      </c>
      <c r="J246" s="53">
        <v>1</v>
      </c>
      <c r="K246" s="32"/>
      <c r="L246" s="32"/>
      <c r="M246" s="32"/>
      <c r="N246" s="32"/>
      <c r="O246" s="10">
        <v>1</v>
      </c>
      <c r="P246" s="4">
        <v>0</v>
      </c>
      <c r="Q246" s="4">
        <v>0</v>
      </c>
      <c r="R246" s="4">
        <v>0</v>
      </c>
      <c r="S246" s="58">
        <v>0</v>
      </c>
      <c r="T246" s="58">
        <v>0</v>
      </c>
      <c r="U246" s="58">
        <v>0</v>
      </c>
      <c r="V246" s="5">
        <v>0</v>
      </c>
      <c r="W246" s="4">
        <v>0</v>
      </c>
    </row>
    <row r="247" spans="1:23" x14ac:dyDescent="0.35">
      <c r="A247">
        <v>243</v>
      </c>
      <c r="B247">
        <v>244</v>
      </c>
      <c r="C247">
        <v>146.06107560000001</v>
      </c>
      <c r="D247">
        <v>-17.52190783</v>
      </c>
      <c r="F247" t="str">
        <f>HYPERLINK("D:\Data From Lucan\2024\Johnstone\Frames_for_Analysis\244_20240610_0007_R_0213.jpg","244_20240610_0007_R_0213.jpg")</f>
        <v>244_20240610_0007_R_0213.jpg</v>
      </c>
      <c r="G247">
        <v>2</v>
      </c>
      <c r="I247">
        <f t="shared" si="3"/>
        <v>1</v>
      </c>
      <c r="J247" s="53">
        <v>1</v>
      </c>
      <c r="K247" s="32"/>
      <c r="L247" s="32"/>
      <c r="M247" s="32"/>
      <c r="N247" s="32"/>
      <c r="O247" s="10">
        <v>1</v>
      </c>
      <c r="P247" s="4">
        <v>0</v>
      </c>
      <c r="Q247" s="4">
        <v>0</v>
      </c>
      <c r="R247" s="4">
        <v>0</v>
      </c>
      <c r="S247" s="58">
        <v>0</v>
      </c>
      <c r="T247" s="58">
        <v>0</v>
      </c>
      <c r="U247" s="58">
        <v>0</v>
      </c>
      <c r="V247" s="5">
        <v>0</v>
      </c>
      <c r="W247" s="4">
        <v>0</v>
      </c>
    </row>
    <row r="248" spans="1:23" x14ac:dyDescent="0.35">
      <c r="A248">
        <v>244</v>
      </c>
      <c r="B248">
        <v>245</v>
      </c>
      <c r="C248">
        <v>146.0610145</v>
      </c>
      <c r="D248">
        <v>-17.521979609999999</v>
      </c>
      <c r="E248">
        <v>50</v>
      </c>
      <c r="F248" t="str">
        <f>HYPERLINK("D:\Data From Lucan\2024\Johnstone\Frames_for_Analysis\245_20240610_0007_R_0206.jpg","245_20240610_0007_R_0206.jpg")</f>
        <v>245_20240610_0007_R_0206.jpg</v>
      </c>
      <c r="G248">
        <v>2</v>
      </c>
      <c r="I248">
        <f t="shared" si="3"/>
        <v>1</v>
      </c>
      <c r="J248" s="53">
        <v>1</v>
      </c>
      <c r="K248" s="32"/>
      <c r="L248" s="32"/>
      <c r="M248" s="32"/>
      <c r="N248" s="32"/>
      <c r="O248" s="10">
        <v>3</v>
      </c>
      <c r="P248" s="4">
        <v>0</v>
      </c>
      <c r="Q248" s="4">
        <v>0</v>
      </c>
      <c r="R248" s="4">
        <v>0</v>
      </c>
      <c r="S248" s="58">
        <v>0</v>
      </c>
      <c r="T248" s="58">
        <v>0</v>
      </c>
      <c r="U248" s="58">
        <v>0</v>
      </c>
      <c r="V248" s="5">
        <v>0</v>
      </c>
      <c r="W248" s="4">
        <v>1</v>
      </c>
    </row>
    <row r="249" spans="1:23" x14ac:dyDescent="0.35">
      <c r="A249">
        <v>245</v>
      </c>
      <c r="B249">
        <v>246</v>
      </c>
      <c r="C249">
        <v>146.06095329999999</v>
      </c>
      <c r="D249">
        <v>-17.52205133</v>
      </c>
      <c r="F249" t="str">
        <f>HYPERLINK("D:\Data From Lucan\2024\Johnstone\Frames_for_Analysis\246_20240610_0007_R_0199.jpg","246_20240610_0007_R_0199.jpg")</f>
        <v>246_20240610_0007_R_0199.jpg</v>
      </c>
      <c r="G249">
        <v>2</v>
      </c>
      <c r="I249">
        <f t="shared" si="3"/>
        <v>1</v>
      </c>
      <c r="J249" s="53">
        <v>1</v>
      </c>
      <c r="K249" s="32"/>
      <c r="L249" s="32"/>
      <c r="M249" s="32"/>
      <c r="N249" s="32"/>
      <c r="O249" s="10">
        <v>1</v>
      </c>
      <c r="P249" s="4">
        <v>0</v>
      </c>
      <c r="Q249" s="4">
        <v>0</v>
      </c>
      <c r="R249" s="4">
        <v>0</v>
      </c>
      <c r="S249" s="58">
        <v>0</v>
      </c>
      <c r="T249" s="58">
        <v>0</v>
      </c>
      <c r="U249" s="58">
        <v>0</v>
      </c>
      <c r="V249" s="5">
        <v>0</v>
      </c>
      <c r="W249" s="4">
        <v>0</v>
      </c>
    </row>
    <row r="250" spans="1:23" x14ac:dyDescent="0.35">
      <c r="A250">
        <v>246</v>
      </c>
      <c r="B250">
        <v>247</v>
      </c>
      <c r="C250">
        <v>146.0608933</v>
      </c>
      <c r="D250">
        <v>-17.522124040000001</v>
      </c>
      <c r="F250" t="str">
        <f>HYPERLINK("D:\Data From Lucan\2024\Johnstone\Frames_for_Analysis\247_20240610_0006_L_0011.jpg","247_20240610_0006_L_0011.jpg")</f>
        <v>247_20240610_0006_L_0011.jpg</v>
      </c>
      <c r="G250">
        <v>2</v>
      </c>
      <c r="I250">
        <f t="shared" si="3"/>
        <v>1</v>
      </c>
      <c r="J250" s="53">
        <v>1</v>
      </c>
      <c r="K250" s="32"/>
      <c r="L250" s="32"/>
      <c r="M250" s="32"/>
      <c r="N250" s="32"/>
      <c r="O250" s="10">
        <v>1</v>
      </c>
      <c r="P250" s="4">
        <v>0</v>
      </c>
      <c r="Q250" s="4">
        <v>0</v>
      </c>
      <c r="R250" s="4">
        <v>0</v>
      </c>
      <c r="S250" s="58">
        <v>0</v>
      </c>
      <c r="T250" s="58">
        <v>0</v>
      </c>
      <c r="U250" s="58">
        <v>0</v>
      </c>
      <c r="V250" s="5">
        <v>0</v>
      </c>
      <c r="W250" s="4">
        <v>0</v>
      </c>
    </row>
    <row r="251" spans="1:23" x14ac:dyDescent="0.35">
      <c r="A251">
        <v>247</v>
      </c>
      <c r="B251">
        <v>248</v>
      </c>
      <c r="C251">
        <v>146.06083910000001</v>
      </c>
      <c r="D251">
        <v>-17.522201209999999</v>
      </c>
      <c r="F251" t="str">
        <f>HYPERLINK("D:\Data From Lucan\2024\Johnstone\Frames_for_Analysis\248_20240610_0007_R_0191.jpg","248_20240610_0007_R_0191.jpg")</f>
        <v>248_20240610_0007_R_0191.jpg</v>
      </c>
      <c r="G251">
        <v>2</v>
      </c>
      <c r="I251">
        <f t="shared" si="3"/>
        <v>1</v>
      </c>
      <c r="J251" s="53">
        <v>1</v>
      </c>
      <c r="K251" s="32"/>
      <c r="L251" s="32"/>
      <c r="M251" s="32"/>
      <c r="N251" s="32"/>
      <c r="O251" s="10">
        <v>1</v>
      </c>
      <c r="P251" s="4">
        <v>0</v>
      </c>
      <c r="Q251" s="4">
        <v>0</v>
      </c>
      <c r="R251" s="4">
        <v>0</v>
      </c>
      <c r="S251" s="58">
        <v>0</v>
      </c>
      <c r="T251" s="58">
        <v>0</v>
      </c>
      <c r="U251" s="58">
        <v>0</v>
      </c>
      <c r="V251" s="5">
        <v>0</v>
      </c>
      <c r="W251" s="4">
        <v>0</v>
      </c>
    </row>
    <row r="252" spans="1:23" x14ac:dyDescent="0.35">
      <c r="A252">
        <v>248</v>
      </c>
      <c r="B252">
        <v>249</v>
      </c>
      <c r="C252">
        <v>146.06078489999999</v>
      </c>
      <c r="D252">
        <v>-17.522278379999999</v>
      </c>
      <c r="F252" t="str">
        <f>HYPERLINK("D:\Data From Lucan\2024\Johnstone\Frames_for_Analysis\249_20240610_0007_R_0188.jpg","249_20240610_0007_R_0188.jpg")</f>
        <v>249_20240610_0007_R_0188.jpg</v>
      </c>
      <c r="G252">
        <v>2</v>
      </c>
      <c r="I252">
        <f t="shared" si="3"/>
        <v>1</v>
      </c>
      <c r="J252" s="53">
        <v>1</v>
      </c>
      <c r="K252" s="32"/>
      <c r="L252" s="32"/>
      <c r="M252" s="32"/>
      <c r="N252" s="32"/>
      <c r="O252" s="10">
        <v>1</v>
      </c>
      <c r="P252" s="4">
        <v>0</v>
      </c>
      <c r="Q252" s="4">
        <v>0</v>
      </c>
      <c r="R252" s="4">
        <v>0</v>
      </c>
      <c r="S252" s="58">
        <v>0</v>
      </c>
      <c r="T252" s="58">
        <v>0</v>
      </c>
      <c r="U252" s="58">
        <v>0</v>
      </c>
      <c r="V252" s="5">
        <v>0</v>
      </c>
      <c r="W252" s="4">
        <v>0</v>
      </c>
    </row>
    <row r="253" spans="1:23" x14ac:dyDescent="0.35">
      <c r="A253">
        <v>249</v>
      </c>
      <c r="B253">
        <v>250</v>
      </c>
      <c r="C253">
        <v>146.06073069999999</v>
      </c>
      <c r="D253">
        <v>-17.522355560000001</v>
      </c>
      <c r="E253">
        <v>50</v>
      </c>
      <c r="F253" t="str">
        <f>HYPERLINK("D:\Data From Lucan\2024\Johnstone\Frames_for_Analysis\250_20240610_0007_R_0183.jpg","250_20240610_0007_R_0183.jpg")</f>
        <v>250_20240610_0007_R_0183.jpg</v>
      </c>
      <c r="G253">
        <v>2</v>
      </c>
      <c r="I253">
        <f t="shared" si="3"/>
        <v>1</v>
      </c>
      <c r="J253" s="53">
        <v>1</v>
      </c>
      <c r="K253" s="32"/>
      <c r="L253" s="32"/>
      <c r="M253" s="32"/>
      <c r="N253" s="32"/>
      <c r="O253" s="10">
        <v>1</v>
      </c>
      <c r="P253" s="4">
        <v>0</v>
      </c>
      <c r="Q253" s="4">
        <v>0</v>
      </c>
      <c r="R253" s="4">
        <v>0</v>
      </c>
      <c r="S253" s="58">
        <v>0</v>
      </c>
      <c r="T253" s="58">
        <v>0</v>
      </c>
      <c r="U253" s="58">
        <v>0</v>
      </c>
      <c r="V253" s="5">
        <v>0</v>
      </c>
      <c r="W253" s="4">
        <v>0</v>
      </c>
    </row>
    <row r="254" spans="1:23" x14ac:dyDescent="0.35">
      <c r="A254">
        <v>250</v>
      </c>
      <c r="B254">
        <v>251</v>
      </c>
      <c r="C254">
        <v>146.0606731</v>
      </c>
      <c r="D254">
        <v>-17.522430060000001</v>
      </c>
      <c r="F254" t="str">
        <f>HYPERLINK("D:\Data From Lucan\2024\Johnstone\Frames_for_Analysis\251_20240610_0007_R_0180.jpg","251_20240610_0007_R_0180.jpg")</f>
        <v>251_20240610_0007_R_0180.jpg</v>
      </c>
      <c r="G254">
        <v>2</v>
      </c>
      <c r="I254">
        <f t="shared" si="3"/>
        <v>1</v>
      </c>
      <c r="J254" s="53">
        <v>1</v>
      </c>
      <c r="K254" s="32"/>
      <c r="L254" s="32"/>
      <c r="M254" s="32"/>
      <c r="N254" s="32"/>
      <c r="O254" s="10">
        <v>1</v>
      </c>
      <c r="P254" s="4">
        <v>0</v>
      </c>
      <c r="Q254" s="4">
        <v>0</v>
      </c>
      <c r="R254" s="4">
        <v>0</v>
      </c>
      <c r="S254" s="58">
        <v>0</v>
      </c>
      <c r="T254" s="58">
        <v>0</v>
      </c>
      <c r="U254" s="58">
        <v>0</v>
      </c>
      <c r="V254" s="5">
        <v>0</v>
      </c>
      <c r="W254" s="4">
        <v>0</v>
      </c>
    </row>
    <row r="255" spans="1:23" x14ac:dyDescent="0.35">
      <c r="A255">
        <v>251</v>
      </c>
      <c r="B255">
        <v>252</v>
      </c>
      <c r="C255">
        <v>146.0606114</v>
      </c>
      <c r="D255">
        <v>-17.52250136</v>
      </c>
      <c r="F255" t="str">
        <f>HYPERLINK("D:\Data From Lucan\2024\Johnstone\Frames_for_Analysis\252_20240610_0006_L_0012.jpg","252_20240610_0006_L_0012.jpg")</f>
        <v>252_20240610_0006_L_0012.jpg</v>
      </c>
      <c r="G255">
        <v>2</v>
      </c>
      <c r="H255" t="s">
        <v>26</v>
      </c>
      <c r="I255" t="str">
        <f t="shared" si="3"/>
        <v>X</v>
      </c>
      <c r="J255" s="53"/>
      <c r="K255" s="32"/>
      <c r="L255" s="32"/>
      <c r="M255" s="32"/>
      <c r="N255" s="32"/>
      <c r="O255" s="10">
        <v>1</v>
      </c>
      <c r="P255" s="4">
        <v>0</v>
      </c>
      <c r="Q255" s="4">
        <v>0</v>
      </c>
      <c r="R255" s="4"/>
      <c r="S255" s="58">
        <v>0</v>
      </c>
      <c r="T255" s="58">
        <v>0</v>
      </c>
      <c r="U255" s="58">
        <v>0</v>
      </c>
      <c r="V255" s="5">
        <v>0</v>
      </c>
      <c r="W255" s="4"/>
    </row>
    <row r="256" spans="1:23" x14ac:dyDescent="0.35">
      <c r="A256">
        <v>252</v>
      </c>
      <c r="B256">
        <v>253</v>
      </c>
      <c r="C256">
        <v>146.0605496</v>
      </c>
      <c r="D256">
        <v>-17.522572660000002</v>
      </c>
      <c r="F256" t="str">
        <f>HYPERLINK("D:\Data From Lucan\2024\Johnstone\Frames_for_Analysis\253_20240610_0007_R_0173.jpg","253_20240610_0007_R_0173.jpg")</f>
        <v>253_20240610_0007_R_0173.jpg</v>
      </c>
      <c r="G256">
        <v>2</v>
      </c>
      <c r="I256">
        <f t="shared" si="3"/>
        <v>1</v>
      </c>
      <c r="J256" s="53">
        <v>1</v>
      </c>
      <c r="K256" s="32"/>
      <c r="L256" s="32"/>
      <c r="M256" s="32"/>
      <c r="N256" s="32"/>
      <c r="O256" s="10">
        <v>1</v>
      </c>
      <c r="P256" s="4">
        <v>0</v>
      </c>
      <c r="Q256" s="4">
        <v>0</v>
      </c>
      <c r="R256" s="4">
        <v>0</v>
      </c>
      <c r="S256" s="58">
        <v>0</v>
      </c>
      <c r="T256" s="58">
        <v>0</v>
      </c>
      <c r="U256" s="58">
        <v>0</v>
      </c>
      <c r="V256" s="5">
        <v>0</v>
      </c>
      <c r="W256" s="4">
        <v>0</v>
      </c>
    </row>
    <row r="257" spans="1:23" x14ac:dyDescent="0.35">
      <c r="A257">
        <v>253</v>
      </c>
      <c r="B257">
        <v>254</v>
      </c>
      <c r="C257">
        <v>146.06048680000001</v>
      </c>
      <c r="D257">
        <v>-17.522642770000001</v>
      </c>
      <c r="F257" t="str">
        <f>HYPERLINK("D:\Data From Lucan\2024\Johnstone\Frames_for_Analysis\254_20240610_0007_R_0171.jpg","254_20240610_0007_R_0171.jpg")</f>
        <v>254_20240610_0007_R_0171.jpg</v>
      </c>
      <c r="G257">
        <v>2</v>
      </c>
      <c r="I257">
        <f t="shared" si="3"/>
        <v>1</v>
      </c>
      <c r="J257" s="53">
        <v>1</v>
      </c>
      <c r="K257" s="32"/>
      <c r="L257" s="32"/>
      <c r="M257" s="32"/>
      <c r="N257" s="32"/>
      <c r="O257" s="10">
        <v>1</v>
      </c>
      <c r="P257" s="4">
        <v>0</v>
      </c>
      <c r="Q257" s="4">
        <v>0</v>
      </c>
      <c r="R257" s="4">
        <v>0</v>
      </c>
      <c r="S257" s="58">
        <v>0</v>
      </c>
      <c r="T257" s="58">
        <v>0</v>
      </c>
      <c r="U257" s="58">
        <v>0</v>
      </c>
      <c r="V257" s="5">
        <v>0</v>
      </c>
      <c r="W257" s="4">
        <v>0</v>
      </c>
    </row>
    <row r="258" spans="1:23" x14ac:dyDescent="0.35">
      <c r="A258">
        <v>254</v>
      </c>
      <c r="B258">
        <v>255</v>
      </c>
      <c r="C258">
        <v>146.06041310000001</v>
      </c>
      <c r="D258">
        <v>-17.52270167</v>
      </c>
      <c r="E258">
        <v>50</v>
      </c>
      <c r="F258" t="str">
        <f>HYPERLINK("D:\Data From Lucan\2024\Johnstone\Frames_for_Analysis\255_20240610_0007_R_0165.jpg","255_20240610_0007_R_0165.jpg")</f>
        <v>255_20240610_0007_R_0165.jpg</v>
      </c>
      <c r="G258">
        <v>2</v>
      </c>
      <c r="I258">
        <f t="shared" si="3"/>
        <v>1</v>
      </c>
      <c r="J258" s="53">
        <v>1</v>
      </c>
      <c r="K258" s="32"/>
      <c r="L258" s="32"/>
      <c r="M258" s="32"/>
      <c r="N258" s="32"/>
      <c r="O258" s="10">
        <v>1</v>
      </c>
      <c r="P258" s="4">
        <v>0</v>
      </c>
      <c r="Q258" s="4">
        <v>0</v>
      </c>
      <c r="R258" s="4">
        <v>0</v>
      </c>
      <c r="S258" s="58">
        <v>0</v>
      </c>
      <c r="T258" s="58">
        <v>0</v>
      </c>
      <c r="U258" s="58">
        <v>0</v>
      </c>
      <c r="V258" s="5">
        <v>0</v>
      </c>
      <c r="W258" s="4">
        <v>0</v>
      </c>
    </row>
    <row r="259" spans="1:23" x14ac:dyDescent="0.35">
      <c r="A259">
        <v>255</v>
      </c>
      <c r="B259">
        <v>256</v>
      </c>
      <c r="C259">
        <v>146.0603395</v>
      </c>
      <c r="D259">
        <v>-17.522760559999998</v>
      </c>
      <c r="F259" t="str">
        <f>HYPERLINK("D:\Data From Lucan\2024\Johnstone\Frames_for_Analysis\256_20240610_0007_R_0162.jpg","256_20240610_0007_R_0162.jpg")</f>
        <v>256_20240610_0007_R_0162.jpg</v>
      </c>
      <c r="G259">
        <v>2</v>
      </c>
      <c r="I259">
        <f t="shared" si="3"/>
        <v>1</v>
      </c>
      <c r="J259" s="53">
        <v>1</v>
      </c>
      <c r="K259" s="32"/>
      <c r="L259" s="32"/>
      <c r="M259" s="32"/>
      <c r="N259" s="32"/>
      <c r="O259" s="10">
        <v>1</v>
      </c>
      <c r="P259" s="4">
        <v>0</v>
      </c>
      <c r="Q259" s="4">
        <v>0</v>
      </c>
      <c r="R259" s="4">
        <v>0</v>
      </c>
      <c r="S259" s="58">
        <v>0</v>
      </c>
      <c r="T259" s="58">
        <v>0</v>
      </c>
      <c r="U259" s="58">
        <v>0</v>
      </c>
      <c r="V259" s="5">
        <v>0</v>
      </c>
      <c r="W259" s="4">
        <v>0</v>
      </c>
    </row>
    <row r="260" spans="1:23" x14ac:dyDescent="0.35">
      <c r="A260">
        <v>256</v>
      </c>
      <c r="B260">
        <v>257</v>
      </c>
      <c r="C260">
        <v>146.0602658</v>
      </c>
      <c r="D260">
        <v>-17.522819460000001</v>
      </c>
      <c r="F260" t="str">
        <f>HYPERLINK("D:\Data From Lucan\2024\Johnstone\Frames_for_Analysis\257_20240610_0007_R_0155.jpg","257_20240610_0007_R_0155.jpg")</f>
        <v>257_20240610_0007_R_0155.jpg</v>
      </c>
      <c r="G260">
        <v>2</v>
      </c>
      <c r="I260">
        <f t="shared" si="3"/>
        <v>1</v>
      </c>
      <c r="J260" s="53">
        <v>1</v>
      </c>
      <c r="K260" s="32"/>
      <c r="L260" s="32"/>
      <c r="M260" s="32"/>
      <c r="N260" s="32"/>
      <c r="O260" s="10">
        <v>1</v>
      </c>
      <c r="P260" s="4">
        <v>0</v>
      </c>
      <c r="Q260" s="4">
        <v>0</v>
      </c>
      <c r="R260" s="4">
        <v>0</v>
      </c>
      <c r="S260" s="58">
        <v>0</v>
      </c>
      <c r="T260" s="58">
        <v>0</v>
      </c>
      <c r="U260" s="58">
        <v>0</v>
      </c>
      <c r="V260" s="5">
        <v>0</v>
      </c>
      <c r="W260" s="4">
        <v>0</v>
      </c>
    </row>
    <row r="261" spans="1:23" x14ac:dyDescent="0.35">
      <c r="A261">
        <v>257</v>
      </c>
      <c r="B261">
        <v>258</v>
      </c>
      <c r="C261">
        <v>146.06019219999999</v>
      </c>
      <c r="D261">
        <v>-17.52287836</v>
      </c>
      <c r="F261" t="str">
        <f>HYPERLINK("D:\Data From Lucan\2024\Johnstone\Frames_for_Analysis\258_20240610_0007_R_0153.jpg","258_20240610_0007_R_0153.jpg")</f>
        <v>258_20240610_0007_R_0153.jpg</v>
      </c>
      <c r="G261">
        <v>2</v>
      </c>
      <c r="I261">
        <f t="shared" ref="I261:I324" si="4">IF(H261="X","X",IF(J261="NA","X",IF(J261="","X",J261)))</f>
        <v>1</v>
      </c>
      <c r="J261" s="53">
        <v>1</v>
      </c>
      <c r="K261" s="32"/>
      <c r="L261" s="32"/>
      <c r="M261" s="32"/>
      <c r="N261" s="32"/>
      <c r="O261" s="10">
        <v>1</v>
      </c>
      <c r="P261" s="4">
        <v>0</v>
      </c>
      <c r="Q261" s="4">
        <v>0</v>
      </c>
      <c r="R261" s="4">
        <v>0</v>
      </c>
      <c r="S261" s="58">
        <v>0</v>
      </c>
      <c r="T261" s="58">
        <v>0</v>
      </c>
      <c r="U261" s="58">
        <v>0</v>
      </c>
      <c r="V261" s="5">
        <v>0</v>
      </c>
      <c r="W261" s="4">
        <v>0</v>
      </c>
    </row>
    <row r="262" spans="1:23" x14ac:dyDescent="0.35">
      <c r="A262">
        <v>258</v>
      </c>
      <c r="B262">
        <v>259</v>
      </c>
      <c r="C262">
        <v>146.0601202</v>
      </c>
      <c r="D262">
        <v>-17.522939239999999</v>
      </c>
      <c r="F262" t="str">
        <f>HYPERLINK("D:\Data From Lucan\2024\Johnstone\Frames_for_Analysis\259_20240610_0007_R_0148.jpg","259_20240610_0007_R_0148.jpg")</f>
        <v>259_20240610_0007_R_0148.jpg</v>
      </c>
      <c r="G262">
        <v>2</v>
      </c>
      <c r="I262">
        <f t="shared" si="4"/>
        <v>1</v>
      </c>
      <c r="J262" s="53">
        <v>1</v>
      </c>
      <c r="K262" s="32"/>
      <c r="L262" s="32"/>
      <c r="M262" s="32"/>
      <c r="N262" s="32"/>
      <c r="O262" s="10">
        <v>1</v>
      </c>
      <c r="P262" s="4">
        <v>0</v>
      </c>
      <c r="Q262" s="4">
        <v>0</v>
      </c>
      <c r="R262" s="4">
        <v>0</v>
      </c>
      <c r="S262" s="58">
        <v>0</v>
      </c>
      <c r="T262" s="58">
        <v>0</v>
      </c>
      <c r="U262" s="58">
        <v>0</v>
      </c>
      <c r="V262" s="5">
        <v>0</v>
      </c>
      <c r="W262" s="4">
        <v>0</v>
      </c>
    </row>
    <row r="263" spans="1:23" x14ac:dyDescent="0.35">
      <c r="A263">
        <v>259</v>
      </c>
      <c r="B263">
        <v>260</v>
      </c>
      <c r="C263">
        <v>146.06004830000001</v>
      </c>
      <c r="D263">
        <v>-17.523000280000002</v>
      </c>
      <c r="E263">
        <v>50</v>
      </c>
      <c r="F263" t="str">
        <f>HYPERLINK("D:\Data From Lucan\2024\Johnstone\Frames_for_Analysis\260_20240610_0007_R_0144.jpg","260_20240610_0007_R_0144.jpg")</f>
        <v>260_20240610_0007_R_0144.jpg</v>
      </c>
      <c r="G263">
        <v>2</v>
      </c>
      <c r="I263">
        <f t="shared" si="4"/>
        <v>1</v>
      </c>
      <c r="J263" s="53">
        <v>1</v>
      </c>
      <c r="K263" s="32"/>
      <c r="L263" s="32"/>
      <c r="M263" s="32"/>
      <c r="N263" s="32"/>
      <c r="O263" s="10">
        <v>1</v>
      </c>
      <c r="P263" s="4">
        <v>0</v>
      </c>
      <c r="Q263" s="4">
        <v>0</v>
      </c>
      <c r="R263" s="4">
        <v>0</v>
      </c>
      <c r="S263" s="58">
        <v>0</v>
      </c>
      <c r="T263" s="58">
        <v>0</v>
      </c>
      <c r="U263" s="58">
        <v>0</v>
      </c>
      <c r="V263" s="5">
        <v>0</v>
      </c>
      <c r="W263" s="4">
        <v>0</v>
      </c>
    </row>
    <row r="264" spans="1:23" x14ac:dyDescent="0.35">
      <c r="A264">
        <v>260</v>
      </c>
      <c r="B264">
        <v>261</v>
      </c>
      <c r="C264">
        <v>146.05997640000001</v>
      </c>
      <c r="D264">
        <v>-17.523061330000001</v>
      </c>
      <c r="F264" t="str">
        <f>HYPERLINK("D:\Data From Lucan\2024\Johnstone\Frames_for_Analysis\261_20240610_0007_R_0137.jpg","261_20240610_0007_R_0137.jpg")</f>
        <v>261_20240610_0007_R_0137.jpg</v>
      </c>
      <c r="G264">
        <v>2</v>
      </c>
      <c r="I264">
        <f t="shared" si="4"/>
        <v>1</v>
      </c>
      <c r="J264" s="53">
        <v>1</v>
      </c>
      <c r="K264" s="32"/>
      <c r="L264" s="32"/>
      <c r="M264" s="32"/>
      <c r="N264" s="32"/>
      <c r="O264" s="10">
        <v>1</v>
      </c>
      <c r="P264" s="4">
        <v>0</v>
      </c>
      <c r="Q264" s="4">
        <v>0</v>
      </c>
      <c r="R264" s="4">
        <v>0</v>
      </c>
      <c r="S264" s="58">
        <v>0</v>
      </c>
      <c r="T264" s="58">
        <v>0</v>
      </c>
      <c r="U264" s="58">
        <v>0</v>
      </c>
      <c r="V264" s="5">
        <v>0</v>
      </c>
      <c r="W264" s="4">
        <v>0</v>
      </c>
    </row>
    <row r="265" spans="1:23" x14ac:dyDescent="0.35">
      <c r="A265">
        <v>261</v>
      </c>
      <c r="B265">
        <v>262</v>
      </c>
      <c r="C265">
        <v>146.05990449999999</v>
      </c>
      <c r="D265">
        <v>-17.523122369999999</v>
      </c>
      <c r="F265" t="str">
        <f>HYPERLINK("D:\Data From Lucan\2024\Johnstone\Frames_for_Analysis\262_20240610_0007_R_0133.jpg","262_20240610_0007_R_0133.jpg")</f>
        <v>262_20240610_0007_R_0133.jpg</v>
      </c>
      <c r="G265">
        <v>2</v>
      </c>
      <c r="I265">
        <f t="shared" si="4"/>
        <v>1</v>
      </c>
      <c r="J265" s="53">
        <v>1</v>
      </c>
      <c r="K265" s="32"/>
      <c r="L265" s="32"/>
      <c r="M265" s="32"/>
      <c r="N265" s="32"/>
      <c r="O265" s="10">
        <v>1</v>
      </c>
      <c r="P265" s="4">
        <v>0</v>
      </c>
      <c r="Q265" s="4">
        <v>0</v>
      </c>
      <c r="R265" s="4">
        <v>0</v>
      </c>
      <c r="S265" s="58">
        <v>0</v>
      </c>
      <c r="T265" s="58">
        <v>0</v>
      </c>
      <c r="U265" s="58">
        <v>0</v>
      </c>
      <c r="V265" s="5">
        <v>0</v>
      </c>
      <c r="W265" s="4">
        <v>0</v>
      </c>
    </row>
    <row r="266" spans="1:23" x14ac:dyDescent="0.35">
      <c r="A266">
        <v>262</v>
      </c>
      <c r="B266">
        <v>263</v>
      </c>
      <c r="C266">
        <v>146.05983219999999</v>
      </c>
      <c r="D266">
        <v>-17.523182899999998</v>
      </c>
      <c r="F266" t="str">
        <f>HYPERLINK("D:\Data From Lucan\2024\Johnstone\Frames_for_Analysis\263_20240610_0007_R_0129.jpg","263_20240610_0007_R_0129.jpg")</f>
        <v>263_20240610_0007_R_0129.jpg</v>
      </c>
      <c r="G266">
        <v>2</v>
      </c>
      <c r="I266">
        <f t="shared" si="4"/>
        <v>1</v>
      </c>
      <c r="J266" s="53">
        <v>1</v>
      </c>
      <c r="K266" s="32"/>
      <c r="L266" s="32"/>
      <c r="M266" s="32"/>
      <c r="N266" s="32"/>
      <c r="O266" s="10">
        <v>1</v>
      </c>
      <c r="P266" s="4">
        <v>0</v>
      </c>
      <c r="Q266" s="4">
        <v>0</v>
      </c>
      <c r="R266" s="4">
        <v>0</v>
      </c>
      <c r="S266" s="58">
        <v>0</v>
      </c>
      <c r="T266" s="58">
        <v>0</v>
      </c>
      <c r="U266" s="58">
        <v>0</v>
      </c>
      <c r="V266" s="5">
        <v>0</v>
      </c>
      <c r="W266" s="4">
        <v>0</v>
      </c>
    </row>
    <row r="267" spans="1:23" x14ac:dyDescent="0.35">
      <c r="A267">
        <v>263</v>
      </c>
      <c r="B267">
        <v>264</v>
      </c>
      <c r="C267">
        <v>146.05975459999999</v>
      </c>
      <c r="D267">
        <v>-17.523236480000001</v>
      </c>
      <c r="F267" t="str">
        <f>HYPERLINK("D:\Data From Lucan\2024\Johnstone\Frames_for_Analysis\264_20240610_0007_R_0124.jpg","264_20240610_0007_R_0124.jpg")</f>
        <v>264_20240610_0007_R_0124.jpg</v>
      </c>
      <c r="G267">
        <v>2</v>
      </c>
      <c r="I267">
        <f t="shared" si="4"/>
        <v>1</v>
      </c>
      <c r="J267" s="53">
        <v>1</v>
      </c>
      <c r="K267" s="32"/>
      <c r="L267" s="32"/>
      <c r="M267" s="32"/>
      <c r="N267" s="32"/>
      <c r="O267" s="10">
        <v>1</v>
      </c>
      <c r="P267" s="4">
        <v>0</v>
      </c>
      <c r="Q267" s="4">
        <v>0</v>
      </c>
      <c r="R267" s="4">
        <v>0</v>
      </c>
      <c r="S267" s="58">
        <v>0</v>
      </c>
      <c r="T267" s="58">
        <v>0</v>
      </c>
      <c r="U267" s="58">
        <v>0</v>
      </c>
      <c r="V267" s="5">
        <v>0</v>
      </c>
      <c r="W267" s="4">
        <v>0</v>
      </c>
    </row>
    <row r="268" spans="1:23" x14ac:dyDescent="0.35">
      <c r="A268">
        <v>264</v>
      </c>
      <c r="B268">
        <v>265</v>
      </c>
      <c r="C268">
        <v>146.05967699999999</v>
      </c>
      <c r="D268">
        <v>-17.52329005</v>
      </c>
      <c r="E268">
        <v>50</v>
      </c>
      <c r="F268" t="str">
        <f>HYPERLINK("D:\Data From Lucan\2024\Johnstone\Frames_for_Analysis\265_20240610_0007_R_0122.jpg","265_20240610_0007_R_0122.jpg")</f>
        <v>265_20240610_0007_R_0122.jpg</v>
      </c>
      <c r="G268">
        <v>2</v>
      </c>
      <c r="I268">
        <f t="shared" si="4"/>
        <v>1</v>
      </c>
      <c r="J268" s="53">
        <v>1</v>
      </c>
      <c r="K268" s="32"/>
      <c r="L268" s="32"/>
      <c r="M268" s="32"/>
      <c r="N268" s="32"/>
      <c r="O268" s="10">
        <v>1</v>
      </c>
      <c r="P268" s="4">
        <v>0</v>
      </c>
      <c r="Q268" s="4">
        <v>0</v>
      </c>
      <c r="R268" s="4">
        <v>0</v>
      </c>
      <c r="S268" s="58">
        <v>0</v>
      </c>
      <c r="T268" s="58">
        <v>0</v>
      </c>
      <c r="U268" s="58">
        <v>0</v>
      </c>
      <c r="V268" s="5">
        <v>0</v>
      </c>
      <c r="W268" s="4">
        <v>0</v>
      </c>
    </row>
    <row r="269" spans="1:23" x14ac:dyDescent="0.35">
      <c r="A269">
        <v>265</v>
      </c>
      <c r="B269">
        <v>266</v>
      </c>
      <c r="C269">
        <v>146.0596003</v>
      </c>
      <c r="D269">
        <v>-17.523344789999999</v>
      </c>
      <c r="F269" t="str">
        <f>HYPERLINK("D:\Data From Lucan\2024\Johnstone\Frames_for_Analysis\266_20240610_0007_R_0117.jpg","266_20240610_0007_R_0117.jpg")</f>
        <v>266_20240610_0007_R_0117.jpg</v>
      </c>
      <c r="G269">
        <v>2</v>
      </c>
      <c r="I269">
        <f t="shared" si="4"/>
        <v>1</v>
      </c>
      <c r="J269" s="53">
        <v>1</v>
      </c>
      <c r="K269" s="32"/>
      <c r="L269" s="32"/>
      <c r="M269" s="32"/>
      <c r="N269" s="32"/>
      <c r="O269" s="10">
        <v>1</v>
      </c>
      <c r="P269" s="4">
        <v>0</v>
      </c>
      <c r="Q269" s="4">
        <v>0</v>
      </c>
      <c r="R269" s="4">
        <v>0</v>
      </c>
      <c r="S269" s="58">
        <v>0</v>
      </c>
      <c r="T269" s="58">
        <v>0</v>
      </c>
      <c r="U269" s="58">
        <v>0</v>
      </c>
      <c r="V269" s="5">
        <v>0</v>
      </c>
      <c r="W269" s="4">
        <v>0</v>
      </c>
    </row>
    <row r="270" spans="1:23" x14ac:dyDescent="0.35">
      <c r="A270">
        <v>266</v>
      </c>
      <c r="B270">
        <v>267</v>
      </c>
      <c r="C270">
        <v>146.0595299</v>
      </c>
      <c r="D270">
        <v>-17.523407469999999</v>
      </c>
      <c r="F270" t="str">
        <f>HYPERLINK("D:\Data From Lucan\2024\Johnstone\Frames_for_Analysis\267_20240610_0007_R_0112.jpg","267_20240610_0007_R_0112.jpg")</f>
        <v>267_20240610_0007_R_0112.jpg</v>
      </c>
      <c r="G270">
        <v>2</v>
      </c>
      <c r="I270">
        <f t="shared" si="4"/>
        <v>1</v>
      </c>
      <c r="J270" s="53">
        <v>1</v>
      </c>
      <c r="K270" s="32"/>
      <c r="L270" s="32"/>
      <c r="M270" s="32"/>
      <c r="N270" s="32"/>
      <c r="O270" s="10">
        <v>1</v>
      </c>
      <c r="P270" s="4">
        <v>0</v>
      </c>
      <c r="Q270" s="4">
        <v>0</v>
      </c>
      <c r="R270" s="4">
        <v>0</v>
      </c>
      <c r="S270" s="58">
        <v>0</v>
      </c>
      <c r="T270" s="58">
        <v>0</v>
      </c>
      <c r="U270" s="58">
        <v>0</v>
      </c>
      <c r="V270" s="5">
        <v>0</v>
      </c>
      <c r="W270" s="4">
        <v>0</v>
      </c>
    </row>
    <row r="271" spans="1:23" x14ac:dyDescent="0.35">
      <c r="A271">
        <v>267</v>
      </c>
      <c r="B271">
        <v>268</v>
      </c>
      <c r="C271">
        <v>146.05945940000001</v>
      </c>
      <c r="D271">
        <v>-17.523470150000001</v>
      </c>
      <c r="F271" t="str">
        <f>HYPERLINK("D:\Data From Lucan\2024\Johnstone\Frames_for_Analysis\268_20240610_0007_R_0104.jpg","268_20240610_0007_R_0104.jpg")</f>
        <v>268_20240610_0007_R_0104.jpg</v>
      </c>
      <c r="G271">
        <v>2</v>
      </c>
      <c r="I271">
        <f t="shared" si="4"/>
        <v>1</v>
      </c>
      <c r="J271" s="53">
        <v>1</v>
      </c>
      <c r="K271" s="32"/>
      <c r="L271" s="32"/>
      <c r="M271" s="32"/>
      <c r="N271" s="32"/>
      <c r="O271" s="10">
        <v>1</v>
      </c>
      <c r="P271" s="4">
        <v>0</v>
      </c>
      <c r="Q271" s="4">
        <v>0</v>
      </c>
      <c r="R271" s="4">
        <v>0</v>
      </c>
      <c r="S271" s="58">
        <v>0</v>
      </c>
      <c r="T271" s="58">
        <v>0</v>
      </c>
      <c r="U271" s="58">
        <v>0</v>
      </c>
      <c r="V271" s="5">
        <v>0</v>
      </c>
      <c r="W271" s="4">
        <v>0</v>
      </c>
    </row>
    <row r="272" spans="1:23" x14ac:dyDescent="0.35">
      <c r="A272">
        <v>268</v>
      </c>
      <c r="B272">
        <v>269</v>
      </c>
      <c r="C272">
        <v>146.05938900000001</v>
      </c>
      <c r="D272">
        <v>-17.523532830000001</v>
      </c>
      <c r="F272" t="str">
        <f>HYPERLINK("D:\Data From Lucan\2024\Johnstone\Frames_for_Analysis\269_20240610_0007_R_0102.jpg","269_20240610_0007_R_0102.jpg")</f>
        <v>269_20240610_0007_R_0102.jpg</v>
      </c>
      <c r="G272">
        <v>2</v>
      </c>
      <c r="I272">
        <f t="shared" si="4"/>
        <v>1</v>
      </c>
      <c r="J272" s="53">
        <v>1</v>
      </c>
      <c r="K272" s="32"/>
      <c r="L272" s="32"/>
      <c r="M272" s="32"/>
      <c r="N272" s="32"/>
      <c r="O272" s="10">
        <v>1</v>
      </c>
      <c r="P272" s="4">
        <v>0</v>
      </c>
      <c r="Q272" s="4">
        <v>0</v>
      </c>
      <c r="R272" s="4">
        <v>0</v>
      </c>
      <c r="S272" s="58">
        <v>0</v>
      </c>
      <c r="T272" s="58">
        <v>0</v>
      </c>
      <c r="U272" s="58">
        <v>0</v>
      </c>
      <c r="V272" s="5">
        <v>0</v>
      </c>
      <c r="W272" s="4">
        <v>0</v>
      </c>
    </row>
    <row r="273" spans="1:23" x14ac:dyDescent="0.35">
      <c r="A273">
        <v>269</v>
      </c>
      <c r="B273">
        <v>270</v>
      </c>
      <c r="C273">
        <v>146.05931849999999</v>
      </c>
      <c r="D273">
        <v>-17.52359551</v>
      </c>
      <c r="E273">
        <v>50</v>
      </c>
      <c r="F273" t="str">
        <f>HYPERLINK("D:\Data From Lucan\2024\Johnstone\Frames_for_Analysis\270_20240610_0007_R_0094.jpg","270_20240610_0007_R_0094.jpg")</f>
        <v>270_20240610_0007_R_0094.jpg</v>
      </c>
      <c r="G273">
        <v>2</v>
      </c>
      <c r="I273">
        <f t="shared" si="4"/>
        <v>1</v>
      </c>
      <c r="J273" s="53">
        <v>1</v>
      </c>
      <c r="K273" s="32"/>
      <c r="L273" s="32"/>
      <c r="M273" s="32"/>
      <c r="N273" s="32"/>
      <c r="O273" s="10">
        <v>1</v>
      </c>
      <c r="P273" s="4">
        <v>0</v>
      </c>
      <c r="Q273" s="4">
        <v>0</v>
      </c>
      <c r="R273" s="4">
        <v>0</v>
      </c>
      <c r="S273" s="58">
        <v>0</v>
      </c>
      <c r="T273" s="58">
        <v>0</v>
      </c>
      <c r="U273" s="58">
        <v>0</v>
      </c>
      <c r="V273" s="5">
        <v>0</v>
      </c>
      <c r="W273" s="4">
        <v>0</v>
      </c>
    </row>
    <row r="274" spans="1:23" x14ac:dyDescent="0.35">
      <c r="A274">
        <v>270</v>
      </c>
      <c r="B274">
        <v>271</v>
      </c>
      <c r="C274">
        <v>146.059248</v>
      </c>
      <c r="D274">
        <v>-17.523658189999999</v>
      </c>
      <c r="F274" t="str">
        <f>HYPERLINK("D:\Data From Lucan\2024\Johnstone\Frames_for_Analysis\271_20240610_0007_R_0090.jpg","271_20240610_0007_R_0090.jpg")</f>
        <v>271_20240610_0007_R_0090.jpg</v>
      </c>
      <c r="G274">
        <v>2</v>
      </c>
      <c r="I274">
        <f t="shared" si="4"/>
        <v>1</v>
      </c>
      <c r="J274" s="53">
        <v>1</v>
      </c>
      <c r="K274" s="32"/>
      <c r="L274" s="32"/>
      <c r="M274" s="32"/>
      <c r="N274" s="32"/>
      <c r="O274" s="10">
        <v>1</v>
      </c>
      <c r="P274" s="4">
        <v>0</v>
      </c>
      <c r="Q274" s="4">
        <v>0</v>
      </c>
      <c r="R274" s="4">
        <v>0</v>
      </c>
      <c r="S274" s="58">
        <v>0</v>
      </c>
      <c r="T274" s="58">
        <v>0</v>
      </c>
      <c r="U274" s="58">
        <v>0</v>
      </c>
      <c r="V274" s="5">
        <v>0</v>
      </c>
      <c r="W274" s="4">
        <v>0</v>
      </c>
    </row>
    <row r="275" spans="1:23" x14ac:dyDescent="0.35">
      <c r="A275">
        <v>271</v>
      </c>
      <c r="B275">
        <v>272</v>
      </c>
      <c r="C275">
        <v>146.0591766</v>
      </c>
      <c r="D275">
        <v>-17.523719740000001</v>
      </c>
      <c r="F275" t="str">
        <f>HYPERLINK("D:\Data From Lucan\2024\Johnstone\Frames_for_Analysis\272_20240610_0007_R_0075.jpg","272_20240610_0007_R_0075.jpg")</f>
        <v>272_20240610_0007_R_0075.jpg</v>
      </c>
      <c r="G275">
        <v>2</v>
      </c>
      <c r="I275">
        <f t="shared" si="4"/>
        <v>1</v>
      </c>
      <c r="J275" s="53">
        <v>1</v>
      </c>
      <c r="K275" s="32"/>
      <c r="L275" s="32"/>
      <c r="M275" s="32"/>
      <c r="N275" s="32"/>
      <c r="O275" s="10">
        <v>1</v>
      </c>
      <c r="P275" s="4">
        <v>0</v>
      </c>
      <c r="Q275" s="4">
        <v>0</v>
      </c>
      <c r="R275" s="4">
        <v>0</v>
      </c>
      <c r="S275" s="58">
        <v>0</v>
      </c>
      <c r="T275" s="58">
        <v>0</v>
      </c>
      <c r="U275" s="58">
        <v>0</v>
      </c>
      <c r="V275" s="5">
        <v>0</v>
      </c>
      <c r="W275" s="4">
        <v>0</v>
      </c>
    </row>
    <row r="276" spans="1:23" x14ac:dyDescent="0.35">
      <c r="A276">
        <v>272</v>
      </c>
      <c r="B276">
        <v>273</v>
      </c>
      <c r="C276">
        <v>146.05910489999999</v>
      </c>
      <c r="D276">
        <v>-17.52378105</v>
      </c>
      <c r="F276" t="str">
        <f>HYPERLINK("D:\Data From Lucan\2024\Johnstone\Frames_for_Analysis\273_20240610_0007_R_0076.jpg","273_20240610_0007_R_0076.jpg")</f>
        <v>273_20240610_0007_R_0076.jpg</v>
      </c>
      <c r="G276">
        <v>2</v>
      </c>
      <c r="I276">
        <f t="shared" si="4"/>
        <v>1</v>
      </c>
      <c r="J276" s="53">
        <v>1</v>
      </c>
      <c r="K276" s="32"/>
      <c r="L276" s="32"/>
      <c r="M276" s="32"/>
      <c r="N276" s="32"/>
      <c r="O276" s="10">
        <v>1</v>
      </c>
      <c r="P276" s="4">
        <v>0</v>
      </c>
      <c r="Q276" s="4">
        <v>0</v>
      </c>
      <c r="R276" s="4">
        <v>0</v>
      </c>
      <c r="S276" s="58">
        <v>0</v>
      </c>
      <c r="T276" s="58">
        <v>0</v>
      </c>
      <c r="U276" s="58">
        <v>0</v>
      </c>
      <c r="V276" s="5">
        <v>0</v>
      </c>
      <c r="W276" s="4">
        <v>0</v>
      </c>
    </row>
    <row r="277" spans="1:23" x14ac:dyDescent="0.35">
      <c r="A277">
        <v>273</v>
      </c>
      <c r="B277">
        <v>274</v>
      </c>
      <c r="C277">
        <v>146.05903330000001</v>
      </c>
      <c r="D277">
        <v>-17.523842349999999</v>
      </c>
      <c r="F277" t="str">
        <f>HYPERLINK("D:\Data From Lucan\2024\Johnstone\Frames_for_Analysis\274_20240610_0007_R_0068.jpg","274_20240610_0007_R_0068.jpg")</f>
        <v>274_20240610_0007_R_0068.jpg</v>
      </c>
      <c r="G277">
        <v>2</v>
      </c>
      <c r="I277">
        <f t="shared" si="4"/>
        <v>1</v>
      </c>
      <c r="J277" s="53">
        <v>1</v>
      </c>
      <c r="K277" s="32"/>
      <c r="L277" s="32"/>
      <c r="M277" s="32"/>
      <c r="N277" s="32"/>
      <c r="O277" s="10">
        <v>1</v>
      </c>
      <c r="P277" s="4">
        <v>0</v>
      </c>
      <c r="Q277" s="4">
        <v>0</v>
      </c>
      <c r="R277" s="4">
        <v>0</v>
      </c>
      <c r="S277" s="58">
        <v>0</v>
      </c>
      <c r="T277" s="58">
        <v>0</v>
      </c>
      <c r="U277" s="58">
        <v>0</v>
      </c>
      <c r="V277" s="5">
        <v>0</v>
      </c>
      <c r="W277" s="4">
        <v>0</v>
      </c>
    </row>
    <row r="278" spans="1:23" x14ac:dyDescent="0.35">
      <c r="A278">
        <v>274</v>
      </c>
      <c r="B278">
        <v>275</v>
      </c>
      <c r="C278">
        <v>146.0589616</v>
      </c>
      <c r="D278">
        <v>-17.523903659999998</v>
      </c>
      <c r="E278">
        <v>50</v>
      </c>
      <c r="F278" t="str">
        <f>HYPERLINK("D:\Data From Lucan\2024\Johnstone\Frames_for_Analysis\275_20240610_0007_R_0039.jpg","275_20240610_0007_R_0039.jpg")</f>
        <v>275_20240610_0007_R_0039.jpg</v>
      </c>
      <c r="G278">
        <v>2</v>
      </c>
      <c r="I278">
        <f t="shared" si="4"/>
        <v>1</v>
      </c>
      <c r="J278" s="53">
        <v>1</v>
      </c>
      <c r="K278" s="32"/>
      <c r="L278" s="32"/>
      <c r="M278" s="32"/>
      <c r="N278" s="32"/>
      <c r="O278" s="10">
        <v>1</v>
      </c>
      <c r="P278" s="4">
        <v>0</v>
      </c>
      <c r="Q278" s="4">
        <v>0</v>
      </c>
      <c r="R278" s="4">
        <v>0</v>
      </c>
      <c r="S278" s="58">
        <v>0</v>
      </c>
      <c r="T278" s="58">
        <v>0</v>
      </c>
      <c r="U278" s="58">
        <v>0</v>
      </c>
      <c r="V278" s="5">
        <v>0</v>
      </c>
      <c r="W278" s="4">
        <v>0</v>
      </c>
    </row>
    <row r="279" spans="1:23" x14ac:dyDescent="0.35">
      <c r="A279">
        <v>275</v>
      </c>
      <c r="B279">
        <v>276</v>
      </c>
      <c r="C279">
        <v>146.05888999999999</v>
      </c>
      <c r="D279">
        <v>-17.523964970000002</v>
      </c>
      <c r="F279" t="str">
        <f>HYPERLINK("D:\Data From Lucan\2024\Johnstone\Frames_for_Analysis\276_20240610_0007_R_0059.jpg","276_20240610_0007_R_0059.jpg")</f>
        <v>276_20240610_0007_R_0059.jpg</v>
      </c>
      <c r="G279">
        <v>2</v>
      </c>
      <c r="I279">
        <f t="shared" si="4"/>
        <v>1</v>
      </c>
      <c r="J279" s="53">
        <v>1</v>
      </c>
      <c r="K279" s="32"/>
      <c r="L279" s="32"/>
      <c r="M279" s="32"/>
      <c r="N279" s="32"/>
      <c r="O279" s="10">
        <v>1</v>
      </c>
      <c r="P279" s="4">
        <v>0</v>
      </c>
      <c r="Q279" s="4">
        <v>0</v>
      </c>
      <c r="R279" s="4">
        <v>0</v>
      </c>
      <c r="S279" s="58">
        <v>0</v>
      </c>
      <c r="T279" s="58">
        <v>0</v>
      </c>
      <c r="U279" s="58">
        <v>0</v>
      </c>
      <c r="V279" s="5">
        <v>0</v>
      </c>
      <c r="W279" s="4">
        <v>0</v>
      </c>
    </row>
    <row r="280" spans="1:23" x14ac:dyDescent="0.35">
      <c r="A280">
        <v>276</v>
      </c>
      <c r="B280">
        <v>277</v>
      </c>
      <c r="C280">
        <v>146.05881539999999</v>
      </c>
      <c r="D280">
        <v>-17.52402262</v>
      </c>
      <c r="F280" t="str">
        <f>HYPERLINK("D:\Data From Lucan\2024\Johnstone\Frames_for_Analysis\277_20240610_0007_R_0037.jpg","277_20240610_0007_R_0037.jpg")</f>
        <v>277_20240610_0007_R_0037.jpg</v>
      </c>
      <c r="G280">
        <v>2</v>
      </c>
      <c r="I280">
        <f t="shared" si="4"/>
        <v>1</v>
      </c>
      <c r="J280" s="53">
        <v>1</v>
      </c>
      <c r="K280" s="32"/>
      <c r="L280" s="32"/>
      <c r="M280" s="32"/>
      <c r="N280" s="32"/>
      <c r="O280" s="10">
        <v>1</v>
      </c>
      <c r="P280" s="4">
        <v>0</v>
      </c>
      <c r="Q280" s="4">
        <v>0</v>
      </c>
      <c r="R280" s="4">
        <v>0</v>
      </c>
      <c r="S280" s="58">
        <v>0</v>
      </c>
      <c r="T280" s="58">
        <v>0</v>
      </c>
      <c r="U280" s="58">
        <v>0</v>
      </c>
      <c r="V280" s="5">
        <v>0</v>
      </c>
      <c r="W280" s="4">
        <v>0</v>
      </c>
    </row>
    <row r="281" spans="1:23" x14ac:dyDescent="0.35">
      <c r="A281">
        <v>277</v>
      </c>
      <c r="B281">
        <v>278</v>
      </c>
      <c r="C281">
        <v>146.0587391</v>
      </c>
      <c r="D281">
        <v>-17.524078060000001</v>
      </c>
      <c r="F281" t="str">
        <f>HYPERLINK("D:\Data From Lucan\2024\Johnstone\Frames_for_Analysis\278_20240610_0007_R_0034.jpg","278_20240610_0007_R_0034.jpg")</f>
        <v>278_20240610_0007_R_0034.jpg</v>
      </c>
      <c r="G281">
        <v>2</v>
      </c>
      <c r="I281">
        <f t="shared" si="4"/>
        <v>1</v>
      </c>
      <c r="J281" s="53">
        <v>1</v>
      </c>
      <c r="K281" s="32"/>
      <c r="L281" s="32"/>
      <c r="M281" s="32"/>
      <c r="N281" s="32"/>
      <c r="O281" s="10">
        <v>1</v>
      </c>
      <c r="P281" s="4">
        <v>0</v>
      </c>
      <c r="Q281" s="4">
        <v>0</v>
      </c>
      <c r="R281" s="4">
        <v>0</v>
      </c>
      <c r="S281" s="58">
        <v>0</v>
      </c>
      <c r="T281" s="58">
        <v>0</v>
      </c>
      <c r="U281" s="58">
        <v>0</v>
      </c>
      <c r="V281" s="5">
        <v>0</v>
      </c>
      <c r="W281" s="4">
        <v>0</v>
      </c>
    </row>
    <row r="282" spans="1:23" x14ac:dyDescent="0.35">
      <c r="A282">
        <v>278</v>
      </c>
      <c r="B282">
        <v>279</v>
      </c>
      <c r="C282">
        <v>146.05866280000001</v>
      </c>
      <c r="D282">
        <v>-17.524133490000001</v>
      </c>
      <c r="F282" t="str">
        <f>HYPERLINK("D:\Data From Lucan\2024\Johnstone\Frames_for_Analysis\279_20240610_0007_R_0033.jpg","279_20240610_0007_R_0033.jpg")</f>
        <v>279_20240610_0007_R_0033.jpg</v>
      </c>
      <c r="G282">
        <v>2</v>
      </c>
      <c r="I282">
        <f t="shared" si="4"/>
        <v>1</v>
      </c>
      <c r="J282" s="53">
        <v>1</v>
      </c>
      <c r="K282" s="32"/>
      <c r="L282" s="32"/>
      <c r="M282" s="32"/>
      <c r="N282" s="32"/>
      <c r="O282" s="10">
        <v>1</v>
      </c>
      <c r="P282" s="4">
        <v>0</v>
      </c>
      <c r="Q282" s="4">
        <v>0</v>
      </c>
      <c r="R282" s="4">
        <v>0</v>
      </c>
      <c r="S282" s="58">
        <v>0</v>
      </c>
      <c r="T282" s="58">
        <v>0</v>
      </c>
      <c r="U282" s="58">
        <v>0</v>
      </c>
      <c r="V282" s="5">
        <v>0</v>
      </c>
      <c r="W282" s="4">
        <v>0</v>
      </c>
    </row>
    <row r="283" spans="1:23" x14ac:dyDescent="0.35">
      <c r="A283">
        <v>279</v>
      </c>
      <c r="B283">
        <v>280</v>
      </c>
      <c r="C283">
        <v>146.0585897</v>
      </c>
      <c r="D283">
        <v>-17.52419261</v>
      </c>
      <c r="E283">
        <v>50</v>
      </c>
      <c r="F283" t="str">
        <f>HYPERLINK("D:\Data From Lucan\2024\Johnstone\Frames_for_Analysis\280_20240610_0006_L_0008.jpg","280_20240610_0006_L_0008.jpg")</f>
        <v>280_20240610_0006_L_0008.jpg</v>
      </c>
      <c r="G283">
        <v>2</v>
      </c>
      <c r="I283">
        <f t="shared" si="4"/>
        <v>1</v>
      </c>
      <c r="J283" s="53">
        <v>1</v>
      </c>
      <c r="K283" s="32"/>
      <c r="L283" s="32"/>
      <c r="M283" s="32"/>
      <c r="N283" s="32"/>
      <c r="O283" s="10">
        <v>1</v>
      </c>
      <c r="P283" s="4">
        <v>0</v>
      </c>
      <c r="Q283" s="4">
        <v>0</v>
      </c>
      <c r="R283" s="4">
        <v>0</v>
      </c>
      <c r="S283" s="58">
        <v>0</v>
      </c>
      <c r="T283" s="58">
        <v>0</v>
      </c>
      <c r="U283" s="58">
        <v>0</v>
      </c>
      <c r="V283" s="5">
        <v>0</v>
      </c>
      <c r="W283" s="4">
        <v>0</v>
      </c>
    </row>
    <row r="284" spans="1:23" x14ac:dyDescent="0.35">
      <c r="A284">
        <v>280</v>
      </c>
      <c r="B284">
        <v>281</v>
      </c>
      <c r="C284">
        <v>146.0585222</v>
      </c>
      <c r="D284">
        <v>-17.524258499999998</v>
      </c>
      <c r="F284" t="str">
        <f>HYPERLINK("D:\Data From Lucan\2024\Johnstone\Frames_for_Analysis\281_20240610_0006_L_0009.jpg","281_20240610_0006_L_0009.jpg")</f>
        <v>281_20240610_0006_L_0009.jpg</v>
      </c>
      <c r="G284">
        <v>2</v>
      </c>
      <c r="I284">
        <f t="shared" si="4"/>
        <v>1</v>
      </c>
      <c r="J284" s="53">
        <v>1</v>
      </c>
      <c r="K284" s="32"/>
      <c r="L284" s="32"/>
      <c r="M284" s="32"/>
      <c r="N284" s="32"/>
      <c r="O284" s="10">
        <v>1</v>
      </c>
      <c r="P284" s="4">
        <v>0</v>
      </c>
      <c r="Q284" s="4">
        <v>0</v>
      </c>
      <c r="R284" s="4">
        <v>0</v>
      </c>
      <c r="S284" s="58">
        <v>0</v>
      </c>
      <c r="T284" s="58">
        <v>0</v>
      </c>
      <c r="U284" s="58">
        <v>0</v>
      </c>
      <c r="V284" s="5">
        <v>0</v>
      </c>
      <c r="W284" s="4">
        <v>0</v>
      </c>
    </row>
    <row r="285" spans="1:23" s="75" customFormat="1" hidden="1" x14ac:dyDescent="0.35">
      <c r="A285" s="75">
        <v>281</v>
      </c>
      <c r="B285" s="75">
        <v>282</v>
      </c>
      <c r="C285">
        <v>146.0584547</v>
      </c>
      <c r="D285">
        <v>-17.524324400000001</v>
      </c>
      <c r="F285" s="75" t="str">
        <f>HYPERLINK("E:\Data From Lucan\2024\Johnstone\Frames_for_Analysis\282_20240610_0007_R_0018.jpg","282_20240610_0007_R_0018.jpg")</f>
        <v>282_20240610_0007_R_0018.jpg</v>
      </c>
      <c r="G285" s="75">
        <v>100</v>
      </c>
      <c r="I285">
        <f t="shared" si="4"/>
        <v>1</v>
      </c>
      <c r="J285" s="76">
        <v>1</v>
      </c>
      <c r="K285" s="77"/>
      <c r="L285" s="77"/>
      <c r="M285" s="77"/>
      <c r="N285" s="77"/>
      <c r="O285" s="78">
        <v>1</v>
      </c>
      <c r="P285" s="78">
        <v>0</v>
      </c>
      <c r="Q285" s="78">
        <v>0</v>
      </c>
      <c r="R285" s="78">
        <v>0</v>
      </c>
      <c r="S285" s="75">
        <v>0</v>
      </c>
      <c r="T285" s="75">
        <v>0</v>
      </c>
      <c r="U285" s="75">
        <v>0</v>
      </c>
      <c r="V285" s="79">
        <v>0</v>
      </c>
      <c r="W285" s="78">
        <v>0</v>
      </c>
    </row>
    <row r="286" spans="1:23" s="75" customFormat="1" hidden="1" x14ac:dyDescent="0.35">
      <c r="A286" s="75">
        <v>282</v>
      </c>
      <c r="B286" s="75">
        <v>283</v>
      </c>
      <c r="C286">
        <v>146.05839950000001</v>
      </c>
      <c r="D286">
        <v>-17.524396240000002</v>
      </c>
      <c r="F286" s="75" t="str">
        <f>HYPERLINK("E:\Data From Lucan\2024\Johnstone\Frames_for_Analysis\283_20240610_0006_L_0016.jpg","283_20240610_0006_L_0016.jpg")</f>
        <v>283_20240610_0006_L_0016.jpg</v>
      </c>
      <c r="G286" s="75">
        <v>100</v>
      </c>
      <c r="I286">
        <f t="shared" si="4"/>
        <v>1</v>
      </c>
      <c r="J286" s="76">
        <v>1</v>
      </c>
      <c r="K286" s="77"/>
      <c r="L286" s="77"/>
      <c r="M286" s="77"/>
      <c r="N286" s="77"/>
      <c r="O286" s="78">
        <v>1</v>
      </c>
      <c r="P286" s="78">
        <v>0</v>
      </c>
      <c r="Q286" s="78">
        <v>0</v>
      </c>
      <c r="R286" s="78">
        <v>0</v>
      </c>
      <c r="S286" s="75">
        <v>0</v>
      </c>
      <c r="T286" s="75">
        <v>0</v>
      </c>
      <c r="U286" s="75">
        <v>0</v>
      </c>
      <c r="V286" s="79">
        <v>0</v>
      </c>
      <c r="W286" s="78">
        <v>0</v>
      </c>
    </row>
    <row r="287" spans="1:23" s="75" customFormat="1" hidden="1" x14ac:dyDescent="0.35">
      <c r="A287" s="75">
        <v>283</v>
      </c>
      <c r="B287" s="75">
        <v>284</v>
      </c>
      <c r="C287">
        <v>146.05841029999999</v>
      </c>
      <c r="D287">
        <v>-17.524489020000001</v>
      </c>
      <c r="F287" s="75" t="str">
        <f>HYPERLINK("E:\Data From Lucan\2024\Johnstone\Frames_for_Analysis\284_20240610_0007_R_0014.jpg","284_20240610_0007_R_0014.jpg")</f>
        <v>284_20240610_0007_R_0014.jpg</v>
      </c>
      <c r="G287" s="75">
        <v>100</v>
      </c>
      <c r="I287">
        <f t="shared" si="4"/>
        <v>1</v>
      </c>
      <c r="J287" s="76">
        <v>1</v>
      </c>
      <c r="K287" s="77"/>
      <c r="L287" s="77"/>
      <c r="M287" s="77"/>
      <c r="N287" s="77"/>
      <c r="O287" s="78">
        <v>1</v>
      </c>
      <c r="P287" s="78">
        <v>0</v>
      </c>
      <c r="Q287" s="78">
        <v>0</v>
      </c>
      <c r="R287" s="78">
        <v>0</v>
      </c>
      <c r="S287" s="75">
        <v>0</v>
      </c>
      <c r="T287" s="75">
        <v>0</v>
      </c>
      <c r="U287" s="75">
        <v>0</v>
      </c>
      <c r="V287" s="79">
        <v>0</v>
      </c>
      <c r="W287" s="78">
        <v>0</v>
      </c>
    </row>
    <row r="288" spans="1:23" s="75" customFormat="1" hidden="1" x14ac:dyDescent="0.35">
      <c r="A288" s="75">
        <v>284</v>
      </c>
      <c r="B288" s="75">
        <v>285</v>
      </c>
      <c r="C288">
        <v>146.05846170000001</v>
      </c>
      <c r="D288">
        <v>-17.524566709999998</v>
      </c>
      <c r="E288" s="75">
        <v>50</v>
      </c>
      <c r="F288" s="75" t="str">
        <f>HYPERLINK("E:\Data From Lucan\2024\Johnstone\Frames_for_Analysis\285_20240610_0006_L_0025.jpg","285_20240610_0006_L_0025.jpg")</f>
        <v>285_20240610_0006_L_0025.jpg</v>
      </c>
      <c r="G288" s="75">
        <v>100</v>
      </c>
      <c r="I288">
        <f t="shared" si="4"/>
        <v>1</v>
      </c>
      <c r="J288" s="76">
        <v>1</v>
      </c>
      <c r="K288" s="77"/>
      <c r="L288" s="77"/>
      <c r="M288" s="77"/>
      <c r="N288" s="77"/>
      <c r="O288" s="78">
        <v>1</v>
      </c>
      <c r="P288" s="78">
        <v>0</v>
      </c>
      <c r="Q288" s="78">
        <v>0</v>
      </c>
      <c r="R288" s="78">
        <v>0</v>
      </c>
      <c r="S288" s="75">
        <v>0</v>
      </c>
      <c r="T288" s="75">
        <v>0</v>
      </c>
      <c r="U288" s="75">
        <v>0</v>
      </c>
      <c r="V288" s="79">
        <v>0</v>
      </c>
      <c r="W288" s="78">
        <v>0</v>
      </c>
    </row>
    <row r="289" spans="1:23" s="75" customFormat="1" hidden="1" x14ac:dyDescent="0.35">
      <c r="A289" s="75">
        <v>285</v>
      </c>
      <c r="B289" s="75">
        <v>286</v>
      </c>
      <c r="C289">
        <v>146.05853450000001</v>
      </c>
      <c r="D289">
        <v>-17.524625409999999</v>
      </c>
      <c r="F289" s="75" t="str">
        <f>HYPERLINK("E:\Data From Lucan\2024\Johnstone\Frames_for_Analysis\286_20240610_0006_L_0030.jpg","286_20240610_0006_L_0030.jpg")</f>
        <v>286_20240610_0006_L_0030.jpg</v>
      </c>
      <c r="G289" s="75">
        <v>100</v>
      </c>
      <c r="I289">
        <f t="shared" si="4"/>
        <v>1</v>
      </c>
      <c r="J289" s="76">
        <v>1</v>
      </c>
      <c r="K289" s="77"/>
      <c r="L289" s="77"/>
      <c r="M289" s="77"/>
      <c r="N289" s="77"/>
      <c r="O289" s="78">
        <v>1</v>
      </c>
      <c r="P289" s="78">
        <v>0</v>
      </c>
      <c r="Q289" s="78">
        <v>0</v>
      </c>
      <c r="R289" s="78">
        <v>0</v>
      </c>
      <c r="S289" s="75">
        <v>0</v>
      </c>
      <c r="T289" s="75">
        <v>0</v>
      </c>
      <c r="U289" s="75">
        <v>0</v>
      </c>
      <c r="V289" s="79">
        <v>0</v>
      </c>
      <c r="W289" s="78">
        <v>0</v>
      </c>
    </row>
    <row r="290" spans="1:23" s="75" customFormat="1" hidden="1" x14ac:dyDescent="0.35">
      <c r="A290" s="75">
        <v>286</v>
      </c>
      <c r="B290" s="75">
        <v>287</v>
      </c>
      <c r="C290">
        <v>146.0586117</v>
      </c>
      <c r="D290">
        <v>-17.524679630000001</v>
      </c>
      <c r="F290" s="75" t="str">
        <f>HYPERLINK("E:\Data From Lucan\2024\Johnstone\Frames_for_Analysis\287_20240610_0006_L_0035.jpg","287_20240610_0006_L_0035.jpg")</f>
        <v>287_20240610_0006_L_0035.jpg</v>
      </c>
      <c r="G290" s="75">
        <v>100</v>
      </c>
      <c r="I290">
        <f t="shared" si="4"/>
        <v>1</v>
      </c>
      <c r="J290" s="76">
        <v>1</v>
      </c>
      <c r="K290" s="77"/>
      <c r="L290" s="77"/>
      <c r="M290" s="77"/>
      <c r="N290" s="77"/>
      <c r="O290" s="78">
        <v>1</v>
      </c>
      <c r="P290" s="78">
        <v>0</v>
      </c>
      <c r="Q290" s="78">
        <v>0</v>
      </c>
      <c r="R290" s="78">
        <v>0</v>
      </c>
      <c r="S290" s="75">
        <v>0</v>
      </c>
      <c r="T290" s="75">
        <v>0</v>
      </c>
      <c r="U290" s="75">
        <v>0</v>
      </c>
      <c r="V290" s="79">
        <v>0</v>
      </c>
      <c r="W290" s="78">
        <v>0</v>
      </c>
    </row>
    <row r="291" spans="1:23" s="75" customFormat="1" hidden="1" x14ac:dyDescent="0.35">
      <c r="A291" s="75">
        <v>287</v>
      </c>
      <c r="B291" s="75">
        <v>288</v>
      </c>
      <c r="C291">
        <v>146.0586888</v>
      </c>
      <c r="D291">
        <v>-17.524733860000001</v>
      </c>
      <c r="F291" s="75" t="str">
        <f>HYPERLINK("E:\Data From Lucan\2024\Johnstone\Frames_for_Analysis\288_20240610_0006_L_0041.jpg","288_20240610_0006_L_0041.jpg")</f>
        <v>288_20240610_0006_L_0041.jpg</v>
      </c>
      <c r="G291" s="75">
        <v>100</v>
      </c>
      <c r="I291">
        <f t="shared" si="4"/>
        <v>1</v>
      </c>
      <c r="J291" s="76">
        <v>1</v>
      </c>
      <c r="K291" s="77"/>
      <c r="L291" s="77"/>
      <c r="M291" s="77"/>
      <c r="N291" s="77"/>
      <c r="O291" s="78">
        <v>1</v>
      </c>
      <c r="P291" s="78">
        <v>0</v>
      </c>
      <c r="Q291" s="78">
        <v>0</v>
      </c>
      <c r="R291" s="78">
        <v>0</v>
      </c>
      <c r="S291" s="75">
        <v>0</v>
      </c>
      <c r="T291" s="75">
        <v>0</v>
      </c>
      <c r="U291" s="75">
        <v>0</v>
      </c>
      <c r="V291" s="79">
        <v>0</v>
      </c>
      <c r="W291" s="78">
        <v>0</v>
      </c>
    </row>
    <row r="292" spans="1:23" s="75" customFormat="1" hidden="1" x14ac:dyDescent="0.35">
      <c r="A292" s="75">
        <v>288</v>
      </c>
      <c r="B292" s="75">
        <v>289</v>
      </c>
      <c r="C292">
        <v>146.05876900000001</v>
      </c>
      <c r="D292">
        <v>-17.524783469999999</v>
      </c>
      <c r="F292" s="75" t="str">
        <f>HYPERLINK("E:\Data From Lucan\2024\Johnstone\Frames_for_Analysis\289_20240610_0006_L_0046.jpg","289_20240610_0006_L_0046.jpg")</f>
        <v>289_20240610_0006_L_0046.jpg</v>
      </c>
      <c r="G292" s="75">
        <v>100</v>
      </c>
      <c r="I292">
        <f t="shared" si="4"/>
        <v>1</v>
      </c>
      <c r="J292" s="76">
        <v>1</v>
      </c>
      <c r="K292" s="77"/>
      <c r="L292" s="77"/>
      <c r="M292" s="77"/>
      <c r="N292" s="77"/>
      <c r="O292" s="78">
        <v>1</v>
      </c>
      <c r="P292" s="78">
        <v>0</v>
      </c>
      <c r="Q292" s="78">
        <v>0</v>
      </c>
      <c r="R292" s="78">
        <v>0</v>
      </c>
      <c r="S292" s="75">
        <v>0</v>
      </c>
      <c r="T292" s="75">
        <v>0</v>
      </c>
      <c r="U292" s="75">
        <v>0</v>
      </c>
      <c r="V292" s="79">
        <v>0</v>
      </c>
      <c r="W292" s="78">
        <v>0</v>
      </c>
    </row>
    <row r="293" spans="1:23" s="75" customFormat="1" hidden="1" x14ac:dyDescent="0.35">
      <c r="A293" s="75">
        <v>289</v>
      </c>
      <c r="B293" s="75">
        <v>290</v>
      </c>
      <c r="C293">
        <v>146.05884950000001</v>
      </c>
      <c r="D293">
        <v>-17.524832620000002</v>
      </c>
      <c r="E293" s="75">
        <v>50</v>
      </c>
      <c r="F293" s="75" t="str">
        <f>HYPERLINK("E:\Data From Lucan\2024\Johnstone\Frames_for_Analysis\290_20240610_0006_L_0051.jpg","290_20240610_0006_L_0051.jpg")</f>
        <v>290_20240610_0006_L_0051.jpg</v>
      </c>
      <c r="G293" s="75">
        <v>100</v>
      </c>
      <c r="I293">
        <f t="shared" si="4"/>
        <v>1</v>
      </c>
      <c r="J293" s="76">
        <v>1</v>
      </c>
      <c r="K293" s="77"/>
      <c r="L293" s="77"/>
      <c r="M293" s="77"/>
      <c r="N293" s="77"/>
      <c r="O293" s="78">
        <v>1</v>
      </c>
      <c r="P293" s="78">
        <v>0</v>
      </c>
      <c r="Q293" s="78">
        <v>0</v>
      </c>
      <c r="R293" s="78">
        <v>0</v>
      </c>
      <c r="S293" s="75">
        <v>0</v>
      </c>
      <c r="T293" s="75">
        <v>0</v>
      </c>
      <c r="U293" s="75">
        <v>0</v>
      </c>
      <c r="V293" s="79">
        <v>0</v>
      </c>
      <c r="W293" s="78">
        <v>0</v>
      </c>
    </row>
    <row r="294" spans="1:23" s="75" customFormat="1" hidden="1" x14ac:dyDescent="0.35">
      <c r="A294" s="75">
        <v>290</v>
      </c>
      <c r="B294" s="75">
        <v>291</v>
      </c>
      <c r="C294">
        <v>146.05893</v>
      </c>
      <c r="D294">
        <v>-17.52488177</v>
      </c>
      <c r="F294" s="75" t="str">
        <f>HYPERLINK("E:\Data From Lucan\2024\Johnstone\Frames_for_Analysis\291_20240610_0006_L_0056.jpg","291_20240610_0006_L_0056.jpg")</f>
        <v>291_20240610_0006_L_0056.jpg</v>
      </c>
      <c r="G294" s="75">
        <v>100</v>
      </c>
      <c r="I294">
        <f t="shared" si="4"/>
        <v>1</v>
      </c>
      <c r="J294" s="76">
        <v>1</v>
      </c>
      <c r="K294" s="77"/>
      <c r="L294" s="77"/>
      <c r="M294" s="77"/>
      <c r="N294" s="77"/>
      <c r="O294" s="78">
        <v>1</v>
      </c>
      <c r="P294" s="78">
        <v>0</v>
      </c>
      <c r="Q294" s="78">
        <v>0</v>
      </c>
      <c r="R294" s="78">
        <v>0</v>
      </c>
      <c r="S294" s="75">
        <v>0</v>
      </c>
      <c r="T294" s="75">
        <v>0</v>
      </c>
      <c r="U294" s="75">
        <v>0</v>
      </c>
      <c r="V294" s="79">
        <v>0</v>
      </c>
      <c r="W294" s="78">
        <v>0</v>
      </c>
    </row>
    <row r="295" spans="1:23" s="75" customFormat="1" hidden="1" x14ac:dyDescent="0.35">
      <c r="A295" s="75">
        <v>291</v>
      </c>
      <c r="B295" s="75">
        <v>292</v>
      </c>
      <c r="C295">
        <v>146.0590105</v>
      </c>
      <c r="D295">
        <v>-17.524930789999999</v>
      </c>
      <c r="F295" s="75" t="str">
        <f>HYPERLINK("E:\Data From Lucan\2024\Johnstone\Frames_for_Analysis\292_20240610_0006_L_0061.jpg","292_20240610_0006_L_0061.jpg")</f>
        <v>292_20240610_0006_L_0061.jpg</v>
      </c>
      <c r="G295" s="75">
        <v>100</v>
      </c>
      <c r="I295">
        <f t="shared" si="4"/>
        <v>1</v>
      </c>
      <c r="J295" s="76">
        <v>1</v>
      </c>
      <c r="K295" s="77"/>
      <c r="L295" s="77"/>
      <c r="M295" s="77"/>
      <c r="N295" s="77"/>
      <c r="O295" s="78">
        <v>1</v>
      </c>
      <c r="P295" s="78">
        <v>0</v>
      </c>
      <c r="Q295" s="78">
        <v>0</v>
      </c>
      <c r="R295" s="78">
        <v>0</v>
      </c>
      <c r="S295" s="75">
        <v>0</v>
      </c>
      <c r="T295" s="75">
        <v>0</v>
      </c>
      <c r="U295" s="75">
        <v>0</v>
      </c>
      <c r="V295" s="79">
        <v>0</v>
      </c>
      <c r="W295" s="78">
        <v>0</v>
      </c>
    </row>
    <row r="296" spans="1:23" s="75" customFormat="1" hidden="1" x14ac:dyDescent="0.35">
      <c r="A296" s="75">
        <v>292</v>
      </c>
      <c r="B296" s="75">
        <v>293</v>
      </c>
      <c r="C296">
        <v>146.05909149999999</v>
      </c>
      <c r="D296">
        <v>-17.52497919</v>
      </c>
      <c r="F296" s="75" t="str">
        <f>HYPERLINK("E:\Data From Lucan\2024\Johnstone\Frames_for_Analysis\293_20240610_0006_L_0064.jpg","293_20240610_0006_L_0064.jpg")</f>
        <v>293_20240610_0006_L_0064.jpg</v>
      </c>
      <c r="G296" s="75">
        <v>100</v>
      </c>
      <c r="I296">
        <f t="shared" si="4"/>
        <v>1</v>
      </c>
      <c r="J296" s="76">
        <v>1</v>
      </c>
      <c r="K296" s="77"/>
      <c r="L296" s="77"/>
      <c r="M296" s="77"/>
      <c r="N296" s="77"/>
      <c r="O296" s="78">
        <v>1</v>
      </c>
      <c r="P296" s="78">
        <v>0</v>
      </c>
      <c r="Q296" s="78">
        <v>0</v>
      </c>
      <c r="R296" s="78">
        <v>0</v>
      </c>
      <c r="S296" s="75">
        <v>0</v>
      </c>
      <c r="T296" s="75">
        <v>0</v>
      </c>
      <c r="U296" s="75">
        <v>0</v>
      </c>
      <c r="V296" s="79">
        <v>0</v>
      </c>
      <c r="W296" s="78">
        <v>0</v>
      </c>
    </row>
    <row r="297" spans="1:23" s="75" customFormat="1" hidden="1" x14ac:dyDescent="0.35">
      <c r="A297" s="75">
        <v>293</v>
      </c>
      <c r="B297" s="75">
        <v>294</v>
      </c>
      <c r="C297">
        <v>146.05917239999999</v>
      </c>
      <c r="D297">
        <v>-17.525027590000001</v>
      </c>
      <c r="F297" s="75" t="str">
        <f>HYPERLINK("E:\Data From Lucan\2024\Johnstone\Frames_for_Analysis\294_20240610_0006_L_0070.jpg","294_20240610_0006_L_0070.jpg")</f>
        <v>294_20240610_0006_L_0070.jpg</v>
      </c>
      <c r="G297" s="75">
        <v>100</v>
      </c>
      <c r="I297">
        <f t="shared" si="4"/>
        <v>1</v>
      </c>
      <c r="J297" s="76">
        <v>1</v>
      </c>
      <c r="K297" s="77"/>
      <c r="L297" s="77"/>
      <c r="M297" s="77"/>
      <c r="N297" s="77"/>
      <c r="O297" s="78">
        <v>1</v>
      </c>
      <c r="P297" s="78">
        <v>0</v>
      </c>
      <c r="Q297" s="78">
        <v>0</v>
      </c>
      <c r="R297" s="78">
        <v>0</v>
      </c>
      <c r="S297" s="75">
        <v>0</v>
      </c>
      <c r="T297" s="75">
        <v>0</v>
      </c>
      <c r="U297" s="75">
        <v>0</v>
      </c>
      <c r="V297" s="79">
        <v>0</v>
      </c>
      <c r="W297" s="78">
        <v>0</v>
      </c>
    </row>
    <row r="298" spans="1:23" s="75" customFormat="1" hidden="1" x14ac:dyDescent="0.35">
      <c r="A298" s="75">
        <v>294</v>
      </c>
      <c r="B298" s="75">
        <v>295</v>
      </c>
      <c r="C298">
        <v>146.05925329999999</v>
      </c>
      <c r="D298">
        <v>-17.52507598</v>
      </c>
      <c r="E298" s="75">
        <v>50</v>
      </c>
      <c r="F298" s="75" t="str">
        <f>HYPERLINK("E:\Data From Lucan\2024\Johnstone\Frames_for_Analysis\295_20240610_0006_L_0074.jpg","295_20240610_0006_L_0074.jpg")</f>
        <v>295_20240610_0006_L_0074.jpg</v>
      </c>
      <c r="G298" s="75">
        <v>100</v>
      </c>
      <c r="I298">
        <f t="shared" si="4"/>
        <v>1</v>
      </c>
      <c r="J298" s="76">
        <v>1</v>
      </c>
      <c r="K298" s="77"/>
      <c r="L298" s="77"/>
      <c r="M298" s="77"/>
      <c r="N298" s="77"/>
      <c r="O298" s="78">
        <v>1</v>
      </c>
      <c r="P298" s="78">
        <v>0</v>
      </c>
      <c r="Q298" s="78">
        <v>0</v>
      </c>
      <c r="R298" s="78">
        <v>0</v>
      </c>
      <c r="S298" s="75">
        <v>0</v>
      </c>
      <c r="T298" s="75">
        <v>0</v>
      </c>
      <c r="U298" s="75">
        <v>0</v>
      </c>
      <c r="V298" s="79">
        <v>0</v>
      </c>
      <c r="W298" s="78">
        <v>0</v>
      </c>
    </row>
    <row r="299" spans="1:23" s="75" customFormat="1" hidden="1" x14ac:dyDescent="0.35">
      <c r="A299" s="75">
        <v>295</v>
      </c>
      <c r="B299" s="75">
        <v>296</v>
      </c>
      <c r="C299">
        <v>146.05933429999999</v>
      </c>
      <c r="D299">
        <v>-17.525124389999998</v>
      </c>
      <c r="F299" s="75" t="str">
        <f>HYPERLINK("E:\Data From Lucan\2024\Johnstone\Frames_for_Analysis\296_20240610_0006_L_0078.jpg","296_20240610_0006_L_0078.jpg")</f>
        <v>296_20240610_0006_L_0078.jpg</v>
      </c>
      <c r="G299" s="75">
        <v>100</v>
      </c>
      <c r="I299">
        <f t="shared" si="4"/>
        <v>1</v>
      </c>
      <c r="J299" s="76">
        <v>1</v>
      </c>
      <c r="K299" s="77"/>
      <c r="L299" s="77"/>
      <c r="M299" s="77"/>
      <c r="N299" s="77"/>
      <c r="O299" s="78">
        <v>1</v>
      </c>
      <c r="P299" s="78">
        <v>0</v>
      </c>
      <c r="Q299" s="78">
        <v>0</v>
      </c>
      <c r="R299" s="78">
        <v>0</v>
      </c>
      <c r="S299" s="75">
        <v>0</v>
      </c>
      <c r="T299" s="75">
        <v>0</v>
      </c>
      <c r="U299" s="75">
        <v>0</v>
      </c>
      <c r="V299" s="79">
        <v>0</v>
      </c>
      <c r="W299" s="78">
        <v>0</v>
      </c>
    </row>
    <row r="300" spans="1:23" s="75" customFormat="1" hidden="1" x14ac:dyDescent="0.35">
      <c r="A300" s="75">
        <v>296</v>
      </c>
      <c r="B300" s="75">
        <v>297</v>
      </c>
      <c r="C300">
        <v>146.0594151</v>
      </c>
      <c r="D300">
        <v>-17.52517293</v>
      </c>
      <c r="F300" s="75" t="str">
        <f>HYPERLINK("E:\Data From Lucan\2024\Johnstone\Frames_for_Analysis\297_20240610_0006_L_0082.jpg","297_20240610_0006_L_0082.jpg")</f>
        <v>297_20240610_0006_L_0082.jpg</v>
      </c>
      <c r="G300" s="75">
        <v>100</v>
      </c>
      <c r="I300">
        <f t="shared" si="4"/>
        <v>1</v>
      </c>
      <c r="J300" s="76">
        <v>1</v>
      </c>
      <c r="K300" s="77"/>
      <c r="L300" s="77"/>
      <c r="M300" s="77"/>
      <c r="N300" s="77"/>
      <c r="O300" s="78">
        <v>1</v>
      </c>
      <c r="P300" s="78">
        <v>0</v>
      </c>
      <c r="Q300" s="78">
        <v>0</v>
      </c>
      <c r="R300" s="78">
        <v>0</v>
      </c>
      <c r="S300" s="75">
        <v>0</v>
      </c>
      <c r="T300" s="75">
        <v>0</v>
      </c>
      <c r="U300" s="75">
        <v>0</v>
      </c>
      <c r="V300" s="79">
        <v>0</v>
      </c>
      <c r="W300" s="78">
        <v>0</v>
      </c>
    </row>
    <row r="301" spans="1:23" s="75" customFormat="1" hidden="1" x14ac:dyDescent="0.35">
      <c r="A301" s="75">
        <v>297</v>
      </c>
      <c r="B301" s="75">
        <v>298</v>
      </c>
      <c r="C301">
        <v>146.0594955</v>
      </c>
      <c r="D301">
        <v>-17.525222159999998</v>
      </c>
      <c r="F301" s="75" t="str">
        <f>HYPERLINK("E:\Data From Lucan\2024\Johnstone\Frames_for_Analysis\298_20240610_0006_L_0086.jpg","298_20240610_0006_L_0086.jpg")</f>
        <v>298_20240610_0006_L_0086.jpg</v>
      </c>
      <c r="G301" s="75">
        <v>100</v>
      </c>
      <c r="I301">
        <f t="shared" si="4"/>
        <v>1</v>
      </c>
      <c r="J301" s="76">
        <v>1</v>
      </c>
      <c r="K301" s="77"/>
      <c r="L301" s="77"/>
      <c r="M301" s="77"/>
      <c r="N301" s="77"/>
      <c r="O301" s="78">
        <v>1</v>
      </c>
      <c r="P301" s="78">
        <v>0</v>
      </c>
      <c r="Q301" s="78">
        <v>0</v>
      </c>
      <c r="R301" s="78">
        <v>0</v>
      </c>
      <c r="S301" s="75">
        <v>0</v>
      </c>
      <c r="T301" s="75">
        <v>0</v>
      </c>
      <c r="U301" s="75">
        <v>0</v>
      </c>
      <c r="V301" s="79">
        <v>0</v>
      </c>
      <c r="W301" s="78">
        <v>0</v>
      </c>
    </row>
    <row r="302" spans="1:23" s="75" customFormat="1" hidden="1" x14ac:dyDescent="0.35">
      <c r="A302" s="75">
        <v>298</v>
      </c>
      <c r="B302" s="75">
        <v>299</v>
      </c>
      <c r="C302">
        <v>146.05957599999999</v>
      </c>
      <c r="D302">
        <v>-17.52527139</v>
      </c>
      <c r="F302" s="75" t="str">
        <f>HYPERLINK("E:\Data From Lucan\2024\Johnstone\Frames_for_Analysis\299_20240610_0006_L_0090.jpg","299_20240610_0006_L_0090.jpg")</f>
        <v>299_20240610_0006_L_0090.jpg</v>
      </c>
      <c r="G302" s="75">
        <v>100</v>
      </c>
      <c r="I302">
        <f t="shared" si="4"/>
        <v>1</v>
      </c>
      <c r="J302" s="76">
        <v>1</v>
      </c>
      <c r="K302" s="77"/>
      <c r="L302" s="77"/>
      <c r="M302" s="77"/>
      <c r="N302" s="77"/>
      <c r="O302" s="78">
        <v>1</v>
      </c>
      <c r="P302" s="78">
        <v>0</v>
      </c>
      <c r="Q302" s="78">
        <v>0</v>
      </c>
      <c r="R302" s="78">
        <v>0</v>
      </c>
      <c r="S302" s="75">
        <v>0</v>
      </c>
      <c r="T302" s="75">
        <v>0</v>
      </c>
      <c r="U302" s="75">
        <v>0</v>
      </c>
      <c r="V302" s="79">
        <v>0</v>
      </c>
      <c r="W302" s="78">
        <v>0</v>
      </c>
    </row>
    <row r="303" spans="1:23" s="75" customFormat="1" hidden="1" x14ac:dyDescent="0.35">
      <c r="A303" s="75">
        <v>299</v>
      </c>
      <c r="B303" s="75">
        <v>300</v>
      </c>
      <c r="C303">
        <v>146.05965639999999</v>
      </c>
      <c r="D303">
        <v>-17.525320610000001</v>
      </c>
      <c r="E303" s="75">
        <v>50</v>
      </c>
      <c r="F303" s="75" t="str">
        <f>HYPERLINK("E:\Data From Lucan\2024\Johnstone\Frames_for_Analysis\300_20240610_0006_L_0094.jpg","300_20240610_0006_L_0094.jpg")</f>
        <v>300_20240610_0006_L_0094.jpg</v>
      </c>
      <c r="G303" s="75">
        <v>100</v>
      </c>
      <c r="I303">
        <f t="shared" si="4"/>
        <v>1</v>
      </c>
      <c r="J303" s="76">
        <v>1</v>
      </c>
      <c r="K303" s="77"/>
      <c r="L303" s="77"/>
      <c r="M303" s="77"/>
      <c r="N303" s="77"/>
      <c r="O303" s="78">
        <v>1</v>
      </c>
      <c r="P303" s="78">
        <v>0</v>
      </c>
      <c r="Q303" s="78">
        <v>0</v>
      </c>
      <c r="R303" s="78">
        <v>0</v>
      </c>
      <c r="S303" s="75">
        <v>0</v>
      </c>
      <c r="T303" s="75">
        <v>0</v>
      </c>
      <c r="U303" s="75">
        <v>0</v>
      </c>
      <c r="V303" s="79">
        <v>0</v>
      </c>
      <c r="W303" s="78">
        <v>0</v>
      </c>
    </row>
    <row r="304" spans="1:23" s="75" customFormat="1" hidden="1" x14ac:dyDescent="0.35">
      <c r="A304" s="75">
        <v>300</v>
      </c>
      <c r="B304" s="75">
        <v>301</v>
      </c>
      <c r="C304">
        <v>146.05973689999999</v>
      </c>
      <c r="D304">
        <v>-17.52536984</v>
      </c>
      <c r="F304" s="75" t="str">
        <f>HYPERLINK("E:\Data From Lucan\2024\Johnstone\Frames_for_Analysis\301_20240610_0006_L_0099.jpg","301_20240610_0006_L_0099.jpg")</f>
        <v>301_20240610_0006_L_0099.jpg</v>
      </c>
      <c r="G304" s="75">
        <v>100</v>
      </c>
      <c r="I304">
        <f t="shared" si="4"/>
        <v>1</v>
      </c>
      <c r="J304" s="76">
        <v>1</v>
      </c>
      <c r="K304" s="77"/>
      <c r="L304" s="77"/>
      <c r="M304" s="77"/>
      <c r="N304" s="77"/>
      <c r="O304" s="78">
        <v>1</v>
      </c>
      <c r="P304" s="78">
        <v>0</v>
      </c>
      <c r="Q304" s="78">
        <v>0</v>
      </c>
      <c r="R304" s="78">
        <v>0</v>
      </c>
      <c r="S304" s="75">
        <v>0</v>
      </c>
      <c r="T304" s="75">
        <v>0</v>
      </c>
      <c r="U304" s="75">
        <v>0</v>
      </c>
      <c r="V304" s="79">
        <v>0</v>
      </c>
      <c r="W304" s="78">
        <v>0</v>
      </c>
    </row>
    <row r="305" spans="1:23" s="75" customFormat="1" hidden="1" x14ac:dyDescent="0.35">
      <c r="A305" s="75">
        <v>301</v>
      </c>
      <c r="B305" s="75">
        <v>302</v>
      </c>
      <c r="C305">
        <v>146.05981729999999</v>
      </c>
      <c r="D305">
        <v>-17.525419070000002</v>
      </c>
      <c r="F305" s="75" t="str">
        <f>HYPERLINK("E:\Data From Lucan\2024\Johnstone\Frames_for_Analysis\302_20240610_0006_L_0103.jpg","302_20240610_0006_L_0103.jpg")</f>
        <v>302_20240610_0006_L_0103.jpg</v>
      </c>
      <c r="G305" s="75">
        <v>100</v>
      </c>
      <c r="I305">
        <f t="shared" si="4"/>
        <v>1</v>
      </c>
      <c r="J305" s="76">
        <v>1</v>
      </c>
      <c r="K305" s="77"/>
      <c r="L305" s="77"/>
      <c r="M305" s="77"/>
      <c r="N305" s="77"/>
      <c r="O305" s="78">
        <v>1</v>
      </c>
      <c r="P305" s="78">
        <v>0</v>
      </c>
      <c r="Q305" s="78">
        <v>0</v>
      </c>
      <c r="R305" s="78">
        <v>0</v>
      </c>
      <c r="S305" s="75">
        <v>0</v>
      </c>
      <c r="T305" s="75">
        <v>0</v>
      </c>
      <c r="U305" s="75">
        <v>0</v>
      </c>
      <c r="V305" s="79">
        <v>0</v>
      </c>
      <c r="W305" s="78">
        <v>0</v>
      </c>
    </row>
    <row r="306" spans="1:23" s="75" customFormat="1" hidden="1" x14ac:dyDescent="0.35">
      <c r="A306" s="75">
        <v>302</v>
      </c>
      <c r="B306" s="75">
        <v>303</v>
      </c>
      <c r="C306">
        <v>146.0598956</v>
      </c>
      <c r="D306">
        <v>-17.525471379999999</v>
      </c>
      <c r="F306" s="75" t="str">
        <f>HYPERLINK("E:\Data From Lucan\2024\Johnstone\Frames_for_Analysis\303_20240610_0006_L_0107.jpg","303_20240610_0006_L_0107.jpg")</f>
        <v>303_20240610_0006_L_0107.jpg</v>
      </c>
      <c r="G306" s="75">
        <v>100</v>
      </c>
      <c r="I306">
        <f t="shared" si="4"/>
        <v>1</v>
      </c>
      <c r="J306" s="76">
        <v>1</v>
      </c>
      <c r="K306" s="77"/>
      <c r="L306" s="77"/>
      <c r="M306" s="77"/>
      <c r="N306" s="77"/>
      <c r="O306" s="78">
        <v>1</v>
      </c>
      <c r="P306" s="78">
        <v>0</v>
      </c>
      <c r="Q306" s="78">
        <v>0</v>
      </c>
      <c r="R306" s="78">
        <v>0</v>
      </c>
      <c r="S306" s="75">
        <v>0</v>
      </c>
      <c r="T306" s="75">
        <v>0</v>
      </c>
      <c r="U306" s="75">
        <v>0</v>
      </c>
      <c r="V306" s="79">
        <v>0</v>
      </c>
      <c r="W306" s="78">
        <v>0</v>
      </c>
    </row>
    <row r="307" spans="1:23" s="75" customFormat="1" hidden="1" x14ac:dyDescent="0.35">
      <c r="A307" s="75">
        <v>303</v>
      </c>
      <c r="B307" s="75">
        <v>304</v>
      </c>
      <c r="C307">
        <v>146.05997049999999</v>
      </c>
      <c r="D307">
        <v>-17.525528659999999</v>
      </c>
      <c r="F307" s="75" t="str">
        <f>HYPERLINK("E:\Data From Lucan\2024\Johnstone\Frames_for_Analysis\304_20240610_0006_L_0111.jpg","304_20240610_0006_L_0111.jpg")</f>
        <v>304_20240610_0006_L_0111.jpg</v>
      </c>
      <c r="G307" s="75">
        <v>100</v>
      </c>
      <c r="I307">
        <f t="shared" si="4"/>
        <v>1</v>
      </c>
      <c r="J307" s="76">
        <v>1</v>
      </c>
      <c r="K307" s="77"/>
      <c r="L307" s="77"/>
      <c r="M307" s="77"/>
      <c r="N307" s="77"/>
      <c r="O307" s="78">
        <v>1</v>
      </c>
      <c r="P307" s="78">
        <v>0</v>
      </c>
      <c r="Q307" s="78">
        <v>0</v>
      </c>
      <c r="R307" s="78">
        <v>0</v>
      </c>
      <c r="S307" s="75">
        <v>0</v>
      </c>
      <c r="T307" s="75">
        <v>0</v>
      </c>
      <c r="U307" s="75">
        <v>0</v>
      </c>
      <c r="V307" s="79">
        <v>0</v>
      </c>
      <c r="W307" s="78">
        <v>0</v>
      </c>
    </row>
    <row r="308" spans="1:23" s="75" customFormat="1" hidden="1" x14ac:dyDescent="0.35">
      <c r="A308" s="75">
        <v>304</v>
      </c>
      <c r="B308" s="75">
        <v>305</v>
      </c>
      <c r="C308">
        <v>146.06004540000001</v>
      </c>
      <c r="D308">
        <v>-17.525585939999999</v>
      </c>
      <c r="E308" s="75">
        <v>50</v>
      </c>
      <c r="F308" s="75" t="str">
        <f>HYPERLINK("E:\Data From Lucan\2024\Johnstone\Frames_for_Analysis\305_20240610_0006_L_0115.jpg","305_20240610_0006_L_0115.jpg")</f>
        <v>305_20240610_0006_L_0115.jpg</v>
      </c>
      <c r="G308" s="75">
        <v>100</v>
      </c>
      <c r="I308">
        <f t="shared" si="4"/>
        <v>1</v>
      </c>
      <c r="J308" s="76">
        <v>1</v>
      </c>
      <c r="K308" s="77"/>
      <c r="L308" s="77"/>
      <c r="M308" s="77"/>
      <c r="N308" s="77"/>
      <c r="O308" s="78">
        <v>1</v>
      </c>
      <c r="P308" s="78">
        <v>0</v>
      </c>
      <c r="Q308" s="78">
        <v>0</v>
      </c>
      <c r="R308" s="78">
        <v>0</v>
      </c>
      <c r="S308" s="75">
        <v>0</v>
      </c>
      <c r="T308" s="75">
        <v>0</v>
      </c>
      <c r="U308" s="75">
        <v>0</v>
      </c>
      <c r="V308" s="79">
        <v>0</v>
      </c>
      <c r="W308" s="78">
        <v>0</v>
      </c>
    </row>
    <row r="309" spans="1:23" s="75" customFormat="1" hidden="1" x14ac:dyDescent="0.35">
      <c r="A309" s="75">
        <v>305</v>
      </c>
      <c r="B309" s="75">
        <v>306</v>
      </c>
      <c r="C309">
        <v>146.06012029999999</v>
      </c>
      <c r="D309">
        <v>-17.525643219999999</v>
      </c>
      <c r="F309" s="75" t="str">
        <f>HYPERLINK("E:\Data From Lucan\2024\Johnstone\Frames_for_Analysis\306_20240610_0006_L_0118.jpg","306_20240610_0006_L_0118.jpg")</f>
        <v>306_20240610_0006_L_0118.jpg</v>
      </c>
      <c r="G309" s="75">
        <v>100</v>
      </c>
      <c r="I309">
        <f t="shared" si="4"/>
        <v>1</v>
      </c>
      <c r="J309" s="76">
        <v>1</v>
      </c>
      <c r="K309" s="77"/>
      <c r="L309" s="77"/>
      <c r="M309" s="77"/>
      <c r="N309" s="77"/>
      <c r="O309" s="78">
        <v>1</v>
      </c>
      <c r="P309" s="78">
        <v>0</v>
      </c>
      <c r="Q309" s="78">
        <v>0</v>
      </c>
      <c r="R309" s="78">
        <v>0</v>
      </c>
      <c r="S309" s="75">
        <v>0</v>
      </c>
      <c r="T309" s="75">
        <v>0</v>
      </c>
      <c r="U309" s="75">
        <v>0</v>
      </c>
      <c r="V309" s="79">
        <v>0</v>
      </c>
      <c r="W309" s="78">
        <v>0</v>
      </c>
    </row>
    <row r="310" spans="1:23" s="75" customFormat="1" hidden="1" x14ac:dyDescent="0.35">
      <c r="A310" s="75">
        <v>306</v>
      </c>
      <c r="B310" s="75">
        <v>307</v>
      </c>
      <c r="C310">
        <v>146.0601953</v>
      </c>
      <c r="D310">
        <v>-17.525700499999999</v>
      </c>
      <c r="F310" s="75" t="str">
        <f>HYPERLINK("E:\Data From Lucan\2024\Johnstone\Frames_for_Analysis\307_20240610_0006_L_0121.jpg","307_20240610_0006_L_0121.jpg")</f>
        <v>307_20240610_0006_L_0121.jpg</v>
      </c>
      <c r="G310" s="75">
        <v>100</v>
      </c>
      <c r="I310">
        <f t="shared" si="4"/>
        <v>1</v>
      </c>
      <c r="J310" s="76">
        <v>1</v>
      </c>
      <c r="K310" s="77"/>
      <c r="L310" s="77"/>
      <c r="M310" s="77"/>
      <c r="N310" s="77"/>
      <c r="O310" s="78">
        <v>1</v>
      </c>
      <c r="P310" s="78">
        <v>0</v>
      </c>
      <c r="Q310" s="78">
        <v>0</v>
      </c>
      <c r="R310" s="78">
        <v>0</v>
      </c>
      <c r="S310" s="75">
        <v>0</v>
      </c>
      <c r="T310" s="75">
        <v>0</v>
      </c>
      <c r="U310" s="75">
        <v>0</v>
      </c>
      <c r="V310" s="79">
        <v>0</v>
      </c>
      <c r="W310" s="78">
        <v>0</v>
      </c>
    </row>
    <row r="311" spans="1:23" s="75" customFormat="1" hidden="1" x14ac:dyDescent="0.35">
      <c r="A311" s="75">
        <v>307</v>
      </c>
      <c r="B311" s="75">
        <v>308</v>
      </c>
      <c r="C311">
        <v>146.06027019999999</v>
      </c>
      <c r="D311">
        <v>-17.525757779999999</v>
      </c>
      <c r="F311" s="75" t="str">
        <f>HYPERLINK("E:\Data From Lucan\2024\Johnstone\Frames_for_Analysis\308_20240610_0006_L_0124.jpg","308_20240610_0006_L_0124.jpg")</f>
        <v>308_20240610_0006_L_0124.jpg</v>
      </c>
      <c r="G311" s="75">
        <v>100</v>
      </c>
      <c r="I311">
        <f t="shared" si="4"/>
        <v>1</v>
      </c>
      <c r="J311" s="76">
        <v>1</v>
      </c>
      <c r="K311" s="77"/>
      <c r="L311" s="77"/>
      <c r="M311" s="77"/>
      <c r="N311" s="77"/>
      <c r="O311" s="78">
        <v>1</v>
      </c>
      <c r="P311" s="78">
        <v>0</v>
      </c>
      <c r="Q311" s="78">
        <v>0</v>
      </c>
      <c r="R311" s="78">
        <v>0</v>
      </c>
      <c r="S311" s="75">
        <v>0</v>
      </c>
      <c r="T311" s="75">
        <v>0</v>
      </c>
      <c r="U311" s="75">
        <v>0</v>
      </c>
      <c r="V311" s="79">
        <v>0</v>
      </c>
      <c r="W311" s="78">
        <v>0</v>
      </c>
    </row>
    <row r="312" spans="1:23" s="75" customFormat="1" hidden="1" x14ac:dyDescent="0.35">
      <c r="A312" s="75">
        <v>308</v>
      </c>
      <c r="B312" s="75">
        <v>309</v>
      </c>
      <c r="C312">
        <v>146.06034510000001</v>
      </c>
      <c r="D312">
        <v>-17.525815059999999</v>
      </c>
      <c r="F312" s="75" t="str">
        <f>HYPERLINK("E:\Data From Lucan\2024\Johnstone\Frames_for_Analysis\309_20240610_0006_L_0127.jpg","309_20240610_0006_L_0127.jpg")</f>
        <v>309_20240610_0006_L_0127.jpg</v>
      </c>
      <c r="G312" s="75">
        <v>100</v>
      </c>
      <c r="I312">
        <f t="shared" si="4"/>
        <v>1</v>
      </c>
      <c r="J312" s="76">
        <v>1</v>
      </c>
      <c r="K312" s="77"/>
      <c r="L312" s="77"/>
      <c r="M312" s="77"/>
      <c r="N312" s="77"/>
      <c r="O312" s="78">
        <v>1</v>
      </c>
      <c r="P312" s="78">
        <v>0</v>
      </c>
      <c r="Q312" s="78">
        <v>0</v>
      </c>
      <c r="R312" s="78">
        <v>0</v>
      </c>
      <c r="S312" s="75">
        <v>0</v>
      </c>
      <c r="T312" s="75">
        <v>0</v>
      </c>
      <c r="U312" s="75">
        <v>0</v>
      </c>
      <c r="V312" s="79">
        <v>0</v>
      </c>
      <c r="W312" s="78">
        <v>0</v>
      </c>
    </row>
    <row r="313" spans="1:23" s="75" customFormat="1" hidden="1" x14ac:dyDescent="0.35">
      <c r="A313" s="75">
        <v>309</v>
      </c>
      <c r="B313" s="75">
        <v>310</v>
      </c>
      <c r="C313">
        <v>146.06041239999999</v>
      </c>
      <c r="D313">
        <v>-17.525880770000001</v>
      </c>
      <c r="E313" s="75">
        <v>50</v>
      </c>
      <c r="F313" s="75" t="str">
        <f>HYPERLINK("E:\Data From Lucan\2024\Johnstone\Frames_for_Analysis\310_20240610_0006_L_0129.jpg","310_20240610_0006_L_0129.jpg")</f>
        <v>310_20240610_0006_L_0129.jpg</v>
      </c>
      <c r="G313" s="75">
        <v>100</v>
      </c>
      <c r="I313">
        <f t="shared" si="4"/>
        <v>1</v>
      </c>
      <c r="J313" s="76">
        <v>1</v>
      </c>
      <c r="K313" s="77"/>
      <c r="L313" s="77"/>
      <c r="M313" s="77"/>
      <c r="N313" s="77"/>
      <c r="O313" s="78">
        <v>1</v>
      </c>
      <c r="P313" s="78">
        <v>0</v>
      </c>
      <c r="Q313" s="78">
        <v>0</v>
      </c>
      <c r="R313" s="78">
        <v>0</v>
      </c>
      <c r="S313" s="75">
        <v>0</v>
      </c>
      <c r="T313" s="75">
        <v>0</v>
      </c>
      <c r="U313" s="75">
        <v>0</v>
      </c>
      <c r="V313" s="79">
        <v>0</v>
      </c>
      <c r="W313" s="78">
        <v>0</v>
      </c>
    </row>
    <row r="314" spans="1:23" s="75" customFormat="1" hidden="1" x14ac:dyDescent="0.35">
      <c r="A314" s="75">
        <v>310</v>
      </c>
      <c r="B314" s="75">
        <v>311</v>
      </c>
      <c r="C314">
        <v>146.06047670000001</v>
      </c>
      <c r="D314">
        <v>-17.525949749999999</v>
      </c>
      <c r="F314" s="75" t="str">
        <f>HYPERLINK("E:\Data From Lucan\2024\Johnstone\Frames_for_Analysis\311_20240610_0006_L_0133.jpg","311_20240610_0006_L_0133.jpg")</f>
        <v>311_20240610_0006_L_0133.jpg</v>
      </c>
      <c r="G314" s="75">
        <v>100</v>
      </c>
      <c r="I314">
        <f t="shared" si="4"/>
        <v>1</v>
      </c>
      <c r="J314" s="76">
        <v>1</v>
      </c>
      <c r="K314" s="77"/>
      <c r="L314" s="77"/>
      <c r="M314" s="77"/>
      <c r="N314" s="77"/>
      <c r="O314" s="78">
        <v>1</v>
      </c>
      <c r="P314" s="78">
        <v>0</v>
      </c>
      <c r="Q314" s="78">
        <v>0</v>
      </c>
      <c r="R314" s="78">
        <v>0</v>
      </c>
      <c r="S314" s="75">
        <v>0</v>
      </c>
      <c r="T314" s="75">
        <v>0</v>
      </c>
      <c r="U314" s="75">
        <v>0</v>
      </c>
      <c r="V314" s="79">
        <v>0</v>
      </c>
      <c r="W314" s="78">
        <v>0</v>
      </c>
    </row>
    <row r="315" spans="1:23" s="75" customFormat="1" hidden="1" x14ac:dyDescent="0.35">
      <c r="A315" s="75">
        <v>311</v>
      </c>
      <c r="B315" s="75">
        <v>312</v>
      </c>
      <c r="C315">
        <v>146.060541</v>
      </c>
      <c r="D315">
        <v>-17.526018730000001</v>
      </c>
      <c r="F315" s="75" t="str">
        <f>HYPERLINK("E:\Data From Lucan\2024\Johnstone\Frames_for_Analysis\312_20240610_0006_L_0137.jpg","312_20240610_0006_L_0137.jpg")</f>
        <v>312_20240610_0006_L_0137.jpg</v>
      </c>
      <c r="G315" s="75">
        <v>100</v>
      </c>
      <c r="I315">
        <f t="shared" si="4"/>
        <v>1</v>
      </c>
      <c r="J315" s="76">
        <v>1</v>
      </c>
      <c r="K315" s="77"/>
      <c r="L315" s="77"/>
      <c r="M315" s="77"/>
      <c r="N315" s="77"/>
      <c r="O315" s="78">
        <v>1</v>
      </c>
      <c r="P315" s="78">
        <v>0</v>
      </c>
      <c r="Q315" s="78">
        <v>0</v>
      </c>
      <c r="R315" s="78">
        <v>0</v>
      </c>
      <c r="S315" s="75">
        <v>0</v>
      </c>
      <c r="T315" s="75">
        <v>0</v>
      </c>
      <c r="U315" s="75">
        <v>0</v>
      </c>
      <c r="V315" s="79">
        <v>0</v>
      </c>
      <c r="W315" s="78">
        <v>0</v>
      </c>
    </row>
    <row r="316" spans="1:23" s="75" customFormat="1" hidden="1" x14ac:dyDescent="0.35">
      <c r="A316" s="75">
        <v>312</v>
      </c>
      <c r="B316" s="75">
        <v>313</v>
      </c>
      <c r="C316">
        <v>146.06060529999999</v>
      </c>
      <c r="D316">
        <v>-17.52608772</v>
      </c>
      <c r="F316" s="75" t="str">
        <f>HYPERLINK("E:\Data From Lucan\2024\Johnstone\Frames_for_Analysis\313_20240610_0006_L_0140.jpg","313_20240610_0006_L_0140.jpg")</f>
        <v>313_20240610_0006_L_0140.jpg</v>
      </c>
      <c r="G316" s="75">
        <v>100</v>
      </c>
      <c r="I316">
        <f t="shared" si="4"/>
        <v>1</v>
      </c>
      <c r="J316" s="76">
        <v>1</v>
      </c>
      <c r="K316" s="77"/>
      <c r="L316" s="77"/>
      <c r="M316" s="77"/>
      <c r="N316" s="77"/>
      <c r="O316" s="78">
        <v>1</v>
      </c>
      <c r="P316" s="78">
        <v>0</v>
      </c>
      <c r="Q316" s="78">
        <v>0</v>
      </c>
      <c r="R316" s="78">
        <v>0</v>
      </c>
      <c r="S316" s="75">
        <v>0</v>
      </c>
      <c r="T316" s="75">
        <v>0</v>
      </c>
      <c r="U316" s="75">
        <v>0</v>
      </c>
      <c r="V316" s="79">
        <v>0</v>
      </c>
      <c r="W316" s="78">
        <v>0</v>
      </c>
    </row>
    <row r="317" spans="1:23" s="75" customFormat="1" hidden="1" x14ac:dyDescent="0.35">
      <c r="A317" s="75">
        <v>313</v>
      </c>
      <c r="B317" s="75">
        <v>314</v>
      </c>
      <c r="C317">
        <v>146.06066960000001</v>
      </c>
      <c r="D317">
        <v>-17.526156700000001</v>
      </c>
      <c r="F317" s="75" t="str">
        <f>HYPERLINK("E:\Data From Lucan\2024\Johnstone\Frames_for_Analysis\314_20240610_0006_L_0144.jpg","314_20240610_0006_L_0144.jpg")</f>
        <v>314_20240610_0006_L_0144.jpg</v>
      </c>
      <c r="G317" s="75">
        <v>100</v>
      </c>
      <c r="I317">
        <f t="shared" si="4"/>
        <v>1</v>
      </c>
      <c r="J317" s="76">
        <v>1</v>
      </c>
      <c r="K317" s="77"/>
      <c r="L317" s="77"/>
      <c r="M317" s="77"/>
      <c r="N317" s="77"/>
      <c r="O317" s="78">
        <v>1</v>
      </c>
      <c r="P317" s="78">
        <v>0</v>
      </c>
      <c r="Q317" s="78">
        <v>0</v>
      </c>
      <c r="R317" s="78">
        <v>0</v>
      </c>
      <c r="S317" s="75">
        <v>0</v>
      </c>
      <c r="T317" s="75">
        <v>0</v>
      </c>
      <c r="U317" s="75">
        <v>0</v>
      </c>
      <c r="V317" s="79">
        <v>0</v>
      </c>
      <c r="W317" s="78">
        <v>0</v>
      </c>
    </row>
    <row r="318" spans="1:23" s="75" customFormat="1" hidden="1" x14ac:dyDescent="0.35">
      <c r="A318" s="75">
        <v>314</v>
      </c>
      <c r="B318" s="75">
        <v>315</v>
      </c>
      <c r="C318">
        <v>146.06072750000001</v>
      </c>
      <c r="D318">
        <v>-17.526231070000001</v>
      </c>
      <c r="E318" s="75">
        <v>50</v>
      </c>
      <c r="F318" s="75" t="str">
        <f>HYPERLINK("E:\Data From Lucan\2024\Johnstone\Frames_for_Analysis\315_20240610_0006_L_0148.jpg","315_20240610_0006_L_0148.jpg")</f>
        <v>315_20240610_0006_L_0148.jpg</v>
      </c>
      <c r="G318" s="75">
        <v>100</v>
      </c>
      <c r="I318">
        <f t="shared" si="4"/>
        <v>0</v>
      </c>
      <c r="J318" s="76">
        <v>0</v>
      </c>
      <c r="K318" s="77"/>
      <c r="L318" s="77"/>
      <c r="M318" s="77"/>
      <c r="N318" s="77"/>
      <c r="O318" s="78">
        <v>1</v>
      </c>
      <c r="P318" s="78">
        <v>0</v>
      </c>
      <c r="Q318" s="78">
        <v>0</v>
      </c>
      <c r="R318" s="78">
        <v>0</v>
      </c>
      <c r="S318" s="75">
        <v>0</v>
      </c>
      <c r="T318" s="75">
        <v>0</v>
      </c>
      <c r="U318" s="75">
        <v>0</v>
      </c>
      <c r="V318" s="79">
        <v>0</v>
      </c>
      <c r="W318" s="78">
        <v>0</v>
      </c>
    </row>
    <row r="319" spans="1:23" s="75" customFormat="1" hidden="1" x14ac:dyDescent="0.35">
      <c r="A319" s="75">
        <v>315</v>
      </c>
      <c r="B319" s="75">
        <v>316</v>
      </c>
      <c r="C319">
        <v>146.0607847</v>
      </c>
      <c r="D319">
        <v>-17.52630607</v>
      </c>
      <c r="F319" s="75" t="str">
        <f>HYPERLINK("E:\Data From Lucan\2024\Johnstone\Frames_for_Analysis\316_20240610_0006_L_0151.jpg","316_20240610_0006_L_0151.jpg")</f>
        <v>316_20240610_0006_L_0151.jpg</v>
      </c>
      <c r="G319" s="75">
        <v>100</v>
      </c>
      <c r="I319">
        <f t="shared" si="4"/>
        <v>0</v>
      </c>
      <c r="J319" s="76">
        <v>0</v>
      </c>
      <c r="K319" s="77"/>
      <c r="L319" s="77"/>
      <c r="M319" s="77"/>
      <c r="N319" s="77"/>
      <c r="O319" s="78">
        <v>1</v>
      </c>
      <c r="P319" s="78">
        <v>0</v>
      </c>
      <c r="Q319" s="78">
        <v>0</v>
      </c>
      <c r="R319" s="78">
        <v>0</v>
      </c>
      <c r="S319" s="75">
        <v>0</v>
      </c>
      <c r="T319" s="75">
        <v>0</v>
      </c>
      <c r="U319" s="75">
        <v>0</v>
      </c>
      <c r="V319" s="79">
        <v>0</v>
      </c>
      <c r="W319" s="78">
        <v>0</v>
      </c>
    </row>
    <row r="320" spans="1:23" s="75" customFormat="1" hidden="1" x14ac:dyDescent="0.35">
      <c r="A320" s="75">
        <v>316</v>
      </c>
      <c r="B320" s="75">
        <v>317</v>
      </c>
      <c r="C320">
        <v>146.06084179999999</v>
      </c>
      <c r="D320">
        <v>-17.526381059999999</v>
      </c>
      <c r="F320" s="75" t="str">
        <f>HYPERLINK("E:\Data From Lucan\2024\Johnstone\Frames_for_Analysis\317_20240610_0006_L_0155.jpg","317_20240610_0006_L_0155.jpg")</f>
        <v>317_20240610_0006_L_0155.jpg</v>
      </c>
      <c r="G320" s="75">
        <v>100</v>
      </c>
      <c r="I320">
        <f t="shared" si="4"/>
        <v>0</v>
      </c>
      <c r="J320" s="76">
        <v>0</v>
      </c>
      <c r="K320" s="77"/>
      <c r="L320" s="77"/>
      <c r="M320" s="77"/>
      <c r="N320" s="77"/>
      <c r="O320" s="78">
        <v>1</v>
      </c>
      <c r="P320" s="78">
        <v>0</v>
      </c>
      <c r="Q320" s="78">
        <v>0</v>
      </c>
      <c r="R320" s="78">
        <v>0</v>
      </c>
      <c r="S320" s="75">
        <v>0</v>
      </c>
      <c r="T320" s="75">
        <v>0</v>
      </c>
      <c r="U320" s="75">
        <v>0</v>
      </c>
      <c r="V320" s="79">
        <v>0</v>
      </c>
      <c r="W320" s="78">
        <v>0</v>
      </c>
    </row>
    <row r="321" spans="1:23" s="75" customFormat="1" hidden="1" x14ac:dyDescent="0.35">
      <c r="A321" s="75">
        <v>317</v>
      </c>
      <c r="B321" s="75">
        <v>318</v>
      </c>
      <c r="C321">
        <v>146.06089900000001</v>
      </c>
      <c r="D321">
        <v>-17.52645605</v>
      </c>
      <c r="F321" s="75" t="str">
        <f>HYPERLINK("E:\Data From Lucan\2024\Johnstone\Frames_for_Analysis\318_20240610_0006_L_0158.jpg","318_20240610_0006_L_0158.jpg")</f>
        <v>318_20240610_0006_L_0158.jpg</v>
      </c>
      <c r="G321" s="75">
        <v>100</v>
      </c>
      <c r="I321">
        <f t="shared" si="4"/>
        <v>0</v>
      </c>
      <c r="J321" s="76">
        <v>0</v>
      </c>
      <c r="K321" s="77"/>
      <c r="L321" s="77"/>
      <c r="M321" s="77"/>
      <c r="N321" s="77"/>
      <c r="O321" s="78">
        <v>1</v>
      </c>
      <c r="P321" s="78">
        <v>0</v>
      </c>
      <c r="Q321" s="78">
        <v>0</v>
      </c>
      <c r="R321" s="78">
        <v>0</v>
      </c>
      <c r="S321" s="75">
        <v>0</v>
      </c>
      <c r="T321" s="75">
        <v>0</v>
      </c>
      <c r="U321" s="75">
        <v>0</v>
      </c>
      <c r="V321" s="79">
        <v>0</v>
      </c>
      <c r="W321" s="78">
        <v>0</v>
      </c>
    </row>
    <row r="322" spans="1:23" s="75" customFormat="1" hidden="1" x14ac:dyDescent="0.35">
      <c r="A322" s="75">
        <v>318</v>
      </c>
      <c r="B322" s="75">
        <v>319</v>
      </c>
      <c r="C322">
        <v>146.06095619999999</v>
      </c>
      <c r="D322">
        <v>-17.526531039999998</v>
      </c>
      <c r="F322" s="75" t="str">
        <f>HYPERLINK("E:\Data From Lucan\2024\Johnstone\Frames_for_Analysis\319_20240610_0006_L_0162.jpg","319_20240610_0006_L_0162.jpg")</f>
        <v>319_20240610_0006_L_0162.jpg</v>
      </c>
      <c r="G322" s="75">
        <v>100</v>
      </c>
      <c r="I322">
        <f t="shared" si="4"/>
        <v>0</v>
      </c>
      <c r="J322" s="76">
        <v>0</v>
      </c>
      <c r="K322" s="77"/>
      <c r="L322" s="77"/>
      <c r="M322" s="77"/>
      <c r="N322" s="77"/>
      <c r="O322" s="78">
        <v>1</v>
      </c>
      <c r="P322" s="78">
        <v>0</v>
      </c>
      <c r="Q322" s="78">
        <v>0</v>
      </c>
      <c r="R322" s="78">
        <v>0</v>
      </c>
      <c r="S322" s="75">
        <v>0</v>
      </c>
      <c r="T322" s="75">
        <v>0</v>
      </c>
      <c r="U322" s="75">
        <v>0</v>
      </c>
      <c r="V322" s="79">
        <v>0</v>
      </c>
      <c r="W322" s="78">
        <v>0</v>
      </c>
    </row>
    <row r="323" spans="1:23" s="75" customFormat="1" hidden="1" x14ac:dyDescent="0.35">
      <c r="A323" s="75">
        <v>319</v>
      </c>
      <c r="B323" s="75">
        <v>320</v>
      </c>
      <c r="C323">
        <v>146.0610045</v>
      </c>
      <c r="D323">
        <v>-17.526611970000001</v>
      </c>
      <c r="E323" s="75">
        <v>50</v>
      </c>
      <c r="F323" s="75" t="str">
        <f>HYPERLINK("E:\Data From Lucan\2024\Johnstone\Frames_for_Analysis\320_20240610_0006_L_0165.jpg","320_20240610_0006_L_0165.jpg")</f>
        <v>320_20240610_0006_L_0165.jpg</v>
      </c>
      <c r="G323" s="75">
        <v>100</v>
      </c>
      <c r="I323">
        <f t="shared" si="4"/>
        <v>0</v>
      </c>
      <c r="J323" s="76">
        <v>0</v>
      </c>
      <c r="K323" s="77"/>
      <c r="L323" s="77"/>
      <c r="M323" s="77"/>
      <c r="N323" s="77"/>
      <c r="O323" s="78">
        <v>1</v>
      </c>
      <c r="P323" s="78">
        <v>0</v>
      </c>
      <c r="Q323" s="78">
        <v>0</v>
      </c>
      <c r="R323" s="78">
        <v>0</v>
      </c>
      <c r="S323" s="75">
        <v>0</v>
      </c>
      <c r="T323" s="75">
        <v>0</v>
      </c>
      <c r="U323" s="75">
        <v>0</v>
      </c>
      <c r="V323" s="79">
        <v>0</v>
      </c>
      <c r="W323" s="78">
        <v>0</v>
      </c>
    </row>
    <row r="324" spans="1:23" s="75" customFormat="1" hidden="1" x14ac:dyDescent="0.35">
      <c r="A324" s="75">
        <v>320</v>
      </c>
      <c r="B324" s="75">
        <v>321</v>
      </c>
      <c r="C324">
        <v>146.06105260000001</v>
      </c>
      <c r="D324">
        <v>-17.526693130000002</v>
      </c>
      <c r="F324" s="75" t="str">
        <f>HYPERLINK("E:\Data From Lucan\2024\Johnstone\Frames_for_Analysis\321_20240610_0006_L_0168.jpg","321_20240610_0006_L_0168.jpg")</f>
        <v>321_20240610_0006_L_0168.jpg</v>
      </c>
      <c r="G324" s="75">
        <v>100</v>
      </c>
      <c r="I324">
        <f t="shared" si="4"/>
        <v>0</v>
      </c>
      <c r="J324" s="76">
        <v>0</v>
      </c>
      <c r="K324" s="77"/>
      <c r="L324" s="77"/>
      <c r="M324" s="77"/>
      <c r="N324" s="77"/>
      <c r="O324" s="78">
        <v>1</v>
      </c>
      <c r="P324" s="78">
        <v>0</v>
      </c>
      <c r="Q324" s="78">
        <v>0</v>
      </c>
      <c r="R324" s="78">
        <v>0</v>
      </c>
      <c r="S324" s="75">
        <v>0</v>
      </c>
      <c r="T324" s="75">
        <v>0</v>
      </c>
      <c r="U324" s="75">
        <v>0</v>
      </c>
      <c r="V324" s="79">
        <v>0</v>
      </c>
      <c r="W324" s="78">
        <v>0</v>
      </c>
    </row>
    <row r="325" spans="1:23" s="75" customFormat="1" hidden="1" x14ac:dyDescent="0.35">
      <c r="A325" s="75">
        <v>321</v>
      </c>
      <c r="B325" s="75">
        <v>322</v>
      </c>
      <c r="C325">
        <v>146.0611006</v>
      </c>
      <c r="D325">
        <v>-17.526774280000001</v>
      </c>
      <c r="F325" s="75" t="str">
        <f>HYPERLINK("E:\Data From Lucan\2024\Johnstone\Frames_for_Analysis\322_20240610_0006_L_0172.jpg","322_20240610_0006_L_0172.jpg")</f>
        <v>322_20240610_0006_L_0172.jpg</v>
      </c>
      <c r="G325" s="75">
        <v>100</v>
      </c>
      <c r="I325">
        <f t="shared" ref="I325:I388" si="5">IF(H325="X","X",IF(J325="NA","X",IF(J325="","X",J325)))</f>
        <v>1</v>
      </c>
      <c r="J325" s="76">
        <v>1</v>
      </c>
      <c r="K325" s="77"/>
      <c r="L325" s="77"/>
      <c r="M325" s="77"/>
      <c r="N325" s="77"/>
      <c r="O325" s="78">
        <v>1</v>
      </c>
      <c r="P325" s="78">
        <v>0</v>
      </c>
      <c r="Q325" s="78">
        <v>0</v>
      </c>
      <c r="R325" s="78">
        <v>0</v>
      </c>
      <c r="S325" s="75">
        <v>0</v>
      </c>
      <c r="T325" s="75">
        <v>0</v>
      </c>
      <c r="U325" s="75">
        <v>0</v>
      </c>
      <c r="V325" s="79">
        <v>0</v>
      </c>
      <c r="W325" s="78">
        <v>0</v>
      </c>
    </row>
    <row r="326" spans="1:23" s="75" customFormat="1" hidden="1" x14ac:dyDescent="0.35">
      <c r="A326" s="75">
        <v>322</v>
      </c>
      <c r="B326" s="75">
        <v>323</v>
      </c>
      <c r="C326">
        <v>146.06113550000001</v>
      </c>
      <c r="D326">
        <v>-17.526861700000001</v>
      </c>
      <c r="F326" s="75" t="str">
        <f>HYPERLINK("E:\Data From Lucan\2024\Johnstone\Frames_for_Analysis\323_20240610_0006_L_0175.jpg","323_20240610_0006_L_0175.jpg")</f>
        <v>323_20240610_0006_L_0175.jpg</v>
      </c>
      <c r="G326" s="75">
        <v>100</v>
      </c>
      <c r="I326">
        <f t="shared" si="5"/>
        <v>1</v>
      </c>
      <c r="J326" s="76">
        <v>1</v>
      </c>
      <c r="K326" s="77"/>
      <c r="L326" s="77"/>
      <c r="M326" s="77"/>
      <c r="N326" s="77"/>
      <c r="O326" s="78">
        <v>1</v>
      </c>
      <c r="P326" s="78">
        <v>0</v>
      </c>
      <c r="Q326" s="78">
        <v>0</v>
      </c>
      <c r="R326" s="78">
        <v>0</v>
      </c>
      <c r="S326" s="75">
        <v>0</v>
      </c>
      <c r="T326" s="75">
        <v>0</v>
      </c>
      <c r="U326" s="75">
        <v>0</v>
      </c>
      <c r="V326" s="79">
        <v>0</v>
      </c>
      <c r="W326" s="78">
        <v>0</v>
      </c>
    </row>
    <row r="327" spans="1:23" s="75" customFormat="1" hidden="1" x14ac:dyDescent="0.35">
      <c r="A327" s="75">
        <v>323</v>
      </c>
      <c r="B327" s="75">
        <v>324</v>
      </c>
      <c r="C327">
        <v>146.06116829999999</v>
      </c>
      <c r="D327">
        <v>-17.526950119999999</v>
      </c>
      <c r="F327" s="75" t="str">
        <f>HYPERLINK("E:\Data From Lucan\2024\Johnstone\Frames_for_Analysis\324_20240610_0006_L_0179.jpg","324_20240610_0006_L_0179.jpg")</f>
        <v>324_20240610_0006_L_0179.jpg</v>
      </c>
      <c r="G327" s="75">
        <v>100</v>
      </c>
      <c r="I327">
        <f t="shared" si="5"/>
        <v>1</v>
      </c>
      <c r="J327" s="76">
        <v>1</v>
      </c>
      <c r="K327" s="77"/>
      <c r="L327" s="77"/>
      <c r="M327" s="77"/>
      <c r="N327" s="77"/>
      <c r="O327" s="78">
        <v>1</v>
      </c>
      <c r="P327" s="78">
        <v>0</v>
      </c>
      <c r="Q327" s="78">
        <v>0</v>
      </c>
      <c r="R327" s="78">
        <v>0</v>
      </c>
      <c r="S327" s="75">
        <v>0</v>
      </c>
      <c r="T327" s="75">
        <v>0</v>
      </c>
      <c r="U327" s="75">
        <v>0</v>
      </c>
      <c r="V327" s="79">
        <v>0</v>
      </c>
      <c r="W327" s="78">
        <v>0</v>
      </c>
    </row>
    <row r="328" spans="1:23" s="75" customFormat="1" hidden="1" x14ac:dyDescent="0.35">
      <c r="A328" s="75">
        <v>324</v>
      </c>
      <c r="B328" s="75">
        <v>325</v>
      </c>
      <c r="C328">
        <v>146.06120110000001</v>
      </c>
      <c r="D328">
        <v>-17.52703854</v>
      </c>
      <c r="E328" s="75">
        <v>50</v>
      </c>
      <c r="F328" s="75" t="str">
        <f>HYPERLINK("E:\Data From Lucan\2024\Johnstone\Frames_for_Analysis\325_20240610_0006_L_0183.jpg","325_20240610_0006_L_0183.jpg")</f>
        <v>325_20240610_0006_L_0183.jpg</v>
      </c>
      <c r="G328" s="75">
        <v>100</v>
      </c>
      <c r="I328">
        <f t="shared" si="5"/>
        <v>1</v>
      </c>
      <c r="J328" s="76">
        <v>1</v>
      </c>
      <c r="K328" s="77"/>
      <c r="L328" s="77"/>
      <c r="M328" s="77"/>
      <c r="N328" s="77"/>
      <c r="O328" s="78">
        <v>1</v>
      </c>
      <c r="P328" s="78">
        <v>0</v>
      </c>
      <c r="Q328" s="78">
        <v>0</v>
      </c>
      <c r="R328" s="78">
        <v>0</v>
      </c>
      <c r="S328" s="75">
        <v>0</v>
      </c>
      <c r="T328" s="75">
        <v>0</v>
      </c>
      <c r="U328" s="75">
        <v>0</v>
      </c>
      <c r="V328" s="79">
        <v>0</v>
      </c>
      <c r="W328" s="78">
        <v>0</v>
      </c>
    </row>
    <row r="329" spans="1:23" s="75" customFormat="1" hidden="1" x14ac:dyDescent="0.35">
      <c r="A329" s="75">
        <v>325</v>
      </c>
      <c r="B329" s="75">
        <v>326</v>
      </c>
      <c r="C329">
        <v>146.06127420000001</v>
      </c>
      <c r="D329">
        <v>-17.527096409999999</v>
      </c>
      <c r="F329" s="75" t="str">
        <f>HYPERLINK("E:\Data From Lucan\2024\Johnstone\Frames_for_Analysis\326_20240610_0006_L_0186.jpg","326_20240610_0006_L_0186.jpg")</f>
        <v>326_20240610_0006_L_0186.jpg</v>
      </c>
      <c r="G329" s="75">
        <v>100</v>
      </c>
      <c r="I329">
        <f t="shared" si="5"/>
        <v>1</v>
      </c>
      <c r="J329" s="76">
        <v>1</v>
      </c>
      <c r="K329" s="77"/>
      <c r="L329" s="77"/>
      <c r="M329" s="77"/>
      <c r="N329" s="77"/>
      <c r="O329" s="78">
        <v>1</v>
      </c>
      <c r="P329" s="78">
        <v>0</v>
      </c>
      <c r="Q329" s="78">
        <v>0</v>
      </c>
      <c r="R329" s="78">
        <v>0</v>
      </c>
      <c r="S329" s="75">
        <v>0</v>
      </c>
      <c r="T329" s="75">
        <v>0</v>
      </c>
      <c r="U329" s="75">
        <v>0</v>
      </c>
      <c r="V329" s="79">
        <v>0</v>
      </c>
      <c r="W329" s="78">
        <v>0</v>
      </c>
    </row>
    <row r="330" spans="1:23" s="75" customFormat="1" hidden="1" x14ac:dyDescent="0.35">
      <c r="A330" s="75">
        <v>326</v>
      </c>
      <c r="B330" s="75">
        <v>327</v>
      </c>
      <c r="C330">
        <v>146.0613444</v>
      </c>
      <c r="D330">
        <v>-17.527158480000001</v>
      </c>
      <c r="F330" s="75" t="str">
        <f>HYPERLINK("E:\Data From Lucan\2024\Johnstone\Frames_for_Analysis\327_20240610_0006_L_0189.jpg","327_20240610_0006_L_0189.jpg")</f>
        <v>327_20240610_0006_L_0189.jpg</v>
      </c>
      <c r="G330" s="75">
        <v>100</v>
      </c>
      <c r="I330">
        <f t="shared" si="5"/>
        <v>1</v>
      </c>
      <c r="J330" s="76">
        <v>1</v>
      </c>
      <c r="K330" s="77"/>
      <c r="L330" s="77"/>
      <c r="M330" s="77"/>
      <c r="N330" s="77"/>
      <c r="O330" s="78">
        <v>1</v>
      </c>
      <c r="P330" s="78">
        <v>0</v>
      </c>
      <c r="Q330" s="78">
        <v>0</v>
      </c>
      <c r="R330" s="78">
        <v>0</v>
      </c>
      <c r="S330" s="75">
        <v>0</v>
      </c>
      <c r="T330" s="75">
        <v>0</v>
      </c>
      <c r="U330" s="75">
        <v>0</v>
      </c>
      <c r="V330" s="79">
        <v>0</v>
      </c>
      <c r="W330" s="78">
        <v>0</v>
      </c>
    </row>
    <row r="331" spans="1:23" s="75" customFormat="1" hidden="1" x14ac:dyDescent="0.35">
      <c r="A331" s="75">
        <v>327</v>
      </c>
      <c r="B331" s="75">
        <v>328</v>
      </c>
      <c r="C331">
        <v>146.06140830000001</v>
      </c>
      <c r="D331">
        <v>-17.527226859999999</v>
      </c>
      <c r="F331" s="75" t="str">
        <f>HYPERLINK("E:\Data From Lucan\2024\Johnstone\Frames_for_Analysis\328_20240610_0006_L_0193.jpg","328_20240610_0006_L_0193.jpg")</f>
        <v>328_20240610_0006_L_0193.jpg</v>
      </c>
      <c r="G331" s="75">
        <v>100</v>
      </c>
      <c r="I331">
        <f t="shared" si="5"/>
        <v>0</v>
      </c>
      <c r="J331" s="76">
        <v>0</v>
      </c>
      <c r="K331" s="77"/>
      <c r="L331" s="77"/>
      <c r="M331" s="77"/>
      <c r="N331" s="77"/>
      <c r="O331" s="78">
        <v>1</v>
      </c>
      <c r="P331" s="78">
        <v>0</v>
      </c>
      <c r="Q331" s="78">
        <v>0</v>
      </c>
      <c r="R331" s="78">
        <v>0</v>
      </c>
      <c r="S331" s="75">
        <v>0</v>
      </c>
      <c r="T331" s="75">
        <v>0</v>
      </c>
      <c r="U331" s="75">
        <v>0</v>
      </c>
      <c r="V331" s="79">
        <v>0</v>
      </c>
      <c r="W331" s="78">
        <v>0</v>
      </c>
    </row>
    <row r="332" spans="1:23" s="75" customFormat="1" hidden="1" x14ac:dyDescent="0.35">
      <c r="A332" s="75">
        <v>328</v>
      </c>
      <c r="B332" s="75">
        <v>329</v>
      </c>
      <c r="C332">
        <v>146.06149099999999</v>
      </c>
      <c r="D332">
        <v>-17.52727221</v>
      </c>
      <c r="F332" s="75" t="str">
        <f>HYPERLINK("E:\Data From Lucan\2024\Johnstone\Frames_for_Analysis\329_20240610_0006_L_0196.jpg","329_20240610_0006_L_0196.jpg")</f>
        <v>329_20240610_0006_L_0196.jpg</v>
      </c>
      <c r="G332" s="75">
        <v>100</v>
      </c>
      <c r="I332">
        <f t="shared" si="5"/>
        <v>0</v>
      </c>
      <c r="J332" s="76">
        <v>0</v>
      </c>
      <c r="K332" s="77"/>
      <c r="L332" s="77"/>
      <c r="M332" s="77"/>
      <c r="N332" s="77"/>
      <c r="O332" s="78">
        <v>1</v>
      </c>
      <c r="P332" s="78">
        <v>0</v>
      </c>
      <c r="Q332" s="78">
        <v>0</v>
      </c>
      <c r="R332" s="78">
        <v>0</v>
      </c>
      <c r="S332" s="75">
        <v>0</v>
      </c>
      <c r="T332" s="75">
        <v>0</v>
      </c>
      <c r="U332" s="75">
        <v>0</v>
      </c>
      <c r="V332" s="79">
        <v>0</v>
      </c>
      <c r="W332" s="78">
        <v>0</v>
      </c>
    </row>
    <row r="333" spans="1:23" s="75" customFormat="1" hidden="1" x14ac:dyDescent="0.35">
      <c r="A333" s="75">
        <v>329</v>
      </c>
      <c r="B333" s="75">
        <v>330</v>
      </c>
      <c r="C333">
        <v>146.06157350000001</v>
      </c>
      <c r="D333">
        <v>-17.527317790000001</v>
      </c>
      <c r="E333" s="75">
        <v>50</v>
      </c>
      <c r="F333" s="75" t="str">
        <f>HYPERLINK("E:\Data From Lucan\2024\Johnstone\Frames_for_Analysis\330_20240610_0006_L_0199.jpg","330_20240610_0006_L_0199.jpg")</f>
        <v>330_20240610_0006_L_0199.jpg</v>
      </c>
      <c r="G333" s="75">
        <v>100</v>
      </c>
      <c r="I333">
        <f t="shared" si="5"/>
        <v>1</v>
      </c>
      <c r="J333" s="76">
        <v>1</v>
      </c>
      <c r="K333" s="77"/>
      <c r="L333" s="77"/>
      <c r="M333" s="77"/>
      <c r="N333" s="77"/>
      <c r="O333" s="78">
        <v>1</v>
      </c>
      <c r="P333" s="78">
        <v>0</v>
      </c>
      <c r="Q333" s="78">
        <v>0</v>
      </c>
      <c r="R333" s="78">
        <v>0</v>
      </c>
      <c r="S333" s="75">
        <v>0</v>
      </c>
      <c r="T333" s="75">
        <v>0</v>
      </c>
      <c r="U333" s="75">
        <v>0</v>
      </c>
      <c r="V333" s="79">
        <v>0</v>
      </c>
      <c r="W333" s="78">
        <v>0</v>
      </c>
    </row>
    <row r="334" spans="1:23" s="75" customFormat="1" hidden="1" x14ac:dyDescent="0.35">
      <c r="A334" s="75">
        <v>330</v>
      </c>
      <c r="B334" s="75">
        <v>331</v>
      </c>
      <c r="C334">
        <v>146.06165290000001</v>
      </c>
      <c r="D334">
        <v>-17.52736745</v>
      </c>
      <c r="F334" s="75" t="str">
        <f>HYPERLINK("E:\Data From Lucan\2024\Johnstone\Frames_for_Analysis\331_20240610_0006_L_0201.jpg","331_20240610_0006_L_0201.jpg")</f>
        <v>331_20240610_0006_L_0201.jpg</v>
      </c>
      <c r="G334" s="75">
        <v>100</v>
      </c>
      <c r="I334">
        <f t="shared" si="5"/>
        <v>0</v>
      </c>
      <c r="J334" s="76">
        <v>0</v>
      </c>
      <c r="K334" s="77"/>
      <c r="L334" s="77"/>
      <c r="M334" s="77"/>
      <c r="N334" s="77"/>
      <c r="O334" s="78">
        <v>1</v>
      </c>
      <c r="P334" s="78">
        <v>0</v>
      </c>
      <c r="Q334" s="78">
        <v>0</v>
      </c>
      <c r="R334" s="78">
        <v>0</v>
      </c>
      <c r="S334" s="75">
        <v>0</v>
      </c>
      <c r="T334" s="75">
        <v>0</v>
      </c>
      <c r="U334" s="75">
        <v>0</v>
      </c>
      <c r="V334" s="79">
        <v>0</v>
      </c>
      <c r="W334" s="78">
        <v>0</v>
      </c>
    </row>
    <row r="335" spans="1:23" s="75" customFormat="1" hidden="1" x14ac:dyDescent="0.35">
      <c r="A335" s="75">
        <v>331</v>
      </c>
      <c r="B335" s="75">
        <v>332</v>
      </c>
      <c r="C335">
        <v>146.06171789999999</v>
      </c>
      <c r="D335">
        <v>-17.527435839999999</v>
      </c>
      <c r="F335" s="75" t="str">
        <f>HYPERLINK("E:\Data From Lucan\2024\Johnstone\Frames_for_Analysis\332_20240610_0006_L_0204.jpg","332_20240610_0006_L_0204.jpg")</f>
        <v>332_20240610_0006_L_0204.jpg</v>
      </c>
      <c r="G335" s="75">
        <v>100</v>
      </c>
      <c r="I335">
        <f t="shared" si="5"/>
        <v>1</v>
      </c>
      <c r="J335" s="76">
        <v>1</v>
      </c>
      <c r="K335" s="77"/>
      <c r="L335" s="77"/>
      <c r="M335" s="77"/>
      <c r="N335" s="77"/>
      <c r="O335" s="78">
        <v>1</v>
      </c>
      <c r="P335" s="78">
        <v>0</v>
      </c>
      <c r="Q335" s="78">
        <v>0</v>
      </c>
      <c r="R335" s="78">
        <v>0</v>
      </c>
      <c r="S335" s="75">
        <v>0</v>
      </c>
      <c r="T335" s="75">
        <v>0</v>
      </c>
      <c r="U335" s="75">
        <v>0</v>
      </c>
      <c r="V335" s="79">
        <v>0</v>
      </c>
      <c r="W335" s="78">
        <v>0</v>
      </c>
    </row>
    <row r="336" spans="1:23" s="75" customFormat="1" hidden="1" x14ac:dyDescent="0.35">
      <c r="A336" s="75">
        <v>332</v>
      </c>
      <c r="B336" s="75">
        <v>333</v>
      </c>
      <c r="C336">
        <v>146.06177640000001</v>
      </c>
      <c r="D336">
        <v>-17.52750829</v>
      </c>
      <c r="F336" s="75" t="str">
        <f>HYPERLINK("E:\Data From Lucan\2024\Johnstone\Frames_for_Analysis\333_20240610_0006_L_0206.jpg","333_20240610_0006_L_0206.jpg")</f>
        <v>333_20240610_0006_L_0206.jpg</v>
      </c>
      <c r="G336" s="75">
        <v>100</v>
      </c>
      <c r="I336">
        <f t="shared" si="5"/>
        <v>1</v>
      </c>
      <c r="J336" s="76">
        <v>1</v>
      </c>
      <c r="K336" s="77"/>
      <c r="L336" s="77"/>
      <c r="M336" s="77"/>
      <c r="N336" s="77"/>
      <c r="O336" s="78">
        <v>1</v>
      </c>
      <c r="P336" s="78">
        <v>0</v>
      </c>
      <c r="Q336" s="78">
        <v>0</v>
      </c>
      <c r="R336" s="78">
        <v>0</v>
      </c>
      <c r="S336" s="75">
        <v>0</v>
      </c>
      <c r="T336" s="75">
        <v>0</v>
      </c>
      <c r="U336" s="75">
        <v>0</v>
      </c>
      <c r="V336" s="79">
        <v>0</v>
      </c>
      <c r="W336" s="78">
        <v>0</v>
      </c>
    </row>
    <row r="337" spans="1:23" s="75" customFormat="1" hidden="1" x14ac:dyDescent="0.35">
      <c r="A337" s="75">
        <v>333</v>
      </c>
      <c r="B337" s="75">
        <v>334</v>
      </c>
      <c r="C337">
        <v>146.06181129999999</v>
      </c>
      <c r="D337">
        <v>-17.52759593</v>
      </c>
      <c r="F337" s="75" t="str">
        <f>HYPERLINK("E:\Data From Lucan\2024\Johnstone\Frames_for_Analysis\334_20240610_0006_L_0209.jpg","334_20240610_0006_L_0209.jpg")</f>
        <v>334_20240610_0006_L_0209.jpg</v>
      </c>
      <c r="G337" s="75">
        <v>100</v>
      </c>
      <c r="I337">
        <f t="shared" si="5"/>
        <v>1</v>
      </c>
      <c r="J337" s="76">
        <v>1</v>
      </c>
      <c r="K337" s="77"/>
      <c r="L337" s="77"/>
      <c r="M337" s="77"/>
      <c r="N337" s="77"/>
      <c r="O337" s="78">
        <v>1</v>
      </c>
      <c r="P337" s="78">
        <v>0</v>
      </c>
      <c r="Q337" s="78">
        <v>0</v>
      </c>
      <c r="R337" s="78">
        <v>0</v>
      </c>
      <c r="S337" s="75">
        <v>0</v>
      </c>
      <c r="T337" s="75">
        <v>0</v>
      </c>
      <c r="U337" s="75">
        <v>0</v>
      </c>
      <c r="V337" s="79">
        <v>0</v>
      </c>
      <c r="W337" s="78">
        <v>0</v>
      </c>
    </row>
    <row r="338" spans="1:23" s="75" customFormat="1" hidden="1" x14ac:dyDescent="0.35">
      <c r="A338" s="75">
        <v>334</v>
      </c>
      <c r="B338" s="75">
        <v>335</v>
      </c>
      <c r="C338">
        <v>146.06184160000001</v>
      </c>
      <c r="D338">
        <v>-17.527684959999998</v>
      </c>
      <c r="E338" s="75">
        <v>50</v>
      </c>
      <c r="F338" s="75" t="str">
        <f>HYPERLINK("E:\Data From Lucan\2024\Johnstone\Frames_for_Analysis\335_20240610_0006_L_0211.jpg","335_20240610_0006_L_0211.jpg")</f>
        <v>335_20240610_0006_L_0211.jpg</v>
      </c>
      <c r="G338" s="75">
        <v>100</v>
      </c>
      <c r="I338">
        <f t="shared" si="5"/>
        <v>0</v>
      </c>
      <c r="J338" s="76">
        <v>0</v>
      </c>
      <c r="K338" s="77"/>
      <c r="L338" s="77"/>
      <c r="M338" s="77"/>
      <c r="N338" s="77"/>
      <c r="O338" s="78">
        <v>1</v>
      </c>
      <c r="P338" s="78">
        <v>0</v>
      </c>
      <c r="Q338" s="78">
        <v>0</v>
      </c>
      <c r="R338" s="78">
        <v>0</v>
      </c>
      <c r="S338" s="75">
        <v>0</v>
      </c>
      <c r="T338" s="75">
        <v>0</v>
      </c>
      <c r="U338" s="75">
        <v>0</v>
      </c>
      <c r="V338" s="79">
        <v>0</v>
      </c>
      <c r="W338" s="78">
        <v>0</v>
      </c>
    </row>
    <row r="339" spans="1:23" s="75" customFormat="1" hidden="1" x14ac:dyDescent="0.35">
      <c r="A339" s="75">
        <v>335</v>
      </c>
      <c r="B339" s="75">
        <v>336</v>
      </c>
      <c r="C339">
        <v>146.06186210000001</v>
      </c>
      <c r="D339">
        <v>-17.52777699</v>
      </c>
      <c r="F339" s="75" t="str">
        <f>HYPERLINK("E:\Data From Lucan\2024\Johnstone\Frames_for_Analysis\336_20240610_0006_L_0213.jpg","336_20240610_0006_L_0213.jpg")</f>
        <v>336_20240610_0006_L_0213.jpg</v>
      </c>
      <c r="G339" s="75">
        <v>100</v>
      </c>
      <c r="I339">
        <f t="shared" si="5"/>
        <v>1</v>
      </c>
      <c r="J339" s="76">
        <v>1</v>
      </c>
      <c r="K339" s="77"/>
      <c r="L339" s="77"/>
      <c r="M339" s="77"/>
      <c r="N339" s="77"/>
      <c r="O339" s="78">
        <v>1</v>
      </c>
      <c r="P339" s="78">
        <v>0</v>
      </c>
      <c r="Q339" s="78">
        <v>0</v>
      </c>
      <c r="R339" s="78">
        <v>0</v>
      </c>
      <c r="S339" s="75">
        <v>0</v>
      </c>
      <c r="T339" s="75">
        <v>0</v>
      </c>
      <c r="U339" s="75">
        <v>0</v>
      </c>
      <c r="V339" s="79">
        <v>0</v>
      </c>
      <c r="W339" s="78">
        <v>0</v>
      </c>
    </row>
    <row r="340" spans="1:23" s="75" customFormat="1" hidden="1" x14ac:dyDescent="0.35">
      <c r="A340" s="75">
        <v>336</v>
      </c>
      <c r="B340" s="75">
        <v>337</v>
      </c>
      <c r="C340">
        <v>146.06188270000001</v>
      </c>
      <c r="D340">
        <v>-17.527869030000002</v>
      </c>
      <c r="F340" s="75" t="str">
        <f>HYPERLINK("E:\Data From Lucan\2024\Johnstone\Frames_for_Analysis\337_20240610_0006_L_0215.jpg","337_20240610_0006_L_0215.jpg")</f>
        <v>337_20240610_0006_L_0215.jpg</v>
      </c>
      <c r="G340" s="75">
        <v>100</v>
      </c>
      <c r="I340">
        <f t="shared" si="5"/>
        <v>0</v>
      </c>
      <c r="J340" s="76">
        <v>0</v>
      </c>
      <c r="K340" s="77"/>
      <c r="L340" s="77"/>
      <c r="M340" s="77"/>
      <c r="N340" s="77"/>
      <c r="O340" s="78">
        <v>1</v>
      </c>
      <c r="P340" s="78">
        <v>0</v>
      </c>
      <c r="Q340" s="78">
        <v>0</v>
      </c>
      <c r="R340" s="78">
        <v>0</v>
      </c>
      <c r="S340" s="75">
        <v>0</v>
      </c>
      <c r="T340" s="75">
        <v>0</v>
      </c>
      <c r="U340" s="75">
        <v>0</v>
      </c>
      <c r="V340" s="79">
        <v>0</v>
      </c>
      <c r="W340" s="78">
        <v>0</v>
      </c>
    </row>
    <row r="341" spans="1:23" s="75" customFormat="1" hidden="1" x14ac:dyDescent="0.35">
      <c r="A341" s="75">
        <v>337</v>
      </c>
      <c r="B341" s="75">
        <v>338</v>
      </c>
      <c r="C341">
        <v>146.06188929999999</v>
      </c>
      <c r="D341">
        <v>-17.527963029999999</v>
      </c>
      <c r="F341" s="75" t="str">
        <f>HYPERLINK("E:\Data From Lucan\2024\Johnstone\Frames_for_Analysis\338_20240610_0006_L_0217.jpg","338_20240610_0006_L_0217.jpg")</f>
        <v>338_20240610_0006_L_0217.jpg</v>
      </c>
      <c r="G341" s="75">
        <v>100</v>
      </c>
      <c r="I341">
        <f t="shared" si="5"/>
        <v>1</v>
      </c>
      <c r="J341" s="76">
        <v>1</v>
      </c>
      <c r="K341" s="77"/>
      <c r="L341" s="77"/>
      <c r="M341" s="77"/>
      <c r="N341" s="77"/>
      <c r="O341" s="78">
        <v>1</v>
      </c>
      <c r="P341" s="78">
        <v>0</v>
      </c>
      <c r="Q341" s="78">
        <v>0</v>
      </c>
      <c r="R341" s="78">
        <v>0</v>
      </c>
      <c r="S341" s="75">
        <v>0</v>
      </c>
      <c r="T341" s="75">
        <v>0</v>
      </c>
      <c r="U341" s="75">
        <v>0</v>
      </c>
      <c r="V341" s="79">
        <v>0</v>
      </c>
      <c r="W341" s="78">
        <v>0</v>
      </c>
    </row>
    <row r="342" spans="1:23" s="75" customFormat="1" hidden="1" x14ac:dyDescent="0.35">
      <c r="A342" s="75">
        <v>338</v>
      </c>
      <c r="B342" s="75">
        <v>339</v>
      </c>
      <c r="C342">
        <v>146.0618949</v>
      </c>
      <c r="D342">
        <v>-17.52805717</v>
      </c>
      <c r="F342" s="75" t="str">
        <f>HYPERLINK("E:\Data From Lucan\2024\Johnstone\Frames_for_Analysis\339_20240610_0006_L_0219.jpg","339_20240610_0006_L_0219.jpg")</f>
        <v>339_20240610_0006_L_0219.jpg</v>
      </c>
      <c r="G342" s="75">
        <v>100</v>
      </c>
      <c r="I342">
        <f t="shared" si="5"/>
        <v>1</v>
      </c>
      <c r="J342" s="76">
        <v>1</v>
      </c>
      <c r="K342" s="77"/>
      <c r="L342" s="77"/>
      <c r="M342" s="77"/>
      <c r="N342" s="77"/>
      <c r="O342" s="78">
        <v>1</v>
      </c>
      <c r="P342" s="78">
        <v>0</v>
      </c>
      <c r="Q342" s="78">
        <v>0</v>
      </c>
      <c r="R342" s="78">
        <v>0</v>
      </c>
      <c r="S342" s="75">
        <v>0</v>
      </c>
      <c r="T342" s="75">
        <v>0</v>
      </c>
      <c r="U342" s="75">
        <v>0</v>
      </c>
      <c r="V342" s="79">
        <v>0</v>
      </c>
      <c r="W342" s="78">
        <v>0</v>
      </c>
    </row>
    <row r="343" spans="1:23" s="75" customFormat="1" hidden="1" x14ac:dyDescent="0.35">
      <c r="A343" s="75">
        <v>339</v>
      </c>
      <c r="B343" s="75">
        <v>340</v>
      </c>
      <c r="C343">
        <v>146.06190040000001</v>
      </c>
      <c r="D343">
        <v>-17.528151300000001</v>
      </c>
      <c r="E343" s="75">
        <v>50</v>
      </c>
      <c r="F343" s="75" t="str">
        <f>HYPERLINK("E:\Data From Lucan\2024\Johnstone\Frames_for_Analysis\340_20240610_0006_L_0222.jpg","340_20240610_0006_L_0222.jpg")</f>
        <v>340_20240610_0006_L_0222.jpg</v>
      </c>
      <c r="G343" s="75">
        <v>100</v>
      </c>
      <c r="I343">
        <f t="shared" si="5"/>
        <v>1</v>
      </c>
      <c r="J343" s="76">
        <v>1</v>
      </c>
      <c r="K343" s="77"/>
      <c r="L343" s="77"/>
      <c r="M343" s="77"/>
      <c r="N343" s="77"/>
      <c r="O343" s="78">
        <v>1</v>
      </c>
      <c r="P343" s="78">
        <v>0</v>
      </c>
      <c r="Q343" s="78">
        <v>0</v>
      </c>
      <c r="R343" s="78">
        <v>0</v>
      </c>
      <c r="S343" s="75">
        <v>0</v>
      </c>
      <c r="T343" s="75">
        <v>0</v>
      </c>
      <c r="U343" s="75">
        <v>0</v>
      </c>
      <c r="V343" s="79">
        <v>0</v>
      </c>
      <c r="W343" s="78">
        <v>0</v>
      </c>
    </row>
    <row r="344" spans="1:23" s="75" customFormat="1" hidden="1" x14ac:dyDescent="0.35">
      <c r="A344" s="75">
        <v>340</v>
      </c>
      <c r="B344" s="75">
        <v>341</v>
      </c>
      <c r="C344">
        <v>146.0618868</v>
      </c>
      <c r="D344">
        <v>-17.528243870000001</v>
      </c>
      <c r="F344" s="75" t="str">
        <f>HYPERLINK("E:\Data From Lucan\2024\Johnstone\Frames_for_Analysis\341_20240610_0006_L_0224.jpg","341_20240610_0006_L_0224.jpg")</f>
        <v>341_20240610_0006_L_0224.jpg</v>
      </c>
      <c r="G344" s="75">
        <v>100</v>
      </c>
      <c r="I344">
        <f t="shared" si="5"/>
        <v>0</v>
      </c>
      <c r="J344" s="76">
        <v>0</v>
      </c>
      <c r="K344" s="77"/>
      <c r="L344" s="77"/>
      <c r="M344" s="77"/>
      <c r="N344" s="77"/>
      <c r="O344" s="78">
        <v>1</v>
      </c>
      <c r="P344" s="78">
        <v>0</v>
      </c>
      <c r="Q344" s="78">
        <v>0</v>
      </c>
      <c r="R344" s="78">
        <v>0</v>
      </c>
      <c r="S344" s="75">
        <v>0</v>
      </c>
      <c r="T344" s="75">
        <v>0</v>
      </c>
      <c r="U344" s="75">
        <v>0</v>
      </c>
      <c r="V344" s="79">
        <v>0</v>
      </c>
      <c r="W344" s="78">
        <v>0</v>
      </c>
    </row>
    <row r="345" spans="1:23" s="75" customFormat="1" hidden="1" x14ac:dyDescent="0.35">
      <c r="A345" s="75">
        <v>341</v>
      </c>
      <c r="B345" s="75">
        <v>342</v>
      </c>
      <c r="C345">
        <v>146.06186600000001</v>
      </c>
      <c r="D345">
        <v>-17.528335850000001</v>
      </c>
      <c r="F345" s="75" t="str">
        <f>HYPERLINK("E:\Data From Lucan\2024\Johnstone\Frames_for_Analysis\342_20240610_0006_L_0226.jpg","342_20240610_0006_L_0226.jpg")</f>
        <v>342_20240610_0006_L_0226.jpg</v>
      </c>
      <c r="G345" s="75">
        <v>100</v>
      </c>
      <c r="I345">
        <f t="shared" si="5"/>
        <v>1</v>
      </c>
      <c r="J345" s="76">
        <v>1</v>
      </c>
      <c r="K345" s="77"/>
      <c r="L345" s="77"/>
      <c r="M345" s="77"/>
      <c r="N345" s="77"/>
      <c r="O345" s="78">
        <v>1</v>
      </c>
      <c r="P345" s="78">
        <v>0</v>
      </c>
      <c r="Q345" s="78">
        <v>0</v>
      </c>
      <c r="R345" s="78">
        <v>0</v>
      </c>
      <c r="S345" s="75">
        <v>0</v>
      </c>
      <c r="T345" s="75">
        <v>0</v>
      </c>
      <c r="U345" s="75">
        <v>0</v>
      </c>
      <c r="V345" s="79">
        <v>0</v>
      </c>
      <c r="W345" s="78">
        <v>0</v>
      </c>
    </row>
    <row r="346" spans="1:23" s="75" customFormat="1" hidden="1" x14ac:dyDescent="0.35">
      <c r="A346" s="75">
        <v>342</v>
      </c>
      <c r="B346" s="75">
        <v>343</v>
      </c>
      <c r="C346">
        <v>146.06184519999999</v>
      </c>
      <c r="D346">
        <v>-17.528427829999998</v>
      </c>
      <c r="F346" s="75" t="str">
        <f>HYPERLINK("E:\Data From Lucan\2024\Johnstone\Frames_for_Analysis\343_20240610_0006_L_0229.jpg","343_20240610_0006_L_0229.jpg")</f>
        <v>343_20240610_0006_L_0229.jpg</v>
      </c>
      <c r="G346" s="75">
        <v>100</v>
      </c>
      <c r="I346">
        <f t="shared" si="5"/>
        <v>1</v>
      </c>
      <c r="J346" s="76">
        <v>1</v>
      </c>
      <c r="K346" s="77"/>
      <c r="L346" s="77"/>
      <c r="M346" s="77"/>
      <c r="N346" s="77"/>
      <c r="O346" s="78">
        <v>1</v>
      </c>
      <c r="P346" s="78">
        <v>0</v>
      </c>
      <c r="Q346" s="78">
        <v>0</v>
      </c>
      <c r="R346" s="78">
        <v>0</v>
      </c>
      <c r="S346" s="75">
        <v>0</v>
      </c>
      <c r="T346" s="75">
        <v>0</v>
      </c>
      <c r="U346" s="75">
        <v>0</v>
      </c>
      <c r="V346" s="79">
        <v>0</v>
      </c>
      <c r="W346" s="78">
        <v>0</v>
      </c>
    </row>
    <row r="347" spans="1:23" s="75" customFormat="1" hidden="1" x14ac:dyDescent="0.35">
      <c r="A347" s="75">
        <v>343</v>
      </c>
      <c r="B347" s="75">
        <v>344</v>
      </c>
      <c r="C347">
        <v>146.061825</v>
      </c>
      <c r="D347">
        <v>-17.528519939999999</v>
      </c>
      <c r="F347" s="75" t="str">
        <f>HYPERLINK("E:\Data From Lucan\2024\Johnstone\Frames_for_Analysis\344_20240610_0006_L_0231.jpg","344_20240610_0006_L_0231.jpg")</f>
        <v>344_20240610_0006_L_0231.jpg</v>
      </c>
      <c r="G347" s="75">
        <v>100</v>
      </c>
      <c r="I347">
        <f t="shared" si="5"/>
        <v>1</v>
      </c>
      <c r="J347" s="76">
        <v>1</v>
      </c>
      <c r="K347" s="77"/>
      <c r="L347" s="77"/>
      <c r="M347" s="77"/>
      <c r="N347" s="77"/>
      <c r="O347" s="78">
        <v>1</v>
      </c>
      <c r="P347" s="78">
        <v>0</v>
      </c>
      <c r="Q347" s="78">
        <v>0</v>
      </c>
      <c r="R347" s="78">
        <v>0</v>
      </c>
      <c r="S347" s="75">
        <v>0</v>
      </c>
      <c r="T347" s="75">
        <v>0</v>
      </c>
      <c r="U347" s="75">
        <v>0</v>
      </c>
      <c r="V347" s="79">
        <v>0</v>
      </c>
      <c r="W347" s="78">
        <v>0</v>
      </c>
    </row>
    <row r="348" spans="1:23" s="75" customFormat="1" hidden="1" x14ac:dyDescent="0.35">
      <c r="A348" s="75">
        <v>344</v>
      </c>
      <c r="B348" s="75">
        <v>345</v>
      </c>
      <c r="C348">
        <v>146.06180610000001</v>
      </c>
      <c r="D348">
        <v>-17.528612320000001</v>
      </c>
      <c r="E348" s="75">
        <v>50</v>
      </c>
      <c r="F348" s="75" t="str">
        <f>HYPERLINK("E:\Data From Lucan\2024\Johnstone\Frames_for_Analysis\345_20240610_0006_L_0235.jpg","345_20240610_0006_L_0235.jpg")</f>
        <v>345_20240610_0006_L_0235.jpg</v>
      </c>
      <c r="G348" s="75">
        <v>100</v>
      </c>
      <c r="I348">
        <f t="shared" si="5"/>
        <v>1</v>
      </c>
      <c r="J348" s="76">
        <v>1</v>
      </c>
      <c r="K348" s="77"/>
      <c r="L348" s="77"/>
      <c r="M348" s="77"/>
      <c r="N348" s="77"/>
      <c r="O348" s="78">
        <v>1</v>
      </c>
      <c r="P348" s="78">
        <v>0</v>
      </c>
      <c r="Q348" s="78">
        <v>0</v>
      </c>
      <c r="R348" s="78">
        <v>0</v>
      </c>
      <c r="S348" s="75">
        <v>0</v>
      </c>
      <c r="T348" s="75">
        <v>0</v>
      </c>
      <c r="U348" s="75">
        <v>0</v>
      </c>
      <c r="V348" s="79">
        <v>0</v>
      </c>
      <c r="W348" s="78">
        <v>0</v>
      </c>
    </row>
    <row r="349" spans="1:23" s="75" customFormat="1" hidden="1" x14ac:dyDescent="0.35">
      <c r="A349" s="75">
        <v>345</v>
      </c>
      <c r="B349" s="75">
        <v>346</v>
      </c>
      <c r="C349">
        <v>146.0617805</v>
      </c>
      <c r="D349">
        <v>-17.528702580000001</v>
      </c>
      <c r="F349" s="75" t="str">
        <f>HYPERLINK("E:\Data From Lucan\2024\Johnstone\Frames_for_Analysis\346_20240610_0006_L_0238.jpg","346_20240610_0006_L_0238.jpg")</f>
        <v>346_20240610_0006_L_0238.jpg</v>
      </c>
      <c r="G349" s="75">
        <v>100</v>
      </c>
      <c r="I349">
        <f t="shared" si="5"/>
        <v>1</v>
      </c>
      <c r="J349" s="76">
        <v>1</v>
      </c>
      <c r="K349" s="77"/>
      <c r="L349" s="77"/>
      <c r="M349" s="77"/>
      <c r="N349" s="77"/>
      <c r="O349" s="78">
        <v>1</v>
      </c>
      <c r="P349" s="78">
        <v>0</v>
      </c>
      <c r="Q349" s="78">
        <v>0</v>
      </c>
      <c r="R349" s="78">
        <v>0</v>
      </c>
      <c r="S349" s="75">
        <v>0</v>
      </c>
      <c r="T349" s="75">
        <v>0</v>
      </c>
      <c r="U349" s="75">
        <v>0</v>
      </c>
      <c r="V349" s="79">
        <v>0</v>
      </c>
      <c r="W349" s="78">
        <v>0</v>
      </c>
    </row>
    <row r="350" spans="1:23" s="75" customFormat="1" hidden="1" x14ac:dyDescent="0.35">
      <c r="A350" s="75">
        <v>346</v>
      </c>
      <c r="B350" s="75">
        <v>347</v>
      </c>
      <c r="C350">
        <v>146.06172599999999</v>
      </c>
      <c r="D350">
        <v>-17.528779220000001</v>
      </c>
      <c r="F350" s="75" t="str">
        <f>HYPERLINK("E:\Data From Lucan\2024\Johnstone\Frames_for_Analysis\347_20240610_0006_L_0241.jpg","347_20240610_0006_L_0241.jpg")</f>
        <v>347_20240610_0006_L_0241.jpg</v>
      </c>
      <c r="G350" s="75">
        <v>100</v>
      </c>
      <c r="I350">
        <f t="shared" si="5"/>
        <v>1</v>
      </c>
      <c r="J350" s="76">
        <v>1</v>
      </c>
      <c r="K350" s="77"/>
      <c r="L350" s="77"/>
      <c r="M350" s="77"/>
      <c r="N350" s="77"/>
      <c r="O350" s="78">
        <v>1</v>
      </c>
      <c r="P350" s="78">
        <v>0</v>
      </c>
      <c r="Q350" s="78">
        <v>0</v>
      </c>
      <c r="R350" s="78">
        <v>0</v>
      </c>
      <c r="S350" s="75">
        <v>0</v>
      </c>
      <c r="T350" s="75">
        <v>0</v>
      </c>
      <c r="U350" s="75">
        <v>0</v>
      </c>
      <c r="V350" s="79">
        <v>0</v>
      </c>
      <c r="W350" s="78">
        <v>0</v>
      </c>
    </row>
    <row r="351" spans="1:23" s="75" customFormat="1" hidden="1" x14ac:dyDescent="0.35">
      <c r="A351" s="75">
        <v>347</v>
      </c>
      <c r="B351" s="75">
        <v>348</v>
      </c>
      <c r="C351">
        <v>146.06166930000001</v>
      </c>
      <c r="D351">
        <v>-17.528854580000001</v>
      </c>
      <c r="F351" s="75" t="str">
        <f>HYPERLINK("E:\Data From Lucan\2024\Johnstone\Frames_for_Analysis\348_20240610_0006_L_0244.jpg","348_20240610_0006_L_0244.jpg")</f>
        <v>348_20240610_0006_L_0244.jpg</v>
      </c>
      <c r="G351" s="75">
        <v>100</v>
      </c>
      <c r="I351">
        <f t="shared" si="5"/>
        <v>1</v>
      </c>
      <c r="J351" s="76">
        <v>1</v>
      </c>
      <c r="K351" s="77"/>
      <c r="L351" s="77"/>
      <c r="M351" s="77"/>
      <c r="N351" s="77"/>
      <c r="O351" s="78">
        <v>1</v>
      </c>
      <c r="P351" s="78">
        <v>0</v>
      </c>
      <c r="Q351" s="78">
        <v>0</v>
      </c>
      <c r="R351" s="78">
        <v>0</v>
      </c>
      <c r="S351" s="75">
        <v>0</v>
      </c>
      <c r="T351" s="75">
        <v>0</v>
      </c>
      <c r="U351" s="75">
        <v>0</v>
      </c>
      <c r="V351" s="79">
        <v>0</v>
      </c>
      <c r="W351" s="78">
        <v>0</v>
      </c>
    </row>
    <row r="352" spans="1:23" s="75" customFormat="1" hidden="1" x14ac:dyDescent="0.35">
      <c r="A352" s="75">
        <v>348</v>
      </c>
      <c r="B352" s="75">
        <v>349</v>
      </c>
      <c r="C352">
        <v>146.06161539999999</v>
      </c>
      <c r="D352">
        <v>-17.528931960000001</v>
      </c>
      <c r="F352" s="75" t="str">
        <f>HYPERLINK("E:\Data From Lucan\2024\Johnstone\Frames_for_Analysis\349_20240610_0006_L_0248.jpg","349_20240610_0006_L_0248.jpg")</f>
        <v>349_20240610_0006_L_0248.jpg</v>
      </c>
      <c r="G352" s="75">
        <v>100</v>
      </c>
      <c r="I352">
        <f t="shared" si="5"/>
        <v>1</v>
      </c>
      <c r="J352" s="76">
        <v>1</v>
      </c>
      <c r="K352" s="77"/>
      <c r="L352" s="77"/>
      <c r="M352" s="77"/>
      <c r="N352" s="77"/>
      <c r="O352" s="78">
        <v>1</v>
      </c>
      <c r="P352" s="78">
        <v>0</v>
      </c>
      <c r="Q352" s="78">
        <v>0</v>
      </c>
      <c r="R352" s="78">
        <v>0</v>
      </c>
      <c r="S352" s="75">
        <v>0</v>
      </c>
      <c r="T352" s="75">
        <v>0</v>
      </c>
      <c r="U352" s="75">
        <v>0</v>
      </c>
      <c r="V352" s="79">
        <v>0</v>
      </c>
      <c r="W352" s="78">
        <v>0</v>
      </c>
    </row>
    <row r="353" spans="1:23" s="75" customFormat="1" hidden="1" x14ac:dyDescent="0.35">
      <c r="A353" s="75">
        <v>349</v>
      </c>
      <c r="B353" s="75">
        <v>350</v>
      </c>
      <c r="C353">
        <v>146.06156179999999</v>
      </c>
      <c r="D353">
        <v>-17.52900953</v>
      </c>
      <c r="E353" s="75">
        <v>50</v>
      </c>
      <c r="F353" s="75" t="str">
        <f>HYPERLINK("E:\Data From Lucan\2024\Johnstone\Frames_for_Analysis\350_20240610_0006_L_0251.jpg","350_20240610_0006_L_0251.jpg")</f>
        <v>350_20240610_0006_L_0251.jpg</v>
      </c>
      <c r="G353" s="75">
        <v>100</v>
      </c>
      <c r="I353">
        <f t="shared" si="5"/>
        <v>1</v>
      </c>
      <c r="J353" s="76">
        <v>1</v>
      </c>
      <c r="K353" s="77"/>
      <c r="L353" s="77"/>
      <c r="M353" s="77"/>
      <c r="N353" s="77"/>
      <c r="O353" s="78">
        <v>1</v>
      </c>
      <c r="P353" s="78">
        <v>0</v>
      </c>
      <c r="Q353" s="78">
        <v>0</v>
      </c>
      <c r="R353" s="78">
        <v>0</v>
      </c>
      <c r="S353" s="75">
        <v>0</v>
      </c>
      <c r="T353" s="75">
        <v>0</v>
      </c>
      <c r="U353" s="75">
        <v>0</v>
      </c>
      <c r="V353" s="79">
        <v>0</v>
      </c>
      <c r="W353" s="78">
        <v>0</v>
      </c>
    </row>
    <row r="354" spans="1:23" s="75" customFormat="1" hidden="1" x14ac:dyDescent="0.35">
      <c r="A354" s="75">
        <v>350</v>
      </c>
      <c r="B354" s="75">
        <v>351</v>
      </c>
      <c r="C354">
        <v>146.06150819999999</v>
      </c>
      <c r="D354">
        <v>-17.529087100000002</v>
      </c>
      <c r="F354" s="75" t="str">
        <f>HYPERLINK("E:\Data From Lucan\2024\Johnstone\Frames_for_Analysis\351_20240610_0006_L_0255.jpg","351_20240610_0006_L_0255.jpg")</f>
        <v>351_20240610_0006_L_0255.jpg</v>
      </c>
      <c r="G354" s="75">
        <v>100</v>
      </c>
      <c r="I354">
        <f t="shared" si="5"/>
        <v>1</v>
      </c>
      <c r="J354" s="76">
        <v>1</v>
      </c>
      <c r="K354" s="77"/>
      <c r="L354" s="77"/>
      <c r="M354" s="77"/>
      <c r="N354" s="77"/>
      <c r="O354" s="78">
        <v>1</v>
      </c>
      <c r="P354" s="78">
        <v>0</v>
      </c>
      <c r="Q354" s="78">
        <v>0</v>
      </c>
      <c r="R354" s="78">
        <v>0</v>
      </c>
      <c r="S354" s="75">
        <v>0</v>
      </c>
      <c r="T354" s="75">
        <v>0</v>
      </c>
      <c r="U354" s="75">
        <v>0</v>
      </c>
      <c r="V354" s="79">
        <v>0</v>
      </c>
      <c r="W354" s="78">
        <v>0</v>
      </c>
    </row>
    <row r="355" spans="1:23" s="75" customFormat="1" hidden="1" x14ac:dyDescent="0.35">
      <c r="A355" s="75">
        <v>351</v>
      </c>
      <c r="B355" s="75">
        <v>352</v>
      </c>
      <c r="C355">
        <v>146.0614545</v>
      </c>
      <c r="D355">
        <v>-17.52916467</v>
      </c>
      <c r="F355" s="75" t="str">
        <f>HYPERLINK("E:\Data From Lucan\2024\Johnstone\Frames_for_Analysis\352_20240610_0006_L_0258.jpg","352_20240610_0006_L_0258.jpg")</f>
        <v>352_20240610_0006_L_0258.jpg</v>
      </c>
      <c r="G355" s="75">
        <v>100</v>
      </c>
      <c r="I355">
        <f t="shared" si="5"/>
        <v>1</v>
      </c>
      <c r="J355" s="76">
        <v>1</v>
      </c>
      <c r="K355" s="77"/>
      <c r="L355" s="77"/>
      <c r="M355" s="77"/>
      <c r="N355" s="77"/>
      <c r="O355" s="78">
        <v>1</v>
      </c>
      <c r="P355" s="78">
        <v>0</v>
      </c>
      <c r="Q355" s="78">
        <v>0</v>
      </c>
      <c r="R355" s="78">
        <v>0</v>
      </c>
      <c r="S355" s="75">
        <v>0</v>
      </c>
      <c r="T355" s="75">
        <v>0</v>
      </c>
      <c r="U355" s="75">
        <v>0</v>
      </c>
      <c r="V355" s="79">
        <v>0</v>
      </c>
      <c r="W355" s="78">
        <v>0</v>
      </c>
    </row>
    <row r="356" spans="1:23" s="75" customFormat="1" hidden="1" x14ac:dyDescent="0.35">
      <c r="A356" s="75">
        <v>352</v>
      </c>
      <c r="B356" s="75">
        <v>353</v>
      </c>
      <c r="C356">
        <v>146.0614018</v>
      </c>
      <c r="D356">
        <v>-17.52924286</v>
      </c>
      <c r="F356" s="75" t="str">
        <f>HYPERLINK("E:\Data From Lucan\2024\Johnstone\Frames_for_Analysis\353_20240610_0006_L_0263.jpg","353_20240610_0006_L_0263.jpg")</f>
        <v>353_20240610_0006_L_0263.jpg</v>
      </c>
      <c r="G356" s="75">
        <v>100</v>
      </c>
      <c r="I356">
        <f t="shared" si="5"/>
        <v>1</v>
      </c>
      <c r="J356" s="76">
        <v>1</v>
      </c>
      <c r="K356" s="77"/>
      <c r="L356" s="77"/>
      <c r="M356" s="77"/>
      <c r="N356" s="77"/>
      <c r="O356" s="78">
        <v>1</v>
      </c>
      <c r="P356" s="78">
        <v>0</v>
      </c>
      <c r="Q356" s="78">
        <v>0</v>
      </c>
      <c r="R356" s="78">
        <v>0</v>
      </c>
      <c r="S356" s="75">
        <v>0</v>
      </c>
      <c r="T356" s="75">
        <v>0</v>
      </c>
      <c r="U356" s="75">
        <v>0</v>
      </c>
      <c r="V356" s="79">
        <v>0</v>
      </c>
      <c r="W356" s="78">
        <v>0</v>
      </c>
    </row>
    <row r="357" spans="1:23" s="75" customFormat="1" hidden="1" x14ac:dyDescent="0.35">
      <c r="A357" s="75">
        <v>353</v>
      </c>
      <c r="B357" s="75">
        <v>354</v>
      </c>
      <c r="C357">
        <v>146.06134990000001</v>
      </c>
      <c r="D357">
        <v>-17.529321620000001</v>
      </c>
      <c r="F357" s="75" t="str">
        <f>HYPERLINK("E:\Data From Lucan\2024\Johnstone\Frames_for_Analysis\354_20240610_0006_L_0265.jpg","354_20240610_0006_L_0265.jpg")</f>
        <v>354_20240610_0006_L_0265.jpg</v>
      </c>
      <c r="G357" s="75">
        <v>100</v>
      </c>
      <c r="I357">
        <f t="shared" si="5"/>
        <v>1</v>
      </c>
      <c r="J357" s="76">
        <v>1</v>
      </c>
      <c r="K357" s="77"/>
      <c r="L357" s="77"/>
      <c r="M357" s="77"/>
      <c r="N357" s="77"/>
      <c r="O357" s="78">
        <v>1</v>
      </c>
      <c r="P357" s="78">
        <v>0</v>
      </c>
      <c r="Q357" s="78">
        <v>0</v>
      </c>
      <c r="R357" s="78">
        <v>0</v>
      </c>
      <c r="S357" s="75">
        <v>0</v>
      </c>
      <c r="T357" s="75">
        <v>0</v>
      </c>
      <c r="U357" s="75">
        <v>0</v>
      </c>
      <c r="V357" s="79">
        <v>0</v>
      </c>
      <c r="W357" s="78">
        <v>0</v>
      </c>
    </row>
    <row r="358" spans="1:23" s="75" customFormat="1" hidden="1" x14ac:dyDescent="0.35">
      <c r="A358" s="75">
        <v>354</v>
      </c>
      <c r="B358" s="75">
        <v>355</v>
      </c>
      <c r="C358">
        <v>146.06129809999999</v>
      </c>
      <c r="D358">
        <v>-17.529400370000001</v>
      </c>
      <c r="E358" s="75">
        <v>50</v>
      </c>
      <c r="F358" s="75" t="str">
        <f>HYPERLINK("E:\Data From Lucan\2024\Johnstone\Frames_for_Analysis\355_20240610_0006_L_0269.jpg","355_20240610_0006_L_0269.jpg")</f>
        <v>355_20240610_0006_L_0269.jpg</v>
      </c>
      <c r="G358" s="75">
        <v>100</v>
      </c>
      <c r="I358">
        <f t="shared" si="5"/>
        <v>1</v>
      </c>
      <c r="J358" s="76">
        <v>1</v>
      </c>
      <c r="K358" s="77"/>
      <c r="L358" s="77"/>
      <c r="M358" s="77"/>
      <c r="N358" s="77"/>
      <c r="O358" s="78">
        <v>1</v>
      </c>
      <c r="P358" s="78">
        <v>0</v>
      </c>
      <c r="Q358" s="78">
        <v>0</v>
      </c>
      <c r="R358" s="78">
        <v>0</v>
      </c>
      <c r="S358" s="75">
        <v>0</v>
      </c>
      <c r="T358" s="75">
        <v>0</v>
      </c>
      <c r="U358" s="75">
        <v>0</v>
      </c>
      <c r="V358" s="79">
        <v>0</v>
      </c>
      <c r="W358" s="78">
        <v>0</v>
      </c>
    </row>
    <row r="359" spans="1:23" s="75" customFormat="1" hidden="1" x14ac:dyDescent="0.35">
      <c r="A359" s="75">
        <v>355</v>
      </c>
      <c r="B359" s="75">
        <v>356</v>
      </c>
      <c r="C359">
        <v>146.06125890000001</v>
      </c>
      <c r="D359">
        <v>-17.529485900000001</v>
      </c>
      <c r="F359" s="75" t="str">
        <f>HYPERLINK("E:\Data From Lucan\2024\Johnstone\Frames_for_Analysis\356_20240610_0006_L_0270.jpg","356_20240610_0006_L_0270.jpg")</f>
        <v>356_20240610_0006_L_0270.jpg</v>
      </c>
      <c r="G359" s="75">
        <v>100</v>
      </c>
      <c r="I359">
        <f t="shared" si="5"/>
        <v>1</v>
      </c>
      <c r="J359" s="76">
        <v>1</v>
      </c>
      <c r="K359" s="77"/>
      <c r="L359" s="77"/>
      <c r="M359" s="77"/>
      <c r="N359" s="77"/>
      <c r="O359" s="78">
        <v>1</v>
      </c>
      <c r="P359" s="78">
        <v>0</v>
      </c>
      <c r="Q359" s="78">
        <v>0</v>
      </c>
      <c r="R359" s="78">
        <v>0</v>
      </c>
      <c r="S359" s="75">
        <v>0</v>
      </c>
      <c r="T359" s="75">
        <v>0</v>
      </c>
      <c r="U359" s="75">
        <v>0</v>
      </c>
      <c r="V359" s="79">
        <v>0</v>
      </c>
      <c r="W359" s="78">
        <v>0</v>
      </c>
    </row>
    <row r="360" spans="1:23" s="75" customFormat="1" hidden="1" x14ac:dyDescent="0.35">
      <c r="A360" s="75">
        <v>356</v>
      </c>
      <c r="B360" s="75">
        <v>357</v>
      </c>
      <c r="C360">
        <v>146.06122260000001</v>
      </c>
      <c r="D360">
        <v>-17.52957293</v>
      </c>
      <c r="F360" s="75" t="str">
        <f>HYPERLINK("E:\Data From Lucan\2024\Johnstone\Frames_for_Analysis\357_20240610_0006_L_0276.jpg","357_20240610_0006_L_0276.jpg")</f>
        <v>357_20240610_0006_L_0276.jpg</v>
      </c>
      <c r="G360" s="75">
        <v>100</v>
      </c>
      <c r="I360">
        <f t="shared" si="5"/>
        <v>1</v>
      </c>
      <c r="J360" s="76">
        <v>1</v>
      </c>
      <c r="K360" s="77"/>
      <c r="L360" s="77"/>
      <c r="M360" s="77"/>
      <c r="N360" s="77"/>
      <c r="O360" s="78">
        <v>1</v>
      </c>
      <c r="P360" s="78">
        <v>0</v>
      </c>
      <c r="Q360" s="78">
        <v>0</v>
      </c>
      <c r="R360" s="78">
        <v>0</v>
      </c>
      <c r="S360" s="75">
        <v>0</v>
      </c>
      <c r="T360" s="75">
        <v>0</v>
      </c>
      <c r="U360" s="75">
        <v>0</v>
      </c>
      <c r="V360" s="79">
        <v>0</v>
      </c>
      <c r="W360" s="78">
        <v>0</v>
      </c>
    </row>
    <row r="361" spans="1:23" s="75" customFormat="1" hidden="1" x14ac:dyDescent="0.35">
      <c r="A361" s="75">
        <v>357</v>
      </c>
      <c r="B361" s="75">
        <v>358</v>
      </c>
      <c r="C361">
        <v>146.06120519999999</v>
      </c>
      <c r="D361">
        <v>-17.529663509999999</v>
      </c>
      <c r="F361" s="75" t="str">
        <f>HYPERLINK("E:\Data From Lucan\2024\Johnstone\Frames_for_Analysis\358_20240610_0006_L_0280.jpg","358_20240610_0006_L_0280.jpg")</f>
        <v>358_20240610_0006_L_0280.jpg</v>
      </c>
      <c r="G361" s="75">
        <v>100</v>
      </c>
      <c r="I361">
        <f t="shared" si="5"/>
        <v>1</v>
      </c>
      <c r="J361" s="76">
        <v>1</v>
      </c>
      <c r="K361" s="77"/>
      <c r="L361" s="77"/>
      <c r="M361" s="77"/>
      <c r="N361" s="77"/>
      <c r="O361" s="78">
        <v>1</v>
      </c>
      <c r="P361" s="78">
        <v>0</v>
      </c>
      <c r="Q361" s="78">
        <v>0</v>
      </c>
      <c r="R361" s="78">
        <v>0</v>
      </c>
      <c r="S361" s="75">
        <v>0</v>
      </c>
      <c r="T361" s="75">
        <v>0</v>
      </c>
      <c r="U361" s="75">
        <v>0</v>
      </c>
      <c r="V361" s="79">
        <v>0</v>
      </c>
      <c r="W361" s="78">
        <v>0</v>
      </c>
    </row>
    <row r="362" spans="1:23" s="75" customFormat="1" hidden="1" x14ac:dyDescent="0.35">
      <c r="A362" s="75">
        <v>358</v>
      </c>
      <c r="B362" s="75">
        <v>359</v>
      </c>
      <c r="C362">
        <v>146.0612074</v>
      </c>
      <c r="D362">
        <v>-17.529757790000001</v>
      </c>
      <c r="F362" s="75" t="str">
        <f>HYPERLINK("E:\Data From Lucan\2024\Johnstone\Frames_for_Analysis\359_20240610_0006_L_0283.jpg","359_20240610_0006_L_0283.jpg")</f>
        <v>359_20240610_0006_L_0283.jpg</v>
      </c>
      <c r="G362" s="75">
        <v>100</v>
      </c>
      <c r="I362">
        <f t="shared" si="5"/>
        <v>1</v>
      </c>
      <c r="J362" s="76">
        <v>1</v>
      </c>
      <c r="K362" s="77"/>
      <c r="L362" s="77"/>
      <c r="M362" s="77"/>
      <c r="N362" s="77"/>
      <c r="O362" s="78">
        <v>1</v>
      </c>
      <c r="P362" s="78">
        <v>0</v>
      </c>
      <c r="Q362" s="78">
        <v>0</v>
      </c>
      <c r="R362" s="78">
        <v>0</v>
      </c>
      <c r="S362" s="75">
        <v>0</v>
      </c>
      <c r="T362" s="75">
        <v>0</v>
      </c>
      <c r="U362" s="75">
        <v>0</v>
      </c>
      <c r="V362" s="79">
        <v>0</v>
      </c>
      <c r="W362" s="78">
        <v>0</v>
      </c>
    </row>
    <row r="363" spans="1:23" s="75" customFormat="1" hidden="1" x14ac:dyDescent="0.35">
      <c r="A363" s="75">
        <v>359</v>
      </c>
      <c r="B363" s="75">
        <v>360</v>
      </c>
      <c r="C363">
        <v>146.0612228</v>
      </c>
      <c r="D363">
        <v>-17.529849649999999</v>
      </c>
      <c r="E363" s="75">
        <v>50</v>
      </c>
      <c r="F363" s="75" t="str">
        <f>HYPERLINK("E:\Data From Lucan\2024\Johnstone\Frames_for_Analysis\360_20240610_0006_L_0290.jpg","360_20240610_0006_L_0290.jpg")</f>
        <v>360_20240610_0006_L_0290.jpg</v>
      </c>
      <c r="G363" s="75">
        <v>100</v>
      </c>
      <c r="I363">
        <f t="shared" si="5"/>
        <v>1</v>
      </c>
      <c r="J363" s="76">
        <v>1</v>
      </c>
      <c r="K363" s="77"/>
      <c r="L363" s="77"/>
      <c r="M363" s="77"/>
      <c r="N363" s="77"/>
      <c r="O363" s="78">
        <v>1</v>
      </c>
      <c r="P363" s="78">
        <v>0</v>
      </c>
      <c r="Q363" s="78">
        <v>0</v>
      </c>
      <c r="R363" s="78">
        <v>0</v>
      </c>
      <c r="S363" s="75">
        <v>0</v>
      </c>
      <c r="T363" s="75">
        <v>0</v>
      </c>
      <c r="U363" s="75">
        <v>0</v>
      </c>
      <c r="V363" s="79">
        <v>0</v>
      </c>
      <c r="W363" s="78">
        <v>0</v>
      </c>
    </row>
    <row r="364" spans="1:23" s="75" customFormat="1" hidden="1" x14ac:dyDescent="0.35">
      <c r="A364" s="75">
        <v>360</v>
      </c>
      <c r="B364" s="75">
        <v>361</v>
      </c>
      <c r="C364">
        <v>146.0612543</v>
      </c>
      <c r="D364">
        <v>-17.529938550000001</v>
      </c>
      <c r="F364" s="75" t="str">
        <f>HYPERLINK("E:\Data From Lucan\2024\Johnstone\Frames_for_Analysis\361_20240610_0006_L_0297.jpg","361_20240610_0006_L_0297.jpg")</f>
        <v>361_20240610_0006_L_0297.jpg</v>
      </c>
      <c r="G364" s="75">
        <v>100</v>
      </c>
      <c r="I364">
        <f t="shared" si="5"/>
        <v>1</v>
      </c>
      <c r="J364" s="76">
        <v>1</v>
      </c>
      <c r="K364" s="77"/>
      <c r="L364" s="77"/>
      <c r="M364" s="77"/>
      <c r="N364" s="77"/>
      <c r="O364" s="78">
        <v>1</v>
      </c>
      <c r="P364" s="78">
        <v>0</v>
      </c>
      <c r="Q364" s="78">
        <v>0</v>
      </c>
      <c r="R364" s="78">
        <v>0</v>
      </c>
      <c r="S364" s="75">
        <v>0</v>
      </c>
      <c r="T364" s="75">
        <v>0</v>
      </c>
      <c r="U364" s="75">
        <v>0</v>
      </c>
      <c r="V364" s="79">
        <v>0</v>
      </c>
      <c r="W364" s="78">
        <v>0</v>
      </c>
    </row>
    <row r="365" spans="1:23" s="75" customFormat="1" hidden="1" x14ac:dyDescent="0.35">
      <c r="A365" s="75">
        <v>361</v>
      </c>
      <c r="B365" s="75">
        <v>362</v>
      </c>
      <c r="C365">
        <v>146.06129809999999</v>
      </c>
      <c r="D365">
        <v>-17.530021560000002</v>
      </c>
      <c r="F365" s="75" t="str">
        <f>HYPERLINK("E:\Data From Lucan\2024\Johnstone\Frames_for_Analysis\362_20240610_0006_L_0306.jpg","362_20240610_0006_L_0306.jpg")</f>
        <v>362_20240610_0006_L_0306.jpg</v>
      </c>
      <c r="G365" s="75">
        <v>100</v>
      </c>
      <c r="I365">
        <f t="shared" si="5"/>
        <v>1</v>
      </c>
      <c r="J365" s="76">
        <v>1</v>
      </c>
      <c r="K365" s="77"/>
      <c r="L365" s="77"/>
      <c r="M365" s="77"/>
      <c r="N365" s="77"/>
      <c r="O365" s="78">
        <v>1</v>
      </c>
      <c r="P365" s="78">
        <v>0</v>
      </c>
      <c r="Q365" s="78">
        <v>0</v>
      </c>
      <c r="R365" s="78">
        <v>0</v>
      </c>
      <c r="S365" s="75">
        <v>0</v>
      </c>
      <c r="T365" s="75">
        <v>0</v>
      </c>
      <c r="U365" s="75">
        <v>0</v>
      </c>
      <c r="V365" s="79">
        <v>0</v>
      </c>
      <c r="W365" s="78">
        <v>0</v>
      </c>
    </row>
    <row r="366" spans="1:23" s="75" customFormat="1" hidden="1" x14ac:dyDescent="0.35">
      <c r="A366" s="75">
        <v>362</v>
      </c>
      <c r="B366" s="75">
        <v>363</v>
      </c>
      <c r="C366">
        <v>146.0613472</v>
      </c>
      <c r="D366">
        <v>-17.530102110000001</v>
      </c>
      <c r="F366" s="75" t="str">
        <f>HYPERLINK("E:\Data From Lucan\2024\Johnstone\Frames_for_Analysis\363_20240610_0006_L_0311.jpg","363_20240610_0006_L_0311.jpg")</f>
        <v>363_20240610_0006_L_0311.jpg</v>
      </c>
      <c r="G366" s="75">
        <v>100</v>
      </c>
      <c r="I366">
        <f t="shared" si="5"/>
        <v>1</v>
      </c>
      <c r="J366" s="76">
        <v>1</v>
      </c>
      <c r="K366" s="77"/>
      <c r="L366" s="77"/>
      <c r="M366" s="77"/>
      <c r="N366" s="77"/>
      <c r="O366" s="78">
        <v>1</v>
      </c>
      <c r="P366" s="78">
        <v>0</v>
      </c>
      <c r="Q366" s="78">
        <v>0</v>
      </c>
      <c r="R366" s="78">
        <v>0</v>
      </c>
      <c r="S366" s="75">
        <v>0</v>
      </c>
      <c r="T366" s="75">
        <v>0</v>
      </c>
      <c r="U366" s="75">
        <v>0</v>
      </c>
      <c r="V366" s="79">
        <v>0</v>
      </c>
      <c r="W366" s="78">
        <v>0</v>
      </c>
    </row>
    <row r="367" spans="1:23" s="75" customFormat="1" hidden="1" x14ac:dyDescent="0.35">
      <c r="A367" s="75">
        <v>363</v>
      </c>
      <c r="B367" s="75">
        <v>364</v>
      </c>
      <c r="C367">
        <v>146.06139619999999</v>
      </c>
      <c r="D367">
        <v>-17.53018265</v>
      </c>
      <c r="F367" s="75" t="str">
        <f>HYPERLINK("E:\Data From Lucan\2024\Johnstone\Frames_for_Analysis\364_20240610_0006_L_0318.jpg","364_20240610_0006_L_0318.jpg")</f>
        <v>364_20240610_0006_L_0318.jpg</v>
      </c>
      <c r="G367" s="75">
        <v>100</v>
      </c>
      <c r="I367">
        <f t="shared" si="5"/>
        <v>1</v>
      </c>
      <c r="J367" s="76">
        <v>1</v>
      </c>
      <c r="K367" s="77"/>
      <c r="L367" s="77"/>
      <c r="M367" s="77"/>
      <c r="N367" s="77"/>
      <c r="O367" s="78">
        <v>1</v>
      </c>
      <c r="P367" s="78">
        <v>0</v>
      </c>
      <c r="Q367" s="78">
        <v>0</v>
      </c>
      <c r="R367" s="78">
        <v>0</v>
      </c>
      <c r="S367" s="75">
        <v>0</v>
      </c>
      <c r="T367" s="75">
        <v>0</v>
      </c>
      <c r="U367" s="75">
        <v>0</v>
      </c>
      <c r="V367" s="79">
        <v>0</v>
      </c>
      <c r="W367" s="78">
        <v>0</v>
      </c>
    </row>
    <row r="368" spans="1:23" s="75" customFormat="1" hidden="1" x14ac:dyDescent="0.35">
      <c r="A368" s="75">
        <v>364</v>
      </c>
      <c r="B368" s="75">
        <v>365</v>
      </c>
      <c r="C368">
        <v>146.0614592</v>
      </c>
      <c r="D368">
        <v>-17.530252180000002</v>
      </c>
      <c r="E368" s="75">
        <v>50</v>
      </c>
      <c r="F368" s="75" t="str">
        <f>HYPERLINK("E:\Data From Lucan\2024\Johnstone\Frames_for_Analysis\365_20240610_0006_L_0323.jpg","365_20240610_0006_L_0323.jpg")</f>
        <v>365_20240610_0006_L_0323.jpg</v>
      </c>
      <c r="G368" s="75">
        <v>100</v>
      </c>
      <c r="I368">
        <f t="shared" si="5"/>
        <v>1</v>
      </c>
      <c r="J368" s="76">
        <v>1</v>
      </c>
      <c r="K368" s="77"/>
      <c r="L368" s="77"/>
      <c r="M368" s="77"/>
      <c r="N368" s="77"/>
      <c r="O368" s="78">
        <v>1</v>
      </c>
      <c r="P368" s="78">
        <v>0</v>
      </c>
      <c r="Q368" s="78">
        <v>0</v>
      </c>
      <c r="R368" s="78">
        <v>0</v>
      </c>
      <c r="S368" s="75">
        <v>0</v>
      </c>
      <c r="T368" s="75">
        <v>0</v>
      </c>
      <c r="U368" s="75">
        <v>0</v>
      </c>
      <c r="V368" s="79">
        <v>0</v>
      </c>
      <c r="W368" s="78">
        <v>0</v>
      </c>
    </row>
    <row r="369" spans="1:23" s="75" customFormat="1" hidden="1" x14ac:dyDescent="0.35">
      <c r="A369" s="75">
        <v>365</v>
      </c>
      <c r="B369" s="75">
        <v>366</v>
      </c>
      <c r="C369">
        <v>146.0615262</v>
      </c>
      <c r="D369">
        <v>-17.530318579999999</v>
      </c>
      <c r="F369" s="75" t="str">
        <f>HYPERLINK("E:\Data From Lucan\2024\Johnstone\Frames_for_Analysis\366_20240610_0006_L_0331.jpg","366_20240610_0006_L_0331.jpg")</f>
        <v>366_20240610_0006_L_0331.jpg</v>
      </c>
      <c r="G369" s="75">
        <v>100</v>
      </c>
      <c r="I369">
        <f t="shared" si="5"/>
        <v>1</v>
      </c>
      <c r="J369" s="76">
        <v>1</v>
      </c>
      <c r="K369" s="77"/>
      <c r="L369" s="77"/>
      <c r="M369" s="77"/>
      <c r="N369" s="77"/>
      <c r="O369" s="78">
        <v>1</v>
      </c>
      <c r="P369" s="78">
        <v>0</v>
      </c>
      <c r="Q369" s="78">
        <v>0</v>
      </c>
      <c r="R369" s="78">
        <v>0</v>
      </c>
      <c r="S369" s="75">
        <v>0</v>
      </c>
      <c r="T369" s="75">
        <v>0</v>
      </c>
      <c r="U369" s="75">
        <v>0</v>
      </c>
      <c r="V369" s="79">
        <v>0</v>
      </c>
      <c r="W369" s="78">
        <v>0</v>
      </c>
    </row>
    <row r="370" spans="1:23" s="75" customFormat="1" hidden="1" x14ac:dyDescent="0.35">
      <c r="A370" s="75">
        <v>366</v>
      </c>
      <c r="B370" s="75">
        <v>367</v>
      </c>
      <c r="C370">
        <v>146.0615932</v>
      </c>
      <c r="D370">
        <v>-17.53038497</v>
      </c>
      <c r="F370" s="75" t="str">
        <f>HYPERLINK("E:\Data From Lucan\2024\Johnstone\Frames_for_Analysis\367_20240610_0006_L_0339.jpg","367_20240610_0006_L_0339.jpg")</f>
        <v>367_20240610_0006_L_0339.jpg</v>
      </c>
      <c r="G370" s="75">
        <v>100</v>
      </c>
      <c r="I370">
        <f t="shared" si="5"/>
        <v>1</v>
      </c>
      <c r="J370" s="76">
        <v>1</v>
      </c>
      <c r="K370" s="77"/>
      <c r="L370" s="77"/>
      <c r="M370" s="77"/>
      <c r="N370" s="77"/>
      <c r="O370" s="78">
        <v>1</v>
      </c>
      <c r="P370" s="78">
        <v>0</v>
      </c>
      <c r="Q370" s="78">
        <v>0</v>
      </c>
      <c r="R370" s="78">
        <v>0</v>
      </c>
      <c r="S370" s="75">
        <v>0</v>
      </c>
      <c r="T370" s="75">
        <v>0</v>
      </c>
      <c r="U370" s="75">
        <v>0</v>
      </c>
      <c r="V370" s="79">
        <v>0</v>
      </c>
      <c r="W370" s="78">
        <v>0</v>
      </c>
    </row>
    <row r="371" spans="1:23" s="75" customFormat="1" hidden="1" x14ac:dyDescent="0.35">
      <c r="A371" s="75">
        <v>367</v>
      </c>
      <c r="B371" s="75">
        <v>368</v>
      </c>
      <c r="C371">
        <v>146.06166010000001</v>
      </c>
      <c r="D371">
        <v>-17.530451370000002</v>
      </c>
      <c r="F371" s="75" t="str">
        <f>HYPERLINK("E:\Data From Lucan\2024\Johnstone\Frames_for_Analysis\368_20240610_0006_L_0345.jpg","368_20240610_0006_L_0345.jpg")</f>
        <v>368_20240610_0006_L_0345.jpg</v>
      </c>
      <c r="G371" s="75">
        <v>100</v>
      </c>
      <c r="I371">
        <f t="shared" si="5"/>
        <v>1</v>
      </c>
      <c r="J371" s="76">
        <v>1</v>
      </c>
      <c r="K371" s="77"/>
      <c r="L371" s="77"/>
      <c r="M371" s="77"/>
      <c r="N371" s="77"/>
      <c r="O371" s="78">
        <v>1</v>
      </c>
      <c r="P371" s="78">
        <v>0</v>
      </c>
      <c r="Q371" s="78">
        <v>0</v>
      </c>
      <c r="R371" s="78">
        <v>0</v>
      </c>
      <c r="S371" s="75">
        <v>0</v>
      </c>
      <c r="T371" s="75">
        <v>0</v>
      </c>
      <c r="U371" s="75">
        <v>0</v>
      </c>
      <c r="V371" s="79">
        <v>0</v>
      </c>
      <c r="W371" s="78">
        <v>0</v>
      </c>
    </row>
    <row r="372" spans="1:23" s="75" customFormat="1" hidden="1" x14ac:dyDescent="0.35">
      <c r="A372" s="75">
        <v>368</v>
      </c>
      <c r="B372" s="75">
        <v>369</v>
      </c>
      <c r="C372">
        <v>146.06172710000001</v>
      </c>
      <c r="D372">
        <v>-17.530517769999999</v>
      </c>
      <c r="F372" s="75" t="str">
        <f>HYPERLINK("E:\Data From Lucan\2024\Johnstone\Frames_for_Analysis\369_20240610_0006_L_0351.jpg","369_20240610_0006_L_0351.jpg")</f>
        <v>369_20240610_0006_L_0351.jpg</v>
      </c>
      <c r="G372" s="75">
        <v>100</v>
      </c>
      <c r="I372">
        <f t="shared" si="5"/>
        <v>1</v>
      </c>
      <c r="J372" s="76">
        <v>1</v>
      </c>
      <c r="K372" s="77"/>
      <c r="L372" s="77"/>
      <c r="M372" s="77"/>
      <c r="N372" s="77"/>
      <c r="O372" s="78">
        <v>1</v>
      </c>
      <c r="P372" s="78">
        <v>0</v>
      </c>
      <c r="Q372" s="78">
        <v>0</v>
      </c>
      <c r="R372" s="78">
        <v>0</v>
      </c>
      <c r="S372" s="75">
        <v>0</v>
      </c>
      <c r="T372" s="75">
        <v>0</v>
      </c>
      <c r="U372" s="75">
        <v>0</v>
      </c>
      <c r="V372" s="79">
        <v>0</v>
      </c>
      <c r="W372" s="78">
        <v>0</v>
      </c>
    </row>
    <row r="373" spans="1:23" s="75" customFormat="1" hidden="1" x14ac:dyDescent="0.35">
      <c r="A373" s="75">
        <v>369</v>
      </c>
      <c r="B373" s="75">
        <v>370</v>
      </c>
      <c r="C373">
        <v>146.06179589999999</v>
      </c>
      <c r="D373">
        <v>-17.53058223</v>
      </c>
      <c r="E373" s="75">
        <v>50</v>
      </c>
      <c r="F373" s="75" t="str">
        <f>HYPERLINK("E:\Data From Lucan\2024\Johnstone\Frames_for_Analysis\370_20240610_0006_L_0357.jpg","370_20240610_0006_L_0357.jpg")</f>
        <v>370_20240610_0006_L_0357.jpg</v>
      </c>
      <c r="G373" s="75">
        <v>100</v>
      </c>
      <c r="I373">
        <f t="shared" si="5"/>
        <v>1</v>
      </c>
      <c r="J373" s="76">
        <v>1</v>
      </c>
      <c r="K373" s="77"/>
      <c r="L373" s="77"/>
      <c r="M373" s="77"/>
      <c r="N373" s="77"/>
      <c r="O373" s="78">
        <v>1</v>
      </c>
      <c r="P373" s="78">
        <v>0</v>
      </c>
      <c r="Q373" s="78">
        <v>0</v>
      </c>
      <c r="R373" s="78">
        <v>0</v>
      </c>
      <c r="S373" s="75">
        <v>0</v>
      </c>
      <c r="T373" s="75">
        <v>0</v>
      </c>
      <c r="U373" s="75">
        <v>0</v>
      </c>
      <c r="V373" s="79">
        <v>0</v>
      </c>
      <c r="W373" s="78">
        <v>0</v>
      </c>
    </row>
    <row r="374" spans="1:23" s="75" customFormat="1" hidden="1" x14ac:dyDescent="0.35">
      <c r="A374" s="75">
        <v>370</v>
      </c>
      <c r="B374" s="75">
        <v>371</v>
      </c>
      <c r="C374">
        <v>146.06186690000001</v>
      </c>
      <c r="D374">
        <v>-17.53064427</v>
      </c>
      <c r="F374" s="75" t="str">
        <f>HYPERLINK("E:\Data From Lucan\2024\Johnstone\Frames_for_Analysis\371_20240610_0006_L_0362.jpg","371_20240610_0006_L_0362.jpg")</f>
        <v>371_20240610_0006_L_0362.jpg</v>
      </c>
      <c r="G374" s="75">
        <v>100</v>
      </c>
      <c r="I374">
        <f t="shared" si="5"/>
        <v>1</v>
      </c>
      <c r="J374" s="76">
        <v>1</v>
      </c>
      <c r="K374" s="77"/>
      <c r="L374" s="77"/>
      <c r="M374" s="77"/>
      <c r="N374" s="77"/>
      <c r="O374" s="78">
        <v>1</v>
      </c>
      <c r="P374" s="78">
        <v>0</v>
      </c>
      <c r="Q374" s="78">
        <v>0</v>
      </c>
      <c r="R374" s="78">
        <v>0</v>
      </c>
      <c r="S374" s="75">
        <v>0</v>
      </c>
      <c r="T374" s="75">
        <v>0</v>
      </c>
      <c r="U374" s="75">
        <v>0</v>
      </c>
      <c r="V374" s="79">
        <v>0</v>
      </c>
      <c r="W374" s="78">
        <v>0</v>
      </c>
    </row>
    <row r="375" spans="1:23" s="75" customFormat="1" hidden="1" x14ac:dyDescent="0.35">
      <c r="A375" s="75">
        <v>371</v>
      </c>
      <c r="B375" s="75">
        <v>372</v>
      </c>
      <c r="C375">
        <v>146.0619379</v>
      </c>
      <c r="D375">
        <v>-17.530706309999999</v>
      </c>
      <c r="F375" s="75" t="str">
        <f>HYPERLINK("E:\Data From Lucan\2024\Johnstone\Frames_for_Analysis\372_20240610_0006_L_0365.jpg","372_20240610_0006_L_0365.jpg")</f>
        <v>372_20240610_0006_L_0365.jpg</v>
      </c>
      <c r="G375" s="75">
        <v>100</v>
      </c>
      <c r="I375">
        <f t="shared" si="5"/>
        <v>1</v>
      </c>
      <c r="J375" s="76">
        <v>1</v>
      </c>
      <c r="K375" s="77"/>
      <c r="L375" s="77"/>
      <c r="M375" s="77"/>
      <c r="N375" s="77"/>
      <c r="O375" s="78">
        <v>1</v>
      </c>
      <c r="P375" s="78">
        <v>0</v>
      </c>
      <c r="Q375" s="78">
        <v>0</v>
      </c>
      <c r="R375" s="78">
        <v>0</v>
      </c>
      <c r="S375" s="75">
        <v>0</v>
      </c>
      <c r="T375" s="75">
        <v>0</v>
      </c>
      <c r="U375" s="75">
        <v>0</v>
      </c>
      <c r="V375" s="79">
        <v>0</v>
      </c>
      <c r="W375" s="78">
        <v>0</v>
      </c>
    </row>
    <row r="376" spans="1:23" s="75" customFormat="1" hidden="1" x14ac:dyDescent="0.35">
      <c r="A376" s="75">
        <v>372</v>
      </c>
      <c r="B376" s="75">
        <v>373</v>
      </c>
      <c r="C376">
        <v>146.0619993</v>
      </c>
      <c r="D376">
        <v>-17.53077734</v>
      </c>
      <c r="F376" s="75" t="str">
        <f>HYPERLINK("E:\Data From Lucan\2024\Johnstone\Frames_for_Analysis\373_20240610_0006_L_0370.jpg","373_20240610_0006_L_0370.jpg")</f>
        <v>373_20240610_0006_L_0370.jpg</v>
      </c>
      <c r="G376" s="75">
        <v>100</v>
      </c>
      <c r="I376">
        <f t="shared" si="5"/>
        <v>1</v>
      </c>
      <c r="J376" s="76">
        <v>1</v>
      </c>
      <c r="K376" s="77"/>
      <c r="L376" s="77"/>
      <c r="M376" s="77"/>
      <c r="N376" s="77"/>
      <c r="O376" s="78">
        <v>1</v>
      </c>
      <c r="P376" s="78">
        <v>0</v>
      </c>
      <c r="Q376" s="78">
        <v>0</v>
      </c>
      <c r="R376" s="78">
        <v>0</v>
      </c>
      <c r="S376" s="75">
        <v>0</v>
      </c>
      <c r="T376" s="75">
        <v>0</v>
      </c>
      <c r="U376" s="75">
        <v>0</v>
      </c>
      <c r="V376" s="79">
        <v>0</v>
      </c>
      <c r="W376" s="78">
        <v>0</v>
      </c>
    </row>
    <row r="377" spans="1:23" s="75" customFormat="1" hidden="1" x14ac:dyDescent="0.35">
      <c r="A377" s="75">
        <v>373</v>
      </c>
      <c r="B377" s="75">
        <v>374</v>
      </c>
      <c r="C377">
        <v>146.0620558</v>
      </c>
      <c r="D377">
        <v>-17.53085278</v>
      </c>
      <c r="F377" s="75" t="str">
        <f>HYPERLINK("E:\Data From Lucan\2024\Johnstone\Frames_for_Analysis\374_20240610_0006_L_0375.jpg","374_20240610_0006_L_0375.jpg")</f>
        <v>374_20240610_0006_L_0375.jpg</v>
      </c>
      <c r="G377" s="75">
        <v>100</v>
      </c>
      <c r="I377">
        <f t="shared" si="5"/>
        <v>0</v>
      </c>
      <c r="J377" s="76">
        <v>0</v>
      </c>
      <c r="K377" s="77"/>
      <c r="L377" s="77"/>
      <c r="M377" s="77"/>
      <c r="N377" s="77"/>
      <c r="O377" s="78">
        <v>2</v>
      </c>
      <c r="P377" s="78">
        <v>0</v>
      </c>
      <c r="Q377" s="78">
        <v>0</v>
      </c>
      <c r="R377" s="78">
        <v>0</v>
      </c>
      <c r="S377" s="75">
        <v>0</v>
      </c>
      <c r="T377" s="75">
        <v>0</v>
      </c>
      <c r="U377" s="75">
        <v>0</v>
      </c>
      <c r="V377" s="79">
        <v>0</v>
      </c>
      <c r="W377" s="78">
        <v>1</v>
      </c>
    </row>
    <row r="378" spans="1:23" s="75" customFormat="1" hidden="1" x14ac:dyDescent="0.35">
      <c r="A378" s="75">
        <v>374</v>
      </c>
      <c r="B378" s="75">
        <v>375</v>
      </c>
      <c r="C378">
        <v>146.06211239999999</v>
      </c>
      <c r="D378">
        <v>-17.530928209999999</v>
      </c>
      <c r="E378" s="75">
        <v>50</v>
      </c>
      <c r="F378" s="75" t="str">
        <f>HYPERLINK("E:\Data From Lucan\2024\Johnstone\Frames_for_Analysis\375_20240610_0006_L_0379.jpg","375_20240610_0006_L_0379.jpg")</f>
        <v>375_20240610_0006_L_0379.jpg</v>
      </c>
      <c r="G378" s="75">
        <v>100</v>
      </c>
      <c r="I378">
        <f t="shared" si="5"/>
        <v>0</v>
      </c>
      <c r="J378" s="76">
        <v>0</v>
      </c>
      <c r="K378" s="77"/>
      <c r="L378" s="77"/>
      <c r="M378" s="77"/>
      <c r="N378" s="77"/>
      <c r="O378" s="78">
        <v>1</v>
      </c>
      <c r="P378" s="78">
        <v>0</v>
      </c>
      <c r="Q378" s="78">
        <v>0</v>
      </c>
      <c r="R378" s="78">
        <v>0</v>
      </c>
      <c r="S378" s="75">
        <v>0</v>
      </c>
      <c r="T378" s="75">
        <v>0</v>
      </c>
      <c r="U378" s="75">
        <v>0</v>
      </c>
      <c r="V378" s="79">
        <v>0</v>
      </c>
      <c r="W378" s="78">
        <v>0</v>
      </c>
    </row>
    <row r="379" spans="1:23" s="75" customFormat="1" hidden="1" x14ac:dyDescent="0.35">
      <c r="A379" s="75">
        <v>375</v>
      </c>
      <c r="B379" s="75">
        <v>376</v>
      </c>
      <c r="C379">
        <v>146.06216900000001</v>
      </c>
      <c r="D379">
        <v>-17.531003649999999</v>
      </c>
      <c r="F379" s="75" t="str">
        <f>HYPERLINK("E:\Data From Lucan\2024\Johnstone\Frames_for_Analysis\376_20240610_0006_L_0383.jpg","376_20240610_0006_L_0383.jpg")</f>
        <v>376_20240610_0006_L_0383.jpg</v>
      </c>
      <c r="G379" s="75">
        <v>100</v>
      </c>
      <c r="I379" t="str">
        <f t="shared" si="5"/>
        <v>X</v>
      </c>
      <c r="J379" s="76" t="s">
        <v>3958</v>
      </c>
      <c r="K379" s="77"/>
      <c r="L379" s="77"/>
      <c r="M379" s="77"/>
      <c r="N379" s="77"/>
      <c r="O379" s="78">
        <v>1</v>
      </c>
      <c r="P379" s="78">
        <v>0</v>
      </c>
      <c r="Q379" s="78">
        <v>0</v>
      </c>
      <c r="R379" s="78">
        <v>0</v>
      </c>
      <c r="S379" s="75">
        <v>0</v>
      </c>
      <c r="T379" s="75">
        <v>0</v>
      </c>
      <c r="U379" s="75">
        <v>0</v>
      </c>
      <c r="V379" s="79">
        <v>0</v>
      </c>
      <c r="W379" s="78">
        <v>0</v>
      </c>
    </row>
    <row r="380" spans="1:23" s="75" customFormat="1" hidden="1" x14ac:dyDescent="0.35">
      <c r="A380" s="75">
        <v>376</v>
      </c>
      <c r="B380" s="75">
        <v>377</v>
      </c>
      <c r="C380">
        <v>146.06221489999999</v>
      </c>
      <c r="D380">
        <v>-17.53108576</v>
      </c>
      <c r="F380" s="75" t="str">
        <f>HYPERLINK("E:\Data From Lucan\2024\Johnstone\Frames_for_Analysis\377_20240610_0006_L_0386.jpg","377_20240610_0006_L_0386.jpg")</f>
        <v>377_20240610_0006_L_0386.jpg</v>
      </c>
      <c r="G380" s="75">
        <v>100</v>
      </c>
      <c r="I380" t="str">
        <f t="shared" si="5"/>
        <v>X</v>
      </c>
      <c r="J380" s="76" t="s">
        <v>3958</v>
      </c>
      <c r="K380" s="77"/>
      <c r="L380" s="77"/>
      <c r="M380" s="77"/>
      <c r="N380" s="77"/>
      <c r="O380" s="78">
        <v>1</v>
      </c>
      <c r="P380" s="78">
        <v>0</v>
      </c>
      <c r="Q380" s="78">
        <v>0</v>
      </c>
      <c r="R380" s="78">
        <v>0</v>
      </c>
      <c r="S380" s="75">
        <v>0</v>
      </c>
      <c r="T380" s="75">
        <v>0</v>
      </c>
      <c r="U380" s="75">
        <v>0</v>
      </c>
      <c r="V380" s="79">
        <v>0</v>
      </c>
      <c r="W380" s="78">
        <v>0</v>
      </c>
    </row>
    <row r="381" spans="1:23" s="75" customFormat="1" hidden="1" x14ac:dyDescent="0.35">
      <c r="A381" s="75">
        <v>377</v>
      </c>
      <c r="B381" s="75">
        <v>378</v>
      </c>
      <c r="C381">
        <v>146.0622573</v>
      </c>
      <c r="D381">
        <v>-17.53116996</v>
      </c>
      <c r="F381" s="75" t="str">
        <f>HYPERLINK("E:\Data From Lucan\2024\Johnstone\Frames_for_Analysis\378_20240610_0006_L_0390.jpg","378_20240610_0006_L_0390.jpg")</f>
        <v>378_20240610_0006_L_0390.jpg</v>
      </c>
      <c r="G381" s="75">
        <v>100</v>
      </c>
      <c r="I381">
        <f t="shared" si="5"/>
        <v>1</v>
      </c>
      <c r="J381" s="76">
        <v>1</v>
      </c>
      <c r="K381" s="77"/>
      <c r="L381" s="77"/>
      <c r="M381" s="77"/>
      <c r="N381" s="77"/>
      <c r="O381" s="78">
        <v>1</v>
      </c>
      <c r="P381" s="78">
        <v>0</v>
      </c>
      <c r="Q381" s="78">
        <v>0</v>
      </c>
      <c r="R381" s="78">
        <v>0</v>
      </c>
      <c r="S381" s="75">
        <v>0</v>
      </c>
      <c r="T381" s="75">
        <v>0</v>
      </c>
      <c r="U381" s="75">
        <v>0</v>
      </c>
      <c r="V381" s="79">
        <v>0</v>
      </c>
      <c r="W381" s="78">
        <v>0</v>
      </c>
    </row>
    <row r="382" spans="1:23" s="75" customFormat="1" hidden="1" x14ac:dyDescent="0.35">
      <c r="A382" s="75">
        <v>378</v>
      </c>
      <c r="B382" s="75">
        <v>379</v>
      </c>
      <c r="C382">
        <v>146.06229980000001</v>
      </c>
      <c r="D382">
        <v>-17.531254149999999</v>
      </c>
      <c r="F382" s="75" t="str">
        <f>HYPERLINK("E:\Data From Lucan\2024\Johnstone\Frames_for_Analysis\379_20240610_0006_L_0393.jpg","379_20240610_0006_L_0393.jpg")</f>
        <v>379_20240610_0006_L_0393.jpg</v>
      </c>
      <c r="G382" s="75">
        <v>100</v>
      </c>
      <c r="I382">
        <f t="shared" si="5"/>
        <v>1</v>
      </c>
      <c r="J382" s="76">
        <v>1</v>
      </c>
      <c r="K382" s="77"/>
      <c r="L382" s="77"/>
      <c r="M382" s="77"/>
      <c r="N382" s="77"/>
      <c r="O382" s="78">
        <v>1</v>
      </c>
      <c r="P382" s="78">
        <v>0</v>
      </c>
      <c r="Q382" s="78">
        <v>0</v>
      </c>
      <c r="R382" s="78">
        <v>0</v>
      </c>
      <c r="S382" s="75">
        <v>0</v>
      </c>
      <c r="T382" s="75">
        <v>0</v>
      </c>
      <c r="U382" s="75">
        <v>0</v>
      </c>
      <c r="V382" s="79">
        <v>0</v>
      </c>
      <c r="W382" s="78">
        <v>0</v>
      </c>
    </row>
    <row r="383" spans="1:23" s="75" customFormat="1" hidden="1" x14ac:dyDescent="0.35">
      <c r="A383" s="75">
        <v>379</v>
      </c>
      <c r="B383" s="75">
        <v>380</v>
      </c>
      <c r="C383">
        <v>146.06234230000001</v>
      </c>
      <c r="D383">
        <v>-17.531338340000001</v>
      </c>
      <c r="E383" s="75">
        <v>50</v>
      </c>
      <c r="F383" s="75" t="str">
        <f>HYPERLINK("E:\Data From Lucan\2024\Johnstone\Frames_for_Analysis\380_20240610_0006_L_0396.jpg","380_20240610_0006_L_0396.jpg")</f>
        <v>380_20240610_0006_L_0396.jpg</v>
      </c>
      <c r="G383" s="75">
        <v>100</v>
      </c>
      <c r="I383">
        <f t="shared" si="5"/>
        <v>1</v>
      </c>
      <c r="J383" s="76">
        <v>1</v>
      </c>
      <c r="K383" s="77"/>
      <c r="L383" s="77"/>
      <c r="M383" s="77"/>
      <c r="N383" s="77"/>
      <c r="O383" s="78">
        <v>1</v>
      </c>
      <c r="P383" s="78">
        <v>0</v>
      </c>
      <c r="Q383" s="78">
        <v>0</v>
      </c>
      <c r="R383" s="78">
        <v>0</v>
      </c>
      <c r="S383" s="75">
        <v>0</v>
      </c>
      <c r="T383" s="75">
        <v>0</v>
      </c>
      <c r="U383" s="75">
        <v>0</v>
      </c>
      <c r="V383" s="79">
        <v>0</v>
      </c>
      <c r="W383" s="78">
        <v>0</v>
      </c>
    </row>
    <row r="384" spans="1:23" s="75" customFormat="1" hidden="1" x14ac:dyDescent="0.35">
      <c r="A384" s="75">
        <v>380</v>
      </c>
      <c r="B384" s="75">
        <v>381</v>
      </c>
      <c r="C384">
        <v>146.06238479999999</v>
      </c>
      <c r="D384">
        <v>-17.531422540000001</v>
      </c>
      <c r="F384" s="75" t="str">
        <f>HYPERLINK("E:\Data From Lucan\2024\Johnstone\Frames_for_Analysis\381_20240610_0006_L_0400.jpg","381_20240610_0006_L_0400.jpg")</f>
        <v>381_20240610_0006_L_0400.jpg</v>
      </c>
      <c r="G384" s="75">
        <v>100</v>
      </c>
      <c r="I384">
        <f t="shared" si="5"/>
        <v>1</v>
      </c>
      <c r="J384" s="76">
        <v>1</v>
      </c>
      <c r="K384" s="77"/>
      <c r="L384" s="77"/>
      <c r="M384" s="77"/>
      <c r="N384" s="77"/>
      <c r="O384" s="78">
        <v>1</v>
      </c>
      <c r="P384" s="78">
        <v>0</v>
      </c>
      <c r="Q384" s="78">
        <v>0</v>
      </c>
      <c r="R384" s="78">
        <v>0</v>
      </c>
      <c r="S384" s="75">
        <v>0</v>
      </c>
      <c r="T384" s="75">
        <v>0</v>
      </c>
      <c r="U384" s="75">
        <v>0</v>
      </c>
      <c r="V384" s="79">
        <v>0</v>
      </c>
      <c r="W384" s="78">
        <v>0</v>
      </c>
    </row>
    <row r="385" spans="1:23" s="75" customFormat="1" hidden="1" x14ac:dyDescent="0.35">
      <c r="A385" s="75">
        <v>381</v>
      </c>
      <c r="B385" s="75">
        <v>382</v>
      </c>
      <c r="C385">
        <v>146.06243599999999</v>
      </c>
      <c r="D385">
        <v>-17.53150166</v>
      </c>
      <c r="F385" s="75" t="str">
        <f>HYPERLINK("E:\Data From Lucan\2024\Johnstone\Frames_for_Analysis\382_20240610_0006_L_0404.jpg","382_20240610_0006_L_0404.jpg")</f>
        <v>382_20240610_0006_L_0404.jpg</v>
      </c>
      <c r="G385" s="75">
        <v>100</v>
      </c>
      <c r="I385">
        <f t="shared" si="5"/>
        <v>1</v>
      </c>
      <c r="J385" s="76">
        <v>1</v>
      </c>
      <c r="K385" s="77"/>
      <c r="L385" s="77"/>
      <c r="M385" s="77"/>
      <c r="N385" s="77"/>
      <c r="O385" s="78">
        <v>1</v>
      </c>
      <c r="P385" s="78">
        <v>0</v>
      </c>
      <c r="Q385" s="78">
        <v>0</v>
      </c>
      <c r="R385" s="78">
        <v>0</v>
      </c>
      <c r="S385" s="75">
        <v>0</v>
      </c>
      <c r="T385" s="75">
        <v>0</v>
      </c>
      <c r="U385" s="75">
        <v>0</v>
      </c>
      <c r="V385" s="79">
        <v>0</v>
      </c>
      <c r="W385" s="78">
        <v>0</v>
      </c>
    </row>
    <row r="386" spans="1:23" s="75" customFormat="1" hidden="1" x14ac:dyDescent="0.35">
      <c r="A386" s="75">
        <v>382</v>
      </c>
      <c r="B386" s="75">
        <v>383</v>
      </c>
      <c r="C386">
        <v>146.06246780000001</v>
      </c>
      <c r="D386">
        <v>-17.531589660000002</v>
      </c>
      <c r="F386" s="75" t="str">
        <f>HYPERLINK("E:\Data From Lucan\2024\Johnstone\Frames_for_Analysis\383_20240610_0006_L_0407.jpg","383_20240610_0006_L_0407.jpg")</f>
        <v>383_20240610_0006_L_0407.jpg</v>
      </c>
      <c r="G386" s="75">
        <v>100</v>
      </c>
      <c r="I386">
        <f t="shared" si="5"/>
        <v>1</v>
      </c>
      <c r="J386" s="76">
        <v>1</v>
      </c>
      <c r="K386" s="77"/>
      <c r="L386" s="77"/>
      <c r="M386" s="77"/>
      <c r="N386" s="77"/>
      <c r="O386" s="78">
        <v>1</v>
      </c>
      <c r="P386" s="78">
        <v>0</v>
      </c>
      <c r="Q386" s="78">
        <v>0</v>
      </c>
      <c r="R386" s="78">
        <v>0</v>
      </c>
      <c r="S386" s="75">
        <v>0</v>
      </c>
      <c r="T386" s="75">
        <v>0</v>
      </c>
      <c r="U386" s="75">
        <v>0</v>
      </c>
      <c r="V386" s="79">
        <v>0</v>
      </c>
      <c r="W386" s="78">
        <v>0</v>
      </c>
    </row>
    <row r="387" spans="1:23" s="75" customFormat="1" hidden="1" x14ac:dyDescent="0.35">
      <c r="A387" s="75">
        <v>383</v>
      </c>
      <c r="B387" s="75">
        <v>384</v>
      </c>
      <c r="C387">
        <v>146.06249410000001</v>
      </c>
      <c r="D387">
        <v>-17.531680210000001</v>
      </c>
      <c r="F387" s="75" t="str">
        <f>HYPERLINK("E:\Data From Lucan\2024\Johnstone\Frames_for_Analysis\384_20240610_0006_L_0410.jpg","384_20240610_0006_L_0410.jpg")</f>
        <v>384_20240610_0006_L_0410.jpg</v>
      </c>
      <c r="G387" s="75">
        <v>100</v>
      </c>
      <c r="I387">
        <f t="shared" si="5"/>
        <v>1</v>
      </c>
      <c r="J387" s="76">
        <v>1</v>
      </c>
      <c r="K387" s="77"/>
      <c r="L387" s="77"/>
      <c r="M387" s="77"/>
      <c r="N387" s="77"/>
      <c r="O387" s="78">
        <v>1</v>
      </c>
      <c r="P387" s="78">
        <v>0</v>
      </c>
      <c r="Q387" s="78">
        <v>0</v>
      </c>
      <c r="R387" s="78">
        <v>0</v>
      </c>
      <c r="S387" s="75">
        <v>0</v>
      </c>
      <c r="T387" s="75">
        <v>0</v>
      </c>
      <c r="U387" s="75">
        <v>0</v>
      </c>
      <c r="V387" s="79">
        <v>0</v>
      </c>
      <c r="W387" s="78">
        <v>0</v>
      </c>
    </row>
    <row r="388" spans="1:23" s="75" customFormat="1" hidden="1" x14ac:dyDescent="0.35">
      <c r="A388" s="75">
        <v>384</v>
      </c>
      <c r="B388" s="75">
        <v>385</v>
      </c>
      <c r="C388">
        <v>146.0625143</v>
      </c>
      <c r="D388">
        <v>-17.531772230000001</v>
      </c>
      <c r="E388" s="75">
        <v>50</v>
      </c>
      <c r="F388" s="75" t="str">
        <f>HYPERLINK("E:\Data From Lucan\2024\Johnstone\Frames_for_Analysis\385_20240610_0006_L_0414.jpg","385_20240610_0006_L_0414.jpg")</f>
        <v>385_20240610_0006_L_0414.jpg</v>
      </c>
      <c r="G388" s="75">
        <v>100</v>
      </c>
      <c r="I388">
        <f t="shared" si="5"/>
        <v>0</v>
      </c>
      <c r="J388" s="76">
        <v>0</v>
      </c>
      <c r="K388" s="77"/>
      <c r="L388" s="77"/>
      <c r="M388" s="77"/>
      <c r="N388" s="77"/>
      <c r="O388" s="78">
        <v>1</v>
      </c>
      <c r="P388" s="78">
        <v>0</v>
      </c>
      <c r="Q388" s="78">
        <v>0</v>
      </c>
      <c r="R388" s="78">
        <v>0</v>
      </c>
      <c r="S388" s="75">
        <v>0</v>
      </c>
      <c r="T388" s="75">
        <v>0</v>
      </c>
      <c r="U388" s="75">
        <v>0</v>
      </c>
      <c r="V388" s="79">
        <v>0</v>
      </c>
      <c r="W388" s="78">
        <v>0</v>
      </c>
    </row>
    <row r="389" spans="1:23" s="75" customFormat="1" hidden="1" x14ac:dyDescent="0.35">
      <c r="A389" s="75">
        <v>385</v>
      </c>
      <c r="B389" s="75">
        <v>386</v>
      </c>
      <c r="C389">
        <v>146.06251779999999</v>
      </c>
      <c r="D389">
        <v>-17.531866170000001</v>
      </c>
      <c r="F389" s="75" t="str">
        <f>HYPERLINK("E:\Data From Lucan\2024\Johnstone\Frames_for_Analysis\386_20240610_0006_L_0418.jpg","386_20240610_0006_L_0418.jpg")</f>
        <v>386_20240610_0006_L_0418.jpg</v>
      </c>
      <c r="G389" s="75">
        <v>100</v>
      </c>
      <c r="I389">
        <f t="shared" ref="I389:I452" si="6">IF(H389="X","X",IF(J389="NA","X",IF(J389="","X",J389)))</f>
        <v>1</v>
      </c>
      <c r="J389" s="76">
        <v>1</v>
      </c>
      <c r="K389" s="77"/>
      <c r="L389" s="77"/>
      <c r="M389" s="77"/>
      <c r="N389" s="77"/>
      <c r="O389" s="78">
        <v>1</v>
      </c>
      <c r="P389" s="78">
        <v>0</v>
      </c>
      <c r="Q389" s="78">
        <v>0</v>
      </c>
      <c r="R389" s="78">
        <v>0</v>
      </c>
      <c r="S389" s="75">
        <v>0</v>
      </c>
      <c r="T389" s="75">
        <v>0</v>
      </c>
      <c r="U389" s="75">
        <v>0</v>
      </c>
      <c r="V389" s="79">
        <v>0</v>
      </c>
      <c r="W389" s="78">
        <v>0</v>
      </c>
    </row>
    <row r="390" spans="1:23" s="75" customFormat="1" hidden="1" x14ac:dyDescent="0.35">
      <c r="A390" s="75">
        <v>386</v>
      </c>
      <c r="B390" s="75">
        <v>387</v>
      </c>
      <c r="C390">
        <v>146.0625173</v>
      </c>
      <c r="D390">
        <v>-17.531960479999999</v>
      </c>
      <c r="F390" s="75" t="str">
        <f>HYPERLINK("E:\Data From Lucan\2024\Johnstone\Frames_for_Analysis\387_20240610_0006_L_0420.jpg","387_20240610_0006_L_0420.jpg")</f>
        <v>387_20240610_0006_L_0420.jpg</v>
      </c>
      <c r="G390" s="75">
        <v>100</v>
      </c>
      <c r="I390">
        <f t="shared" si="6"/>
        <v>1</v>
      </c>
      <c r="J390" s="76">
        <v>1</v>
      </c>
      <c r="K390" s="77"/>
      <c r="L390" s="77"/>
      <c r="M390" s="77"/>
      <c r="N390" s="77"/>
      <c r="O390" s="78">
        <v>1</v>
      </c>
      <c r="P390" s="78">
        <v>0</v>
      </c>
      <c r="Q390" s="78">
        <v>0</v>
      </c>
      <c r="R390" s="78">
        <v>0</v>
      </c>
      <c r="S390" s="75">
        <v>0</v>
      </c>
      <c r="T390" s="75">
        <v>0</v>
      </c>
      <c r="U390" s="75">
        <v>0</v>
      </c>
      <c r="V390" s="79">
        <v>0</v>
      </c>
      <c r="W390" s="78">
        <v>0</v>
      </c>
    </row>
    <row r="391" spans="1:23" s="75" customFormat="1" hidden="1" x14ac:dyDescent="0.35">
      <c r="A391" s="75">
        <v>387</v>
      </c>
      <c r="B391" s="75">
        <v>388</v>
      </c>
      <c r="C391">
        <v>146.0624861</v>
      </c>
      <c r="D391">
        <v>-17.532049310000001</v>
      </c>
      <c r="F391" s="75" t="str">
        <f>HYPERLINK("E:\Data From Lucan\2024\Johnstone\Frames_for_Analysis\388_20240610_0006_L_0423.jpg","388_20240610_0006_L_0423.jpg")</f>
        <v>388_20240610_0006_L_0423.jpg</v>
      </c>
      <c r="G391" s="75">
        <v>100</v>
      </c>
      <c r="I391">
        <f t="shared" si="6"/>
        <v>1</v>
      </c>
      <c r="J391" s="76">
        <v>1</v>
      </c>
      <c r="K391" s="77"/>
      <c r="L391" s="77"/>
      <c r="M391" s="77"/>
      <c r="N391" s="77"/>
      <c r="O391" s="78">
        <v>1</v>
      </c>
      <c r="P391" s="78">
        <v>0</v>
      </c>
      <c r="Q391" s="78">
        <v>0</v>
      </c>
      <c r="R391" s="78">
        <v>0</v>
      </c>
      <c r="S391" s="75">
        <v>0</v>
      </c>
      <c r="T391" s="75">
        <v>0</v>
      </c>
      <c r="U391" s="75">
        <v>0</v>
      </c>
      <c r="V391" s="79">
        <v>0</v>
      </c>
      <c r="W391" s="78">
        <v>0</v>
      </c>
    </row>
    <row r="392" spans="1:23" s="75" customFormat="1" hidden="1" x14ac:dyDescent="0.35">
      <c r="A392" s="75">
        <v>388</v>
      </c>
      <c r="B392" s="75">
        <v>389</v>
      </c>
      <c r="C392">
        <v>146.062454</v>
      </c>
      <c r="D392">
        <v>-17.532137970000001</v>
      </c>
      <c r="F392" s="75" t="str">
        <f>HYPERLINK("E:\Data From Lucan\2024\Johnstone\Frames_for_Analysis\389_20240610_0006_L_0426.jpg","389_20240610_0006_L_0426.jpg")</f>
        <v>389_20240610_0006_L_0426.jpg</v>
      </c>
      <c r="G392" s="75">
        <v>100</v>
      </c>
      <c r="I392">
        <f t="shared" si="6"/>
        <v>0</v>
      </c>
      <c r="J392" s="76">
        <v>0</v>
      </c>
      <c r="K392" s="77"/>
      <c r="L392" s="77"/>
      <c r="M392" s="77"/>
      <c r="N392" s="77"/>
      <c r="O392" s="78">
        <v>1</v>
      </c>
      <c r="P392" s="78">
        <v>0</v>
      </c>
      <c r="Q392" s="78">
        <v>0</v>
      </c>
      <c r="R392" s="78">
        <v>0</v>
      </c>
      <c r="S392" s="75">
        <v>0</v>
      </c>
      <c r="T392" s="75">
        <v>0</v>
      </c>
      <c r="U392" s="75">
        <v>0</v>
      </c>
      <c r="V392" s="79">
        <v>1</v>
      </c>
      <c r="W392" s="78">
        <v>0</v>
      </c>
    </row>
    <row r="393" spans="1:23" s="75" customFormat="1" hidden="1" x14ac:dyDescent="0.35">
      <c r="A393" s="75">
        <v>389</v>
      </c>
      <c r="B393" s="75">
        <v>390</v>
      </c>
      <c r="C393">
        <v>146.06240990000001</v>
      </c>
      <c r="D393">
        <v>-17.532220859999999</v>
      </c>
      <c r="E393" s="75">
        <v>50</v>
      </c>
      <c r="F393" s="75" t="str">
        <f>HYPERLINK("E:\Data From Lucan\2024\Johnstone\Frames_for_Analysis\390_20240610_0006_L_0428.jpg","390_20240610_0006_L_0428.jpg")</f>
        <v>390_20240610_0006_L_0428.jpg</v>
      </c>
      <c r="G393" s="75">
        <v>100</v>
      </c>
      <c r="I393">
        <f t="shared" si="6"/>
        <v>0</v>
      </c>
      <c r="J393" s="76">
        <v>0</v>
      </c>
      <c r="K393" s="77"/>
      <c r="L393" s="77"/>
      <c r="M393" s="77"/>
      <c r="N393" s="77"/>
      <c r="O393" s="78">
        <v>2</v>
      </c>
      <c r="P393" s="78">
        <v>0</v>
      </c>
      <c r="Q393" s="78">
        <v>0</v>
      </c>
      <c r="R393" s="78">
        <v>0</v>
      </c>
      <c r="S393" s="75">
        <v>0</v>
      </c>
      <c r="T393" s="75">
        <v>0</v>
      </c>
      <c r="U393" s="75">
        <v>0</v>
      </c>
      <c r="V393" s="79">
        <v>0</v>
      </c>
      <c r="W393" s="78">
        <v>1</v>
      </c>
    </row>
    <row r="394" spans="1:23" s="75" customFormat="1" hidden="1" x14ac:dyDescent="0.35">
      <c r="A394" s="75">
        <v>390</v>
      </c>
      <c r="B394" s="75">
        <v>391</v>
      </c>
      <c r="C394">
        <v>146.06236029999999</v>
      </c>
      <c r="D394">
        <v>-17.53230108</v>
      </c>
      <c r="F394" s="75" t="str">
        <f>HYPERLINK("E:\Data From Lucan\2024\Johnstone\Frames_for_Analysis\391_20240610_0006_L_0431.jpg","391_20240610_0006_L_0431.jpg")</f>
        <v>391_20240610_0006_L_0431.jpg</v>
      </c>
      <c r="G394" s="75">
        <v>100</v>
      </c>
      <c r="I394">
        <f t="shared" si="6"/>
        <v>1</v>
      </c>
      <c r="J394" s="76">
        <v>1</v>
      </c>
      <c r="K394" s="77"/>
      <c r="L394" s="77"/>
      <c r="M394" s="77"/>
      <c r="N394" s="77"/>
      <c r="O394" s="78">
        <v>2</v>
      </c>
      <c r="P394" s="78">
        <v>0</v>
      </c>
      <c r="Q394" s="78">
        <v>0</v>
      </c>
      <c r="R394" s="78">
        <v>0</v>
      </c>
      <c r="S394" s="75">
        <v>0</v>
      </c>
      <c r="T394" s="75">
        <v>0</v>
      </c>
      <c r="U394" s="75">
        <v>0</v>
      </c>
      <c r="V394" s="79">
        <v>0</v>
      </c>
      <c r="W394" s="78">
        <v>1</v>
      </c>
    </row>
    <row r="395" spans="1:23" s="75" customFormat="1" hidden="1" x14ac:dyDescent="0.35">
      <c r="A395" s="75">
        <v>391</v>
      </c>
      <c r="B395" s="75">
        <v>392</v>
      </c>
      <c r="C395">
        <v>146.0622955</v>
      </c>
      <c r="D395">
        <v>-17.532368649999999</v>
      </c>
      <c r="F395" s="75" t="str">
        <f>HYPERLINK("E:\Data From Lucan\2024\Johnstone\Frames_for_Analysis\392_20240610_0006_L_0433.jpg","392_20240610_0006_L_0433.jpg")</f>
        <v>392_20240610_0006_L_0433.jpg</v>
      </c>
      <c r="G395" s="75">
        <v>100</v>
      </c>
      <c r="I395">
        <f t="shared" si="6"/>
        <v>1</v>
      </c>
      <c r="J395" s="76">
        <v>1</v>
      </c>
      <c r="K395" s="77"/>
      <c r="L395" s="77"/>
      <c r="M395" s="77"/>
      <c r="N395" s="77"/>
      <c r="O395" s="78">
        <v>1</v>
      </c>
      <c r="P395" s="78">
        <v>0</v>
      </c>
      <c r="Q395" s="78">
        <v>0</v>
      </c>
      <c r="R395" s="78">
        <v>0</v>
      </c>
      <c r="S395" s="75">
        <v>0</v>
      </c>
      <c r="T395" s="75">
        <v>0</v>
      </c>
      <c r="U395" s="75">
        <v>0</v>
      </c>
      <c r="V395" s="79">
        <v>0</v>
      </c>
      <c r="W395" s="78">
        <v>0</v>
      </c>
    </row>
    <row r="396" spans="1:23" s="75" customFormat="1" hidden="1" x14ac:dyDescent="0.35">
      <c r="A396" s="75">
        <v>392</v>
      </c>
      <c r="B396" s="75">
        <v>393</v>
      </c>
      <c r="C396">
        <v>146.06222579999999</v>
      </c>
      <c r="D396">
        <v>-17.532432199999999</v>
      </c>
      <c r="F396" s="75" t="str">
        <f>HYPERLINK("E:\Data From Lucan\2024\Johnstone\Frames_for_Analysis\393_20240610_0006_L_0436.jpg","393_20240610_0006_L_0436.jpg")</f>
        <v>393_20240610_0006_L_0436.jpg</v>
      </c>
      <c r="G396" s="75">
        <v>100</v>
      </c>
      <c r="I396">
        <f t="shared" si="6"/>
        <v>1</v>
      </c>
      <c r="J396" s="76">
        <v>1</v>
      </c>
      <c r="K396" s="77"/>
      <c r="L396" s="77"/>
      <c r="M396" s="77"/>
      <c r="N396" s="77"/>
      <c r="O396" s="78">
        <v>1</v>
      </c>
      <c r="P396" s="78">
        <v>0</v>
      </c>
      <c r="Q396" s="78">
        <v>0</v>
      </c>
      <c r="R396" s="78">
        <v>0</v>
      </c>
      <c r="S396" s="75">
        <v>0</v>
      </c>
      <c r="T396" s="75">
        <v>0</v>
      </c>
      <c r="U396" s="75">
        <v>0</v>
      </c>
      <c r="V396" s="79">
        <v>0</v>
      </c>
      <c r="W396" s="78">
        <v>0</v>
      </c>
    </row>
    <row r="397" spans="1:23" s="75" customFormat="1" hidden="1" x14ac:dyDescent="0.35">
      <c r="A397" s="75">
        <v>393</v>
      </c>
      <c r="B397" s="75">
        <v>394</v>
      </c>
      <c r="C397">
        <v>146.06214349999999</v>
      </c>
      <c r="D397">
        <v>-17.532476209999999</v>
      </c>
      <c r="F397" s="75" t="str">
        <f>HYPERLINK("E:\Data From Lucan\2024\Johnstone\Frames_for_Analysis\394_20240610_0006_L_0439.jpg","394_20240610_0006_L_0439.jpg")</f>
        <v>394_20240610_0006_L_0439.jpg</v>
      </c>
      <c r="G397" s="75">
        <v>100</v>
      </c>
      <c r="I397">
        <f t="shared" si="6"/>
        <v>1</v>
      </c>
      <c r="J397" s="76">
        <v>1</v>
      </c>
      <c r="K397" s="77"/>
      <c r="L397" s="77"/>
      <c r="M397" s="77"/>
      <c r="N397" s="77"/>
      <c r="O397" s="78">
        <v>1</v>
      </c>
      <c r="P397" s="78">
        <v>0</v>
      </c>
      <c r="Q397" s="78">
        <v>0</v>
      </c>
      <c r="R397" s="78">
        <v>0</v>
      </c>
      <c r="S397" s="75">
        <v>0</v>
      </c>
      <c r="T397" s="75">
        <v>0</v>
      </c>
      <c r="U397" s="75">
        <v>0</v>
      </c>
      <c r="V397" s="79">
        <v>0</v>
      </c>
      <c r="W397" s="78">
        <v>0</v>
      </c>
    </row>
    <row r="398" spans="1:23" s="75" customFormat="1" hidden="1" x14ac:dyDescent="0.35">
      <c r="A398" s="75">
        <v>394</v>
      </c>
      <c r="B398" s="75">
        <v>395</v>
      </c>
      <c r="C398">
        <v>146.06205700000001</v>
      </c>
      <c r="D398">
        <v>-17.53251375</v>
      </c>
      <c r="E398" s="75">
        <v>50</v>
      </c>
      <c r="F398" s="75" t="str">
        <f>HYPERLINK("E:\Data From Lucan\2024\Johnstone\Frames_for_Analysis\395_20240610_0006_L_0441.jpg","395_20240610_0006_L_0441.jpg")</f>
        <v>395_20240610_0006_L_0441.jpg</v>
      </c>
      <c r="G398" s="75">
        <v>100</v>
      </c>
      <c r="I398">
        <f t="shared" si="6"/>
        <v>1</v>
      </c>
      <c r="J398" s="76">
        <v>1</v>
      </c>
      <c r="K398" s="77"/>
      <c r="L398" s="77"/>
      <c r="M398" s="77"/>
      <c r="N398" s="77"/>
      <c r="O398" s="78">
        <v>1</v>
      </c>
      <c r="P398" s="78">
        <v>0</v>
      </c>
      <c r="Q398" s="78">
        <v>0</v>
      </c>
      <c r="R398" s="78">
        <v>0</v>
      </c>
      <c r="S398" s="75">
        <v>0</v>
      </c>
      <c r="T398" s="75">
        <v>0</v>
      </c>
      <c r="U398" s="75">
        <v>0</v>
      </c>
      <c r="V398" s="79">
        <v>1</v>
      </c>
      <c r="W398" s="78">
        <v>0</v>
      </c>
    </row>
    <row r="399" spans="1:23" s="75" customFormat="1" hidden="1" x14ac:dyDescent="0.35">
      <c r="A399" s="75">
        <v>395</v>
      </c>
      <c r="B399" s="75">
        <v>396</v>
      </c>
      <c r="C399">
        <v>146.0619705</v>
      </c>
      <c r="D399">
        <v>-17.532551300000002</v>
      </c>
      <c r="F399" s="75" t="str">
        <f>HYPERLINK("E:\Data From Lucan\2024\Johnstone\Frames_for_Analysis\396_20240610_0006_L_0445.jpg","396_20240610_0006_L_0445.jpg")</f>
        <v>396_20240610_0006_L_0445.jpg</v>
      </c>
      <c r="G399" s="75">
        <v>100</v>
      </c>
      <c r="I399">
        <f t="shared" si="6"/>
        <v>0</v>
      </c>
      <c r="J399" s="76">
        <v>0</v>
      </c>
      <c r="K399" s="77"/>
      <c r="L399" s="77"/>
      <c r="M399" s="77"/>
      <c r="N399" s="77"/>
      <c r="O399" s="78">
        <v>1</v>
      </c>
      <c r="P399" s="78">
        <v>0</v>
      </c>
      <c r="Q399" s="78">
        <v>0</v>
      </c>
      <c r="R399" s="78">
        <v>0</v>
      </c>
      <c r="S399" s="75">
        <v>0</v>
      </c>
      <c r="T399" s="75">
        <v>0</v>
      </c>
      <c r="U399" s="75">
        <v>0</v>
      </c>
      <c r="V399" s="79">
        <v>0</v>
      </c>
      <c r="W399" s="78">
        <v>0</v>
      </c>
    </row>
    <row r="400" spans="1:23" s="75" customFormat="1" hidden="1" x14ac:dyDescent="0.35">
      <c r="A400" s="75">
        <v>396</v>
      </c>
      <c r="B400" s="75">
        <v>397</v>
      </c>
      <c r="C400">
        <v>146.06188</v>
      </c>
      <c r="D400">
        <v>-17.532576070000001</v>
      </c>
      <c r="F400" s="75" t="str">
        <f>HYPERLINK("E:\Data From Lucan\2024\Johnstone\Frames_for_Analysis\397_20240610_0006_L_0448.jpg","397_20240610_0006_L_0448.jpg")</f>
        <v>397_20240610_0006_L_0448.jpg</v>
      </c>
      <c r="G400" s="75">
        <v>100</v>
      </c>
      <c r="I400">
        <f t="shared" si="6"/>
        <v>0</v>
      </c>
      <c r="J400" s="76">
        <v>0</v>
      </c>
      <c r="K400" s="77"/>
      <c r="L400" s="77"/>
      <c r="M400" s="77"/>
      <c r="N400" s="77"/>
      <c r="O400" s="78">
        <v>1</v>
      </c>
      <c r="P400" s="78">
        <v>0</v>
      </c>
      <c r="Q400" s="78">
        <v>0</v>
      </c>
      <c r="R400" s="78">
        <v>0</v>
      </c>
      <c r="S400" s="75">
        <v>0</v>
      </c>
      <c r="T400" s="75">
        <v>0</v>
      </c>
      <c r="U400" s="75">
        <v>0</v>
      </c>
      <c r="V400" s="79">
        <v>0</v>
      </c>
      <c r="W400" s="78">
        <v>0</v>
      </c>
    </row>
    <row r="401" spans="1:23" s="75" customFormat="1" hidden="1" x14ac:dyDescent="0.35">
      <c r="A401" s="75">
        <v>397</v>
      </c>
      <c r="B401" s="75">
        <v>398</v>
      </c>
      <c r="C401">
        <v>146.06178750000001</v>
      </c>
      <c r="D401">
        <v>-17.532594110000002</v>
      </c>
      <c r="F401" s="75" t="str">
        <f>HYPERLINK("E:\Data From Lucan\2024\Johnstone\Frames_for_Analysis\398_20240610_0006_L_0451.jpg","398_20240610_0006_L_0451.jpg")</f>
        <v>398_20240610_0006_L_0451.jpg</v>
      </c>
      <c r="G401" s="75">
        <v>100</v>
      </c>
      <c r="I401">
        <f t="shared" si="6"/>
        <v>0</v>
      </c>
      <c r="J401" s="76">
        <v>0</v>
      </c>
      <c r="K401" s="77"/>
      <c r="L401" s="77"/>
      <c r="M401" s="77"/>
      <c r="N401" s="77"/>
      <c r="O401" s="78">
        <v>1</v>
      </c>
      <c r="P401" s="78">
        <v>0</v>
      </c>
      <c r="Q401" s="78">
        <v>0</v>
      </c>
      <c r="R401" s="78">
        <v>0</v>
      </c>
      <c r="S401" s="75">
        <v>0</v>
      </c>
      <c r="T401" s="75">
        <v>0</v>
      </c>
      <c r="U401" s="75">
        <v>0</v>
      </c>
      <c r="V401" s="79">
        <v>0</v>
      </c>
      <c r="W401" s="78">
        <v>0</v>
      </c>
    </row>
    <row r="402" spans="1:23" s="75" customFormat="1" hidden="1" x14ac:dyDescent="0.35">
      <c r="A402" s="75">
        <v>398</v>
      </c>
      <c r="B402" s="75">
        <v>399</v>
      </c>
      <c r="C402">
        <v>146.06169489999999</v>
      </c>
      <c r="D402">
        <v>-17.532612159999999</v>
      </c>
      <c r="F402" s="75" t="str">
        <f>HYPERLINK("E:\Data From Lucan\2024\Johnstone\Frames_for_Analysis\399_20240610_0006_L_0454.jpg","399_20240610_0006_L_0454.jpg")</f>
        <v>399_20240610_0006_L_0454.jpg</v>
      </c>
      <c r="G402" s="75">
        <v>100</v>
      </c>
      <c r="I402">
        <f t="shared" si="6"/>
        <v>0</v>
      </c>
      <c r="J402" s="76">
        <v>0</v>
      </c>
      <c r="K402" s="77"/>
      <c r="L402" s="77"/>
      <c r="M402" s="77"/>
      <c r="N402" s="77"/>
      <c r="O402" s="78">
        <v>1</v>
      </c>
      <c r="P402" s="78">
        <v>0</v>
      </c>
      <c r="Q402" s="78">
        <v>0</v>
      </c>
      <c r="R402" s="78">
        <v>0</v>
      </c>
      <c r="S402" s="75">
        <v>0</v>
      </c>
      <c r="T402" s="75">
        <v>0</v>
      </c>
      <c r="U402" s="75">
        <v>0</v>
      </c>
      <c r="V402" s="79">
        <v>0</v>
      </c>
      <c r="W402" s="78">
        <v>0</v>
      </c>
    </row>
    <row r="403" spans="1:23" s="75" customFormat="1" hidden="1" x14ac:dyDescent="0.35">
      <c r="A403" s="75">
        <v>399</v>
      </c>
      <c r="B403" s="75">
        <v>400</v>
      </c>
      <c r="C403">
        <v>146.061601</v>
      </c>
      <c r="D403">
        <v>-17.532614930000001</v>
      </c>
      <c r="E403" s="75">
        <v>50</v>
      </c>
      <c r="F403" s="75" t="str">
        <f>HYPERLINK("E:\Data From Lucan\2024\Johnstone\Frames_for_Analysis\400_20240610_0006_L_0458.jpg","400_20240610_0006_L_0458.jpg")</f>
        <v>400_20240610_0006_L_0458.jpg</v>
      </c>
      <c r="G403" s="75">
        <v>100</v>
      </c>
      <c r="I403">
        <f t="shared" si="6"/>
        <v>0</v>
      </c>
      <c r="J403" s="76">
        <v>0</v>
      </c>
      <c r="K403" s="77"/>
      <c r="L403" s="77"/>
      <c r="M403" s="77"/>
      <c r="N403" s="77"/>
      <c r="O403" s="78">
        <v>1</v>
      </c>
      <c r="P403" s="78">
        <v>0</v>
      </c>
      <c r="Q403" s="78">
        <v>0</v>
      </c>
      <c r="R403" s="78">
        <v>0</v>
      </c>
      <c r="S403" s="75">
        <v>0</v>
      </c>
      <c r="T403" s="75">
        <v>0</v>
      </c>
      <c r="U403" s="75">
        <v>0</v>
      </c>
      <c r="V403" s="79">
        <v>0</v>
      </c>
      <c r="W403" s="78">
        <v>0</v>
      </c>
    </row>
    <row r="404" spans="1:23" s="75" customFormat="1" hidden="1" x14ac:dyDescent="0.35">
      <c r="A404" s="75">
        <v>400</v>
      </c>
      <c r="B404" s="75">
        <v>401</v>
      </c>
      <c r="C404">
        <v>146.0615067</v>
      </c>
      <c r="D404">
        <v>-17.532613000000001</v>
      </c>
      <c r="F404" s="75" t="str">
        <f>HYPERLINK("E:\Data From Lucan\2024\Johnstone\Frames_for_Analysis\401_20240610_0006_L_0462.jpg","401_20240610_0006_L_0462.jpg")</f>
        <v>401_20240610_0006_L_0462.jpg</v>
      </c>
      <c r="G404" s="75">
        <v>100</v>
      </c>
      <c r="I404">
        <f t="shared" si="6"/>
        <v>0</v>
      </c>
      <c r="J404" s="76">
        <v>0</v>
      </c>
      <c r="K404" s="77"/>
      <c r="L404" s="77"/>
      <c r="M404" s="77"/>
      <c r="N404" s="77"/>
      <c r="O404" s="78">
        <v>1</v>
      </c>
      <c r="P404" s="78">
        <v>0</v>
      </c>
      <c r="Q404" s="78">
        <v>0</v>
      </c>
      <c r="R404" s="78">
        <v>0</v>
      </c>
      <c r="S404" s="75">
        <v>0</v>
      </c>
      <c r="T404" s="75">
        <v>0</v>
      </c>
      <c r="U404" s="75">
        <v>0</v>
      </c>
      <c r="V404" s="79">
        <v>1</v>
      </c>
      <c r="W404" s="78">
        <v>0</v>
      </c>
    </row>
    <row r="405" spans="1:23" s="75" customFormat="1" hidden="1" x14ac:dyDescent="0.35">
      <c r="A405" s="75">
        <v>401</v>
      </c>
      <c r="B405" s="75">
        <v>402</v>
      </c>
      <c r="C405">
        <v>146.06141249999999</v>
      </c>
      <c r="D405">
        <v>-17.532611070000002</v>
      </c>
      <c r="F405" s="75" t="str">
        <f>HYPERLINK("E:\Data From Lucan\2024\Johnstone\Frames_for_Analysis\402_20240610_0006_L_0467.jpg","402_20240610_0006_L_0467.jpg")</f>
        <v>402_20240610_0006_L_0467.jpg</v>
      </c>
      <c r="G405" s="75">
        <v>100</v>
      </c>
      <c r="I405">
        <f t="shared" si="6"/>
        <v>0</v>
      </c>
      <c r="J405" s="76">
        <v>0</v>
      </c>
      <c r="K405" s="77"/>
      <c r="L405" s="77"/>
      <c r="M405" s="77"/>
      <c r="N405" s="77"/>
      <c r="O405" s="78">
        <v>1</v>
      </c>
      <c r="P405" s="78">
        <v>0</v>
      </c>
      <c r="Q405" s="78">
        <v>0</v>
      </c>
      <c r="R405" s="78">
        <v>0</v>
      </c>
      <c r="S405" s="75">
        <v>0</v>
      </c>
      <c r="T405" s="75">
        <v>0</v>
      </c>
      <c r="U405" s="75">
        <v>0</v>
      </c>
      <c r="V405" s="79">
        <v>0</v>
      </c>
      <c r="W405" s="78">
        <v>0</v>
      </c>
    </row>
    <row r="406" spans="1:23" s="75" customFormat="1" hidden="1" x14ac:dyDescent="0.35">
      <c r="A406" s="75">
        <v>402</v>
      </c>
      <c r="B406" s="75">
        <v>403</v>
      </c>
      <c r="C406">
        <v>146.06131830000001</v>
      </c>
      <c r="D406">
        <v>-17.532607240000001</v>
      </c>
      <c r="F406" s="75" t="str">
        <f>HYPERLINK("E:\Data From Lucan\2024\Johnstone\Frames_for_Analysis\403_20240610_0006_L_0471.jpg","403_20240610_0006_L_0471.jpg")</f>
        <v>403_20240610_0006_L_0471.jpg</v>
      </c>
      <c r="G406" s="75">
        <v>100</v>
      </c>
      <c r="I406">
        <f t="shared" si="6"/>
        <v>0</v>
      </c>
      <c r="J406" s="76">
        <v>0</v>
      </c>
      <c r="K406" s="77"/>
      <c r="L406" s="77"/>
      <c r="M406" s="77"/>
      <c r="N406" s="77"/>
      <c r="O406" s="78">
        <v>1</v>
      </c>
      <c r="P406" s="78">
        <v>0</v>
      </c>
      <c r="Q406" s="78">
        <v>0</v>
      </c>
      <c r="R406" s="78">
        <v>0</v>
      </c>
      <c r="S406" s="75">
        <v>0</v>
      </c>
      <c r="T406" s="75">
        <v>0</v>
      </c>
      <c r="U406" s="75">
        <v>0</v>
      </c>
      <c r="V406" s="79">
        <v>0</v>
      </c>
      <c r="W406" s="78">
        <v>0</v>
      </c>
    </row>
    <row r="407" spans="1:23" s="75" customFormat="1" hidden="1" x14ac:dyDescent="0.35">
      <c r="A407" s="75">
        <v>403</v>
      </c>
      <c r="B407" s="75">
        <v>404</v>
      </c>
      <c r="C407">
        <v>146.06122500000001</v>
      </c>
      <c r="D407">
        <v>-17.53259358</v>
      </c>
      <c r="F407" s="75" t="str">
        <f>HYPERLINK("E:\Data From Lucan\2024\Johnstone\Frames_for_Analysis\404_20240610_0006_L_0476.jpg","404_20240610_0006_L_0476.jpg")</f>
        <v>404_20240610_0006_L_0476.jpg</v>
      </c>
      <c r="G407" s="75">
        <v>100</v>
      </c>
      <c r="I407">
        <f t="shared" si="6"/>
        <v>1</v>
      </c>
      <c r="J407" s="76">
        <v>1</v>
      </c>
      <c r="K407" s="77"/>
      <c r="L407" s="77"/>
      <c r="M407" s="77"/>
      <c r="N407" s="77"/>
      <c r="O407" s="78">
        <v>1</v>
      </c>
      <c r="P407" s="78">
        <v>0</v>
      </c>
      <c r="Q407" s="78">
        <v>0</v>
      </c>
      <c r="R407" s="78">
        <v>0</v>
      </c>
      <c r="S407" s="75">
        <v>0</v>
      </c>
      <c r="T407" s="75">
        <v>0</v>
      </c>
      <c r="U407" s="75">
        <v>0</v>
      </c>
      <c r="V407" s="79">
        <v>0</v>
      </c>
      <c r="W407" s="78">
        <v>0</v>
      </c>
    </row>
    <row r="408" spans="1:23" s="75" customFormat="1" hidden="1" x14ac:dyDescent="0.35">
      <c r="A408" s="75">
        <v>404</v>
      </c>
      <c r="B408" s="75">
        <v>405</v>
      </c>
      <c r="C408">
        <v>146.0611317</v>
      </c>
      <c r="D408">
        <v>-17.53257992</v>
      </c>
      <c r="E408" s="75">
        <v>50</v>
      </c>
      <c r="F408" s="75" t="str">
        <f>HYPERLINK("E:\Data From Lucan\2024\Johnstone\Frames_for_Analysis\405_20240610_0006_L_0480.jpg","405_20240610_0006_L_0480.jpg")</f>
        <v>405_20240610_0006_L_0480.jpg</v>
      </c>
      <c r="G408" s="75">
        <v>100</v>
      </c>
      <c r="I408">
        <f t="shared" si="6"/>
        <v>1</v>
      </c>
      <c r="J408" s="76">
        <v>1</v>
      </c>
      <c r="K408" s="77"/>
      <c r="L408" s="77"/>
      <c r="M408" s="77"/>
      <c r="N408" s="77"/>
      <c r="O408" s="78">
        <v>1</v>
      </c>
      <c r="P408" s="78">
        <v>0</v>
      </c>
      <c r="Q408" s="78">
        <v>0</v>
      </c>
      <c r="R408" s="78">
        <v>0</v>
      </c>
      <c r="S408" s="75">
        <v>0</v>
      </c>
      <c r="T408" s="75">
        <v>0</v>
      </c>
      <c r="U408" s="75">
        <v>0</v>
      </c>
      <c r="V408" s="79">
        <v>0</v>
      </c>
      <c r="W408" s="78">
        <v>0</v>
      </c>
    </row>
    <row r="409" spans="1:23" s="75" customFormat="1" hidden="1" x14ac:dyDescent="0.35">
      <c r="A409" s="75">
        <v>405</v>
      </c>
      <c r="B409" s="75">
        <v>406</v>
      </c>
      <c r="C409">
        <v>146.0610384</v>
      </c>
      <c r="D409">
        <v>-17.532566259999999</v>
      </c>
      <c r="F409" s="75" t="str">
        <f>HYPERLINK("E:\Data From Lucan\2024\Johnstone\Frames_for_Analysis\406_20240610_0006_L_0485.jpg","406_20240610_0006_L_0485.jpg")</f>
        <v>406_20240610_0006_L_0485.jpg</v>
      </c>
      <c r="G409" s="75">
        <v>100</v>
      </c>
      <c r="I409">
        <f t="shared" si="6"/>
        <v>1</v>
      </c>
      <c r="J409" s="76">
        <v>1</v>
      </c>
      <c r="K409" s="77"/>
      <c r="L409" s="77"/>
      <c r="M409" s="77"/>
      <c r="N409" s="77"/>
      <c r="O409" s="78">
        <v>1</v>
      </c>
      <c r="P409" s="78">
        <v>0</v>
      </c>
      <c r="Q409" s="78">
        <v>0</v>
      </c>
      <c r="R409" s="78">
        <v>0</v>
      </c>
      <c r="S409" s="75">
        <v>0</v>
      </c>
      <c r="T409" s="75">
        <v>0</v>
      </c>
      <c r="U409" s="75">
        <v>0</v>
      </c>
      <c r="V409" s="79">
        <v>0</v>
      </c>
      <c r="W409" s="78">
        <v>0</v>
      </c>
    </row>
    <row r="410" spans="1:23" s="75" customFormat="1" hidden="1" x14ac:dyDescent="0.35">
      <c r="A410" s="75">
        <v>406</v>
      </c>
      <c r="B410" s="75">
        <v>407</v>
      </c>
      <c r="C410">
        <v>146.06094540000001</v>
      </c>
      <c r="D410">
        <v>-17.532550929999999</v>
      </c>
      <c r="F410" s="75" t="str">
        <f>HYPERLINK("E:\Data From Lucan\2024\Johnstone\Frames_for_Analysis\407_20240610_0006_L_0489.jpg","407_20240610_0006_L_0489.jpg")</f>
        <v>407_20240610_0006_L_0489.jpg</v>
      </c>
      <c r="G410" s="75">
        <v>100</v>
      </c>
      <c r="I410">
        <f t="shared" si="6"/>
        <v>1</v>
      </c>
      <c r="J410" s="76">
        <v>1</v>
      </c>
      <c r="K410" s="77"/>
      <c r="L410" s="77"/>
      <c r="M410" s="77"/>
      <c r="N410" s="77"/>
      <c r="O410" s="78">
        <v>1</v>
      </c>
      <c r="P410" s="78">
        <v>0</v>
      </c>
      <c r="Q410" s="78">
        <v>0</v>
      </c>
      <c r="R410" s="78">
        <v>0</v>
      </c>
      <c r="S410" s="75">
        <v>0</v>
      </c>
      <c r="T410" s="75">
        <v>0</v>
      </c>
      <c r="U410" s="75">
        <v>0</v>
      </c>
      <c r="V410" s="79">
        <v>0</v>
      </c>
      <c r="W410" s="78">
        <v>0</v>
      </c>
    </row>
    <row r="411" spans="1:23" s="75" customFormat="1" hidden="1" x14ac:dyDescent="0.35">
      <c r="A411" s="75">
        <v>407</v>
      </c>
      <c r="B411" s="75">
        <v>408</v>
      </c>
      <c r="C411">
        <v>146.0608526</v>
      </c>
      <c r="D411">
        <v>-17.532534070000001</v>
      </c>
      <c r="F411" s="75" t="str">
        <f>HYPERLINK("E:\Data From Lucan\2024\Johnstone\Frames_for_Analysis\408_20240610_0006_L_0493.jpg","408_20240610_0006_L_0493.jpg")</f>
        <v>408_20240610_0006_L_0493.jpg</v>
      </c>
      <c r="G411" s="75">
        <v>100</v>
      </c>
      <c r="I411">
        <f t="shared" si="6"/>
        <v>1</v>
      </c>
      <c r="J411" s="76">
        <v>1</v>
      </c>
      <c r="K411" s="77"/>
      <c r="L411" s="77"/>
      <c r="M411" s="77"/>
      <c r="N411" s="77"/>
      <c r="O411" s="78">
        <v>1</v>
      </c>
      <c r="P411" s="78">
        <v>0</v>
      </c>
      <c r="Q411" s="78">
        <v>0</v>
      </c>
      <c r="R411" s="78">
        <v>0</v>
      </c>
      <c r="S411" s="75">
        <v>0</v>
      </c>
      <c r="T411" s="75">
        <v>0</v>
      </c>
      <c r="U411" s="75">
        <v>0</v>
      </c>
      <c r="V411" s="79">
        <v>0</v>
      </c>
      <c r="W411" s="78">
        <v>0</v>
      </c>
    </row>
    <row r="412" spans="1:23" s="75" customFormat="1" hidden="1" x14ac:dyDescent="0.35">
      <c r="A412" s="75">
        <v>408</v>
      </c>
      <c r="B412" s="75">
        <v>409</v>
      </c>
      <c r="C412">
        <v>146.06075939999999</v>
      </c>
      <c r="D412">
        <v>-17.53252041</v>
      </c>
      <c r="F412" s="75" t="str">
        <f>HYPERLINK("E:\Data From Lucan\2024\Johnstone\Frames_for_Analysis\409_20240610_0006_L_0497.jpg","409_20240610_0006_L_0497.jpg")</f>
        <v>409_20240610_0006_L_0497.jpg</v>
      </c>
      <c r="G412" s="75">
        <v>100</v>
      </c>
      <c r="I412">
        <f t="shared" si="6"/>
        <v>1</v>
      </c>
      <c r="J412" s="76">
        <v>1</v>
      </c>
      <c r="K412" s="77"/>
      <c r="L412" s="77"/>
      <c r="M412" s="77"/>
      <c r="N412" s="77"/>
      <c r="O412" s="78">
        <v>1</v>
      </c>
      <c r="P412" s="78">
        <v>0</v>
      </c>
      <c r="Q412" s="78">
        <v>0</v>
      </c>
      <c r="R412" s="78">
        <v>0</v>
      </c>
      <c r="S412" s="75">
        <v>0</v>
      </c>
      <c r="T412" s="75">
        <v>0</v>
      </c>
      <c r="U412" s="75">
        <v>0</v>
      </c>
      <c r="V412" s="79">
        <v>0</v>
      </c>
      <c r="W412" s="78">
        <v>0</v>
      </c>
    </row>
    <row r="413" spans="1:23" s="75" customFormat="1" hidden="1" x14ac:dyDescent="0.35">
      <c r="A413" s="75">
        <v>409</v>
      </c>
      <c r="B413" s="75">
        <v>410</v>
      </c>
      <c r="C413">
        <v>146.06066519999999</v>
      </c>
      <c r="D413">
        <v>-17.532516480000002</v>
      </c>
      <c r="E413" s="75">
        <v>50</v>
      </c>
      <c r="F413" s="75" t="str">
        <f>HYPERLINK("E:\Data From Lucan\2024\Johnstone\Frames_for_Analysis\410_20240610_0006_L_0503.jpg","410_20240610_0006_L_0503.jpg")</f>
        <v>410_20240610_0006_L_0503.jpg</v>
      </c>
      <c r="G413" s="75">
        <v>100</v>
      </c>
      <c r="I413">
        <f t="shared" si="6"/>
        <v>1</v>
      </c>
      <c r="J413" s="76">
        <v>1</v>
      </c>
      <c r="K413" s="77"/>
      <c r="L413" s="77"/>
      <c r="M413" s="77"/>
      <c r="N413" s="77"/>
      <c r="O413" s="78">
        <v>1</v>
      </c>
      <c r="P413" s="78">
        <v>0</v>
      </c>
      <c r="Q413" s="78">
        <v>0</v>
      </c>
      <c r="R413" s="78">
        <v>0</v>
      </c>
      <c r="S413" s="75">
        <v>0</v>
      </c>
      <c r="T413" s="75">
        <v>0</v>
      </c>
      <c r="U413" s="75">
        <v>0</v>
      </c>
      <c r="V413" s="79">
        <v>0</v>
      </c>
      <c r="W413" s="78">
        <v>0</v>
      </c>
    </row>
    <row r="414" spans="1:23" s="75" customFormat="1" hidden="1" x14ac:dyDescent="0.35">
      <c r="A414" s="75">
        <v>410</v>
      </c>
      <c r="B414" s="75">
        <v>411</v>
      </c>
      <c r="C414">
        <v>146.06057100000001</v>
      </c>
      <c r="D414">
        <v>-17.532512560000001</v>
      </c>
      <c r="F414" s="75" t="str">
        <f>HYPERLINK("E:\Data From Lucan\2024\Johnstone\Frames_for_Analysis\411_20240610_0006_L_0508.jpg","411_20240610_0006_L_0508.jpg")</f>
        <v>411_20240610_0006_L_0508.jpg</v>
      </c>
      <c r="G414" s="75">
        <v>100</v>
      </c>
      <c r="I414">
        <f t="shared" si="6"/>
        <v>1</v>
      </c>
      <c r="J414" s="76">
        <v>1</v>
      </c>
      <c r="K414" s="77"/>
      <c r="L414" s="77"/>
      <c r="M414" s="77"/>
      <c r="N414" s="77"/>
      <c r="O414" s="78">
        <v>1</v>
      </c>
      <c r="P414" s="78">
        <v>0</v>
      </c>
      <c r="Q414" s="78">
        <v>0</v>
      </c>
      <c r="R414" s="78">
        <v>0</v>
      </c>
      <c r="S414" s="75">
        <v>0</v>
      </c>
      <c r="T414" s="75">
        <v>0</v>
      </c>
      <c r="U414" s="75">
        <v>0</v>
      </c>
      <c r="V414" s="79">
        <v>0</v>
      </c>
      <c r="W414" s="78">
        <v>0</v>
      </c>
    </row>
    <row r="415" spans="1:23" s="75" customFormat="1" hidden="1" x14ac:dyDescent="0.35">
      <c r="A415" s="75">
        <v>411</v>
      </c>
      <c r="B415" s="75">
        <v>412</v>
      </c>
      <c r="C415">
        <v>146.06047810000001</v>
      </c>
      <c r="D415">
        <v>-17.532515709999998</v>
      </c>
      <c r="F415" s="75" t="str">
        <f>HYPERLINK("E:\Data From Lucan\2024\Johnstone\Frames_for_Analysis\412_20240610_0006_L_0512.jpg","412_20240610_0006_L_0512.jpg")</f>
        <v>412_20240610_0006_L_0512.jpg</v>
      </c>
      <c r="G415" s="75">
        <v>100</v>
      </c>
      <c r="I415">
        <f t="shared" si="6"/>
        <v>1</v>
      </c>
      <c r="J415" s="76">
        <v>1</v>
      </c>
      <c r="K415" s="77"/>
      <c r="L415" s="77"/>
      <c r="M415" s="77"/>
      <c r="N415" s="77"/>
      <c r="O415" s="78">
        <v>1</v>
      </c>
      <c r="P415" s="78">
        <v>0</v>
      </c>
      <c r="Q415" s="78">
        <v>0</v>
      </c>
      <c r="R415" s="78">
        <v>0</v>
      </c>
      <c r="S415" s="75">
        <v>0</v>
      </c>
      <c r="T415" s="75">
        <v>0</v>
      </c>
      <c r="U415" s="75">
        <v>0</v>
      </c>
      <c r="V415" s="79">
        <v>0</v>
      </c>
      <c r="W415" s="78">
        <v>0</v>
      </c>
    </row>
    <row r="416" spans="1:23" s="75" customFormat="1" hidden="1" x14ac:dyDescent="0.35">
      <c r="A416" s="75">
        <v>412</v>
      </c>
      <c r="B416" s="75">
        <v>413</v>
      </c>
      <c r="C416">
        <v>146.0603912</v>
      </c>
      <c r="D416">
        <v>-17.532552450000001</v>
      </c>
      <c r="F416" s="75" t="str">
        <f>HYPERLINK("E:\Data From Lucan\2024\Johnstone\Frames_for_Analysis\413_20240610_0006_L_0519.jpg","413_20240610_0006_L_0519.jpg")</f>
        <v>413_20240610_0006_L_0519.jpg</v>
      </c>
      <c r="G416" s="75">
        <v>100</v>
      </c>
      <c r="I416">
        <f t="shared" si="6"/>
        <v>1</v>
      </c>
      <c r="J416" s="76">
        <v>1</v>
      </c>
      <c r="K416" s="77"/>
      <c r="L416" s="77"/>
      <c r="M416" s="77"/>
      <c r="N416" s="77"/>
      <c r="O416" s="78">
        <v>1</v>
      </c>
      <c r="P416" s="78">
        <v>0</v>
      </c>
      <c r="Q416" s="78">
        <v>0</v>
      </c>
      <c r="R416" s="78">
        <v>0</v>
      </c>
      <c r="S416" s="75">
        <v>0</v>
      </c>
      <c r="T416" s="75">
        <v>0</v>
      </c>
      <c r="U416" s="75">
        <v>0</v>
      </c>
      <c r="V416" s="79">
        <v>0</v>
      </c>
      <c r="W416" s="78">
        <v>0</v>
      </c>
    </row>
    <row r="417" spans="1:23" s="75" customFormat="1" hidden="1" x14ac:dyDescent="0.35">
      <c r="A417" s="75">
        <v>413</v>
      </c>
      <c r="B417" s="75">
        <v>414</v>
      </c>
      <c r="C417">
        <v>146.06030440000001</v>
      </c>
      <c r="D417">
        <v>-17.532589189999999</v>
      </c>
      <c r="F417" s="75" t="str">
        <f>HYPERLINK("E:\Data From Lucan\2024\Johnstone\Frames_for_Analysis\414_20240610_0006_L_0525.jpg","414_20240610_0006_L_0525.jpg")</f>
        <v>414_20240610_0006_L_0525.jpg</v>
      </c>
      <c r="G417" s="75">
        <v>100</v>
      </c>
      <c r="I417">
        <f t="shared" si="6"/>
        <v>1</v>
      </c>
      <c r="J417" s="76">
        <v>1</v>
      </c>
      <c r="K417" s="77"/>
      <c r="L417" s="77"/>
      <c r="M417" s="77"/>
      <c r="N417" s="77"/>
      <c r="O417" s="78">
        <v>1</v>
      </c>
      <c r="P417" s="78">
        <v>0</v>
      </c>
      <c r="Q417" s="78">
        <v>0</v>
      </c>
      <c r="R417" s="78">
        <v>0</v>
      </c>
      <c r="S417" s="75">
        <v>0</v>
      </c>
      <c r="T417" s="75">
        <v>0</v>
      </c>
      <c r="U417" s="75">
        <v>0</v>
      </c>
      <c r="V417" s="79">
        <v>0</v>
      </c>
      <c r="W417" s="78">
        <v>0</v>
      </c>
    </row>
    <row r="418" spans="1:23" s="75" customFormat="1" hidden="1" x14ac:dyDescent="0.35">
      <c r="A418" s="75">
        <v>414</v>
      </c>
      <c r="B418" s="75">
        <v>415</v>
      </c>
      <c r="C418">
        <v>146.06021960000001</v>
      </c>
      <c r="D418">
        <v>-17.53262939</v>
      </c>
      <c r="E418" s="75">
        <v>50</v>
      </c>
      <c r="F418" s="75" t="str">
        <f>HYPERLINK("E:\Data From Lucan\2024\Johnstone\Frames_for_Analysis\415_20240610_0006_L_0532.jpg","415_20240610_0006_L_0532.jpg")</f>
        <v>415_20240610_0006_L_0532.jpg</v>
      </c>
      <c r="G418" s="75">
        <v>100</v>
      </c>
      <c r="I418">
        <f t="shared" si="6"/>
        <v>1</v>
      </c>
      <c r="J418" s="76">
        <v>1</v>
      </c>
      <c r="K418" s="77"/>
      <c r="L418" s="77"/>
      <c r="M418" s="77"/>
      <c r="N418" s="77"/>
      <c r="O418" s="78">
        <v>1</v>
      </c>
      <c r="P418" s="78">
        <v>0</v>
      </c>
      <c r="Q418" s="78">
        <v>0</v>
      </c>
      <c r="R418" s="78">
        <v>0</v>
      </c>
      <c r="S418" s="75">
        <v>0</v>
      </c>
      <c r="T418" s="75">
        <v>0</v>
      </c>
      <c r="U418" s="75">
        <v>0</v>
      </c>
      <c r="V418" s="79">
        <v>0</v>
      </c>
      <c r="W418" s="78">
        <v>0</v>
      </c>
    </row>
    <row r="419" spans="1:23" s="75" customFormat="1" hidden="1" x14ac:dyDescent="0.35">
      <c r="A419" s="75">
        <v>415</v>
      </c>
      <c r="B419" s="75">
        <v>416</v>
      </c>
      <c r="C419">
        <v>146.0601461</v>
      </c>
      <c r="D419">
        <v>-17.532688530000001</v>
      </c>
      <c r="F419" s="75" t="str">
        <f>HYPERLINK("E:\Data From Lucan\2024\Johnstone\Frames_for_Analysis\416_20240610_0006_L_0542.jpg","416_20240610_0006_L_0542.jpg")</f>
        <v>416_20240610_0006_L_0542.jpg</v>
      </c>
      <c r="G419" s="75">
        <v>100</v>
      </c>
      <c r="I419">
        <f t="shared" si="6"/>
        <v>1</v>
      </c>
      <c r="J419" s="76">
        <v>1</v>
      </c>
      <c r="K419" s="77"/>
      <c r="L419" s="77"/>
      <c r="M419" s="77"/>
      <c r="N419" s="77"/>
      <c r="O419" s="78">
        <v>1</v>
      </c>
      <c r="P419" s="78">
        <v>0</v>
      </c>
      <c r="Q419" s="78">
        <v>0</v>
      </c>
      <c r="R419" s="78">
        <v>0</v>
      </c>
      <c r="S419" s="75">
        <v>0</v>
      </c>
      <c r="T419" s="75">
        <v>0</v>
      </c>
      <c r="U419" s="75">
        <v>0</v>
      </c>
      <c r="V419" s="79">
        <v>0</v>
      </c>
      <c r="W419" s="78">
        <v>0</v>
      </c>
    </row>
    <row r="420" spans="1:23" s="75" customFormat="1" hidden="1" x14ac:dyDescent="0.35">
      <c r="A420" s="75">
        <v>416</v>
      </c>
      <c r="B420" s="75">
        <v>417</v>
      </c>
      <c r="C420">
        <v>146.06007270000001</v>
      </c>
      <c r="D420">
        <v>-17.53274768</v>
      </c>
      <c r="F420" s="75" t="str">
        <f>HYPERLINK("E:\Data From Lucan\2024\Johnstone\Frames_for_Analysis\417_20240610_0006_L_0549.jpg","417_20240610_0006_L_0549.jpg")</f>
        <v>417_20240610_0006_L_0549.jpg</v>
      </c>
      <c r="G420" s="75">
        <v>100</v>
      </c>
      <c r="I420">
        <f t="shared" si="6"/>
        <v>1</v>
      </c>
      <c r="J420" s="76">
        <v>1</v>
      </c>
      <c r="K420" s="77"/>
      <c r="L420" s="77"/>
      <c r="M420" s="77"/>
      <c r="N420" s="77"/>
      <c r="O420" s="78">
        <v>1</v>
      </c>
      <c r="P420" s="78">
        <v>0</v>
      </c>
      <c r="Q420" s="78">
        <v>0</v>
      </c>
      <c r="R420" s="78">
        <v>0</v>
      </c>
      <c r="S420" s="75">
        <v>0</v>
      </c>
      <c r="T420" s="75">
        <v>0</v>
      </c>
      <c r="U420" s="75">
        <v>0</v>
      </c>
      <c r="V420" s="79">
        <v>0</v>
      </c>
      <c r="W420" s="78">
        <v>0</v>
      </c>
    </row>
    <row r="421" spans="1:23" s="75" customFormat="1" hidden="1" x14ac:dyDescent="0.35">
      <c r="A421" s="75">
        <v>417</v>
      </c>
      <c r="B421" s="75">
        <v>418</v>
      </c>
      <c r="C421">
        <v>146.05999919999999</v>
      </c>
      <c r="D421">
        <v>-17.532806829999998</v>
      </c>
      <c r="F421" s="75" t="str">
        <f>HYPERLINK("E:\Data From Lucan\2024\Johnstone\Frames_for_Analysis\418_20240610_0006_L_0554.jpg","418_20240610_0006_L_0554.jpg")</f>
        <v>418_20240610_0006_L_0554.jpg</v>
      </c>
      <c r="G421" s="75">
        <v>100</v>
      </c>
      <c r="I421">
        <f t="shared" si="6"/>
        <v>1</v>
      </c>
      <c r="J421" s="76">
        <v>1</v>
      </c>
      <c r="K421" s="77"/>
      <c r="L421" s="77"/>
      <c r="M421" s="77"/>
      <c r="N421" s="77"/>
      <c r="O421" s="78">
        <v>1</v>
      </c>
      <c r="P421" s="78">
        <v>0</v>
      </c>
      <c r="Q421" s="78">
        <v>0</v>
      </c>
      <c r="R421" s="78">
        <v>0</v>
      </c>
      <c r="S421" s="75">
        <v>0</v>
      </c>
      <c r="T421" s="75">
        <v>0</v>
      </c>
      <c r="U421" s="75">
        <v>0</v>
      </c>
      <c r="V421" s="79">
        <v>0</v>
      </c>
      <c r="W421" s="78">
        <v>0</v>
      </c>
    </row>
    <row r="422" spans="1:23" s="75" customFormat="1" hidden="1" x14ac:dyDescent="0.35">
      <c r="A422" s="75">
        <v>418</v>
      </c>
      <c r="B422" s="75">
        <v>419</v>
      </c>
      <c r="C422">
        <v>146.05993900000001</v>
      </c>
      <c r="D422">
        <v>-17.532878199999999</v>
      </c>
      <c r="F422" s="75" t="str">
        <f>HYPERLINK("E:\Data From Lucan\2024\Johnstone\Frames_for_Analysis\419_20240610_0006_L_0555.jpg","419_20240610_0006_L_0555.jpg")</f>
        <v>419_20240610_0006_L_0555.jpg</v>
      </c>
      <c r="G422" s="75">
        <v>100</v>
      </c>
      <c r="I422">
        <f t="shared" si="6"/>
        <v>1</v>
      </c>
      <c r="J422" s="76">
        <v>1</v>
      </c>
      <c r="K422" s="77"/>
      <c r="L422" s="77"/>
      <c r="M422" s="77"/>
      <c r="N422" s="77"/>
      <c r="O422" s="78">
        <v>1</v>
      </c>
      <c r="P422" s="78">
        <v>0</v>
      </c>
      <c r="Q422" s="78">
        <v>0</v>
      </c>
      <c r="R422" s="78">
        <v>0</v>
      </c>
      <c r="S422" s="75">
        <v>0</v>
      </c>
      <c r="T422" s="75">
        <v>0</v>
      </c>
      <c r="U422" s="75">
        <v>0</v>
      </c>
      <c r="V422" s="79">
        <v>0</v>
      </c>
      <c r="W422" s="78">
        <v>0</v>
      </c>
    </row>
    <row r="423" spans="1:23" s="75" customFormat="1" hidden="1" x14ac:dyDescent="0.35">
      <c r="A423" s="75">
        <v>419</v>
      </c>
      <c r="B423" s="75">
        <v>420</v>
      </c>
      <c r="C423">
        <v>146.05988590000001</v>
      </c>
      <c r="D423">
        <v>-17.5329561</v>
      </c>
      <c r="E423" s="75">
        <v>50</v>
      </c>
      <c r="F423" s="75" t="str">
        <f>HYPERLINK("E:\Data From Lucan\2024\Johnstone\Frames_for_Analysis\420_20240610_0006_L_0556.jpg","420_20240610_0006_L_0556.jpg")</f>
        <v>420_20240610_0006_L_0556.jpg</v>
      </c>
      <c r="G423" s="75">
        <v>100</v>
      </c>
      <c r="I423">
        <f t="shared" si="6"/>
        <v>1</v>
      </c>
      <c r="J423" s="76">
        <v>1</v>
      </c>
      <c r="K423" s="77"/>
      <c r="L423" s="77"/>
      <c r="M423" s="77"/>
      <c r="N423" s="77"/>
      <c r="O423" s="78">
        <v>1</v>
      </c>
      <c r="P423" s="78">
        <v>0</v>
      </c>
      <c r="Q423" s="78">
        <v>0</v>
      </c>
      <c r="R423" s="78">
        <v>0</v>
      </c>
      <c r="S423" s="75">
        <v>0</v>
      </c>
      <c r="T423" s="75">
        <v>0</v>
      </c>
      <c r="U423" s="75">
        <v>0</v>
      </c>
      <c r="V423" s="79">
        <v>0</v>
      </c>
      <c r="W423" s="78">
        <v>0</v>
      </c>
    </row>
    <row r="424" spans="1:23" s="75" customFormat="1" hidden="1" x14ac:dyDescent="0.35">
      <c r="A424" s="75">
        <v>420</v>
      </c>
      <c r="B424" s="75">
        <v>421</v>
      </c>
      <c r="C424">
        <v>146.05983209999999</v>
      </c>
      <c r="D424">
        <v>-17.53303352</v>
      </c>
      <c r="F424" s="75" t="str">
        <f>HYPERLINK("E:\Data From Lucan\2024\Johnstone\Frames_for_Analysis\421_20240610_0006_L_0557.jpg","421_20240610_0006_L_0557.jpg")</f>
        <v>421_20240610_0006_L_0557.jpg</v>
      </c>
      <c r="G424" s="75">
        <v>100</v>
      </c>
      <c r="I424">
        <f t="shared" si="6"/>
        <v>1</v>
      </c>
      <c r="J424" s="76">
        <v>1</v>
      </c>
      <c r="K424" s="77"/>
      <c r="L424" s="77"/>
      <c r="M424" s="77"/>
      <c r="N424" s="77"/>
      <c r="O424" s="78">
        <v>1</v>
      </c>
      <c r="P424" s="78">
        <v>0</v>
      </c>
      <c r="Q424" s="78">
        <v>0</v>
      </c>
      <c r="R424" s="78">
        <v>0</v>
      </c>
      <c r="S424" s="75">
        <v>0</v>
      </c>
      <c r="T424" s="75">
        <v>0</v>
      </c>
      <c r="U424" s="75">
        <v>0</v>
      </c>
      <c r="V424" s="79">
        <v>0</v>
      </c>
      <c r="W424" s="78">
        <v>0</v>
      </c>
    </row>
    <row r="425" spans="1:23" s="75" customFormat="1" hidden="1" x14ac:dyDescent="0.35">
      <c r="A425" s="75">
        <v>421</v>
      </c>
      <c r="B425" s="75">
        <v>422</v>
      </c>
      <c r="C425">
        <v>146.0597641</v>
      </c>
      <c r="D425">
        <v>-17.533098819999999</v>
      </c>
      <c r="G425" s="75">
        <v>100</v>
      </c>
      <c r="H425" s="75" t="s">
        <v>26</v>
      </c>
      <c r="I425" t="str">
        <f t="shared" si="6"/>
        <v>X</v>
      </c>
      <c r="J425" s="76">
        <v>1</v>
      </c>
      <c r="K425" s="77"/>
      <c r="L425" s="77"/>
      <c r="M425" s="77"/>
      <c r="N425" s="77"/>
      <c r="O425" s="78"/>
      <c r="P425" s="78"/>
      <c r="Q425" s="78"/>
      <c r="R425" s="78"/>
      <c r="V425" s="79"/>
      <c r="W425" s="78"/>
    </row>
    <row r="426" spans="1:23" s="75" customFormat="1" hidden="1" x14ac:dyDescent="0.35">
      <c r="A426" s="75">
        <v>422</v>
      </c>
      <c r="B426" s="75">
        <v>423</v>
      </c>
      <c r="C426">
        <v>146.05969590000001</v>
      </c>
      <c r="D426">
        <v>-17.53316397</v>
      </c>
      <c r="G426" s="75">
        <v>100</v>
      </c>
      <c r="H426" s="75" t="s">
        <v>26</v>
      </c>
      <c r="I426" t="str">
        <f t="shared" si="6"/>
        <v>X</v>
      </c>
      <c r="J426" s="76"/>
      <c r="K426" s="77"/>
      <c r="L426" s="77"/>
      <c r="M426" s="77"/>
      <c r="N426" s="77"/>
      <c r="O426" s="78"/>
      <c r="P426" s="78"/>
      <c r="Q426" s="78"/>
      <c r="R426" s="78"/>
      <c r="V426" s="79"/>
      <c r="W426" s="78"/>
    </row>
    <row r="427" spans="1:23" s="75" customFormat="1" hidden="1" x14ac:dyDescent="0.35">
      <c r="A427" s="75">
        <v>423</v>
      </c>
      <c r="B427" s="75">
        <v>424</v>
      </c>
      <c r="C427">
        <v>146.05963510000001</v>
      </c>
      <c r="D427">
        <v>-17.533235510000001</v>
      </c>
      <c r="G427" s="75">
        <v>100</v>
      </c>
      <c r="H427" s="75" t="s">
        <v>26</v>
      </c>
      <c r="I427" t="str">
        <f t="shared" si="6"/>
        <v>X</v>
      </c>
      <c r="J427" s="76"/>
      <c r="K427" s="77"/>
      <c r="L427" s="77"/>
      <c r="M427" s="77"/>
      <c r="N427" s="77"/>
      <c r="O427" s="78"/>
      <c r="P427" s="78"/>
      <c r="Q427" s="78"/>
      <c r="R427" s="78"/>
      <c r="V427" s="79"/>
      <c r="W427" s="78"/>
    </row>
    <row r="428" spans="1:23" s="75" customFormat="1" hidden="1" x14ac:dyDescent="0.35">
      <c r="A428" s="75">
        <v>424</v>
      </c>
      <c r="B428" s="75">
        <v>425</v>
      </c>
      <c r="C428">
        <v>146.0595802</v>
      </c>
      <c r="D428">
        <v>-17.53331219</v>
      </c>
      <c r="E428" s="75">
        <v>50</v>
      </c>
      <c r="G428" s="75">
        <v>100</v>
      </c>
      <c r="H428" s="75" t="s">
        <v>26</v>
      </c>
      <c r="I428" t="str">
        <f t="shared" si="6"/>
        <v>X</v>
      </c>
      <c r="J428" s="76"/>
      <c r="K428" s="77"/>
      <c r="L428" s="77"/>
      <c r="M428" s="77"/>
      <c r="N428" s="77"/>
      <c r="O428" s="78"/>
      <c r="P428" s="78"/>
      <c r="Q428" s="78"/>
      <c r="R428" s="78"/>
      <c r="V428" s="79"/>
      <c r="W428" s="78"/>
    </row>
    <row r="429" spans="1:23" s="75" customFormat="1" hidden="1" x14ac:dyDescent="0.35">
      <c r="A429" s="75">
        <v>425</v>
      </c>
      <c r="B429" s="75">
        <v>426</v>
      </c>
      <c r="C429">
        <v>146.05952529999999</v>
      </c>
      <c r="D429">
        <v>-17.53338888</v>
      </c>
      <c r="G429" s="75">
        <v>100</v>
      </c>
      <c r="H429" s="75" t="s">
        <v>26</v>
      </c>
      <c r="I429" t="str">
        <f t="shared" si="6"/>
        <v>X</v>
      </c>
      <c r="J429" s="76"/>
      <c r="K429" s="77"/>
      <c r="L429" s="77"/>
      <c r="M429" s="77"/>
      <c r="N429" s="77"/>
      <c r="O429" s="78"/>
      <c r="P429" s="78"/>
      <c r="Q429" s="78"/>
      <c r="R429" s="78"/>
      <c r="V429" s="79"/>
      <c r="W429" s="78"/>
    </row>
    <row r="430" spans="1:23" s="75" customFormat="1" hidden="1" x14ac:dyDescent="0.35">
      <c r="A430" s="75">
        <v>426</v>
      </c>
      <c r="B430" s="75">
        <v>427</v>
      </c>
      <c r="C430">
        <v>146.05951640000001</v>
      </c>
      <c r="D430">
        <v>-17.533480619999999</v>
      </c>
      <c r="G430" s="75">
        <v>100</v>
      </c>
      <c r="H430" s="75" t="s">
        <v>26</v>
      </c>
      <c r="I430" t="str">
        <f t="shared" si="6"/>
        <v>X</v>
      </c>
      <c r="J430" s="76"/>
      <c r="K430" s="77"/>
      <c r="L430" s="77"/>
      <c r="M430" s="77"/>
      <c r="N430" s="77"/>
      <c r="O430" s="78"/>
      <c r="P430" s="78"/>
      <c r="Q430" s="78"/>
      <c r="R430" s="78"/>
      <c r="V430" s="79"/>
      <c r="W430" s="78"/>
    </row>
    <row r="431" spans="1:23" s="75" customFormat="1" hidden="1" x14ac:dyDescent="0.35">
      <c r="A431" s="75">
        <v>427</v>
      </c>
      <c r="B431" s="75">
        <v>428</v>
      </c>
      <c r="C431">
        <v>146.05951540000001</v>
      </c>
      <c r="D431">
        <v>-17.53357492</v>
      </c>
      <c r="G431" s="75">
        <v>100</v>
      </c>
      <c r="H431" s="75" t="s">
        <v>26</v>
      </c>
      <c r="I431" t="str">
        <f t="shared" si="6"/>
        <v>X</v>
      </c>
      <c r="J431" s="76"/>
      <c r="K431" s="77"/>
      <c r="L431" s="77"/>
      <c r="M431" s="77"/>
      <c r="N431" s="77"/>
      <c r="O431" s="78"/>
      <c r="P431" s="78"/>
      <c r="Q431" s="78"/>
      <c r="R431" s="78"/>
      <c r="V431" s="79"/>
      <c r="W431" s="78"/>
    </row>
    <row r="432" spans="1:23" s="75" customFormat="1" hidden="1" x14ac:dyDescent="0.35">
      <c r="A432" s="75">
        <v>428</v>
      </c>
      <c r="B432" s="75">
        <v>429</v>
      </c>
      <c r="C432">
        <v>146.05951630000001</v>
      </c>
      <c r="D432">
        <v>-17.5336687</v>
      </c>
      <c r="G432" s="75">
        <v>100</v>
      </c>
      <c r="H432" s="75" t="s">
        <v>26</v>
      </c>
      <c r="I432" t="str">
        <f t="shared" si="6"/>
        <v>X</v>
      </c>
      <c r="J432" s="76"/>
      <c r="K432" s="77"/>
      <c r="L432" s="77"/>
      <c r="M432" s="77"/>
      <c r="N432" s="77"/>
      <c r="O432" s="78"/>
      <c r="P432" s="78"/>
      <c r="Q432" s="78"/>
      <c r="R432" s="78"/>
      <c r="V432" s="79"/>
      <c r="W432" s="78"/>
    </row>
    <row r="433" spans="1:23" s="75" customFormat="1" hidden="1" x14ac:dyDescent="0.35">
      <c r="A433" s="75">
        <v>429</v>
      </c>
      <c r="B433" s="75">
        <v>430</v>
      </c>
      <c r="C433">
        <v>146.05956180000001</v>
      </c>
      <c r="D433">
        <v>-17.53375131</v>
      </c>
      <c r="E433" s="75">
        <v>50</v>
      </c>
      <c r="G433" s="75">
        <v>100</v>
      </c>
      <c r="H433" s="75" t="s">
        <v>26</v>
      </c>
      <c r="I433" t="str">
        <f t="shared" si="6"/>
        <v>X</v>
      </c>
      <c r="J433" s="76"/>
      <c r="K433" s="77"/>
      <c r="L433" s="77"/>
      <c r="M433" s="77"/>
      <c r="N433" s="77"/>
      <c r="O433" s="78"/>
      <c r="P433" s="78"/>
      <c r="Q433" s="78"/>
      <c r="R433" s="78"/>
      <c r="V433" s="79"/>
      <c r="W433" s="78"/>
    </row>
    <row r="434" spans="1:23" s="75" customFormat="1" hidden="1" x14ac:dyDescent="0.35">
      <c r="A434" s="75">
        <v>430</v>
      </c>
      <c r="B434" s="75">
        <v>431</v>
      </c>
      <c r="C434">
        <v>146.05960730000001</v>
      </c>
      <c r="D434">
        <v>-17.53383393</v>
      </c>
      <c r="G434" s="75">
        <v>100</v>
      </c>
      <c r="H434" s="75" t="s">
        <v>26</v>
      </c>
      <c r="I434" t="str">
        <f t="shared" si="6"/>
        <v>X</v>
      </c>
      <c r="J434" s="76"/>
      <c r="K434" s="77"/>
      <c r="L434" s="77"/>
      <c r="M434" s="77"/>
      <c r="N434" s="77"/>
      <c r="O434" s="78"/>
      <c r="P434" s="78"/>
      <c r="Q434" s="78"/>
      <c r="R434" s="78"/>
      <c r="V434" s="79"/>
      <c r="W434" s="78"/>
    </row>
    <row r="435" spans="1:23" s="75" customFormat="1" hidden="1" x14ac:dyDescent="0.35">
      <c r="A435" s="75">
        <v>431</v>
      </c>
      <c r="B435" s="75">
        <v>432</v>
      </c>
      <c r="C435">
        <v>146.05967630000001</v>
      </c>
      <c r="D435">
        <v>-17.533893150000001</v>
      </c>
      <c r="G435" s="75">
        <v>100</v>
      </c>
      <c r="H435" s="75" t="s">
        <v>26</v>
      </c>
      <c r="I435" t="str">
        <f t="shared" si="6"/>
        <v>X</v>
      </c>
      <c r="J435" s="76"/>
      <c r="K435" s="77"/>
      <c r="L435" s="77"/>
      <c r="M435" s="77"/>
      <c r="N435" s="77"/>
      <c r="O435" s="78"/>
      <c r="P435" s="78"/>
      <c r="Q435" s="78"/>
      <c r="R435" s="78"/>
      <c r="V435" s="79"/>
      <c r="W435" s="78"/>
    </row>
    <row r="436" spans="1:23" s="75" customFormat="1" hidden="1" x14ac:dyDescent="0.35">
      <c r="A436" s="75">
        <v>432</v>
      </c>
      <c r="B436" s="75">
        <v>433</v>
      </c>
      <c r="C436">
        <v>146.05975860000001</v>
      </c>
      <c r="D436">
        <v>-17.533939090000001</v>
      </c>
      <c r="G436" s="75">
        <v>100</v>
      </c>
      <c r="H436" s="75" t="s">
        <v>26</v>
      </c>
      <c r="I436" t="str">
        <f t="shared" si="6"/>
        <v>X</v>
      </c>
      <c r="J436" s="76"/>
      <c r="K436" s="77"/>
      <c r="L436" s="77"/>
      <c r="M436" s="77"/>
      <c r="N436" s="77"/>
      <c r="O436" s="78"/>
      <c r="P436" s="78"/>
      <c r="Q436" s="78"/>
      <c r="R436" s="78"/>
      <c r="V436" s="79"/>
      <c r="W436" s="78"/>
    </row>
    <row r="437" spans="1:23" s="75" customFormat="1" hidden="1" x14ac:dyDescent="0.35">
      <c r="A437" s="75">
        <v>433</v>
      </c>
      <c r="B437" s="75">
        <v>434</v>
      </c>
      <c r="C437">
        <v>146.05984100000001</v>
      </c>
      <c r="D437">
        <v>-17.533985019999999</v>
      </c>
      <c r="G437" s="75">
        <v>100</v>
      </c>
      <c r="H437" s="75" t="s">
        <v>26</v>
      </c>
      <c r="I437" t="str">
        <f t="shared" si="6"/>
        <v>X</v>
      </c>
      <c r="J437" s="76"/>
      <c r="K437" s="77"/>
      <c r="L437" s="77"/>
      <c r="M437" s="77"/>
      <c r="N437" s="77"/>
      <c r="O437" s="78"/>
      <c r="P437" s="78"/>
      <c r="Q437" s="78"/>
      <c r="R437" s="78"/>
      <c r="V437" s="79"/>
      <c r="W437" s="78"/>
    </row>
    <row r="438" spans="1:23" s="75" customFormat="1" hidden="1" x14ac:dyDescent="0.35">
      <c r="A438" s="75">
        <v>434</v>
      </c>
      <c r="B438" s="75">
        <v>435</v>
      </c>
      <c r="C438">
        <v>146.0599278</v>
      </c>
      <c r="D438">
        <v>-17.534020890000001</v>
      </c>
      <c r="E438" s="75">
        <v>50</v>
      </c>
      <c r="G438" s="75">
        <v>100</v>
      </c>
      <c r="H438" s="75" t="s">
        <v>26</v>
      </c>
      <c r="I438" t="str">
        <f t="shared" si="6"/>
        <v>X</v>
      </c>
      <c r="J438" s="76"/>
      <c r="K438" s="77"/>
      <c r="L438" s="77"/>
      <c r="M438" s="77"/>
      <c r="N438" s="77"/>
      <c r="O438" s="78"/>
      <c r="P438" s="78"/>
      <c r="Q438" s="78"/>
      <c r="R438" s="78"/>
      <c r="V438" s="79"/>
      <c r="W438" s="78"/>
    </row>
    <row r="439" spans="1:23" s="75" customFormat="1" hidden="1" x14ac:dyDescent="0.35">
      <c r="A439" s="75">
        <v>435</v>
      </c>
      <c r="B439" s="75">
        <v>436</v>
      </c>
      <c r="C439">
        <v>146.06001739999999</v>
      </c>
      <c r="D439">
        <v>-17.53405016</v>
      </c>
      <c r="G439" s="75">
        <v>100</v>
      </c>
      <c r="H439" s="75" t="s">
        <v>26</v>
      </c>
      <c r="I439" t="str">
        <f t="shared" si="6"/>
        <v>X</v>
      </c>
      <c r="J439" s="76"/>
      <c r="K439" s="77"/>
      <c r="L439" s="77"/>
      <c r="M439" s="77"/>
      <c r="N439" s="77"/>
      <c r="O439" s="78"/>
      <c r="P439" s="78"/>
      <c r="Q439" s="78"/>
      <c r="R439" s="78"/>
      <c r="V439" s="79"/>
      <c r="W439" s="78"/>
    </row>
    <row r="440" spans="1:23" s="75" customFormat="1" hidden="1" x14ac:dyDescent="0.35">
      <c r="A440" s="75">
        <v>436</v>
      </c>
      <c r="B440" s="75">
        <v>437</v>
      </c>
      <c r="C440">
        <v>146.06010710000001</v>
      </c>
      <c r="D440">
        <v>-17.534079439999999</v>
      </c>
      <c r="G440" s="75">
        <v>100</v>
      </c>
      <c r="H440" s="75" t="s">
        <v>26</v>
      </c>
      <c r="I440" t="str">
        <f t="shared" si="6"/>
        <v>X</v>
      </c>
      <c r="J440" s="76"/>
      <c r="K440" s="77"/>
      <c r="L440" s="77"/>
      <c r="M440" s="77"/>
      <c r="N440" s="77"/>
      <c r="O440" s="78"/>
      <c r="P440" s="78"/>
      <c r="Q440" s="78"/>
      <c r="R440" s="78"/>
      <c r="V440" s="79"/>
      <c r="W440" s="78"/>
    </row>
    <row r="441" spans="1:23" s="75" customFormat="1" hidden="1" x14ac:dyDescent="0.35">
      <c r="A441" s="75">
        <v>437</v>
      </c>
      <c r="B441" s="75">
        <v>438</v>
      </c>
      <c r="C441">
        <v>146.06019979999999</v>
      </c>
      <c r="D441">
        <v>-17.534088440000001</v>
      </c>
      <c r="G441" s="75">
        <v>100</v>
      </c>
      <c r="H441" s="75" t="s">
        <v>26</v>
      </c>
      <c r="I441" t="str">
        <f t="shared" si="6"/>
        <v>X</v>
      </c>
      <c r="J441" s="76"/>
      <c r="K441" s="77"/>
      <c r="L441" s="77"/>
      <c r="M441" s="77"/>
      <c r="N441" s="77"/>
      <c r="O441" s="78"/>
      <c r="P441" s="78"/>
      <c r="Q441" s="78"/>
      <c r="R441" s="78"/>
      <c r="V441" s="79"/>
      <c r="W441" s="78"/>
    </row>
    <row r="442" spans="1:23" s="75" customFormat="1" hidden="1" x14ac:dyDescent="0.35">
      <c r="A442" s="75">
        <v>438</v>
      </c>
      <c r="B442" s="75">
        <v>439</v>
      </c>
      <c r="C442">
        <v>146.060294</v>
      </c>
      <c r="D442">
        <v>-17.534086800000001</v>
      </c>
      <c r="G442" s="75">
        <v>100</v>
      </c>
      <c r="H442" s="75" t="s">
        <v>26</v>
      </c>
      <c r="I442" t="str">
        <f t="shared" si="6"/>
        <v>X</v>
      </c>
      <c r="J442" s="76"/>
      <c r="K442" s="77"/>
      <c r="L442" s="77"/>
      <c r="M442" s="77"/>
      <c r="N442" s="77"/>
      <c r="O442" s="78"/>
      <c r="P442" s="78"/>
      <c r="Q442" s="78"/>
      <c r="R442" s="78"/>
      <c r="V442" s="79"/>
      <c r="W442" s="78"/>
    </row>
    <row r="443" spans="1:23" s="75" customFormat="1" hidden="1" x14ac:dyDescent="0.35">
      <c r="A443" s="75">
        <v>439</v>
      </c>
      <c r="B443" s="75">
        <v>440</v>
      </c>
      <c r="C443">
        <v>146.0603883</v>
      </c>
      <c r="D443">
        <v>-17.53408516</v>
      </c>
      <c r="E443" s="75">
        <v>50</v>
      </c>
      <c r="G443" s="75">
        <v>100</v>
      </c>
      <c r="H443" s="75" t="s">
        <v>26</v>
      </c>
      <c r="I443" t="str">
        <f t="shared" si="6"/>
        <v>X</v>
      </c>
      <c r="J443" s="76"/>
      <c r="K443" s="77"/>
      <c r="L443" s="77"/>
      <c r="M443" s="77"/>
      <c r="N443" s="77"/>
      <c r="O443" s="78"/>
      <c r="P443" s="78"/>
      <c r="Q443" s="78"/>
      <c r="R443" s="78"/>
      <c r="V443" s="79"/>
      <c r="W443" s="78"/>
    </row>
    <row r="444" spans="1:23" s="75" customFormat="1" hidden="1" x14ac:dyDescent="0.35">
      <c r="A444" s="75">
        <v>440</v>
      </c>
      <c r="B444" s="75">
        <v>441</v>
      </c>
      <c r="C444">
        <v>146.0604826</v>
      </c>
      <c r="D444">
        <v>-17.534083509999999</v>
      </c>
      <c r="G444" s="75">
        <v>100</v>
      </c>
      <c r="H444" s="75" t="s">
        <v>26</v>
      </c>
      <c r="I444" t="str">
        <f t="shared" si="6"/>
        <v>X</v>
      </c>
      <c r="J444" s="76"/>
      <c r="K444" s="77"/>
      <c r="L444" s="77"/>
      <c r="M444" s="77"/>
      <c r="N444" s="77"/>
      <c r="O444" s="78"/>
      <c r="P444" s="78"/>
      <c r="Q444" s="78"/>
      <c r="R444" s="78"/>
      <c r="V444" s="79"/>
      <c r="W444" s="78"/>
    </row>
    <row r="445" spans="1:23" s="75" customFormat="1" hidden="1" x14ac:dyDescent="0.35">
      <c r="A445" s="75">
        <v>441</v>
      </c>
      <c r="B445" s="75">
        <v>442</v>
      </c>
      <c r="C445">
        <v>146.06057139999999</v>
      </c>
      <c r="D445">
        <v>-17.5340536</v>
      </c>
      <c r="G445" s="75">
        <v>100</v>
      </c>
      <c r="H445" s="75" t="s">
        <v>26</v>
      </c>
      <c r="I445" t="str">
        <f t="shared" si="6"/>
        <v>X</v>
      </c>
      <c r="J445" s="76"/>
      <c r="K445" s="77"/>
      <c r="L445" s="77"/>
      <c r="M445" s="77"/>
      <c r="N445" s="77"/>
      <c r="O445" s="78"/>
      <c r="P445" s="78"/>
      <c r="Q445" s="78"/>
      <c r="R445" s="78"/>
      <c r="V445" s="79"/>
      <c r="W445" s="78"/>
    </row>
    <row r="446" spans="1:23" s="75" customFormat="1" hidden="1" x14ac:dyDescent="0.35">
      <c r="A446" s="75">
        <v>442</v>
      </c>
      <c r="B446" s="75">
        <v>443</v>
      </c>
      <c r="C446">
        <v>146.0606593</v>
      </c>
      <c r="D446">
        <v>-17.534019610000001</v>
      </c>
      <c r="G446" s="75">
        <v>100</v>
      </c>
      <c r="H446" s="75" t="s">
        <v>26</v>
      </c>
      <c r="I446" t="str">
        <f t="shared" si="6"/>
        <v>X</v>
      </c>
      <c r="J446" s="76"/>
      <c r="K446" s="77"/>
      <c r="L446" s="77"/>
      <c r="M446" s="77"/>
      <c r="N446" s="77"/>
      <c r="O446" s="78"/>
      <c r="P446" s="78"/>
      <c r="Q446" s="78"/>
      <c r="R446" s="78"/>
      <c r="V446" s="79"/>
      <c r="W446" s="78"/>
    </row>
    <row r="447" spans="1:23" s="75" customFormat="1" hidden="1" x14ac:dyDescent="0.35">
      <c r="A447" s="75">
        <v>443</v>
      </c>
      <c r="B447" s="75">
        <v>444</v>
      </c>
      <c r="C447">
        <v>146.0607473</v>
      </c>
      <c r="D447">
        <v>-17.53398563</v>
      </c>
      <c r="G447" s="75">
        <v>100</v>
      </c>
      <c r="H447" s="75" t="s">
        <v>26</v>
      </c>
      <c r="I447" t="str">
        <f t="shared" si="6"/>
        <v>X</v>
      </c>
      <c r="J447" s="76"/>
      <c r="K447" s="77"/>
      <c r="L447" s="77"/>
      <c r="M447" s="77"/>
      <c r="N447" s="77"/>
      <c r="O447" s="78"/>
      <c r="P447" s="78"/>
      <c r="Q447" s="78"/>
      <c r="R447" s="78"/>
      <c r="V447" s="79"/>
      <c r="W447" s="78"/>
    </row>
    <row r="448" spans="1:23" s="75" customFormat="1" hidden="1" x14ac:dyDescent="0.35">
      <c r="A448" s="75">
        <v>444</v>
      </c>
      <c r="B448" s="75">
        <v>445</v>
      </c>
      <c r="C448">
        <v>146.06083530000001</v>
      </c>
      <c r="D448">
        <v>-17.533951640000002</v>
      </c>
      <c r="E448" s="75">
        <v>50</v>
      </c>
      <c r="G448" s="75">
        <v>100</v>
      </c>
      <c r="H448" s="75" t="s">
        <v>26</v>
      </c>
      <c r="I448" t="str">
        <f t="shared" si="6"/>
        <v>X</v>
      </c>
      <c r="J448" s="76"/>
      <c r="K448" s="77"/>
      <c r="L448" s="77"/>
      <c r="M448" s="77"/>
      <c r="N448" s="77"/>
      <c r="O448" s="78"/>
      <c r="P448" s="78"/>
      <c r="Q448" s="78"/>
      <c r="R448" s="78"/>
      <c r="V448" s="79"/>
      <c r="W448" s="78"/>
    </row>
    <row r="449" spans="1:23" s="75" customFormat="1" hidden="1" x14ac:dyDescent="0.35">
      <c r="A449" s="75">
        <v>445</v>
      </c>
      <c r="B449" s="75">
        <v>446</v>
      </c>
      <c r="C449">
        <v>146.0609187</v>
      </c>
      <c r="D449">
        <v>-17.533907679999999</v>
      </c>
      <c r="G449" s="75">
        <v>100</v>
      </c>
      <c r="H449" s="75" t="s">
        <v>26</v>
      </c>
      <c r="I449" t="str">
        <f t="shared" si="6"/>
        <v>X</v>
      </c>
      <c r="J449" s="76"/>
      <c r="K449" s="77"/>
      <c r="L449" s="77"/>
      <c r="M449" s="77"/>
      <c r="N449" s="77"/>
      <c r="O449" s="78"/>
      <c r="P449" s="78"/>
      <c r="Q449" s="78"/>
      <c r="R449" s="78"/>
      <c r="V449" s="79"/>
      <c r="W449" s="78"/>
    </row>
    <row r="450" spans="1:23" s="75" customFormat="1" hidden="1" x14ac:dyDescent="0.35">
      <c r="A450" s="75">
        <v>446</v>
      </c>
      <c r="B450" s="75">
        <v>447</v>
      </c>
      <c r="C450">
        <v>146.06100190000001</v>
      </c>
      <c r="D450">
        <v>-17.533863319999998</v>
      </c>
      <c r="G450" s="75">
        <v>100</v>
      </c>
      <c r="H450" s="75" t="s">
        <v>26</v>
      </c>
      <c r="I450" t="str">
        <f t="shared" si="6"/>
        <v>X</v>
      </c>
      <c r="J450" s="76"/>
      <c r="K450" s="77"/>
      <c r="L450" s="77"/>
      <c r="M450" s="77"/>
      <c r="N450" s="77"/>
      <c r="O450" s="78"/>
      <c r="P450" s="78"/>
      <c r="Q450" s="78"/>
      <c r="R450" s="78"/>
      <c r="V450" s="79"/>
      <c r="W450" s="78"/>
    </row>
    <row r="451" spans="1:23" s="75" customFormat="1" hidden="1" x14ac:dyDescent="0.35">
      <c r="A451" s="75">
        <v>447</v>
      </c>
      <c r="B451" s="75">
        <v>448</v>
      </c>
      <c r="C451">
        <v>146.06108510000001</v>
      </c>
      <c r="D451">
        <v>-17.533818960000001</v>
      </c>
      <c r="G451" s="75">
        <v>100</v>
      </c>
      <c r="H451" s="75" t="s">
        <v>26</v>
      </c>
      <c r="I451" t="str">
        <f t="shared" si="6"/>
        <v>X</v>
      </c>
      <c r="J451" s="76"/>
      <c r="K451" s="77"/>
      <c r="L451" s="77"/>
      <c r="M451" s="77"/>
      <c r="N451" s="77"/>
      <c r="O451" s="78"/>
      <c r="P451" s="78"/>
      <c r="Q451" s="78"/>
      <c r="R451" s="78"/>
      <c r="V451" s="79"/>
      <c r="W451" s="78"/>
    </row>
    <row r="452" spans="1:23" s="75" customFormat="1" hidden="1" x14ac:dyDescent="0.35">
      <c r="A452" s="75">
        <v>448</v>
      </c>
      <c r="B452" s="75">
        <v>449</v>
      </c>
      <c r="C452">
        <v>146.06116829999999</v>
      </c>
      <c r="D452">
        <v>-17.533774609999998</v>
      </c>
      <c r="G452" s="75">
        <v>100</v>
      </c>
      <c r="H452" s="75" t="s">
        <v>26</v>
      </c>
      <c r="I452" t="str">
        <f t="shared" si="6"/>
        <v>X</v>
      </c>
      <c r="J452" s="76"/>
      <c r="K452" s="77"/>
      <c r="L452" s="77"/>
      <c r="M452" s="77"/>
      <c r="N452" s="77"/>
      <c r="O452" s="78"/>
      <c r="P452" s="78"/>
      <c r="Q452" s="78"/>
      <c r="R452" s="78"/>
      <c r="V452" s="79"/>
      <c r="W452" s="78"/>
    </row>
    <row r="453" spans="1:23" s="75" customFormat="1" hidden="1" x14ac:dyDescent="0.35">
      <c r="A453" s="75">
        <v>449</v>
      </c>
      <c r="B453" s="75">
        <v>450</v>
      </c>
      <c r="C453">
        <v>146.06124349999999</v>
      </c>
      <c r="D453">
        <v>-17.533717830000001</v>
      </c>
      <c r="E453" s="75">
        <v>50</v>
      </c>
      <c r="G453" s="75">
        <v>100</v>
      </c>
      <c r="H453" s="75" t="s">
        <v>26</v>
      </c>
      <c r="I453" t="str">
        <f t="shared" ref="I453:I516" si="7">IF(H453="X","X",IF(J453="NA","X",IF(J453="","X",J453)))</f>
        <v>X</v>
      </c>
      <c r="J453" s="76"/>
      <c r="K453" s="77"/>
      <c r="L453" s="77"/>
      <c r="M453" s="77"/>
      <c r="N453" s="77"/>
      <c r="O453" s="78"/>
      <c r="P453" s="78"/>
      <c r="Q453" s="78"/>
      <c r="R453" s="78"/>
      <c r="V453" s="79"/>
      <c r="W453" s="78"/>
    </row>
    <row r="454" spans="1:23" s="75" customFormat="1" hidden="1" x14ac:dyDescent="0.35">
      <c r="A454" s="75">
        <v>450</v>
      </c>
      <c r="B454" s="75">
        <v>451</v>
      </c>
      <c r="C454">
        <v>146.06131780000001</v>
      </c>
      <c r="D454">
        <v>-17.533659799999999</v>
      </c>
      <c r="G454" s="75">
        <v>100</v>
      </c>
      <c r="H454" s="75" t="s">
        <v>26</v>
      </c>
      <c r="I454" t="str">
        <f t="shared" si="7"/>
        <v>X</v>
      </c>
      <c r="J454" s="76"/>
      <c r="K454" s="77"/>
      <c r="L454" s="77"/>
      <c r="M454" s="77"/>
      <c r="N454" s="77"/>
      <c r="O454" s="78"/>
      <c r="P454" s="78"/>
      <c r="Q454" s="78"/>
      <c r="R454" s="78"/>
      <c r="V454" s="79"/>
      <c r="W454" s="78"/>
    </row>
    <row r="455" spans="1:23" s="75" customFormat="1" hidden="1" x14ac:dyDescent="0.35">
      <c r="A455" s="75">
        <v>451</v>
      </c>
      <c r="B455" s="75">
        <v>452</v>
      </c>
      <c r="C455">
        <v>146.0613922</v>
      </c>
      <c r="D455">
        <v>-17.533601780000001</v>
      </c>
      <c r="G455" s="75">
        <v>100</v>
      </c>
      <c r="H455" s="75" t="s">
        <v>26</v>
      </c>
      <c r="I455" t="str">
        <f t="shared" si="7"/>
        <v>X</v>
      </c>
      <c r="J455" s="76"/>
      <c r="K455" s="77"/>
      <c r="L455" s="77"/>
      <c r="M455" s="77"/>
      <c r="N455" s="77"/>
      <c r="O455" s="78"/>
      <c r="P455" s="78"/>
      <c r="Q455" s="78"/>
      <c r="R455" s="78"/>
      <c r="V455" s="79"/>
      <c r="W455" s="78"/>
    </row>
    <row r="456" spans="1:23" s="75" customFormat="1" hidden="1" x14ac:dyDescent="0.35">
      <c r="A456" s="75">
        <v>452</v>
      </c>
      <c r="B456" s="75">
        <v>453</v>
      </c>
      <c r="C456">
        <v>146.06146630000001</v>
      </c>
      <c r="D456">
        <v>-17.53354345</v>
      </c>
      <c r="G456" s="75">
        <v>100</v>
      </c>
      <c r="H456" s="75" t="s">
        <v>26</v>
      </c>
      <c r="I456" t="str">
        <f t="shared" si="7"/>
        <v>X</v>
      </c>
      <c r="J456" s="76"/>
      <c r="K456" s="77"/>
      <c r="L456" s="77"/>
      <c r="M456" s="77"/>
      <c r="N456" s="77"/>
      <c r="O456" s="78"/>
      <c r="P456" s="78"/>
      <c r="Q456" s="78"/>
      <c r="R456" s="78"/>
      <c r="V456" s="79"/>
      <c r="W456" s="78"/>
    </row>
    <row r="457" spans="1:23" s="75" customFormat="1" hidden="1" x14ac:dyDescent="0.35">
      <c r="A457" s="75">
        <v>453</v>
      </c>
      <c r="B457" s="75">
        <v>454</v>
      </c>
      <c r="C457">
        <v>146.06154029999999</v>
      </c>
      <c r="D457">
        <v>-17.533484999999999</v>
      </c>
      <c r="G457" s="75">
        <v>100</v>
      </c>
      <c r="H457" s="75" t="s">
        <v>26</v>
      </c>
      <c r="I457" t="str">
        <f t="shared" si="7"/>
        <v>X</v>
      </c>
      <c r="J457" s="76"/>
      <c r="K457" s="77"/>
      <c r="L457" s="77"/>
      <c r="M457" s="77"/>
      <c r="N457" s="77"/>
      <c r="O457" s="78"/>
      <c r="P457" s="78"/>
      <c r="Q457" s="78"/>
      <c r="R457" s="78"/>
      <c r="V457" s="79"/>
      <c r="W457" s="78"/>
    </row>
    <row r="458" spans="1:23" s="75" customFormat="1" hidden="1" x14ac:dyDescent="0.35">
      <c r="A458" s="75">
        <v>454</v>
      </c>
      <c r="B458" s="75">
        <v>455</v>
      </c>
      <c r="C458">
        <v>146.0616143</v>
      </c>
      <c r="D458">
        <v>-17.533426540000001</v>
      </c>
      <c r="E458" s="75">
        <v>50</v>
      </c>
      <c r="G458" s="75">
        <v>100</v>
      </c>
      <c r="H458" s="75" t="s">
        <v>26</v>
      </c>
      <c r="I458" t="str">
        <f t="shared" si="7"/>
        <v>X</v>
      </c>
      <c r="J458" s="76"/>
      <c r="K458" s="77"/>
      <c r="L458" s="77"/>
      <c r="M458" s="77"/>
      <c r="N458" s="77"/>
      <c r="O458" s="78"/>
      <c r="P458" s="78"/>
      <c r="Q458" s="78"/>
      <c r="R458" s="78"/>
      <c r="V458" s="79"/>
      <c r="W458" s="78"/>
    </row>
    <row r="459" spans="1:23" s="75" customFormat="1" hidden="1" x14ac:dyDescent="0.35">
      <c r="A459" s="75">
        <v>455</v>
      </c>
      <c r="B459" s="75">
        <v>456</v>
      </c>
      <c r="C459">
        <v>146.0616861</v>
      </c>
      <c r="D459">
        <v>-17.533365710000002</v>
      </c>
      <c r="G459" s="75">
        <v>100</v>
      </c>
      <c r="H459" s="75" t="s">
        <v>26</v>
      </c>
      <c r="I459" t="str">
        <f t="shared" si="7"/>
        <v>X</v>
      </c>
      <c r="J459" s="76"/>
      <c r="K459" s="77"/>
      <c r="L459" s="77"/>
      <c r="M459" s="77"/>
      <c r="N459" s="77"/>
      <c r="O459" s="78"/>
      <c r="P459" s="78"/>
      <c r="Q459" s="78"/>
      <c r="R459" s="78"/>
      <c r="V459" s="79"/>
      <c r="W459" s="78"/>
    </row>
    <row r="460" spans="1:23" s="75" customFormat="1" hidden="1" x14ac:dyDescent="0.35">
      <c r="A460" s="75">
        <v>456</v>
      </c>
      <c r="B460" s="75">
        <v>457</v>
      </c>
      <c r="C460">
        <v>146.06175210000001</v>
      </c>
      <c r="D460">
        <v>-17.53329836</v>
      </c>
      <c r="G460" s="75">
        <v>100</v>
      </c>
      <c r="H460" s="75" t="s">
        <v>26</v>
      </c>
      <c r="I460" t="str">
        <f t="shared" si="7"/>
        <v>X</v>
      </c>
      <c r="J460" s="76"/>
      <c r="K460" s="77"/>
      <c r="L460" s="77"/>
      <c r="M460" s="77"/>
      <c r="N460" s="77"/>
      <c r="O460" s="78"/>
      <c r="P460" s="78"/>
      <c r="Q460" s="78"/>
      <c r="R460" s="78"/>
      <c r="V460" s="79"/>
      <c r="W460" s="78"/>
    </row>
    <row r="461" spans="1:23" s="75" customFormat="1" hidden="1" x14ac:dyDescent="0.35">
      <c r="A461" s="75">
        <v>457</v>
      </c>
      <c r="B461" s="75">
        <v>458</v>
      </c>
      <c r="C461">
        <v>146.0618182</v>
      </c>
      <c r="D461">
        <v>-17.533231000000001</v>
      </c>
      <c r="G461" s="75">
        <v>100</v>
      </c>
      <c r="H461" s="75" t="s">
        <v>26</v>
      </c>
      <c r="I461" t="str">
        <f t="shared" si="7"/>
        <v>X</v>
      </c>
      <c r="J461" s="76"/>
      <c r="K461" s="77"/>
      <c r="L461" s="77"/>
      <c r="M461" s="77"/>
      <c r="N461" s="77"/>
      <c r="O461" s="78"/>
      <c r="P461" s="78"/>
      <c r="Q461" s="78"/>
      <c r="R461" s="78"/>
      <c r="V461" s="79"/>
      <c r="W461" s="78"/>
    </row>
    <row r="462" spans="1:23" s="75" customFormat="1" hidden="1" x14ac:dyDescent="0.35">
      <c r="A462" s="75">
        <v>458</v>
      </c>
      <c r="B462" s="75">
        <v>459</v>
      </c>
      <c r="C462">
        <v>146.06189639999999</v>
      </c>
      <c r="D462">
        <v>-17.533184259999999</v>
      </c>
      <c r="G462" s="75">
        <v>100</v>
      </c>
      <c r="H462" s="75" t="s">
        <v>26</v>
      </c>
      <c r="I462" t="str">
        <f t="shared" si="7"/>
        <v>X</v>
      </c>
      <c r="J462" s="76"/>
      <c r="K462" s="77"/>
      <c r="L462" s="77"/>
      <c r="M462" s="77"/>
      <c r="N462" s="77"/>
      <c r="O462" s="78"/>
      <c r="P462" s="78"/>
      <c r="Q462" s="78"/>
      <c r="R462" s="78"/>
      <c r="V462" s="79"/>
      <c r="W462" s="78"/>
    </row>
    <row r="463" spans="1:23" s="75" customFormat="1" hidden="1" x14ac:dyDescent="0.35">
      <c r="A463" s="75">
        <v>459</v>
      </c>
      <c r="B463" s="75">
        <v>460</v>
      </c>
      <c r="C463">
        <v>146.0619872</v>
      </c>
      <c r="D463">
        <v>-17.533158799999999</v>
      </c>
      <c r="E463" s="75">
        <v>50</v>
      </c>
      <c r="G463" s="75">
        <v>100</v>
      </c>
      <c r="H463" s="75" t="s">
        <v>26</v>
      </c>
      <c r="I463" t="str">
        <f t="shared" si="7"/>
        <v>X</v>
      </c>
      <c r="J463" s="76"/>
      <c r="K463" s="77"/>
      <c r="L463" s="77"/>
      <c r="M463" s="77"/>
      <c r="N463" s="77"/>
      <c r="O463" s="78"/>
      <c r="P463" s="78"/>
      <c r="Q463" s="78"/>
      <c r="R463" s="78"/>
      <c r="V463" s="79"/>
      <c r="W463" s="78"/>
    </row>
    <row r="464" spans="1:23" s="75" customFormat="1" hidden="1" x14ac:dyDescent="0.35">
      <c r="A464" s="75">
        <v>460</v>
      </c>
      <c r="B464" s="75">
        <v>461</v>
      </c>
      <c r="C464">
        <v>146.06207800000001</v>
      </c>
      <c r="D464">
        <v>-17.533133329999998</v>
      </c>
      <c r="G464" s="75">
        <v>100</v>
      </c>
      <c r="H464" s="75" t="s">
        <v>26</v>
      </c>
      <c r="I464" t="str">
        <f t="shared" si="7"/>
        <v>X</v>
      </c>
      <c r="J464" s="76"/>
      <c r="K464" s="77"/>
      <c r="L464" s="77"/>
      <c r="M464" s="77"/>
      <c r="N464" s="77"/>
      <c r="O464" s="78"/>
      <c r="P464" s="78"/>
      <c r="Q464" s="78"/>
      <c r="R464" s="78"/>
      <c r="V464" s="79"/>
      <c r="W464" s="78"/>
    </row>
    <row r="465" spans="1:23" s="75" customFormat="1" hidden="1" x14ac:dyDescent="0.35">
      <c r="A465" s="75">
        <v>461</v>
      </c>
      <c r="B465" s="75">
        <v>462</v>
      </c>
      <c r="C465">
        <v>146.06217150000001</v>
      </c>
      <c r="D465">
        <v>-17.533122809999998</v>
      </c>
      <c r="G465" s="75">
        <v>100</v>
      </c>
      <c r="H465" s="75" t="s">
        <v>26</v>
      </c>
      <c r="I465" t="str">
        <f t="shared" si="7"/>
        <v>X</v>
      </c>
      <c r="J465" s="76"/>
      <c r="K465" s="77"/>
      <c r="L465" s="77"/>
      <c r="M465" s="77"/>
      <c r="N465" s="77"/>
      <c r="O465" s="78"/>
      <c r="P465" s="78"/>
      <c r="Q465" s="78"/>
      <c r="R465" s="78"/>
      <c r="V465" s="79"/>
      <c r="W465" s="78"/>
    </row>
    <row r="466" spans="1:23" s="75" customFormat="1" hidden="1" x14ac:dyDescent="0.35">
      <c r="A466" s="75">
        <v>462</v>
      </c>
      <c r="B466" s="75">
        <v>463</v>
      </c>
      <c r="C466">
        <v>146.0622654</v>
      </c>
      <c r="D466">
        <v>-17.533114390000001</v>
      </c>
      <c r="G466" s="75">
        <v>100</v>
      </c>
      <c r="H466" s="75" t="s">
        <v>26</v>
      </c>
      <c r="I466" t="str">
        <f t="shared" si="7"/>
        <v>X</v>
      </c>
      <c r="J466" s="76"/>
      <c r="K466" s="77"/>
      <c r="L466" s="77"/>
      <c r="M466" s="77"/>
      <c r="N466" s="77"/>
      <c r="O466" s="78"/>
      <c r="P466" s="78"/>
      <c r="Q466" s="78"/>
      <c r="R466" s="78"/>
      <c r="V466" s="79"/>
      <c r="W466" s="78"/>
    </row>
    <row r="467" spans="1:23" s="75" customFormat="1" hidden="1" x14ac:dyDescent="0.35">
      <c r="A467" s="75">
        <v>463</v>
      </c>
      <c r="B467" s="75">
        <v>464</v>
      </c>
      <c r="C467">
        <v>146.06235950000001</v>
      </c>
      <c r="D467">
        <v>-17.533110270000002</v>
      </c>
      <c r="G467" s="75">
        <v>100</v>
      </c>
      <c r="H467" s="75" t="s">
        <v>26</v>
      </c>
      <c r="I467" t="str">
        <f t="shared" si="7"/>
        <v>X</v>
      </c>
      <c r="J467" s="76"/>
      <c r="K467" s="77"/>
      <c r="L467" s="77"/>
      <c r="M467" s="77"/>
      <c r="N467" s="77"/>
      <c r="O467" s="78"/>
      <c r="P467" s="78"/>
      <c r="Q467" s="78"/>
      <c r="R467" s="78"/>
      <c r="V467" s="79"/>
      <c r="W467" s="78"/>
    </row>
    <row r="468" spans="1:23" s="75" customFormat="1" hidden="1" x14ac:dyDescent="0.35">
      <c r="A468" s="75">
        <v>464</v>
      </c>
      <c r="B468" s="75">
        <v>465</v>
      </c>
      <c r="C468">
        <v>146.06245379999999</v>
      </c>
      <c r="D468">
        <v>-17.53311033</v>
      </c>
      <c r="E468" s="75">
        <v>50</v>
      </c>
      <c r="G468" s="75">
        <v>100</v>
      </c>
      <c r="H468" s="75" t="s">
        <v>26</v>
      </c>
      <c r="I468" t="str">
        <f t="shared" si="7"/>
        <v>X</v>
      </c>
      <c r="J468" s="76"/>
      <c r="K468" s="77"/>
      <c r="L468" s="77"/>
      <c r="M468" s="77"/>
      <c r="N468" s="77"/>
      <c r="O468" s="78"/>
      <c r="P468" s="78"/>
      <c r="Q468" s="78"/>
      <c r="R468" s="78"/>
      <c r="V468" s="79"/>
      <c r="W468" s="78"/>
    </row>
    <row r="469" spans="1:23" s="75" customFormat="1" hidden="1" x14ac:dyDescent="0.35">
      <c r="A469" s="75">
        <v>465</v>
      </c>
      <c r="B469" s="75">
        <v>466</v>
      </c>
      <c r="C469">
        <v>146.06254809999999</v>
      </c>
      <c r="D469">
        <v>-17.533113360000002</v>
      </c>
      <c r="G469" s="75">
        <v>100</v>
      </c>
      <c r="H469" s="75" t="s">
        <v>26</v>
      </c>
      <c r="I469" t="str">
        <f t="shared" si="7"/>
        <v>X</v>
      </c>
      <c r="J469" s="76"/>
      <c r="K469" s="77"/>
      <c r="L469" s="77"/>
      <c r="M469" s="77"/>
      <c r="N469" s="77"/>
      <c r="O469" s="78"/>
      <c r="P469" s="78"/>
      <c r="Q469" s="78"/>
      <c r="R469" s="78"/>
      <c r="V469" s="79"/>
      <c r="W469" s="78"/>
    </row>
    <row r="470" spans="1:23" s="75" customFormat="1" hidden="1" x14ac:dyDescent="0.35">
      <c r="A470" s="75">
        <v>466</v>
      </c>
      <c r="B470" s="75">
        <v>467</v>
      </c>
      <c r="C470">
        <v>146.0626398</v>
      </c>
      <c r="D470">
        <v>-17.53312798</v>
      </c>
      <c r="G470" s="75">
        <v>100</v>
      </c>
      <c r="H470" s="75" t="s">
        <v>26</v>
      </c>
      <c r="I470" t="str">
        <f t="shared" si="7"/>
        <v>X</v>
      </c>
      <c r="J470" s="76"/>
      <c r="K470" s="77"/>
      <c r="L470" s="77"/>
      <c r="M470" s="77"/>
      <c r="N470" s="77"/>
      <c r="O470" s="78"/>
      <c r="P470" s="78"/>
      <c r="Q470" s="78"/>
      <c r="R470" s="78"/>
      <c r="V470" s="79"/>
      <c r="W470" s="78"/>
    </row>
    <row r="471" spans="1:23" s="75" customFormat="1" hidden="1" x14ac:dyDescent="0.35">
      <c r="A471" s="75">
        <v>467</v>
      </c>
      <c r="B471" s="75">
        <v>468</v>
      </c>
      <c r="C471">
        <v>146.06272509999999</v>
      </c>
      <c r="D471">
        <v>-17.533168010000001</v>
      </c>
      <c r="G471" s="75">
        <v>100</v>
      </c>
      <c r="H471" s="75" t="s">
        <v>26</v>
      </c>
      <c r="I471" t="str">
        <f t="shared" si="7"/>
        <v>X</v>
      </c>
      <c r="J471" s="76"/>
      <c r="K471" s="77"/>
      <c r="L471" s="77"/>
      <c r="M471" s="77"/>
      <c r="N471" s="77"/>
      <c r="O471" s="78"/>
      <c r="P471" s="78"/>
      <c r="Q471" s="78"/>
      <c r="R471" s="78"/>
      <c r="V471" s="79"/>
      <c r="W471" s="78"/>
    </row>
    <row r="472" spans="1:23" s="75" customFormat="1" hidden="1" x14ac:dyDescent="0.35">
      <c r="A472" s="75">
        <v>468</v>
      </c>
      <c r="B472" s="75">
        <v>469</v>
      </c>
      <c r="C472">
        <v>146.06281569999999</v>
      </c>
      <c r="D472">
        <v>-17.53319342</v>
      </c>
      <c r="G472" s="75">
        <v>100</v>
      </c>
      <c r="H472" s="75" t="s">
        <v>26</v>
      </c>
      <c r="I472" t="str">
        <f t="shared" si="7"/>
        <v>X</v>
      </c>
      <c r="J472" s="76"/>
      <c r="K472" s="77"/>
      <c r="L472" s="77"/>
      <c r="M472" s="77"/>
      <c r="N472" s="77"/>
      <c r="O472" s="78"/>
      <c r="P472" s="78"/>
      <c r="Q472" s="78"/>
      <c r="R472" s="78"/>
      <c r="V472" s="79"/>
      <c r="W472" s="78"/>
    </row>
    <row r="473" spans="1:23" s="75" customFormat="1" hidden="1" x14ac:dyDescent="0.35">
      <c r="A473" s="75">
        <v>469</v>
      </c>
      <c r="B473" s="75">
        <v>470</v>
      </c>
      <c r="C473">
        <v>146.0629021</v>
      </c>
      <c r="D473">
        <v>-17.533228879999999</v>
      </c>
      <c r="E473" s="75">
        <v>50</v>
      </c>
      <c r="G473" s="75">
        <v>100</v>
      </c>
      <c r="H473" s="75" t="s">
        <v>26</v>
      </c>
      <c r="I473" t="str">
        <f t="shared" si="7"/>
        <v>X</v>
      </c>
      <c r="J473" s="76"/>
      <c r="K473" s="77"/>
      <c r="L473" s="77"/>
      <c r="M473" s="77"/>
      <c r="N473" s="77"/>
      <c r="O473" s="78"/>
      <c r="P473" s="78"/>
      <c r="Q473" s="78"/>
      <c r="R473" s="78"/>
      <c r="V473" s="79"/>
      <c r="W473" s="78"/>
    </row>
    <row r="474" spans="1:23" s="75" customFormat="1" hidden="1" x14ac:dyDescent="0.35">
      <c r="A474" s="75">
        <v>470</v>
      </c>
      <c r="B474" s="75">
        <v>471</v>
      </c>
      <c r="C474">
        <v>146.062974</v>
      </c>
      <c r="D474">
        <v>-17.533286789999998</v>
      </c>
      <c r="G474" s="75">
        <v>100</v>
      </c>
      <c r="H474" s="75" t="s">
        <v>26</v>
      </c>
      <c r="I474" t="str">
        <f t="shared" si="7"/>
        <v>X</v>
      </c>
      <c r="J474" s="76"/>
      <c r="K474" s="77"/>
      <c r="L474" s="77"/>
      <c r="M474" s="77"/>
      <c r="N474" s="77"/>
      <c r="O474" s="78"/>
      <c r="P474" s="78"/>
      <c r="Q474" s="78"/>
      <c r="R474" s="78"/>
      <c r="V474" s="79"/>
      <c r="W474" s="78"/>
    </row>
    <row r="475" spans="1:23" s="75" customFormat="1" hidden="1" x14ac:dyDescent="0.35">
      <c r="A475" s="75">
        <v>471</v>
      </c>
      <c r="B475" s="75">
        <v>472</v>
      </c>
      <c r="C475">
        <v>146.06304209999999</v>
      </c>
      <c r="D475">
        <v>-17.53335117</v>
      </c>
      <c r="G475" s="75">
        <v>100</v>
      </c>
      <c r="H475" s="75" t="s">
        <v>26</v>
      </c>
      <c r="I475" t="str">
        <f t="shared" si="7"/>
        <v>X</v>
      </c>
      <c r="J475" s="76"/>
      <c r="K475" s="77"/>
      <c r="L475" s="77"/>
      <c r="M475" s="77"/>
      <c r="N475" s="77"/>
      <c r="O475" s="78"/>
      <c r="P475" s="78"/>
      <c r="Q475" s="78"/>
      <c r="R475" s="78"/>
      <c r="V475" s="79"/>
      <c r="W475" s="78"/>
    </row>
    <row r="476" spans="1:23" s="75" customFormat="1" hidden="1" x14ac:dyDescent="0.35">
      <c r="A476" s="75">
        <v>472</v>
      </c>
      <c r="B476" s="75">
        <v>473</v>
      </c>
      <c r="C476">
        <v>146.0631152</v>
      </c>
      <c r="D476">
        <v>-17.533410750000002</v>
      </c>
      <c r="G476" s="75">
        <v>100</v>
      </c>
      <c r="H476" s="75" t="s">
        <v>26</v>
      </c>
      <c r="I476" t="str">
        <f t="shared" si="7"/>
        <v>X</v>
      </c>
      <c r="J476" s="76"/>
      <c r="K476" s="77"/>
      <c r="L476" s="77"/>
      <c r="M476" s="77"/>
      <c r="N476" s="77"/>
      <c r="O476" s="78"/>
      <c r="P476" s="78"/>
      <c r="Q476" s="78"/>
      <c r="R476" s="78"/>
      <c r="V476" s="79"/>
      <c r="W476" s="78"/>
    </row>
    <row r="477" spans="1:23" s="75" customFormat="1" hidden="1" x14ac:dyDescent="0.35">
      <c r="A477" s="75">
        <v>473</v>
      </c>
      <c r="B477" s="75">
        <v>474</v>
      </c>
      <c r="C477">
        <v>146.06318830000001</v>
      </c>
      <c r="D477">
        <v>-17.53347033</v>
      </c>
      <c r="G477" s="75">
        <v>100</v>
      </c>
      <c r="H477" s="75" t="s">
        <v>26</v>
      </c>
      <c r="I477" t="str">
        <f t="shared" si="7"/>
        <v>X</v>
      </c>
      <c r="J477" s="76"/>
      <c r="K477" s="77"/>
      <c r="L477" s="77"/>
      <c r="M477" s="77"/>
      <c r="N477" s="77"/>
      <c r="O477" s="78"/>
      <c r="P477" s="78"/>
      <c r="Q477" s="78"/>
      <c r="R477" s="78"/>
      <c r="V477" s="79"/>
      <c r="W477" s="78"/>
    </row>
    <row r="478" spans="1:23" s="75" customFormat="1" hidden="1" x14ac:dyDescent="0.35">
      <c r="A478" s="75">
        <v>474</v>
      </c>
      <c r="B478" s="75">
        <v>475</v>
      </c>
      <c r="C478">
        <v>146.06327039999999</v>
      </c>
      <c r="D478">
        <v>-17.533515380000001</v>
      </c>
      <c r="E478" s="75">
        <v>50</v>
      </c>
      <c r="G478" s="75">
        <v>100</v>
      </c>
      <c r="H478" s="75" t="s">
        <v>26</v>
      </c>
      <c r="I478" t="str">
        <f t="shared" si="7"/>
        <v>X</v>
      </c>
      <c r="J478" s="76"/>
      <c r="K478" s="77"/>
      <c r="L478" s="77"/>
      <c r="M478" s="77"/>
      <c r="N478" s="77"/>
      <c r="O478" s="78"/>
      <c r="P478" s="78"/>
      <c r="Q478" s="78"/>
      <c r="R478" s="78"/>
      <c r="V478" s="79"/>
      <c r="W478" s="78"/>
    </row>
    <row r="479" spans="1:23" s="75" customFormat="1" hidden="1" x14ac:dyDescent="0.35">
      <c r="A479" s="75">
        <v>475</v>
      </c>
      <c r="B479" s="75">
        <v>476</v>
      </c>
      <c r="C479">
        <v>146.0633564</v>
      </c>
      <c r="D479">
        <v>-17.533554120000002</v>
      </c>
      <c r="G479" s="75">
        <v>100</v>
      </c>
      <c r="H479" s="75" t="s">
        <v>26</v>
      </c>
      <c r="I479" t="str">
        <f t="shared" si="7"/>
        <v>X</v>
      </c>
      <c r="J479" s="76"/>
      <c r="K479" s="77"/>
      <c r="L479" s="77"/>
      <c r="M479" s="77"/>
      <c r="N479" s="77"/>
      <c r="O479" s="78"/>
      <c r="P479" s="78"/>
      <c r="Q479" s="78"/>
      <c r="R479" s="78"/>
      <c r="V479" s="79"/>
      <c r="W479" s="78"/>
    </row>
    <row r="480" spans="1:23" s="75" customFormat="1" hidden="1" x14ac:dyDescent="0.35">
      <c r="A480" s="75">
        <v>476</v>
      </c>
      <c r="B480" s="75">
        <v>477</v>
      </c>
      <c r="C480">
        <v>146.06344229999999</v>
      </c>
      <c r="D480">
        <v>-17.533592850000002</v>
      </c>
      <c r="G480" s="75">
        <v>100</v>
      </c>
      <c r="H480" s="75" t="s">
        <v>26</v>
      </c>
      <c r="I480" t="str">
        <f t="shared" si="7"/>
        <v>X</v>
      </c>
      <c r="J480" s="76"/>
      <c r="K480" s="77"/>
      <c r="L480" s="77"/>
      <c r="M480" s="77"/>
      <c r="N480" s="77"/>
      <c r="O480" s="78"/>
      <c r="P480" s="78"/>
      <c r="Q480" s="78"/>
      <c r="R480" s="78"/>
      <c r="V480" s="79"/>
      <c r="W480" s="78"/>
    </row>
    <row r="481" spans="1:23" s="75" customFormat="1" hidden="1" x14ac:dyDescent="0.35">
      <c r="A481" s="75">
        <v>477</v>
      </c>
      <c r="B481" s="75">
        <v>478</v>
      </c>
      <c r="C481">
        <v>146.0635283</v>
      </c>
      <c r="D481">
        <v>-17.533631589999999</v>
      </c>
      <c r="G481" s="75">
        <v>100</v>
      </c>
      <c r="H481" s="75" t="s">
        <v>26</v>
      </c>
      <c r="I481" t="str">
        <f t="shared" si="7"/>
        <v>X</v>
      </c>
      <c r="J481" s="76"/>
      <c r="K481" s="77"/>
      <c r="L481" s="77"/>
      <c r="M481" s="77"/>
      <c r="N481" s="77"/>
      <c r="O481" s="78"/>
      <c r="P481" s="78"/>
      <c r="Q481" s="78"/>
      <c r="R481" s="78"/>
      <c r="V481" s="79"/>
      <c r="W481" s="78"/>
    </row>
    <row r="482" spans="1:23" s="75" customFormat="1" hidden="1" x14ac:dyDescent="0.35">
      <c r="A482" s="75">
        <v>478</v>
      </c>
      <c r="B482" s="75">
        <v>479</v>
      </c>
      <c r="C482">
        <v>146.06361380000001</v>
      </c>
      <c r="D482">
        <v>-17.533671340000001</v>
      </c>
      <c r="G482" s="75">
        <v>100</v>
      </c>
      <c r="H482" s="75" t="s">
        <v>26</v>
      </c>
      <c r="I482" t="str">
        <f t="shared" si="7"/>
        <v>X</v>
      </c>
      <c r="J482" s="76"/>
      <c r="K482" s="77"/>
      <c r="L482" s="77"/>
      <c r="M482" s="77"/>
      <c r="N482" s="77"/>
      <c r="O482" s="78"/>
      <c r="P482" s="78"/>
      <c r="Q482" s="78"/>
      <c r="R482" s="78"/>
      <c r="V482" s="79"/>
      <c r="W482" s="78"/>
    </row>
    <row r="483" spans="1:23" s="75" customFormat="1" hidden="1" x14ac:dyDescent="0.35">
      <c r="A483" s="75">
        <v>479</v>
      </c>
      <c r="B483" s="75">
        <v>480</v>
      </c>
      <c r="C483">
        <v>146.06369900000001</v>
      </c>
      <c r="D483">
        <v>-17.5337119</v>
      </c>
      <c r="E483" s="75">
        <v>50</v>
      </c>
      <c r="G483" s="75">
        <v>100</v>
      </c>
      <c r="H483" s="75" t="s">
        <v>26</v>
      </c>
      <c r="I483" t="str">
        <f t="shared" si="7"/>
        <v>X</v>
      </c>
      <c r="J483" s="76"/>
      <c r="K483" s="77"/>
      <c r="L483" s="77"/>
      <c r="M483" s="77"/>
      <c r="N483" s="77"/>
      <c r="O483" s="78"/>
      <c r="P483" s="78"/>
      <c r="Q483" s="78"/>
      <c r="R483" s="78"/>
      <c r="V483" s="79"/>
      <c r="W483" s="78"/>
    </row>
    <row r="484" spans="1:23" s="75" customFormat="1" hidden="1" x14ac:dyDescent="0.35">
      <c r="A484" s="75">
        <v>480</v>
      </c>
      <c r="B484" s="75">
        <v>481</v>
      </c>
      <c r="C484">
        <v>146.06378409999999</v>
      </c>
      <c r="D484">
        <v>-17.533752459999999</v>
      </c>
      <c r="G484" s="75">
        <v>100</v>
      </c>
      <c r="H484" s="75" t="s">
        <v>26</v>
      </c>
      <c r="I484" t="str">
        <f t="shared" si="7"/>
        <v>X</v>
      </c>
      <c r="J484" s="76"/>
      <c r="K484" s="77"/>
      <c r="L484" s="77"/>
      <c r="M484" s="77"/>
      <c r="N484" s="77"/>
      <c r="O484" s="78"/>
      <c r="P484" s="78"/>
      <c r="Q484" s="78"/>
      <c r="R484" s="78"/>
      <c r="V484" s="79"/>
      <c r="W484" s="78"/>
    </row>
    <row r="485" spans="1:23" s="75" customFormat="1" hidden="1" x14ac:dyDescent="0.35">
      <c r="A485" s="75">
        <v>481</v>
      </c>
      <c r="B485" s="75">
        <v>482</v>
      </c>
      <c r="C485">
        <v>146.0638673</v>
      </c>
      <c r="D485">
        <v>-17.53379597</v>
      </c>
      <c r="G485" s="75">
        <v>100</v>
      </c>
      <c r="H485" s="75" t="s">
        <v>26</v>
      </c>
      <c r="I485" t="str">
        <f t="shared" si="7"/>
        <v>X</v>
      </c>
      <c r="J485" s="76"/>
      <c r="K485" s="77"/>
      <c r="L485" s="77"/>
      <c r="M485" s="77"/>
      <c r="N485" s="77"/>
      <c r="O485" s="78"/>
      <c r="P485" s="78"/>
      <c r="Q485" s="78"/>
      <c r="R485" s="78"/>
      <c r="V485" s="79"/>
      <c r="W485" s="78"/>
    </row>
    <row r="486" spans="1:23" s="75" customFormat="1" hidden="1" x14ac:dyDescent="0.35">
      <c r="A486" s="75">
        <v>482</v>
      </c>
      <c r="B486" s="75">
        <v>483</v>
      </c>
      <c r="C486">
        <v>146.0639381</v>
      </c>
      <c r="D486">
        <v>-17.533858240000001</v>
      </c>
      <c r="G486" s="75">
        <v>100</v>
      </c>
      <c r="H486" s="75" t="s">
        <v>26</v>
      </c>
      <c r="I486" t="str">
        <f t="shared" si="7"/>
        <v>X</v>
      </c>
      <c r="J486" s="76"/>
      <c r="K486" s="77"/>
      <c r="L486" s="77"/>
      <c r="M486" s="77"/>
      <c r="N486" s="77"/>
      <c r="O486" s="78"/>
      <c r="P486" s="78"/>
      <c r="Q486" s="78"/>
      <c r="R486" s="78"/>
      <c r="V486" s="79"/>
      <c r="W486" s="78"/>
    </row>
    <row r="487" spans="1:23" s="75" customFormat="1" hidden="1" x14ac:dyDescent="0.35">
      <c r="A487" s="75">
        <v>483</v>
      </c>
      <c r="B487" s="75">
        <v>484</v>
      </c>
      <c r="C487">
        <v>146.0640089</v>
      </c>
      <c r="D487">
        <v>-17.533920510000002</v>
      </c>
      <c r="G487" s="75">
        <v>100</v>
      </c>
      <c r="H487" s="75" t="s">
        <v>26</v>
      </c>
      <c r="I487" t="str">
        <f t="shared" si="7"/>
        <v>X</v>
      </c>
      <c r="J487" s="76"/>
      <c r="K487" s="77"/>
      <c r="L487" s="77"/>
      <c r="M487" s="77"/>
      <c r="N487" s="77"/>
      <c r="O487" s="78"/>
      <c r="P487" s="78"/>
      <c r="Q487" s="78"/>
      <c r="R487" s="78"/>
      <c r="V487" s="79"/>
      <c r="W487" s="78"/>
    </row>
    <row r="488" spans="1:23" s="75" customFormat="1" hidden="1" x14ac:dyDescent="0.35">
      <c r="A488" s="75">
        <v>484</v>
      </c>
      <c r="B488" s="75">
        <v>485</v>
      </c>
      <c r="C488">
        <v>146.0640788</v>
      </c>
      <c r="D488">
        <v>-17.533983719999998</v>
      </c>
      <c r="E488" s="75">
        <v>50</v>
      </c>
      <c r="G488" s="75">
        <v>100</v>
      </c>
      <c r="H488" s="75" t="s">
        <v>26</v>
      </c>
      <c r="I488" t="str">
        <f t="shared" si="7"/>
        <v>X</v>
      </c>
      <c r="J488" s="76"/>
      <c r="K488" s="77"/>
      <c r="L488" s="77"/>
      <c r="M488" s="77"/>
      <c r="N488" s="77"/>
      <c r="O488" s="78"/>
      <c r="P488" s="78"/>
      <c r="Q488" s="78"/>
      <c r="R488" s="78"/>
      <c r="V488" s="79"/>
      <c r="W488" s="78"/>
    </row>
    <row r="489" spans="1:23" s="75" customFormat="1" hidden="1" x14ac:dyDescent="0.35">
      <c r="A489" s="75">
        <v>485</v>
      </c>
      <c r="B489" s="75">
        <v>486</v>
      </c>
      <c r="C489">
        <v>146.06413950000001</v>
      </c>
      <c r="D489">
        <v>-17.53405592</v>
      </c>
      <c r="G489" s="75">
        <v>100</v>
      </c>
      <c r="H489" s="75" t="s">
        <v>26</v>
      </c>
      <c r="I489" t="str">
        <f t="shared" si="7"/>
        <v>X</v>
      </c>
      <c r="J489" s="76"/>
      <c r="K489" s="77"/>
      <c r="L489" s="77"/>
      <c r="M489" s="77"/>
      <c r="N489" s="77"/>
      <c r="O489" s="78"/>
      <c r="P489" s="78"/>
      <c r="Q489" s="78"/>
      <c r="R489" s="78"/>
      <c r="V489" s="79"/>
      <c r="W489" s="78"/>
    </row>
    <row r="490" spans="1:23" s="75" customFormat="1" hidden="1" x14ac:dyDescent="0.35">
      <c r="A490" s="75">
        <v>486</v>
      </c>
      <c r="B490" s="75">
        <v>487</v>
      </c>
      <c r="C490">
        <v>146.06420009999999</v>
      </c>
      <c r="D490">
        <v>-17.534128119999998</v>
      </c>
      <c r="G490" s="75">
        <v>100</v>
      </c>
      <c r="H490" s="75" t="s">
        <v>26</v>
      </c>
      <c r="I490" t="str">
        <f t="shared" si="7"/>
        <v>X</v>
      </c>
      <c r="J490" s="76"/>
      <c r="K490" s="77"/>
      <c r="L490" s="77"/>
      <c r="M490" s="77"/>
      <c r="N490" s="77"/>
      <c r="O490" s="78"/>
      <c r="P490" s="78"/>
      <c r="Q490" s="78"/>
      <c r="R490" s="78"/>
      <c r="V490" s="79"/>
      <c r="W490" s="78"/>
    </row>
    <row r="491" spans="1:23" s="75" customFormat="1" hidden="1" x14ac:dyDescent="0.35">
      <c r="A491" s="75">
        <v>487</v>
      </c>
      <c r="B491" s="75">
        <v>488</v>
      </c>
      <c r="C491">
        <v>146.0642608</v>
      </c>
      <c r="D491">
        <v>-17.534200330000001</v>
      </c>
      <c r="G491" s="75">
        <v>100</v>
      </c>
      <c r="H491" s="75" t="s">
        <v>26</v>
      </c>
      <c r="I491" t="str">
        <f t="shared" si="7"/>
        <v>X</v>
      </c>
      <c r="J491" s="76"/>
      <c r="K491" s="77"/>
      <c r="L491" s="77"/>
      <c r="M491" s="77"/>
      <c r="N491" s="77"/>
      <c r="O491" s="78"/>
      <c r="P491" s="78"/>
      <c r="Q491" s="78"/>
      <c r="R491" s="78"/>
      <c r="V491" s="79"/>
      <c r="W491" s="78"/>
    </row>
    <row r="492" spans="1:23" s="75" customFormat="1" hidden="1" x14ac:dyDescent="0.35">
      <c r="A492" s="75">
        <v>488</v>
      </c>
      <c r="B492" s="75">
        <v>489</v>
      </c>
      <c r="C492">
        <v>146.06431140000001</v>
      </c>
      <c r="D492">
        <v>-17.534279779999999</v>
      </c>
      <c r="G492" s="75">
        <v>100</v>
      </c>
      <c r="H492" s="75" t="s">
        <v>26</v>
      </c>
      <c r="I492" t="str">
        <f t="shared" si="7"/>
        <v>X</v>
      </c>
      <c r="J492" s="76"/>
      <c r="K492" s="77"/>
      <c r="L492" s="77"/>
      <c r="M492" s="77"/>
      <c r="N492" s="77"/>
      <c r="O492" s="78"/>
      <c r="P492" s="78"/>
      <c r="Q492" s="78"/>
      <c r="R492" s="78"/>
      <c r="V492" s="79"/>
      <c r="W492" s="78"/>
    </row>
    <row r="493" spans="1:23" s="75" customFormat="1" hidden="1" x14ac:dyDescent="0.35">
      <c r="A493" s="75">
        <v>489</v>
      </c>
      <c r="B493" s="75">
        <v>490</v>
      </c>
      <c r="C493">
        <v>146.0643609</v>
      </c>
      <c r="D493">
        <v>-17.534360039999999</v>
      </c>
      <c r="E493" s="75">
        <v>50</v>
      </c>
      <c r="G493" s="75">
        <v>100</v>
      </c>
      <c r="H493" s="75" t="s">
        <v>26</v>
      </c>
      <c r="I493" t="str">
        <f t="shared" si="7"/>
        <v>X</v>
      </c>
      <c r="J493" s="76"/>
      <c r="K493" s="77"/>
      <c r="L493" s="77"/>
      <c r="M493" s="77"/>
      <c r="N493" s="77"/>
      <c r="O493" s="78"/>
      <c r="P493" s="78"/>
      <c r="Q493" s="78"/>
      <c r="R493" s="78"/>
      <c r="V493" s="79"/>
      <c r="W493" s="78"/>
    </row>
    <row r="494" spans="1:23" s="75" customFormat="1" hidden="1" x14ac:dyDescent="0.35">
      <c r="A494" s="75">
        <v>490</v>
      </c>
      <c r="B494" s="75">
        <v>491</v>
      </c>
      <c r="C494">
        <v>146.06441050000001</v>
      </c>
      <c r="D494">
        <v>-17.534440289999999</v>
      </c>
      <c r="G494" s="75">
        <v>100</v>
      </c>
      <c r="H494" s="75" t="s">
        <v>26</v>
      </c>
      <c r="I494" t="str">
        <f t="shared" si="7"/>
        <v>X</v>
      </c>
      <c r="J494" s="76"/>
      <c r="K494" s="77"/>
      <c r="L494" s="77"/>
      <c r="M494" s="77"/>
      <c r="N494" s="77"/>
      <c r="O494" s="78"/>
      <c r="P494" s="78"/>
      <c r="Q494" s="78"/>
      <c r="R494" s="78"/>
      <c r="V494" s="79"/>
      <c r="W494" s="78"/>
    </row>
    <row r="495" spans="1:23" s="75" customFormat="1" hidden="1" x14ac:dyDescent="0.35">
      <c r="A495" s="75">
        <v>491</v>
      </c>
      <c r="B495" s="75">
        <v>492</v>
      </c>
      <c r="C495">
        <v>146.06444049999999</v>
      </c>
      <c r="D495">
        <v>-17.534528330000001</v>
      </c>
      <c r="G495" s="75">
        <v>100</v>
      </c>
      <c r="H495" s="75" t="s">
        <v>26</v>
      </c>
      <c r="I495" t="str">
        <f t="shared" si="7"/>
        <v>X</v>
      </c>
      <c r="J495" s="76"/>
      <c r="K495" s="77"/>
      <c r="L495" s="77"/>
      <c r="M495" s="77"/>
      <c r="N495" s="77"/>
      <c r="O495" s="78"/>
      <c r="P495" s="78"/>
      <c r="Q495" s="78"/>
      <c r="R495" s="78"/>
      <c r="V495" s="79"/>
      <c r="W495" s="78"/>
    </row>
    <row r="496" spans="1:23" s="75" customFormat="1" hidden="1" x14ac:dyDescent="0.35">
      <c r="A496" s="75">
        <v>492</v>
      </c>
      <c r="B496" s="75">
        <v>493</v>
      </c>
      <c r="C496">
        <v>146.0644599</v>
      </c>
      <c r="D496">
        <v>-17.534620619999998</v>
      </c>
      <c r="G496" s="75">
        <v>100</v>
      </c>
      <c r="H496" s="75" t="s">
        <v>26</v>
      </c>
      <c r="I496" t="str">
        <f t="shared" si="7"/>
        <v>X</v>
      </c>
      <c r="J496" s="76"/>
      <c r="K496" s="77"/>
      <c r="L496" s="77"/>
      <c r="M496" s="77"/>
      <c r="N496" s="77"/>
      <c r="O496" s="78"/>
      <c r="P496" s="78"/>
      <c r="Q496" s="78"/>
      <c r="R496" s="78"/>
      <c r="V496" s="79"/>
      <c r="W496" s="78"/>
    </row>
    <row r="497" spans="1:23" s="75" customFormat="1" hidden="1" x14ac:dyDescent="0.35">
      <c r="A497" s="75">
        <v>493</v>
      </c>
      <c r="B497" s="75">
        <v>494</v>
      </c>
      <c r="C497">
        <v>146.06447919999999</v>
      </c>
      <c r="D497">
        <v>-17.53471291</v>
      </c>
      <c r="G497" s="75">
        <v>100</v>
      </c>
      <c r="H497" s="75" t="s">
        <v>26</v>
      </c>
      <c r="I497" t="str">
        <f t="shared" si="7"/>
        <v>X</v>
      </c>
      <c r="J497" s="76"/>
      <c r="K497" s="77"/>
      <c r="L497" s="77"/>
      <c r="M497" s="77"/>
      <c r="N497" s="77"/>
      <c r="O497" s="78"/>
      <c r="P497" s="78"/>
      <c r="Q497" s="78"/>
      <c r="R497" s="78"/>
      <c r="V497" s="79"/>
      <c r="W497" s="78"/>
    </row>
    <row r="498" spans="1:23" s="75" customFormat="1" hidden="1" x14ac:dyDescent="0.35">
      <c r="A498" s="75">
        <v>494</v>
      </c>
      <c r="B498" s="75">
        <v>495</v>
      </c>
      <c r="C498">
        <v>146.06449860000001</v>
      </c>
      <c r="D498">
        <v>-17.534805200000001</v>
      </c>
      <c r="E498" s="75">
        <v>50</v>
      </c>
      <c r="G498" s="75">
        <v>100</v>
      </c>
      <c r="H498" s="75" t="s">
        <v>26</v>
      </c>
      <c r="I498" t="str">
        <f t="shared" si="7"/>
        <v>X</v>
      </c>
      <c r="J498" s="76"/>
      <c r="K498" s="77"/>
      <c r="L498" s="77"/>
      <c r="M498" s="77"/>
      <c r="N498" s="77"/>
      <c r="O498" s="78"/>
      <c r="P498" s="78"/>
      <c r="Q498" s="78"/>
      <c r="R498" s="78"/>
      <c r="V498" s="79"/>
      <c r="W498" s="78"/>
    </row>
    <row r="499" spans="1:23" s="75" customFormat="1" hidden="1" x14ac:dyDescent="0.35">
      <c r="A499" s="75">
        <v>495</v>
      </c>
      <c r="B499" s="75">
        <v>496</v>
      </c>
      <c r="C499">
        <v>146.06451430000001</v>
      </c>
      <c r="D499">
        <v>-17.53489798</v>
      </c>
      <c r="G499" s="75">
        <v>100</v>
      </c>
      <c r="H499" s="75" t="s">
        <v>26</v>
      </c>
      <c r="I499" t="str">
        <f t="shared" si="7"/>
        <v>X</v>
      </c>
      <c r="J499" s="76"/>
      <c r="K499" s="77"/>
      <c r="L499" s="77"/>
      <c r="M499" s="77"/>
      <c r="N499" s="77"/>
      <c r="O499" s="78"/>
      <c r="P499" s="78"/>
      <c r="Q499" s="78"/>
      <c r="R499" s="78"/>
      <c r="V499" s="79"/>
      <c r="W499" s="78"/>
    </row>
    <row r="500" spans="1:23" s="75" customFormat="1" hidden="1" x14ac:dyDescent="0.35">
      <c r="A500" s="75">
        <v>496</v>
      </c>
      <c r="B500" s="75">
        <v>497</v>
      </c>
      <c r="C500">
        <v>146.06451939999999</v>
      </c>
      <c r="D500">
        <v>-17.53499214</v>
      </c>
      <c r="G500" s="75">
        <v>100</v>
      </c>
      <c r="H500" s="75" t="s">
        <v>26</v>
      </c>
      <c r="I500" t="str">
        <f t="shared" si="7"/>
        <v>X</v>
      </c>
      <c r="J500" s="76"/>
      <c r="K500" s="77"/>
      <c r="L500" s="77"/>
      <c r="M500" s="77"/>
      <c r="N500" s="77"/>
      <c r="O500" s="78"/>
      <c r="P500" s="78"/>
      <c r="Q500" s="78"/>
      <c r="R500" s="78"/>
      <c r="V500" s="79"/>
      <c r="W500" s="78"/>
    </row>
    <row r="501" spans="1:23" s="75" customFormat="1" hidden="1" x14ac:dyDescent="0.35">
      <c r="A501" s="75">
        <v>497</v>
      </c>
      <c r="B501" s="75">
        <v>498</v>
      </c>
      <c r="C501">
        <v>146.06452300000001</v>
      </c>
      <c r="D501">
        <v>-17.53508635</v>
      </c>
      <c r="G501" s="75">
        <v>100</v>
      </c>
      <c r="H501" s="75" t="s">
        <v>26</v>
      </c>
      <c r="I501" t="str">
        <f t="shared" si="7"/>
        <v>X</v>
      </c>
      <c r="J501" s="76"/>
      <c r="K501" s="77"/>
      <c r="L501" s="77"/>
      <c r="M501" s="77"/>
      <c r="N501" s="77"/>
      <c r="O501" s="78"/>
      <c r="P501" s="78"/>
      <c r="Q501" s="78"/>
      <c r="R501" s="78"/>
      <c r="V501" s="79"/>
      <c r="W501" s="78"/>
    </row>
    <row r="502" spans="1:23" s="75" customFormat="1" hidden="1" x14ac:dyDescent="0.35">
      <c r="A502" s="75">
        <v>498</v>
      </c>
      <c r="B502" s="75">
        <v>499</v>
      </c>
      <c r="C502">
        <v>146.0645227</v>
      </c>
      <c r="D502">
        <v>-17.535180650000001</v>
      </c>
      <c r="G502" s="75">
        <v>100</v>
      </c>
      <c r="H502" s="75" t="s">
        <v>26</v>
      </c>
      <c r="I502" t="str">
        <f t="shared" si="7"/>
        <v>X</v>
      </c>
      <c r="J502" s="76"/>
      <c r="K502" s="77"/>
      <c r="L502" s="77"/>
      <c r="M502" s="77"/>
      <c r="N502" s="77"/>
      <c r="O502" s="78"/>
      <c r="P502" s="78"/>
      <c r="Q502" s="78"/>
      <c r="R502" s="78"/>
      <c r="V502" s="79"/>
      <c r="W502" s="78"/>
    </row>
    <row r="503" spans="1:23" s="75" customFormat="1" hidden="1" x14ac:dyDescent="0.35">
      <c r="A503" s="75">
        <v>499</v>
      </c>
      <c r="B503" s="75">
        <v>500</v>
      </c>
      <c r="C503">
        <v>146.06452239999999</v>
      </c>
      <c r="D503">
        <v>-17.535274950000002</v>
      </c>
      <c r="E503" s="75">
        <v>50</v>
      </c>
      <c r="G503" s="75">
        <v>100</v>
      </c>
      <c r="H503" s="75" t="s">
        <v>26</v>
      </c>
      <c r="I503" t="str">
        <f t="shared" si="7"/>
        <v>X</v>
      </c>
      <c r="J503" s="76"/>
      <c r="K503" s="77"/>
      <c r="L503" s="77"/>
      <c r="M503" s="77"/>
      <c r="N503" s="77"/>
      <c r="O503" s="78"/>
      <c r="P503" s="78"/>
      <c r="Q503" s="78"/>
      <c r="R503" s="78"/>
      <c r="V503" s="79"/>
      <c r="W503" s="78"/>
    </row>
    <row r="504" spans="1:23" s="75" customFormat="1" hidden="1" x14ac:dyDescent="0.35">
      <c r="A504" s="75">
        <v>500</v>
      </c>
      <c r="B504" s="75">
        <v>501</v>
      </c>
      <c r="C504">
        <v>146.06452200000001</v>
      </c>
      <c r="D504">
        <v>-17.53536926</v>
      </c>
      <c r="G504" s="75">
        <v>100</v>
      </c>
      <c r="H504" s="75" t="s">
        <v>26</v>
      </c>
      <c r="I504" t="str">
        <f t="shared" si="7"/>
        <v>X</v>
      </c>
      <c r="J504" s="76"/>
      <c r="K504" s="77"/>
      <c r="L504" s="77"/>
      <c r="M504" s="77"/>
      <c r="N504" s="77"/>
      <c r="O504" s="78"/>
      <c r="P504" s="78"/>
      <c r="Q504" s="78"/>
      <c r="R504" s="78"/>
      <c r="V504" s="79"/>
      <c r="W504" s="78"/>
    </row>
    <row r="505" spans="1:23" s="75" customFormat="1" hidden="1" x14ac:dyDescent="0.35">
      <c r="A505" s="75">
        <v>501</v>
      </c>
      <c r="B505" s="75">
        <v>502</v>
      </c>
      <c r="C505">
        <v>146.0645217</v>
      </c>
      <c r="D505">
        <v>-17.53546356</v>
      </c>
      <c r="G505" s="75">
        <v>100</v>
      </c>
      <c r="H505" s="75" t="s">
        <v>26</v>
      </c>
      <c r="I505" t="str">
        <f t="shared" si="7"/>
        <v>X</v>
      </c>
      <c r="J505" s="76"/>
      <c r="K505" s="77"/>
      <c r="L505" s="77"/>
      <c r="M505" s="77"/>
      <c r="N505" s="77"/>
      <c r="O505" s="78"/>
      <c r="P505" s="78"/>
      <c r="Q505" s="78"/>
      <c r="R505" s="78"/>
      <c r="V505" s="79"/>
      <c r="W505" s="78"/>
    </row>
    <row r="506" spans="1:23" s="75" customFormat="1" hidden="1" x14ac:dyDescent="0.35">
      <c r="A506" s="75">
        <v>502</v>
      </c>
      <c r="B506" s="75">
        <v>503</v>
      </c>
      <c r="C506">
        <v>146.06455460000001</v>
      </c>
      <c r="D506">
        <v>-17.535551909999999</v>
      </c>
      <c r="G506" s="75">
        <v>100</v>
      </c>
      <c r="H506" s="75" t="s">
        <v>26</v>
      </c>
      <c r="I506" t="str">
        <f t="shared" si="7"/>
        <v>X</v>
      </c>
      <c r="J506" s="76"/>
      <c r="K506" s="77"/>
      <c r="L506" s="77"/>
      <c r="M506" s="77"/>
      <c r="N506" s="77"/>
      <c r="O506" s="78"/>
      <c r="P506" s="78"/>
      <c r="Q506" s="78"/>
      <c r="R506" s="78"/>
      <c r="V506" s="79"/>
      <c r="W506" s="78"/>
    </row>
    <row r="507" spans="1:23" s="75" customFormat="1" hidden="1" x14ac:dyDescent="0.35">
      <c r="A507" s="75">
        <v>503</v>
      </c>
      <c r="B507" s="75">
        <v>504</v>
      </c>
      <c r="C507">
        <v>146.0645877</v>
      </c>
      <c r="D507">
        <v>-17.535640239999999</v>
      </c>
      <c r="G507" s="75">
        <v>100</v>
      </c>
      <c r="H507" s="75" t="s">
        <v>26</v>
      </c>
      <c r="I507" t="str">
        <f t="shared" si="7"/>
        <v>X</v>
      </c>
      <c r="J507" s="76"/>
      <c r="K507" s="77"/>
      <c r="L507" s="77"/>
      <c r="M507" s="77"/>
      <c r="N507" s="77"/>
      <c r="O507" s="78"/>
      <c r="P507" s="78"/>
      <c r="Q507" s="78"/>
      <c r="R507" s="78"/>
      <c r="V507" s="79"/>
      <c r="W507" s="78"/>
    </row>
    <row r="508" spans="1:23" s="75" customFormat="1" hidden="1" x14ac:dyDescent="0.35">
      <c r="A508" s="75">
        <v>504</v>
      </c>
      <c r="B508" s="75">
        <v>505</v>
      </c>
      <c r="C508">
        <v>146.06461809999999</v>
      </c>
      <c r="D508">
        <v>-17.535729440000001</v>
      </c>
      <c r="E508" s="75">
        <v>50</v>
      </c>
      <c r="G508" s="75">
        <v>100</v>
      </c>
      <c r="H508" s="75" t="s">
        <v>26</v>
      </c>
      <c r="I508" t="str">
        <f t="shared" si="7"/>
        <v>X</v>
      </c>
      <c r="J508" s="76"/>
      <c r="K508" s="77"/>
      <c r="L508" s="77"/>
      <c r="M508" s="77"/>
      <c r="N508" s="77"/>
      <c r="O508" s="78"/>
      <c r="P508" s="78"/>
      <c r="Q508" s="78"/>
      <c r="R508" s="78"/>
      <c r="V508" s="79"/>
      <c r="W508" s="78"/>
    </row>
    <row r="509" spans="1:23" s="75" customFormat="1" hidden="1" x14ac:dyDescent="0.35">
      <c r="A509" s="75">
        <v>505</v>
      </c>
      <c r="B509" s="75">
        <v>506</v>
      </c>
      <c r="C509">
        <v>146.06464460000001</v>
      </c>
      <c r="D509">
        <v>-17.535819929999999</v>
      </c>
      <c r="G509" s="75">
        <v>100</v>
      </c>
      <c r="H509" s="75" t="s">
        <v>26</v>
      </c>
      <c r="I509" t="str">
        <f t="shared" si="7"/>
        <v>X</v>
      </c>
      <c r="J509" s="76"/>
      <c r="K509" s="77"/>
      <c r="L509" s="77"/>
      <c r="M509" s="77"/>
      <c r="N509" s="77"/>
      <c r="O509" s="78"/>
      <c r="P509" s="78"/>
      <c r="Q509" s="78"/>
      <c r="R509" s="78"/>
      <c r="V509" s="79"/>
      <c r="W509" s="78"/>
    </row>
    <row r="510" spans="1:23" s="75" customFormat="1" hidden="1" x14ac:dyDescent="0.35">
      <c r="A510" s="75">
        <v>506</v>
      </c>
      <c r="B510" s="75">
        <v>507</v>
      </c>
      <c r="C510">
        <v>146.06467119999999</v>
      </c>
      <c r="D510">
        <v>-17.53591041</v>
      </c>
      <c r="G510" s="75">
        <v>100</v>
      </c>
      <c r="H510" s="75" t="s">
        <v>26</v>
      </c>
      <c r="I510" t="str">
        <f t="shared" si="7"/>
        <v>X</v>
      </c>
      <c r="J510" s="76"/>
      <c r="K510" s="77"/>
      <c r="L510" s="77"/>
      <c r="M510" s="77"/>
      <c r="N510" s="77"/>
      <c r="O510" s="78"/>
      <c r="P510" s="78"/>
      <c r="Q510" s="78"/>
      <c r="R510" s="78"/>
      <c r="V510" s="79"/>
      <c r="W510" s="78"/>
    </row>
    <row r="511" spans="1:23" s="75" customFormat="1" hidden="1" x14ac:dyDescent="0.35">
      <c r="A511" s="75">
        <v>507</v>
      </c>
      <c r="B511" s="75">
        <v>508</v>
      </c>
      <c r="C511">
        <v>146.06464199999999</v>
      </c>
      <c r="D511">
        <v>-17.535999950000001</v>
      </c>
      <c r="G511" s="75">
        <v>100</v>
      </c>
      <c r="H511" s="75" t="s">
        <v>26</v>
      </c>
      <c r="I511" t="str">
        <f t="shared" si="7"/>
        <v>X</v>
      </c>
      <c r="J511" s="76"/>
      <c r="K511" s="77"/>
      <c r="L511" s="77"/>
      <c r="M511" s="77"/>
      <c r="N511" s="77"/>
      <c r="O511" s="78"/>
      <c r="P511" s="78"/>
      <c r="Q511" s="78"/>
      <c r="R511" s="78"/>
      <c r="V511" s="79"/>
      <c r="W511" s="78"/>
    </row>
    <row r="512" spans="1:23" s="75" customFormat="1" hidden="1" x14ac:dyDescent="0.35">
      <c r="A512" s="75">
        <v>508</v>
      </c>
      <c r="B512" s="75">
        <v>509</v>
      </c>
      <c r="C512">
        <v>146.0646069</v>
      </c>
      <c r="D512">
        <v>-17.53608612</v>
      </c>
      <c r="G512" s="75">
        <v>100</v>
      </c>
      <c r="H512" s="75" t="s">
        <v>26</v>
      </c>
      <c r="I512" t="str">
        <f t="shared" si="7"/>
        <v>X</v>
      </c>
      <c r="J512" s="76"/>
      <c r="K512" s="77"/>
      <c r="L512" s="77"/>
      <c r="M512" s="77"/>
      <c r="N512" s="77"/>
      <c r="O512" s="78"/>
      <c r="P512" s="78"/>
      <c r="Q512" s="78"/>
      <c r="R512" s="78"/>
      <c r="V512" s="79"/>
      <c r="W512" s="78"/>
    </row>
    <row r="513" spans="1:23" s="75" customFormat="1" hidden="1" x14ac:dyDescent="0.35">
      <c r="A513" s="75">
        <v>509</v>
      </c>
      <c r="B513" s="75">
        <v>510</v>
      </c>
      <c r="C513">
        <v>146.06454070000001</v>
      </c>
      <c r="D513">
        <v>-17.536153259999999</v>
      </c>
      <c r="E513" s="75">
        <v>50</v>
      </c>
      <c r="G513" s="75">
        <v>100</v>
      </c>
      <c r="H513" s="75" t="s">
        <v>26</v>
      </c>
      <c r="I513" t="str">
        <f t="shared" si="7"/>
        <v>X</v>
      </c>
      <c r="J513" s="76"/>
      <c r="K513" s="77"/>
      <c r="L513" s="77"/>
      <c r="M513" s="77"/>
      <c r="N513" s="77"/>
      <c r="O513" s="78"/>
      <c r="P513" s="78"/>
      <c r="Q513" s="78"/>
      <c r="R513" s="78"/>
      <c r="V513" s="79"/>
      <c r="W513" s="78"/>
    </row>
    <row r="514" spans="1:23" s="75" customFormat="1" hidden="1" x14ac:dyDescent="0.35">
      <c r="A514" s="75">
        <v>510</v>
      </c>
      <c r="B514" s="75">
        <v>511</v>
      </c>
      <c r="C514">
        <v>146.06447420000001</v>
      </c>
      <c r="D514">
        <v>-17.536220019999998</v>
      </c>
      <c r="G514" s="75">
        <v>100</v>
      </c>
      <c r="H514" s="75" t="s">
        <v>26</v>
      </c>
      <c r="I514" t="str">
        <f t="shared" si="7"/>
        <v>X</v>
      </c>
      <c r="J514" s="76"/>
      <c r="K514" s="77"/>
      <c r="L514" s="77"/>
      <c r="M514" s="77"/>
      <c r="N514" s="77"/>
      <c r="O514" s="78"/>
      <c r="P514" s="78"/>
      <c r="Q514" s="78"/>
      <c r="R514" s="78"/>
      <c r="V514" s="79"/>
      <c r="W514" s="78"/>
    </row>
    <row r="515" spans="1:23" s="75" customFormat="1" hidden="1" x14ac:dyDescent="0.35">
      <c r="A515" s="75">
        <v>511</v>
      </c>
      <c r="B515" s="75">
        <v>512</v>
      </c>
      <c r="C515">
        <v>146.06439349999999</v>
      </c>
      <c r="D515">
        <v>-17.536268799999998</v>
      </c>
      <c r="G515" s="75">
        <v>100</v>
      </c>
      <c r="H515" s="75" t="s">
        <v>26</v>
      </c>
      <c r="I515" t="str">
        <f t="shared" si="7"/>
        <v>X</v>
      </c>
      <c r="J515" s="76"/>
      <c r="K515" s="77"/>
      <c r="L515" s="77"/>
      <c r="M515" s="77"/>
      <c r="N515" s="77"/>
      <c r="O515" s="78"/>
      <c r="P515" s="78"/>
      <c r="Q515" s="78"/>
      <c r="R515" s="78"/>
      <c r="V515" s="79"/>
      <c r="W515" s="78"/>
    </row>
    <row r="516" spans="1:23" s="75" customFormat="1" hidden="1" x14ac:dyDescent="0.35">
      <c r="A516" s="75">
        <v>512</v>
      </c>
      <c r="B516" s="75">
        <v>513</v>
      </c>
      <c r="C516">
        <v>146.06431280000001</v>
      </c>
      <c r="D516">
        <v>-17.536317579999999</v>
      </c>
      <c r="G516" s="75">
        <v>100</v>
      </c>
      <c r="H516" s="75" t="s">
        <v>26</v>
      </c>
      <c r="I516" t="str">
        <f t="shared" si="7"/>
        <v>X</v>
      </c>
      <c r="J516" s="76"/>
      <c r="K516" s="77"/>
      <c r="L516" s="77"/>
      <c r="M516" s="77"/>
      <c r="N516" s="77"/>
      <c r="O516" s="78"/>
      <c r="P516" s="78"/>
      <c r="Q516" s="78"/>
      <c r="R516" s="78"/>
      <c r="V516" s="79"/>
      <c r="W516" s="78"/>
    </row>
    <row r="517" spans="1:23" s="75" customFormat="1" hidden="1" x14ac:dyDescent="0.35">
      <c r="A517" s="75">
        <v>513</v>
      </c>
      <c r="B517" s="75">
        <v>514</v>
      </c>
      <c r="C517">
        <v>146.06422370000001</v>
      </c>
      <c r="D517">
        <v>-17.536345579999999</v>
      </c>
      <c r="G517" s="75">
        <v>100</v>
      </c>
      <c r="H517" s="75" t="s">
        <v>26</v>
      </c>
      <c r="I517" t="str">
        <f t="shared" ref="I517:I580" si="8">IF(H517="X","X",IF(J517="NA","X",IF(J517="","X",J517)))</f>
        <v>X</v>
      </c>
      <c r="J517" s="76"/>
      <c r="K517" s="77"/>
      <c r="L517" s="77"/>
      <c r="M517" s="77"/>
      <c r="N517" s="77"/>
      <c r="O517" s="78"/>
      <c r="P517" s="78"/>
      <c r="Q517" s="78"/>
      <c r="R517" s="78"/>
      <c r="V517" s="79"/>
      <c r="W517" s="78"/>
    </row>
    <row r="518" spans="1:23" s="75" customFormat="1" hidden="1" x14ac:dyDescent="0.35">
      <c r="A518" s="75">
        <v>514</v>
      </c>
      <c r="B518" s="75">
        <v>515</v>
      </c>
      <c r="C518">
        <v>146.06413169999999</v>
      </c>
      <c r="D518">
        <v>-17.53636629</v>
      </c>
      <c r="E518" s="75">
        <v>50</v>
      </c>
      <c r="G518" s="75">
        <v>100</v>
      </c>
      <c r="H518" s="75" t="s">
        <v>26</v>
      </c>
      <c r="I518" t="str">
        <f t="shared" si="8"/>
        <v>X</v>
      </c>
      <c r="J518" s="76"/>
      <c r="K518" s="77"/>
      <c r="L518" s="77"/>
      <c r="M518" s="77"/>
      <c r="N518" s="77"/>
      <c r="O518" s="78"/>
      <c r="P518" s="78"/>
      <c r="Q518" s="78"/>
      <c r="R518" s="78"/>
      <c r="V518" s="79"/>
      <c r="W518" s="78"/>
    </row>
    <row r="519" spans="1:23" s="75" customFormat="1" hidden="1" x14ac:dyDescent="0.35">
      <c r="A519" s="75">
        <v>515</v>
      </c>
      <c r="B519" s="75">
        <v>516</v>
      </c>
      <c r="C519">
        <v>146.06403890000001</v>
      </c>
      <c r="D519">
        <v>-17.536381599999999</v>
      </c>
      <c r="G519" s="75">
        <v>100</v>
      </c>
      <c r="H519" s="75" t="s">
        <v>26</v>
      </c>
      <c r="I519" t="str">
        <f t="shared" si="8"/>
        <v>X</v>
      </c>
      <c r="J519" s="76"/>
      <c r="K519" s="77"/>
      <c r="L519" s="77"/>
      <c r="M519" s="77"/>
      <c r="N519" s="77"/>
      <c r="O519" s="78"/>
      <c r="P519" s="78"/>
      <c r="Q519" s="78"/>
      <c r="R519" s="78"/>
      <c r="V519" s="79"/>
      <c r="W519" s="78"/>
    </row>
    <row r="520" spans="1:23" s="75" customFormat="1" hidden="1" x14ac:dyDescent="0.35">
      <c r="A520" s="75">
        <v>516</v>
      </c>
      <c r="B520" s="75">
        <v>517</v>
      </c>
      <c r="C520">
        <v>146.0639448</v>
      </c>
      <c r="D520">
        <v>-17.53638845</v>
      </c>
      <c r="G520" s="75">
        <v>100</v>
      </c>
      <c r="H520" s="75" t="s">
        <v>26</v>
      </c>
      <c r="I520" t="str">
        <f t="shared" si="8"/>
        <v>X</v>
      </c>
      <c r="J520" s="76"/>
      <c r="K520" s="77"/>
      <c r="L520" s="77"/>
      <c r="M520" s="77"/>
      <c r="N520" s="77"/>
      <c r="O520" s="78"/>
      <c r="P520" s="78"/>
      <c r="Q520" s="78"/>
      <c r="R520" s="78"/>
      <c r="V520" s="79"/>
      <c r="W520" s="78"/>
    </row>
    <row r="521" spans="1:23" s="75" customFormat="1" hidden="1" x14ac:dyDescent="0.35">
      <c r="A521" s="75">
        <v>517</v>
      </c>
      <c r="B521" s="75">
        <v>518</v>
      </c>
      <c r="C521">
        <v>146.06385080000001</v>
      </c>
      <c r="D521">
        <v>-17.536395299999999</v>
      </c>
      <c r="G521" s="75">
        <v>100</v>
      </c>
      <c r="H521" s="75" t="s">
        <v>26</v>
      </c>
      <c r="I521" t="str">
        <f t="shared" si="8"/>
        <v>X</v>
      </c>
      <c r="J521" s="76"/>
      <c r="K521" s="77"/>
      <c r="L521" s="77"/>
      <c r="M521" s="77"/>
      <c r="N521" s="77"/>
      <c r="O521" s="78"/>
      <c r="P521" s="78"/>
      <c r="Q521" s="78"/>
      <c r="R521" s="78"/>
      <c r="V521" s="79"/>
      <c r="W521" s="78"/>
    </row>
    <row r="522" spans="1:23" s="75" customFormat="1" hidden="1" x14ac:dyDescent="0.35">
      <c r="A522" s="75">
        <v>518</v>
      </c>
      <c r="B522" s="75">
        <v>519</v>
      </c>
      <c r="C522">
        <v>146.0637576</v>
      </c>
      <c r="D522">
        <v>-17.536409710000001</v>
      </c>
      <c r="G522" s="75">
        <v>100</v>
      </c>
      <c r="H522" s="75" t="s">
        <v>26</v>
      </c>
      <c r="I522" t="str">
        <f t="shared" si="8"/>
        <v>X</v>
      </c>
      <c r="J522" s="76"/>
      <c r="K522" s="77"/>
      <c r="L522" s="77"/>
      <c r="M522" s="77"/>
      <c r="N522" s="77"/>
      <c r="O522" s="78"/>
      <c r="P522" s="78"/>
      <c r="Q522" s="78"/>
      <c r="R522" s="78"/>
      <c r="V522" s="79"/>
      <c r="W522" s="78"/>
    </row>
    <row r="523" spans="1:23" s="75" customFormat="1" hidden="1" x14ac:dyDescent="0.35">
      <c r="A523" s="75">
        <v>519</v>
      </c>
      <c r="B523" s="75">
        <v>520</v>
      </c>
      <c r="C523">
        <v>146.06366460000001</v>
      </c>
      <c r="D523">
        <v>-17.536425349999998</v>
      </c>
      <c r="E523" s="75">
        <v>50</v>
      </c>
      <c r="G523" s="75">
        <v>100</v>
      </c>
      <c r="H523" s="75" t="s">
        <v>26</v>
      </c>
      <c r="I523" t="str">
        <f t="shared" si="8"/>
        <v>X</v>
      </c>
      <c r="J523" s="76"/>
      <c r="K523" s="77"/>
      <c r="L523" s="77"/>
      <c r="M523" s="77"/>
      <c r="N523" s="77"/>
      <c r="O523" s="78"/>
      <c r="P523" s="78"/>
      <c r="Q523" s="78"/>
      <c r="R523" s="78"/>
      <c r="V523" s="79"/>
      <c r="W523" s="78"/>
    </row>
    <row r="524" spans="1:23" s="75" customFormat="1" hidden="1" x14ac:dyDescent="0.35">
      <c r="A524" s="75">
        <v>520</v>
      </c>
      <c r="B524" s="75">
        <v>521</v>
      </c>
      <c r="C524">
        <v>146.06357120000001</v>
      </c>
      <c r="D524">
        <v>-17.536437509999999</v>
      </c>
      <c r="G524" s="75">
        <v>100</v>
      </c>
      <c r="H524" s="75" t="s">
        <v>26</v>
      </c>
      <c r="I524" t="str">
        <f t="shared" si="8"/>
        <v>X</v>
      </c>
      <c r="J524" s="76"/>
      <c r="K524" s="77"/>
      <c r="L524" s="77"/>
      <c r="M524" s="77"/>
      <c r="N524" s="77"/>
      <c r="O524" s="78"/>
      <c r="P524" s="78"/>
      <c r="Q524" s="78"/>
      <c r="R524" s="78"/>
      <c r="V524" s="79"/>
      <c r="W524" s="78"/>
    </row>
    <row r="525" spans="1:23" s="75" customFormat="1" hidden="1" x14ac:dyDescent="0.35">
      <c r="A525" s="75">
        <v>521</v>
      </c>
      <c r="B525" s="75">
        <v>522</v>
      </c>
      <c r="C525">
        <v>146.06347719999999</v>
      </c>
      <c r="D525">
        <v>-17.536444889999999</v>
      </c>
      <c r="G525" s="75">
        <v>100</v>
      </c>
      <c r="H525" s="75" t="s">
        <v>26</v>
      </c>
      <c r="I525" t="str">
        <f t="shared" si="8"/>
        <v>X</v>
      </c>
      <c r="J525" s="76"/>
      <c r="K525" s="77"/>
      <c r="L525" s="77"/>
      <c r="M525" s="77"/>
      <c r="N525" s="77"/>
      <c r="O525" s="78"/>
      <c r="P525" s="78"/>
      <c r="Q525" s="78"/>
      <c r="R525" s="78"/>
      <c r="V525" s="79"/>
      <c r="W525" s="78"/>
    </row>
    <row r="526" spans="1:23" s="75" customFormat="1" hidden="1" x14ac:dyDescent="0.35">
      <c r="A526" s="75">
        <v>522</v>
      </c>
      <c r="B526" s="75">
        <v>523</v>
      </c>
      <c r="C526">
        <v>146.0633832</v>
      </c>
      <c r="D526">
        <v>-17.536452260000001</v>
      </c>
      <c r="G526" s="75">
        <v>100</v>
      </c>
      <c r="H526" s="75" t="s">
        <v>26</v>
      </c>
      <c r="I526" t="str">
        <f t="shared" si="8"/>
        <v>X</v>
      </c>
      <c r="J526" s="76"/>
      <c r="K526" s="77"/>
      <c r="L526" s="77"/>
      <c r="M526" s="77"/>
      <c r="N526" s="77"/>
      <c r="O526" s="78"/>
      <c r="P526" s="78"/>
      <c r="Q526" s="78"/>
      <c r="R526" s="78"/>
      <c r="V526" s="79"/>
      <c r="W526" s="78"/>
    </row>
    <row r="527" spans="1:23" s="75" customFormat="1" hidden="1" x14ac:dyDescent="0.35">
      <c r="A527" s="75">
        <v>523</v>
      </c>
      <c r="B527" s="75">
        <v>524</v>
      </c>
      <c r="C527">
        <v>146.06328920000001</v>
      </c>
      <c r="D527">
        <v>-17.53645963</v>
      </c>
      <c r="G527" s="75">
        <v>100</v>
      </c>
      <c r="H527" s="75" t="s">
        <v>26</v>
      </c>
      <c r="I527" t="str">
        <f t="shared" si="8"/>
        <v>X</v>
      </c>
      <c r="J527" s="76"/>
      <c r="K527" s="77"/>
      <c r="L527" s="77"/>
      <c r="M527" s="77"/>
      <c r="N527" s="77"/>
      <c r="O527" s="78"/>
      <c r="P527" s="78"/>
      <c r="Q527" s="78"/>
      <c r="R527" s="78"/>
      <c r="V527" s="79"/>
      <c r="W527" s="78"/>
    </row>
    <row r="528" spans="1:23" s="75" customFormat="1" hidden="1" x14ac:dyDescent="0.35">
      <c r="A528" s="75">
        <v>524</v>
      </c>
      <c r="B528" s="75">
        <v>525</v>
      </c>
      <c r="C528">
        <v>146.06319590000001</v>
      </c>
      <c r="D528">
        <v>-17.53644779</v>
      </c>
      <c r="E528" s="75">
        <v>50</v>
      </c>
      <c r="G528" s="75">
        <v>100</v>
      </c>
      <c r="H528" s="75" t="s">
        <v>26</v>
      </c>
      <c r="I528" t="str">
        <f t="shared" si="8"/>
        <v>X</v>
      </c>
      <c r="J528" s="76"/>
      <c r="K528" s="77"/>
      <c r="L528" s="77"/>
      <c r="M528" s="77"/>
      <c r="N528" s="77"/>
      <c r="O528" s="78"/>
      <c r="P528" s="78"/>
      <c r="Q528" s="78"/>
      <c r="R528" s="78"/>
      <c r="V528" s="79"/>
      <c r="W528" s="78"/>
    </row>
    <row r="529" spans="1:23" s="75" customFormat="1" hidden="1" x14ac:dyDescent="0.35">
      <c r="A529" s="75">
        <v>525</v>
      </c>
      <c r="B529" s="75">
        <v>526</v>
      </c>
      <c r="C529">
        <v>146.0631028</v>
      </c>
      <c r="D529">
        <v>-17.536432730000001</v>
      </c>
      <c r="G529" s="75">
        <v>100</v>
      </c>
      <c r="H529" s="75" t="s">
        <v>26</v>
      </c>
      <c r="I529" t="str">
        <f t="shared" si="8"/>
        <v>X</v>
      </c>
      <c r="J529" s="76"/>
      <c r="K529" s="77"/>
      <c r="L529" s="77"/>
      <c r="M529" s="77"/>
      <c r="N529" s="77"/>
      <c r="O529" s="78"/>
      <c r="P529" s="78"/>
      <c r="Q529" s="78"/>
      <c r="R529" s="78"/>
      <c r="V529" s="79"/>
      <c r="W529" s="78"/>
    </row>
    <row r="530" spans="1:23" s="75" customFormat="1" hidden="1" x14ac:dyDescent="0.35">
      <c r="A530" s="75">
        <v>526</v>
      </c>
      <c r="B530" s="75">
        <v>527</v>
      </c>
      <c r="C530">
        <v>146.06300970000001</v>
      </c>
      <c r="D530">
        <v>-17.536417669999999</v>
      </c>
      <c r="G530" s="75">
        <v>100</v>
      </c>
      <c r="H530" s="75" t="s">
        <v>26</v>
      </c>
      <c r="I530" t="str">
        <f t="shared" si="8"/>
        <v>X</v>
      </c>
      <c r="J530" s="76"/>
      <c r="K530" s="77"/>
      <c r="L530" s="77"/>
      <c r="M530" s="77"/>
      <c r="N530" s="77"/>
      <c r="O530" s="78"/>
      <c r="P530" s="78"/>
      <c r="Q530" s="78"/>
      <c r="R530" s="78"/>
      <c r="V530" s="79"/>
      <c r="W530" s="78"/>
    </row>
    <row r="531" spans="1:23" s="75" customFormat="1" hidden="1" x14ac:dyDescent="0.35">
      <c r="A531" s="75">
        <v>527</v>
      </c>
      <c r="B531" s="75">
        <v>528</v>
      </c>
      <c r="C531">
        <v>146.06291630000001</v>
      </c>
      <c r="D531">
        <v>-17.536404730000001</v>
      </c>
      <c r="G531" s="75">
        <v>100</v>
      </c>
      <c r="H531" s="75" t="s">
        <v>26</v>
      </c>
      <c r="I531" t="str">
        <f t="shared" si="8"/>
        <v>X</v>
      </c>
      <c r="J531" s="76"/>
      <c r="K531" s="77"/>
      <c r="L531" s="77"/>
      <c r="M531" s="77"/>
      <c r="N531" s="77"/>
      <c r="O531" s="78"/>
      <c r="P531" s="78"/>
      <c r="Q531" s="78"/>
      <c r="R531" s="78"/>
      <c r="V531" s="79"/>
      <c r="W531" s="78"/>
    </row>
    <row r="532" spans="1:23" s="75" customFormat="1" hidden="1" x14ac:dyDescent="0.35">
      <c r="A532" s="75">
        <v>528</v>
      </c>
      <c r="B532" s="75">
        <v>529</v>
      </c>
      <c r="C532">
        <v>146.06282289999999</v>
      </c>
      <c r="D532">
        <v>-17.536392200000002</v>
      </c>
      <c r="G532" s="75">
        <v>100</v>
      </c>
      <c r="H532" s="75" t="s">
        <v>26</v>
      </c>
      <c r="I532" t="str">
        <f t="shared" si="8"/>
        <v>X</v>
      </c>
      <c r="J532" s="76"/>
      <c r="K532" s="77"/>
      <c r="L532" s="77"/>
      <c r="M532" s="77"/>
      <c r="N532" s="77"/>
      <c r="O532" s="78"/>
      <c r="P532" s="78"/>
      <c r="Q532" s="78"/>
      <c r="R532" s="78"/>
      <c r="V532" s="79"/>
      <c r="W532" s="78"/>
    </row>
    <row r="533" spans="1:23" s="75" customFormat="1" hidden="1" x14ac:dyDescent="0.35">
      <c r="A533" s="75">
        <v>529</v>
      </c>
      <c r="B533" s="75">
        <v>530</v>
      </c>
      <c r="C533">
        <v>146.06273659999999</v>
      </c>
      <c r="D533">
        <v>-17.536354249999999</v>
      </c>
      <c r="E533" s="75">
        <v>50</v>
      </c>
      <c r="G533" s="75">
        <v>100</v>
      </c>
      <c r="H533" s="75" t="s">
        <v>26</v>
      </c>
      <c r="I533" t="str">
        <f t="shared" si="8"/>
        <v>X</v>
      </c>
      <c r="J533" s="76"/>
      <c r="K533" s="77"/>
      <c r="L533" s="77"/>
      <c r="M533" s="77"/>
      <c r="N533" s="77"/>
      <c r="O533" s="78"/>
      <c r="P533" s="78"/>
      <c r="Q533" s="78"/>
      <c r="R533" s="78"/>
      <c r="V533" s="79"/>
      <c r="W533" s="78"/>
    </row>
    <row r="534" spans="1:23" s="75" customFormat="1" hidden="1" x14ac:dyDescent="0.35">
      <c r="A534" s="75">
        <v>530</v>
      </c>
      <c r="B534" s="75">
        <v>531</v>
      </c>
      <c r="C534">
        <v>146.0626589</v>
      </c>
      <c r="D534">
        <v>-17.536303799999999</v>
      </c>
      <c r="G534" s="75">
        <v>100</v>
      </c>
      <c r="H534" s="75" t="s">
        <v>26</v>
      </c>
      <c r="I534" t="str">
        <f t="shared" si="8"/>
        <v>X</v>
      </c>
      <c r="J534" s="76"/>
      <c r="K534" s="77"/>
      <c r="L534" s="77"/>
      <c r="M534" s="77"/>
      <c r="N534" s="77"/>
      <c r="O534" s="78"/>
      <c r="P534" s="78"/>
      <c r="Q534" s="78"/>
      <c r="R534" s="78"/>
      <c r="V534" s="79"/>
      <c r="W534" s="78"/>
    </row>
    <row r="535" spans="1:23" s="75" customFormat="1" hidden="1" x14ac:dyDescent="0.35">
      <c r="A535" s="75">
        <v>531</v>
      </c>
      <c r="B535" s="75">
        <v>532</v>
      </c>
      <c r="C535">
        <v>146.06259320000001</v>
      </c>
      <c r="D535">
        <v>-17.536236129999999</v>
      </c>
      <c r="G535" s="75">
        <v>100</v>
      </c>
      <c r="H535" s="75" t="s">
        <v>26</v>
      </c>
      <c r="I535" t="str">
        <f t="shared" si="8"/>
        <v>X</v>
      </c>
      <c r="J535" s="76"/>
      <c r="K535" s="77"/>
      <c r="L535" s="77"/>
      <c r="M535" s="77"/>
      <c r="N535" s="77"/>
      <c r="O535" s="78"/>
      <c r="P535" s="78"/>
      <c r="Q535" s="78"/>
      <c r="R535" s="78"/>
      <c r="V535" s="79"/>
      <c r="W535" s="78"/>
    </row>
    <row r="536" spans="1:23" s="75" customFormat="1" hidden="1" x14ac:dyDescent="0.35">
      <c r="A536" s="75">
        <v>532</v>
      </c>
      <c r="B536" s="75">
        <v>533</v>
      </c>
      <c r="C536">
        <v>146.06251330000001</v>
      </c>
      <c r="D536">
        <v>-17.536189889999999</v>
      </c>
      <c r="G536" s="75">
        <v>100</v>
      </c>
      <c r="H536" s="75" t="s">
        <v>26</v>
      </c>
      <c r="I536" t="str">
        <f t="shared" si="8"/>
        <v>X</v>
      </c>
      <c r="J536" s="76"/>
      <c r="K536" s="77"/>
      <c r="L536" s="77"/>
      <c r="M536" s="77"/>
      <c r="N536" s="77"/>
      <c r="O536" s="78"/>
      <c r="P536" s="78"/>
      <c r="Q536" s="78"/>
      <c r="R536" s="78"/>
      <c r="V536" s="79"/>
      <c r="W536" s="78"/>
    </row>
    <row r="537" spans="1:23" s="75" customFormat="1" hidden="1" x14ac:dyDescent="0.35">
      <c r="A537" s="75">
        <v>533</v>
      </c>
      <c r="B537" s="75">
        <v>534</v>
      </c>
      <c r="C537">
        <v>146.06242549999999</v>
      </c>
      <c r="D537">
        <v>-17.536155560000001</v>
      </c>
      <c r="G537" s="75">
        <v>100</v>
      </c>
      <c r="H537" s="75" t="s">
        <v>26</v>
      </c>
      <c r="I537" t="str">
        <f t="shared" si="8"/>
        <v>X</v>
      </c>
      <c r="J537" s="76"/>
      <c r="K537" s="77"/>
      <c r="L537" s="77"/>
      <c r="M537" s="77"/>
      <c r="N537" s="77"/>
      <c r="O537" s="78"/>
      <c r="P537" s="78"/>
      <c r="Q537" s="78"/>
      <c r="R537" s="78"/>
      <c r="V537" s="79"/>
      <c r="W537" s="78"/>
    </row>
    <row r="538" spans="1:23" s="75" customFormat="1" hidden="1" x14ac:dyDescent="0.35">
      <c r="A538" s="75">
        <v>534</v>
      </c>
      <c r="B538" s="75">
        <v>535</v>
      </c>
      <c r="C538">
        <v>146.06233760000001</v>
      </c>
      <c r="D538">
        <v>-17.53612124</v>
      </c>
      <c r="E538" s="75">
        <v>50</v>
      </c>
      <c r="G538" s="75">
        <v>100</v>
      </c>
      <c r="H538" s="75" t="s">
        <v>26</v>
      </c>
      <c r="I538" t="str">
        <f t="shared" si="8"/>
        <v>X</v>
      </c>
      <c r="J538" s="76"/>
      <c r="K538" s="77"/>
      <c r="L538" s="77"/>
      <c r="M538" s="77"/>
      <c r="N538" s="77"/>
      <c r="O538" s="78"/>
      <c r="P538" s="78"/>
      <c r="Q538" s="78"/>
      <c r="R538" s="78"/>
      <c r="V538" s="79"/>
      <c r="W538" s="78"/>
    </row>
    <row r="539" spans="1:23" s="75" customFormat="1" hidden="1" x14ac:dyDescent="0.35">
      <c r="A539" s="75">
        <v>535</v>
      </c>
      <c r="B539" s="75">
        <v>536</v>
      </c>
      <c r="C539">
        <v>146.0622477</v>
      </c>
      <c r="D539">
        <v>-17.536094850000001</v>
      </c>
      <c r="G539" s="75">
        <v>100</v>
      </c>
      <c r="H539" s="75" t="s">
        <v>26</v>
      </c>
      <c r="I539" t="str">
        <f t="shared" si="8"/>
        <v>X</v>
      </c>
      <c r="J539" s="76"/>
      <c r="K539" s="77"/>
      <c r="L539" s="77"/>
      <c r="M539" s="77"/>
      <c r="N539" s="77"/>
      <c r="O539" s="78"/>
      <c r="P539" s="78"/>
      <c r="Q539" s="78"/>
      <c r="R539" s="78"/>
      <c r="V539" s="79"/>
      <c r="W539" s="78"/>
    </row>
    <row r="540" spans="1:23" s="75" customFormat="1" hidden="1" x14ac:dyDescent="0.35">
      <c r="A540" s="75">
        <v>536</v>
      </c>
      <c r="B540" s="75">
        <v>537</v>
      </c>
      <c r="C540">
        <v>146.0621543</v>
      </c>
      <c r="D540">
        <v>-17.53608213</v>
      </c>
      <c r="G540" s="75">
        <v>100</v>
      </c>
      <c r="H540" s="75" t="s">
        <v>26</v>
      </c>
      <c r="I540" t="str">
        <f t="shared" si="8"/>
        <v>X</v>
      </c>
      <c r="J540" s="76"/>
      <c r="K540" s="77"/>
      <c r="L540" s="77"/>
      <c r="M540" s="77"/>
      <c r="N540" s="77"/>
      <c r="O540" s="78"/>
      <c r="P540" s="78"/>
      <c r="Q540" s="78"/>
      <c r="R540" s="78"/>
      <c r="V540" s="79"/>
      <c r="W540" s="78"/>
    </row>
    <row r="541" spans="1:23" s="75" customFormat="1" hidden="1" x14ac:dyDescent="0.35">
      <c r="A541" s="75">
        <v>537</v>
      </c>
      <c r="B541" s="75">
        <v>538</v>
      </c>
      <c r="C541">
        <v>146.06206080000001</v>
      </c>
      <c r="D541">
        <v>-17.536069399999999</v>
      </c>
      <c r="G541" s="75">
        <v>100</v>
      </c>
      <c r="H541" s="75" t="s">
        <v>26</v>
      </c>
      <c r="I541" t="str">
        <f t="shared" si="8"/>
        <v>X</v>
      </c>
      <c r="J541" s="76"/>
      <c r="K541" s="77"/>
      <c r="L541" s="77"/>
      <c r="M541" s="77"/>
      <c r="N541" s="77"/>
      <c r="O541" s="78"/>
      <c r="P541" s="78"/>
      <c r="Q541" s="78"/>
      <c r="R541" s="78"/>
      <c r="V541" s="79"/>
      <c r="W541" s="78"/>
    </row>
    <row r="542" spans="1:23" s="75" customFormat="1" hidden="1" x14ac:dyDescent="0.35">
      <c r="A542" s="75">
        <v>538</v>
      </c>
      <c r="B542" s="75">
        <v>539</v>
      </c>
      <c r="C542">
        <v>146.06196739999999</v>
      </c>
      <c r="D542">
        <v>-17.536056670000001</v>
      </c>
      <c r="G542" s="75">
        <v>100</v>
      </c>
      <c r="H542" s="75" t="s">
        <v>26</v>
      </c>
      <c r="I542" t="str">
        <f t="shared" si="8"/>
        <v>X</v>
      </c>
      <c r="J542" s="76"/>
      <c r="K542" s="77"/>
      <c r="L542" s="77"/>
      <c r="M542" s="77"/>
      <c r="N542" s="77"/>
      <c r="O542" s="78"/>
      <c r="P542" s="78"/>
      <c r="Q542" s="78"/>
      <c r="R542" s="78"/>
      <c r="V542" s="79"/>
      <c r="W542" s="78"/>
    </row>
    <row r="543" spans="1:23" s="75" customFormat="1" hidden="1" x14ac:dyDescent="0.35">
      <c r="A543" s="75">
        <v>539</v>
      </c>
      <c r="B543" s="75">
        <v>540</v>
      </c>
      <c r="C543">
        <v>146.06188059999999</v>
      </c>
      <c r="D543">
        <v>-17.53608174</v>
      </c>
      <c r="E543" s="75">
        <v>50</v>
      </c>
      <c r="G543" s="75">
        <v>100</v>
      </c>
      <c r="H543" s="75" t="s">
        <v>26</v>
      </c>
      <c r="I543" t="str">
        <f t="shared" si="8"/>
        <v>X</v>
      </c>
      <c r="J543" s="76"/>
      <c r="K543" s="77"/>
      <c r="L543" s="77"/>
      <c r="M543" s="77"/>
      <c r="N543" s="77"/>
      <c r="O543" s="78"/>
      <c r="P543" s="78"/>
      <c r="Q543" s="78"/>
      <c r="R543" s="78"/>
      <c r="V543" s="79"/>
      <c r="W543" s="78"/>
    </row>
    <row r="544" spans="1:23" s="75" customFormat="1" hidden="1" x14ac:dyDescent="0.35">
      <c r="A544" s="75">
        <v>540</v>
      </c>
      <c r="B544" s="75">
        <v>541</v>
      </c>
      <c r="C544">
        <v>146.06179700000001</v>
      </c>
      <c r="D544">
        <v>-17.53612549</v>
      </c>
      <c r="G544" s="75">
        <v>100</v>
      </c>
      <c r="H544" s="75" t="s">
        <v>26</v>
      </c>
      <c r="I544" t="str">
        <f t="shared" si="8"/>
        <v>X</v>
      </c>
      <c r="J544" s="76"/>
      <c r="K544" s="77"/>
      <c r="L544" s="77"/>
      <c r="M544" s="77"/>
      <c r="N544" s="77"/>
      <c r="O544" s="78"/>
      <c r="P544" s="78"/>
      <c r="Q544" s="78"/>
      <c r="R544" s="78"/>
      <c r="V544" s="79"/>
      <c r="W544" s="78"/>
    </row>
    <row r="545" spans="1:23" s="75" customFormat="1" hidden="1" x14ac:dyDescent="0.35">
      <c r="A545" s="75">
        <v>541</v>
      </c>
      <c r="B545" s="75">
        <v>542</v>
      </c>
      <c r="C545">
        <v>146.0617135</v>
      </c>
      <c r="D545">
        <v>-17.536169229999999</v>
      </c>
      <c r="G545" s="75">
        <v>100</v>
      </c>
      <c r="H545" s="75" t="s">
        <v>26</v>
      </c>
      <c r="I545" t="str">
        <f t="shared" si="8"/>
        <v>X</v>
      </c>
      <c r="J545" s="76"/>
      <c r="K545" s="77"/>
      <c r="L545" s="77"/>
      <c r="M545" s="77"/>
      <c r="N545" s="77"/>
      <c r="O545" s="78"/>
      <c r="P545" s="78"/>
      <c r="Q545" s="78"/>
      <c r="R545" s="78"/>
      <c r="V545" s="79"/>
      <c r="W545" s="78"/>
    </row>
    <row r="546" spans="1:23" s="75" customFormat="1" hidden="1" x14ac:dyDescent="0.35">
      <c r="A546" s="75">
        <v>542</v>
      </c>
      <c r="B546" s="75">
        <v>543</v>
      </c>
      <c r="C546">
        <v>146.0616388</v>
      </c>
      <c r="D546">
        <v>-17.536224929999999</v>
      </c>
      <c r="G546" s="75">
        <v>100</v>
      </c>
      <c r="H546" s="75" t="s">
        <v>26</v>
      </c>
      <c r="I546" t="str">
        <f t="shared" si="8"/>
        <v>X</v>
      </c>
      <c r="J546" s="76"/>
      <c r="K546" s="77"/>
      <c r="L546" s="77"/>
      <c r="M546" s="77"/>
      <c r="N546" s="77"/>
      <c r="O546" s="78"/>
      <c r="P546" s="78"/>
      <c r="Q546" s="78"/>
      <c r="R546" s="78"/>
      <c r="V546" s="79"/>
      <c r="W546" s="78"/>
    </row>
    <row r="547" spans="1:23" s="75" customFormat="1" hidden="1" x14ac:dyDescent="0.35">
      <c r="A547" s="75">
        <v>543</v>
      </c>
      <c r="B547" s="75">
        <v>544</v>
      </c>
      <c r="C547">
        <v>146.06157229999999</v>
      </c>
      <c r="D547">
        <v>-17.536291840000001</v>
      </c>
      <c r="G547" s="75">
        <v>100</v>
      </c>
      <c r="H547" s="75" t="s">
        <v>26</v>
      </c>
      <c r="I547" t="str">
        <f t="shared" si="8"/>
        <v>X</v>
      </c>
      <c r="J547" s="76"/>
      <c r="K547" s="77"/>
      <c r="L547" s="77"/>
      <c r="M547" s="77"/>
      <c r="N547" s="77"/>
      <c r="O547" s="78"/>
      <c r="P547" s="78"/>
      <c r="Q547" s="78"/>
      <c r="R547" s="78"/>
      <c r="V547" s="79"/>
      <c r="W547" s="78"/>
    </row>
    <row r="548" spans="1:23" s="75" customFormat="1" hidden="1" x14ac:dyDescent="0.35">
      <c r="A548" s="75">
        <v>544</v>
      </c>
      <c r="B548" s="75">
        <v>545</v>
      </c>
      <c r="C548">
        <v>146.06154119999999</v>
      </c>
      <c r="D548">
        <v>-17.536379090000001</v>
      </c>
      <c r="E548" s="75">
        <v>50</v>
      </c>
      <c r="G548" s="75">
        <v>100</v>
      </c>
      <c r="H548" s="75" t="s">
        <v>26</v>
      </c>
      <c r="I548" t="str">
        <f t="shared" si="8"/>
        <v>X</v>
      </c>
      <c r="J548" s="76"/>
      <c r="K548" s="77"/>
      <c r="L548" s="77"/>
      <c r="M548" s="77"/>
      <c r="N548" s="77"/>
      <c r="O548" s="78"/>
      <c r="P548" s="78"/>
      <c r="Q548" s="78"/>
      <c r="R548" s="78"/>
      <c r="V548" s="79"/>
      <c r="W548" s="78"/>
    </row>
    <row r="549" spans="1:23" s="75" customFormat="1" hidden="1" x14ac:dyDescent="0.35">
      <c r="A549" s="75">
        <v>545</v>
      </c>
      <c r="B549" s="75">
        <v>546</v>
      </c>
      <c r="C549">
        <v>146.06151740000001</v>
      </c>
      <c r="D549">
        <v>-17.536470319999999</v>
      </c>
      <c r="G549" s="75">
        <v>100</v>
      </c>
      <c r="H549" s="75" t="s">
        <v>26</v>
      </c>
      <c r="I549" t="str">
        <f t="shared" si="8"/>
        <v>X</v>
      </c>
      <c r="J549" s="76"/>
      <c r="K549" s="77"/>
      <c r="L549" s="77"/>
      <c r="M549" s="77"/>
      <c r="N549" s="77"/>
      <c r="O549" s="78"/>
      <c r="P549" s="78"/>
      <c r="Q549" s="78"/>
      <c r="R549" s="78"/>
      <c r="V549" s="79"/>
      <c r="W549" s="78"/>
    </row>
    <row r="550" spans="1:23" s="75" customFormat="1" hidden="1" x14ac:dyDescent="0.35">
      <c r="A550" s="75">
        <v>546</v>
      </c>
      <c r="B550" s="75">
        <v>547</v>
      </c>
      <c r="C550">
        <v>146.0614995</v>
      </c>
      <c r="D550">
        <v>-17.536562910000001</v>
      </c>
      <c r="G550" s="75">
        <v>100</v>
      </c>
      <c r="H550" s="75" t="s">
        <v>26</v>
      </c>
      <c r="I550" t="str">
        <f t="shared" si="8"/>
        <v>X</v>
      </c>
      <c r="J550" s="76"/>
      <c r="K550" s="77"/>
      <c r="L550" s="77"/>
      <c r="M550" s="77"/>
      <c r="N550" s="77"/>
      <c r="O550" s="78"/>
      <c r="P550" s="78"/>
      <c r="Q550" s="78"/>
      <c r="R550" s="78"/>
      <c r="V550" s="79"/>
      <c r="W550" s="78"/>
    </row>
    <row r="551" spans="1:23" s="75" customFormat="1" hidden="1" x14ac:dyDescent="0.35">
      <c r="A551" s="75">
        <v>547</v>
      </c>
      <c r="B551" s="75">
        <v>548</v>
      </c>
      <c r="C551">
        <v>146.06148160000001</v>
      </c>
      <c r="D551">
        <v>-17.536655499999998</v>
      </c>
      <c r="G551" s="75">
        <v>100</v>
      </c>
      <c r="H551" s="75" t="s">
        <v>26</v>
      </c>
      <c r="I551" t="str">
        <f t="shared" si="8"/>
        <v>X</v>
      </c>
      <c r="J551" s="76"/>
      <c r="K551" s="77"/>
      <c r="L551" s="77"/>
      <c r="M551" s="77"/>
      <c r="N551" s="77"/>
      <c r="O551" s="78"/>
      <c r="P551" s="78"/>
      <c r="Q551" s="78"/>
      <c r="R551" s="78"/>
      <c r="V551" s="79"/>
      <c r="W551" s="78"/>
    </row>
    <row r="552" spans="1:23" s="75" customFormat="1" hidden="1" x14ac:dyDescent="0.35">
      <c r="A552" s="75">
        <v>548</v>
      </c>
      <c r="B552" s="75">
        <v>549</v>
      </c>
      <c r="C552">
        <v>146.06147100000001</v>
      </c>
      <c r="D552">
        <v>-17.536749100000002</v>
      </c>
      <c r="G552" s="75">
        <v>100</v>
      </c>
      <c r="H552" s="75" t="s">
        <v>26</v>
      </c>
      <c r="I552" t="str">
        <f t="shared" si="8"/>
        <v>X</v>
      </c>
      <c r="J552" s="76"/>
      <c r="K552" s="77"/>
      <c r="L552" s="77"/>
      <c r="M552" s="77"/>
      <c r="N552" s="77"/>
      <c r="O552" s="78"/>
      <c r="P552" s="78"/>
      <c r="Q552" s="78"/>
      <c r="R552" s="78"/>
      <c r="V552" s="79"/>
      <c r="W552" s="78"/>
    </row>
    <row r="553" spans="1:23" s="75" customFormat="1" hidden="1" x14ac:dyDescent="0.35">
      <c r="A553" s="75">
        <v>549</v>
      </c>
      <c r="B553" s="75">
        <v>550</v>
      </c>
      <c r="C553">
        <v>146.0614631</v>
      </c>
      <c r="D553">
        <v>-17.536843080000001</v>
      </c>
      <c r="E553" s="75">
        <v>50</v>
      </c>
      <c r="G553" s="75">
        <v>100</v>
      </c>
      <c r="H553" s="75" t="s">
        <v>26</v>
      </c>
      <c r="I553" t="str">
        <f t="shared" si="8"/>
        <v>X</v>
      </c>
      <c r="J553" s="76"/>
      <c r="K553" s="77"/>
      <c r="L553" s="77"/>
      <c r="M553" s="77"/>
      <c r="N553" s="77"/>
      <c r="O553" s="78"/>
      <c r="P553" s="78"/>
      <c r="Q553" s="78"/>
      <c r="R553" s="78"/>
      <c r="V553" s="79"/>
      <c r="W553" s="78"/>
    </row>
    <row r="554" spans="1:23" s="75" customFormat="1" hidden="1" x14ac:dyDescent="0.35">
      <c r="A554" s="75">
        <v>550</v>
      </c>
      <c r="B554" s="75">
        <v>551</v>
      </c>
      <c r="C554">
        <v>146.06145799999999</v>
      </c>
      <c r="D554">
        <v>-17.536937229999999</v>
      </c>
      <c r="G554" s="75">
        <v>100</v>
      </c>
      <c r="H554" s="75" t="s">
        <v>26</v>
      </c>
      <c r="I554" t="str">
        <f t="shared" si="8"/>
        <v>X</v>
      </c>
      <c r="J554" s="76"/>
      <c r="K554" s="77"/>
      <c r="L554" s="77"/>
      <c r="M554" s="77"/>
      <c r="N554" s="77"/>
      <c r="O554" s="78"/>
      <c r="P554" s="78"/>
      <c r="Q554" s="78"/>
      <c r="R554" s="78"/>
      <c r="V554" s="79"/>
      <c r="W554" s="78"/>
    </row>
    <row r="555" spans="1:23" s="75" customFormat="1" hidden="1" x14ac:dyDescent="0.35">
      <c r="A555" s="75">
        <v>551</v>
      </c>
      <c r="B555" s="75">
        <v>552</v>
      </c>
      <c r="C555">
        <v>146.06145409999999</v>
      </c>
      <c r="D555">
        <v>-17.53703144</v>
      </c>
      <c r="G555" s="75">
        <v>100</v>
      </c>
      <c r="H555" s="75" t="s">
        <v>26</v>
      </c>
      <c r="I555" t="str">
        <f t="shared" si="8"/>
        <v>X</v>
      </c>
      <c r="J555" s="76"/>
      <c r="K555" s="77"/>
      <c r="L555" s="77"/>
      <c r="M555" s="77"/>
      <c r="N555" s="77"/>
      <c r="O555" s="78"/>
      <c r="P555" s="78"/>
      <c r="Q555" s="78"/>
      <c r="R555" s="78"/>
      <c r="V555" s="79"/>
      <c r="W555" s="78"/>
    </row>
    <row r="556" spans="1:23" s="75" customFormat="1" hidden="1" x14ac:dyDescent="0.35">
      <c r="A556" s="75">
        <v>552</v>
      </c>
      <c r="B556" s="75">
        <v>553</v>
      </c>
      <c r="C556">
        <v>146.06145359999999</v>
      </c>
      <c r="D556">
        <v>-17.537125750000001</v>
      </c>
      <c r="G556" s="75">
        <v>100</v>
      </c>
      <c r="H556" s="75" t="s">
        <v>26</v>
      </c>
      <c r="I556" t="str">
        <f t="shared" si="8"/>
        <v>X</v>
      </c>
      <c r="J556" s="76"/>
      <c r="K556" s="77"/>
      <c r="L556" s="77"/>
      <c r="M556" s="77"/>
      <c r="N556" s="77"/>
      <c r="O556" s="78"/>
      <c r="P556" s="78"/>
      <c r="Q556" s="78"/>
      <c r="R556" s="78"/>
      <c r="V556" s="79"/>
      <c r="W556" s="78"/>
    </row>
    <row r="557" spans="1:23" s="75" customFormat="1" hidden="1" x14ac:dyDescent="0.35">
      <c r="A557" s="75">
        <v>553</v>
      </c>
      <c r="B557" s="75">
        <v>554</v>
      </c>
      <c r="C557">
        <v>146.06145900000001</v>
      </c>
      <c r="D557">
        <v>-17.53721908</v>
      </c>
      <c r="G557" s="75">
        <v>100</v>
      </c>
      <c r="H557" s="75" t="s">
        <v>26</v>
      </c>
      <c r="I557" t="str">
        <f t="shared" si="8"/>
        <v>X</v>
      </c>
      <c r="J557" s="76"/>
      <c r="K557" s="77"/>
      <c r="L557" s="77"/>
      <c r="M557" s="77"/>
      <c r="N557" s="77"/>
      <c r="O557" s="78"/>
      <c r="P557" s="78"/>
      <c r="Q557" s="78"/>
      <c r="R557" s="78"/>
      <c r="V557" s="79"/>
      <c r="W557" s="78"/>
    </row>
    <row r="558" spans="1:23" s="75" customFormat="1" hidden="1" x14ac:dyDescent="0.35">
      <c r="A558" s="75">
        <v>554</v>
      </c>
      <c r="B558" s="75">
        <v>555</v>
      </c>
      <c r="C558">
        <v>146.0614898</v>
      </c>
      <c r="D558">
        <v>-17.53730822</v>
      </c>
      <c r="E558" s="75">
        <v>50</v>
      </c>
      <c r="G558" s="75">
        <v>100</v>
      </c>
      <c r="H558" s="75" t="s">
        <v>26</v>
      </c>
      <c r="I558" t="str">
        <f t="shared" si="8"/>
        <v>X</v>
      </c>
      <c r="J558" s="76"/>
      <c r="K558" s="77"/>
      <c r="L558" s="77"/>
      <c r="M558" s="77"/>
      <c r="N558" s="77"/>
      <c r="O558" s="78"/>
      <c r="P558" s="78"/>
      <c r="Q558" s="78"/>
      <c r="R558" s="78"/>
      <c r="V558" s="79"/>
      <c r="W558" s="78"/>
    </row>
    <row r="559" spans="1:23" s="75" customFormat="1" hidden="1" x14ac:dyDescent="0.35">
      <c r="A559" s="75">
        <v>555</v>
      </c>
      <c r="B559" s="75">
        <v>556</v>
      </c>
      <c r="C559">
        <v>146.06152299999999</v>
      </c>
      <c r="D559">
        <v>-17.537396430000001</v>
      </c>
      <c r="G559" s="75">
        <v>100</v>
      </c>
      <c r="H559" s="75" t="s">
        <v>26</v>
      </c>
      <c r="I559" t="str">
        <f t="shared" si="8"/>
        <v>X</v>
      </c>
      <c r="J559" s="76"/>
      <c r="K559" s="77"/>
      <c r="L559" s="77"/>
      <c r="M559" s="77"/>
      <c r="N559" s="77"/>
      <c r="O559" s="78"/>
      <c r="P559" s="78"/>
      <c r="Q559" s="78"/>
      <c r="R559" s="78"/>
      <c r="V559" s="79"/>
      <c r="W559" s="78"/>
    </row>
    <row r="560" spans="1:23" s="75" customFormat="1" hidden="1" x14ac:dyDescent="0.35">
      <c r="A560" s="75">
        <v>556</v>
      </c>
      <c r="B560" s="75">
        <v>557</v>
      </c>
      <c r="C560">
        <v>146.0615578</v>
      </c>
      <c r="D560">
        <v>-17.5374841</v>
      </c>
      <c r="G560" s="75">
        <v>100</v>
      </c>
      <c r="H560" s="75" t="s">
        <v>26</v>
      </c>
      <c r="I560" t="str">
        <f t="shared" si="8"/>
        <v>X</v>
      </c>
      <c r="J560" s="76"/>
      <c r="K560" s="77"/>
      <c r="L560" s="77"/>
      <c r="M560" s="77"/>
      <c r="N560" s="77"/>
      <c r="O560" s="78"/>
      <c r="P560" s="78"/>
      <c r="Q560" s="78"/>
      <c r="R560" s="78"/>
      <c r="V560" s="79"/>
      <c r="W560" s="78"/>
    </row>
    <row r="561" spans="1:23" s="75" customFormat="1" hidden="1" x14ac:dyDescent="0.35">
      <c r="A561" s="75">
        <v>557</v>
      </c>
      <c r="B561" s="75">
        <v>558</v>
      </c>
      <c r="C561">
        <v>146.0615957</v>
      </c>
      <c r="D561">
        <v>-17.53756933</v>
      </c>
      <c r="G561" s="75">
        <v>100</v>
      </c>
      <c r="H561" s="75" t="s">
        <v>26</v>
      </c>
      <c r="I561" t="str">
        <f t="shared" si="8"/>
        <v>X</v>
      </c>
      <c r="J561" s="76"/>
      <c r="K561" s="77"/>
      <c r="L561" s="77"/>
      <c r="M561" s="77"/>
      <c r="N561" s="77"/>
      <c r="O561" s="78"/>
      <c r="P561" s="78"/>
      <c r="Q561" s="78"/>
      <c r="R561" s="78"/>
      <c r="V561" s="79"/>
      <c r="W561" s="78"/>
    </row>
    <row r="562" spans="1:23" s="75" customFormat="1" hidden="1" x14ac:dyDescent="0.35">
      <c r="A562" s="75">
        <v>558</v>
      </c>
      <c r="B562" s="75">
        <v>559</v>
      </c>
      <c r="C562">
        <v>146.0616709</v>
      </c>
      <c r="D562">
        <v>-17.53762635</v>
      </c>
      <c r="G562" s="75">
        <v>100</v>
      </c>
      <c r="H562" s="75" t="s">
        <v>26</v>
      </c>
      <c r="I562" t="str">
        <f t="shared" si="8"/>
        <v>X</v>
      </c>
      <c r="J562" s="76"/>
      <c r="K562" s="77"/>
      <c r="L562" s="77"/>
      <c r="M562" s="77"/>
      <c r="N562" s="77"/>
      <c r="O562" s="78"/>
      <c r="P562" s="78"/>
      <c r="Q562" s="78"/>
      <c r="R562" s="78"/>
      <c r="V562" s="79"/>
      <c r="W562" s="78"/>
    </row>
    <row r="563" spans="1:23" s="75" customFormat="1" hidden="1" x14ac:dyDescent="0.35">
      <c r="A563" s="75">
        <v>559</v>
      </c>
      <c r="B563" s="75">
        <v>560</v>
      </c>
      <c r="C563">
        <v>146.061746</v>
      </c>
      <c r="D563">
        <v>-17.537683359999999</v>
      </c>
      <c r="E563" s="75">
        <v>50</v>
      </c>
      <c r="G563" s="75">
        <v>100</v>
      </c>
      <c r="H563" s="75" t="s">
        <v>26</v>
      </c>
      <c r="I563" t="str">
        <f t="shared" si="8"/>
        <v>X</v>
      </c>
      <c r="J563" s="76"/>
      <c r="K563" s="77"/>
      <c r="L563" s="77"/>
      <c r="M563" s="77"/>
      <c r="N563" s="77"/>
      <c r="O563" s="78"/>
      <c r="P563" s="78"/>
      <c r="Q563" s="78"/>
      <c r="R563" s="78"/>
      <c r="V563" s="79"/>
      <c r="W563" s="78"/>
    </row>
    <row r="564" spans="1:23" s="75" customFormat="1" hidden="1" x14ac:dyDescent="0.35">
      <c r="A564" s="75">
        <v>560</v>
      </c>
      <c r="B564" s="75">
        <v>561</v>
      </c>
      <c r="C564">
        <v>146.0618211</v>
      </c>
      <c r="D564">
        <v>-17.537740370000002</v>
      </c>
      <c r="G564" s="75">
        <v>100</v>
      </c>
      <c r="H564" s="75" t="s">
        <v>26</v>
      </c>
      <c r="I564" t="str">
        <f t="shared" si="8"/>
        <v>X</v>
      </c>
      <c r="J564" s="76"/>
      <c r="K564" s="77"/>
      <c r="L564" s="77"/>
      <c r="M564" s="77"/>
      <c r="N564" s="77"/>
      <c r="O564" s="78"/>
      <c r="P564" s="78"/>
      <c r="Q564" s="78"/>
      <c r="R564" s="78"/>
      <c r="V564" s="79"/>
      <c r="W564" s="78"/>
    </row>
    <row r="565" spans="1:23" s="75" customFormat="1" hidden="1" x14ac:dyDescent="0.35">
      <c r="A565" s="75">
        <v>561</v>
      </c>
      <c r="B565" s="75">
        <v>562</v>
      </c>
      <c r="C565">
        <v>146.06190430000001</v>
      </c>
      <c r="D565">
        <v>-17.537783839999999</v>
      </c>
      <c r="G565" s="75">
        <v>100</v>
      </c>
      <c r="H565" s="75" t="s">
        <v>26</v>
      </c>
      <c r="I565" t="str">
        <f t="shared" si="8"/>
        <v>X</v>
      </c>
      <c r="J565" s="76"/>
      <c r="K565" s="77"/>
      <c r="L565" s="77"/>
      <c r="M565" s="77"/>
      <c r="N565" s="77"/>
      <c r="O565" s="78"/>
      <c r="P565" s="78"/>
      <c r="Q565" s="78"/>
      <c r="R565" s="78"/>
      <c r="V565" s="79"/>
      <c r="W565" s="78"/>
    </row>
    <row r="566" spans="1:23" s="75" customFormat="1" hidden="1" x14ac:dyDescent="0.35">
      <c r="A566" s="75">
        <v>562</v>
      </c>
      <c r="B566" s="75">
        <v>563</v>
      </c>
      <c r="C566">
        <v>146.06199000000001</v>
      </c>
      <c r="D566">
        <v>-17.537823339999999</v>
      </c>
      <c r="G566" s="75">
        <v>100</v>
      </c>
      <c r="H566" s="75" t="s">
        <v>26</v>
      </c>
      <c r="I566" t="str">
        <f t="shared" si="8"/>
        <v>X</v>
      </c>
      <c r="J566" s="76"/>
      <c r="K566" s="77"/>
      <c r="L566" s="77"/>
      <c r="M566" s="77"/>
      <c r="N566" s="77"/>
      <c r="O566" s="78"/>
      <c r="P566" s="78"/>
      <c r="Q566" s="78"/>
      <c r="R566" s="78"/>
      <c r="V566" s="79"/>
      <c r="W566" s="78"/>
    </row>
    <row r="567" spans="1:23" s="75" customFormat="1" hidden="1" x14ac:dyDescent="0.35">
      <c r="A567" s="75">
        <v>563</v>
      </c>
      <c r="B567" s="75">
        <v>564</v>
      </c>
      <c r="C567">
        <v>146.0620796</v>
      </c>
      <c r="D567">
        <v>-17.537849420000001</v>
      </c>
      <c r="G567" s="75">
        <v>100</v>
      </c>
      <c r="H567" s="75" t="s">
        <v>26</v>
      </c>
      <c r="I567" t="str">
        <f t="shared" si="8"/>
        <v>X</v>
      </c>
      <c r="J567" s="76"/>
      <c r="K567" s="77"/>
      <c r="L567" s="77"/>
      <c r="M567" s="77"/>
      <c r="N567" s="77"/>
      <c r="O567" s="78"/>
      <c r="P567" s="78"/>
      <c r="Q567" s="78"/>
      <c r="R567" s="78"/>
      <c r="V567" s="79"/>
      <c r="W567" s="78"/>
    </row>
    <row r="568" spans="1:23" s="75" customFormat="1" hidden="1" x14ac:dyDescent="0.35">
      <c r="A568" s="75">
        <v>564</v>
      </c>
      <c r="B568" s="75">
        <v>565</v>
      </c>
      <c r="C568">
        <v>146.06217290000001</v>
      </c>
      <c r="D568">
        <v>-17.537862839999999</v>
      </c>
      <c r="E568" s="75">
        <v>50</v>
      </c>
      <c r="G568" s="75">
        <v>100</v>
      </c>
      <c r="H568" s="75" t="s">
        <v>26</v>
      </c>
      <c r="I568" t="str">
        <f t="shared" si="8"/>
        <v>X</v>
      </c>
      <c r="J568" s="76"/>
      <c r="K568" s="77"/>
      <c r="L568" s="77"/>
      <c r="M568" s="77"/>
      <c r="N568" s="77"/>
      <c r="O568" s="78"/>
      <c r="P568" s="78"/>
      <c r="Q568" s="78"/>
      <c r="R568" s="78"/>
      <c r="V568" s="79"/>
      <c r="W568" s="78"/>
    </row>
    <row r="569" spans="1:23" s="75" customFormat="1" hidden="1" x14ac:dyDescent="0.35">
      <c r="A569" s="75">
        <v>565</v>
      </c>
      <c r="B569" s="75">
        <v>566</v>
      </c>
      <c r="C569">
        <v>146.0622663</v>
      </c>
      <c r="D569">
        <v>-17.537876260000001</v>
      </c>
      <c r="G569" s="75">
        <v>100</v>
      </c>
      <c r="H569" s="75" t="s">
        <v>26</v>
      </c>
      <c r="I569" t="str">
        <f t="shared" si="8"/>
        <v>X</v>
      </c>
      <c r="J569" s="76"/>
      <c r="K569" s="77"/>
      <c r="L569" s="77"/>
      <c r="M569" s="77"/>
      <c r="N569" s="77"/>
      <c r="O569" s="78"/>
      <c r="P569" s="78"/>
      <c r="Q569" s="78"/>
      <c r="R569" s="78"/>
      <c r="V569" s="79"/>
      <c r="W569" s="78"/>
    </row>
    <row r="570" spans="1:23" s="75" customFormat="1" hidden="1" x14ac:dyDescent="0.35">
      <c r="A570" s="75">
        <v>566</v>
      </c>
      <c r="B570" s="75">
        <v>567</v>
      </c>
      <c r="C570">
        <v>146.0623597</v>
      </c>
      <c r="D570">
        <v>-17.537889329999999</v>
      </c>
      <c r="G570" s="75">
        <v>100</v>
      </c>
      <c r="H570" s="75" t="s">
        <v>26</v>
      </c>
      <c r="I570" t="str">
        <f t="shared" si="8"/>
        <v>X</v>
      </c>
      <c r="J570" s="76"/>
      <c r="K570" s="77"/>
      <c r="L570" s="77"/>
      <c r="M570" s="77"/>
      <c r="N570" s="77"/>
      <c r="O570" s="78"/>
      <c r="P570" s="78"/>
      <c r="Q570" s="78"/>
      <c r="R570" s="78"/>
      <c r="V570" s="79"/>
      <c r="W570" s="78"/>
    </row>
    <row r="571" spans="1:23" s="75" customFormat="1" hidden="1" x14ac:dyDescent="0.35">
      <c r="A571" s="75">
        <v>567</v>
      </c>
      <c r="B571" s="75">
        <v>568</v>
      </c>
      <c r="C571">
        <v>146.06245340000001</v>
      </c>
      <c r="D571">
        <v>-17.537899410000001</v>
      </c>
      <c r="G571" s="75">
        <v>100</v>
      </c>
      <c r="H571" s="75" t="s">
        <v>26</v>
      </c>
      <c r="I571" t="str">
        <f t="shared" si="8"/>
        <v>X</v>
      </c>
      <c r="J571" s="76"/>
      <c r="K571" s="77"/>
      <c r="L571" s="77"/>
      <c r="M571" s="77"/>
      <c r="N571" s="77"/>
      <c r="O571" s="78"/>
      <c r="P571" s="78"/>
      <c r="Q571" s="78"/>
      <c r="R571" s="78"/>
      <c r="V571" s="79"/>
      <c r="W571" s="78"/>
    </row>
    <row r="572" spans="1:23" s="75" customFormat="1" hidden="1" x14ac:dyDescent="0.35">
      <c r="A572" s="75">
        <v>568</v>
      </c>
      <c r="B572" s="75">
        <v>569</v>
      </c>
      <c r="C572">
        <v>146.06254720000001</v>
      </c>
      <c r="D572">
        <v>-17.53790948</v>
      </c>
      <c r="G572" s="75">
        <v>100</v>
      </c>
      <c r="H572" s="75" t="s">
        <v>26</v>
      </c>
      <c r="I572" t="str">
        <f t="shared" si="8"/>
        <v>X</v>
      </c>
      <c r="J572" s="76"/>
      <c r="K572" s="77"/>
      <c r="L572" s="77"/>
      <c r="M572" s="77"/>
      <c r="N572" s="77"/>
      <c r="O572" s="78"/>
      <c r="P572" s="78"/>
      <c r="Q572" s="78"/>
      <c r="R572" s="78"/>
      <c r="V572" s="79"/>
      <c r="W572" s="78"/>
    </row>
    <row r="573" spans="1:23" s="75" customFormat="1" hidden="1" x14ac:dyDescent="0.35">
      <c r="A573" s="75">
        <v>569</v>
      </c>
      <c r="B573" s="75">
        <v>570</v>
      </c>
      <c r="C573">
        <v>146.06264110000001</v>
      </c>
      <c r="D573">
        <v>-17.537913110000002</v>
      </c>
      <c r="E573" s="75">
        <v>50</v>
      </c>
      <c r="G573" s="75">
        <v>100</v>
      </c>
      <c r="H573" s="75" t="s">
        <v>26</v>
      </c>
      <c r="I573" t="str">
        <f t="shared" si="8"/>
        <v>X</v>
      </c>
      <c r="J573" s="76"/>
      <c r="K573" s="77"/>
      <c r="L573" s="77"/>
      <c r="M573" s="77"/>
      <c r="N573" s="77"/>
      <c r="O573" s="78"/>
      <c r="P573" s="78"/>
      <c r="Q573" s="78"/>
      <c r="R573" s="78"/>
      <c r="V573" s="79"/>
      <c r="W573" s="78"/>
    </row>
    <row r="574" spans="1:23" s="75" customFormat="1" hidden="1" x14ac:dyDescent="0.35">
      <c r="A574" s="75">
        <v>570</v>
      </c>
      <c r="B574" s="75">
        <v>571</v>
      </c>
      <c r="C574">
        <v>146.06273400000001</v>
      </c>
      <c r="D574">
        <v>-17.537918680000001</v>
      </c>
      <c r="G574" s="75">
        <v>100</v>
      </c>
      <c r="H574" s="75" t="s">
        <v>26</v>
      </c>
      <c r="I574" t="str">
        <f t="shared" si="8"/>
        <v>X</v>
      </c>
      <c r="J574" s="76"/>
      <c r="K574" s="77"/>
      <c r="L574" s="77"/>
      <c r="M574" s="77"/>
      <c r="N574" s="77"/>
      <c r="O574" s="78"/>
      <c r="P574" s="78"/>
      <c r="Q574" s="78"/>
      <c r="R574" s="78"/>
      <c r="V574" s="79"/>
      <c r="W574" s="78"/>
    </row>
    <row r="575" spans="1:23" s="75" customFormat="1" hidden="1" x14ac:dyDescent="0.35">
      <c r="A575" s="75">
        <v>571</v>
      </c>
      <c r="B575" s="75">
        <v>572</v>
      </c>
      <c r="C575">
        <v>146.0628237</v>
      </c>
      <c r="D575">
        <v>-17.537946940000001</v>
      </c>
      <c r="G575" s="75">
        <v>100</v>
      </c>
      <c r="H575" s="75" t="s">
        <v>26</v>
      </c>
      <c r="I575" t="str">
        <f t="shared" si="8"/>
        <v>X</v>
      </c>
      <c r="J575" s="76"/>
      <c r="K575" s="77"/>
      <c r="L575" s="77"/>
      <c r="M575" s="77"/>
      <c r="N575" s="77"/>
      <c r="O575" s="78"/>
      <c r="P575" s="78"/>
      <c r="Q575" s="78"/>
      <c r="R575" s="78"/>
      <c r="V575" s="79"/>
      <c r="W575" s="78"/>
    </row>
    <row r="576" spans="1:23" s="75" customFormat="1" hidden="1" x14ac:dyDescent="0.35">
      <c r="A576" s="75">
        <v>572</v>
      </c>
      <c r="B576" s="75">
        <v>573</v>
      </c>
      <c r="C576">
        <v>146.06291049999999</v>
      </c>
      <c r="D576">
        <v>-17.537983860000001</v>
      </c>
      <c r="G576" s="75">
        <v>100</v>
      </c>
      <c r="H576" s="75" t="s">
        <v>26</v>
      </c>
      <c r="I576" t="str">
        <f t="shared" si="8"/>
        <v>X</v>
      </c>
      <c r="J576" s="76"/>
      <c r="K576" s="77"/>
      <c r="L576" s="77"/>
      <c r="M576" s="77"/>
      <c r="N576" s="77"/>
      <c r="O576" s="78"/>
      <c r="P576" s="78"/>
      <c r="Q576" s="78"/>
      <c r="R576" s="78"/>
      <c r="V576" s="79"/>
      <c r="W576" s="78"/>
    </row>
    <row r="577" spans="1:23" s="75" customFormat="1" hidden="1" x14ac:dyDescent="0.35">
      <c r="A577" s="75">
        <v>573</v>
      </c>
      <c r="B577" s="75">
        <v>574</v>
      </c>
      <c r="C577">
        <v>146.06299709999999</v>
      </c>
      <c r="D577">
        <v>-17.538021260000001</v>
      </c>
      <c r="G577" s="75">
        <v>100</v>
      </c>
      <c r="H577" s="75" t="s">
        <v>26</v>
      </c>
      <c r="I577" t="str">
        <f t="shared" si="8"/>
        <v>X</v>
      </c>
      <c r="J577" s="76"/>
      <c r="K577" s="77"/>
      <c r="L577" s="77"/>
      <c r="M577" s="77"/>
      <c r="N577" s="77"/>
      <c r="O577" s="78"/>
      <c r="P577" s="78"/>
      <c r="Q577" s="78"/>
      <c r="R577" s="78"/>
      <c r="V577" s="79"/>
      <c r="W577" s="78"/>
    </row>
    <row r="578" spans="1:23" s="75" customFormat="1" hidden="1" x14ac:dyDescent="0.35">
      <c r="A578" s="75">
        <v>574</v>
      </c>
      <c r="B578" s="75">
        <v>575</v>
      </c>
      <c r="C578">
        <v>146.0630816</v>
      </c>
      <c r="D578">
        <v>-17.538063040000001</v>
      </c>
      <c r="E578" s="75">
        <v>50</v>
      </c>
      <c r="G578" s="75">
        <v>100</v>
      </c>
      <c r="H578" s="75" t="s">
        <v>26</v>
      </c>
      <c r="I578" t="str">
        <f t="shared" si="8"/>
        <v>X</v>
      </c>
      <c r="J578" s="76"/>
      <c r="K578" s="77"/>
      <c r="L578" s="77"/>
      <c r="M578" s="77"/>
      <c r="N578" s="77"/>
      <c r="O578" s="78"/>
      <c r="P578" s="78"/>
      <c r="Q578" s="78"/>
      <c r="R578" s="78"/>
      <c r="V578" s="79"/>
      <c r="W578" s="78"/>
    </row>
    <row r="579" spans="1:23" s="75" customFormat="1" hidden="1" x14ac:dyDescent="0.35">
      <c r="A579" s="75">
        <v>575</v>
      </c>
      <c r="B579" s="75">
        <v>576</v>
      </c>
      <c r="C579">
        <v>146.0631736</v>
      </c>
      <c r="D579">
        <v>-17.538073900000001</v>
      </c>
      <c r="G579" s="75">
        <v>100</v>
      </c>
      <c r="H579" s="75" t="s">
        <v>26</v>
      </c>
      <c r="I579" t="str">
        <f t="shared" si="8"/>
        <v>X</v>
      </c>
      <c r="J579" s="76"/>
      <c r="K579" s="77"/>
      <c r="L579" s="77"/>
      <c r="M579" s="77"/>
      <c r="N579" s="77"/>
      <c r="O579" s="78"/>
      <c r="P579" s="78"/>
      <c r="Q579" s="78"/>
      <c r="R579" s="78"/>
      <c r="V579" s="79"/>
      <c r="W579" s="78"/>
    </row>
    <row r="580" spans="1:23" s="75" customFormat="1" hidden="1" x14ac:dyDescent="0.35">
      <c r="A580" s="75">
        <v>576</v>
      </c>
      <c r="B580" s="75">
        <v>577</v>
      </c>
      <c r="C580">
        <v>146.0632679</v>
      </c>
      <c r="D580">
        <v>-17.538075249999999</v>
      </c>
      <c r="G580" s="75">
        <v>100</v>
      </c>
      <c r="H580" s="75" t="s">
        <v>26</v>
      </c>
      <c r="I580" t="str">
        <f t="shared" si="8"/>
        <v>X</v>
      </c>
      <c r="J580" s="76"/>
      <c r="K580" s="77"/>
      <c r="L580" s="77"/>
      <c r="M580" s="77"/>
      <c r="N580" s="77"/>
      <c r="O580" s="78"/>
      <c r="P580" s="78"/>
      <c r="Q580" s="78"/>
      <c r="R580" s="78"/>
      <c r="V580" s="79"/>
      <c r="W580" s="78"/>
    </row>
    <row r="581" spans="1:23" s="75" customFormat="1" hidden="1" x14ac:dyDescent="0.35">
      <c r="A581" s="75">
        <v>577</v>
      </c>
      <c r="B581" s="75">
        <v>578</v>
      </c>
      <c r="C581">
        <v>146.06335559999999</v>
      </c>
      <c r="D581">
        <v>-17.538103750000001</v>
      </c>
      <c r="G581" s="75">
        <v>100</v>
      </c>
      <c r="H581" s="75" t="s">
        <v>26</v>
      </c>
      <c r="I581" t="str">
        <f t="shared" ref="I581:I644" si="9">IF(H581="X","X",IF(J581="NA","X",IF(J581="","X",J581)))</f>
        <v>X</v>
      </c>
      <c r="J581" s="76"/>
      <c r="K581" s="77"/>
      <c r="L581" s="77"/>
      <c r="M581" s="77"/>
      <c r="N581" s="77"/>
      <c r="O581" s="78"/>
      <c r="P581" s="78"/>
      <c r="Q581" s="78"/>
      <c r="R581" s="78"/>
      <c r="V581" s="79"/>
      <c r="W581" s="78"/>
    </row>
    <row r="582" spans="1:23" s="75" customFormat="1" hidden="1" x14ac:dyDescent="0.35">
      <c r="A582" s="75">
        <v>578</v>
      </c>
      <c r="B582" s="75">
        <v>579</v>
      </c>
      <c r="C582">
        <v>146.0634402</v>
      </c>
      <c r="D582">
        <v>-17.538145530000001</v>
      </c>
      <c r="G582" s="75">
        <v>100</v>
      </c>
      <c r="H582" s="75" t="s">
        <v>26</v>
      </c>
      <c r="I582" t="str">
        <f t="shared" si="9"/>
        <v>X</v>
      </c>
      <c r="J582" s="76"/>
      <c r="K582" s="77"/>
      <c r="L582" s="77"/>
      <c r="M582" s="77"/>
      <c r="N582" s="77"/>
      <c r="O582" s="78"/>
      <c r="P582" s="78"/>
      <c r="Q582" s="78"/>
      <c r="R582" s="78"/>
      <c r="V582" s="79"/>
      <c r="W582" s="78"/>
    </row>
    <row r="583" spans="1:23" s="75" customFormat="1" hidden="1" x14ac:dyDescent="0.35">
      <c r="A583" s="75">
        <v>579</v>
      </c>
      <c r="B583" s="75">
        <v>580</v>
      </c>
      <c r="C583">
        <v>146.06352480000001</v>
      </c>
      <c r="D583">
        <v>-17.538186759999999</v>
      </c>
      <c r="E583" s="75">
        <v>50</v>
      </c>
      <c r="G583" s="75">
        <v>100</v>
      </c>
      <c r="H583" s="75" t="s">
        <v>26</v>
      </c>
      <c r="I583" t="str">
        <f t="shared" si="9"/>
        <v>X</v>
      </c>
      <c r="J583" s="76"/>
      <c r="K583" s="77"/>
      <c r="L583" s="77"/>
      <c r="M583" s="77"/>
      <c r="N583" s="77"/>
      <c r="O583" s="78"/>
      <c r="P583" s="78"/>
      <c r="Q583" s="78"/>
      <c r="R583" s="78"/>
      <c r="V583" s="79"/>
      <c r="W583" s="78"/>
    </row>
    <row r="584" spans="1:23" s="75" customFormat="1" hidden="1" x14ac:dyDescent="0.35">
      <c r="A584" s="75">
        <v>580</v>
      </c>
      <c r="B584" s="75">
        <v>581</v>
      </c>
      <c r="C584">
        <v>146.06361519999999</v>
      </c>
      <c r="D584">
        <v>-17.538162289999999</v>
      </c>
      <c r="G584" s="75">
        <v>100</v>
      </c>
      <c r="H584" s="75" t="s">
        <v>26</v>
      </c>
      <c r="I584" t="str">
        <f t="shared" si="9"/>
        <v>X</v>
      </c>
      <c r="J584" s="76"/>
      <c r="K584" s="77"/>
      <c r="L584" s="77"/>
      <c r="M584" s="77"/>
      <c r="N584" s="77"/>
      <c r="O584" s="78"/>
      <c r="P584" s="78"/>
      <c r="Q584" s="78"/>
      <c r="R584" s="78"/>
      <c r="V584" s="79"/>
      <c r="W584" s="78"/>
    </row>
    <row r="585" spans="1:23" s="75" customFormat="1" hidden="1" x14ac:dyDescent="0.35">
      <c r="A585" s="75">
        <v>581</v>
      </c>
      <c r="B585" s="75">
        <v>582</v>
      </c>
      <c r="C585">
        <v>146.06370810000001</v>
      </c>
      <c r="D585">
        <v>-17.538178460000001</v>
      </c>
      <c r="G585" s="75">
        <v>100</v>
      </c>
      <c r="H585" s="75" t="s">
        <v>26</v>
      </c>
      <c r="I585" t="str">
        <f t="shared" si="9"/>
        <v>X</v>
      </c>
      <c r="J585" s="76"/>
      <c r="K585" s="77"/>
      <c r="L585" s="77"/>
      <c r="M585" s="77"/>
      <c r="N585" s="77"/>
      <c r="O585" s="78"/>
      <c r="P585" s="78"/>
      <c r="Q585" s="78"/>
      <c r="R585" s="78"/>
      <c r="V585" s="79"/>
      <c r="W585" s="78"/>
    </row>
    <row r="586" spans="1:23" s="75" customFormat="1" hidden="1" x14ac:dyDescent="0.35">
      <c r="A586" s="75">
        <v>582</v>
      </c>
      <c r="B586" s="75">
        <v>583</v>
      </c>
      <c r="C586">
        <v>146.06380100000001</v>
      </c>
      <c r="D586">
        <v>-17.538186360000001</v>
      </c>
      <c r="G586" s="75">
        <v>100</v>
      </c>
      <c r="H586" s="75" t="s">
        <v>26</v>
      </c>
      <c r="I586" t="str">
        <f t="shared" si="9"/>
        <v>X</v>
      </c>
      <c r="J586" s="76"/>
      <c r="K586" s="77"/>
      <c r="L586" s="77"/>
      <c r="M586" s="77"/>
      <c r="N586" s="77"/>
      <c r="O586" s="78"/>
      <c r="P586" s="78"/>
      <c r="Q586" s="78"/>
      <c r="R586" s="78"/>
      <c r="V586" s="79"/>
      <c r="W586" s="78"/>
    </row>
    <row r="587" spans="1:23" s="75" customFormat="1" hidden="1" x14ac:dyDescent="0.35">
      <c r="A587" s="75">
        <v>583</v>
      </c>
      <c r="B587" s="75">
        <v>584</v>
      </c>
      <c r="C587">
        <v>146.06389369999999</v>
      </c>
      <c r="D587">
        <v>-17.538169360000001</v>
      </c>
      <c r="G587" s="75">
        <v>100</v>
      </c>
      <c r="H587" s="75" t="s">
        <v>26</v>
      </c>
      <c r="I587" t="str">
        <f t="shared" si="9"/>
        <v>X</v>
      </c>
      <c r="J587" s="76"/>
      <c r="K587" s="77"/>
      <c r="L587" s="77"/>
      <c r="M587" s="77"/>
      <c r="N587" s="77"/>
      <c r="O587" s="78"/>
      <c r="P587" s="78"/>
      <c r="Q587" s="78"/>
      <c r="R587" s="78"/>
      <c r="V587" s="79"/>
      <c r="W587" s="78"/>
    </row>
    <row r="588" spans="1:23" s="75" customFormat="1" hidden="1" x14ac:dyDescent="0.35">
      <c r="A588" s="75">
        <v>584</v>
      </c>
      <c r="B588" s="75">
        <v>585</v>
      </c>
      <c r="C588">
        <v>146.0639865</v>
      </c>
      <c r="D588">
        <v>-17.538152369999999</v>
      </c>
      <c r="E588" s="75">
        <v>50</v>
      </c>
      <c r="G588" s="75">
        <v>100</v>
      </c>
      <c r="H588" s="75" t="s">
        <v>26</v>
      </c>
      <c r="I588" t="str">
        <f t="shared" si="9"/>
        <v>X</v>
      </c>
      <c r="J588" s="76"/>
      <c r="K588" s="77"/>
      <c r="L588" s="77"/>
      <c r="M588" s="77"/>
      <c r="N588" s="77"/>
      <c r="O588" s="78"/>
      <c r="P588" s="78"/>
      <c r="Q588" s="78"/>
      <c r="R588" s="78"/>
      <c r="V588" s="79"/>
      <c r="W588" s="78"/>
    </row>
    <row r="589" spans="1:23" s="75" customFormat="1" hidden="1" x14ac:dyDescent="0.35">
      <c r="A589" s="75">
        <v>585</v>
      </c>
      <c r="B589" s="75">
        <v>586</v>
      </c>
      <c r="C589">
        <v>146.06407920000001</v>
      </c>
      <c r="D589">
        <v>-17.538135369999999</v>
      </c>
      <c r="G589" s="75">
        <v>100</v>
      </c>
      <c r="H589" s="75" t="s">
        <v>26</v>
      </c>
      <c r="I589" t="str">
        <f t="shared" si="9"/>
        <v>X</v>
      </c>
      <c r="J589" s="76"/>
      <c r="K589" s="77"/>
      <c r="L589" s="77"/>
      <c r="M589" s="77"/>
      <c r="N589" s="77"/>
      <c r="O589" s="78"/>
      <c r="P589" s="78"/>
      <c r="Q589" s="78"/>
      <c r="R589" s="78"/>
      <c r="V589" s="79"/>
      <c r="W589" s="78"/>
    </row>
    <row r="590" spans="1:23" s="75" customFormat="1" hidden="1" x14ac:dyDescent="0.35">
      <c r="A590" s="75">
        <v>586</v>
      </c>
      <c r="B590" s="75">
        <v>587</v>
      </c>
      <c r="C590">
        <v>146.0641727</v>
      </c>
      <c r="D590">
        <v>-17.538123509999998</v>
      </c>
      <c r="G590" s="75">
        <v>100</v>
      </c>
      <c r="H590" s="75" t="s">
        <v>26</v>
      </c>
      <c r="I590" t="str">
        <f t="shared" si="9"/>
        <v>X</v>
      </c>
      <c r="J590" s="76"/>
      <c r="K590" s="77"/>
      <c r="L590" s="77"/>
      <c r="M590" s="77"/>
      <c r="N590" s="77"/>
      <c r="O590" s="78"/>
      <c r="P590" s="78"/>
      <c r="Q590" s="78"/>
      <c r="R590" s="78"/>
      <c r="V590" s="79"/>
      <c r="W590" s="78"/>
    </row>
    <row r="591" spans="1:23" s="75" customFormat="1" hidden="1" x14ac:dyDescent="0.35">
      <c r="A591" s="75">
        <v>587</v>
      </c>
      <c r="B591" s="75">
        <v>588</v>
      </c>
      <c r="C591">
        <v>146.0642665</v>
      </c>
      <c r="D591">
        <v>-17.53811314</v>
      </c>
      <c r="G591" s="75">
        <v>100</v>
      </c>
      <c r="H591" s="75" t="s">
        <v>26</v>
      </c>
      <c r="I591" t="str">
        <f t="shared" si="9"/>
        <v>X</v>
      </c>
      <c r="J591" s="76"/>
      <c r="K591" s="77"/>
      <c r="L591" s="77"/>
      <c r="M591" s="77"/>
      <c r="N591" s="77"/>
      <c r="O591" s="78"/>
      <c r="P591" s="78"/>
      <c r="Q591" s="78"/>
      <c r="R591" s="78"/>
      <c r="V591" s="79"/>
      <c r="W591" s="78"/>
    </row>
    <row r="592" spans="1:23" s="75" customFormat="1" hidden="1" x14ac:dyDescent="0.35">
      <c r="A592" s="75">
        <v>588</v>
      </c>
      <c r="B592" s="75">
        <v>589</v>
      </c>
      <c r="C592">
        <v>146.06436020000001</v>
      </c>
      <c r="D592">
        <v>-17.538102769999998</v>
      </c>
      <c r="G592" s="75">
        <v>100</v>
      </c>
      <c r="H592" s="75" t="s">
        <v>26</v>
      </c>
      <c r="I592" t="str">
        <f t="shared" si="9"/>
        <v>X</v>
      </c>
      <c r="J592" s="76"/>
      <c r="K592" s="77"/>
      <c r="L592" s="77"/>
      <c r="M592" s="77"/>
      <c r="N592" s="77"/>
      <c r="O592" s="78"/>
      <c r="P592" s="78"/>
      <c r="Q592" s="78"/>
      <c r="R592" s="78"/>
      <c r="V592" s="79"/>
      <c r="W592" s="78"/>
    </row>
    <row r="593" spans="1:23" s="75" customFormat="1" hidden="1" x14ac:dyDescent="0.35">
      <c r="A593" s="75">
        <v>589</v>
      </c>
      <c r="B593" s="75">
        <v>590</v>
      </c>
      <c r="C593">
        <v>146.06445389999999</v>
      </c>
      <c r="D593">
        <v>-17.538092389999999</v>
      </c>
      <c r="E593" s="75">
        <v>50</v>
      </c>
      <c r="G593" s="75">
        <v>100</v>
      </c>
      <c r="H593" s="75" t="s">
        <v>26</v>
      </c>
      <c r="I593" t="str">
        <f t="shared" si="9"/>
        <v>X</v>
      </c>
      <c r="J593" s="76"/>
      <c r="K593" s="77"/>
      <c r="L593" s="77"/>
      <c r="M593" s="77"/>
      <c r="N593" s="77"/>
      <c r="O593" s="78"/>
      <c r="P593" s="78"/>
      <c r="Q593" s="78"/>
      <c r="R593" s="78"/>
      <c r="V593" s="79"/>
      <c r="W593" s="78"/>
    </row>
    <row r="594" spans="1:23" s="75" customFormat="1" hidden="1" x14ac:dyDescent="0.35">
      <c r="A594" s="75">
        <v>590</v>
      </c>
      <c r="B594" s="75">
        <v>591</v>
      </c>
      <c r="C594">
        <v>146.064548</v>
      </c>
      <c r="D594">
        <v>-17.538091699999999</v>
      </c>
      <c r="G594" s="75">
        <v>100</v>
      </c>
      <c r="H594" s="75" t="s">
        <v>26</v>
      </c>
      <c r="I594" t="str">
        <f t="shared" si="9"/>
        <v>X</v>
      </c>
      <c r="J594" s="76"/>
      <c r="K594" s="77"/>
      <c r="L594" s="77"/>
      <c r="M594" s="77"/>
      <c r="N594" s="77"/>
      <c r="O594" s="78"/>
      <c r="P594" s="78"/>
      <c r="Q594" s="78"/>
      <c r="R594" s="78"/>
      <c r="V594" s="79"/>
      <c r="W594" s="78"/>
    </row>
    <row r="595" spans="1:23" s="75" customFormat="1" hidden="1" x14ac:dyDescent="0.35">
      <c r="A595" s="75">
        <v>591</v>
      </c>
      <c r="B595" s="75">
        <v>592</v>
      </c>
      <c r="C595">
        <v>146.0646423</v>
      </c>
      <c r="D595">
        <v>-17.538095089999999</v>
      </c>
      <c r="G595" s="75">
        <v>100</v>
      </c>
      <c r="H595" s="75" t="s">
        <v>26</v>
      </c>
      <c r="I595" t="str">
        <f t="shared" si="9"/>
        <v>X</v>
      </c>
      <c r="J595" s="76"/>
      <c r="K595" s="77"/>
      <c r="L595" s="77"/>
      <c r="M595" s="77"/>
      <c r="N595" s="77"/>
      <c r="O595" s="78"/>
      <c r="P595" s="78"/>
      <c r="Q595" s="78"/>
      <c r="R595" s="78"/>
      <c r="V595" s="79"/>
      <c r="W595" s="78"/>
    </row>
    <row r="596" spans="1:23" s="75" customFormat="1" hidden="1" x14ac:dyDescent="0.35">
      <c r="A596" s="75">
        <v>592</v>
      </c>
      <c r="B596" s="75">
        <v>593</v>
      </c>
      <c r="C596">
        <v>146.06473650000001</v>
      </c>
      <c r="D596">
        <v>-17.538098489999999</v>
      </c>
      <c r="G596" s="75">
        <v>100</v>
      </c>
      <c r="H596" s="75" t="s">
        <v>26</v>
      </c>
      <c r="I596" t="str">
        <f t="shared" si="9"/>
        <v>X</v>
      </c>
      <c r="J596" s="76"/>
      <c r="K596" s="77"/>
      <c r="L596" s="77"/>
      <c r="M596" s="77"/>
      <c r="N596" s="77"/>
      <c r="O596" s="78"/>
      <c r="P596" s="78"/>
      <c r="Q596" s="78"/>
      <c r="R596" s="78"/>
      <c r="V596" s="79"/>
      <c r="W596" s="78"/>
    </row>
    <row r="597" spans="1:23" s="75" customFormat="1" hidden="1" x14ac:dyDescent="0.35">
      <c r="A597" s="75">
        <v>593</v>
      </c>
      <c r="B597" s="75">
        <v>594</v>
      </c>
      <c r="C597">
        <v>146.06483080000001</v>
      </c>
      <c r="D597">
        <v>-17.53810189</v>
      </c>
      <c r="G597" s="75">
        <v>100</v>
      </c>
      <c r="H597" s="75" t="s">
        <v>26</v>
      </c>
      <c r="I597" t="str">
        <f t="shared" si="9"/>
        <v>X</v>
      </c>
      <c r="J597" s="76"/>
      <c r="K597" s="77"/>
      <c r="L597" s="77"/>
      <c r="M597" s="77"/>
      <c r="N597" s="77"/>
      <c r="O597" s="78"/>
      <c r="P597" s="78"/>
      <c r="Q597" s="78"/>
      <c r="R597" s="78"/>
      <c r="V597" s="79"/>
      <c r="W597" s="78"/>
    </row>
    <row r="598" spans="1:23" s="75" customFormat="1" hidden="1" x14ac:dyDescent="0.35">
      <c r="A598" s="75">
        <v>594</v>
      </c>
      <c r="B598" s="75">
        <v>595</v>
      </c>
      <c r="C598">
        <v>146.06492259999999</v>
      </c>
      <c r="D598">
        <v>-17.538121740000001</v>
      </c>
      <c r="E598" s="75">
        <v>50</v>
      </c>
      <c r="G598" s="75">
        <v>100</v>
      </c>
      <c r="H598" s="75" t="s">
        <v>26</v>
      </c>
      <c r="I598" t="str">
        <f t="shared" si="9"/>
        <v>X</v>
      </c>
      <c r="J598" s="76"/>
      <c r="K598" s="77"/>
      <c r="L598" s="77"/>
      <c r="M598" s="77"/>
      <c r="N598" s="77"/>
      <c r="O598" s="78"/>
      <c r="P598" s="78"/>
      <c r="Q598" s="78"/>
      <c r="R598" s="78"/>
      <c r="V598" s="79"/>
      <c r="W598" s="78"/>
    </row>
    <row r="599" spans="1:23" s="75" customFormat="1" hidden="1" x14ac:dyDescent="0.35">
      <c r="A599" s="75">
        <v>595</v>
      </c>
      <c r="B599" s="75">
        <v>596</v>
      </c>
      <c r="C599">
        <v>146.06501399999999</v>
      </c>
      <c r="D599">
        <v>-17.53814496</v>
      </c>
      <c r="G599" s="75">
        <v>100</v>
      </c>
      <c r="H599" s="75" t="s">
        <v>26</v>
      </c>
      <c r="I599" t="str">
        <f t="shared" si="9"/>
        <v>X</v>
      </c>
      <c r="J599" s="76"/>
      <c r="K599" s="77"/>
      <c r="L599" s="77"/>
      <c r="M599" s="77"/>
      <c r="N599" s="77"/>
      <c r="O599" s="78"/>
      <c r="P599" s="78"/>
      <c r="Q599" s="78"/>
      <c r="R599" s="78"/>
      <c r="V599" s="79"/>
      <c r="W599" s="78"/>
    </row>
    <row r="600" spans="1:23" s="75" customFormat="1" hidden="1" x14ac:dyDescent="0.35">
      <c r="A600" s="75">
        <v>596</v>
      </c>
      <c r="B600" s="75">
        <v>597</v>
      </c>
      <c r="C600">
        <v>146.06510539999999</v>
      </c>
      <c r="D600">
        <v>-17.538168169999999</v>
      </c>
      <c r="G600" s="75">
        <v>100</v>
      </c>
      <c r="H600" s="75" t="s">
        <v>26</v>
      </c>
      <c r="I600" t="str">
        <f t="shared" si="9"/>
        <v>X</v>
      </c>
      <c r="J600" s="76"/>
      <c r="K600" s="77"/>
      <c r="L600" s="77"/>
      <c r="M600" s="77"/>
      <c r="N600" s="77"/>
      <c r="O600" s="78"/>
      <c r="P600" s="78"/>
      <c r="Q600" s="78"/>
      <c r="R600" s="78"/>
      <c r="V600" s="79"/>
      <c r="W600" s="78"/>
    </row>
    <row r="601" spans="1:23" s="75" customFormat="1" hidden="1" x14ac:dyDescent="0.35">
      <c r="A601" s="75">
        <v>597</v>
      </c>
      <c r="B601" s="75">
        <v>598</v>
      </c>
      <c r="C601">
        <v>146.065179</v>
      </c>
      <c r="D601">
        <v>-17.53821945</v>
      </c>
      <c r="G601" s="75">
        <v>100</v>
      </c>
      <c r="H601" s="75" t="s">
        <v>26</v>
      </c>
      <c r="I601" t="str">
        <f t="shared" si="9"/>
        <v>X</v>
      </c>
      <c r="J601" s="76"/>
      <c r="K601" s="77"/>
      <c r="L601" s="77"/>
      <c r="M601" s="77"/>
      <c r="N601" s="77"/>
      <c r="O601" s="78"/>
      <c r="P601" s="78"/>
      <c r="Q601" s="78"/>
      <c r="R601" s="78"/>
      <c r="V601" s="79"/>
      <c r="W601" s="78"/>
    </row>
    <row r="602" spans="1:23" s="75" customFormat="1" hidden="1" x14ac:dyDescent="0.35">
      <c r="A602" s="75">
        <v>598</v>
      </c>
      <c r="B602" s="75">
        <v>599</v>
      </c>
      <c r="C602">
        <v>146.0652389</v>
      </c>
      <c r="D602">
        <v>-17.538292309999999</v>
      </c>
      <c r="G602" s="75">
        <v>100</v>
      </c>
      <c r="H602" s="75" t="s">
        <v>26</v>
      </c>
      <c r="I602" t="str">
        <f t="shared" si="9"/>
        <v>X</v>
      </c>
      <c r="J602" s="76"/>
      <c r="K602" s="77"/>
      <c r="L602" s="77"/>
      <c r="M602" s="77"/>
      <c r="N602" s="77"/>
      <c r="O602" s="78"/>
      <c r="P602" s="78"/>
      <c r="Q602" s="78"/>
      <c r="R602" s="78"/>
      <c r="V602" s="79"/>
      <c r="W602" s="78"/>
    </row>
    <row r="603" spans="1:23" s="75" customFormat="1" hidden="1" x14ac:dyDescent="0.35">
      <c r="A603" s="75">
        <v>599</v>
      </c>
      <c r="B603" s="75">
        <v>600</v>
      </c>
      <c r="C603">
        <v>146.0652906</v>
      </c>
      <c r="D603">
        <v>-17.538370140000001</v>
      </c>
      <c r="E603" s="75">
        <v>50</v>
      </c>
      <c r="G603" s="75">
        <v>100</v>
      </c>
      <c r="H603" s="75" t="s">
        <v>26</v>
      </c>
      <c r="I603" t="str">
        <f t="shared" si="9"/>
        <v>X</v>
      </c>
      <c r="J603" s="76"/>
      <c r="K603" s="77"/>
      <c r="L603" s="77"/>
      <c r="M603" s="77"/>
      <c r="N603" s="77"/>
      <c r="O603" s="78"/>
      <c r="P603" s="78"/>
      <c r="Q603" s="78"/>
      <c r="R603" s="78"/>
      <c r="V603" s="79"/>
      <c r="W603" s="78"/>
    </row>
    <row r="604" spans="1:23" s="75" customFormat="1" hidden="1" x14ac:dyDescent="0.35">
      <c r="A604" s="75">
        <v>600</v>
      </c>
      <c r="B604" s="75">
        <v>601</v>
      </c>
      <c r="C604">
        <v>146.0653275</v>
      </c>
      <c r="D604">
        <v>-17.538456910000001</v>
      </c>
      <c r="G604" s="75">
        <v>100</v>
      </c>
      <c r="H604" s="75" t="s">
        <v>26</v>
      </c>
      <c r="I604" t="str">
        <f t="shared" si="9"/>
        <v>X</v>
      </c>
      <c r="J604" s="76"/>
      <c r="K604" s="77"/>
      <c r="L604" s="77"/>
      <c r="M604" s="77"/>
      <c r="N604" s="77"/>
      <c r="O604" s="78"/>
      <c r="P604" s="78"/>
      <c r="Q604" s="78"/>
      <c r="R604" s="78"/>
      <c r="V604" s="79"/>
      <c r="W604" s="78"/>
    </row>
    <row r="605" spans="1:23" s="75" customFormat="1" hidden="1" x14ac:dyDescent="0.35">
      <c r="A605" s="75">
        <v>601</v>
      </c>
      <c r="B605" s="75">
        <v>602</v>
      </c>
      <c r="C605">
        <v>146.06536439999999</v>
      </c>
      <c r="D605">
        <v>-17.53854368</v>
      </c>
      <c r="G605" s="75">
        <v>100</v>
      </c>
      <c r="H605" s="75" t="s">
        <v>26</v>
      </c>
      <c r="I605" t="str">
        <f t="shared" si="9"/>
        <v>X</v>
      </c>
      <c r="J605" s="76"/>
      <c r="K605" s="77"/>
      <c r="L605" s="77"/>
      <c r="M605" s="77"/>
      <c r="N605" s="77"/>
      <c r="O605" s="78"/>
      <c r="P605" s="78"/>
      <c r="Q605" s="78"/>
      <c r="R605" s="78"/>
      <c r="V605" s="79"/>
      <c r="W605" s="78"/>
    </row>
    <row r="606" spans="1:23" s="75" customFormat="1" hidden="1" x14ac:dyDescent="0.35">
      <c r="A606" s="75">
        <v>602</v>
      </c>
      <c r="B606" s="75">
        <v>603</v>
      </c>
      <c r="C606">
        <v>146.06536940000001</v>
      </c>
      <c r="D606">
        <v>-17.538635249999999</v>
      </c>
      <c r="G606" s="75">
        <v>100</v>
      </c>
      <c r="H606" s="75" t="s">
        <v>26</v>
      </c>
      <c r="I606" t="str">
        <f t="shared" si="9"/>
        <v>X</v>
      </c>
      <c r="J606" s="76"/>
      <c r="K606" s="77"/>
      <c r="L606" s="77"/>
      <c r="M606" s="77"/>
      <c r="N606" s="77"/>
      <c r="O606" s="78"/>
      <c r="P606" s="78"/>
      <c r="Q606" s="78"/>
      <c r="R606" s="78"/>
      <c r="V606" s="79"/>
      <c r="W606" s="78"/>
    </row>
    <row r="607" spans="1:23" s="75" customFormat="1" hidden="1" x14ac:dyDescent="0.35">
      <c r="A607" s="75">
        <v>603</v>
      </c>
      <c r="B607" s="75">
        <v>604</v>
      </c>
      <c r="C607">
        <v>146.06535959999999</v>
      </c>
      <c r="D607">
        <v>-17.53872904</v>
      </c>
      <c r="G607" s="75">
        <v>100</v>
      </c>
      <c r="H607" s="75" t="s">
        <v>26</v>
      </c>
      <c r="I607" t="str">
        <f t="shared" si="9"/>
        <v>X</v>
      </c>
      <c r="J607" s="76"/>
      <c r="K607" s="77"/>
      <c r="L607" s="77"/>
      <c r="M607" s="77"/>
      <c r="N607" s="77"/>
      <c r="O607" s="78"/>
      <c r="P607" s="78"/>
      <c r="Q607" s="78"/>
      <c r="R607" s="78"/>
      <c r="V607" s="79"/>
      <c r="W607" s="78"/>
    </row>
    <row r="608" spans="1:23" s="75" customFormat="1" hidden="1" x14ac:dyDescent="0.35">
      <c r="A608" s="75">
        <v>604</v>
      </c>
      <c r="B608" s="75">
        <v>605</v>
      </c>
      <c r="C608">
        <v>146.0653484</v>
      </c>
      <c r="D608">
        <v>-17.538822499999998</v>
      </c>
      <c r="E608" s="75">
        <v>50</v>
      </c>
      <c r="G608" s="75">
        <v>100</v>
      </c>
      <c r="H608" s="75" t="s">
        <v>26</v>
      </c>
      <c r="I608" t="str">
        <f t="shared" si="9"/>
        <v>X</v>
      </c>
      <c r="J608" s="76"/>
      <c r="K608" s="77"/>
      <c r="L608" s="77"/>
      <c r="M608" s="77"/>
      <c r="N608" s="77"/>
      <c r="O608" s="78"/>
      <c r="P608" s="78"/>
      <c r="Q608" s="78"/>
      <c r="R608" s="78"/>
      <c r="V608" s="79"/>
      <c r="W608" s="78"/>
    </row>
    <row r="609" spans="1:23" s="75" customFormat="1" hidden="1" x14ac:dyDescent="0.35">
      <c r="A609" s="75">
        <v>605</v>
      </c>
      <c r="B609" s="75">
        <v>606</v>
      </c>
      <c r="C609">
        <v>146.06531519999999</v>
      </c>
      <c r="D609">
        <v>-17.5389108</v>
      </c>
      <c r="G609" s="75">
        <v>100</v>
      </c>
      <c r="H609" s="75" t="s">
        <v>26</v>
      </c>
      <c r="I609" t="str">
        <f t="shared" si="9"/>
        <v>X</v>
      </c>
      <c r="J609" s="76"/>
      <c r="K609" s="77"/>
      <c r="L609" s="77"/>
      <c r="M609" s="77"/>
      <c r="N609" s="77"/>
      <c r="O609" s="78"/>
      <c r="P609" s="78"/>
      <c r="Q609" s="78"/>
      <c r="R609" s="78"/>
      <c r="V609" s="79"/>
      <c r="W609" s="78"/>
    </row>
    <row r="610" spans="1:23" s="75" customFormat="1" hidden="1" x14ac:dyDescent="0.35">
      <c r="A610" s="75">
        <v>606</v>
      </c>
      <c r="B610" s="75">
        <v>607</v>
      </c>
      <c r="C610">
        <v>146.06528209999999</v>
      </c>
      <c r="D610">
        <v>-17.538999090000001</v>
      </c>
      <c r="G610" s="75">
        <v>100</v>
      </c>
      <c r="H610" s="75" t="s">
        <v>26</v>
      </c>
      <c r="I610" t="str">
        <f t="shared" si="9"/>
        <v>X</v>
      </c>
      <c r="J610" s="76"/>
      <c r="K610" s="77"/>
      <c r="L610" s="77"/>
      <c r="M610" s="77"/>
      <c r="N610" s="77"/>
      <c r="O610" s="78"/>
      <c r="P610" s="78"/>
      <c r="Q610" s="78"/>
      <c r="R610" s="78"/>
      <c r="V610" s="79"/>
      <c r="W610" s="78"/>
    </row>
    <row r="611" spans="1:23" s="75" customFormat="1" hidden="1" x14ac:dyDescent="0.35">
      <c r="A611" s="75">
        <v>607</v>
      </c>
      <c r="B611" s="75">
        <v>608</v>
      </c>
      <c r="C611">
        <v>146.06524899999999</v>
      </c>
      <c r="D611">
        <v>-17.539087389999999</v>
      </c>
      <c r="G611" s="75">
        <v>100</v>
      </c>
      <c r="H611" s="75" t="s">
        <v>26</v>
      </c>
      <c r="I611" t="str">
        <f t="shared" si="9"/>
        <v>X</v>
      </c>
      <c r="J611" s="76"/>
      <c r="K611" s="77"/>
      <c r="L611" s="77"/>
      <c r="M611" s="77"/>
      <c r="N611" s="77"/>
      <c r="O611" s="78"/>
      <c r="P611" s="78"/>
      <c r="Q611" s="78"/>
      <c r="R611" s="78"/>
      <c r="V611" s="79"/>
      <c r="W611" s="78"/>
    </row>
    <row r="612" spans="1:23" s="75" customFormat="1" hidden="1" x14ac:dyDescent="0.35">
      <c r="A612" s="75">
        <v>608</v>
      </c>
      <c r="B612" s="75">
        <v>609</v>
      </c>
      <c r="C612">
        <v>146.0652159</v>
      </c>
      <c r="D612">
        <v>-17.53917569</v>
      </c>
      <c r="G612" s="75">
        <v>100</v>
      </c>
      <c r="H612" s="75" t="s">
        <v>26</v>
      </c>
      <c r="I612" t="str">
        <f t="shared" si="9"/>
        <v>X</v>
      </c>
      <c r="J612" s="76"/>
      <c r="K612" s="77"/>
      <c r="L612" s="77"/>
      <c r="M612" s="77"/>
      <c r="N612" s="77"/>
      <c r="O612" s="78"/>
      <c r="P612" s="78"/>
      <c r="Q612" s="78"/>
      <c r="R612" s="78"/>
      <c r="V612" s="79"/>
      <c r="W612" s="78"/>
    </row>
    <row r="613" spans="1:23" s="75" customFormat="1" hidden="1" x14ac:dyDescent="0.35">
      <c r="A613" s="75">
        <v>609</v>
      </c>
      <c r="B613" s="75">
        <v>610</v>
      </c>
      <c r="C613">
        <v>146.06515440000001</v>
      </c>
      <c r="D613">
        <v>-17.539244530000001</v>
      </c>
      <c r="E613" s="75">
        <v>50</v>
      </c>
      <c r="G613" s="75">
        <v>100</v>
      </c>
      <c r="H613" s="75" t="s">
        <v>26</v>
      </c>
      <c r="I613" t="str">
        <f t="shared" si="9"/>
        <v>X</v>
      </c>
      <c r="J613" s="76"/>
      <c r="K613" s="77"/>
      <c r="L613" s="77"/>
      <c r="M613" s="77"/>
      <c r="N613" s="77"/>
      <c r="O613" s="78"/>
      <c r="P613" s="78"/>
      <c r="Q613" s="78"/>
      <c r="R613" s="78"/>
      <c r="V613" s="79"/>
      <c r="W613" s="78"/>
    </row>
    <row r="614" spans="1:23" s="75" customFormat="1" hidden="1" x14ac:dyDescent="0.35">
      <c r="A614" s="75">
        <v>610</v>
      </c>
      <c r="B614" s="75">
        <v>611</v>
      </c>
      <c r="C614">
        <v>146.06508400000001</v>
      </c>
      <c r="D614">
        <v>-17.539307300000001</v>
      </c>
      <c r="G614" s="75">
        <v>100</v>
      </c>
      <c r="H614" s="75" t="s">
        <v>26</v>
      </c>
      <c r="I614" t="str">
        <f t="shared" si="9"/>
        <v>X</v>
      </c>
      <c r="J614" s="76"/>
      <c r="K614" s="77"/>
      <c r="L614" s="77"/>
      <c r="M614" s="77"/>
      <c r="N614" s="77"/>
      <c r="O614" s="78"/>
      <c r="P614" s="78"/>
      <c r="Q614" s="78"/>
      <c r="R614" s="78"/>
      <c r="V614" s="79"/>
      <c r="W614" s="78"/>
    </row>
    <row r="615" spans="1:23" s="75" customFormat="1" hidden="1" x14ac:dyDescent="0.35">
      <c r="A615" s="75">
        <v>611</v>
      </c>
      <c r="B615" s="75">
        <v>612</v>
      </c>
      <c r="C615">
        <v>146.06501359999999</v>
      </c>
      <c r="D615">
        <v>-17.53937007</v>
      </c>
      <c r="G615" s="75">
        <v>100</v>
      </c>
      <c r="H615" s="75" t="s">
        <v>26</v>
      </c>
      <c r="I615" t="str">
        <f t="shared" si="9"/>
        <v>X</v>
      </c>
      <c r="J615" s="76"/>
      <c r="K615" s="77"/>
      <c r="L615" s="77"/>
      <c r="M615" s="77"/>
      <c r="N615" s="77"/>
      <c r="O615" s="78"/>
      <c r="P615" s="78"/>
      <c r="Q615" s="78"/>
      <c r="R615" s="78"/>
      <c r="V615" s="79"/>
      <c r="W615" s="78"/>
    </row>
    <row r="616" spans="1:23" s="75" customFormat="1" hidden="1" x14ac:dyDescent="0.35">
      <c r="A616" s="75">
        <v>612</v>
      </c>
      <c r="B616" s="75">
        <v>613</v>
      </c>
      <c r="C616">
        <v>146.06494319999999</v>
      </c>
      <c r="D616">
        <v>-17.53943284</v>
      </c>
      <c r="G616" s="75">
        <v>100</v>
      </c>
      <c r="H616" s="75" t="s">
        <v>26</v>
      </c>
      <c r="I616" t="str">
        <f t="shared" si="9"/>
        <v>X</v>
      </c>
      <c r="J616" s="76"/>
      <c r="K616" s="77"/>
      <c r="L616" s="77"/>
      <c r="M616" s="77"/>
      <c r="N616" s="77"/>
      <c r="O616" s="78"/>
      <c r="P616" s="78"/>
      <c r="Q616" s="78"/>
      <c r="R616" s="78"/>
      <c r="V616" s="79"/>
      <c r="W616" s="78"/>
    </row>
    <row r="617" spans="1:23" s="75" customFormat="1" hidden="1" x14ac:dyDescent="0.35">
      <c r="A617" s="75">
        <v>613</v>
      </c>
      <c r="B617" s="75">
        <v>614</v>
      </c>
      <c r="C617">
        <v>146.06487150000001</v>
      </c>
      <c r="D617">
        <v>-17.539493830000001</v>
      </c>
      <c r="G617" s="75">
        <v>100</v>
      </c>
      <c r="H617" s="75" t="s">
        <v>26</v>
      </c>
      <c r="I617" t="str">
        <f t="shared" si="9"/>
        <v>X</v>
      </c>
      <c r="J617" s="76"/>
      <c r="K617" s="77"/>
      <c r="L617" s="77"/>
      <c r="M617" s="77"/>
      <c r="N617" s="77"/>
      <c r="O617" s="78"/>
      <c r="P617" s="78"/>
      <c r="Q617" s="78"/>
      <c r="R617" s="78"/>
      <c r="V617" s="79"/>
      <c r="W617" s="78"/>
    </row>
    <row r="618" spans="1:23" s="75" customFormat="1" hidden="1" x14ac:dyDescent="0.35">
      <c r="A618" s="75">
        <v>614</v>
      </c>
      <c r="B618" s="75">
        <v>615</v>
      </c>
      <c r="C618">
        <v>146.06479210000001</v>
      </c>
      <c r="D618">
        <v>-17.53954474</v>
      </c>
      <c r="E618" s="75">
        <v>50</v>
      </c>
      <c r="G618" s="75">
        <v>100</v>
      </c>
      <c r="H618" s="75" t="s">
        <v>26</v>
      </c>
      <c r="I618" t="str">
        <f t="shared" si="9"/>
        <v>X</v>
      </c>
      <c r="J618" s="76"/>
      <c r="K618" s="77"/>
      <c r="L618" s="77"/>
      <c r="M618" s="77"/>
      <c r="N618" s="77"/>
      <c r="O618" s="78"/>
      <c r="P618" s="78"/>
      <c r="Q618" s="78"/>
      <c r="R618" s="78"/>
      <c r="V618" s="79"/>
      <c r="W618" s="78"/>
    </row>
    <row r="619" spans="1:23" s="75" customFormat="1" hidden="1" x14ac:dyDescent="0.35">
      <c r="A619" s="75">
        <v>615</v>
      </c>
      <c r="B619" s="75">
        <v>616</v>
      </c>
      <c r="C619">
        <v>146.0647127</v>
      </c>
      <c r="D619">
        <v>-17.539595649999999</v>
      </c>
      <c r="G619" s="75">
        <v>100</v>
      </c>
      <c r="H619" s="75" t="s">
        <v>26</v>
      </c>
      <c r="I619" t="str">
        <f t="shared" si="9"/>
        <v>X</v>
      </c>
      <c r="J619" s="76"/>
      <c r="K619" s="77"/>
      <c r="L619" s="77"/>
      <c r="M619" s="77"/>
      <c r="N619" s="77"/>
      <c r="O619" s="78"/>
      <c r="P619" s="78"/>
      <c r="Q619" s="78"/>
      <c r="R619" s="78"/>
      <c r="V619" s="79"/>
      <c r="W619" s="78"/>
    </row>
    <row r="620" spans="1:23" s="75" customFormat="1" hidden="1" x14ac:dyDescent="0.35">
      <c r="A620" s="75">
        <v>616</v>
      </c>
      <c r="B620" s="75">
        <v>617</v>
      </c>
      <c r="C620">
        <v>146.0646333</v>
      </c>
      <c r="D620">
        <v>-17.539646550000001</v>
      </c>
      <c r="G620" s="75">
        <v>100</v>
      </c>
      <c r="H620" s="75" t="s">
        <v>26</v>
      </c>
      <c r="I620" t="str">
        <f t="shared" si="9"/>
        <v>X</v>
      </c>
      <c r="J620" s="76"/>
      <c r="K620" s="77"/>
      <c r="L620" s="77"/>
      <c r="M620" s="77"/>
      <c r="N620" s="77"/>
      <c r="O620" s="78"/>
      <c r="P620" s="78"/>
      <c r="Q620" s="78"/>
      <c r="R620" s="78"/>
      <c r="V620" s="79"/>
      <c r="W620" s="78"/>
    </row>
    <row r="621" spans="1:23" s="75" customFormat="1" hidden="1" x14ac:dyDescent="0.35">
      <c r="A621" s="75">
        <v>617</v>
      </c>
      <c r="B621" s="75">
        <v>618</v>
      </c>
      <c r="C621">
        <v>146.064547</v>
      </c>
      <c r="D621">
        <v>-17.53967759</v>
      </c>
      <c r="G621" s="75">
        <v>100</v>
      </c>
      <c r="H621" s="75" t="s">
        <v>26</v>
      </c>
      <c r="I621" t="str">
        <f t="shared" si="9"/>
        <v>X</v>
      </c>
      <c r="J621" s="76"/>
      <c r="K621" s="77"/>
      <c r="L621" s="77"/>
      <c r="M621" s="77"/>
      <c r="N621" s="77"/>
      <c r="O621" s="78"/>
      <c r="P621" s="78"/>
      <c r="Q621" s="78"/>
      <c r="R621" s="78"/>
      <c r="V621" s="79"/>
      <c r="W621" s="78"/>
    </row>
    <row r="622" spans="1:23" s="75" customFormat="1" hidden="1" x14ac:dyDescent="0.35">
      <c r="A622" s="75">
        <v>618</v>
      </c>
      <c r="B622" s="75">
        <v>619</v>
      </c>
      <c r="C622">
        <v>146.0644532</v>
      </c>
      <c r="D622">
        <v>-17.539687480000001</v>
      </c>
      <c r="G622" s="75">
        <v>100</v>
      </c>
      <c r="H622" s="75" t="s">
        <v>26</v>
      </c>
      <c r="I622" t="str">
        <f t="shared" si="9"/>
        <v>X</v>
      </c>
      <c r="J622" s="76"/>
      <c r="K622" s="77"/>
      <c r="L622" s="77"/>
      <c r="M622" s="77"/>
      <c r="N622" s="77"/>
      <c r="O622" s="78"/>
      <c r="P622" s="78"/>
      <c r="Q622" s="78"/>
      <c r="R622" s="78"/>
      <c r="V622" s="79"/>
      <c r="W622" s="78"/>
    </row>
    <row r="623" spans="1:23" s="75" customFormat="1" hidden="1" x14ac:dyDescent="0.35">
      <c r="A623" s="75">
        <v>619</v>
      </c>
      <c r="B623" s="75">
        <v>620</v>
      </c>
      <c r="C623">
        <v>146.06436070000001</v>
      </c>
      <c r="D623">
        <v>-17.539703620000001</v>
      </c>
      <c r="E623" s="75">
        <v>50</v>
      </c>
      <c r="G623" s="75">
        <v>100</v>
      </c>
      <c r="H623" s="75" t="s">
        <v>26</v>
      </c>
      <c r="I623" t="str">
        <f t="shared" si="9"/>
        <v>X</v>
      </c>
      <c r="J623" s="76"/>
      <c r="K623" s="77"/>
      <c r="L623" s="77"/>
      <c r="M623" s="77"/>
      <c r="N623" s="77"/>
      <c r="O623" s="78"/>
      <c r="P623" s="78"/>
      <c r="Q623" s="78"/>
      <c r="R623" s="78"/>
      <c r="V623" s="79"/>
      <c r="W623" s="78"/>
    </row>
    <row r="624" spans="1:23" s="75" customFormat="1" hidden="1" x14ac:dyDescent="0.35">
      <c r="A624" s="75">
        <v>620</v>
      </c>
      <c r="B624" s="75">
        <v>621</v>
      </c>
      <c r="C624">
        <v>146.0642722</v>
      </c>
      <c r="D624">
        <v>-17.53973568</v>
      </c>
      <c r="G624" s="75">
        <v>100</v>
      </c>
      <c r="H624" s="75" t="s">
        <v>26</v>
      </c>
      <c r="I624" t="str">
        <f t="shared" si="9"/>
        <v>X</v>
      </c>
      <c r="J624" s="76"/>
      <c r="K624" s="77"/>
      <c r="L624" s="77"/>
      <c r="M624" s="77"/>
      <c r="N624" s="77"/>
      <c r="O624" s="78"/>
      <c r="P624" s="78"/>
      <c r="Q624" s="78"/>
      <c r="R624" s="78"/>
      <c r="V624" s="79"/>
      <c r="W624" s="78"/>
    </row>
    <row r="625" spans="1:23" s="75" customFormat="1" hidden="1" x14ac:dyDescent="0.35">
      <c r="A625" s="75">
        <v>621</v>
      </c>
      <c r="B625" s="75">
        <v>622</v>
      </c>
      <c r="C625">
        <v>146.0641813</v>
      </c>
      <c r="D625">
        <v>-17.53975548</v>
      </c>
      <c r="G625" s="75">
        <v>100</v>
      </c>
      <c r="H625" s="75" t="s">
        <v>26</v>
      </c>
      <c r="I625" t="str">
        <f t="shared" si="9"/>
        <v>X</v>
      </c>
      <c r="J625" s="76"/>
      <c r="K625" s="77"/>
      <c r="L625" s="77"/>
      <c r="M625" s="77"/>
      <c r="N625" s="77"/>
      <c r="O625" s="78"/>
      <c r="P625" s="78"/>
      <c r="Q625" s="78"/>
      <c r="R625" s="78"/>
      <c r="V625" s="79"/>
      <c r="W625" s="78"/>
    </row>
    <row r="626" spans="1:23" s="75" customFormat="1" hidden="1" x14ac:dyDescent="0.35">
      <c r="A626" s="75">
        <v>622</v>
      </c>
      <c r="B626" s="75">
        <v>623</v>
      </c>
      <c r="C626">
        <v>146.06408730000001</v>
      </c>
      <c r="D626">
        <v>-17.539762710000002</v>
      </c>
      <c r="G626" s="75">
        <v>100</v>
      </c>
      <c r="H626" s="75" t="s">
        <v>26</v>
      </c>
      <c r="I626" t="str">
        <f t="shared" si="9"/>
        <v>X</v>
      </c>
      <c r="J626" s="76"/>
      <c r="K626" s="77"/>
      <c r="L626" s="77"/>
      <c r="M626" s="77"/>
      <c r="N626" s="77"/>
      <c r="O626" s="78"/>
      <c r="P626" s="78"/>
      <c r="Q626" s="78"/>
      <c r="R626" s="78"/>
      <c r="V626" s="79"/>
      <c r="W626" s="78"/>
    </row>
    <row r="627" spans="1:23" s="75" customFormat="1" hidden="1" x14ac:dyDescent="0.35">
      <c r="A627" s="75">
        <v>623</v>
      </c>
      <c r="B627" s="75">
        <v>624</v>
      </c>
      <c r="C627">
        <v>146.0639941</v>
      </c>
      <c r="D627">
        <v>-17.53977424</v>
      </c>
      <c r="G627" s="75">
        <v>100</v>
      </c>
      <c r="H627" s="75" t="s">
        <v>26</v>
      </c>
      <c r="I627" t="str">
        <f t="shared" si="9"/>
        <v>X</v>
      </c>
      <c r="J627" s="76"/>
      <c r="K627" s="77"/>
      <c r="L627" s="77"/>
      <c r="M627" s="77"/>
      <c r="N627" s="77"/>
      <c r="O627" s="78"/>
      <c r="P627" s="78"/>
      <c r="Q627" s="78"/>
      <c r="R627" s="78"/>
      <c r="V627" s="79"/>
      <c r="W627" s="78"/>
    </row>
    <row r="628" spans="1:23" s="75" customFormat="1" hidden="1" x14ac:dyDescent="0.35">
      <c r="A628" s="75">
        <v>624</v>
      </c>
      <c r="B628" s="75">
        <v>625</v>
      </c>
      <c r="C628">
        <v>146.06390540000001</v>
      </c>
      <c r="D628">
        <v>-17.539806030000001</v>
      </c>
      <c r="E628" s="75">
        <v>50</v>
      </c>
      <c r="G628" s="75">
        <v>100</v>
      </c>
      <c r="H628" s="75" t="s">
        <v>26</v>
      </c>
      <c r="I628" t="str">
        <f t="shared" si="9"/>
        <v>X</v>
      </c>
      <c r="J628" s="76"/>
      <c r="K628" s="77"/>
      <c r="L628" s="77"/>
      <c r="M628" s="77"/>
      <c r="N628" s="77"/>
      <c r="O628" s="78"/>
      <c r="P628" s="78"/>
      <c r="Q628" s="78"/>
      <c r="R628" s="78"/>
      <c r="V628" s="79"/>
      <c r="W628" s="78"/>
    </row>
    <row r="629" spans="1:23" s="75" customFormat="1" hidden="1" x14ac:dyDescent="0.35">
      <c r="A629" s="75">
        <v>625</v>
      </c>
      <c r="B629" s="75">
        <v>626</v>
      </c>
      <c r="C629">
        <v>146.0638166</v>
      </c>
      <c r="D629">
        <v>-17.539837810000002</v>
      </c>
      <c r="G629" s="75">
        <v>100</v>
      </c>
      <c r="H629" s="75" t="s">
        <v>26</v>
      </c>
      <c r="I629" t="str">
        <f t="shared" si="9"/>
        <v>X</v>
      </c>
      <c r="J629" s="76"/>
      <c r="K629" s="77"/>
      <c r="L629" s="77"/>
      <c r="M629" s="77"/>
      <c r="N629" s="77"/>
      <c r="O629" s="78"/>
      <c r="P629" s="78"/>
      <c r="Q629" s="78"/>
      <c r="R629" s="78"/>
      <c r="V629" s="79"/>
      <c r="W629" s="78"/>
    </row>
    <row r="630" spans="1:23" s="75" customFormat="1" hidden="1" x14ac:dyDescent="0.35">
      <c r="A630" s="75">
        <v>626</v>
      </c>
      <c r="B630" s="75">
        <v>627</v>
      </c>
      <c r="C630">
        <v>146.06372780000001</v>
      </c>
      <c r="D630">
        <v>-17.539869599999999</v>
      </c>
      <c r="G630" s="75">
        <v>100</v>
      </c>
      <c r="H630" s="75" t="s">
        <v>26</v>
      </c>
      <c r="I630" t="str">
        <f t="shared" si="9"/>
        <v>X</v>
      </c>
      <c r="J630" s="76"/>
      <c r="K630" s="77"/>
      <c r="L630" s="77"/>
      <c r="M630" s="77"/>
      <c r="N630" s="77"/>
      <c r="O630" s="78"/>
      <c r="P630" s="78"/>
      <c r="Q630" s="78"/>
      <c r="R630" s="78"/>
      <c r="V630" s="79"/>
      <c r="W630" s="78"/>
    </row>
    <row r="631" spans="1:23" s="75" customFormat="1" hidden="1" x14ac:dyDescent="0.35">
      <c r="A631" s="75">
        <v>627</v>
      </c>
      <c r="B631" s="75">
        <v>628</v>
      </c>
      <c r="C631">
        <v>146.06363949999999</v>
      </c>
      <c r="D631">
        <v>-17.539902659999999</v>
      </c>
      <c r="G631" s="75">
        <v>100</v>
      </c>
      <c r="H631" s="75" t="s">
        <v>26</v>
      </c>
      <c r="I631" t="str">
        <f t="shared" si="9"/>
        <v>X</v>
      </c>
      <c r="J631" s="76"/>
      <c r="K631" s="77"/>
      <c r="L631" s="77"/>
      <c r="M631" s="77"/>
      <c r="N631" s="77"/>
      <c r="O631" s="78"/>
      <c r="P631" s="78"/>
      <c r="Q631" s="78"/>
      <c r="R631" s="78"/>
      <c r="V631" s="79"/>
      <c r="W631" s="78"/>
    </row>
    <row r="632" spans="1:23" s="75" customFormat="1" hidden="1" x14ac:dyDescent="0.35">
      <c r="A632" s="75">
        <v>628</v>
      </c>
      <c r="B632" s="75">
        <v>629</v>
      </c>
      <c r="C632">
        <v>146.06355189999999</v>
      </c>
      <c r="D632">
        <v>-17.53993767</v>
      </c>
      <c r="G632" s="75">
        <v>100</v>
      </c>
      <c r="H632" s="75" t="s">
        <v>26</v>
      </c>
      <c r="I632" t="str">
        <f t="shared" si="9"/>
        <v>X</v>
      </c>
      <c r="J632" s="76"/>
      <c r="K632" s="77"/>
      <c r="L632" s="77"/>
      <c r="M632" s="77"/>
      <c r="N632" s="77"/>
      <c r="O632" s="78"/>
      <c r="P632" s="78"/>
      <c r="Q632" s="78"/>
      <c r="R632" s="78"/>
      <c r="V632" s="79"/>
      <c r="W632" s="78"/>
    </row>
    <row r="633" spans="1:23" s="75" customFormat="1" hidden="1" x14ac:dyDescent="0.35">
      <c r="A633" s="75">
        <v>629</v>
      </c>
      <c r="B633" s="75">
        <v>630</v>
      </c>
      <c r="C633">
        <v>146.06346439999999</v>
      </c>
      <c r="D633">
        <v>-17.539972670000001</v>
      </c>
      <c r="E633" s="75">
        <v>50</v>
      </c>
      <c r="G633" s="75">
        <v>100</v>
      </c>
      <c r="H633" s="75" t="s">
        <v>26</v>
      </c>
      <c r="I633" t="str">
        <f t="shared" si="9"/>
        <v>X</v>
      </c>
      <c r="J633" s="76"/>
      <c r="K633" s="77"/>
      <c r="L633" s="77"/>
      <c r="M633" s="77"/>
      <c r="N633" s="77"/>
      <c r="O633" s="78"/>
      <c r="P633" s="78"/>
      <c r="Q633" s="78"/>
      <c r="R633" s="78"/>
      <c r="V633" s="79"/>
      <c r="W633" s="78"/>
    </row>
    <row r="634" spans="1:23" s="75" customFormat="1" hidden="1" x14ac:dyDescent="0.35">
      <c r="A634" s="75">
        <v>630</v>
      </c>
      <c r="B634" s="75">
        <v>631</v>
      </c>
      <c r="C634">
        <v>146.06337679999999</v>
      </c>
      <c r="D634">
        <v>-17.540007679999999</v>
      </c>
      <c r="G634" s="75">
        <v>100</v>
      </c>
      <c r="H634" s="75" t="s">
        <v>26</v>
      </c>
      <c r="I634" t="str">
        <f t="shared" si="9"/>
        <v>X</v>
      </c>
      <c r="J634" s="76"/>
      <c r="K634" s="77"/>
      <c r="L634" s="77"/>
      <c r="M634" s="77"/>
      <c r="N634" s="77"/>
      <c r="O634" s="78"/>
      <c r="P634" s="78"/>
      <c r="Q634" s="78"/>
      <c r="R634" s="78"/>
      <c r="V634" s="79"/>
      <c r="W634" s="78"/>
    </row>
    <row r="635" spans="1:23" s="75" customFormat="1" hidden="1" x14ac:dyDescent="0.35">
      <c r="A635" s="75">
        <v>631</v>
      </c>
      <c r="B635" s="75">
        <v>632</v>
      </c>
      <c r="C635">
        <v>146.063298</v>
      </c>
      <c r="D635">
        <v>-17.540054510000001</v>
      </c>
      <c r="G635" s="75">
        <v>100</v>
      </c>
      <c r="H635" s="75" t="s">
        <v>26</v>
      </c>
      <c r="I635" t="str">
        <f t="shared" si="9"/>
        <v>X</v>
      </c>
      <c r="J635" s="76"/>
      <c r="K635" s="77"/>
      <c r="L635" s="77"/>
      <c r="M635" s="77"/>
      <c r="N635" s="77"/>
      <c r="O635" s="78"/>
      <c r="P635" s="78"/>
      <c r="Q635" s="78"/>
      <c r="R635" s="78"/>
      <c r="V635" s="79"/>
      <c r="W635" s="78"/>
    </row>
    <row r="636" spans="1:23" s="75" customFormat="1" hidden="1" x14ac:dyDescent="0.35">
      <c r="A636" s="75">
        <v>632</v>
      </c>
      <c r="B636" s="75">
        <v>633</v>
      </c>
      <c r="C636">
        <v>146.06323900000001</v>
      </c>
      <c r="D636">
        <v>-17.540128079999999</v>
      </c>
      <c r="G636" s="75">
        <v>100</v>
      </c>
      <c r="H636" s="75" t="s">
        <v>26</v>
      </c>
      <c r="I636" t="str">
        <f t="shared" si="9"/>
        <v>X</v>
      </c>
      <c r="J636" s="76"/>
      <c r="K636" s="77"/>
      <c r="L636" s="77"/>
      <c r="M636" s="77"/>
      <c r="N636" s="77"/>
      <c r="O636" s="78"/>
      <c r="P636" s="78"/>
      <c r="Q636" s="78"/>
      <c r="R636" s="78"/>
      <c r="V636" s="79"/>
      <c r="W636" s="78"/>
    </row>
    <row r="637" spans="1:23" s="75" customFormat="1" hidden="1" x14ac:dyDescent="0.35">
      <c r="A637" s="75">
        <v>633</v>
      </c>
      <c r="B637" s="75">
        <v>634</v>
      </c>
      <c r="C637">
        <v>146.06317999999999</v>
      </c>
      <c r="D637">
        <v>-17.540201639999999</v>
      </c>
      <c r="G637" s="75">
        <v>100</v>
      </c>
      <c r="H637" s="75" t="s">
        <v>26</v>
      </c>
      <c r="I637" t="str">
        <f t="shared" si="9"/>
        <v>X</v>
      </c>
      <c r="J637" s="76"/>
      <c r="K637" s="77"/>
      <c r="L637" s="77"/>
      <c r="M637" s="77"/>
      <c r="N637" s="77"/>
      <c r="O637" s="78"/>
      <c r="P637" s="78"/>
      <c r="Q637" s="78"/>
      <c r="R637" s="78"/>
      <c r="V637" s="79"/>
      <c r="W637" s="78"/>
    </row>
    <row r="638" spans="1:23" s="75" customFormat="1" hidden="1" x14ac:dyDescent="0.35">
      <c r="A638" s="75">
        <v>634</v>
      </c>
      <c r="B638" s="75">
        <v>635</v>
      </c>
      <c r="C638">
        <v>146.06313159999999</v>
      </c>
      <c r="D638">
        <v>-17.540280939999999</v>
      </c>
      <c r="E638" s="75">
        <v>50</v>
      </c>
      <c r="G638" s="75">
        <v>100</v>
      </c>
      <c r="H638" s="75" t="s">
        <v>26</v>
      </c>
      <c r="I638" t="str">
        <f t="shared" si="9"/>
        <v>X</v>
      </c>
      <c r="J638" s="76"/>
      <c r="K638" s="77"/>
      <c r="L638" s="77"/>
      <c r="M638" s="77"/>
      <c r="N638" s="77"/>
      <c r="O638" s="78"/>
      <c r="P638" s="78"/>
      <c r="Q638" s="78"/>
      <c r="R638" s="78"/>
      <c r="V638" s="79"/>
      <c r="W638" s="78"/>
    </row>
    <row r="639" spans="1:23" s="75" customFormat="1" hidden="1" x14ac:dyDescent="0.35">
      <c r="A639" s="75">
        <v>635</v>
      </c>
      <c r="B639" s="75">
        <v>636</v>
      </c>
      <c r="C639">
        <v>146.06310289999999</v>
      </c>
      <c r="D639">
        <v>-17.540370759999998</v>
      </c>
      <c r="G639" s="75">
        <v>100</v>
      </c>
      <c r="H639" s="75" t="s">
        <v>26</v>
      </c>
      <c r="I639" t="str">
        <f t="shared" si="9"/>
        <v>X</v>
      </c>
      <c r="J639" s="76"/>
      <c r="K639" s="77"/>
      <c r="L639" s="77"/>
      <c r="M639" s="77"/>
      <c r="N639" s="77"/>
      <c r="O639" s="78"/>
      <c r="P639" s="78"/>
      <c r="Q639" s="78"/>
      <c r="R639" s="78"/>
      <c r="V639" s="79"/>
      <c r="W639" s="78"/>
    </row>
    <row r="640" spans="1:23" s="75" customFormat="1" hidden="1" x14ac:dyDescent="0.35">
      <c r="A640" s="75">
        <v>636</v>
      </c>
      <c r="B640" s="75">
        <v>637</v>
      </c>
      <c r="C640">
        <v>146.06307419999999</v>
      </c>
      <c r="D640">
        <v>-17.540460580000001</v>
      </c>
      <c r="G640" s="75">
        <v>100</v>
      </c>
      <c r="H640" s="75" t="s">
        <v>26</v>
      </c>
      <c r="I640" t="str">
        <f t="shared" si="9"/>
        <v>X</v>
      </c>
      <c r="J640" s="76"/>
      <c r="K640" s="77"/>
      <c r="L640" s="77"/>
      <c r="M640" s="77"/>
      <c r="N640" s="77"/>
      <c r="O640" s="78"/>
      <c r="P640" s="78"/>
      <c r="Q640" s="78"/>
      <c r="R640" s="78"/>
      <c r="V640" s="79"/>
      <c r="W640" s="78"/>
    </row>
    <row r="641" spans="1:23" s="75" customFormat="1" hidden="1" x14ac:dyDescent="0.35">
      <c r="A641" s="75">
        <v>637</v>
      </c>
      <c r="B641" s="75">
        <v>638</v>
      </c>
      <c r="C641">
        <v>146.0630476</v>
      </c>
      <c r="D641">
        <v>-17.540551000000001</v>
      </c>
      <c r="G641" s="75">
        <v>100</v>
      </c>
      <c r="H641" s="75" t="s">
        <v>26</v>
      </c>
      <c r="I641" t="str">
        <f t="shared" si="9"/>
        <v>X</v>
      </c>
      <c r="J641" s="76"/>
      <c r="K641" s="77"/>
      <c r="L641" s="77"/>
      <c r="M641" s="77"/>
      <c r="N641" s="77"/>
      <c r="O641" s="78"/>
      <c r="P641" s="78"/>
      <c r="Q641" s="78"/>
      <c r="R641" s="78"/>
      <c r="V641" s="79"/>
      <c r="W641" s="78"/>
    </row>
    <row r="642" spans="1:23" s="75" customFormat="1" hidden="1" x14ac:dyDescent="0.35">
      <c r="A642" s="75">
        <v>638</v>
      </c>
      <c r="B642" s="75">
        <v>639</v>
      </c>
      <c r="C642">
        <v>146.06302640000001</v>
      </c>
      <c r="D642">
        <v>-17.540642869999999</v>
      </c>
      <c r="G642" s="75">
        <v>100</v>
      </c>
      <c r="H642" s="75" t="s">
        <v>26</v>
      </c>
      <c r="I642" t="str">
        <f t="shared" si="9"/>
        <v>X</v>
      </c>
      <c r="J642" s="76"/>
      <c r="K642" s="77"/>
      <c r="L642" s="77"/>
      <c r="M642" s="77"/>
      <c r="N642" s="77"/>
      <c r="O642" s="78"/>
      <c r="P642" s="78"/>
      <c r="Q642" s="78"/>
      <c r="R642" s="78"/>
      <c r="V642" s="79"/>
      <c r="W642" s="78"/>
    </row>
    <row r="643" spans="1:23" s="75" customFormat="1" hidden="1" x14ac:dyDescent="0.35">
      <c r="A643" s="75">
        <v>639</v>
      </c>
      <c r="B643" s="75">
        <v>640</v>
      </c>
      <c r="C643">
        <v>146.0630051</v>
      </c>
      <c r="D643">
        <v>-17.540734740000001</v>
      </c>
      <c r="E643" s="75">
        <v>50</v>
      </c>
      <c r="G643" s="75">
        <v>100</v>
      </c>
      <c r="H643" s="75" t="s">
        <v>26</v>
      </c>
      <c r="I643" t="str">
        <f t="shared" si="9"/>
        <v>X</v>
      </c>
      <c r="J643" s="76"/>
      <c r="K643" s="77"/>
      <c r="L643" s="77"/>
      <c r="M643" s="77"/>
      <c r="N643" s="77"/>
      <c r="O643" s="78"/>
      <c r="P643" s="78"/>
      <c r="Q643" s="78"/>
      <c r="R643" s="78"/>
      <c r="V643" s="79"/>
      <c r="W643" s="78"/>
    </row>
    <row r="644" spans="1:23" s="75" customFormat="1" hidden="1" x14ac:dyDescent="0.35">
      <c r="A644" s="75">
        <v>640</v>
      </c>
      <c r="B644" s="75">
        <v>641</v>
      </c>
      <c r="C644">
        <v>146.063007</v>
      </c>
      <c r="D644">
        <v>-17.540828009999998</v>
      </c>
      <c r="G644" s="75">
        <v>100</v>
      </c>
      <c r="H644" s="75" t="s">
        <v>26</v>
      </c>
      <c r="I644" t="str">
        <f t="shared" si="9"/>
        <v>X</v>
      </c>
      <c r="J644" s="76"/>
      <c r="K644" s="77"/>
      <c r="L644" s="77"/>
      <c r="M644" s="77"/>
      <c r="N644" s="77"/>
      <c r="O644" s="78"/>
      <c r="P644" s="78"/>
      <c r="Q644" s="78"/>
      <c r="R644" s="78"/>
      <c r="V644" s="79"/>
      <c r="W644" s="78"/>
    </row>
    <row r="645" spans="1:23" s="75" customFormat="1" hidden="1" x14ac:dyDescent="0.35">
      <c r="A645" s="75">
        <v>641</v>
      </c>
      <c r="B645" s="75">
        <v>642</v>
      </c>
      <c r="C645">
        <v>146.0630171</v>
      </c>
      <c r="D645">
        <v>-17.540921770000001</v>
      </c>
      <c r="G645" s="75">
        <v>100</v>
      </c>
      <c r="H645" s="75" t="s">
        <v>26</v>
      </c>
      <c r="I645" t="str">
        <f t="shared" ref="I645:I708" si="10">IF(H645="X","X",IF(J645="NA","X",IF(J645="","X",J645)))</f>
        <v>X</v>
      </c>
      <c r="J645" s="76"/>
      <c r="K645" s="77"/>
      <c r="L645" s="77"/>
      <c r="M645" s="77"/>
      <c r="N645" s="77"/>
      <c r="O645" s="78"/>
      <c r="P645" s="78"/>
      <c r="Q645" s="78"/>
      <c r="R645" s="78"/>
      <c r="V645" s="79"/>
      <c r="W645" s="78"/>
    </row>
    <row r="646" spans="1:23" s="75" customFormat="1" hidden="1" x14ac:dyDescent="0.35">
      <c r="A646" s="75">
        <v>642</v>
      </c>
      <c r="B646" s="75">
        <v>643</v>
      </c>
      <c r="C646">
        <v>146.06302719999999</v>
      </c>
      <c r="D646">
        <v>-17.541015529999999</v>
      </c>
      <c r="G646" s="75">
        <v>100</v>
      </c>
      <c r="H646" s="75" t="s">
        <v>26</v>
      </c>
      <c r="I646" t="str">
        <f t="shared" si="10"/>
        <v>X</v>
      </c>
      <c r="J646" s="76"/>
      <c r="K646" s="77"/>
      <c r="L646" s="77"/>
      <c r="M646" s="77"/>
      <c r="N646" s="77"/>
      <c r="O646" s="78"/>
      <c r="P646" s="78"/>
      <c r="Q646" s="78"/>
      <c r="R646" s="78"/>
      <c r="V646" s="79"/>
      <c r="W646" s="78"/>
    </row>
    <row r="647" spans="1:23" s="75" customFormat="1" hidden="1" x14ac:dyDescent="0.35">
      <c r="A647" s="75">
        <v>643</v>
      </c>
      <c r="B647" s="75">
        <v>644</v>
      </c>
      <c r="C647">
        <v>146.0630668</v>
      </c>
      <c r="D647">
        <v>-17.541097480000001</v>
      </c>
      <c r="G647" s="75">
        <v>100</v>
      </c>
      <c r="H647" s="75" t="s">
        <v>26</v>
      </c>
      <c r="I647" t="str">
        <f t="shared" si="10"/>
        <v>X</v>
      </c>
      <c r="J647" s="76"/>
      <c r="K647" s="77"/>
      <c r="L647" s="77"/>
      <c r="M647" s="77"/>
      <c r="N647" s="77"/>
      <c r="O647" s="78"/>
      <c r="P647" s="78"/>
      <c r="Q647" s="78"/>
      <c r="R647" s="78"/>
      <c r="V647" s="79"/>
      <c r="W647" s="78"/>
    </row>
    <row r="648" spans="1:23" s="75" customFormat="1" hidden="1" x14ac:dyDescent="0.35">
      <c r="A648" s="75">
        <v>644</v>
      </c>
      <c r="B648" s="75">
        <v>645</v>
      </c>
      <c r="C648">
        <v>146.06312410000001</v>
      </c>
      <c r="D648">
        <v>-17.541172360000001</v>
      </c>
      <c r="E648" s="75">
        <v>50</v>
      </c>
      <c r="G648" s="75">
        <v>100</v>
      </c>
      <c r="H648" s="75" t="s">
        <v>26</v>
      </c>
      <c r="I648" t="str">
        <f t="shared" si="10"/>
        <v>X</v>
      </c>
      <c r="J648" s="76"/>
      <c r="K648" s="77"/>
      <c r="L648" s="77"/>
      <c r="M648" s="77"/>
      <c r="N648" s="77"/>
      <c r="O648" s="78"/>
      <c r="P648" s="78"/>
      <c r="Q648" s="78"/>
      <c r="R648" s="78"/>
      <c r="V648" s="79"/>
      <c r="W648" s="78"/>
    </row>
    <row r="649" spans="1:23" s="75" customFormat="1" hidden="1" x14ac:dyDescent="0.35">
      <c r="A649" s="75">
        <v>645</v>
      </c>
      <c r="B649" s="75">
        <v>646</v>
      </c>
      <c r="C649">
        <v>146.06318139999999</v>
      </c>
      <c r="D649">
        <v>-17.541247240000001</v>
      </c>
      <c r="G649" s="75">
        <v>100</v>
      </c>
      <c r="H649" s="75" t="s">
        <v>26</v>
      </c>
      <c r="I649" t="str">
        <f t="shared" si="10"/>
        <v>X</v>
      </c>
      <c r="J649" s="76"/>
      <c r="K649" s="77"/>
      <c r="L649" s="77"/>
      <c r="M649" s="77"/>
      <c r="N649" s="77"/>
      <c r="O649" s="78"/>
      <c r="P649" s="78"/>
      <c r="Q649" s="78"/>
      <c r="R649" s="78"/>
      <c r="V649" s="79"/>
      <c r="W649" s="78"/>
    </row>
    <row r="650" spans="1:23" s="75" customFormat="1" hidden="1" x14ac:dyDescent="0.35">
      <c r="A650" s="75">
        <v>646</v>
      </c>
      <c r="B650" s="75">
        <v>647</v>
      </c>
      <c r="C650">
        <v>146.06325889999999</v>
      </c>
      <c r="D650">
        <v>-17.541299370000001</v>
      </c>
      <c r="G650" s="75">
        <v>100</v>
      </c>
      <c r="H650" s="75" t="s">
        <v>26</v>
      </c>
      <c r="I650" t="str">
        <f t="shared" si="10"/>
        <v>X</v>
      </c>
      <c r="J650" s="76"/>
      <c r="K650" s="77"/>
      <c r="L650" s="77"/>
      <c r="M650" s="77"/>
      <c r="N650" s="77"/>
      <c r="O650" s="78"/>
      <c r="P650" s="78"/>
      <c r="Q650" s="78"/>
      <c r="R650" s="78"/>
      <c r="V650" s="79"/>
      <c r="W650" s="78"/>
    </row>
    <row r="651" spans="1:23" s="75" customFormat="1" hidden="1" x14ac:dyDescent="0.35">
      <c r="A651" s="75">
        <v>647</v>
      </c>
      <c r="B651" s="75">
        <v>648</v>
      </c>
      <c r="C651">
        <v>146.0633402</v>
      </c>
      <c r="D651">
        <v>-17.541347049999999</v>
      </c>
      <c r="G651" s="75">
        <v>100</v>
      </c>
      <c r="H651" s="75" t="s">
        <v>26</v>
      </c>
      <c r="I651" t="str">
        <f t="shared" si="10"/>
        <v>X</v>
      </c>
      <c r="J651" s="76"/>
      <c r="K651" s="77"/>
      <c r="L651" s="77"/>
      <c r="M651" s="77"/>
      <c r="N651" s="77"/>
      <c r="O651" s="78"/>
      <c r="P651" s="78"/>
      <c r="Q651" s="78"/>
      <c r="R651" s="78"/>
      <c r="V651" s="79"/>
      <c r="W651" s="78"/>
    </row>
    <row r="652" spans="1:23" s="75" customFormat="1" hidden="1" x14ac:dyDescent="0.35">
      <c r="A652" s="75">
        <v>648</v>
      </c>
      <c r="B652" s="75">
        <v>649</v>
      </c>
      <c r="C652">
        <v>146.06342380000001</v>
      </c>
      <c r="D652">
        <v>-17.541388529999999</v>
      </c>
      <c r="G652" s="75">
        <v>100</v>
      </c>
      <c r="H652" s="75" t="s">
        <v>26</v>
      </c>
      <c r="I652" t="str">
        <f t="shared" si="10"/>
        <v>X</v>
      </c>
      <c r="J652" s="76"/>
      <c r="K652" s="77"/>
      <c r="L652" s="77"/>
      <c r="M652" s="77"/>
      <c r="N652" s="77"/>
      <c r="O652" s="78"/>
      <c r="P652" s="78"/>
      <c r="Q652" s="78"/>
      <c r="R652" s="78"/>
      <c r="V652" s="79"/>
      <c r="W652" s="78"/>
    </row>
    <row r="653" spans="1:23" s="75" customFormat="1" hidden="1" x14ac:dyDescent="0.35">
      <c r="A653" s="75">
        <v>649</v>
      </c>
      <c r="B653" s="75">
        <v>650</v>
      </c>
      <c r="C653">
        <v>146.06351710000001</v>
      </c>
      <c r="D653">
        <v>-17.541402420000001</v>
      </c>
      <c r="E653" s="75">
        <v>50</v>
      </c>
      <c r="G653" s="75">
        <v>100</v>
      </c>
      <c r="H653" s="75" t="s">
        <v>26</v>
      </c>
      <c r="I653" t="str">
        <f t="shared" si="10"/>
        <v>X</v>
      </c>
      <c r="J653" s="76"/>
      <c r="K653" s="77"/>
      <c r="L653" s="77"/>
      <c r="M653" s="77"/>
      <c r="N653" s="77"/>
      <c r="O653" s="78"/>
      <c r="P653" s="78"/>
      <c r="Q653" s="78"/>
      <c r="R653" s="78"/>
      <c r="V653" s="79"/>
      <c r="W653" s="78"/>
    </row>
    <row r="654" spans="1:23" s="75" customFormat="1" hidden="1" x14ac:dyDescent="0.35">
      <c r="A654" s="75">
        <v>650</v>
      </c>
      <c r="B654" s="75">
        <v>651</v>
      </c>
      <c r="C654">
        <v>146.06361029999999</v>
      </c>
      <c r="D654">
        <v>-17.541416300000002</v>
      </c>
      <c r="G654" s="75">
        <v>100</v>
      </c>
      <c r="H654" s="75" t="s">
        <v>26</v>
      </c>
      <c r="I654" t="str">
        <f t="shared" si="10"/>
        <v>X</v>
      </c>
      <c r="J654" s="76"/>
      <c r="K654" s="77"/>
      <c r="L654" s="77"/>
      <c r="M654" s="77"/>
      <c r="N654" s="77"/>
      <c r="O654" s="78"/>
      <c r="P654" s="78"/>
      <c r="Q654" s="78"/>
      <c r="R654" s="78"/>
      <c r="V654" s="79"/>
      <c r="W654" s="78"/>
    </row>
    <row r="655" spans="1:23" s="75" customFormat="1" hidden="1" x14ac:dyDescent="0.35">
      <c r="A655" s="75">
        <v>651</v>
      </c>
      <c r="B655" s="75">
        <v>652</v>
      </c>
      <c r="C655">
        <v>146.0637036</v>
      </c>
      <c r="D655">
        <v>-17.54143019</v>
      </c>
      <c r="G655" s="75">
        <v>100</v>
      </c>
      <c r="H655" s="75" t="s">
        <v>26</v>
      </c>
      <c r="I655" t="str">
        <f t="shared" si="10"/>
        <v>X</v>
      </c>
      <c r="J655" s="76"/>
      <c r="K655" s="77"/>
      <c r="L655" s="77"/>
      <c r="M655" s="77"/>
      <c r="N655" s="77"/>
      <c r="O655" s="78"/>
      <c r="P655" s="78"/>
      <c r="Q655" s="78"/>
      <c r="R655" s="78"/>
      <c r="V655" s="79"/>
      <c r="W655" s="78"/>
    </row>
    <row r="656" spans="1:23" s="75" customFormat="1" hidden="1" x14ac:dyDescent="0.35">
      <c r="A656" s="75">
        <v>652</v>
      </c>
      <c r="B656" s="75">
        <v>653</v>
      </c>
      <c r="C656">
        <v>146.06379699999999</v>
      </c>
      <c r="D656">
        <v>-17.541438110000001</v>
      </c>
      <c r="G656" s="75">
        <v>100</v>
      </c>
      <c r="H656" s="75" t="s">
        <v>26</v>
      </c>
      <c r="I656" t="str">
        <f t="shared" si="10"/>
        <v>X</v>
      </c>
      <c r="J656" s="76"/>
      <c r="K656" s="77"/>
      <c r="L656" s="77"/>
      <c r="M656" s="77"/>
      <c r="N656" s="77"/>
      <c r="O656" s="78"/>
      <c r="P656" s="78"/>
      <c r="Q656" s="78"/>
      <c r="R656" s="78"/>
      <c r="V656" s="79"/>
      <c r="W656" s="78"/>
    </row>
    <row r="657" spans="1:23" s="75" customFormat="1" hidden="1" x14ac:dyDescent="0.35">
      <c r="A657" s="75">
        <v>653</v>
      </c>
      <c r="B657" s="75">
        <v>654</v>
      </c>
      <c r="C657">
        <v>146.06389060000001</v>
      </c>
      <c r="D657">
        <v>-17.541427120000002</v>
      </c>
      <c r="G657" s="75">
        <v>100</v>
      </c>
      <c r="H657" s="75" t="s">
        <v>26</v>
      </c>
      <c r="I657" t="str">
        <f t="shared" si="10"/>
        <v>X</v>
      </c>
      <c r="J657" s="76"/>
      <c r="K657" s="77"/>
      <c r="L657" s="77"/>
      <c r="M657" s="77"/>
      <c r="N657" s="77"/>
      <c r="O657" s="78"/>
      <c r="P657" s="78"/>
      <c r="Q657" s="78"/>
      <c r="R657" s="78"/>
      <c r="V657" s="79"/>
      <c r="W657" s="78"/>
    </row>
    <row r="658" spans="1:23" s="75" customFormat="1" hidden="1" x14ac:dyDescent="0.35">
      <c r="A658" s="75">
        <v>654</v>
      </c>
      <c r="B658" s="75">
        <v>655</v>
      </c>
      <c r="C658">
        <v>146.06398429999999</v>
      </c>
      <c r="D658">
        <v>-17.541416139999999</v>
      </c>
      <c r="E658" s="75">
        <v>50</v>
      </c>
      <c r="G658" s="75">
        <v>100</v>
      </c>
      <c r="H658" s="75" t="s">
        <v>26</v>
      </c>
      <c r="I658" t="str">
        <f t="shared" si="10"/>
        <v>X</v>
      </c>
      <c r="J658" s="76"/>
      <c r="K658" s="77"/>
      <c r="L658" s="77"/>
      <c r="M658" s="77"/>
      <c r="N658" s="77"/>
      <c r="O658" s="78"/>
      <c r="P658" s="78"/>
      <c r="Q658" s="78"/>
      <c r="R658" s="78"/>
      <c r="V658" s="79"/>
      <c r="W658" s="78"/>
    </row>
    <row r="659" spans="1:23" s="75" customFormat="1" hidden="1" x14ac:dyDescent="0.35">
      <c r="A659" s="75">
        <v>655</v>
      </c>
      <c r="B659" s="75">
        <v>656</v>
      </c>
      <c r="C659">
        <v>146.06407830000001</v>
      </c>
      <c r="D659">
        <v>-17.54141851</v>
      </c>
      <c r="G659" s="75">
        <v>100</v>
      </c>
      <c r="H659" s="75" t="s">
        <v>26</v>
      </c>
      <c r="I659" t="str">
        <f t="shared" si="10"/>
        <v>X</v>
      </c>
      <c r="J659" s="76"/>
      <c r="K659" s="77"/>
      <c r="L659" s="77"/>
      <c r="M659" s="77"/>
      <c r="N659" s="77"/>
      <c r="O659" s="78"/>
      <c r="P659" s="78"/>
      <c r="Q659" s="78"/>
      <c r="R659" s="78"/>
      <c r="V659" s="79"/>
      <c r="W659" s="78"/>
    </row>
    <row r="660" spans="1:23" s="75" customFormat="1" hidden="1" x14ac:dyDescent="0.35">
      <c r="A660" s="75">
        <v>656</v>
      </c>
      <c r="B660" s="75">
        <v>657</v>
      </c>
      <c r="C660">
        <v>146.0641717</v>
      </c>
      <c r="D660">
        <v>-17.541405829999999</v>
      </c>
      <c r="G660" s="75">
        <v>100</v>
      </c>
      <c r="H660" s="75" t="s">
        <v>26</v>
      </c>
      <c r="I660" t="str">
        <f t="shared" si="10"/>
        <v>X</v>
      </c>
      <c r="J660" s="76"/>
      <c r="K660" s="77"/>
      <c r="L660" s="77"/>
      <c r="M660" s="77"/>
      <c r="N660" s="77"/>
      <c r="O660" s="78"/>
      <c r="P660" s="78"/>
      <c r="Q660" s="78"/>
      <c r="R660" s="78"/>
      <c r="V660" s="79"/>
      <c r="W660" s="78"/>
    </row>
    <row r="661" spans="1:23" s="75" customFormat="1" hidden="1" x14ac:dyDescent="0.35">
      <c r="A661" s="75">
        <v>657</v>
      </c>
      <c r="B661" s="75">
        <v>658</v>
      </c>
      <c r="C661">
        <v>146.0642651</v>
      </c>
      <c r="D661">
        <v>-17.54139314</v>
      </c>
      <c r="G661" s="75">
        <v>100</v>
      </c>
      <c r="H661" s="75" t="s">
        <v>26</v>
      </c>
      <c r="I661" t="str">
        <f t="shared" si="10"/>
        <v>X</v>
      </c>
      <c r="J661" s="76"/>
      <c r="K661" s="77"/>
      <c r="L661" s="77"/>
      <c r="M661" s="77"/>
      <c r="N661" s="77"/>
      <c r="O661" s="78"/>
      <c r="P661" s="78"/>
      <c r="Q661" s="78"/>
      <c r="R661" s="78"/>
      <c r="V661" s="79"/>
      <c r="W661" s="78"/>
    </row>
    <row r="662" spans="1:23" s="75" customFormat="1" hidden="1" x14ac:dyDescent="0.35">
      <c r="A662" s="75">
        <v>658</v>
      </c>
      <c r="B662" s="75">
        <v>659</v>
      </c>
      <c r="C662">
        <v>146.0643589</v>
      </c>
      <c r="D662">
        <v>-17.5413833</v>
      </c>
      <c r="G662" s="75">
        <v>100</v>
      </c>
      <c r="H662" s="75" t="s">
        <v>26</v>
      </c>
      <c r="I662" t="str">
        <f t="shared" si="10"/>
        <v>X</v>
      </c>
      <c r="J662" s="76"/>
      <c r="K662" s="77"/>
      <c r="L662" s="77"/>
      <c r="M662" s="77"/>
      <c r="N662" s="77"/>
      <c r="O662" s="78"/>
      <c r="P662" s="78"/>
      <c r="Q662" s="78"/>
      <c r="R662" s="78"/>
      <c r="V662" s="79"/>
      <c r="W662" s="78"/>
    </row>
    <row r="663" spans="1:23" s="75" customFormat="1" hidden="1" x14ac:dyDescent="0.35">
      <c r="A663" s="75">
        <v>659</v>
      </c>
      <c r="B663" s="75">
        <v>660</v>
      </c>
      <c r="C663">
        <v>146.06445310000001</v>
      </c>
      <c r="D663">
        <v>-17.5413788</v>
      </c>
      <c r="E663" s="75">
        <v>50</v>
      </c>
      <c r="G663" s="75">
        <v>100</v>
      </c>
      <c r="H663" s="75" t="s">
        <v>26</v>
      </c>
      <c r="I663" t="str">
        <f t="shared" si="10"/>
        <v>X</v>
      </c>
      <c r="J663" s="76"/>
      <c r="K663" s="77"/>
      <c r="L663" s="77"/>
      <c r="M663" s="77"/>
      <c r="N663" s="77"/>
      <c r="O663" s="78"/>
      <c r="P663" s="78"/>
      <c r="Q663" s="78"/>
      <c r="R663" s="78"/>
      <c r="V663" s="79"/>
      <c r="W663" s="78"/>
    </row>
    <row r="664" spans="1:23" s="75" customFormat="1" hidden="1" x14ac:dyDescent="0.35">
      <c r="A664" s="75">
        <v>660</v>
      </c>
      <c r="B664" s="75">
        <v>661</v>
      </c>
      <c r="C664">
        <v>146.06454729999999</v>
      </c>
      <c r="D664">
        <v>-17.54137562</v>
      </c>
      <c r="G664" s="75">
        <v>100</v>
      </c>
      <c r="H664" s="75" t="s">
        <v>26</v>
      </c>
      <c r="I664" t="str">
        <f t="shared" si="10"/>
        <v>X</v>
      </c>
      <c r="J664" s="76"/>
      <c r="K664" s="77"/>
      <c r="L664" s="77"/>
      <c r="M664" s="77"/>
      <c r="N664" s="77"/>
      <c r="O664" s="78"/>
      <c r="P664" s="78"/>
      <c r="Q664" s="78"/>
      <c r="R664" s="78"/>
      <c r="V664" s="79"/>
      <c r="W664" s="78"/>
    </row>
    <row r="665" spans="1:23" s="75" customFormat="1" hidden="1" x14ac:dyDescent="0.35">
      <c r="A665" s="75">
        <v>661</v>
      </c>
      <c r="B665" s="75">
        <v>662</v>
      </c>
      <c r="C665">
        <v>146.06464109999999</v>
      </c>
      <c r="D665">
        <v>-17.541383849999999</v>
      </c>
      <c r="G665" s="75">
        <v>100</v>
      </c>
      <c r="H665" s="75" t="s">
        <v>26</v>
      </c>
      <c r="I665" t="str">
        <f t="shared" si="10"/>
        <v>X</v>
      </c>
      <c r="J665" s="76"/>
      <c r="K665" s="77"/>
      <c r="L665" s="77"/>
      <c r="M665" s="77"/>
      <c r="N665" s="77"/>
      <c r="O665" s="78"/>
      <c r="P665" s="78"/>
      <c r="Q665" s="78"/>
      <c r="R665" s="78"/>
      <c r="V665" s="79"/>
      <c r="W665" s="78"/>
    </row>
    <row r="666" spans="1:23" s="75" customFormat="1" hidden="1" x14ac:dyDescent="0.35">
      <c r="A666" s="75">
        <v>662</v>
      </c>
      <c r="B666" s="75">
        <v>663</v>
      </c>
      <c r="C666">
        <v>146.0647348</v>
      </c>
      <c r="D666">
        <v>-17.54139429</v>
      </c>
      <c r="G666" s="75">
        <v>100</v>
      </c>
      <c r="H666" s="75" t="s">
        <v>26</v>
      </c>
      <c r="I666" t="str">
        <f t="shared" si="10"/>
        <v>X</v>
      </c>
      <c r="J666" s="76"/>
      <c r="K666" s="77"/>
      <c r="L666" s="77"/>
      <c r="M666" s="77"/>
      <c r="N666" s="77"/>
      <c r="O666" s="78"/>
      <c r="P666" s="78"/>
      <c r="Q666" s="78"/>
      <c r="R666" s="78"/>
      <c r="V666" s="79"/>
      <c r="W666" s="78"/>
    </row>
    <row r="667" spans="1:23" s="75" customFormat="1" hidden="1" x14ac:dyDescent="0.35">
      <c r="A667" s="75">
        <v>663</v>
      </c>
      <c r="B667" s="75">
        <v>664</v>
      </c>
      <c r="C667">
        <v>146.0648272</v>
      </c>
      <c r="D667">
        <v>-17.541409489999999</v>
      </c>
      <c r="G667" s="75">
        <v>100</v>
      </c>
      <c r="H667" s="75" t="s">
        <v>26</v>
      </c>
      <c r="I667" t="str">
        <f t="shared" si="10"/>
        <v>X</v>
      </c>
      <c r="J667" s="76"/>
      <c r="K667" s="77"/>
      <c r="L667" s="77"/>
      <c r="M667" s="77"/>
      <c r="N667" s="77"/>
      <c r="O667" s="78"/>
      <c r="P667" s="78"/>
      <c r="Q667" s="78"/>
      <c r="R667" s="78"/>
      <c r="V667" s="79"/>
      <c r="W667" s="78"/>
    </row>
    <row r="668" spans="1:23" s="75" customFormat="1" hidden="1" x14ac:dyDescent="0.35">
      <c r="A668" s="75">
        <v>664</v>
      </c>
      <c r="B668" s="75">
        <v>665</v>
      </c>
      <c r="C668">
        <v>146.06491299999999</v>
      </c>
      <c r="D668">
        <v>-17.54144878</v>
      </c>
      <c r="E668" s="75">
        <v>50</v>
      </c>
      <c r="G668" s="75">
        <v>100</v>
      </c>
      <c r="H668" s="75" t="s">
        <v>26</v>
      </c>
      <c r="I668" t="str">
        <f t="shared" si="10"/>
        <v>X</v>
      </c>
      <c r="J668" s="76"/>
      <c r="K668" s="77"/>
      <c r="L668" s="77"/>
      <c r="M668" s="77"/>
      <c r="N668" s="77"/>
      <c r="O668" s="78"/>
      <c r="P668" s="78"/>
      <c r="Q668" s="78"/>
      <c r="R668" s="78"/>
      <c r="V668" s="79"/>
      <c r="W668" s="78"/>
    </row>
    <row r="669" spans="1:23" s="75" customFormat="1" hidden="1" x14ac:dyDescent="0.35">
      <c r="A669" s="75">
        <v>665</v>
      </c>
      <c r="B669" s="75">
        <v>666</v>
      </c>
      <c r="C669">
        <v>146.06499869999999</v>
      </c>
      <c r="D669">
        <v>-17.54148807</v>
      </c>
      <c r="G669" s="75">
        <v>100</v>
      </c>
      <c r="H669" s="75" t="s">
        <v>26</v>
      </c>
      <c r="I669" t="str">
        <f t="shared" si="10"/>
        <v>X</v>
      </c>
      <c r="J669" s="76"/>
      <c r="K669" s="77"/>
      <c r="L669" s="77"/>
      <c r="M669" s="77"/>
      <c r="N669" s="77"/>
      <c r="O669" s="78"/>
      <c r="P669" s="78"/>
      <c r="Q669" s="78"/>
      <c r="R669" s="78"/>
      <c r="V669" s="79"/>
      <c r="W669" s="78"/>
    </row>
    <row r="670" spans="1:23" s="75" customFormat="1" hidden="1" x14ac:dyDescent="0.35">
      <c r="A670" s="75">
        <v>666</v>
      </c>
      <c r="B670" s="75">
        <v>667</v>
      </c>
      <c r="C670">
        <v>146.06508439999999</v>
      </c>
      <c r="D670">
        <v>-17.54152736</v>
      </c>
      <c r="G670" s="75">
        <v>100</v>
      </c>
      <c r="H670" s="75" t="s">
        <v>26</v>
      </c>
      <c r="I670" t="str">
        <f t="shared" si="10"/>
        <v>X</v>
      </c>
      <c r="J670" s="76"/>
      <c r="K670" s="77"/>
      <c r="L670" s="77"/>
      <c r="M670" s="77"/>
      <c r="N670" s="77"/>
      <c r="O670" s="78"/>
      <c r="P670" s="78"/>
      <c r="Q670" s="78"/>
      <c r="R670" s="78"/>
      <c r="V670" s="79"/>
      <c r="W670" s="78"/>
    </row>
    <row r="671" spans="1:23" s="75" customFormat="1" hidden="1" x14ac:dyDescent="0.35">
      <c r="A671" s="75">
        <v>667</v>
      </c>
      <c r="B671" s="75">
        <v>668</v>
      </c>
      <c r="C671">
        <v>146.06514730000001</v>
      </c>
      <c r="D671">
        <v>-17.541594180000001</v>
      </c>
      <c r="G671" s="75">
        <v>100</v>
      </c>
      <c r="H671" s="75" t="s">
        <v>26</v>
      </c>
      <c r="I671" t="str">
        <f t="shared" si="10"/>
        <v>X</v>
      </c>
      <c r="J671" s="76"/>
      <c r="K671" s="77"/>
      <c r="L671" s="77"/>
      <c r="M671" s="77"/>
      <c r="N671" s="77"/>
      <c r="O671" s="78"/>
      <c r="P671" s="78"/>
      <c r="Q671" s="78"/>
      <c r="R671" s="78"/>
      <c r="V671" s="79"/>
      <c r="W671" s="78"/>
    </row>
    <row r="672" spans="1:23" s="75" customFormat="1" hidden="1" x14ac:dyDescent="0.35">
      <c r="A672" s="75">
        <v>668</v>
      </c>
      <c r="B672" s="75">
        <v>669</v>
      </c>
      <c r="C672">
        <v>146.06520180000001</v>
      </c>
      <c r="D672">
        <v>-17.541671149999999</v>
      </c>
      <c r="G672" s="75">
        <v>100</v>
      </c>
      <c r="H672" s="75" t="s">
        <v>26</v>
      </c>
      <c r="I672" t="str">
        <f t="shared" si="10"/>
        <v>X</v>
      </c>
      <c r="J672" s="76"/>
      <c r="K672" s="77"/>
      <c r="L672" s="77"/>
      <c r="M672" s="77"/>
      <c r="N672" s="77"/>
      <c r="O672" s="78"/>
      <c r="P672" s="78"/>
      <c r="Q672" s="78"/>
      <c r="R672" s="78"/>
      <c r="V672" s="79"/>
      <c r="W672" s="78"/>
    </row>
    <row r="673" spans="1:23" s="75" customFormat="1" hidden="1" x14ac:dyDescent="0.35">
      <c r="A673" s="75">
        <v>669</v>
      </c>
      <c r="B673" s="75">
        <v>670</v>
      </c>
      <c r="C673">
        <v>146.06525629999999</v>
      </c>
      <c r="D673">
        <v>-17.541748120000001</v>
      </c>
      <c r="E673" s="75">
        <v>50</v>
      </c>
      <c r="G673" s="75">
        <v>100</v>
      </c>
      <c r="H673" s="75" t="s">
        <v>26</v>
      </c>
      <c r="I673" t="str">
        <f t="shared" si="10"/>
        <v>X</v>
      </c>
      <c r="J673" s="76"/>
      <c r="K673" s="77"/>
      <c r="L673" s="77"/>
      <c r="M673" s="77"/>
      <c r="N673" s="77"/>
      <c r="O673" s="78"/>
      <c r="P673" s="78"/>
      <c r="Q673" s="78"/>
      <c r="R673" s="78"/>
      <c r="V673" s="79"/>
      <c r="W673" s="78"/>
    </row>
    <row r="674" spans="1:23" s="75" customFormat="1" hidden="1" x14ac:dyDescent="0.35">
      <c r="A674" s="75">
        <v>670</v>
      </c>
      <c r="B674" s="75">
        <v>671</v>
      </c>
      <c r="C674">
        <v>146.06530559999999</v>
      </c>
      <c r="D674">
        <v>-17.541827560000002</v>
      </c>
      <c r="G674" s="75">
        <v>100</v>
      </c>
      <c r="H674" s="75" t="s">
        <v>26</v>
      </c>
      <c r="I674" t="str">
        <f t="shared" si="10"/>
        <v>X</v>
      </c>
      <c r="J674" s="76"/>
      <c r="K674" s="77"/>
      <c r="L674" s="77"/>
      <c r="M674" s="77"/>
      <c r="N674" s="77"/>
      <c r="O674" s="78"/>
      <c r="P674" s="78"/>
      <c r="Q674" s="78"/>
      <c r="R674" s="78"/>
      <c r="V674" s="79"/>
      <c r="W674" s="78"/>
    </row>
    <row r="675" spans="1:23" s="75" customFormat="1" hidden="1" x14ac:dyDescent="0.35">
      <c r="A675" s="75">
        <v>671</v>
      </c>
      <c r="B675" s="75">
        <v>672</v>
      </c>
      <c r="C675">
        <v>146.0653313</v>
      </c>
      <c r="D675">
        <v>-17.541918299999999</v>
      </c>
      <c r="G675" s="75">
        <v>100</v>
      </c>
      <c r="H675" s="75" t="s">
        <v>26</v>
      </c>
      <c r="I675" t="str">
        <f t="shared" si="10"/>
        <v>X</v>
      </c>
      <c r="J675" s="76"/>
      <c r="K675" s="77"/>
      <c r="L675" s="77"/>
      <c r="M675" s="77"/>
      <c r="N675" s="77"/>
      <c r="O675" s="78"/>
      <c r="P675" s="78"/>
      <c r="Q675" s="78"/>
      <c r="R675" s="78"/>
      <c r="V675" s="79"/>
      <c r="W675" s="78"/>
    </row>
    <row r="676" spans="1:23" s="75" customFormat="1" hidden="1" x14ac:dyDescent="0.35">
      <c r="A676" s="75">
        <v>672</v>
      </c>
      <c r="B676" s="75">
        <v>673</v>
      </c>
      <c r="C676">
        <v>146.06535700000001</v>
      </c>
      <c r="D676">
        <v>-17.542009029999999</v>
      </c>
      <c r="G676" s="75">
        <v>100</v>
      </c>
      <c r="H676" s="75" t="s">
        <v>26</v>
      </c>
      <c r="I676" t="str">
        <f t="shared" si="10"/>
        <v>X</v>
      </c>
      <c r="J676" s="76"/>
      <c r="K676" s="77"/>
      <c r="L676" s="77"/>
      <c r="M676" s="77"/>
      <c r="N676" s="77"/>
      <c r="O676" s="78"/>
      <c r="P676" s="78"/>
      <c r="Q676" s="78"/>
      <c r="R676" s="78"/>
      <c r="V676" s="79"/>
      <c r="W676" s="78"/>
    </row>
    <row r="677" spans="1:23" s="75" customFormat="1" hidden="1" x14ac:dyDescent="0.35">
      <c r="A677" s="75">
        <v>673</v>
      </c>
      <c r="B677" s="75">
        <v>674</v>
      </c>
      <c r="C677">
        <v>146.06538269999999</v>
      </c>
      <c r="D677">
        <v>-17.54209977</v>
      </c>
      <c r="G677" s="75">
        <v>100</v>
      </c>
      <c r="H677" s="75" t="s">
        <v>26</v>
      </c>
      <c r="I677" t="str">
        <f t="shared" si="10"/>
        <v>X</v>
      </c>
      <c r="J677" s="76"/>
      <c r="K677" s="77"/>
      <c r="L677" s="77"/>
      <c r="M677" s="77"/>
      <c r="N677" s="77"/>
      <c r="O677" s="78"/>
      <c r="P677" s="78"/>
      <c r="Q677" s="78"/>
      <c r="R677" s="78"/>
      <c r="V677" s="79"/>
      <c r="W677" s="78"/>
    </row>
    <row r="678" spans="1:23" s="75" customFormat="1" hidden="1" x14ac:dyDescent="0.35">
      <c r="A678" s="75">
        <v>674</v>
      </c>
      <c r="B678" s="75">
        <v>675</v>
      </c>
      <c r="C678">
        <v>146.06539960000001</v>
      </c>
      <c r="D678">
        <v>-17.54219174</v>
      </c>
      <c r="E678" s="75">
        <v>50</v>
      </c>
      <c r="G678" s="75">
        <v>100</v>
      </c>
      <c r="H678" s="75" t="s">
        <v>26</v>
      </c>
      <c r="I678" t="str">
        <f t="shared" si="10"/>
        <v>X</v>
      </c>
      <c r="J678" s="76"/>
      <c r="K678" s="77"/>
      <c r="L678" s="77"/>
      <c r="M678" s="77"/>
      <c r="N678" s="77"/>
      <c r="O678" s="78"/>
      <c r="P678" s="78"/>
      <c r="Q678" s="78"/>
      <c r="R678" s="78"/>
      <c r="V678" s="79"/>
      <c r="W678" s="78"/>
    </row>
    <row r="679" spans="1:23" s="75" customFormat="1" hidden="1" x14ac:dyDescent="0.35">
      <c r="A679" s="75">
        <v>675</v>
      </c>
      <c r="B679" s="75">
        <v>676</v>
      </c>
      <c r="C679">
        <v>146.06540000000001</v>
      </c>
      <c r="D679">
        <v>-17.542286050000001</v>
      </c>
      <c r="G679" s="75">
        <v>100</v>
      </c>
      <c r="H679" s="75" t="s">
        <v>26</v>
      </c>
      <c r="I679" t="str">
        <f t="shared" si="10"/>
        <v>X</v>
      </c>
      <c r="J679" s="76"/>
      <c r="K679" s="77"/>
      <c r="L679" s="77"/>
      <c r="M679" s="77"/>
      <c r="N679" s="77"/>
      <c r="O679" s="78"/>
      <c r="P679" s="78"/>
      <c r="Q679" s="78"/>
      <c r="R679" s="78"/>
      <c r="V679" s="79"/>
      <c r="W679" s="78"/>
    </row>
    <row r="680" spans="1:23" s="75" customFormat="1" hidden="1" x14ac:dyDescent="0.35">
      <c r="A680" s="75">
        <v>676</v>
      </c>
      <c r="B680" s="75">
        <v>677</v>
      </c>
      <c r="C680">
        <v>146.06540039999999</v>
      </c>
      <c r="D680">
        <v>-17.542380349999998</v>
      </c>
      <c r="G680" s="75">
        <v>100</v>
      </c>
      <c r="H680" s="75" t="s">
        <v>26</v>
      </c>
      <c r="I680" t="str">
        <f t="shared" si="10"/>
        <v>X</v>
      </c>
      <c r="J680" s="76"/>
      <c r="K680" s="77"/>
      <c r="L680" s="77"/>
      <c r="M680" s="77"/>
      <c r="N680" s="77"/>
      <c r="O680" s="78"/>
      <c r="P680" s="78"/>
      <c r="Q680" s="78"/>
      <c r="R680" s="78"/>
      <c r="V680" s="79"/>
      <c r="W680" s="78"/>
    </row>
    <row r="681" spans="1:23" s="75" customFormat="1" hidden="1" x14ac:dyDescent="0.35">
      <c r="A681" s="75">
        <v>677</v>
      </c>
      <c r="B681" s="75">
        <v>678</v>
      </c>
      <c r="C681">
        <v>146.0654007</v>
      </c>
      <c r="D681">
        <v>-17.542474649999999</v>
      </c>
      <c r="G681" s="75">
        <v>100</v>
      </c>
      <c r="H681" s="75" t="s">
        <v>26</v>
      </c>
      <c r="I681" t="str">
        <f t="shared" si="10"/>
        <v>X</v>
      </c>
      <c r="J681" s="76"/>
      <c r="K681" s="77"/>
      <c r="L681" s="77"/>
      <c r="M681" s="77"/>
      <c r="N681" s="77"/>
      <c r="O681" s="78"/>
      <c r="P681" s="78"/>
      <c r="Q681" s="78"/>
      <c r="R681" s="78"/>
      <c r="V681" s="79"/>
      <c r="W681" s="78"/>
    </row>
    <row r="682" spans="1:23" s="75" customFormat="1" hidden="1" x14ac:dyDescent="0.35">
      <c r="A682" s="75">
        <v>678</v>
      </c>
      <c r="B682" s="75">
        <v>679</v>
      </c>
      <c r="C682">
        <v>146.0654011</v>
      </c>
      <c r="D682">
        <v>-17.542568960000001</v>
      </c>
      <c r="G682" s="75">
        <v>100</v>
      </c>
      <c r="H682" s="75" t="s">
        <v>26</v>
      </c>
      <c r="I682" t="str">
        <f t="shared" si="10"/>
        <v>X</v>
      </c>
      <c r="J682" s="76"/>
      <c r="K682" s="77"/>
      <c r="L682" s="77"/>
      <c r="M682" s="77"/>
      <c r="N682" s="77"/>
      <c r="O682" s="78"/>
      <c r="P682" s="78"/>
      <c r="Q682" s="78"/>
      <c r="R682" s="78"/>
      <c r="V682" s="79"/>
      <c r="W682" s="78"/>
    </row>
    <row r="683" spans="1:23" s="75" customFormat="1" hidden="1" x14ac:dyDescent="0.35">
      <c r="A683" s="75">
        <v>679</v>
      </c>
      <c r="B683" s="75">
        <v>680</v>
      </c>
      <c r="C683">
        <v>146.06540150000001</v>
      </c>
      <c r="D683">
        <v>-17.542663260000001</v>
      </c>
      <c r="E683" s="75">
        <v>50</v>
      </c>
      <c r="G683" s="75">
        <v>100</v>
      </c>
      <c r="H683" s="75" t="s">
        <v>26</v>
      </c>
      <c r="I683" t="str">
        <f t="shared" si="10"/>
        <v>X</v>
      </c>
      <c r="J683" s="76"/>
      <c r="K683" s="77"/>
      <c r="L683" s="77"/>
      <c r="M683" s="77"/>
      <c r="N683" s="77"/>
      <c r="O683" s="78"/>
      <c r="P683" s="78"/>
      <c r="Q683" s="78"/>
      <c r="R683" s="78"/>
      <c r="V683" s="79"/>
      <c r="W683" s="78"/>
    </row>
    <row r="684" spans="1:23" s="75" customFormat="1" hidden="1" x14ac:dyDescent="0.35">
      <c r="A684" s="75">
        <v>680</v>
      </c>
      <c r="B684" s="75">
        <v>681</v>
      </c>
      <c r="C684">
        <v>146.06540190000001</v>
      </c>
      <c r="D684">
        <v>-17.542757559999998</v>
      </c>
      <c r="G684" s="75">
        <v>100</v>
      </c>
      <c r="H684" s="75" t="s">
        <v>26</v>
      </c>
      <c r="I684" t="str">
        <f t="shared" si="10"/>
        <v>X</v>
      </c>
      <c r="J684" s="76"/>
      <c r="K684" s="77"/>
      <c r="L684" s="77"/>
      <c r="M684" s="77"/>
      <c r="N684" s="77"/>
      <c r="O684" s="78"/>
      <c r="P684" s="78"/>
      <c r="Q684" s="78"/>
      <c r="R684" s="78"/>
      <c r="V684" s="79"/>
      <c r="W684" s="78"/>
    </row>
    <row r="685" spans="1:23" s="75" customFormat="1" hidden="1" x14ac:dyDescent="0.35">
      <c r="A685" s="75">
        <v>681</v>
      </c>
      <c r="B685" s="75">
        <v>682</v>
      </c>
      <c r="C685">
        <v>146.0653969</v>
      </c>
      <c r="D685">
        <v>-17.542851710000001</v>
      </c>
      <c r="G685" s="75">
        <v>100</v>
      </c>
      <c r="H685" s="75" t="s">
        <v>26</v>
      </c>
      <c r="I685" t="str">
        <f t="shared" si="10"/>
        <v>X</v>
      </c>
      <c r="J685" s="76"/>
      <c r="K685" s="77"/>
      <c r="L685" s="77"/>
      <c r="M685" s="77"/>
      <c r="N685" s="77"/>
      <c r="O685" s="78"/>
      <c r="P685" s="78"/>
      <c r="Q685" s="78"/>
      <c r="R685" s="78"/>
      <c r="V685" s="79"/>
      <c r="W685" s="78"/>
    </row>
    <row r="686" spans="1:23" s="75" customFormat="1" hidden="1" x14ac:dyDescent="0.35">
      <c r="A686" s="75">
        <v>682</v>
      </c>
      <c r="B686" s="75">
        <v>683</v>
      </c>
      <c r="C686">
        <v>146.06541139999999</v>
      </c>
      <c r="D686">
        <v>-17.542944389999999</v>
      </c>
      <c r="G686" s="75">
        <v>100</v>
      </c>
      <c r="H686" s="75" t="s">
        <v>26</v>
      </c>
      <c r="I686" t="str">
        <f t="shared" si="10"/>
        <v>X</v>
      </c>
      <c r="J686" s="76"/>
      <c r="K686" s="77"/>
      <c r="L686" s="77"/>
      <c r="M686" s="77"/>
      <c r="N686" s="77"/>
      <c r="O686" s="78"/>
      <c r="P686" s="78"/>
      <c r="Q686" s="78"/>
      <c r="R686" s="78"/>
      <c r="V686" s="79"/>
      <c r="W686" s="78"/>
    </row>
    <row r="687" spans="1:23" s="75" customFormat="1" hidden="1" x14ac:dyDescent="0.35">
      <c r="A687" s="75">
        <v>683</v>
      </c>
      <c r="B687" s="75">
        <v>684</v>
      </c>
      <c r="C687">
        <v>146.06543049999999</v>
      </c>
      <c r="D687">
        <v>-17.543036730000001</v>
      </c>
      <c r="G687" s="75">
        <v>100</v>
      </c>
      <c r="H687" s="75" t="s">
        <v>26</v>
      </c>
      <c r="I687" t="str">
        <f t="shared" si="10"/>
        <v>X</v>
      </c>
      <c r="J687" s="76"/>
      <c r="K687" s="77"/>
      <c r="L687" s="77"/>
      <c r="M687" s="77"/>
      <c r="N687" s="77"/>
      <c r="O687" s="78"/>
      <c r="P687" s="78"/>
      <c r="Q687" s="78"/>
      <c r="R687" s="78"/>
      <c r="V687" s="79"/>
      <c r="W687" s="78"/>
    </row>
    <row r="688" spans="1:23" s="75" customFormat="1" hidden="1" x14ac:dyDescent="0.35">
      <c r="A688" s="75">
        <v>684</v>
      </c>
      <c r="B688" s="75">
        <v>685</v>
      </c>
      <c r="C688">
        <v>146.06544969999999</v>
      </c>
      <c r="D688">
        <v>-17.543129069999999</v>
      </c>
      <c r="E688" s="75">
        <v>50</v>
      </c>
      <c r="G688" s="75">
        <v>100</v>
      </c>
      <c r="H688" s="75" t="s">
        <v>26</v>
      </c>
      <c r="I688" t="str">
        <f t="shared" si="10"/>
        <v>X</v>
      </c>
      <c r="J688" s="76"/>
      <c r="K688" s="77"/>
      <c r="L688" s="77"/>
      <c r="M688" s="77"/>
      <c r="N688" s="77"/>
      <c r="O688" s="78"/>
      <c r="P688" s="78"/>
      <c r="Q688" s="78"/>
      <c r="R688" s="78"/>
      <c r="V688" s="79"/>
      <c r="W688" s="78"/>
    </row>
    <row r="689" spans="1:23" s="75" customFormat="1" hidden="1" x14ac:dyDescent="0.35">
      <c r="A689" s="75">
        <v>685</v>
      </c>
      <c r="B689" s="75">
        <v>686</v>
      </c>
      <c r="C689">
        <v>146.06549709999999</v>
      </c>
      <c r="D689">
        <v>-17.543210420000001</v>
      </c>
      <c r="G689" s="75">
        <v>100</v>
      </c>
      <c r="H689" s="75" t="s">
        <v>26</v>
      </c>
      <c r="I689" t="str">
        <f t="shared" si="10"/>
        <v>X</v>
      </c>
      <c r="J689" s="76"/>
      <c r="K689" s="77"/>
      <c r="L689" s="77"/>
      <c r="M689" s="77"/>
      <c r="N689" s="77"/>
      <c r="O689" s="78"/>
      <c r="P689" s="78"/>
      <c r="Q689" s="78"/>
      <c r="R689" s="78"/>
      <c r="V689" s="79"/>
      <c r="W689" s="78"/>
    </row>
    <row r="690" spans="1:23" s="75" customFormat="1" hidden="1" x14ac:dyDescent="0.35">
      <c r="A690" s="75">
        <v>686</v>
      </c>
      <c r="B690" s="75">
        <v>687</v>
      </c>
      <c r="C690">
        <v>146.06555130000001</v>
      </c>
      <c r="D690">
        <v>-17.543286439999999</v>
      </c>
      <c r="G690" s="75">
        <v>100</v>
      </c>
      <c r="H690" s="75" t="s">
        <v>26</v>
      </c>
      <c r="I690" t="str">
        <f t="shared" si="10"/>
        <v>X</v>
      </c>
      <c r="J690" s="76"/>
      <c r="K690" s="77"/>
      <c r="L690" s="77"/>
      <c r="M690" s="77"/>
      <c r="N690" s="77"/>
      <c r="O690" s="78"/>
      <c r="P690" s="78"/>
      <c r="Q690" s="78"/>
      <c r="R690" s="78"/>
      <c r="V690" s="79"/>
      <c r="W690" s="78"/>
    </row>
    <row r="691" spans="1:23" s="75" customFormat="1" hidden="1" x14ac:dyDescent="0.35">
      <c r="A691" s="75">
        <v>687</v>
      </c>
      <c r="B691" s="75">
        <v>688</v>
      </c>
      <c r="C691">
        <v>146.06562299999999</v>
      </c>
      <c r="D691">
        <v>-17.543347709999999</v>
      </c>
      <c r="G691" s="75">
        <v>100</v>
      </c>
      <c r="H691" s="75" t="s">
        <v>26</v>
      </c>
      <c r="I691" t="str">
        <f t="shared" si="10"/>
        <v>X</v>
      </c>
      <c r="J691" s="76"/>
      <c r="K691" s="77"/>
      <c r="L691" s="77"/>
      <c r="M691" s="77"/>
      <c r="N691" s="77"/>
      <c r="O691" s="78"/>
      <c r="P691" s="78"/>
      <c r="Q691" s="78"/>
      <c r="R691" s="78"/>
      <c r="V691" s="79"/>
      <c r="W691" s="78"/>
    </row>
    <row r="692" spans="1:23" s="75" customFormat="1" hidden="1" x14ac:dyDescent="0.35">
      <c r="A692" s="75">
        <v>688</v>
      </c>
      <c r="B692" s="75">
        <v>689</v>
      </c>
      <c r="C692">
        <v>146.0656946</v>
      </c>
      <c r="D692">
        <v>-17.54340899</v>
      </c>
      <c r="G692" s="75">
        <v>100</v>
      </c>
      <c r="H692" s="75" t="s">
        <v>26</v>
      </c>
      <c r="I692" t="str">
        <f t="shared" si="10"/>
        <v>X</v>
      </c>
      <c r="J692" s="76"/>
      <c r="K692" s="77"/>
      <c r="L692" s="77"/>
      <c r="M692" s="77"/>
      <c r="N692" s="77"/>
      <c r="O692" s="78"/>
      <c r="P692" s="78"/>
      <c r="Q692" s="78"/>
      <c r="R692" s="78"/>
      <c r="V692" s="79"/>
      <c r="W692" s="78"/>
    </row>
    <row r="693" spans="1:23" s="75" customFormat="1" hidden="1" x14ac:dyDescent="0.35">
      <c r="A693" s="75">
        <v>689</v>
      </c>
      <c r="B693" s="75">
        <v>690</v>
      </c>
      <c r="C693">
        <v>146.06577010000001</v>
      </c>
      <c r="D693">
        <v>-17.543465399999999</v>
      </c>
      <c r="E693" s="75">
        <v>50</v>
      </c>
      <c r="G693" s="75">
        <v>100</v>
      </c>
      <c r="H693" s="75" t="s">
        <v>26</v>
      </c>
      <c r="I693" t="str">
        <f t="shared" si="10"/>
        <v>X</v>
      </c>
      <c r="J693" s="76"/>
      <c r="K693" s="77"/>
      <c r="L693" s="77"/>
      <c r="M693" s="77"/>
      <c r="N693" s="77"/>
      <c r="O693" s="78"/>
      <c r="P693" s="78"/>
      <c r="Q693" s="78"/>
      <c r="R693" s="78"/>
      <c r="V693" s="79"/>
      <c r="W693" s="78"/>
    </row>
    <row r="694" spans="1:23" s="75" customFormat="1" hidden="1" x14ac:dyDescent="0.35">
      <c r="A694" s="75">
        <v>690</v>
      </c>
      <c r="B694" s="75">
        <v>691</v>
      </c>
      <c r="C694">
        <v>146.06584770000001</v>
      </c>
      <c r="D694">
        <v>-17.543518890000001</v>
      </c>
      <c r="G694" s="75">
        <v>100</v>
      </c>
      <c r="H694" s="75" t="s">
        <v>26</v>
      </c>
      <c r="I694" t="str">
        <f t="shared" si="10"/>
        <v>X</v>
      </c>
      <c r="J694" s="76"/>
      <c r="K694" s="77"/>
      <c r="L694" s="77"/>
      <c r="M694" s="77"/>
      <c r="N694" s="77"/>
      <c r="O694" s="78"/>
      <c r="P694" s="78"/>
      <c r="Q694" s="78"/>
      <c r="R694" s="78"/>
      <c r="V694" s="79"/>
      <c r="W694" s="78"/>
    </row>
    <row r="695" spans="1:23" s="75" customFormat="1" hidden="1" x14ac:dyDescent="0.35">
      <c r="A695" s="75">
        <v>691</v>
      </c>
      <c r="B695" s="75">
        <v>692</v>
      </c>
      <c r="C695">
        <v>146.0659254</v>
      </c>
      <c r="D695">
        <v>-17.543572390000001</v>
      </c>
      <c r="G695" s="75">
        <v>100</v>
      </c>
      <c r="H695" s="75" t="s">
        <v>26</v>
      </c>
      <c r="I695" t="str">
        <f t="shared" si="10"/>
        <v>X</v>
      </c>
      <c r="J695" s="76"/>
      <c r="K695" s="77"/>
      <c r="L695" s="77"/>
      <c r="M695" s="77"/>
      <c r="N695" s="77"/>
      <c r="O695" s="78"/>
      <c r="P695" s="78"/>
      <c r="Q695" s="78"/>
      <c r="R695" s="78"/>
      <c r="V695" s="79"/>
      <c r="W695" s="78"/>
    </row>
    <row r="696" spans="1:23" s="75" customFormat="1" hidden="1" x14ac:dyDescent="0.35">
      <c r="A696" s="75">
        <v>692</v>
      </c>
      <c r="B696" s="75">
        <v>693</v>
      </c>
      <c r="C696">
        <v>146.06601190000001</v>
      </c>
      <c r="D696">
        <v>-17.5436096</v>
      </c>
      <c r="G696" s="75">
        <v>100</v>
      </c>
      <c r="H696" s="75" t="s">
        <v>26</v>
      </c>
      <c r="I696" t="str">
        <f t="shared" si="10"/>
        <v>X</v>
      </c>
      <c r="J696" s="76"/>
      <c r="K696" s="77"/>
      <c r="L696" s="77"/>
      <c r="M696" s="77"/>
      <c r="N696" s="77"/>
      <c r="O696" s="78"/>
      <c r="P696" s="78"/>
      <c r="Q696" s="78"/>
      <c r="R696" s="78"/>
      <c r="V696" s="79"/>
      <c r="W696" s="78"/>
    </row>
    <row r="697" spans="1:23" s="75" customFormat="1" hidden="1" x14ac:dyDescent="0.35">
      <c r="A697" s="75">
        <v>693</v>
      </c>
      <c r="B697" s="75">
        <v>694</v>
      </c>
      <c r="C697">
        <v>146.0660992</v>
      </c>
      <c r="D697">
        <v>-17.543645219999998</v>
      </c>
      <c r="G697" s="75">
        <v>100</v>
      </c>
      <c r="H697" s="75" t="s">
        <v>26</v>
      </c>
      <c r="I697" t="str">
        <f t="shared" si="10"/>
        <v>X</v>
      </c>
      <c r="J697" s="76"/>
      <c r="K697" s="77"/>
      <c r="L697" s="77"/>
      <c r="M697" s="77"/>
      <c r="N697" s="77"/>
      <c r="O697" s="78"/>
      <c r="P697" s="78"/>
      <c r="Q697" s="78"/>
      <c r="R697" s="78"/>
      <c r="V697" s="79"/>
      <c r="W697" s="78"/>
    </row>
    <row r="698" spans="1:23" s="75" customFormat="1" hidden="1" x14ac:dyDescent="0.35">
      <c r="A698" s="75">
        <v>694</v>
      </c>
      <c r="B698" s="75">
        <v>695</v>
      </c>
      <c r="C698">
        <v>146.06618649999999</v>
      </c>
      <c r="D698">
        <v>-17.54368083</v>
      </c>
      <c r="E698" s="75">
        <v>50</v>
      </c>
      <c r="G698" s="75">
        <v>100</v>
      </c>
      <c r="H698" s="75" t="s">
        <v>26</v>
      </c>
      <c r="I698" t="str">
        <f t="shared" si="10"/>
        <v>X</v>
      </c>
      <c r="J698" s="76"/>
      <c r="K698" s="77"/>
      <c r="L698" s="77"/>
      <c r="M698" s="77"/>
      <c r="N698" s="77"/>
      <c r="O698" s="78"/>
      <c r="P698" s="78"/>
      <c r="Q698" s="78"/>
      <c r="R698" s="78"/>
      <c r="V698" s="79"/>
      <c r="W698" s="78"/>
    </row>
    <row r="699" spans="1:23" s="75" customFormat="1" hidden="1" x14ac:dyDescent="0.35">
      <c r="A699" s="75">
        <v>695</v>
      </c>
      <c r="B699" s="75">
        <v>696</v>
      </c>
      <c r="C699">
        <v>146.0662738</v>
      </c>
      <c r="D699">
        <v>-17.543716440000001</v>
      </c>
      <c r="G699" s="75">
        <v>100</v>
      </c>
      <c r="H699" s="75" t="s">
        <v>26</v>
      </c>
      <c r="I699" t="str">
        <f t="shared" si="10"/>
        <v>X</v>
      </c>
      <c r="J699" s="76"/>
      <c r="K699" s="77"/>
      <c r="L699" s="77"/>
      <c r="M699" s="77"/>
      <c r="N699" s="77"/>
      <c r="O699" s="78"/>
      <c r="P699" s="78"/>
      <c r="Q699" s="78"/>
      <c r="R699" s="78"/>
      <c r="V699" s="79"/>
      <c r="W699" s="78"/>
    </row>
    <row r="700" spans="1:23" s="75" customFormat="1" hidden="1" x14ac:dyDescent="0.35">
      <c r="A700" s="75">
        <v>696</v>
      </c>
      <c r="B700" s="75">
        <v>697</v>
      </c>
      <c r="C700">
        <v>146.06634940000001</v>
      </c>
      <c r="D700">
        <v>-17.54377268</v>
      </c>
      <c r="G700" s="75">
        <v>100</v>
      </c>
      <c r="H700" s="75" t="s">
        <v>26</v>
      </c>
      <c r="I700" t="str">
        <f t="shared" si="10"/>
        <v>X</v>
      </c>
      <c r="J700" s="76"/>
      <c r="K700" s="77"/>
      <c r="L700" s="77"/>
      <c r="M700" s="77"/>
      <c r="N700" s="77"/>
      <c r="O700" s="78"/>
      <c r="P700" s="78"/>
      <c r="Q700" s="78"/>
      <c r="R700" s="78"/>
      <c r="V700" s="79"/>
      <c r="W700" s="78"/>
    </row>
    <row r="701" spans="1:23" s="75" customFormat="1" hidden="1" x14ac:dyDescent="0.35">
      <c r="A701" s="75">
        <v>697</v>
      </c>
      <c r="B701" s="75">
        <v>698</v>
      </c>
      <c r="C701">
        <v>146.06642450000001</v>
      </c>
      <c r="D701">
        <v>-17.54382966</v>
      </c>
      <c r="G701" s="75">
        <v>100</v>
      </c>
      <c r="H701" s="75" t="s">
        <v>26</v>
      </c>
      <c r="I701" t="str">
        <f t="shared" si="10"/>
        <v>X</v>
      </c>
      <c r="J701" s="76"/>
      <c r="K701" s="77"/>
      <c r="L701" s="77"/>
      <c r="M701" s="77"/>
      <c r="N701" s="77"/>
      <c r="O701" s="78"/>
      <c r="P701" s="78"/>
      <c r="Q701" s="78"/>
      <c r="R701" s="78"/>
      <c r="V701" s="79"/>
      <c r="W701" s="78"/>
    </row>
    <row r="702" spans="1:23" s="75" customFormat="1" hidden="1" x14ac:dyDescent="0.35">
      <c r="A702" s="75">
        <v>698</v>
      </c>
      <c r="B702" s="75">
        <v>699</v>
      </c>
      <c r="C702">
        <v>146.06649970000001</v>
      </c>
      <c r="D702">
        <v>-17.543886650000001</v>
      </c>
      <c r="G702" s="75">
        <v>100</v>
      </c>
      <c r="H702" s="75" t="s">
        <v>26</v>
      </c>
      <c r="I702" t="str">
        <f t="shared" si="10"/>
        <v>X</v>
      </c>
      <c r="J702" s="76"/>
      <c r="K702" s="77"/>
      <c r="L702" s="77"/>
      <c r="M702" s="77"/>
      <c r="N702" s="77"/>
      <c r="O702" s="78"/>
      <c r="P702" s="78"/>
      <c r="Q702" s="78"/>
      <c r="R702" s="78"/>
      <c r="V702" s="79"/>
      <c r="W702" s="78"/>
    </row>
    <row r="703" spans="1:23" s="75" customFormat="1" hidden="1" x14ac:dyDescent="0.35">
      <c r="A703" s="75">
        <v>699</v>
      </c>
      <c r="B703" s="75">
        <v>700</v>
      </c>
      <c r="C703">
        <v>146.06656150000001</v>
      </c>
      <c r="D703">
        <v>-17.54395607</v>
      </c>
      <c r="E703" s="75">
        <v>50</v>
      </c>
      <c r="G703" s="75">
        <v>100</v>
      </c>
      <c r="H703" s="75" t="s">
        <v>26</v>
      </c>
      <c r="I703" t="str">
        <f t="shared" si="10"/>
        <v>X</v>
      </c>
      <c r="J703" s="76"/>
      <c r="K703" s="77"/>
      <c r="L703" s="77"/>
      <c r="M703" s="77"/>
      <c r="N703" s="77"/>
      <c r="O703" s="78"/>
      <c r="P703" s="78"/>
      <c r="Q703" s="78"/>
      <c r="R703" s="78"/>
      <c r="V703" s="79"/>
      <c r="W703" s="78"/>
    </row>
    <row r="704" spans="1:23" s="75" customFormat="1" hidden="1" x14ac:dyDescent="0.35">
      <c r="A704" s="75">
        <v>700</v>
      </c>
      <c r="B704" s="75">
        <v>701</v>
      </c>
      <c r="C704">
        <v>146.06661320000001</v>
      </c>
      <c r="D704">
        <v>-17.544034910000001</v>
      </c>
      <c r="G704" s="75">
        <v>100</v>
      </c>
      <c r="H704" s="75" t="s">
        <v>26</v>
      </c>
      <c r="I704" t="str">
        <f t="shared" si="10"/>
        <v>X</v>
      </c>
      <c r="J704" s="76"/>
      <c r="K704" s="77"/>
      <c r="L704" s="77"/>
      <c r="M704" s="77"/>
      <c r="N704" s="77"/>
      <c r="O704" s="78"/>
      <c r="P704" s="78"/>
      <c r="Q704" s="78"/>
      <c r="R704" s="78"/>
      <c r="V704" s="79"/>
      <c r="W704" s="78"/>
    </row>
    <row r="705" spans="1:23" s="75" customFormat="1" hidden="1" x14ac:dyDescent="0.35">
      <c r="A705" s="75">
        <v>701</v>
      </c>
      <c r="B705" s="75">
        <v>702</v>
      </c>
      <c r="C705">
        <v>146.066665</v>
      </c>
      <c r="D705">
        <v>-17.544113759999998</v>
      </c>
      <c r="G705" s="75">
        <v>100</v>
      </c>
      <c r="H705" s="75" t="s">
        <v>26</v>
      </c>
      <c r="I705" t="str">
        <f t="shared" si="10"/>
        <v>X</v>
      </c>
      <c r="J705" s="76"/>
      <c r="K705" s="77"/>
      <c r="L705" s="77"/>
      <c r="M705" s="77"/>
      <c r="N705" s="77"/>
      <c r="O705" s="78"/>
      <c r="P705" s="78"/>
      <c r="Q705" s="78"/>
      <c r="R705" s="78"/>
      <c r="V705" s="79"/>
      <c r="W705" s="78"/>
    </row>
    <row r="706" spans="1:23" s="75" customFormat="1" hidden="1" x14ac:dyDescent="0.35">
      <c r="A706" s="75">
        <v>702</v>
      </c>
      <c r="B706" s="75">
        <v>703</v>
      </c>
      <c r="C706">
        <v>146.0666981</v>
      </c>
      <c r="D706">
        <v>-17.544200360000001</v>
      </c>
      <c r="G706" s="75">
        <v>100</v>
      </c>
      <c r="H706" s="75" t="s">
        <v>26</v>
      </c>
      <c r="I706" t="str">
        <f t="shared" si="10"/>
        <v>X</v>
      </c>
      <c r="J706" s="76"/>
      <c r="K706" s="77"/>
      <c r="L706" s="77"/>
      <c r="M706" s="77"/>
      <c r="N706" s="77"/>
      <c r="O706" s="78"/>
      <c r="P706" s="78"/>
      <c r="Q706" s="78"/>
      <c r="R706" s="78"/>
      <c r="V706" s="79"/>
      <c r="W706" s="78"/>
    </row>
    <row r="707" spans="1:23" s="75" customFormat="1" hidden="1" x14ac:dyDescent="0.35">
      <c r="A707" s="75">
        <v>703</v>
      </c>
      <c r="B707" s="75">
        <v>704</v>
      </c>
      <c r="C707">
        <v>146.0667176</v>
      </c>
      <c r="D707">
        <v>-17.544292609999999</v>
      </c>
      <c r="G707" s="75">
        <v>100</v>
      </c>
      <c r="H707" s="75" t="s">
        <v>26</v>
      </c>
      <c r="I707" t="str">
        <f t="shared" si="10"/>
        <v>X</v>
      </c>
      <c r="J707" s="76"/>
      <c r="K707" s="77"/>
      <c r="L707" s="77"/>
      <c r="M707" s="77"/>
      <c r="N707" s="77"/>
      <c r="O707" s="78"/>
      <c r="P707" s="78"/>
      <c r="Q707" s="78"/>
      <c r="R707" s="78"/>
      <c r="V707" s="79"/>
      <c r="W707" s="78"/>
    </row>
    <row r="708" spans="1:23" s="75" customFormat="1" hidden="1" x14ac:dyDescent="0.35">
      <c r="A708" s="75">
        <v>704</v>
      </c>
      <c r="B708" s="75">
        <v>705</v>
      </c>
      <c r="C708">
        <v>146.06673720000001</v>
      </c>
      <c r="D708">
        <v>-17.544384869999998</v>
      </c>
      <c r="E708" s="75">
        <v>50</v>
      </c>
      <c r="G708" s="75">
        <v>100</v>
      </c>
      <c r="H708" s="75" t="s">
        <v>26</v>
      </c>
      <c r="I708" t="str">
        <f t="shared" si="10"/>
        <v>X</v>
      </c>
      <c r="J708" s="76"/>
      <c r="K708" s="77"/>
      <c r="L708" s="77"/>
      <c r="M708" s="77"/>
      <c r="N708" s="77"/>
      <c r="O708" s="78"/>
      <c r="P708" s="78"/>
      <c r="Q708" s="78"/>
      <c r="R708" s="78"/>
      <c r="V708" s="79"/>
      <c r="W708" s="78"/>
    </row>
    <row r="709" spans="1:23" s="75" customFormat="1" hidden="1" x14ac:dyDescent="0.35">
      <c r="A709" s="75">
        <v>705</v>
      </c>
      <c r="B709" s="75">
        <v>706</v>
      </c>
      <c r="C709">
        <v>146.06673369999999</v>
      </c>
      <c r="D709">
        <v>-17.544478380000001</v>
      </c>
      <c r="G709" s="75">
        <v>100</v>
      </c>
      <c r="H709" s="75" t="s">
        <v>26</v>
      </c>
      <c r="I709" t="str">
        <f t="shared" ref="I709:I772" si="11">IF(H709="X","X",IF(J709="NA","X",IF(J709="","X",J709)))</f>
        <v>X</v>
      </c>
      <c r="J709" s="76"/>
      <c r="K709" s="77"/>
      <c r="L709" s="77"/>
      <c r="M709" s="77"/>
      <c r="N709" s="77"/>
      <c r="O709" s="78"/>
      <c r="P709" s="78"/>
      <c r="Q709" s="78"/>
      <c r="R709" s="78"/>
      <c r="V709" s="79"/>
      <c r="W709" s="78"/>
    </row>
    <row r="710" spans="1:23" s="75" customFormat="1" hidden="1" x14ac:dyDescent="0.35">
      <c r="A710" s="75">
        <v>706</v>
      </c>
      <c r="B710" s="75">
        <v>707</v>
      </c>
      <c r="C710">
        <v>146.0667243</v>
      </c>
      <c r="D710">
        <v>-17.544572219999999</v>
      </c>
      <c r="G710" s="75">
        <v>100</v>
      </c>
      <c r="H710" s="75" t="s">
        <v>26</v>
      </c>
      <c r="I710" t="str">
        <f t="shared" si="11"/>
        <v>X</v>
      </c>
      <c r="J710" s="76"/>
      <c r="K710" s="77"/>
      <c r="L710" s="77"/>
      <c r="M710" s="77"/>
      <c r="N710" s="77"/>
      <c r="O710" s="78"/>
      <c r="P710" s="78"/>
      <c r="Q710" s="78"/>
      <c r="R710" s="78"/>
      <c r="V710" s="79"/>
      <c r="W710" s="78"/>
    </row>
    <row r="711" spans="1:23" s="75" customFormat="1" hidden="1" x14ac:dyDescent="0.35">
      <c r="A711" s="75">
        <v>707</v>
      </c>
      <c r="B711" s="75">
        <v>708</v>
      </c>
      <c r="C711">
        <v>146.06671410000001</v>
      </c>
      <c r="D711">
        <v>-17.54466597</v>
      </c>
      <c r="G711" s="75">
        <v>100</v>
      </c>
      <c r="H711" s="75" t="s">
        <v>26</v>
      </c>
      <c r="I711" t="str">
        <f t="shared" si="11"/>
        <v>X</v>
      </c>
      <c r="J711" s="76"/>
      <c r="K711" s="77"/>
      <c r="L711" s="77"/>
      <c r="M711" s="77"/>
      <c r="N711" s="77"/>
      <c r="O711" s="78"/>
      <c r="P711" s="78"/>
      <c r="Q711" s="78"/>
      <c r="R711" s="78"/>
      <c r="V711" s="79"/>
      <c r="W711" s="78"/>
    </row>
    <row r="712" spans="1:23" s="75" customFormat="1" hidden="1" x14ac:dyDescent="0.35">
      <c r="A712" s="75">
        <v>708</v>
      </c>
      <c r="B712" s="75">
        <v>709</v>
      </c>
      <c r="C712">
        <v>146.06669769999999</v>
      </c>
      <c r="D712">
        <v>-17.544758009999999</v>
      </c>
      <c r="G712" s="75">
        <v>100</v>
      </c>
      <c r="H712" s="75" t="s">
        <v>26</v>
      </c>
      <c r="I712" t="str">
        <f t="shared" si="11"/>
        <v>X</v>
      </c>
      <c r="J712" s="76"/>
      <c r="K712" s="77"/>
      <c r="L712" s="77"/>
      <c r="M712" s="77"/>
      <c r="N712" s="77"/>
      <c r="O712" s="78"/>
      <c r="P712" s="78"/>
      <c r="Q712" s="78"/>
      <c r="R712" s="78"/>
      <c r="V712" s="79"/>
      <c r="W712" s="78"/>
    </row>
    <row r="713" spans="1:23" s="75" customFormat="1" hidden="1" x14ac:dyDescent="0.35">
      <c r="A713" s="75">
        <v>709</v>
      </c>
      <c r="B713" s="75">
        <v>710</v>
      </c>
      <c r="C713">
        <v>146.06664649999999</v>
      </c>
      <c r="D713">
        <v>-17.54482526</v>
      </c>
      <c r="E713" s="75">
        <v>50</v>
      </c>
      <c r="G713" s="75">
        <v>100</v>
      </c>
      <c r="H713" s="75" t="s">
        <v>26</v>
      </c>
      <c r="I713" t="str">
        <f t="shared" si="11"/>
        <v>X</v>
      </c>
      <c r="J713" s="76"/>
      <c r="K713" s="77"/>
      <c r="L713" s="77"/>
      <c r="M713" s="77"/>
      <c r="N713" s="77"/>
      <c r="O713" s="78"/>
      <c r="P713" s="78"/>
      <c r="Q713" s="78"/>
      <c r="R713" s="78"/>
      <c r="V713" s="79"/>
      <c r="W713" s="78"/>
    </row>
    <row r="714" spans="1:23" s="75" customFormat="1" hidden="1" x14ac:dyDescent="0.35">
      <c r="A714" s="75">
        <v>710</v>
      </c>
      <c r="B714" s="75">
        <v>711</v>
      </c>
      <c r="C714">
        <v>146.0665655</v>
      </c>
      <c r="D714">
        <v>-17.544788109999999</v>
      </c>
      <c r="G714" s="75">
        <v>100</v>
      </c>
      <c r="H714" s="75" t="s">
        <v>26</v>
      </c>
      <c r="I714" t="str">
        <f t="shared" si="11"/>
        <v>X</v>
      </c>
      <c r="J714" s="76"/>
      <c r="K714" s="77"/>
      <c r="L714" s="77"/>
      <c r="M714" s="77"/>
      <c r="N714" s="77"/>
      <c r="O714" s="78"/>
      <c r="P714" s="78"/>
      <c r="Q714" s="78"/>
      <c r="R714" s="78"/>
      <c r="V714" s="79"/>
      <c r="W714" s="78"/>
    </row>
    <row r="715" spans="1:23" s="75" customFormat="1" hidden="1" x14ac:dyDescent="0.35">
      <c r="A715" s="75">
        <v>711</v>
      </c>
      <c r="B715" s="75">
        <v>712</v>
      </c>
      <c r="C715">
        <v>146.06654599999999</v>
      </c>
      <c r="D715">
        <v>-17.54469585</v>
      </c>
      <c r="G715" s="75">
        <v>100</v>
      </c>
      <c r="H715" s="75" t="s">
        <v>26</v>
      </c>
      <c r="I715" t="str">
        <f t="shared" si="11"/>
        <v>X</v>
      </c>
      <c r="J715" s="76"/>
      <c r="K715" s="77"/>
      <c r="L715" s="77"/>
      <c r="M715" s="77"/>
      <c r="N715" s="77"/>
      <c r="O715" s="78"/>
      <c r="P715" s="78"/>
      <c r="Q715" s="78"/>
      <c r="R715" s="78"/>
      <c r="V715" s="79"/>
      <c r="W715" s="78"/>
    </row>
    <row r="716" spans="1:23" s="75" customFormat="1" hidden="1" x14ac:dyDescent="0.35">
      <c r="A716" s="75">
        <v>712</v>
      </c>
      <c r="B716" s="75">
        <v>713</v>
      </c>
      <c r="C716">
        <v>146.06654850000001</v>
      </c>
      <c r="D716">
        <v>-17.544602919999999</v>
      </c>
      <c r="G716" s="75">
        <v>100</v>
      </c>
      <c r="H716" s="75" t="s">
        <v>26</v>
      </c>
      <c r="I716" t="str">
        <f t="shared" si="11"/>
        <v>X</v>
      </c>
      <c r="J716" s="76"/>
      <c r="K716" s="77"/>
      <c r="L716" s="77"/>
      <c r="M716" s="77"/>
      <c r="N716" s="77"/>
      <c r="O716" s="78"/>
      <c r="P716" s="78"/>
      <c r="Q716" s="78"/>
      <c r="R716" s="78"/>
      <c r="V716" s="79"/>
      <c r="W716" s="78"/>
    </row>
    <row r="717" spans="1:23" s="75" customFormat="1" hidden="1" x14ac:dyDescent="0.35">
      <c r="A717" s="75">
        <v>713</v>
      </c>
      <c r="B717" s="75">
        <v>714</v>
      </c>
      <c r="C717">
        <v>146.06656240000001</v>
      </c>
      <c r="D717">
        <v>-17.544509649999998</v>
      </c>
      <c r="G717" s="75">
        <v>100</v>
      </c>
      <c r="H717" s="75" t="s">
        <v>26</v>
      </c>
      <c r="I717" t="str">
        <f t="shared" si="11"/>
        <v>X</v>
      </c>
      <c r="J717" s="76"/>
      <c r="K717" s="77"/>
      <c r="L717" s="77"/>
      <c r="M717" s="77"/>
      <c r="N717" s="77"/>
      <c r="O717" s="78"/>
      <c r="P717" s="78"/>
      <c r="Q717" s="78"/>
      <c r="R717" s="78"/>
      <c r="V717" s="79"/>
      <c r="W717" s="78"/>
    </row>
    <row r="718" spans="1:23" s="75" customFormat="1" hidden="1" x14ac:dyDescent="0.35">
      <c r="A718" s="75">
        <v>714</v>
      </c>
      <c r="B718" s="75">
        <v>715</v>
      </c>
      <c r="C718">
        <v>146.06655979999999</v>
      </c>
      <c r="D718">
        <v>-17.54441538</v>
      </c>
      <c r="E718" s="75">
        <v>50</v>
      </c>
      <c r="G718" s="75">
        <v>100</v>
      </c>
      <c r="H718" s="75" t="s">
        <v>26</v>
      </c>
      <c r="I718" t="str">
        <f t="shared" si="11"/>
        <v>X</v>
      </c>
      <c r="J718" s="76"/>
      <c r="K718" s="77"/>
      <c r="L718" s="77"/>
      <c r="M718" s="77"/>
      <c r="N718" s="77"/>
      <c r="O718" s="78"/>
      <c r="P718" s="78"/>
      <c r="Q718" s="78"/>
      <c r="R718" s="78"/>
      <c r="V718" s="79"/>
      <c r="W718" s="78"/>
    </row>
    <row r="719" spans="1:23" s="75" customFormat="1" hidden="1" x14ac:dyDescent="0.35">
      <c r="A719" s="75">
        <v>715</v>
      </c>
      <c r="B719" s="75">
        <v>716</v>
      </c>
      <c r="C719">
        <v>146.06655470000001</v>
      </c>
      <c r="D719">
        <v>-17.544321369999999</v>
      </c>
      <c r="G719" s="75">
        <v>100</v>
      </c>
      <c r="H719" s="75" t="s">
        <v>26</v>
      </c>
      <c r="I719" t="str">
        <f t="shared" si="11"/>
        <v>X</v>
      </c>
      <c r="J719" s="76"/>
      <c r="K719" s="77"/>
      <c r="L719" s="77"/>
      <c r="M719" s="77"/>
      <c r="N719" s="77"/>
      <c r="O719" s="78"/>
      <c r="P719" s="78"/>
      <c r="Q719" s="78"/>
      <c r="R719" s="78"/>
      <c r="V719" s="79"/>
      <c r="W719" s="78"/>
    </row>
    <row r="720" spans="1:23" s="75" customFormat="1" hidden="1" x14ac:dyDescent="0.35">
      <c r="A720" s="75">
        <v>716</v>
      </c>
      <c r="B720" s="75">
        <v>717</v>
      </c>
      <c r="C720">
        <v>146.06653850000001</v>
      </c>
      <c r="D720">
        <v>-17.54422847</v>
      </c>
      <c r="G720" s="75">
        <v>100</v>
      </c>
      <c r="H720" s="75" t="s">
        <v>26</v>
      </c>
      <c r="I720" t="str">
        <f t="shared" si="11"/>
        <v>X</v>
      </c>
      <c r="J720" s="76"/>
      <c r="K720" s="77"/>
      <c r="L720" s="77"/>
      <c r="M720" s="77"/>
      <c r="N720" s="77"/>
      <c r="O720" s="78"/>
      <c r="P720" s="78"/>
      <c r="Q720" s="78"/>
      <c r="R720" s="78"/>
      <c r="V720" s="79"/>
      <c r="W720" s="78"/>
    </row>
    <row r="721" spans="1:23" s="75" customFormat="1" hidden="1" x14ac:dyDescent="0.35">
      <c r="A721" s="75">
        <v>717</v>
      </c>
      <c r="B721" s="75">
        <v>718</v>
      </c>
      <c r="C721">
        <v>146.06650060000001</v>
      </c>
      <c r="D721">
        <v>-17.544145220000001</v>
      </c>
      <c r="G721" s="75">
        <v>100</v>
      </c>
      <c r="H721" s="75" t="s">
        <v>26</v>
      </c>
      <c r="I721" t="str">
        <f t="shared" si="11"/>
        <v>X</v>
      </c>
      <c r="J721" s="76"/>
      <c r="K721" s="77"/>
      <c r="L721" s="77"/>
      <c r="M721" s="77"/>
      <c r="N721" s="77"/>
      <c r="O721" s="78"/>
      <c r="P721" s="78"/>
      <c r="Q721" s="78"/>
      <c r="R721" s="78"/>
      <c r="V721" s="79"/>
      <c r="W721" s="78"/>
    </row>
    <row r="722" spans="1:23" s="75" customFormat="1" hidden="1" x14ac:dyDescent="0.35">
      <c r="A722" s="75">
        <v>718</v>
      </c>
      <c r="B722" s="75">
        <v>719</v>
      </c>
      <c r="C722">
        <v>146.0664424</v>
      </c>
      <c r="D722">
        <v>-17.544070959999999</v>
      </c>
      <c r="G722" s="75">
        <v>100</v>
      </c>
      <c r="H722" s="75" t="s">
        <v>26</v>
      </c>
      <c r="I722" t="str">
        <f t="shared" si="11"/>
        <v>X</v>
      </c>
      <c r="J722" s="76"/>
      <c r="K722" s="77"/>
      <c r="L722" s="77"/>
      <c r="M722" s="77"/>
      <c r="N722" s="77"/>
      <c r="O722" s="78"/>
      <c r="P722" s="78"/>
      <c r="Q722" s="78"/>
      <c r="R722" s="78"/>
      <c r="V722" s="79"/>
      <c r="W722" s="78"/>
    </row>
    <row r="723" spans="1:23" s="75" customFormat="1" hidden="1" x14ac:dyDescent="0.35">
      <c r="A723" s="75">
        <v>719</v>
      </c>
      <c r="B723" s="75">
        <v>720</v>
      </c>
      <c r="C723">
        <v>146.06637420000001</v>
      </c>
      <c r="D723">
        <v>-17.54400841</v>
      </c>
      <c r="E723" s="75">
        <v>50</v>
      </c>
      <c r="G723" s="75">
        <v>100</v>
      </c>
      <c r="H723" s="75" t="s">
        <v>26</v>
      </c>
      <c r="I723" t="str">
        <f t="shared" si="11"/>
        <v>X</v>
      </c>
      <c r="J723" s="76"/>
      <c r="K723" s="77"/>
      <c r="L723" s="77"/>
      <c r="M723" s="77"/>
      <c r="N723" s="77"/>
      <c r="O723" s="78"/>
      <c r="P723" s="78"/>
      <c r="Q723" s="78"/>
      <c r="R723" s="78"/>
      <c r="V723" s="79"/>
      <c r="W723" s="78"/>
    </row>
    <row r="724" spans="1:23" s="75" customFormat="1" hidden="1" x14ac:dyDescent="0.35">
      <c r="A724" s="75">
        <v>720</v>
      </c>
      <c r="B724" s="75">
        <v>721</v>
      </c>
      <c r="C724">
        <v>146.06629219999999</v>
      </c>
      <c r="D724">
        <v>-17.543961790000001</v>
      </c>
      <c r="G724" s="75">
        <v>100</v>
      </c>
      <c r="H724" s="75" t="s">
        <v>26</v>
      </c>
      <c r="I724" t="str">
        <f t="shared" si="11"/>
        <v>X</v>
      </c>
      <c r="J724" s="76"/>
      <c r="K724" s="77"/>
      <c r="L724" s="77"/>
      <c r="M724" s="77"/>
      <c r="N724" s="77"/>
      <c r="O724" s="78"/>
      <c r="P724" s="78"/>
      <c r="Q724" s="78"/>
      <c r="R724" s="78"/>
      <c r="V724" s="79"/>
      <c r="W724" s="78"/>
    </row>
    <row r="725" spans="1:23" s="75" customFormat="1" hidden="1" x14ac:dyDescent="0.35">
      <c r="A725" s="75">
        <v>721</v>
      </c>
      <c r="B725" s="75">
        <v>722</v>
      </c>
      <c r="C725">
        <v>146.0662069</v>
      </c>
      <c r="D725">
        <v>-17.543922569999999</v>
      </c>
      <c r="G725" s="75">
        <v>100</v>
      </c>
      <c r="H725" s="75" t="s">
        <v>26</v>
      </c>
      <c r="I725" t="str">
        <f t="shared" si="11"/>
        <v>X</v>
      </c>
      <c r="J725" s="76"/>
      <c r="K725" s="77"/>
      <c r="L725" s="77"/>
      <c r="M725" s="77"/>
      <c r="N725" s="77"/>
      <c r="O725" s="78"/>
      <c r="P725" s="78"/>
      <c r="Q725" s="78"/>
      <c r="R725" s="78"/>
      <c r="V725" s="79"/>
      <c r="W725" s="78"/>
    </row>
    <row r="726" spans="1:23" s="75" customFormat="1" hidden="1" x14ac:dyDescent="0.35">
      <c r="A726" s="75">
        <v>722</v>
      </c>
      <c r="B726" s="75">
        <v>723</v>
      </c>
      <c r="C726">
        <v>146.06611770000001</v>
      </c>
      <c r="D726">
        <v>-17.543892060000001</v>
      </c>
      <c r="G726" s="75">
        <v>100</v>
      </c>
      <c r="H726" s="75" t="s">
        <v>26</v>
      </c>
      <c r="I726" t="str">
        <f t="shared" si="11"/>
        <v>X</v>
      </c>
      <c r="J726" s="76"/>
      <c r="K726" s="77"/>
      <c r="L726" s="77"/>
      <c r="M726" s="77"/>
      <c r="N726" s="77"/>
      <c r="O726" s="78"/>
      <c r="P726" s="78"/>
      <c r="Q726" s="78"/>
      <c r="R726" s="78"/>
      <c r="V726" s="79"/>
      <c r="W726" s="78"/>
    </row>
    <row r="727" spans="1:23" s="75" customFormat="1" hidden="1" x14ac:dyDescent="0.35">
      <c r="A727" s="75">
        <v>723</v>
      </c>
      <c r="B727" s="75">
        <v>724</v>
      </c>
      <c r="C727">
        <v>146.06602849999999</v>
      </c>
      <c r="D727">
        <v>-17.543861549999999</v>
      </c>
      <c r="G727" s="75">
        <v>100</v>
      </c>
      <c r="H727" s="75" t="s">
        <v>26</v>
      </c>
      <c r="I727" t="str">
        <f t="shared" si="11"/>
        <v>X</v>
      </c>
      <c r="J727" s="76"/>
      <c r="K727" s="77"/>
      <c r="L727" s="77"/>
      <c r="M727" s="77"/>
      <c r="N727" s="77"/>
      <c r="O727" s="78"/>
      <c r="P727" s="78"/>
      <c r="Q727" s="78"/>
      <c r="R727" s="78"/>
      <c r="V727" s="79"/>
      <c r="W727" s="78"/>
    </row>
    <row r="728" spans="1:23" s="75" customFormat="1" hidden="1" x14ac:dyDescent="0.35">
      <c r="A728" s="75">
        <v>724</v>
      </c>
      <c r="B728" s="75">
        <v>725</v>
      </c>
      <c r="C728">
        <v>146.0659392</v>
      </c>
      <c r="D728">
        <v>-17.543831040000001</v>
      </c>
      <c r="E728" s="75">
        <v>50</v>
      </c>
      <c r="G728" s="75">
        <v>100</v>
      </c>
      <c r="H728" s="75" t="s">
        <v>26</v>
      </c>
      <c r="I728" t="str">
        <f t="shared" si="11"/>
        <v>X</v>
      </c>
      <c r="J728" s="76"/>
      <c r="K728" s="77"/>
      <c r="L728" s="77"/>
      <c r="M728" s="77"/>
      <c r="N728" s="77"/>
      <c r="O728" s="78"/>
      <c r="P728" s="78"/>
      <c r="Q728" s="78"/>
      <c r="R728" s="78"/>
      <c r="V728" s="79"/>
      <c r="W728" s="78"/>
    </row>
    <row r="729" spans="1:23" s="75" customFormat="1" hidden="1" x14ac:dyDescent="0.35">
      <c r="A729" s="75">
        <v>725</v>
      </c>
      <c r="B729" s="75">
        <v>726</v>
      </c>
      <c r="C729">
        <v>146.06585469999999</v>
      </c>
      <c r="D729">
        <v>-17.543789350000001</v>
      </c>
      <c r="G729" s="75">
        <v>100</v>
      </c>
      <c r="H729" s="75" t="s">
        <v>26</v>
      </c>
      <c r="I729" t="str">
        <f t="shared" si="11"/>
        <v>X</v>
      </c>
      <c r="J729" s="76"/>
      <c r="K729" s="77"/>
      <c r="L729" s="77"/>
      <c r="M729" s="77"/>
      <c r="N729" s="77"/>
      <c r="O729" s="78"/>
      <c r="P729" s="78"/>
      <c r="Q729" s="78"/>
      <c r="R729" s="78"/>
      <c r="V729" s="79"/>
      <c r="W729" s="78"/>
    </row>
    <row r="730" spans="1:23" s="75" customFormat="1" hidden="1" x14ac:dyDescent="0.35">
      <c r="A730" s="75">
        <v>726</v>
      </c>
      <c r="B730" s="75">
        <v>727</v>
      </c>
      <c r="C730">
        <v>146.0657707</v>
      </c>
      <c r="D730">
        <v>-17.54374653</v>
      </c>
      <c r="G730" s="75">
        <v>100</v>
      </c>
      <c r="H730" s="75" t="s">
        <v>26</v>
      </c>
      <c r="I730" t="str">
        <f t="shared" si="11"/>
        <v>X</v>
      </c>
      <c r="J730" s="76"/>
      <c r="K730" s="77"/>
      <c r="L730" s="77"/>
      <c r="M730" s="77"/>
      <c r="N730" s="77"/>
      <c r="O730" s="78"/>
      <c r="P730" s="78"/>
      <c r="Q730" s="78"/>
      <c r="R730" s="78"/>
      <c r="V730" s="79"/>
      <c r="W730" s="78"/>
    </row>
    <row r="731" spans="1:23" s="75" customFormat="1" hidden="1" x14ac:dyDescent="0.35">
      <c r="A731" s="75">
        <v>727</v>
      </c>
      <c r="B731" s="75">
        <v>728</v>
      </c>
      <c r="C731">
        <v>146.06568999999999</v>
      </c>
      <c r="D731">
        <v>-17.543698729999999</v>
      </c>
      <c r="G731" s="75">
        <v>100</v>
      </c>
      <c r="H731" s="75" t="s">
        <v>26</v>
      </c>
      <c r="I731" t="str">
        <f t="shared" si="11"/>
        <v>X</v>
      </c>
      <c r="J731" s="76"/>
      <c r="K731" s="77"/>
      <c r="L731" s="77"/>
      <c r="M731" s="77"/>
      <c r="N731" s="77"/>
      <c r="O731" s="78"/>
      <c r="P731" s="78"/>
      <c r="Q731" s="78"/>
      <c r="R731" s="78"/>
      <c r="V731" s="79"/>
      <c r="W731" s="78"/>
    </row>
    <row r="732" spans="1:23" s="75" customFormat="1" hidden="1" x14ac:dyDescent="0.35">
      <c r="A732" s="75">
        <v>728</v>
      </c>
      <c r="B732" s="75">
        <v>729</v>
      </c>
      <c r="C732">
        <v>146.06561869999999</v>
      </c>
      <c r="D732">
        <v>-17.543637090000001</v>
      </c>
      <c r="G732" s="75">
        <v>100</v>
      </c>
      <c r="H732" s="75" t="s">
        <v>26</v>
      </c>
      <c r="I732" t="str">
        <f t="shared" si="11"/>
        <v>X</v>
      </c>
      <c r="J732" s="76"/>
      <c r="K732" s="77"/>
      <c r="L732" s="77"/>
      <c r="M732" s="77"/>
      <c r="N732" s="77"/>
      <c r="O732" s="78"/>
      <c r="P732" s="78"/>
      <c r="Q732" s="78"/>
      <c r="R732" s="78"/>
      <c r="V732" s="79"/>
      <c r="W732" s="78"/>
    </row>
    <row r="733" spans="1:23" s="75" customFormat="1" hidden="1" x14ac:dyDescent="0.35">
      <c r="A733" s="75">
        <v>729</v>
      </c>
      <c r="B733" s="75">
        <v>730</v>
      </c>
      <c r="C733">
        <v>146.06554729999999</v>
      </c>
      <c r="D733">
        <v>-17.54357546</v>
      </c>
      <c r="E733" s="75">
        <v>50</v>
      </c>
      <c r="G733" s="75">
        <v>100</v>
      </c>
      <c r="H733" s="75" t="s">
        <v>26</v>
      </c>
      <c r="I733" t="str">
        <f t="shared" si="11"/>
        <v>X</v>
      </c>
      <c r="J733" s="76"/>
      <c r="K733" s="77"/>
      <c r="L733" s="77"/>
      <c r="M733" s="77"/>
      <c r="N733" s="77"/>
      <c r="O733" s="78"/>
      <c r="P733" s="78"/>
      <c r="Q733" s="78"/>
      <c r="R733" s="78"/>
      <c r="V733" s="79"/>
      <c r="W733" s="78"/>
    </row>
    <row r="734" spans="1:23" s="75" customFormat="1" hidden="1" x14ac:dyDescent="0.35">
      <c r="A734" s="75">
        <v>730</v>
      </c>
      <c r="B734" s="75">
        <v>731</v>
      </c>
      <c r="C734">
        <v>146.0654759</v>
      </c>
      <c r="D734">
        <v>-17.543513820000001</v>
      </c>
      <c r="G734" s="75">
        <v>100</v>
      </c>
      <c r="H734" s="75" t="s">
        <v>26</v>
      </c>
      <c r="I734" t="str">
        <f t="shared" si="11"/>
        <v>X</v>
      </c>
      <c r="J734" s="76"/>
      <c r="K734" s="77"/>
      <c r="L734" s="77"/>
      <c r="M734" s="77"/>
      <c r="N734" s="77"/>
      <c r="O734" s="78"/>
      <c r="P734" s="78"/>
      <c r="Q734" s="78"/>
      <c r="R734" s="78"/>
      <c r="V734" s="79"/>
      <c r="W734" s="78"/>
    </row>
    <row r="735" spans="1:23" s="75" customFormat="1" hidden="1" x14ac:dyDescent="0.35">
      <c r="A735" s="75">
        <v>731</v>
      </c>
      <c r="B735" s="75">
        <v>732</v>
      </c>
      <c r="C735">
        <v>146.06542450000001</v>
      </c>
      <c r="D735">
        <v>-17.543436620000001</v>
      </c>
      <c r="G735" s="75">
        <v>100</v>
      </c>
      <c r="H735" s="75" t="s">
        <v>26</v>
      </c>
      <c r="I735" t="str">
        <f t="shared" si="11"/>
        <v>X</v>
      </c>
      <c r="J735" s="76"/>
      <c r="K735" s="77"/>
      <c r="L735" s="77"/>
      <c r="M735" s="77"/>
      <c r="N735" s="77"/>
      <c r="O735" s="78"/>
      <c r="P735" s="78"/>
      <c r="Q735" s="78"/>
      <c r="R735" s="78"/>
      <c r="V735" s="79"/>
      <c r="W735" s="78"/>
    </row>
    <row r="736" spans="1:23" s="75" customFormat="1" hidden="1" x14ac:dyDescent="0.35">
      <c r="A736" s="75">
        <v>732</v>
      </c>
      <c r="B736" s="75">
        <v>733</v>
      </c>
      <c r="C736">
        <v>146.06538190000001</v>
      </c>
      <c r="D736">
        <v>-17.54335245</v>
      </c>
      <c r="G736" s="75">
        <v>100</v>
      </c>
      <c r="H736" s="75" t="s">
        <v>26</v>
      </c>
      <c r="I736" t="str">
        <f t="shared" si="11"/>
        <v>X</v>
      </c>
      <c r="J736" s="76"/>
      <c r="K736" s="77"/>
      <c r="L736" s="77"/>
      <c r="M736" s="77"/>
      <c r="N736" s="77"/>
      <c r="O736" s="78"/>
      <c r="P736" s="78"/>
      <c r="Q736" s="78"/>
      <c r="R736" s="78"/>
      <c r="V736" s="79"/>
      <c r="W736" s="78"/>
    </row>
    <row r="737" spans="1:23" s="75" customFormat="1" hidden="1" x14ac:dyDescent="0.35">
      <c r="A737" s="75">
        <v>733</v>
      </c>
      <c r="B737" s="75">
        <v>734</v>
      </c>
      <c r="C737">
        <v>146.0653394</v>
      </c>
      <c r="D737">
        <v>-17.543268279999999</v>
      </c>
      <c r="G737" s="75">
        <v>100</v>
      </c>
      <c r="H737" s="75" t="s">
        <v>26</v>
      </c>
      <c r="I737" t="str">
        <f t="shared" si="11"/>
        <v>X</v>
      </c>
      <c r="J737" s="76"/>
      <c r="K737" s="77"/>
      <c r="L737" s="77"/>
      <c r="M737" s="77"/>
      <c r="N737" s="77"/>
      <c r="O737" s="78"/>
      <c r="P737" s="78"/>
      <c r="Q737" s="78"/>
      <c r="R737" s="78"/>
      <c r="V737" s="79"/>
      <c r="W737" s="78"/>
    </row>
    <row r="738" spans="1:23" s="75" customFormat="1" hidden="1" x14ac:dyDescent="0.35">
      <c r="A738" s="75">
        <v>734</v>
      </c>
      <c r="B738" s="75">
        <v>735</v>
      </c>
      <c r="C738">
        <v>146.06529649999999</v>
      </c>
      <c r="D738">
        <v>-17.543184310000001</v>
      </c>
      <c r="E738" s="75">
        <v>50</v>
      </c>
      <c r="G738" s="75">
        <v>100</v>
      </c>
      <c r="H738" s="75" t="s">
        <v>26</v>
      </c>
      <c r="I738" t="str">
        <f t="shared" si="11"/>
        <v>X</v>
      </c>
      <c r="J738" s="76"/>
      <c r="K738" s="77"/>
      <c r="L738" s="77"/>
      <c r="M738" s="77"/>
      <c r="N738" s="77"/>
      <c r="O738" s="78"/>
      <c r="P738" s="78"/>
      <c r="Q738" s="78"/>
      <c r="R738" s="78"/>
      <c r="V738" s="79"/>
      <c r="W738" s="78"/>
    </row>
    <row r="739" spans="1:23" s="75" customFormat="1" hidden="1" x14ac:dyDescent="0.35">
      <c r="A739" s="75">
        <v>735</v>
      </c>
      <c r="B739" s="75">
        <v>736</v>
      </c>
      <c r="C739">
        <v>146.06525210000001</v>
      </c>
      <c r="D739">
        <v>-17.543101119999999</v>
      </c>
      <c r="G739" s="75">
        <v>100</v>
      </c>
      <c r="H739" s="75" t="s">
        <v>26</v>
      </c>
      <c r="I739" t="str">
        <f t="shared" si="11"/>
        <v>X</v>
      </c>
      <c r="J739" s="76"/>
      <c r="K739" s="77"/>
      <c r="L739" s="77"/>
      <c r="M739" s="77"/>
      <c r="N739" s="77"/>
      <c r="O739" s="78"/>
      <c r="P739" s="78"/>
      <c r="Q739" s="78"/>
      <c r="R739" s="78"/>
      <c r="V739" s="79"/>
      <c r="W739" s="78"/>
    </row>
    <row r="740" spans="1:23" s="75" customFormat="1" hidden="1" x14ac:dyDescent="0.35">
      <c r="A740" s="75">
        <v>736</v>
      </c>
      <c r="B740" s="75">
        <v>737</v>
      </c>
      <c r="C740">
        <v>146.06522749999999</v>
      </c>
      <c r="D740">
        <v>-17.54301289</v>
      </c>
      <c r="G740" s="75">
        <v>100</v>
      </c>
      <c r="H740" s="75" t="s">
        <v>26</v>
      </c>
      <c r="I740" t="str">
        <f t="shared" si="11"/>
        <v>X</v>
      </c>
      <c r="J740" s="76"/>
      <c r="K740" s="77"/>
      <c r="L740" s="77"/>
      <c r="M740" s="77"/>
      <c r="N740" s="77"/>
      <c r="O740" s="78"/>
      <c r="P740" s="78"/>
      <c r="Q740" s="78"/>
      <c r="R740" s="78"/>
      <c r="V740" s="79"/>
      <c r="W740" s="78"/>
    </row>
    <row r="741" spans="1:23" s="75" customFormat="1" hidden="1" x14ac:dyDescent="0.35">
      <c r="A741" s="75">
        <v>737</v>
      </c>
      <c r="B741" s="75">
        <v>738</v>
      </c>
      <c r="C741">
        <v>146.0652268</v>
      </c>
      <c r="D741">
        <v>-17.542918589999999</v>
      </c>
      <c r="G741" s="75">
        <v>100</v>
      </c>
      <c r="H741" s="75" t="s">
        <v>26</v>
      </c>
      <c r="I741" t="str">
        <f t="shared" si="11"/>
        <v>X</v>
      </c>
      <c r="J741" s="76"/>
      <c r="K741" s="77"/>
      <c r="L741" s="77"/>
      <c r="M741" s="77"/>
      <c r="N741" s="77"/>
      <c r="O741" s="78"/>
      <c r="P741" s="78"/>
      <c r="Q741" s="78"/>
      <c r="R741" s="78"/>
      <c r="V741" s="79"/>
      <c r="W741" s="78"/>
    </row>
    <row r="742" spans="1:23" s="75" customFormat="1" hidden="1" x14ac:dyDescent="0.35">
      <c r="A742" s="75">
        <v>738</v>
      </c>
      <c r="B742" s="75">
        <v>739</v>
      </c>
      <c r="C742">
        <v>146.06522620000001</v>
      </c>
      <c r="D742">
        <v>-17.542824289999999</v>
      </c>
      <c r="G742" s="75">
        <v>100</v>
      </c>
      <c r="H742" s="75" t="s">
        <v>26</v>
      </c>
      <c r="I742" t="str">
        <f t="shared" si="11"/>
        <v>X</v>
      </c>
      <c r="J742" s="76"/>
      <c r="K742" s="77"/>
      <c r="L742" s="77"/>
      <c r="M742" s="77"/>
      <c r="N742" s="77"/>
      <c r="O742" s="78"/>
      <c r="P742" s="78"/>
      <c r="Q742" s="78"/>
      <c r="R742" s="78"/>
      <c r="V742" s="79"/>
      <c r="W742" s="78"/>
    </row>
    <row r="743" spans="1:23" s="75" customFormat="1" hidden="1" x14ac:dyDescent="0.35">
      <c r="A743" s="75">
        <v>739</v>
      </c>
      <c r="B743" s="75">
        <v>740</v>
      </c>
      <c r="C743">
        <v>146.0652255</v>
      </c>
      <c r="D743">
        <v>-17.542729990000002</v>
      </c>
      <c r="E743" s="75">
        <v>50</v>
      </c>
      <c r="G743" s="75">
        <v>100</v>
      </c>
      <c r="H743" s="75" t="s">
        <v>26</v>
      </c>
      <c r="I743" t="str">
        <f t="shared" si="11"/>
        <v>X</v>
      </c>
      <c r="J743" s="76"/>
      <c r="K743" s="77"/>
      <c r="L743" s="77"/>
      <c r="M743" s="77"/>
      <c r="N743" s="77"/>
      <c r="O743" s="78"/>
      <c r="P743" s="78"/>
      <c r="Q743" s="78"/>
      <c r="R743" s="78"/>
      <c r="V743" s="79"/>
      <c r="W743" s="78"/>
    </row>
    <row r="744" spans="1:23" s="75" customFormat="1" hidden="1" x14ac:dyDescent="0.35">
      <c r="A744" s="75">
        <v>740</v>
      </c>
      <c r="B744" s="75">
        <v>741</v>
      </c>
      <c r="C744">
        <v>146.06522480000001</v>
      </c>
      <c r="D744">
        <v>-17.542635690000001</v>
      </c>
      <c r="G744" s="75">
        <v>100</v>
      </c>
      <c r="H744" s="75" t="s">
        <v>26</v>
      </c>
      <c r="I744" t="str">
        <f t="shared" si="11"/>
        <v>X</v>
      </c>
      <c r="J744" s="76"/>
      <c r="K744" s="77"/>
      <c r="L744" s="77"/>
      <c r="M744" s="77"/>
      <c r="N744" s="77"/>
      <c r="O744" s="78"/>
      <c r="P744" s="78"/>
      <c r="Q744" s="78"/>
      <c r="R744" s="78"/>
      <c r="V744" s="79"/>
      <c r="W744" s="78"/>
    </row>
    <row r="745" spans="1:23" s="75" customFormat="1" hidden="1" x14ac:dyDescent="0.35">
      <c r="A745" s="75">
        <v>741</v>
      </c>
      <c r="B745" s="75">
        <v>742</v>
      </c>
      <c r="C745">
        <v>146.06522190000001</v>
      </c>
      <c r="D745">
        <v>-17.542541440000001</v>
      </c>
      <c r="G745" s="75">
        <v>100</v>
      </c>
      <c r="H745" s="75" t="s">
        <v>26</v>
      </c>
      <c r="I745" t="str">
        <f t="shared" si="11"/>
        <v>X</v>
      </c>
      <c r="J745" s="76"/>
      <c r="K745" s="77"/>
      <c r="L745" s="77"/>
      <c r="M745" s="77"/>
      <c r="N745" s="77"/>
      <c r="O745" s="78"/>
      <c r="P745" s="78"/>
      <c r="Q745" s="78"/>
      <c r="R745" s="78"/>
      <c r="V745" s="79"/>
      <c r="W745" s="78"/>
    </row>
    <row r="746" spans="1:23" s="75" customFormat="1" hidden="1" x14ac:dyDescent="0.35">
      <c r="A746" s="75">
        <v>742</v>
      </c>
      <c r="B746" s="75">
        <v>743</v>
      </c>
      <c r="C746">
        <v>146.0652178</v>
      </c>
      <c r="D746">
        <v>-17.542447230000001</v>
      </c>
      <c r="G746" s="75">
        <v>100</v>
      </c>
      <c r="H746" s="75" t="s">
        <v>26</v>
      </c>
      <c r="I746" t="str">
        <f t="shared" si="11"/>
        <v>X</v>
      </c>
      <c r="J746" s="76"/>
      <c r="K746" s="77"/>
      <c r="L746" s="77"/>
      <c r="M746" s="77"/>
      <c r="N746" s="77"/>
      <c r="O746" s="78"/>
      <c r="P746" s="78"/>
      <c r="Q746" s="78"/>
      <c r="R746" s="78"/>
      <c r="V746" s="79"/>
      <c r="W746" s="78"/>
    </row>
    <row r="747" spans="1:23" s="75" customFormat="1" hidden="1" x14ac:dyDescent="0.35">
      <c r="A747" s="75">
        <v>743</v>
      </c>
      <c r="B747" s="75">
        <v>744</v>
      </c>
      <c r="C747">
        <v>146.06521369999999</v>
      </c>
      <c r="D747">
        <v>-17.54235302</v>
      </c>
      <c r="G747" s="75">
        <v>100</v>
      </c>
      <c r="H747" s="75" t="s">
        <v>26</v>
      </c>
      <c r="I747" t="str">
        <f t="shared" si="11"/>
        <v>X</v>
      </c>
      <c r="J747" s="76"/>
      <c r="K747" s="77"/>
      <c r="L747" s="77"/>
      <c r="M747" s="77"/>
      <c r="N747" s="77"/>
      <c r="O747" s="78"/>
      <c r="P747" s="78"/>
      <c r="Q747" s="78"/>
      <c r="R747" s="78"/>
      <c r="V747" s="79"/>
      <c r="W747" s="78"/>
    </row>
    <row r="748" spans="1:23" s="75" customFormat="1" hidden="1" x14ac:dyDescent="0.35">
      <c r="A748" s="75">
        <v>744</v>
      </c>
      <c r="B748" s="75">
        <v>745</v>
      </c>
      <c r="C748">
        <v>146.06520950000001</v>
      </c>
      <c r="D748">
        <v>-17.542258799999999</v>
      </c>
      <c r="E748" s="75">
        <v>50</v>
      </c>
      <c r="G748" s="75">
        <v>100</v>
      </c>
      <c r="H748" s="75" t="s">
        <v>26</v>
      </c>
      <c r="I748" t="str">
        <f t="shared" si="11"/>
        <v>X</v>
      </c>
      <c r="J748" s="76"/>
      <c r="K748" s="77"/>
      <c r="L748" s="77"/>
      <c r="M748" s="77"/>
      <c r="N748" s="77"/>
      <c r="O748" s="78"/>
      <c r="P748" s="78"/>
      <c r="Q748" s="78"/>
      <c r="R748" s="78"/>
      <c r="V748" s="79"/>
      <c r="W748" s="78"/>
    </row>
    <row r="749" spans="1:23" s="75" customFormat="1" hidden="1" x14ac:dyDescent="0.35">
      <c r="A749" s="75">
        <v>745</v>
      </c>
      <c r="B749" s="75">
        <v>746</v>
      </c>
      <c r="C749">
        <v>146.0652054</v>
      </c>
      <c r="D749">
        <v>-17.542164589999999</v>
      </c>
      <c r="G749" s="75">
        <v>100</v>
      </c>
      <c r="H749" s="75" t="s">
        <v>26</v>
      </c>
      <c r="I749" t="str">
        <f t="shared" si="11"/>
        <v>X</v>
      </c>
      <c r="J749" s="76"/>
      <c r="K749" s="77"/>
      <c r="L749" s="77"/>
      <c r="M749" s="77"/>
      <c r="N749" s="77"/>
      <c r="O749" s="78"/>
      <c r="P749" s="78"/>
      <c r="Q749" s="78"/>
      <c r="R749" s="78"/>
      <c r="V749" s="79"/>
      <c r="W749" s="78"/>
    </row>
    <row r="750" spans="1:23" s="75" customFormat="1" hidden="1" x14ac:dyDescent="0.35">
      <c r="A750" s="75">
        <v>746</v>
      </c>
      <c r="B750" s="75">
        <v>747</v>
      </c>
      <c r="C750">
        <v>146.06518639999999</v>
      </c>
      <c r="D750">
        <v>-17.542072480000002</v>
      </c>
      <c r="G750" s="75">
        <v>100</v>
      </c>
      <c r="H750" s="75" t="s">
        <v>26</v>
      </c>
      <c r="I750" t="str">
        <f t="shared" si="11"/>
        <v>X</v>
      </c>
      <c r="J750" s="76"/>
      <c r="K750" s="77"/>
      <c r="L750" s="77"/>
      <c r="M750" s="77"/>
      <c r="N750" s="77"/>
      <c r="O750" s="78"/>
      <c r="P750" s="78"/>
      <c r="Q750" s="78"/>
      <c r="R750" s="78"/>
      <c r="V750" s="79"/>
      <c r="W750" s="78"/>
    </row>
    <row r="751" spans="1:23" s="75" customFormat="1" hidden="1" x14ac:dyDescent="0.35">
      <c r="A751" s="75">
        <v>747</v>
      </c>
      <c r="B751" s="75">
        <v>748</v>
      </c>
      <c r="C751">
        <v>146.065157</v>
      </c>
      <c r="D751">
        <v>-17.541983120000001</v>
      </c>
      <c r="G751" s="75">
        <v>100</v>
      </c>
      <c r="H751" s="75" t="s">
        <v>26</v>
      </c>
      <c r="I751" t="str">
        <f t="shared" si="11"/>
        <v>X</v>
      </c>
      <c r="J751" s="76"/>
      <c r="K751" s="77"/>
      <c r="L751" s="77"/>
      <c r="M751" s="77"/>
      <c r="N751" s="77"/>
      <c r="O751" s="78"/>
      <c r="P751" s="78"/>
      <c r="Q751" s="78"/>
      <c r="R751" s="78"/>
      <c r="V751" s="79"/>
      <c r="W751" s="78"/>
    </row>
    <row r="752" spans="1:23" s="75" customFormat="1" hidden="1" x14ac:dyDescent="0.35">
      <c r="A752" s="75">
        <v>748</v>
      </c>
      <c r="B752" s="75">
        <v>749</v>
      </c>
      <c r="C752">
        <v>146.0651225</v>
      </c>
      <c r="D752">
        <v>-17.541895350000001</v>
      </c>
      <c r="G752" s="75">
        <v>100</v>
      </c>
      <c r="H752" s="75" t="s">
        <v>26</v>
      </c>
      <c r="I752" t="str">
        <f t="shared" si="11"/>
        <v>X</v>
      </c>
      <c r="J752" s="76"/>
      <c r="K752" s="77"/>
      <c r="L752" s="77"/>
      <c r="M752" s="77"/>
      <c r="N752" s="77"/>
      <c r="O752" s="78"/>
      <c r="P752" s="78"/>
      <c r="Q752" s="78"/>
      <c r="R752" s="78"/>
      <c r="V752" s="79"/>
      <c r="W752" s="78"/>
    </row>
    <row r="753" spans="1:23" s="75" customFormat="1" hidden="1" x14ac:dyDescent="0.35">
      <c r="A753" s="75">
        <v>749</v>
      </c>
      <c r="B753" s="75">
        <v>750</v>
      </c>
      <c r="C753">
        <v>146.065079</v>
      </c>
      <c r="D753">
        <v>-17.541812270000001</v>
      </c>
      <c r="E753" s="75">
        <v>50</v>
      </c>
      <c r="G753" s="75">
        <v>100</v>
      </c>
      <c r="H753" s="75" t="s">
        <v>26</v>
      </c>
      <c r="I753" t="str">
        <f t="shared" si="11"/>
        <v>X</v>
      </c>
      <c r="J753" s="76"/>
      <c r="K753" s="77"/>
      <c r="L753" s="77"/>
      <c r="M753" s="77"/>
      <c r="N753" s="77"/>
      <c r="O753" s="78"/>
      <c r="P753" s="78"/>
      <c r="Q753" s="78"/>
      <c r="R753" s="78"/>
      <c r="V753" s="79"/>
      <c r="W753" s="78"/>
    </row>
    <row r="754" spans="1:23" s="75" customFormat="1" hidden="1" x14ac:dyDescent="0.35">
      <c r="A754" s="75">
        <v>750</v>
      </c>
      <c r="B754" s="75">
        <v>751</v>
      </c>
      <c r="C754">
        <v>146.06502699999999</v>
      </c>
      <c r="D754">
        <v>-17.541733570000002</v>
      </c>
      <c r="G754" s="75">
        <v>100</v>
      </c>
      <c r="H754" s="75" t="s">
        <v>26</v>
      </c>
      <c r="I754" t="str">
        <f t="shared" si="11"/>
        <v>X</v>
      </c>
      <c r="J754" s="76"/>
      <c r="K754" s="77"/>
      <c r="L754" s="77"/>
      <c r="M754" s="77"/>
      <c r="N754" s="77"/>
      <c r="O754" s="78"/>
      <c r="P754" s="78"/>
      <c r="Q754" s="78"/>
      <c r="R754" s="78"/>
      <c r="V754" s="79"/>
      <c r="W754" s="78"/>
    </row>
    <row r="755" spans="1:23" s="75" customFormat="1" hidden="1" x14ac:dyDescent="0.35">
      <c r="A755" s="75">
        <v>751</v>
      </c>
      <c r="B755" s="75">
        <v>752</v>
      </c>
      <c r="C755">
        <v>146.0649622</v>
      </c>
      <c r="D755">
        <v>-17.541665550000001</v>
      </c>
      <c r="G755" s="75">
        <v>100</v>
      </c>
      <c r="H755" s="75" t="s">
        <v>26</v>
      </c>
      <c r="I755" t="str">
        <f t="shared" si="11"/>
        <v>X</v>
      </c>
      <c r="J755" s="76"/>
      <c r="K755" s="77"/>
      <c r="L755" s="77"/>
      <c r="M755" s="77"/>
      <c r="N755" s="77"/>
      <c r="O755" s="78"/>
      <c r="P755" s="78"/>
      <c r="Q755" s="78"/>
      <c r="R755" s="78"/>
      <c r="V755" s="79"/>
      <c r="W755" s="78"/>
    </row>
    <row r="756" spans="1:23" s="75" customFormat="1" hidden="1" x14ac:dyDescent="0.35">
      <c r="A756" s="75">
        <v>752</v>
      </c>
      <c r="B756" s="75">
        <v>753</v>
      </c>
      <c r="C756">
        <v>146.0648832</v>
      </c>
      <c r="D756">
        <v>-17.541618840000002</v>
      </c>
      <c r="G756" s="75">
        <v>100</v>
      </c>
      <c r="H756" s="75" t="s">
        <v>26</v>
      </c>
      <c r="I756" t="str">
        <f t="shared" si="11"/>
        <v>X</v>
      </c>
      <c r="J756" s="76"/>
      <c r="K756" s="77"/>
      <c r="L756" s="77"/>
      <c r="M756" s="77"/>
      <c r="N756" s="77"/>
      <c r="O756" s="78"/>
      <c r="P756" s="78"/>
      <c r="Q756" s="78"/>
      <c r="R756" s="78"/>
      <c r="V756" s="79"/>
      <c r="W756" s="78"/>
    </row>
    <row r="757" spans="1:23" s="75" customFormat="1" hidden="1" x14ac:dyDescent="0.35">
      <c r="A757" s="75">
        <v>753</v>
      </c>
      <c r="B757" s="75">
        <v>754</v>
      </c>
      <c r="C757">
        <v>146.0647932</v>
      </c>
      <c r="D757">
        <v>-17.541590459999998</v>
      </c>
      <c r="G757" s="75">
        <v>100</v>
      </c>
      <c r="H757" s="75" t="s">
        <v>26</v>
      </c>
      <c r="I757" t="str">
        <f t="shared" si="11"/>
        <v>X</v>
      </c>
      <c r="J757" s="76"/>
      <c r="K757" s="77"/>
      <c r="L757" s="77"/>
      <c r="M757" s="77"/>
      <c r="N757" s="77"/>
      <c r="O757" s="78"/>
      <c r="P757" s="78"/>
      <c r="Q757" s="78"/>
      <c r="R757" s="78"/>
      <c r="V757" s="79"/>
      <c r="W757" s="78"/>
    </row>
    <row r="758" spans="1:23" s="75" customFormat="1" hidden="1" x14ac:dyDescent="0.35">
      <c r="A758" s="75">
        <v>754</v>
      </c>
      <c r="B758" s="75">
        <v>755</v>
      </c>
      <c r="C758">
        <v>146.06470150000001</v>
      </c>
      <c r="D758">
        <v>-17.541572590000001</v>
      </c>
      <c r="E758" s="75">
        <v>50</v>
      </c>
      <c r="G758" s="75">
        <v>100</v>
      </c>
      <c r="H758" s="75" t="s">
        <v>26</v>
      </c>
      <c r="I758" t="str">
        <f t="shared" si="11"/>
        <v>X</v>
      </c>
      <c r="J758" s="76"/>
      <c r="K758" s="77"/>
      <c r="L758" s="77"/>
      <c r="M758" s="77"/>
      <c r="N758" s="77"/>
      <c r="O758" s="78"/>
      <c r="P758" s="78"/>
      <c r="Q758" s="78"/>
      <c r="R758" s="78"/>
      <c r="V758" s="79"/>
      <c r="W758" s="78"/>
    </row>
    <row r="759" spans="1:23" s="75" customFormat="1" hidden="1" x14ac:dyDescent="0.35">
      <c r="A759" s="75">
        <v>755</v>
      </c>
      <c r="B759" s="75">
        <v>756</v>
      </c>
      <c r="C759">
        <v>146.06460730000001</v>
      </c>
      <c r="D759">
        <v>-17.54157009</v>
      </c>
      <c r="G759" s="75">
        <v>100</v>
      </c>
      <c r="H759" s="75" t="s">
        <v>26</v>
      </c>
      <c r="I759" t="str">
        <f t="shared" si="11"/>
        <v>X</v>
      </c>
      <c r="J759" s="76"/>
      <c r="K759" s="77"/>
      <c r="L759" s="77"/>
      <c r="M759" s="77"/>
      <c r="N759" s="77"/>
      <c r="O759" s="78"/>
      <c r="P759" s="78"/>
      <c r="Q759" s="78"/>
      <c r="R759" s="78"/>
      <c r="V759" s="79"/>
      <c r="W759" s="78"/>
    </row>
    <row r="760" spans="1:23" s="75" customFormat="1" hidden="1" x14ac:dyDescent="0.35">
      <c r="A760" s="75">
        <v>756</v>
      </c>
      <c r="B760" s="75">
        <v>757</v>
      </c>
      <c r="C760">
        <v>146.06451300000001</v>
      </c>
      <c r="D760">
        <v>-17.54156759</v>
      </c>
      <c r="G760" s="75">
        <v>100</v>
      </c>
      <c r="H760" s="75" t="s">
        <v>26</v>
      </c>
      <c r="I760" t="str">
        <f t="shared" si="11"/>
        <v>X</v>
      </c>
      <c r="J760" s="76"/>
      <c r="K760" s="77"/>
      <c r="L760" s="77"/>
      <c r="M760" s="77"/>
      <c r="N760" s="77"/>
      <c r="O760" s="78"/>
      <c r="P760" s="78"/>
      <c r="Q760" s="78"/>
      <c r="R760" s="78"/>
      <c r="V760" s="79"/>
      <c r="W760" s="78"/>
    </row>
    <row r="761" spans="1:23" s="75" customFormat="1" hidden="1" x14ac:dyDescent="0.35">
      <c r="A761" s="75">
        <v>757</v>
      </c>
      <c r="B761" s="75">
        <v>758</v>
      </c>
      <c r="C761">
        <v>146.06441899999999</v>
      </c>
      <c r="D761">
        <v>-17.541574199999999</v>
      </c>
      <c r="G761" s="75">
        <v>100</v>
      </c>
      <c r="H761" s="75" t="s">
        <v>26</v>
      </c>
      <c r="I761" t="str">
        <f t="shared" si="11"/>
        <v>X</v>
      </c>
      <c r="J761" s="76"/>
      <c r="K761" s="77"/>
      <c r="L761" s="77"/>
      <c r="M761" s="77"/>
      <c r="N761" s="77"/>
      <c r="O761" s="78"/>
      <c r="P761" s="78"/>
      <c r="Q761" s="78"/>
      <c r="R761" s="78"/>
      <c r="V761" s="79"/>
      <c r="W761" s="78"/>
    </row>
    <row r="762" spans="1:23" s="75" customFormat="1" hidden="1" x14ac:dyDescent="0.35">
      <c r="A762" s="75">
        <v>758</v>
      </c>
      <c r="B762" s="75">
        <v>759</v>
      </c>
      <c r="C762">
        <v>146.06432509999999</v>
      </c>
      <c r="D762">
        <v>-17.541582989999998</v>
      </c>
      <c r="G762" s="75">
        <v>100</v>
      </c>
      <c r="H762" s="75" t="s">
        <v>26</v>
      </c>
      <c r="I762" t="str">
        <f t="shared" si="11"/>
        <v>X</v>
      </c>
      <c r="J762" s="76"/>
      <c r="K762" s="77"/>
      <c r="L762" s="77"/>
      <c r="M762" s="77"/>
      <c r="N762" s="77"/>
      <c r="O762" s="78"/>
      <c r="P762" s="78"/>
      <c r="Q762" s="78"/>
      <c r="R762" s="78"/>
      <c r="V762" s="79"/>
      <c r="W762" s="78"/>
    </row>
    <row r="763" spans="1:23" s="75" customFormat="1" hidden="1" x14ac:dyDescent="0.35">
      <c r="A763" s="75">
        <v>759</v>
      </c>
      <c r="B763" s="75">
        <v>760</v>
      </c>
      <c r="C763">
        <v>146.06423190000001</v>
      </c>
      <c r="D763">
        <v>-17.541596479999999</v>
      </c>
      <c r="E763" s="75">
        <v>50</v>
      </c>
      <c r="G763" s="75">
        <v>100</v>
      </c>
      <c r="H763" s="75" t="s">
        <v>26</v>
      </c>
      <c r="I763" t="str">
        <f t="shared" si="11"/>
        <v>X</v>
      </c>
      <c r="J763" s="76"/>
      <c r="K763" s="77"/>
      <c r="L763" s="77"/>
      <c r="M763" s="77"/>
      <c r="N763" s="77"/>
      <c r="O763" s="78"/>
      <c r="P763" s="78"/>
      <c r="Q763" s="78"/>
      <c r="R763" s="78"/>
      <c r="V763" s="79"/>
      <c r="W763" s="78"/>
    </row>
    <row r="764" spans="1:23" s="75" customFormat="1" hidden="1" x14ac:dyDescent="0.35">
      <c r="A764" s="75">
        <v>760</v>
      </c>
      <c r="B764" s="75">
        <v>761</v>
      </c>
      <c r="C764">
        <v>146.06413939999999</v>
      </c>
      <c r="D764">
        <v>-17.541614800000001</v>
      </c>
      <c r="G764" s="75">
        <v>100</v>
      </c>
      <c r="H764" s="75" t="s">
        <v>26</v>
      </c>
      <c r="I764" t="str">
        <f t="shared" si="11"/>
        <v>X</v>
      </c>
      <c r="J764" s="76"/>
      <c r="K764" s="77"/>
      <c r="L764" s="77"/>
      <c r="M764" s="77"/>
      <c r="N764" s="77"/>
      <c r="O764" s="78"/>
      <c r="P764" s="78"/>
      <c r="Q764" s="78"/>
      <c r="R764" s="78"/>
      <c r="V764" s="79"/>
      <c r="W764" s="78"/>
    </row>
    <row r="765" spans="1:23" s="75" customFormat="1" hidden="1" x14ac:dyDescent="0.35">
      <c r="A765" s="75">
        <v>761</v>
      </c>
      <c r="B765" s="75">
        <v>762</v>
      </c>
      <c r="C765">
        <v>146.06404689999999</v>
      </c>
      <c r="D765">
        <v>-17.54163312</v>
      </c>
      <c r="G765" s="75">
        <v>100</v>
      </c>
      <c r="H765" s="75" t="s">
        <v>26</v>
      </c>
      <c r="I765" t="str">
        <f t="shared" si="11"/>
        <v>X</v>
      </c>
      <c r="J765" s="76"/>
      <c r="K765" s="77"/>
      <c r="L765" s="77"/>
      <c r="M765" s="77"/>
      <c r="N765" s="77"/>
      <c r="O765" s="78"/>
      <c r="P765" s="78"/>
      <c r="Q765" s="78"/>
      <c r="R765" s="78"/>
      <c r="V765" s="79"/>
      <c r="W765" s="78"/>
    </row>
    <row r="766" spans="1:23" s="75" customFormat="1" hidden="1" x14ac:dyDescent="0.35">
      <c r="A766" s="75">
        <v>762</v>
      </c>
      <c r="B766" s="75">
        <v>763</v>
      </c>
      <c r="C766">
        <v>146.063954</v>
      </c>
      <c r="D766">
        <v>-17.541649119999999</v>
      </c>
      <c r="G766" s="75">
        <v>100</v>
      </c>
      <c r="H766" s="75" t="s">
        <v>26</v>
      </c>
      <c r="I766" t="str">
        <f t="shared" si="11"/>
        <v>X</v>
      </c>
      <c r="J766" s="76"/>
      <c r="K766" s="77"/>
      <c r="L766" s="77"/>
      <c r="M766" s="77"/>
      <c r="N766" s="77"/>
      <c r="O766" s="78"/>
      <c r="P766" s="78"/>
      <c r="Q766" s="78"/>
      <c r="R766" s="78"/>
      <c r="V766" s="79"/>
      <c r="W766" s="78"/>
    </row>
    <row r="767" spans="1:23" s="75" customFormat="1" hidden="1" x14ac:dyDescent="0.35">
      <c r="A767" s="75">
        <v>763</v>
      </c>
      <c r="B767" s="75">
        <v>764</v>
      </c>
      <c r="C767">
        <v>146.0638605</v>
      </c>
      <c r="D767">
        <v>-17.541661000000001</v>
      </c>
      <c r="G767" s="75">
        <v>100</v>
      </c>
      <c r="H767" s="75" t="s">
        <v>26</v>
      </c>
      <c r="I767" t="str">
        <f t="shared" si="11"/>
        <v>X</v>
      </c>
      <c r="J767" s="76"/>
      <c r="K767" s="77"/>
      <c r="L767" s="77"/>
      <c r="M767" s="77"/>
      <c r="N767" s="77"/>
      <c r="O767" s="78"/>
      <c r="P767" s="78"/>
      <c r="Q767" s="78"/>
      <c r="R767" s="78"/>
      <c r="V767" s="79"/>
      <c r="W767" s="78"/>
    </row>
    <row r="768" spans="1:23" s="75" customFormat="1" hidden="1" x14ac:dyDescent="0.35">
      <c r="A768" s="75">
        <v>764</v>
      </c>
      <c r="B768" s="75">
        <v>765</v>
      </c>
      <c r="C768">
        <v>146.06376689999999</v>
      </c>
      <c r="D768">
        <v>-17.54167288</v>
      </c>
      <c r="E768" s="75">
        <v>50</v>
      </c>
      <c r="G768" s="75">
        <v>100</v>
      </c>
      <c r="H768" s="75" t="s">
        <v>26</v>
      </c>
      <c r="I768" t="str">
        <f t="shared" si="11"/>
        <v>X</v>
      </c>
      <c r="J768" s="76"/>
      <c r="K768" s="77"/>
      <c r="L768" s="77"/>
      <c r="M768" s="77"/>
      <c r="N768" s="77"/>
      <c r="O768" s="78"/>
      <c r="P768" s="78"/>
      <c r="Q768" s="78"/>
      <c r="R768" s="78"/>
      <c r="V768" s="79"/>
      <c r="W768" s="78"/>
    </row>
    <row r="769" spans="1:23" s="75" customFormat="1" hidden="1" x14ac:dyDescent="0.35">
      <c r="A769" s="75">
        <v>765</v>
      </c>
      <c r="B769" s="75">
        <v>766</v>
      </c>
      <c r="C769">
        <v>146.0636734</v>
      </c>
      <c r="D769">
        <v>-17.541684750000002</v>
      </c>
      <c r="G769" s="75">
        <v>100</v>
      </c>
      <c r="H769" s="75" t="s">
        <v>26</v>
      </c>
      <c r="I769" t="str">
        <f t="shared" si="11"/>
        <v>X</v>
      </c>
      <c r="J769" s="76"/>
      <c r="K769" s="77"/>
      <c r="L769" s="77"/>
      <c r="M769" s="77"/>
      <c r="N769" s="77"/>
      <c r="O769" s="78"/>
      <c r="P769" s="78"/>
      <c r="Q769" s="78"/>
      <c r="R769" s="78"/>
      <c r="V769" s="79"/>
      <c r="W769" s="78"/>
    </row>
    <row r="770" spans="1:23" s="75" customFormat="1" hidden="1" x14ac:dyDescent="0.35">
      <c r="A770" s="75">
        <v>766</v>
      </c>
      <c r="B770" s="75">
        <v>767</v>
      </c>
      <c r="C770">
        <v>146.0635801</v>
      </c>
      <c r="D770">
        <v>-17.541693080000002</v>
      </c>
      <c r="G770" s="75">
        <v>100</v>
      </c>
      <c r="H770" s="75" t="s">
        <v>26</v>
      </c>
      <c r="I770" t="str">
        <f t="shared" si="11"/>
        <v>X</v>
      </c>
      <c r="J770" s="76"/>
      <c r="K770" s="77"/>
      <c r="L770" s="77"/>
      <c r="M770" s="77"/>
      <c r="N770" s="77"/>
      <c r="O770" s="78"/>
      <c r="P770" s="78"/>
      <c r="Q770" s="78"/>
      <c r="R770" s="78"/>
      <c r="V770" s="79"/>
      <c r="W770" s="78"/>
    </row>
    <row r="771" spans="1:23" s="75" customFormat="1" hidden="1" x14ac:dyDescent="0.35">
      <c r="A771" s="75">
        <v>767</v>
      </c>
      <c r="B771" s="75">
        <v>768</v>
      </c>
      <c r="C771">
        <v>146.06348919999999</v>
      </c>
      <c r="D771">
        <v>-17.541667929999999</v>
      </c>
      <c r="G771" s="75">
        <v>100</v>
      </c>
      <c r="H771" s="75" t="s">
        <v>26</v>
      </c>
      <c r="I771" t="str">
        <f t="shared" si="11"/>
        <v>X</v>
      </c>
      <c r="J771" s="76"/>
      <c r="K771" s="77"/>
      <c r="L771" s="77"/>
      <c r="M771" s="77"/>
      <c r="N771" s="77"/>
      <c r="O771" s="78"/>
      <c r="P771" s="78"/>
      <c r="Q771" s="78"/>
      <c r="R771" s="78"/>
      <c r="V771" s="79"/>
      <c r="W771" s="78"/>
    </row>
    <row r="772" spans="1:23" s="75" customFormat="1" hidden="1" x14ac:dyDescent="0.35">
      <c r="A772" s="75">
        <v>768</v>
      </c>
      <c r="B772" s="75">
        <v>769</v>
      </c>
      <c r="C772">
        <v>146.06339829999999</v>
      </c>
      <c r="D772">
        <v>-17.541642790000001</v>
      </c>
      <c r="G772" s="75">
        <v>100</v>
      </c>
      <c r="H772" s="75" t="s">
        <v>26</v>
      </c>
      <c r="I772" t="str">
        <f t="shared" si="11"/>
        <v>X</v>
      </c>
      <c r="J772" s="76"/>
      <c r="K772" s="77"/>
      <c r="L772" s="77"/>
      <c r="M772" s="77"/>
      <c r="N772" s="77"/>
      <c r="O772" s="78"/>
      <c r="P772" s="78"/>
      <c r="Q772" s="78"/>
      <c r="R772" s="78"/>
      <c r="V772" s="79"/>
      <c r="W772" s="78"/>
    </row>
    <row r="773" spans="1:23" s="75" customFormat="1" hidden="1" x14ac:dyDescent="0.35">
      <c r="A773" s="75">
        <v>769</v>
      </c>
      <c r="B773" s="75">
        <v>770</v>
      </c>
      <c r="C773">
        <v>146.06330740000001</v>
      </c>
      <c r="D773">
        <v>-17.541617649999999</v>
      </c>
      <c r="E773" s="75">
        <v>50</v>
      </c>
      <c r="G773" s="75">
        <v>100</v>
      </c>
      <c r="H773" s="75" t="s">
        <v>26</v>
      </c>
      <c r="I773" t="str">
        <f t="shared" ref="I773:I836" si="12">IF(H773="X","X",IF(J773="NA","X",IF(J773="","X",J773)))</f>
        <v>X</v>
      </c>
      <c r="J773" s="76"/>
      <c r="K773" s="77"/>
      <c r="L773" s="77"/>
      <c r="M773" s="77"/>
      <c r="N773" s="77"/>
      <c r="O773" s="78"/>
      <c r="P773" s="78"/>
      <c r="Q773" s="78"/>
      <c r="R773" s="78"/>
      <c r="V773" s="79"/>
      <c r="W773" s="78"/>
    </row>
    <row r="774" spans="1:23" s="75" customFormat="1" hidden="1" x14ac:dyDescent="0.35">
      <c r="A774" s="75">
        <v>770</v>
      </c>
      <c r="B774" s="75">
        <v>771</v>
      </c>
      <c r="C774">
        <v>146.06322829999999</v>
      </c>
      <c r="D774">
        <v>-17.541567229999998</v>
      </c>
      <c r="G774" s="75">
        <v>100</v>
      </c>
      <c r="H774" s="75" t="s">
        <v>26</v>
      </c>
      <c r="I774" t="str">
        <f t="shared" si="12"/>
        <v>X</v>
      </c>
      <c r="J774" s="76"/>
      <c r="K774" s="77"/>
      <c r="L774" s="77"/>
      <c r="M774" s="77"/>
      <c r="N774" s="77"/>
      <c r="O774" s="78"/>
      <c r="P774" s="78"/>
      <c r="Q774" s="78"/>
      <c r="R774" s="78"/>
      <c r="V774" s="79"/>
      <c r="W774" s="78"/>
    </row>
    <row r="775" spans="1:23" s="75" customFormat="1" hidden="1" x14ac:dyDescent="0.35">
      <c r="A775" s="75">
        <v>771</v>
      </c>
      <c r="B775" s="75">
        <v>772</v>
      </c>
      <c r="C775">
        <v>146.06315069999999</v>
      </c>
      <c r="D775">
        <v>-17.541513670000001</v>
      </c>
      <c r="G775" s="75">
        <v>100</v>
      </c>
      <c r="H775" s="75" t="s">
        <v>26</v>
      </c>
      <c r="I775" t="str">
        <f t="shared" si="12"/>
        <v>X</v>
      </c>
      <c r="J775" s="76"/>
      <c r="K775" s="77"/>
      <c r="L775" s="77"/>
      <c r="M775" s="77"/>
      <c r="N775" s="77"/>
      <c r="O775" s="78"/>
      <c r="P775" s="78"/>
      <c r="Q775" s="78"/>
      <c r="R775" s="78"/>
      <c r="V775" s="79"/>
      <c r="W775" s="78"/>
    </row>
    <row r="776" spans="1:23" s="75" customFormat="1" hidden="1" x14ac:dyDescent="0.35">
      <c r="A776" s="75">
        <v>772</v>
      </c>
      <c r="B776" s="75">
        <v>773</v>
      </c>
      <c r="C776">
        <v>146.0630731</v>
      </c>
      <c r="D776">
        <v>-17.541460109999999</v>
      </c>
      <c r="G776" s="75">
        <v>100</v>
      </c>
      <c r="H776" s="75" t="s">
        <v>26</v>
      </c>
      <c r="I776" t="str">
        <f t="shared" si="12"/>
        <v>X</v>
      </c>
      <c r="J776" s="76"/>
      <c r="K776" s="77"/>
      <c r="L776" s="77"/>
      <c r="M776" s="77"/>
      <c r="N776" s="77"/>
      <c r="O776" s="78"/>
      <c r="P776" s="78"/>
      <c r="Q776" s="78"/>
      <c r="R776" s="78"/>
      <c r="V776" s="79"/>
      <c r="W776" s="78"/>
    </row>
    <row r="777" spans="1:23" s="75" customFormat="1" hidden="1" x14ac:dyDescent="0.35">
      <c r="A777" s="75">
        <v>773</v>
      </c>
      <c r="B777" s="75">
        <v>774</v>
      </c>
      <c r="C777">
        <v>146.0629955</v>
      </c>
      <c r="D777">
        <v>-17.541406550000001</v>
      </c>
      <c r="G777" s="75">
        <v>100</v>
      </c>
      <c r="H777" s="75" t="s">
        <v>26</v>
      </c>
      <c r="I777" t="str">
        <f t="shared" si="12"/>
        <v>X</v>
      </c>
      <c r="J777" s="76"/>
      <c r="K777" s="77"/>
      <c r="L777" s="77"/>
      <c r="M777" s="77"/>
      <c r="N777" s="77"/>
      <c r="O777" s="78"/>
      <c r="P777" s="78"/>
      <c r="Q777" s="78"/>
      <c r="R777" s="78"/>
      <c r="V777" s="79"/>
      <c r="W777" s="78"/>
    </row>
    <row r="778" spans="1:23" s="75" customFormat="1" hidden="1" x14ac:dyDescent="0.35">
      <c r="A778" s="75">
        <v>774</v>
      </c>
      <c r="B778" s="75">
        <v>775</v>
      </c>
      <c r="C778">
        <v>146.06293600000001</v>
      </c>
      <c r="D778">
        <v>-17.541335539999999</v>
      </c>
      <c r="E778" s="75">
        <v>50</v>
      </c>
      <c r="G778" s="75">
        <v>100</v>
      </c>
      <c r="H778" s="75" t="s">
        <v>26</v>
      </c>
      <c r="I778" t="str">
        <f t="shared" si="12"/>
        <v>X</v>
      </c>
      <c r="J778" s="76"/>
      <c r="K778" s="77"/>
      <c r="L778" s="77"/>
      <c r="M778" s="77"/>
      <c r="N778" s="77"/>
      <c r="O778" s="78"/>
      <c r="P778" s="78"/>
      <c r="Q778" s="78"/>
      <c r="R778" s="78"/>
      <c r="V778" s="79"/>
      <c r="W778" s="78"/>
    </row>
    <row r="779" spans="1:23" s="75" customFormat="1" hidden="1" x14ac:dyDescent="0.35">
      <c r="A779" s="75">
        <v>775</v>
      </c>
      <c r="B779" s="75">
        <v>776</v>
      </c>
      <c r="C779">
        <v>146.0628853</v>
      </c>
      <c r="D779">
        <v>-17.54125599</v>
      </c>
      <c r="G779" s="75">
        <v>100</v>
      </c>
      <c r="H779" s="75" t="s">
        <v>26</v>
      </c>
      <c r="I779" t="str">
        <f t="shared" si="12"/>
        <v>X</v>
      </c>
      <c r="J779" s="76"/>
      <c r="K779" s="77"/>
      <c r="L779" s="77"/>
      <c r="M779" s="77"/>
      <c r="N779" s="77"/>
      <c r="O779" s="78"/>
      <c r="P779" s="78"/>
      <c r="Q779" s="78"/>
      <c r="R779" s="78"/>
      <c r="V779" s="79"/>
      <c r="W779" s="78"/>
    </row>
    <row r="780" spans="1:23" s="75" customFormat="1" hidden="1" x14ac:dyDescent="0.35">
      <c r="A780" s="75">
        <v>776</v>
      </c>
      <c r="B780" s="75">
        <v>777</v>
      </c>
      <c r="C780">
        <v>146.06284679999999</v>
      </c>
      <c r="D780">
        <v>-17.541171540000001</v>
      </c>
      <c r="G780" s="75">
        <v>100</v>
      </c>
      <c r="H780" s="75" t="s">
        <v>26</v>
      </c>
      <c r="I780" t="str">
        <f t="shared" si="12"/>
        <v>X</v>
      </c>
      <c r="J780" s="76"/>
      <c r="K780" s="77"/>
      <c r="L780" s="77"/>
      <c r="M780" s="77"/>
      <c r="N780" s="77"/>
      <c r="O780" s="78"/>
      <c r="P780" s="78"/>
      <c r="Q780" s="78"/>
      <c r="R780" s="78"/>
      <c r="V780" s="79"/>
      <c r="W780" s="78"/>
    </row>
    <row r="781" spans="1:23" s="75" customFormat="1" hidden="1" x14ac:dyDescent="0.35">
      <c r="A781" s="75">
        <v>777</v>
      </c>
      <c r="B781" s="75">
        <v>778</v>
      </c>
      <c r="C781">
        <v>146.062828</v>
      </c>
      <c r="D781">
        <v>-17.541079119999999</v>
      </c>
      <c r="G781" s="75">
        <v>100</v>
      </c>
      <c r="H781" s="75" t="s">
        <v>26</v>
      </c>
      <c r="I781" t="str">
        <f t="shared" si="12"/>
        <v>X</v>
      </c>
      <c r="J781" s="76"/>
      <c r="K781" s="77"/>
      <c r="L781" s="77"/>
      <c r="M781" s="77"/>
      <c r="N781" s="77"/>
      <c r="O781" s="78"/>
      <c r="P781" s="78"/>
      <c r="Q781" s="78"/>
      <c r="R781" s="78"/>
      <c r="V781" s="79"/>
      <c r="W781" s="78"/>
    </row>
    <row r="782" spans="1:23" s="75" customFormat="1" hidden="1" x14ac:dyDescent="0.35">
      <c r="A782" s="75">
        <v>778</v>
      </c>
      <c r="B782" s="75">
        <v>779</v>
      </c>
      <c r="C782">
        <v>146.0628093</v>
      </c>
      <c r="D782">
        <v>-17.540986709999999</v>
      </c>
      <c r="G782" s="75">
        <v>100</v>
      </c>
      <c r="H782" s="75" t="s">
        <v>26</v>
      </c>
      <c r="I782" t="str">
        <f t="shared" si="12"/>
        <v>X</v>
      </c>
      <c r="J782" s="76"/>
      <c r="K782" s="77"/>
      <c r="L782" s="77"/>
      <c r="M782" s="77"/>
      <c r="N782" s="77"/>
      <c r="O782" s="78"/>
      <c r="P782" s="78"/>
      <c r="Q782" s="78"/>
      <c r="R782" s="78"/>
      <c r="V782" s="79"/>
      <c r="W782" s="78"/>
    </row>
    <row r="783" spans="1:23" s="75" customFormat="1" hidden="1" x14ac:dyDescent="0.35">
      <c r="A783" s="75">
        <v>779</v>
      </c>
      <c r="B783" s="75">
        <v>780</v>
      </c>
      <c r="C783">
        <v>146.06279989999999</v>
      </c>
      <c r="D783">
        <v>-17.540893369999999</v>
      </c>
      <c r="E783" s="75">
        <v>50</v>
      </c>
      <c r="G783" s="75">
        <v>100</v>
      </c>
      <c r="H783" s="75" t="s">
        <v>26</v>
      </c>
      <c r="I783" t="str">
        <f t="shared" si="12"/>
        <v>X</v>
      </c>
      <c r="J783" s="76"/>
      <c r="K783" s="77"/>
      <c r="L783" s="77"/>
      <c r="M783" s="77"/>
      <c r="N783" s="77"/>
      <c r="O783" s="78"/>
      <c r="P783" s="78"/>
      <c r="Q783" s="78"/>
      <c r="R783" s="78"/>
      <c r="V783" s="79"/>
      <c r="W783" s="78"/>
    </row>
    <row r="784" spans="1:23" s="75" customFormat="1" hidden="1" x14ac:dyDescent="0.35">
      <c r="A784" s="75">
        <v>780</v>
      </c>
      <c r="B784" s="75">
        <v>781</v>
      </c>
      <c r="C784">
        <v>146.06280039999999</v>
      </c>
      <c r="D784">
        <v>-17.540799069999998</v>
      </c>
      <c r="G784" s="75">
        <v>100</v>
      </c>
      <c r="H784" s="75" t="s">
        <v>26</v>
      </c>
      <c r="I784" t="str">
        <f t="shared" si="12"/>
        <v>X</v>
      </c>
      <c r="J784" s="76"/>
      <c r="K784" s="77"/>
      <c r="L784" s="77"/>
      <c r="M784" s="77"/>
      <c r="N784" s="77"/>
      <c r="O784" s="78"/>
      <c r="P784" s="78"/>
      <c r="Q784" s="78"/>
      <c r="R784" s="78"/>
      <c r="V784" s="79"/>
      <c r="W784" s="78"/>
    </row>
    <row r="785" spans="1:23" s="75" customFormat="1" hidden="1" x14ac:dyDescent="0.35">
      <c r="A785" s="75">
        <v>781</v>
      </c>
      <c r="B785" s="75">
        <v>782</v>
      </c>
      <c r="C785">
        <v>146.06280380000001</v>
      </c>
      <c r="D785">
        <v>-17.54070505</v>
      </c>
      <c r="G785" s="75">
        <v>100</v>
      </c>
      <c r="H785" s="75" t="s">
        <v>26</v>
      </c>
      <c r="I785" t="str">
        <f t="shared" si="12"/>
        <v>X</v>
      </c>
      <c r="J785" s="76"/>
      <c r="K785" s="77"/>
      <c r="L785" s="77"/>
      <c r="M785" s="77"/>
      <c r="N785" s="77"/>
      <c r="O785" s="78"/>
      <c r="P785" s="78"/>
      <c r="Q785" s="78"/>
      <c r="R785" s="78"/>
      <c r="V785" s="79"/>
      <c r="W785" s="78"/>
    </row>
    <row r="786" spans="1:23" s="75" customFormat="1" hidden="1" x14ac:dyDescent="0.35">
      <c r="A786" s="75">
        <v>782</v>
      </c>
      <c r="B786" s="75">
        <v>783</v>
      </c>
      <c r="C786">
        <v>146.06282179999999</v>
      </c>
      <c r="D786">
        <v>-17.540612490000001</v>
      </c>
      <c r="G786" s="75">
        <v>100</v>
      </c>
      <c r="H786" s="75" t="s">
        <v>26</v>
      </c>
      <c r="I786" t="str">
        <f t="shared" si="12"/>
        <v>X</v>
      </c>
      <c r="J786" s="76"/>
      <c r="K786" s="77"/>
      <c r="L786" s="77"/>
      <c r="M786" s="77"/>
      <c r="N786" s="77"/>
      <c r="O786" s="78"/>
      <c r="P786" s="78"/>
      <c r="Q786" s="78"/>
      <c r="R786" s="78"/>
      <c r="V786" s="79"/>
      <c r="W786" s="78"/>
    </row>
    <row r="787" spans="1:23" s="75" customFormat="1" hidden="1" x14ac:dyDescent="0.35">
      <c r="A787" s="75">
        <v>783</v>
      </c>
      <c r="B787" s="75">
        <v>784</v>
      </c>
      <c r="C787">
        <v>146.06283980000001</v>
      </c>
      <c r="D787">
        <v>-17.540519929999999</v>
      </c>
      <c r="G787" s="75">
        <v>100</v>
      </c>
      <c r="H787" s="75" t="s">
        <v>26</v>
      </c>
      <c r="I787" t="str">
        <f t="shared" si="12"/>
        <v>X</v>
      </c>
      <c r="J787" s="76"/>
      <c r="K787" s="77"/>
      <c r="L787" s="77"/>
      <c r="M787" s="77"/>
      <c r="N787" s="77"/>
      <c r="O787" s="78"/>
      <c r="P787" s="78"/>
      <c r="Q787" s="78"/>
      <c r="R787" s="78"/>
      <c r="V787" s="79"/>
      <c r="W787" s="78"/>
    </row>
    <row r="788" spans="1:23" s="75" customFormat="1" hidden="1" x14ac:dyDescent="0.35">
      <c r="A788" s="75">
        <v>784</v>
      </c>
      <c r="B788" s="75">
        <v>785</v>
      </c>
      <c r="C788">
        <v>146.06285790000001</v>
      </c>
      <c r="D788">
        <v>-17.540427359999999</v>
      </c>
      <c r="E788" s="75">
        <v>50</v>
      </c>
      <c r="G788" s="75">
        <v>100</v>
      </c>
      <c r="H788" s="75" t="s">
        <v>26</v>
      </c>
      <c r="I788" t="str">
        <f t="shared" si="12"/>
        <v>X</v>
      </c>
      <c r="J788" s="76"/>
      <c r="K788" s="77"/>
      <c r="L788" s="77"/>
      <c r="M788" s="77"/>
      <c r="N788" s="77"/>
      <c r="O788" s="78"/>
      <c r="P788" s="78"/>
      <c r="Q788" s="78"/>
      <c r="R788" s="78"/>
      <c r="V788" s="79"/>
      <c r="W788" s="78"/>
    </row>
    <row r="789" spans="1:23" s="75" customFormat="1" hidden="1" x14ac:dyDescent="0.35">
      <c r="A789" s="75">
        <v>785</v>
      </c>
      <c r="B789" s="75">
        <v>786</v>
      </c>
      <c r="C789">
        <v>146.06290329999999</v>
      </c>
      <c r="D789">
        <v>-17.540344730000001</v>
      </c>
      <c r="G789" s="75">
        <v>100</v>
      </c>
      <c r="H789" s="75" t="s">
        <v>26</v>
      </c>
      <c r="I789" t="str">
        <f t="shared" si="12"/>
        <v>X</v>
      </c>
      <c r="J789" s="76"/>
      <c r="K789" s="77"/>
      <c r="L789" s="77"/>
      <c r="M789" s="77"/>
      <c r="N789" s="77"/>
      <c r="O789" s="78"/>
      <c r="P789" s="78"/>
      <c r="Q789" s="78"/>
      <c r="R789" s="78"/>
      <c r="V789" s="79"/>
      <c r="W789" s="78"/>
    </row>
    <row r="790" spans="1:23" s="75" customFormat="1" hidden="1" x14ac:dyDescent="0.35">
      <c r="A790" s="75">
        <v>786</v>
      </c>
      <c r="B790" s="75">
        <v>787</v>
      </c>
      <c r="C790">
        <v>146.06294879999999</v>
      </c>
      <c r="D790">
        <v>-17.54026215</v>
      </c>
      <c r="G790" s="75">
        <v>100</v>
      </c>
      <c r="H790" s="75" t="s">
        <v>26</v>
      </c>
      <c r="I790" t="str">
        <f t="shared" si="12"/>
        <v>X</v>
      </c>
      <c r="J790" s="76"/>
      <c r="K790" s="77"/>
      <c r="L790" s="77"/>
      <c r="M790" s="77"/>
      <c r="N790" s="77"/>
      <c r="O790" s="78"/>
      <c r="P790" s="78"/>
      <c r="Q790" s="78"/>
      <c r="R790" s="78"/>
      <c r="V790" s="79"/>
      <c r="W790" s="78"/>
    </row>
    <row r="791" spans="1:23" s="75" customFormat="1" hidden="1" x14ac:dyDescent="0.35">
      <c r="A791" s="75">
        <v>787</v>
      </c>
      <c r="B791" s="75">
        <v>788</v>
      </c>
      <c r="C791">
        <v>146.06299540000001</v>
      </c>
      <c r="D791">
        <v>-17.54018022</v>
      </c>
      <c r="G791" s="75">
        <v>100</v>
      </c>
      <c r="H791" s="75" t="s">
        <v>26</v>
      </c>
      <c r="I791" t="str">
        <f t="shared" si="12"/>
        <v>X</v>
      </c>
      <c r="J791" s="76"/>
      <c r="K791" s="77"/>
      <c r="L791" s="77"/>
      <c r="M791" s="77"/>
      <c r="N791" s="77"/>
      <c r="O791" s="78"/>
      <c r="P791" s="78"/>
      <c r="Q791" s="78"/>
      <c r="R791" s="78"/>
      <c r="V791" s="79"/>
      <c r="W791" s="78"/>
    </row>
    <row r="792" spans="1:23" s="75" customFormat="1" hidden="1" x14ac:dyDescent="0.35">
      <c r="A792" s="75">
        <v>788</v>
      </c>
      <c r="B792" s="75">
        <v>789</v>
      </c>
      <c r="C792">
        <v>146.06304779999999</v>
      </c>
      <c r="D792">
        <v>-17.540101809999999</v>
      </c>
      <c r="G792" s="75">
        <v>100</v>
      </c>
      <c r="H792" s="75" t="s">
        <v>26</v>
      </c>
      <c r="I792" t="str">
        <f t="shared" si="12"/>
        <v>X</v>
      </c>
      <c r="J792" s="76"/>
      <c r="K792" s="77"/>
      <c r="L792" s="77"/>
      <c r="M792" s="77"/>
      <c r="N792" s="77"/>
      <c r="O792" s="78"/>
      <c r="P792" s="78"/>
      <c r="Q792" s="78"/>
      <c r="R792" s="78"/>
      <c r="V792" s="79"/>
      <c r="W792" s="78"/>
    </row>
    <row r="793" spans="1:23" s="75" customFormat="1" hidden="1" x14ac:dyDescent="0.35">
      <c r="A793" s="75">
        <v>789</v>
      </c>
      <c r="B793" s="75">
        <v>790</v>
      </c>
      <c r="C793">
        <v>146.06310020000001</v>
      </c>
      <c r="D793">
        <v>-17.540023399999999</v>
      </c>
      <c r="E793" s="75">
        <v>50</v>
      </c>
      <c r="G793" s="75">
        <v>100</v>
      </c>
      <c r="H793" s="75" t="s">
        <v>26</v>
      </c>
      <c r="I793" t="str">
        <f t="shared" si="12"/>
        <v>X</v>
      </c>
      <c r="J793" s="76"/>
      <c r="K793" s="77"/>
      <c r="L793" s="77"/>
      <c r="M793" s="77"/>
      <c r="N793" s="77"/>
      <c r="O793" s="78"/>
      <c r="P793" s="78"/>
      <c r="Q793" s="78"/>
      <c r="R793" s="78"/>
      <c r="V793" s="79"/>
      <c r="W793" s="78"/>
    </row>
    <row r="794" spans="1:23" s="75" customFormat="1" hidden="1" x14ac:dyDescent="0.35">
      <c r="A794" s="75">
        <v>790</v>
      </c>
      <c r="B794" s="75">
        <v>791</v>
      </c>
      <c r="C794">
        <v>146.06316140000001</v>
      </c>
      <c r="D794">
        <v>-17.539953390000001</v>
      </c>
      <c r="G794" s="75">
        <v>100</v>
      </c>
      <c r="H794" s="75" t="s">
        <v>26</v>
      </c>
      <c r="I794" t="str">
        <f t="shared" si="12"/>
        <v>X</v>
      </c>
      <c r="J794" s="76"/>
      <c r="K794" s="77"/>
      <c r="L794" s="77"/>
      <c r="M794" s="77"/>
      <c r="N794" s="77"/>
      <c r="O794" s="78"/>
      <c r="P794" s="78"/>
      <c r="Q794" s="78"/>
      <c r="R794" s="78"/>
      <c r="V794" s="79"/>
      <c r="W794" s="78"/>
    </row>
    <row r="795" spans="1:23" s="75" customFormat="1" hidden="1" x14ac:dyDescent="0.35">
      <c r="A795" s="75">
        <v>791</v>
      </c>
      <c r="B795" s="75">
        <v>792</v>
      </c>
      <c r="C795">
        <v>146.06323739999999</v>
      </c>
      <c r="D795">
        <v>-17.53989764</v>
      </c>
      <c r="G795" s="75">
        <v>100</v>
      </c>
      <c r="H795" s="75" t="s">
        <v>26</v>
      </c>
      <c r="I795" t="str">
        <f t="shared" si="12"/>
        <v>X</v>
      </c>
      <c r="J795" s="76"/>
      <c r="K795" s="77"/>
      <c r="L795" s="77"/>
      <c r="M795" s="77"/>
      <c r="N795" s="77"/>
      <c r="O795" s="78"/>
      <c r="P795" s="78"/>
      <c r="Q795" s="78"/>
      <c r="R795" s="78"/>
      <c r="V795" s="79"/>
      <c r="W795" s="78"/>
    </row>
    <row r="796" spans="1:23" s="75" customFormat="1" hidden="1" x14ac:dyDescent="0.35">
      <c r="A796" s="75">
        <v>792</v>
      </c>
      <c r="B796" s="75">
        <v>793</v>
      </c>
      <c r="C796">
        <v>146.06331349999999</v>
      </c>
      <c r="D796">
        <v>-17.539841880000001</v>
      </c>
      <c r="G796" s="75">
        <v>100</v>
      </c>
      <c r="H796" s="75" t="s">
        <v>26</v>
      </c>
      <c r="I796" t="str">
        <f t="shared" si="12"/>
        <v>X</v>
      </c>
      <c r="J796" s="76"/>
      <c r="K796" s="77"/>
      <c r="L796" s="77"/>
      <c r="M796" s="77"/>
      <c r="N796" s="77"/>
      <c r="O796" s="78"/>
      <c r="P796" s="78"/>
      <c r="Q796" s="78"/>
      <c r="R796" s="78"/>
      <c r="V796" s="79"/>
      <c r="W796" s="78"/>
    </row>
    <row r="797" spans="1:23" s="75" customFormat="1" hidden="1" x14ac:dyDescent="0.35">
      <c r="A797" s="75">
        <v>793</v>
      </c>
      <c r="B797" s="75">
        <v>794</v>
      </c>
      <c r="C797">
        <v>146.0633895</v>
      </c>
      <c r="D797">
        <v>-17.53978613</v>
      </c>
      <c r="G797" s="75">
        <v>100</v>
      </c>
      <c r="H797" s="75" t="s">
        <v>26</v>
      </c>
      <c r="I797" t="str">
        <f t="shared" si="12"/>
        <v>X</v>
      </c>
      <c r="J797" s="76"/>
      <c r="K797" s="77"/>
      <c r="L797" s="77"/>
      <c r="M797" s="77"/>
      <c r="N797" s="77"/>
      <c r="O797" s="78"/>
      <c r="P797" s="78"/>
      <c r="Q797" s="78"/>
      <c r="R797" s="78"/>
      <c r="V797" s="79"/>
      <c r="W797" s="78"/>
    </row>
    <row r="798" spans="1:23" s="75" customFormat="1" hidden="1" x14ac:dyDescent="0.35">
      <c r="A798" s="75">
        <v>794</v>
      </c>
      <c r="B798" s="75">
        <v>795</v>
      </c>
      <c r="C798">
        <v>146.0634676</v>
      </c>
      <c r="D798">
        <v>-17.539733900000002</v>
      </c>
      <c r="E798" s="75">
        <v>50</v>
      </c>
      <c r="G798" s="75">
        <v>100</v>
      </c>
      <c r="H798" s="75" t="s">
        <v>26</v>
      </c>
      <c r="I798" t="str">
        <f t="shared" si="12"/>
        <v>X</v>
      </c>
      <c r="J798" s="76"/>
      <c r="K798" s="77"/>
      <c r="L798" s="77"/>
      <c r="M798" s="77"/>
      <c r="N798" s="77"/>
      <c r="O798" s="78"/>
      <c r="P798" s="78"/>
      <c r="Q798" s="78"/>
      <c r="R798" s="78"/>
      <c r="V798" s="79"/>
      <c r="W798" s="78"/>
    </row>
    <row r="799" spans="1:23" s="75" customFormat="1" hidden="1" x14ac:dyDescent="0.35">
      <c r="A799" s="75">
        <v>795</v>
      </c>
      <c r="B799" s="75">
        <v>796</v>
      </c>
      <c r="C799">
        <v>146.0635546</v>
      </c>
      <c r="D799">
        <v>-17.539697539999999</v>
      </c>
      <c r="G799" s="75">
        <v>100</v>
      </c>
      <c r="H799" s="75" t="s">
        <v>26</v>
      </c>
      <c r="I799" t="str">
        <f t="shared" si="12"/>
        <v>X</v>
      </c>
      <c r="J799" s="76"/>
      <c r="K799" s="77"/>
      <c r="L799" s="77"/>
      <c r="M799" s="77"/>
      <c r="N799" s="77"/>
      <c r="O799" s="78"/>
      <c r="P799" s="78"/>
      <c r="Q799" s="78"/>
      <c r="R799" s="78"/>
      <c r="V799" s="79"/>
      <c r="W799" s="78"/>
    </row>
    <row r="800" spans="1:23" s="75" customFormat="1" hidden="1" x14ac:dyDescent="0.35">
      <c r="A800" s="75">
        <v>796</v>
      </c>
      <c r="B800" s="75">
        <v>797</v>
      </c>
      <c r="C800">
        <v>146.06364160000001</v>
      </c>
      <c r="D800">
        <v>-17.539661169999999</v>
      </c>
      <c r="G800" s="75">
        <v>100</v>
      </c>
      <c r="H800" s="75" t="s">
        <v>26</v>
      </c>
      <c r="I800" t="str">
        <f t="shared" si="12"/>
        <v>X</v>
      </c>
      <c r="J800" s="76"/>
      <c r="K800" s="77"/>
      <c r="L800" s="77"/>
      <c r="M800" s="77"/>
      <c r="N800" s="77"/>
      <c r="O800" s="78"/>
      <c r="P800" s="78"/>
      <c r="Q800" s="78"/>
      <c r="R800" s="78"/>
      <c r="V800" s="79"/>
      <c r="W800" s="78"/>
    </row>
    <row r="801" spans="1:23" s="75" customFormat="1" hidden="1" x14ac:dyDescent="0.35">
      <c r="A801" s="75">
        <v>797</v>
      </c>
      <c r="B801" s="75">
        <v>798</v>
      </c>
      <c r="C801">
        <v>146.06372859999999</v>
      </c>
      <c r="D801">
        <v>-17.539624799999999</v>
      </c>
      <c r="G801" s="75">
        <v>100</v>
      </c>
      <c r="H801" s="75" t="s">
        <v>26</v>
      </c>
      <c r="I801" t="str">
        <f t="shared" si="12"/>
        <v>X</v>
      </c>
      <c r="J801" s="76"/>
      <c r="K801" s="77"/>
      <c r="L801" s="77"/>
      <c r="M801" s="77"/>
      <c r="N801" s="77"/>
      <c r="O801" s="78"/>
      <c r="P801" s="78"/>
      <c r="Q801" s="78"/>
      <c r="R801" s="78"/>
      <c r="V801" s="79"/>
      <c r="W801" s="78"/>
    </row>
    <row r="802" spans="1:23" s="75" customFormat="1" hidden="1" x14ac:dyDescent="0.35">
      <c r="A802" s="75">
        <v>798</v>
      </c>
      <c r="B802" s="75">
        <v>799</v>
      </c>
      <c r="C802">
        <v>146.0638156</v>
      </c>
      <c r="D802">
        <v>-17.539588429999998</v>
      </c>
      <c r="G802" s="75">
        <v>100</v>
      </c>
      <c r="H802" s="75" t="s">
        <v>26</v>
      </c>
      <c r="I802" t="str">
        <f t="shared" si="12"/>
        <v>X</v>
      </c>
      <c r="J802" s="76"/>
      <c r="K802" s="77"/>
      <c r="L802" s="77"/>
      <c r="M802" s="77"/>
      <c r="N802" s="77"/>
      <c r="O802" s="78"/>
      <c r="P802" s="78"/>
      <c r="Q802" s="78"/>
      <c r="R802" s="78"/>
      <c r="V802" s="79"/>
      <c r="W802" s="78"/>
    </row>
    <row r="803" spans="1:23" s="75" customFormat="1" hidden="1" x14ac:dyDescent="0.35">
      <c r="A803" s="75">
        <v>799</v>
      </c>
      <c r="B803" s="75">
        <v>800</v>
      </c>
      <c r="C803">
        <v>146.0639036</v>
      </c>
      <c r="D803">
        <v>-17.53955478</v>
      </c>
      <c r="E803" s="75">
        <v>50</v>
      </c>
      <c r="G803" s="75">
        <v>100</v>
      </c>
      <c r="H803" s="75" t="s">
        <v>26</v>
      </c>
      <c r="I803" t="str">
        <f t="shared" si="12"/>
        <v>X</v>
      </c>
      <c r="J803" s="76"/>
      <c r="K803" s="77"/>
      <c r="L803" s="77"/>
      <c r="M803" s="77"/>
      <c r="N803" s="77"/>
      <c r="O803" s="78"/>
      <c r="P803" s="78"/>
      <c r="Q803" s="78"/>
      <c r="R803" s="78"/>
      <c r="V803" s="79"/>
      <c r="W803" s="78"/>
    </row>
    <row r="804" spans="1:23" s="75" customFormat="1" hidden="1" x14ac:dyDescent="0.35">
      <c r="A804" s="75">
        <v>800</v>
      </c>
      <c r="B804" s="75">
        <v>801</v>
      </c>
      <c r="C804">
        <v>146.06399440000001</v>
      </c>
      <c r="D804">
        <v>-17.539529550000001</v>
      </c>
      <c r="G804" s="75">
        <v>100</v>
      </c>
      <c r="H804" s="75" t="s">
        <v>26</v>
      </c>
      <c r="I804" t="str">
        <f t="shared" si="12"/>
        <v>X</v>
      </c>
      <c r="J804" s="76"/>
      <c r="K804" s="77"/>
      <c r="L804" s="77"/>
      <c r="M804" s="77"/>
      <c r="N804" s="77"/>
      <c r="O804" s="78"/>
      <c r="P804" s="78"/>
      <c r="Q804" s="78"/>
      <c r="R804" s="78"/>
      <c r="V804" s="79"/>
      <c r="W804" s="78"/>
    </row>
    <row r="805" spans="1:23" s="75" customFormat="1" hidden="1" x14ac:dyDescent="0.35">
      <c r="A805" s="75">
        <v>801</v>
      </c>
      <c r="B805" s="75">
        <v>802</v>
      </c>
      <c r="C805">
        <v>146.06408529999999</v>
      </c>
      <c r="D805">
        <v>-17.539504319999999</v>
      </c>
      <c r="G805" s="75">
        <v>100</v>
      </c>
      <c r="H805" s="75" t="s">
        <v>26</v>
      </c>
      <c r="I805" t="str">
        <f t="shared" si="12"/>
        <v>X</v>
      </c>
      <c r="J805" s="76"/>
      <c r="K805" s="77"/>
      <c r="L805" s="77"/>
      <c r="M805" s="77"/>
      <c r="N805" s="77"/>
      <c r="O805" s="78"/>
      <c r="P805" s="78"/>
      <c r="Q805" s="78"/>
      <c r="R805" s="78"/>
      <c r="V805" s="79"/>
      <c r="W805" s="78"/>
    </row>
    <row r="806" spans="1:23" s="75" customFormat="1" hidden="1" x14ac:dyDescent="0.35">
      <c r="A806" s="75">
        <v>802</v>
      </c>
      <c r="B806" s="75">
        <v>803</v>
      </c>
      <c r="C806">
        <v>146.06417619999999</v>
      </c>
      <c r="D806">
        <v>-17.53947909</v>
      </c>
      <c r="G806" s="75">
        <v>100</v>
      </c>
      <c r="H806" s="75" t="s">
        <v>26</v>
      </c>
      <c r="I806" t="str">
        <f t="shared" si="12"/>
        <v>X</v>
      </c>
      <c r="J806" s="76"/>
      <c r="K806" s="77"/>
      <c r="L806" s="77"/>
      <c r="M806" s="77"/>
      <c r="N806" s="77"/>
      <c r="O806" s="78"/>
      <c r="P806" s="78"/>
      <c r="Q806" s="78"/>
      <c r="R806" s="78"/>
      <c r="V806" s="79"/>
      <c r="W806" s="78"/>
    </row>
    <row r="807" spans="1:23" s="75" customFormat="1" hidden="1" x14ac:dyDescent="0.35">
      <c r="A807" s="75">
        <v>803</v>
      </c>
      <c r="B807" s="75">
        <v>804</v>
      </c>
      <c r="C807">
        <v>146.064267</v>
      </c>
      <c r="D807">
        <v>-17.539453869999999</v>
      </c>
      <c r="G807" s="75">
        <v>100</v>
      </c>
      <c r="H807" s="75" t="s">
        <v>26</v>
      </c>
      <c r="I807" t="str">
        <f t="shared" si="12"/>
        <v>X</v>
      </c>
      <c r="J807" s="76"/>
      <c r="K807" s="77"/>
      <c r="L807" s="77"/>
      <c r="M807" s="77"/>
      <c r="N807" s="77"/>
      <c r="O807" s="78"/>
      <c r="P807" s="78"/>
      <c r="Q807" s="78"/>
      <c r="R807" s="78"/>
      <c r="V807" s="79"/>
      <c r="W807" s="78"/>
    </row>
    <row r="808" spans="1:23" s="75" customFormat="1" hidden="1" x14ac:dyDescent="0.35">
      <c r="A808" s="75">
        <v>804</v>
      </c>
      <c r="B808" s="75">
        <v>805</v>
      </c>
      <c r="C808">
        <v>146.0643579</v>
      </c>
      <c r="D808">
        <v>-17.539428640000001</v>
      </c>
      <c r="E808" s="75">
        <v>50</v>
      </c>
      <c r="G808" s="75">
        <v>100</v>
      </c>
      <c r="H808" s="75" t="s">
        <v>26</v>
      </c>
      <c r="I808" t="str">
        <f t="shared" si="12"/>
        <v>X</v>
      </c>
      <c r="J808" s="76"/>
      <c r="K808" s="77"/>
      <c r="L808" s="77"/>
      <c r="M808" s="77"/>
      <c r="N808" s="77"/>
      <c r="O808" s="78"/>
      <c r="P808" s="78"/>
      <c r="Q808" s="78"/>
      <c r="R808" s="78"/>
      <c r="V808" s="79"/>
      <c r="W808" s="78"/>
    </row>
    <row r="809" spans="1:23" s="75" customFormat="1" hidden="1" x14ac:dyDescent="0.35">
      <c r="A809" s="75">
        <v>805</v>
      </c>
      <c r="B809" s="75">
        <v>806</v>
      </c>
      <c r="C809">
        <v>146.06444629999999</v>
      </c>
      <c r="D809">
        <v>-17.539396549999999</v>
      </c>
      <c r="G809" s="75">
        <v>100</v>
      </c>
      <c r="H809" s="75" t="s">
        <v>26</v>
      </c>
      <c r="I809" t="str">
        <f t="shared" si="12"/>
        <v>X</v>
      </c>
      <c r="J809" s="76"/>
      <c r="K809" s="77"/>
      <c r="L809" s="77"/>
      <c r="M809" s="77"/>
      <c r="N809" s="77"/>
      <c r="O809" s="78"/>
      <c r="P809" s="78"/>
      <c r="Q809" s="78"/>
      <c r="R809" s="78"/>
      <c r="V809" s="79"/>
      <c r="W809" s="78"/>
    </row>
    <row r="810" spans="1:23" s="75" customFormat="1" hidden="1" x14ac:dyDescent="0.35">
      <c r="A810" s="75">
        <v>806</v>
      </c>
      <c r="B810" s="75">
        <v>807</v>
      </c>
      <c r="C810">
        <v>146.0645327</v>
      </c>
      <c r="D810">
        <v>-17.539358669999999</v>
      </c>
      <c r="G810" s="75">
        <v>100</v>
      </c>
      <c r="H810" s="75" t="s">
        <v>26</v>
      </c>
      <c r="I810" t="str">
        <f t="shared" si="12"/>
        <v>X</v>
      </c>
      <c r="J810" s="76"/>
      <c r="K810" s="77"/>
      <c r="L810" s="77"/>
      <c r="M810" s="77"/>
      <c r="N810" s="77"/>
      <c r="O810" s="78"/>
      <c r="P810" s="78"/>
      <c r="Q810" s="78"/>
      <c r="R810" s="78"/>
      <c r="V810" s="79"/>
      <c r="W810" s="78"/>
    </row>
    <row r="811" spans="1:23" s="75" customFormat="1" hidden="1" x14ac:dyDescent="0.35">
      <c r="A811" s="75">
        <v>807</v>
      </c>
      <c r="B811" s="75">
        <v>808</v>
      </c>
      <c r="C811">
        <v>146.06461899999999</v>
      </c>
      <c r="D811">
        <v>-17.539320780000001</v>
      </c>
      <c r="G811" s="75">
        <v>100</v>
      </c>
      <c r="H811" s="75" t="s">
        <v>26</v>
      </c>
      <c r="I811" t="str">
        <f t="shared" si="12"/>
        <v>X</v>
      </c>
      <c r="J811" s="76"/>
      <c r="K811" s="77"/>
      <c r="L811" s="77"/>
      <c r="M811" s="77"/>
      <c r="N811" s="77"/>
      <c r="O811" s="78"/>
      <c r="P811" s="78"/>
      <c r="Q811" s="78"/>
      <c r="R811" s="78"/>
      <c r="V811" s="79"/>
      <c r="W811" s="78"/>
    </row>
    <row r="812" spans="1:23" s="75" customFormat="1" hidden="1" x14ac:dyDescent="0.35">
      <c r="A812" s="75">
        <v>808</v>
      </c>
      <c r="B812" s="75">
        <v>809</v>
      </c>
      <c r="C812">
        <v>146.06470540000001</v>
      </c>
      <c r="D812">
        <v>-17.5392829</v>
      </c>
      <c r="G812" s="75">
        <v>100</v>
      </c>
      <c r="H812" s="75" t="s">
        <v>26</v>
      </c>
      <c r="I812" t="str">
        <f t="shared" si="12"/>
        <v>X</v>
      </c>
      <c r="J812" s="76"/>
      <c r="K812" s="77"/>
      <c r="L812" s="77"/>
      <c r="M812" s="77"/>
      <c r="N812" s="77"/>
      <c r="O812" s="78"/>
      <c r="P812" s="78"/>
      <c r="Q812" s="78"/>
      <c r="R812" s="78"/>
      <c r="V812" s="79"/>
      <c r="W812" s="78"/>
    </row>
    <row r="813" spans="1:23" s="75" customFormat="1" hidden="1" x14ac:dyDescent="0.35">
      <c r="A813" s="75">
        <v>809</v>
      </c>
      <c r="B813" s="75">
        <v>810</v>
      </c>
      <c r="C813">
        <v>146.0647884</v>
      </c>
      <c r="D813">
        <v>-17.539239429999999</v>
      </c>
      <c r="E813" s="75">
        <v>50</v>
      </c>
      <c r="G813" s="75">
        <v>100</v>
      </c>
      <c r="H813" s="75" t="s">
        <v>26</v>
      </c>
      <c r="I813" t="str">
        <f t="shared" si="12"/>
        <v>X</v>
      </c>
      <c r="J813" s="76"/>
      <c r="K813" s="77"/>
      <c r="L813" s="77"/>
      <c r="M813" s="77"/>
      <c r="N813" s="77"/>
      <c r="O813" s="78"/>
      <c r="P813" s="78"/>
      <c r="Q813" s="78"/>
      <c r="R813" s="78"/>
      <c r="V813" s="79"/>
      <c r="W813" s="78"/>
    </row>
    <row r="814" spans="1:23" s="75" customFormat="1" hidden="1" x14ac:dyDescent="0.35">
      <c r="A814" s="75">
        <v>810</v>
      </c>
      <c r="B814" s="75">
        <v>811</v>
      </c>
      <c r="C814">
        <v>146.06486240000001</v>
      </c>
      <c r="D814">
        <v>-17.539180909999999</v>
      </c>
      <c r="G814" s="75">
        <v>100</v>
      </c>
      <c r="H814" s="75" t="s">
        <v>26</v>
      </c>
      <c r="I814" t="str">
        <f t="shared" si="12"/>
        <v>X</v>
      </c>
      <c r="J814" s="76"/>
      <c r="K814" s="77"/>
      <c r="L814" s="77"/>
      <c r="M814" s="77"/>
      <c r="N814" s="77"/>
      <c r="O814" s="78"/>
      <c r="P814" s="78"/>
      <c r="Q814" s="78"/>
      <c r="R814" s="78"/>
      <c r="V814" s="79"/>
      <c r="W814" s="78"/>
    </row>
    <row r="815" spans="1:23" s="75" customFormat="1" hidden="1" x14ac:dyDescent="0.35">
      <c r="A815" s="75">
        <v>811</v>
      </c>
      <c r="B815" s="75">
        <v>812</v>
      </c>
      <c r="C815">
        <v>146.0649363</v>
      </c>
      <c r="D815">
        <v>-17.539122379999998</v>
      </c>
      <c r="G815" s="75">
        <v>100</v>
      </c>
      <c r="H815" s="75" t="s">
        <v>26</v>
      </c>
      <c r="I815" t="str">
        <f t="shared" si="12"/>
        <v>X</v>
      </c>
      <c r="J815" s="76"/>
      <c r="K815" s="77"/>
      <c r="L815" s="77"/>
      <c r="M815" s="77"/>
      <c r="N815" s="77"/>
      <c r="O815" s="78"/>
      <c r="P815" s="78"/>
      <c r="Q815" s="78"/>
      <c r="R815" s="78"/>
      <c r="V815" s="79"/>
      <c r="W815" s="78"/>
    </row>
    <row r="816" spans="1:23" s="75" customFormat="1" hidden="1" x14ac:dyDescent="0.35">
      <c r="A816" s="75">
        <v>812</v>
      </c>
      <c r="B816" s="75">
        <v>813</v>
      </c>
      <c r="C816">
        <v>146.065009</v>
      </c>
      <c r="D816">
        <v>-17.539062609999998</v>
      </c>
      <c r="G816" s="75">
        <v>100</v>
      </c>
      <c r="H816" s="75" t="s">
        <v>26</v>
      </c>
      <c r="I816" t="str">
        <f t="shared" si="12"/>
        <v>X</v>
      </c>
      <c r="J816" s="76"/>
      <c r="K816" s="77"/>
      <c r="L816" s="77"/>
      <c r="M816" s="77"/>
      <c r="N816" s="77"/>
      <c r="O816" s="78"/>
      <c r="P816" s="78"/>
      <c r="Q816" s="78"/>
      <c r="R816" s="78"/>
      <c r="V816" s="79"/>
      <c r="W816" s="78"/>
    </row>
    <row r="817" spans="1:23" s="75" customFormat="1" hidden="1" x14ac:dyDescent="0.35">
      <c r="A817" s="75">
        <v>813</v>
      </c>
      <c r="B817" s="75">
        <v>814</v>
      </c>
      <c r="C817">
        <v>146.0650704</v>
      </c>
      <c r="D817">
        <v>-17.538990949999999</v>
      </c>
      <c r="G817" s="75">
        <v>100</v>
      </c>
      <c r="H817" s="75" t="s">
        <v>26</v>
      </c>
      <c r="I817" t="str">
        <f t="shared" si="12"/>
        <v>X</v>
      </c>
      <c r="J817" s="76"/>
      <c r="K817" s="77"/>
      <c r="L817" s="77"/>
      <c r="M817" s="77"/>
      <c r="N817" s="77"/>
      <c r="O817" s="78"/>
      <c r="P817" s="78"/>
      <c r="Q817" s="78"/>
      <c r="R817" s="78"/>
      <c r="V817" s="79"/>
      <c r="W817" s="78"/>
    </row>
    <row r="818" spans="1:23" s="75" customFormat="1" hidden="1" x14ac:dyDescent="0.35">
      <c r="A818" s="75">
        <v>814</v>
      </c>
      <c r="B818" s="75">
        <v>815</v>
      </c>
      <c r="C818">
        <v>146.06511599999999</v>
      </c>
      <c r="D818">
        <v>-17.538908639999999</v>
      </c>
      <c r="E818" s="75">
        <v>50</v>
      </c>
      <c r="G818" s="75">
        <v>100</v>
      </c>
      <c r="H818" s="75" t="s">
        <v>26</v>
      </c>
      <c r="I818" t="str">
        <f t="shared" si="12"/>
        <v>X</v>
      </c>
      <c r="J818" s="76"/>
      <c r="K818" s="77"/>
      <c r="L818" s="77"/>
      <c r="M818" s="77"/>
      <c r="N818" s="77"/>
      <c r="O818" s="78"/>
      <c r="P818" s="78"/>
      <c r="Q818" s="78"/>
      <c r="R818" s="78"/>
      <c r="V818" s="79"/>
      <c r="W818" s="78"/>
    </row>
    <row r="819" spans="1:23" s="75" customFormat="1" hidden="1" x14ac:dyDescent="0.35">
      <c r="A819" s="75">
        <v>815</v>
      </c>
      <c r="B819" s="75">
        <v>816</v>
      </c>
      <c r="C819">
        <v>146.06515999999999</v>
      </c>
      <c r="D819">
        <v>-17.53882523</v>
      </c>
      <c r="G819" s="75">
        <v>100</v>
      </c>
      <c r="H819" s="75" t="s">
        <v>26</v>
      </c>
      <c r="I819" t="str">
        <f t="shared" si="12"/>
        <v>X</v>
      </c>
      <c r="J819" s="76"/>
      <c r="K819" s="77"/>
      <c r="L819" s="77"/>
      <c r="M819" s="77"/>
      <c r="N819" s="77"/>
      <c r="O819" s="78"/>
      <c r="P819" s="78"/>
      <c r="Q819" s="78"/>
      <c r="R819" s="78"/>
      <c r="V819" s="79"/>
      <c r="W819" s="78"/>
    </row>
    <row r="820" spans="1:23" s="75" customFormat="1" hidden="1" x14ac:dyDescent="0.35">
      <c r="A820" s="75">
        <v>816</v>
      </c>
      <c r="B820" s="75">
        <v>817</v>
      </c>
      <c r="C820">
        <v>146.06517930000001</v>
      </c>
      <c r="D820">
        <v>-17.538735249999998</v>
      </c>
      <c r="G820" s="75">
        <v>100</v>
      </c>
      <c r="H820" s="75" t="s">
        <v>26</v>
      </c>
      <c r="I820" t="str">
        <f t="shared" si="12"/>
        <v>X</v>
      </c>
      <c r="J820" s="76"/>
      <c r="K820" s="77"/>
      <c r="L820" s="77"/>
      <c r="M820" s="77"/>
      <c r="N820" s="77"/>
      <c r="O820" s="78"/>
      <c r="P820" s="78"/>
      <c r="Q820" s="78"/>
      <c r="R820" s="78"/>
      <c r="V820" s="79"/>
      <c r="W820" s="78"/>
    </row>
    <row r="821" spans="1:23" s="75" customFormat="1" hidden="1" x14ac:dyDescent="0.35">
      <c r="A821" s="75">
        <v>817</v>
      </c>
      <c r="B821" s="75">
        <v>818</v>
      </c>
      <c r="C821">
        <v>146.06518270000001</v>
      </c>
      <c r="D821">
        <v>-17.538641009999999</v>
      </c>
      <c r="G821" s="75">
        <v>100</v>
      </c>
      <c r="H821" s="75" t="s">
        <v>26</v>
      </c>
      <c r="I821" t="str">
        <f t="shared" si="12"/>
        <v>X</v>
      </c>
      <c r="J821" s="76"/>
      <c r="K821" s="77"/>
      <c r="L821" s="77"/>
      <c r="M821" s="77"/>
      <c r="N821" s="77"/>
      <c r="O821" s="78"/>
      <c r="P821" s="78"/>
      <c r="Q821" s="78"/>
      <c r="R821" s="78"/>
      <c r="V821" s="79"/>
      <c r="W821" s="78"/>
    </row>
    <row r="822" spans="1:23" s="75" customFormat="1" hidden="1" x14ac:dyDescent="0.35">
      <c r="A822" s="75">
        <v>818</v>
      </c>
      <c r="B822" s="75">
        <v>819</v>
      </c>
      <c r="C822">
        <v>146.0651666</v>
      </c>
      <c r="D822">
        <v>-17.538549079999999</v>
      </c>
      <c r="G822" s="75">
        <v>100</v>
      </c>
      <c r="H822" s="75" t="s">
        <v>26</v>
      </c>
      <c r="I822" t="str">
        <f t="shared" si="12"/>
        <v>X</v>
      </c>
      <c r="J822" s="76"/>
      <c r="K822" s="77"/>
      <c r="L822" s="77"/>
      <c r="M822" s="77"/>
      <c r="N822" s="77"/>
      <c r="O822" s="78"/>
      <c r="P822" s="78"/>
      <c r="Q822" s="78"/>
      <c r="R822" s="78"/>
      <c r="V822" s="79"/>
      <c r="W822" s="78"/>
    </row>
    <row r="823" spans="1:23" s="75" customFormat="1" hidden="1" x14ac:dyDescent="0.35">
      <c r="A823" s="75">
        <v>819</v>
      </c>
      <c r="B823" s="75">
        <v>820</v>
      </c>
      <c r="C823">
        <v>146.0651412</v>
      </c>
      <c r="D823">
        <v>-17.538458240000001</v>
      </c>
      <c r="E823" s="75">
        <v>50</v>
      </c>
      <c r="G823" s="75">
        <v>100</v>
      </c>
      <c r="H823" s="75" t="s">
        <v>26</v>
      </c>
      <c r="I823" t="str">
        <f t="shared" si="12"/>
        <v>X</v>
      </c>
      <c r="J823" s="76"/>
      <c r="K823" s="77"/>
      <c r="L823" s="77"/>
      <c r="M823" s="77"/>
      <c r="N823" s="77"/>
      <c r="O823" s="78"/>
      <c r="P823" s="78"/>
      <c r="Q823" s="78"/>
      <c r="R823" s="78"/>
      <c r="V823" s="79"/>
      <c r="W823" s="78"/>
    </row>
    <row r="824" spans="1:23" s="75" customFormat="1" hidden="1" x14ac:dyDescent="0.35">
      <c r="A824" s="75">
        <v>820</v>
      </c>
      <c r="B824" s="75">
        <v>821</v>
      </c>
      <c r="C824">
        <v>146.06509</v>
      </c>
      <c r="D824">
        <v>-17.538381000000001</v>
      </c>
      <c r="G824" s="75">
        <v>100</v>
      </c>
      <c r="H824" s="75" t="s">
        <v>26</v>
      </c>
      <c r="I824" t="str">
        <f t="shared" si="12"/>
        <v>X</v>
      </c>
      <c r="J824" s="76"/>
      <c r="K824" s="77"/>
      <c r="L824" s="77"/>
      <c r="M824" s="77"/>
      <c r="N824" s="77"/>
      <c r="O824" s="78"/>
      <c r="P824" s="78"/>
      <c r="Q824" s="78"/>
      <c r="R824" s="78"/>
      <c r="V824" s="79"/>
      <c r="W824" s="78"/>
    </row>
    <row r="825" spans="1:23" s="75" customFormat="1" hidden="1" x14ac:dyDescent="0.35">
      <c r="A825" s="75">
        <v>821</v>
      </c>
      <c r="B825" s="75">
        <v>822</v>
      </c>
      <c r="C825">
        <v>146.06502420000001</v>
      </c>
      <c r="D825">
        <v>-17.538316949999999</v>
      </c>
      <c r="G825" s="75">
        <v>100</v>
      </c>
      <c r="H825" s="75" t="s">
        <v>26</v>
      </c>
      <c r="I825" t="str">
        <f t="shared" si="12"/>
        <v>X</v>
      </c>
      <c r="J825" s="76"/>
      <c r="K825" s="77"/>
      <c r="L825" s="77"/>
      <c r="M825" s="77"/>
      <c r="N825" s="77"/>
      <c r="O825" s="78"/>
      <c r="P825" s="78"/>
      <c r="Q825" s="78"/>
      <c r="R825" s="78"/>
      <c r="V825" s="79"/>
      <c r="W825" s="78"/>
    </row>
    <row r="826" spans="1:23" s="75" customFormat="1" hidden="1" x14ac:dyDescent="0.35">
      <c r="A826" s="75">
        <v>822</v>
      </c>
      <c r="B826" s="75">
        <v>823</v>
      </c>
      <c r="C826">
        <v>146.06493359999999</v>
      </c>
      <c r="D826">
        <v>-17.53829073</v>
      </c>
      <c r="G826" s="75">
        <v>100</v>
      </c>
      <c r="H826" s="75" t="s">
        <v>26</v>
      </c>
      <c r="I826" t="str">
        <f t="shared" si="12"/>
        <v>X</v>
      </c>
      <c r="J826" s="76"/>
      <c r="K826" s="77"/>
      <c r="L826" s="77"/>
      <c r="M826" s="77"/>
      <c r="N826" s="77"/>
      <c r="O826" s="78"/>
      <c r="P826" s="78"/>
      <c r="Q826" s="78"/>
      <c r="R826" s="78"/>
      <c r="V826" s="79"/>
      <c r="W826" s="78"/>
    </row>
    <row r="827" spans="1:23" s="75" customFormat="1" hidden="1" x14ac:dyDescent="0.35">
      <c r="A827" s="75">
        <v>823</v>
      </c>
      <c r="B827" s="75">
        <v>824</v>
      </c>
      <c r="C827">
        <v>146.06484119999999</v>
      </c>
      <c r="D827">
        <v>-17.538281720000001</v>
      </c>
      <c r="G827" s="75">
        <v>100</v>
      </c>
      <c r="H827" s="75" t="s">
        <v>26</v>
      </c>
      <c r="I827" t="str">
        <f t="shared" si="12"/>
        <v>X</v>
      </c>
      <c r="J827" s="76"/>
      <c r="K827" s="77"/>
      <c r="L827" s="77"/>
      <c r="M827" s="77"/>
      <c r="N827" s="77"/>
      <c r="O827" s="78"/>
      <c r="P827" s="78"/>
      <c r="Q827" s="78"/>
      <c r="R827" s="78"/>
      <c r="V827" s="79"/>
      <c r="W827" s="78"/>
    </row>
    <row r="828" spans="1:23" s="75" customFormat="1" hidden="1" x14ac:dyDescent="0.35">
      <c r="A828" s="75">
        <v>824</v>
      </c>
      <c r="B828" s="75">
        <v>825</v>
      </c>
      <c r="C828">
        <v>146.06474710000001</v>
      </c>
      <c r="D828">
        <v>-17.538288399999999</v>
      </c>
      <c r="E828" s="75">
        <v>50</v>
      </c>
      <c r="G828" s="75">
        <v>100</v>
      </c>
      <c r="H828" s="75" t="s">
        <v>26</v>
      </c>
      <c r="I828" t="str">
        <f t="shared" si="12"/>
        <v>X</v>
      </c>
      <c r="J828" s="76"/>
      <c r="K828" s="77"/>
      <c r="L828" s="77"/>
      <c r="M828" s="77"/>
      <c r="N828" s="77"/>
      <c r="O828" s="78"/>
      <c r="P828" s="78"/>
      <c r="Q828" s="78"/>
      <c r="R828" s="78"/>
      <c r="V828" s="79"/>
      <c r="W828" s="78"/>
    </row>
    <row r="829" spans="1:23" s="75" customFormat="1" hidden="1" x14ac:dyDescent="0.35">
      <c r="A829" s="75">
        <v>825</v>
      </c>
      <c r="B829" s="75">
        <v>826</v>
      </c>
      <c r="C829">
        <v>146.06465309999999</v>
      </c>
      <c r="D829">
        <v>-17.538296169999999</v>
      </c>
      <c r="G829" s="75">
        <v>100</v>
      </c>
      <c r="H829" s="75" t="s">
        <v>26</v>
      </c>
      <c r="I829" t="str">
        <f t="shared" si="12"/>
        <v>X</v>
      </c>
      <c r="J829" s="76"/>
      <c r="K829" s="77"/>
      <c r="L829" s="77"/>
      <c r="M829" s="77"/>
      <c r="N829" s="77"/>
      <c r="O829" s="78"/>
      <c r="P829" s="78"/>
      <c r="Q829" s="78"/>
      <c r="R829" s="78"/>
      <c r="V829" s="79"/>
      <c r="W829" s="78"/>
    </row>
    <row r="830" spans="1:23" s="75" customFormat="1" hidden="1" x14ac:dyDescent="0.35">
      <c r="A830" s="75">
        <v>826</v>
      </c>
      <c r="B830" s="75">
        <v>827</v>
      </c>
      <c r="C830">
        <v>146.06455940000001</v>
      </c>
      <c r="D830">
        <v>-17.538306850000001</v>
      </c>
      <c r="G830" s="75">
        <v>100</v>
      </c>
      <c r="H830" s="75" t="s">
        <v>26</v>
      </c>
      <c r="I830" t="str">
        <f t="shared" si="12"/>
        <v>X</v>
      </c>
      <c r="J830" s="76"/>
      <c r="K830" s="77"/>
      <c r="L830" s="77"/>
      <c r="M830" s="77"/>
      <c r="N830" s="77"/>
      <c r="O830" s="78"/>
      <c r="P830" s="78"/>
      <c r="Q830" s="78"/>
      <c r="R830" s="78"/>
      <c r="V830" s="79"/>
      <c r="W830" s="78"/>
    </row>
    <row r="831" spans="1:23" s="75" customFormat="1" hidden="1" x14ac:dyDescent="0.35">
      <c r="A831" s="75">
        <v>827</v>
      </c>
      <c r="B831" s="75">
        <v>828</v>
      </c>
      <c r="C831">
        <v>146.0644661</v>
      </c>
      <c r="D831">
        <v>-17.538319909999998</v>
      </c>
      <c r="G831" s="75">
        <v>100</v>
      </c>
      <c r="H831" s="75" t="s">
        <v>26</v>
      </c>
      <c r="I831" t="str">
        <f t="shared" si="12"/>
        <v>X</v>
      </c>
      <c r="J831" s="76"/>
      <c r="K831" s="77"/>
      <c r="L831" s="77"/>
      <c r="M831" s="77"/>
      <c r="N831" s="77"/>
      <c r="O831" s="78"/>
      <c r="P831" s="78"/>
      <c r="Q831" s="78"/>
      <c r="R831" s="78"/>
      <c r="V831" s="79"/>
      <c r="W831" s="78"/>
    </row>
    <row r="832" spans="1:23" s="75" customFormat="1" hidden="1" x14ac:dyDescent="0.35">
      <c r="A832" s="75">
        <v>828</v>
      </c>
      <c r="B832" s="75">
        <v>829</v>
      </c>
      <c r="C832">
        <v>146.06437389999999</v>
      </c>
      <c r="D832">
        <v>-17.538339669999999</v>
      </c>
      <c r="G832" s="75">
        <v>100</v>
      </c>
      <c r="H832" s="75" t="s">
        <v>26</v>
      </c>
      <c r="I832" t="str">
        <f t="shared" si="12"/>
        <v>X</v>
      </c>
      <c r="J832" s="76"/>
      <c r="K832" s="77"/>
      <c r="L832" s="77"/>
      <c r="M832" s="77"/>
      <c r="N832" s="77"/>
      <c r="O832" s="78"/>
      <c r="P832" s="78"/>
      <c r="Q832" s="78"/>
      <c r="R832" s="78"/>
      <c r="V832" s="79"/>
      <c r="W832" s="78"/>
    </row>
    <row r="833" spans="1:23" s="75" customFormat="1" hidden="1" x14ac:dyDescent="0.35">
      <c r="A833" s="75">
        <v>829</v>
      </c>
      <c r="B833" s="75">
        <v>830</v>
      </c>
      <c r="C833">
        <v>146.06428170000001</v>
      </c>
      <c r="D833">
        <v>-17.538359329999999</v>
      </c>
      <c r="E833" s="75">
        <v>50</v>
      </c>
      <c r="G833" s="75">
        <v>100</v>
      </c>
      <c r="H833" s="75" t="s">
        <v>26</v>
      </c>
      <c r="I833" t="str">
        <f t="shared" si="12"/>
        <v>X</v>
      </c>
      <c r="J833" s="76"/>
      <c r="K833" s="77"/>
      <c r="L833" s="77"/>
      <c r="M833" s="77"/>
      <c r="N833" s="77"/>
      <c r="O833" s="78"/>
      <c r="P833" s="78"/>
      <c r="Q833" s="78"/>
      <c r="R833" s="78"/>
      <c r="V833" s="79"/>
      <c r="W833" s="78"/>
    </row>
    <row r="834" spans="1:23" s="75" customFormat="1" hidden="1" x14ac:dyDescent="0.35">
      <c r="A834" s="75">
        <v>830</v>
      </c>
      <c r="B834" s="75">
        <v>831</v>
      </c>
      <c r="C834">
        <v>146.0641894</v>
      </c>
      <c r="D834">
        <v>-17.538378550000001</v>
      </c>
      <c r="G834" s="75">
        <v>100</v>
      </c>
      <c r="H834" s="75" t="s">
        <v>26</v>
      </c>
      <c r="I834" t="str">
        <f t="shared" si="12"/>
        <v>X</v>
      </c>
      <c r="J834" s="76"/>
      <c r="K834" s="77"/>
      <c r="L834" s="77"/>
      <c r="M834" s="77"/>
      <c r="N834" s="77"/>
      <c r="O834" s="78"/>
      <c r="P834" s="78"/>
      <c r="Q834" s="78"/>
      <c r="R834" s="78"/>
      <c r="V834" s="79"/>
      <c r="W834" s="78"/>
    </row>
    <row r="835" spans="1:23" s="75" customFormat="1" hidden="1" x14ac:dyDescent="0.35">
      <c r="A835" s="75">
        <v>831</v>
      </c>
      <c r="B835" s="75">
        <v>832</v>
      </c>
      <c r="C835">
        <v>146.064097</v>
      </c>
      <c r="D835">
        <v>-17.53839778</v>
      </c>
      <c r="G835" s="75">
        <v>100</v>
      </c>
      <c r="H835" s="75" t="s">
        <v>26</v>
      </c>
      <c r="I835" t="str">
        <f t="shared" si="12"/>
        <v>X</v>
      </c>
      <c r="J835" s="76"/>
      <c r="K835" s="77"/>
      <c r="L835" s="77"/>
      <c r="M835" s="77"/>
      <c r="N835" s="77"/>
      <c r="O835" s="78"/>
      <c r="P835" s="78"/>
      <c r="Q835" s="78"/>
      <c r="R835" s="78"/>
      <c r="V835" s="79"/>
      <c r="W835" s="78"/>
    </row>
    <row r="836" spans="1:23" s="75" customFormat="1" hidden="1" x14ac:dyDescent="0.35">
      <c r="A836" s="75">
        <v>832</v>
      </c>
      <c r="B836" s="75">
        <v>833</v>
      </c>
      <c r="C836">
        <v>146.06400379999999</v>
      </c>
      <c r="D836">
        <v>-17.538405969999999</v>
      </c>
      <c r="G836" s="75">
        <v>100</v>
      </c>
      <c r="H836" s="75" t="s">
        <v>26</v>
      </c>
      <c r="I836" t="str">
        <f t="shared" si="12"/>
        <v>X</v>
      </c>
      <c r="J836" s="76"/>
      <c r="K836" s="77"/>
      <c r="L836" s="77"/>
      <c r="M836" s="77"/>
      <c r="N836" s="77"/>
      <c r="O836" s="78"/>
      <c r="P836" s="78"/>
      <c r="Q836" s="78"/>
      <c r="R836" s="78"/>
      <c r="V836" s="79"/>
      <c r="W836" s="78"/>
    </row>
    <row r="837" spans="1:23" s="75" customFormat="1" hidden="1" x14ac:dyDescent="0.35">
      <c r="A837" s="75">
        <v>833</v>
      </c>
      <c r="B837" s="75">
        <v>834</v>
      </c>
      <c r="C837">
        <v>146.06390959999999</v>
      </c>
      <c r="D837">
        <v>-17.538402059999999</v>
      </c>
      <c r="G837" s="75">
        <v>100</v>
      </c>
      <c r="H837" s="75" t="s">
        <v>26</v>
      </c>
      <c r="I837" t="str">
        <f t="shared" ref="I837:I900" si="13">IF(H837="X","X",IF(J837="NA","X",IF(J837="","X",J837)))</f>
        <v>X</v>
      </c>
      <c r="J837" s="76"/>
      <c r="K837" s="77"/>
      <c r="L837" s="77"/>
      <c r="M837" s="77"/>
      <c r="N837" s="77"/>
      <c r="O837" s="78"/>
      <c r="P837" s="78"/>
      <c r="Q837" s="78"/>
      <c r="R837" s="78"/>
      <c r="V837" s="79"/>
      <c r="W837" s="78"/>
    </row>
    <row r="838" spans="1:23" s="75" customFormat="1" hidden="1" x14ac:dyDescent="0.35">
      <c r="A838" s="75">
        <v>834</v>
      </c>
      <c r="B838" s="75">
        <v>835</v>
      </c>
      <c r="C838">
        <v>146.06381540000001</v>
      </c>
      <c r="D838">
        <v>-17.53839799</v>
      </c>
      <c r="E838" s="75">
        <v>50</v>
      </c>
      <c r="G838" s="75">
        <v>100</v>
      </c>
      <c r="H838" s="75" t="s">
        <v>26</v>
      </c>
      <c r="I838" t="str">
        <f t="shared" si="13"/>
        <v>X</v>
      </c>
      <c r="J838" s="76"/>
      <c r="K838" s="77"/>
      <c r="L838" s="77"/>
      <c r="M838" s="77"/>
      <c r="N838" s="77"/>
      <c r="O838" s="78"/>
      <c r="P838" s="78"/>
      <c r="Q838" s="78"/>
      <c r="R838" s="78"/>
      <c r="V838" s="79"/>
      <c r="W838" s="78"/>
    </row>
    <row r="839" spans="1:23" s="75" customFormat="1" hidden="1" x14ac:dyDescent="0.35">
      <c r="A839" s="75">
        <v>835</v>
      </c>
      <c r="B839" s="75">
        <v>836</v>
      </c>
      <c r="C839">
        <v>146.06372139999999</v>
      </c>
      <c r="D839">
        <v>-17.538391359999999</v>
      </c>
      <c r="G839" s="75">
        <v>100</v>
      </c>
      <c r="H839" s="75" t="s">
        <v>26</v>
      </c>
      <c r="I839" t="str">
        <f t="shared" si="13"/>
        <v>X</v>
      </c>
      <c r="J839" s="76"/>
      <c r="K839" s="77"/>
      <c r="L839" s="77"/>
      <c r="M839" s="77"/>
      <c r="N839" s="77"/>
      <c r="O839" s="78"/>
      <c r="P839" s="78"/>
      <c r="Q839" s="78"/>
      <c r="R839" s="78"/>
      <c r="V839" s="79"/>
      <c r="W839" s="78"/>
    </row>
    <row r="840" spans="1:23" s="75" customFormat="1" hidden="1" x14ac:dyDescent="0.35">
      <c r="A840" s="75">
        <v>836</v>
      </c>
      <c r="B840" s="75">
        <v>837</v>
      </c>
      <c r="C840">
        <v>146.0636279</v>
      </c>
      <c r="D840">
        <v>-17.53837875</v>
      </c>
      <c r="G840" s="75">
        <v>100</v>
      </c>
      <c r="H840" s="75" t="s">
        <v>26</v>
      </c>
      <c r="I840" t="str">
        <f t="shared" si="13"/>
        <v>X</v>
      </c>
      <c r="J840" s="76"/>
      <c r="K840" s="77"/>
      <c r="L840" s="77"/>
      <c r="M840" s="77"/>
      <c r="N840" s="77"/>
      <c r="O840" s="78"/>
      <c r="P840" s="78"/>
      <c r="Q840" s="78"/>
      <c r="R840" s="78"/>
      <c r="V840" s="79"/>
      <c r="W840" s="78"/>
    </row>
    <row r="841" spans="1:23" s="75" customFormat="1" hidden="1" x14ac:dyDescent="0.35">
      <c r="A841" s="75">
        <v>837</v>
      </c>
      <c r="B841" s="75">
        <v>838</v>
      </c>
      <c r="C841">
        <v>146.0635345</v>
      </c>
      <c r="D841">
        <v>-17.538366140000001</v>
      </c>
      <c r="G841" s="75">
        <v>100</v>
      </c>
      <c r="H841" s="75" t="s">
        <v>26</v>
      </c>
      <c r="I841" t="str">
        <f t="shared" si="13"/>
        <v>X</v>
      </c>
      <c r="J841" s="76"/>
      <c r="K841" s="77"/>
      <c r="L841" s="77"/>
      <c r="M841" s="77"/>
      <c r="N841" s="77"/>
      <c r="O841" s="78"/>
      <c r="P841" s="78"/>
      <c r="Q841" s="78"/>
      <c r="R841" s="78"/>
      <c r="V841" s="79"/>
      <c r="W841" s="78"/>
    </row>
    <row r="842" spans="1:23" s="75" customFormat="1" hidden="1" x14ac:dyDescent="0.35">
      <c r="A842" s="75">
        <v>838</v>
      </c>
      <c r="B842" s="75">
        <v>839</v>
      </c>
      <c r="C842">
        <v>146.06344100000001</v>
      </c>
      <c r="D842">
        <v>-17.538353539999999</v>
      </c>
      <c r="G842" s="75">
        <v>100</v>
      </c>
      <c r="H842" s="75" t="s">
        <v>26</v>
      </c>
      <c r="I842" t="str">
        <f t="shared" si="13"/>
        <v>X</v>
      </c>
      <c r="J842" s="76"/>
      <c r="K842" s="77"/>
      <c r="L842" s="77"/>
      <c r="M842" s="77"/>
      <c r="N842" s="77"/>
      <c r="O842" s="78"/>
      <c r="P842" s="78"/>
      <c r="Q842" s="78"/>
      <c r="R842" s="78"/>
      <c r="V842" s="79"/>
      <c r="W842" s="78"/>
    </row>
    <row r="843" spans="1:23" s="75" customFormat="1" hidden="1" x14ac:dyDescent="0.35">
      <c r="A843" s="75">
        <v>839</v>
      </c>
      <c r="B843" s="75">
        <v>840</v>
      </c>
      <c r="C843">
        <v>146.06334770000001</v>
      </c>
      <c r="D843">
        <v>-17.538339700000002</v>
      </c>
      <c r="E843" s="75">
        <v>50</v>
      </c>
      <c r="G843" s="75">
        <v>100</v>
      </c>
      <c r="H843" s="75" t="s">
        <v>26</v>
      </c>
      <c r="I843" t="str">
        <f t="shared" si="13"/>
        <v>X</v>
      </c>
      <c r="J843" s="76"/>
      <c r="K843" s="77"/>
      <c r="L843" s="77"/>
      <c r="M843" s="77"/>
      <c r="N843" s="77"/>
      <c r="O843" s="78"/>
      <c r="P843" s="78"/>
      <c r="Q843" s="78"/>
      <c r="R843" s="78"/>
      <c r="V843" s="79"/>
      <c r="W843" s="78"/>
    </row>
    <row r="844" spans="1:23" s="75" customFormat="1" hidden="1" x14ac:dyDescent="0.35">
      <c r="A844" s="75">
        <v>840</v>
      </c>
      <c r="B844" s="75">
        <v>841</v>
      </c>
      <c r="C844">
        <v>146.0632545</v>
      </c>
      <c r="D844">
        <v>-17.538325619999998</v>
      </c>
      <c r="G844" s="75">
        <v>100</v>
      </c>
      <c r="H844" s="75" t="s">
        <v>26</v>
      </c>
      <c r="I844" t="str">
        <f t="shared" si="13"/>
        <v>X</v>
      </c>
      <c r="J844" s="76"/>
      <c r="K844" s="77"/>
      <c r="L844" s="77"/>
      <c r="M844" s="77"/>
      <c r="N844" s="77"/>
      <c r="O844" s="78"/>
      <c r="P844" s="78"/>
      <c r="Q844" s="78"/>
      <c r="R844" s="78"/>
      <c r="V844" s="79"/>
      <c r="W844" s="78"/>
    </row>
    <row r="845" spans="1:23" s="75" customFormat="1" hidden="1" x14ac:dyDescent="0.35">
      <c r="A845" s="75">
        <v>841</v>
      </c>
      <c r="B845" s="75">
        <v>842</v>
      </c>
      <c r="C845">
        <v>146.0631612</v>
      </c>
      <c r="D845">
        <v>-17.538311530000001</v>
      </c>
      <c r="G845" s="75">
        <v>100</v>
      </c>
      <c r="H845" s="75" t="s">
        <v>26</v>
      </c>
      <c r="I845" t="str">
        <f t="shared" si="13"/>
        <v>X</v>
      </c>
      <c r="J845" s="76"/>
      <c r="K845" s="77"/>
      <c r="L845" s="77"/>
      <c r="M845" s="77"/>
      <c r="N845" s="77"/>
      <c r="O845" s="78"/>
      <c r="P845" s="78"/>
      <c r="Q845" s="78"/>
      <c r="R845" s="78"/>
      <c r="V845" s="79"/>
      <c r="W845" s="78"/>
    </row>
    <row r="846" spans="1:23" s="75" customFormat="1" hidden="1" x14ac:dyDescent="0.35">
      <c r="A846" s="75">
        <v>842</v>
      </c>
      <c r="B846" s="75">
        <v>843</v>
      </c>
      <c r="C846">
        <v>146.06306799999999</v>
      </c>
      <c r="D846">
        <v>-17.538297450000002</v>
      </c>
      <c r="G846" s="75">
        <v>100</v>
      </c>
      <c r="H846" s="75" t="s">
        <v>26</v>
      </c>
      <c r="I846" t="str">
        <f t="shared" si="13"/>
        <v>X</v>
      </c>
      <c r="J846" s="76"/>
      <c r="K846" s="77"/>
      <c r="L846" s="77"/>
      <c r="M846" s="77"/>
      <c r="N846" s="77"/>
      <c r="O846" s="78"/>
      <c r="P846" s="78"/>
      <c r="Q846" s="78"/>
      <c r="R846" s="78"/>
      <c r="V846" s="79"/>
      <c r="W846" s="78"/>
    </row>
    <row r="847" spans="1:23" s="75" customFormat="1" hidden="1" x14ac:dyDescent="0.35">
      <c r="A847" s="75">
        <v>843</v>
      </c>
      <c r="B847" s="75">
        <v>844</v>
      </c>
      <c r="C847">
        <v>146.06297470000001</v>
      </c>
      <c r="D847">
        <v>-17.538283369999998</v>
      </c>
      <c r="G847" s="75">
        <v>100</v>
      </c>
      <c r="H847" s="75" t="s">
        <v>26</v>
      </c>
      <c r="I847" t="str">
        <f t="shared" si="13"/>
        <v>X</v>
      </c>
      <c r="J847" s="76"/>
      <c r="K847" s="77"/>
      <c r="L847" s="77"/>
      <c r="M847" s="77"/>
      <c r="N847" s="77"/>
      <c r="O847" s="78"/>
      <c r="P847" s="78"/>
      <c r="Q847" s="78"/>
      <c r="R847" s="78"/>
      <c r="V847" s="79"/>
      <c r="W847" s="78"/>
    </row>
    <row r="848" spans="1:23" s="75" customFormat="1" hidden="1" x14ac:dyDescent="0.35">
      <c r="A848" s="75">
        <v>844</v>
      </c>
      <c r="B848" s="75">
        <v>845</v>
      </c>
      <c r="C848">
        <v>146.0628815</v>
      </c>
      <c r="D848">
        <v>-17.538269289999999</v>
      </c>
      <c r="E848" s="75">
        <v>50</v>
      </c>
      <c r="G848" s="75">
        <v>100</v>
      </c>
      <c r="H848" s="75" t="s">
        <v>26</v>
      </c>
      <c r="I848" t="str">
        <f t="shared" si="13"/>
        <v>X</v>
      </c>
      <c r="J848" s="76"/>
      <c r="K848" s="77"/>
      <c r="L848" s="77"/>
      <c r="M848" s="77"/>
      <c r="N848" s="77"/>
      <c r="O848" s="78"/>
      <c r="P848" s="78"/>
      <c r="Q848" s="78"/>
      <c r="R848" s="78"/>
      <c r="V848" s="79"/>
      <c r="W848" s="78"/>
    </row>
    <row r="849" spans="1:23" s="75" customFormat="1" hidden="1" x14ac:dyDescent="0.35">
      <c r="A849" s="75">
        <v>845</v>
      </c>
      <c r="B849" s="75">
        <v>846</v>
      </c>
      <c r="C849">
        <v>146.06278810000001</v>
      </c>
      <c r="D849">
        <v>-17.538256430000001</v>
      </c>
      <c r="G849" s="75">
        <v>100</v>
      </c>
      <c r="H849" s="75" t="s">
        <v>26</v>
      </c>
      <c r="I849" t="str">
        <f t="shared" si="13"/>
        <v>X</v>
      </c>
      <c r="J849" s="76"/>
      <c r="K849" s="77"/>
      <c r="L849" s="77"/>
      <c r="M849" s="77"/>
      <c r="N849" s="77"/>
      <c r="O849" s="78"/>
      <c r="P849" s="78"/>
      <c r="Q849" s="78"/>
      <c r="R849" s="78"/>
      <c r="V849" s="79"/>
      <c r="W849" s="78"/>
    </row>
    <row r="850" spans="1:23" s="75" customFormat="1" hidden="1" x14ac:dyDescent="0.35">
      <c r="A850" s="75">
        <v>846</v>
      </c>
      <c r="B850" s="75">
        <v>847</v>
      </c>
      <c r="C850">
        <v>146.06269449999999</v>
      </c>
      <c r="D850">
        <v>-17.538244500000001</v>
      </c>
      <c r="G850" s="75">
        <v>100</v>
      </c>
      <c r="H850" s="75" t="s">
        <v>26</v>
      </c>
      <c r="I850" t="str">
        <f t="shared" si="13"/>
        <v>X</v>
      </c>
      <c r="J850" s="76"/>
      <c r="K850" s="77"/>
      <c r="L850" s="77"/>
      <c r="M850" s="77"/>
      <c r="N850" s="77"/>
      <c r="O850" s="78"/>
      <c r="P850" s="78"/>
      <c r="Q850" s="78"/>
      <c r="R850" s="78"/>
      <c r="V850" s="79"/>
      <c r="W850" s="78"/>
    </row>
    <row r="851" spans="1:23" s="75" customFormat="1" hidden="1" x14ac:dyDescent="0.35">
      <c r="A851" s="75">
        <v>847</v>
      </c>
      <c r="B851" s="75">
        <v>848</v>
      </c>
      <c r="C851">
        <v>146.062601</v>
      </c>
      <c r="D851">
        <v>-17.538232570000002</v>
      </c>
      <c r="G851" s="75">
        <v>100</v>
      </c>
      <c r="H851" s="75" t="s">
        <v>26</v>
      </c>
      <c r="I851" t="str">
        <f t="shared" si="13"/>
        <v>X</v>
      </c>
      <c r="J851" s="76"/>
      <c r="K851" s="77"/>
      <c r="L851" s="77"/>
      <c r="M851" s="77"/>
      <c r="N851" s="77"/>
      <c r="O851" s="78"/>
      <c r="P851" s="78"/>
      <c r="Q851" s="78"/>
      <c r="R851" s="78"/>
      <c r="V851" s="79"/>
      <c r="W851" s="78"/>
    </row>
    <row r="852" spans="1:23" s="75" customFormat="1" hidden="1" x14ac:dyDescent="0.35">
      <c r="A852" s="75">
        <v>848</v>
      </c>
      <c r="B852" s="75">
        <v>849</v>
      </c>
      <c r="C852">
        <v>146.06250739999999</v>
      </c>
      <c r="D852">
        <v>-17.538220639999999</v>
      </c>
      <c r="G852" s="75">
        <v>100</v>
      </c>
      <c r="H852" s="75" t="s">
        <v>26</v>
      </c>
      <c r="I852" t="str">
        <f t="shared" si="13"/>
        <v>X</v>
      </c>
      <c r="J852" s="76"/>
      <c r="K852" s="77"/>
      <c r="L852" s="77"/>
      <c r="M852" s="77"/>
      <c r="N852" s="77"/>
      <c r="O852" s="78"/>
      <c r="P852" s="78"/>
      <c r="Q852" s="78"/>
      <c r="R852" s="78"/>
      <c r="V852" s="79"/>
      <c r="W852" s="78"/>
    </row>
    <row r="853" spans="1:23" s="75" customFormat="1" hidden="1" x14ac:dyDescent="0.35">
      <c r="A853" s="75">
        <v>849</v>
      </c>
      <c r="B853" s="75">
        <v>850</v>
      </c>
      <c r="C853">
        <v>146.0624139</v>
      </c>
      <c r="D853">
        <v>-17.538208709999999</v>
      </c>
      <c r="E853" s="75">
        <v>50</v>
      </c>
      <c r="G853" s="75">
        <v>100</v>
      </c>
      <c r="H853" s="75" t="s">
        <v>26</v>
      </c>
      <c r="I853" t="str">
        <f t="shared" si="13"/>
        <v>X</v>
      </c>
      <c r="J853" s="76"/>
      <c r="K853" s="77"/>
      <c r="L853" s="77"/>
      <c r="M853" s="77"/>
      <c r="N853" s="77"/>
      <c r="O853" s="78"/>
      <c r="P853" s="78"/>
      <c r="Q853" s="78"/>
      <c r="R853" s="78"/>
      <c r="V853" s="79"/>
      <c r="W853" s="78"/>
    </row>
    <row r="854" spans="1:23" s="75" customFormat="1" hidden="1" x14ac:dyDescent="0.35">
      <c r="A854" s="75">
        <v>850</v>
      </c>
      <c r="B854" s="75">
        <v>851</v>
      </c>
      <c r="C854">
        <v>146.06232120000001</v>
      </c>
      <c r="D854">
        <v>-17.538192030000001</v>
      </c>
      <c r="G854" s="75">
        <v>100</v>
      </c>
      <c r="H854" s="75" t="s">
        <v>26</v>
      </c>
      <c r="I854" t="str">
        <f t="shared" si="13"/>
        <v>X</v>
      </c>
      <c r="J854" s="76"/>
      <c r="K854" s="77"/>
      <c r="L854" s="77"/>
      <c r="M854" s="77"/>
      <c r="N854" s="77"/>
      <c r="O854" s="78"/>
      <c r="P854" s="78"/>
      <c r="Q854" s="78"/>
      <c r="R854" s="78"/>
      <c r="V854" s="79"/>
      <c r="W854" s="78"/>
    </row>
    <row r="855" spans="1:23" s="75" customFormat="1" hidden="1" x14ac:dyDescent="0.35">
      <c r="A855" s="75">
        <v>851</v>
      </c>
      <c r="B855" s="75">
        <v>852</v>
      </c>
      <c r="C855">
        <v>146.06222959999999</v>
      </c>
      <c r="D855">
        <v>-17.5381696</v>
      </c>
      <c r="G855" s="75">
        <v>100</v>
      </c>
      <c r="H855" s="75" t="s">
        <v>26</v>
      </c>
      <c r="I855" t="str">
        <f t="shared" si="13"/>
        <v>X</v>
      </c>
      <c r="J855" s="76"/>
      <c r="K855" s="77"/>
      <c r="L855" s="77"/>
      <c r="M855" s="77"/>
      <c r="N855" s="77"/>
      <c r="O855" s="78"/>
      <c r="P855" s="78"/>
      <c r="Q855" s="78"/>
      <c r="R855" s="78"/>
      <c r="V855" s="79"/>
      <c r="W855" s="78"/>
    </row>
    <row r="856" spans="1:23" s="75" customFormat="1" hidden="1" x14ac:dyDescent="0.35">
      <c r="A856" s="75">
        <v>852</v>
      </c>
      <c r="B856" s="75">
        <v>853</v>
      </c>
      <c r="C856">
        <v>146.062138</v>
      </c>
      <c r="D856">
        <v>-17.538147169999998</v>
      </c>
      <c r="G856" s="75">
        <v>100</v>
      </c>
      <c r="H856" s="75" t="s">
        <v>26</v>
      </c>
      <c r="I856" t="str">
        <f t="shared" si="13"/>
        <v>X</v>
      </c>
      <c r="J856" s="76"/>
      <c r="K856" s="77"/>
      <c r="L856" s="77"/>
      <c r="M856" s="77"/>
      <c r="N856" s="77"/>
      <c r="O856" s="78"/>
      <c r="P856" s="78"/>
      <c r="Q856" s="78"/>
      <c r="R856" s="78"/>
      <c r="V856" s="79"/>
      <c r="W856" s="78"/>
    </row>
    <row r="857" spans="1:23" s="75" customFormat="1" hidden="1" x14ac:dyDescent="0.35">
      <c r="A857" s="75">
        <v>853</v>
      </c>
      <c r="B857" s="75">
        <v>854</v>
      </c>
      <c r="C857">
        <v>146.06204640000001</v>
      </c>
      <c r="D857">
        <v>-17.538124740000001</v>
      </c>
      <c r="G857" s="75">
        <v>100</v>
      </c>
      <c r="H857" s="75" t="s">
        <v>26</v>
      </c>
      <c r="I857" t="str">
        <f t="shared" si="13"/>
        <v>X</v>
      </c>
      <c r="J857" s="76"/>
      <c r="K857" s="77"/>
      <c r="L857" s="77"/>
      <c r="M857" s="77"/>
      <c r="N857" s="77"/>
      <c r="O857" s="78"/>
      <c r="P857" s="78"/>
      <c r="Q857" s="78"/>
      <c r="R857" s="78"/>
      <c r="V857" s="79"/>
      <c r="W857" s="78"/>
    </row>
    <row r="858" spans="1:23" s="75" customFormat="1" hidden="1" x14ac:dyDescent="0.35">
      <c r="A858" s="75">
        <v>854</v>
      </c>
      <c r="B858" s="75">
        <v>855</v>
      </c>
      <c r="C858">
        <v>146.0619548</v>
      </c>
      <c r="D858">
        <v>-17.538102309999999</v>
      </c>
      <c r="E858" s="75">
        <v>50</v>
      </c>
      <c r="G858" s="75">
        <v>100</v>
      </c>
      <c r="H858" s="75" t="s">
        <v>26</v>
      </c>
      <c r="I858" t="str">
        <f t="shared" si="13"/>
        <v>X</v>
      </c>
      <c r="J858" s="76"/>
      <c r="K858" s="77"/>
      <c r="L858" s="77"/>
      <c r="M858" s="77"/>
      <c r="N858" s="77"/>
      <c r="O858" s="78"/>
      <c r="P858" s="78"/>
      <c r="Q858" s="78"/>
      <c r="R858" s="78"/>
      <c r="V858" s="79"/>
      <c r="W858" s="78"/>
    </row>
    <row r="859" spans="1:23" s="75" customFormat="1" hidden="1" x14ac:dyDescent="0.35">
      <c r="A859" s="75">
        <v>855</v>
      </c>
      <c r="B859" s="75">
        <v>856</v>
      </c>
      <c r="C859">
        <v>146.06186890000001</v>
      </c>
      <c r="D859">
        <v>-17.53806415</v>
      </c>
      <c r="G859" s="75">
        <v>100</v>
      </c>
      <c r="H859" s="75" t="s">
        <v>26</v>
      </c>
      <c r="I859" t="str">
        <f t="shared" si="13"/>
        <v>X</v>
      </c>
      <c r="J859" s="76"/>
      <c r="K859" s="77"/>
      <c r="L859" s="77"/>
      <c r="M859" s="77"/>
      <c r="N859" s="77"/>
      <c r="O859" s="78"/>
      <c r="P859" s="78"/>
      <c r="Q859" s="78"/>
      <c r="R859" s="78"/>
      <c r="V859" s="79"/>
      <c r="W859" s="78"/>
    </row>
    <row r="860" spans="1:23" s="75" customFormat="1" hidden="1" x14ac:dyDescent="0.35">
      <c r="A860" s="75">
        <v>856</v>
      </c>
      <c r="B860" s="75">
        <v>857</v>
      </c>
      <c r="C860">
        <v>146.06178410000001</v>
      </c>
      <c r="D860">
        <v>-17.538022959999999</v>
      </c>
      <c r="G860" s="75">
        <v>100</v>
      </c>
      <c r="H860" s="75" t="s">
        <v>26</v>
      </c>
      <c r="I860" t="str">
        <f t="shared" si="13"/>
        <v>X</v>
      </c>
      <c r="J860" s="76"/>
      <c r="K860" s="77"/>
      <c r="L860" s="77"/>
      <c r="M860" s="77"/>
      <c r="N860" s="77"/>
      <c r="O860" s="78"/>
      <c r="P860" s="78"/>
      <c r="Q860" s="78"/>
      <c r="R860" s="78"/>
      <c r="V860" s="79"/>
      <c r="W860" s="78"/>
    </row>
    <row r="861" spans="1:23" s="75" customFormat="1" hidden="1" x14ac:dyDescent="0.35">
      <c r="A861" s="75">
        <v>857</v>
      </c>
      <c r="B861" s="75">
        <v>858</v>
      </c>
      <c r="C861">
        <v>146.06169929999999</v>
      </c>
      <c r="D861">
        <v>-17.537981760000001</v>
      </c>
      <c r="G861" s="75">
        <v>100</v>
      </c>
      <c r="H861" s="75" t="s">
        <v>26</v>
      </c>
      <c r="I861" t="str">
        <f t="shared" si="13"/>
        <v>X</v>
      </c>
      <c r="J861" s="76"/>
      <c r="K861" s="77"/>
      <c r="L861" s="77"/>
      <c r="M861" s="77"/>
      <c r="N861" s="77"/>
      <c r="O861" s="78"/>
      <c r="P861" s="78"/>
      <c r="Q861" s="78"/>
      <c r="R861" s="78"/>
      <c r="V861" s="79"/>
      <c r="W861" s="78"/>
    </row>
    <row r="862" spans="1:23" s="75" customFormat="1" hidden="1" x14ac:dyDescent="0.35">
      <c r="A862" s="75">
        <v>858</v>
      </c>
      <c r="B862" s="75">
        <v>859</v>
      </c>
      <c r="C862">
        <v>146.0616144</v>
      </c>
      <c r="D862">
        <v>-17.53794057</v>
      </c>
      <c r="G862" s="75">
        <v>100</v>
      </c>
      <c r="H862" s="75" t="s">
        <v>26</v>
      </c>
      <c r="I862" t="str">
        <f t="shared" si="13"/>
        <v>X</v>
      </c>
      <c r="J862" s="76"/>
      <c r="K862" s="77"/>
      <c r="L862" s="77"/>
      <c r="M862" s="77"/>
      <c r="N862" s="77"/>
      <c r="O862" s="78"/>
      <c r="P862" s="78"/>
      <c r="Q862" s="78"/>
      <c r="R862" s="78"/>
      <c r="V862" s="79"/>
      <c r="W862" s="78"/>
    </row>
    <row r="863" spans="1:23" s="75" customFormat="1" hidden="1" x14ac:dyDescent="0.35">
      <c r="A863" s="75">
        <v>859</v>
      </c>
      <c r="B863" s="75">
        <v>860</v>
      </c>
      <c r="C863">
        <v>146.0615387</v>
      </c>
      <c r="D863">
        <v>-17.537885630000002</v>
      </c>
      <c r="E863" s="75">
        <v>50</v>
      </c>
      <c r="G863" s="75">
        <v>100</v>
      </c>
      <c r="H863" s="75" t="s">
        <v>26</v>
      </c>
      <c r="I863" t="str">
        <f t="shared" si="13"/>
        <v>X</v>
      </c>
      <c r="J863" s="76"/>
      <c r="K863" s="77"/>
      <c r="L863" s="77"/>
      <c r="M863" s="77"/>
      <c r="N863" s="77"/>
      <c r="O863" s="78"/>
      <c r="P863" s="78"/>
      <c r="Q863" s="78"/>
      <c r="R863" s="78"/>
      <c r="V863" s="79"/>
      <c r="W863" s="78"/>
    </row>
    <row r="864" spans="1:23" s="75" customFormat="1" hidden="1" x14ac:dyDescent="0.35">
      <c r="A864" s="75">
        <v>860</v>
      </c>
      <c r="B864" s="75">
        <v>861</v>
      </c>
      <c r="C864">
        <v>146.06146810000001</v>
      </c>
      <c r="D864">
        <v>-17.53782322</v>
      </c>
      <c r="G864" s="75">
        <v>100</v>
      </c>
      <c r="H864" s="75" t="s">
        <v>26</v>
      </c>
      <c r="I864" t="str">
        <f t="shared" si="13"/>
        <v>X</v>
      </c>
      <c r="J864" s="76"/>
      <c r="K864" s="77"/>
      <c r="L864" s="77"/>
      <c r="M864" s="77"/>
      <c r="N864" s="77"/>
      <c r="O864" s="78"/>
      <c r="P864" s="78"/>
      <c r="Q864" s="78"/>
      <c r="R864" s="78"/>
      <c r="V864" s="79"/>
      <c r="W864" s="78"/>
    </row>
    <row r="865" spans="1:23" s="75" customFormat="1" hidden="1" x14ac:dyDescent="0.35">
      <c r="A865" s="75">
        <v>861</v>
      </c>
      <c r="B865" s="75">
        <v>862</v>
      </c>
      <c r="C865">
        <v>146.0613974</v>
      </c>
      <c r="D865">
        <v>-17.537760810000002</v>
      </c>
      <c r="G865" s="75">
        <v>100</v>
      </c>
      <c r="H865" s="75" t="s">
        <v>26</v>
      </c>
      <c r="I865" t="str">
        <f t="shared" si="13"/>
        <v>X</v>
      </c>
      <c r="J865" s="76"/>
      <c r="K865" s="77"/>
      <c r="L865" s="77"/>
      <c r="M865" s="77"/>
      <c r="N865" s="77"/>
      <c r="O865" s="78"/>
      <c r="P865" s="78"/>
      <c r="Q865" s="78"/>
      <c r="R865" s="78"/>
      <c r="V865" s="79"/>
      <c r="W865" s="78"/>
    </row>
    <row r="866" spans="1:23" s="75" customFormat="1" hidden="1" x14ac:dyDescent="0.35">
      <c r="A866" s="75">
        <v>862</v>
      </c>
      <c r="B866" s="75">
        <v>863</v>
      </c>
      <c r="C866">
        <v>146.0613309</v>
      </c>
      <c r="D866">
        <v>-17.537695429999999</v>
      </c>
      <c r="G866" s="75">
        <v>100</v>
      </c>
      <c r="H866" s="75" t="s">
        <v>26</v>
      </c>
      <c r="I866" t="str">
        <f t="shared" si="13"/>
        <v>X</v>
      </c>
      <c r="J866" s="76"/>
      <c r="K866" s="77"/>
      <c r="L866" s="77"/>
      <c r="M866" s="77"/>
      <c r="N866" s="77"/>
      <c r="O866" s="78"/>
      <c r="P866" s="78"/>
      <c r="Q866" s="78"/>
      <c r="R866" s="78"/>
      <c r="V866" s="79"/>
      <c r="W866" s="78"/>
    </row>
    <row r="867" spans="1:23" s="75" customFormat="1" hidden="1" x14ac:dyDescent="0.35">
      <c r="A867" s="75">
        <v>863</v>
      </c>
      <c r="B867" s="75">
        <v>864</v>
      </c>
      <c r="C867">
        <v>146.06129530000001</v>
      </c>
      <c r="D867">
        <v>-17.537608070000001</v>
      </c>
      <c r="G867" s="75">
        <v>100</v>
      </c>
      <c r="H867" s="75" t="s">
        <v>26</v>
      </c>
      <c r="I867" t="str">
        <f t="shared" si="13"/>
        <v>X</v>
      </c>
      <c r="J867" s="76"/>
      <c r="K867" s="77"/>
      <c r="L867" s="77"/>
      <c r="M867" s="77"/>
      <c r="N867" s="77"/>
      <c r="O867" s="78"/>
      <c r="P867" s="78"/>
      <c r="Q867" s="78"/>
      <c r="R867" s="78"/>
      <c r="V867" s="79"/>
      <c r="W867" s="78"/>
    </row>
    <row r="868" spans="1:23" s="75" customFormat="1" hidden="1" x14ac:dyDescent="0.35">
      <c r="A868" s="75">
        <v>864</v>
      </c>
      <c r="B868" s="75">
        <v>865</v>
      </c>
      <c r="C868">
        <v>146.06125979999999</v>
      </c>
      <c r="D868">
        <v>-17.537520709999999</v>
      </c>
      <c r="E868" s="75">
        <v>50</v>
      </c>
      <c r="G868" s="75">
        <v>100</v>
      </c>
      <c r="H868" s="75" t="s">
        <v>26</v>
      </c>
      <c r="I868" t="str">
        <f t="shared" si="13"/>
        <v>X</v>
      </c>
      <c r="J868" s="76"/>
      <c r="K868" s="77"/>
      <c r="L868" s="77"/>
      <c r="M868" s="77"/>
      <c r="N868" s="77"/>
      <c r="O868" s="78"/>
      <c r="P868" s="78"/>
      <c r="Q868" s="78"/>
      <c r="R868" s="78"/>
      <c r="V868" s="79"/>
      <c r="W868" s="78"/>
    </row>
    <row r="869" spans="1:23" s="75" customFormat="1" hidden="1" x14ac:dyDescent="0.35">
      <c r="A869" s="75">
        <v>865</v>
      </c>
      <c r="B869" s="75">
        <v>866</v>
      </c>
      <c r="C869">
        <v>146.0612285</v>
      </c>
      <c r="D869">
        <v>-17.537432240000001</v>
      </c>
      <c r="G869" s="75">
        <v>100</v>
      </c>
      <c r="H869" s="75" t="s">
        <v>26</v>
      </c>
      <c r="I869" t="str">
        <f t="shared" si="13"/>
        <v>X</v>
      </c>
      <c r="J869" s="76"/>
      <c r="K869" s="77"/>
      <c r="L869" s="77"/>
      <c r="M869" s="77"/>
      <c r="N869" s="77"/>
      <c r="O869" s="78"/>
      <c r="P869" s="78"/>
      <c r="Q869" s="78"/>
      <c r="R869" s="78"/>
      <c r="V869" s="79"/>
      <c r="W869" s="78"/>
    </row>
    <row r="870" spans="1:23" s="75" customFormat="1" hidden="1" x14ac:dyDescent="0.35">
      <c r="A870" s="75">
        <v>866</v>
      </c>
      <c r="B870" s="75">
        <v>867</v>
      </c>
      <c r="C870">
        <v>146.061217</v>
      </c>
      <c r="D870">
        <v>-17.53733866</v>
      </c>
      <c r="G870" s="75">
        <v>100</v>
      </c>
      <c r="H870" s="75" t="s">
        <v>26</v>
      </c>
      <c r="I870" t="str">
        <f t="shared" si="13"/>
        <v>X</v>
      </c>
      <c r="J870" s="76"/>
      <c r="K870" s="77"/>
      <c r="L870" s="77"/>
      <c r="M870" s="77"/>
      <c r="N870" s="77"/>
      <c r="O870" s="78"/>
      <c r="P870" s="78"/>
      <c r="Q870" s="78"/>
      <c r="R870" s="78"/>
      <c r="V870" s="79"/>
      <c r="W870" s="78"/>
    </row>
    <row r="871" spans="1:23" s="75" customFormat="1" hidden="1" x14ac:dyDescent="0.35">
      <c r="A871" s="75">
        <v>867</v>
      </c>
      <c r="B871" s="75">
        <v>868</v>
      </c>
      <c r="C871">
        <v>146.06120540000001</v>
      </c>
      <c r="D871">
        <v>-17.537245070000001</v>
      </c>
      <c r="G871" s="75">
        <v>100</v>
      </c>
      <c r="H871" s="75" t="s">
        <v>26</v>
      </c>
      <c r="I871" t="str">
        <f t="shared" si="13"/>
        <v>X</v>
      </c>
      <c r="J871" s="76"/>
      <c r="K871" s="77"/>
      <c r="L871" s="77"/>
      <c r="M871" s="77"/>
      <c r="N871" s="77"/>
      <c r="O871" s="78"/>
      <c r="P871" s="78"/>
      <c r="Q871" s="78"/>
      <c r="R871" s="78"/>
      <c r="V871" s="79"/>
      <c r="W871" s="78"/>
    </row>
    <row r="872" spans="1:23" s="75" customFormat="1" hidden="1" x14ac:dyDescent="0.35">
      <c r="A872" s="75">
        <v>868</v>
      </c>
      <c r="B872" s="75">
        <v>869</v>
      </c>
      <c r="C872">
        <v>146.06119380000001</v>
      </c>
      <c r="D872">
        <v>-17.537151479999999</v>
      </c>
      <c r="G872" s="75">
        <v>100</v>
      </c>
      <c r="H872" s="75" t="s">
        <v>26</v>
      </c>
      <c r="I872" t="str">
        <f t="shared" si="13"/>
        <v>X</v>
      </c>
      <c r="J872" s="76"/>
      <c r="K872" s="77"/>
      <c r="L872" s="77"/>
      <c r="M872" s="77"/>
      <c r="N872" s="77"/>
      <c r="O872" s="78"/>
      <c r="P872" s="78"/>
      <c r="Q872" s="78"/>
      <c r="R872" s="78"/>
      <c r="V872" s="79"/>
      <c r="W872" s="78"/>
    </row>
    <row r="873" spans="1:23" s="75" customFormat="1" hidden="1" x14ac:dyDescent="0.35">
      <c r="A873" s="75">
        <v>869</v>
      </c>
      <c r="B873" s="75">
        <v>870</v>
      </c>
      <c r="C873">
        <v>146.06118219999999</v>
      </c>
      <c r="D873">
        <v>-17.53705789</v>
      </c>
      <c r="E873" s="75">
        <v>50</v>
      </c>
      <c r="G873" s="75">
        <v>100</v>
      </c>
      <c r="H873" s="75" t="s">
        <v>26</v>
      </c>
      <c r="I873" t="str">
        <f t="shared" si="13"/>
        <v>X</v>
      </c>
      <c r="J873" s="76"/>
      <c r="K873" s="77"/>
      <c r="L873" s="77"/>
      <c r="M873" s="77"/>
      <c r="N873" s="77"/>
      <c r="O873" s="78"/>
      <c r="P873" s="78"/>
      <c r="Q873" s="78"/>
      <c r="R873" s="78"/>
      <c r="V873" s="79"/>
      <c r="W873" s="78"/>
    </row>
    <row r="874" spans="1:23" s="75" customFormat="1" hidden="1" x14ac:dyDescent="0.35">
      <c r="A874" s="75">
        <v>870</v>
      </c>
      <c r="B874" s="75">
        <v>871</v>
      </c>
      <c r="C874">
        <v>146.0611706</v>
      </c>
      <c r="D874">
        <v>-17.536964300000001</v>
      </c>
      <c r="G874" s="75">
        <v>100</v>
      </c>
      <c r="H874" s="75" t="s">
        <v>26</v>
      </c>
      <c r="I874" t="str">
        <f t="shared" si="13"/>
        <v>X</v>
      </c>
      <c r="J874" s="76"/>
      <c r="K874" s="77"/>
      <c r="L874" s="77"/>
      <c r="M874" s="77"/>
      <c r="N874" s="77"/>
      <c r="O874" s="78"/>
      <c r="P874" s="78"/>
      <c r="Q874" s="78"/>
      <c r="R874" s="78"/>
      <c r="V874" s="79"/>
      <c r="W874" s="78"/>
    </row>
    <row r="875" spans="1:23" s="75" customFormat="1" hidden="1" x14ac:dyDescent="0.35">
      <c r="A875" s="75">
        <v>871</v>
      </c>
      <c r="B875" s="75">
        <v>872</v>
      </c>
      <c r="C875">
        <v>146.06116180000001</v>
      </c>
      <c r="D875">
        <v>-17.5368706</v>
      </c>
      <c r="G875" s="75">
        <v>100</v>
      </c>
      <c r="H875" s="75" t="s">
        <v>26</v>
      </c>
      <c r="I875" t="str">
        <f t="shared" si="13"/>
        <v>X</v>
      </c>
      <c r="J875" s="76"/>
      <c r="K875" s="77"/>
      <c r="L875" s="77"/>
      <c r="M875" s="77"/>
      <c r="N875" s="77"/>
      <c r="O875" s="78"/>
      <c r="P875" s="78"/>
      <c r="Q875" s="78"/>
      <c r="R875" s="78"/>
      <c r="V875" s="79"/>
      <c r="W875" s="78"/>
    </row>
    <row r="876" spans="1:23" s="75" customFormat="1" hidden="1" x14ac:dyDescent="0.35">
      <c r="A876" s="75">
        <v>872</v>
      </c>
      <c r="B876" s="75">
        <v>873</v>
      </c>
      <c r="C876">
        <v>146.06116560000001</v>
      </c>
      <c r="D876">
        <v>-17.536776369999998</v>
      </c>
      <c r="G876" s="75">
        <v>100</v>
      </c>
      <c r="H876" s="75" t="s">
        <v>26</v>
      </c>
      <c r="I876" t="str">
        <f t="shared" si="13"/>
        <v>X</v>
      </c>
      <c r="J876" s="76"/>
      <c r="K876" s="77"/>
      <c r="L876" s="77"/>
      <c r="M876" s="77"/>
      <c r="N876" s="77"/>
      <c r="O876" s="78"/>
      <c r="P876" s="78"/>
      <c r="Q876" s="78"/>
      <c r="R876" s="78"/>
      <c r="V876" s="79"/>
      <c r="W876" s="78"/>
    </row>
    <row r="877" spans="1:23" s="75" customFormat="1" hidden="1" x14ac:dyDescent="0.35">
      <c r="A877" s="75">
        <v>873</v>
      </c>
      <c r="B877" s="75">
        <v>874</v>
      </c>
      <c r="C877">
        <v>146.06116940000001</v>
      </c>
      <c r="D877">
        <v>-17.53668214</v>
      </c>
      <c r="G877" s="75">
        <v>100</v>
      </c>
      <c r="H877" s="75" t="s">
        <v>26</v>
      </c>
      <c r="I877" t="str">
        <f t="shared" si="13"/>
        <v>X</v>
      </c>
      <c r="J877" s="76"/>
      <c r="K877" s="77"/>
      <c r="L877" s="77"/>
      <c r="M877" s="77"/>
      <c r="N877" s="77"/>
      <c r="O877" s="78"/>
      <c r="P877" s="78"/>
      <c r="Q877" s="78"/>
      <c r="R877" s="78"/>
      <c r="V877" s="79"/>
      <c r="W877" s="78"/>
    </row>
    <row r="878" spans="1:23" s="75" customFormat="1" hidden="1" x14ac:dyDescent="0.35">
      <c r="A878" s="75">
        <v>874</v>
      </c>
      <c r="B878" s="75">
        <v>875</v>
      </c>
      <c r="C878">
        <v>146.06117320000001</v>
      </c>
      <c r="D878">
        <v>-17.536587910000002</v>
      </c>
      <c r="E878" s="75">
        <v>50</v>
      </c>
      <c r="G878" s="75">
        <v>100</v>
      </c>
      <c r="H878" s="75" t="s">
        <v>26</v>
      </c>
      <c r="I878" t="str">
        <f t="shared" si="13"/>
        <v>X</v>
      </c>
      <c r="J878" s="76"/>
      <c r="K878" s="77"/>
      <c r="L878" s="77"/>
      <c r="M878" s="77"/>
      <c r="N878" s="77"/>
      <c r="O878" s="78"/>
      <c r="P878" s="78"/>
      <c r="Q878" s="78"/>
      <c r="R878" s="78"/>
      <c r="V878" s="79"/>
      <c r="W878" s="78"/>
    </row>
    <row r="879" spans="1:23" s="75" customFormat="1" hidden="1" x14ac:dyDescent="0.35">
      <c r="A879" s="75">
        <v>875</v>
      </c>
      <c r="B879" s="75">
        <v>876</v>
      </c>
      <c r="C879">
        <v>146.0611859</v>
      </c>
      <c r="D879">
        <v>-17.536495550000001</v>
      </c>
      <c r="G879" s="75">
        <v>100</v>
      </c>
      <c r="H879" s="75" t="s">
        <v>26</v>
      </c>
      <c r="I879" t="str">
        <f t="shared" si="13"/>
        <v>X</v>
      </c>
      <c r="J879" s="76"/>
      <c r="K879" s="77"/>
      <c r="L879" s="77"/>
      <c r="M879" s="77"/>
      <c r="N879" s="77"/>
      <c r="O879" s="78"/>
      <c r="P879" s="78"/>
      <c r="Q879" s="78"/>
      <c r="R879" s="78"/>
      <c r="V879" s="79"/>
      <c r="W879" s="78"/>
    </row>
    <row r="880" spans="1:23" s="75" customFormat="1" hidden="1" x14ac:dyDescent="0.35">
      <c r="A880" s="75">
        <v>876</v>
      </c>
      <c r="B880" s="75">
        <v>877</v>
      </c>
      <c r="C880">
        <v>146.06122379999999</v>
      </c>
      <c r="D880">
        <v>-17.536409190000001</v>
      </c>
      <c r="G880" s="75">
        <v>100</v>
      </c>
      <c r="H880" s="75" t="s">
        <v>26</v>
      </c>
      <c r="I880" t="str">
        <f t="shared" si="13"/>
        <v>X</v>
      </c>
      <c r="J880" s="76"/>
      <c r="K880" s="77"/>
      <c r="L880" s="77"/>
      <c r="M880" s="77"/>
      <c r="N880" s="77"/>
      <c r="O880" s="78"/>
      <c r="P880" s="78"/>
      <c r="Q880" s="78"/>
      <c r="R880" s="78"/>
      <c r="V880" s="79"/>
      <c r="W880" s="78"/>
    </row>
    <row r="881" spans="1:23" s="75" customFormat="1" hidden="1" x14ac:dyDescent="0.35">
      <c r="A881" s="75">
        <v>877</v>
      </c>
      <c r="B881" s="75">
        <v>878</v>
      </c>
      <c r="C881">
        <v>146.06126169999999</v>
      </c>
      <c r="D881">
        <v>-17.53632288</v>
      </c>
      <c r="G881" s="75">
        <v>100</v>
      </c>
      <c r="H881" s="75" t="s">
        <v>26</v>
      </c>
      <c r="I881" t="str">
        <f t="shared" si="13"/>
        <v>X</v>
      </c>
      <c r="J881" s="76"/>
      <c r="K881" s="77"/>
      <c r="L881" s="77"/>
      <c r="M881" s="77"/>
      <c r="N881" s="77"/>
      <c r="O881" s="78"/>
      <c r="P881" s="78"/>
      <c r="Q881" s="78"/>
      <c r="R881" s="78"/>
      <c r="V881" s="79"/>
      <c r="W881" s="78"/>
    </row>
    <row r="882" spans="1:23" s="75" customFormat="1" hidden="1" x14ac:dyDescent="0.35">
      <c r="A882" s="75">
        <v>878</v>
      </c>
      <c r="B882" s="75">
        <v>879</v>
      </c>
      <c r="C882">
        <v>146.06130870000001</v>
      </c>
      <c r="D882">
        <v>-17.53624117</v>
      </c>
      <c r="G882" s="75">
        <v>100</v>
      </c>
      <c r="H882" s="75" t="s">
        <v>26</v>
      </c>
      <c r="I882" t="str">
        <f t="shared" si="13"/>
        <v>X</v>
      </c>
      <c r="J882" s="76"/>
      <c r="K882" s="77"/>
      <c r="L882" s="77"/>
      <c r="M882" s="77"/>
      <c r="N882" s="77"/>
      <c r="O882" s="78"/>
      <c r="P882" s="78"/>
      <c r="Q882" s="78"/>
      <c r="R882" s="78"/>
      <c r="V882" s="79"/>
      <c r="W882" s="78"/>
    </row>
    <row r="883" spans="1:23" s="75" customFormat="1" hidden="1" x14ac:dyDescent="0.35">
      <c r="A883" s="75">
        <v>879</v>
      </c>
      <c r="B883" s="75">
        <v>880</v>
      </c>
      <c r="C883">
        <v>146.06134449999999</v>
      </c>
      <c r="D883">
        <v>-17.536188859999999</v>
      </c>
      <c r="E883" s="75">
        <v>50</v>
      </c>
      <c r="G883" s="75">
        <v>100</v>
      </c>
      <c r="H883" s="75" t="s">
        <v>26</v>
      </c>
      <c r="I883" t="str">
        <f t="shared" si="13"/>
        <v>X</v>
      </c>
      <c r="J883" s="76"/>
      <c r="K883" s="77"/>
      <c r="L883" s="77"/>
      <c r="M883" s="77"/>
      <c r="N883" s="77"/>
      <c r="O883" s="78"/>
      <c r="P883" s="78"/>
      <c r="Q883" s="78"/>
      <c r="R883" s="78"/>
      <c r="V883" s="79"/>
      <c r="W883" s="78"/>
    </row>
    <row r="884" spans="1:23" s="75" customFormat="1" hidden="1" x14ac:dyDescent="0.35">
      <c r="A884" s="75">
        <v>880</v>
      </c>
      <c r="B884" s="75">
        <v>881</v>
      </c>
      <c r="C884">
        <v>146.0614185</v>
      </c>
      <c r="D884">
        <v>-17.53614353</v>
      </c>
      <c r="G884" s="75">
        <v>100</v>
      </c>
      <c r="H884" s="75" t="s">
        <v>26</v>
      </c>
      <c r="I884" t="str">
        <f t="shared" si="13"/>
        <v>X</v>
      </c>
      <c r="J884" s="76"/>
      <c r="K884" s="77"/>
      <c r="L884" s="77"/>
      <c r="M884" s="77"/>
      <c r="N884" s="77"/>
      <c r="O884" s="78"/>
      <c r="P884" s="78"/>
      <c r="Q884" s="78"/>
      <c r="R884" s="78"/>
      <c r="V884" s="79"/>
      <c r="W884" s="78"/>
    </row>
    <row r="885" spans="1:23" s="75" customFormat="1" hidden="1" x14ac:dyDescent="0.35">
      <c r="A885" s="75">
        <v>881</v>
      </c>
      <c r="B885" s="75">
        <v>882</v>
      </c>
      <c r="C885">
        <v>146.06146319999999</v>
      </c>
      <c r="D885">
        <v>-17.536060519999999</v>
      </c>
      <c r="G885" s="75">
        <v>100</v>
      </c>
      <c r="H885" s="75" t="s">
        <v>26</v>
      </c>
      <c r="I885" t="str">
        <f t="shared" si="13"/>
        <v>X</v>
      </c>
      <c r="J885" s="76"/>
      <c r="K885" s="77"/>
      <c r="L885" s="77"/>
      <c r="M885" s="77"/>
      <c r="N885" s="77"/>
      <c r="O885" s="78"/>
      <c r="P885" s="78"/>
      <c r="Q885" s="78"/>
      <c r="R885" s="78"/>
      <c r="V885" s="79"/>
      <c r="W885" s="78"/>
    </row>
    <row r="886" spans="1:23" s="75" customFormat="1" hidden="1" x14ac:dyDescent="0.35">
      <c r="A886" s="75">
        <v>882</v>
      </c>
      <c r="B886" s="75">
        <v>883</v>
      </c>
      <c r="C886">
        <v>146.0615316</v>
      </c>
      <c r="D886">
        <v>-17.53599565</v>
      </c>
      <c r="G886" s="75">
        <v>100</v>
      </c>
      <c r="H886" s="75" t="s">
        <v>26</v>
      </c>
      <c r="I886" t="str">
        <f t="shared" si="13"/>
        <v>X</v>
      </c>
      <c r="J886" s="76"/>
      <c r="K886" s="77"/>
      <c r="L886" s="77"/>
      <c r="M886" s="77"/>
      <c r="N886" s="77"/>
      <c r="O886" s="78"/>
      <c r="P886" s="78"/>
      <c r="Q886" s="78"/>
      <c r="R886" s="78"/>
      <c r="V886" s="79"/>
      <c r="W886" s="78"/>
    </row>
    <row r="887" spans="1:23" s="75" customFormat="1" hidden="1" x14ac:dyDescent="0.35">
      <c r="A887" s="75">
        <v>883</v>
      </c>
      <c r="B887" s="75">
        <v>884</v>
      </c>
      <c r="C887">
        <v>146.06160009999999</v>
      </c>
      <c r="D887">
        <v>-17.535930780000001</v>
      </c>
      <c r="G887" s="75">
        <v>100</v>
      </c>
      <c r="H887" s="75" t="s">
        <v>26</v>
      </c>
      <c r="I887" t="str">
        <f t="shared" si="13"/>
        <v>X</v>
      </c>
      <c r="J887" s="76"/>
      <c r="K887" s="77"/>
      <c r="L887" s="77"/>
      <c r="M887" s="77"/>
      <c r="N887" s="77"/>
      <c r="O887" s="78"/>
      <c r="P887" s="78"/>
      <c r="Q887" s="78"/>
      <c r="R887" s="78"/>
      <c r="V887" s="79"/>
      <c r="W887" s="78"/>
    </row>
    <row r="888" spans="1:23" s="75" customFormat="1" hidden="1" x14ac:dyDescent="0.35">
      <c r="A888" s="75">
        <v>884</v>
      </c>
      <c r="B888" s="75">
        <v>885</v>
      </c>
      <c r="C888">
        <v>146.0616728</v>
      </c>
      <c r="D888">
        <v>-17.535872569999999</v>
      </c>
      <c r="E888" s="75">
        <v>50</v>
      </c>
      <c r="G888" s="75">
        <v>100</v>
      </c>
      <c r="H888" s="75" t="s">
        <v>26</v>
      </c>
      <c r="I888" t="str">
        <f t="shared" si="13"/>
        <v>X</v>
      </c>
      <c r="J888" s="76"/>
      <c r="K888" s="77"/>
      <c r="L888" s="77"/>
      <c r="M888" s="77"/>
      <c r="N888" s="77"/>
      <c r="O888" s="78"/>
      <c r="P888" s="78"/>
      <c r="Q888" s="78"/>
      <c r="R888" s="78"/>
      <c r="V888" s="79"/>
      <c r="W888" s="78"/>
    </row>
    <row r="889" spans="1:23" s="75" customFormat="1" hidden="1" x14ac:dyDescent="0.35">
      <c r="A889" s="75">
        <v>885</v>
      </c>
      <c r="B889" s="75">
        <v>886</v>
      </c>
      <c r="C889">
        <v>146.06176139999999</v>
      </c>
      <c r="D889">
        <v>-17.535840879999999</v>
      </c>
      <c r="G889" s="75">
        <v>100</v>
      </c>
      <c r="H889" s="75" t="s">
        <v>26</v>
      </c>
      <c r="I889" t="str">
        <f t="shared" si="13"/>
        <v>X</v>
      </c>
      <c r="J889" s="76"/>
      <c r="K889" s="77"/>
      <c r="L889" s="77"/>
      <c r="M889" s="77"/>
      <c r="N889" s="77"/>
      <c r="O889" s="78"/>
      <c r="P889" s="78"/>
      <c r="Q889" s="78"/>
      <c r="R889" s="78"/>
      <c r="V889" s="79"/>
      <c r="W889" s="78"/>
    </row>
    <row r="890" spans="1:23" s="75" customFormat="1" hidden="1" x14ac:dyDescent="0.35">
      <c r="A890" s="75">
        <v>886</v>
      </c>
      <c r="B890" s="75">
        <v>887</v>
      </c>
      <c r="C890">
        <v>146.0618532</v>
      </c>
      <c r="D890">
        <v>-17.535819230000001</v>
      </c>
      <c r="G890" s="75">
        <v>100</v>
      </c>
      <c r="H890" s="75" t="s">
        <v>26</v>
      </c>
      <c r="I890" t="str">
        <f t="shared" si="13"/>
        <v>X</v>
      </c>
      <c r="J890" s="76"/>
      <c r="K890" s="77"/>
      <c r="L890" s="77"/>
      <c r="M890" s="77"/>
      <c r="N890" s="77"/>
      <c r="O890" s="78"/>
      <c r="P890" s="78"/>
      <c r="Q890" s="78"/>
      <c r="R890" s="78"/>
      <c r="V890" s="79"/>
      <c r="W890" s="78"/>
    </row>
    <row r="891" spans="1:23" s="75" customFormat="1" hidden="1" x14ac:dyDescent="0.35">
      <c r="A891" s="75">
        <v>887</v>
      </c>
      <c r="B891" s="75">
        <v>888</v>
      </c>
      <c r="C891">
        <v>146.06194500000001</v>
      </c>
      <c r="D891">
        <v>-17.535797590000001</v>
      </c>
      <c r="G891" s="75">
        <v>100</v>
      </c>
      <c r="H891" s="75" t="s">
        <v>26</v>
      </c>
      <c r="I891" t="str">
        <f t="shared" si="13"/>
        <v>X</v>
      </c>
      <c r="J891" s="76"/>
      <c r="K891" s="77"/>
      <c r="L891" s="77"/>
      <c r="M891" s="77"/>
      <c r="N891" s="77"/>
      <c r="O891" s="78"/>
      <c r="P891" s="78"/>
      <c r="Q891" s="78"/>
      <c r="R891" s="78"/>
      <c r="V891" s="79"/>
      <c r="W891" s="78"/>
    </row>
    <row r="892" spans="1:23" s="75" customFormat="1" hidden="1" x14ac:dyDescent="0.35">
      <c r="A892" s="75">
        <v>888</v>
      </c>
      <c r="B892" s="75">
        <v>889</v>
      </c>
      <c r="C892">
        <v>146.062039</v>
      </c>
      <c r="D892">
        <v>-17.535795619999998</v>
      </c>
      <c r="G892" s="75">
        <v>100</v>
      </c>
      <c r="H892" s="75" t="s">
        <v>26</v>
      </c>
      <c r="I892" t="str">
        <f t="shared" si="13"/>
        <v>X</v>
      </c>
      <c r="J892" s="76"/>
      <c r="K892" s="77"/>
      <c r="L892" s="77"/>
      <c r="M892" s="77"/>
      <c r="N892" s="77"/>
      <c r="O892" s="78"/>
      <c r="P892" s="78"/>
      <c r="Q892" s="78"/>
      <c r="R892" s="78"/>
      <c r="V892" s="79"/>
      <c r="W892" s="78"/>
    </row>
    <row r="893" spans="1:23" s="75" customFormat="1" hidden="1" x14ac:dyDescent="0.35">
      <c r="A893" s="75">
        <v>889</v>
      </c>
      <c r="B893" s="75">
        <v>890</v>
      </c>
      <c r="C893">
        <v>146.0621228</v>
      </c>
      <c r="D893">
        <v>-17.535821869999999</v>
      </c>
      <c r="E893" s="75">
        <v>50</v>
      </c>
      <c r="G893" s="75">
        <v>100</v>
      </c>
      <c r="H893" s="75" t="s">
        <v>26</v>
      </c>
      <c r="I893" t="str">
        <f t="shared" si="13"/>
        <v>X</v>
      </c>
      <c r="J893" s="76"/>
      <c r="K893" s="77"/>
      <c r="L893" s="77"/>
      <c r="M893" s="77"/>
      <c r="N893" s="77"/>
      <c r="O893" s="78"/>
      <c r="P893" s="78"/>
      <c r="Q893" s="78"/>
      <c r="R893" s="78"/>
      <c r="V893" s="79"/>
      <c r="W893" s="78"/>
    </row>
    <row r="894" spans="1:23" s="75" customFormat="1" hidden="1" x14ac:dyDescent="0.35">
      <c r="A894" s="75">
        <v>890</v>
      </c>
      <c r="B894" s="75">
        <v>891</v>
      </c>
      <c r="C894">
        <v>146.06220540000001</v>
      </c>
      <c r="D894">
        <v>-17.535843589999999</v>
      </c>
      <c r="G894" s="75">
        <v>100</v>
      </c>
      <c r="H894" s="75" t="s">
        <v>26</v>
      </c>
      <c r="I894" t="str">
        <f t="shared" si="13"/>
        <v>X</v>
      </c>
      <c r="J894" s="76"/>
      <c r="K894" s="77"/>
      <c r="L894" s="77"/>
      <c r="M894" s="77"/>
      <c r="N894" s="77"/>
      <c r="O894" s="78"/>
      <c r="P894" s="78"/>
      <c r="Q894" s="78"/>
      <c r="R894" s="78"/>
      <c r="V894" s="79"/>
      <c r="W894" s="78"/>
    </row>
    <row r="895" spans="1:23" s="75" customFormat="1" hidden="1" x14ac:dyDescent="0.35">
      <c r="A895" s="75">
        <v>891</v>
      </c>
      <c r="B895" s="75">
        <v>892</v>
      </c>
      <c r="C895">
        <v>146.06229909999999</v>
      </c>
      <c r="D895">
        <v>-17.53583252</v>
      </c>
      <c r="G895" s="75">
        <v>100</v>
      </c>
      <c r="H895" s="75" t="s">
        <v>26</v>
      </c>
      <c r="I895" t="str">
        <f t="shared" si="13"/>
        <v>X</v>
      </c>
      <c r="J895" s="76"/>
      <c r="K895" s="77"/>
      <c r="L895" s="77"/>
      <c r="M895" s="77"/>
      <c r="N895" s="77"/>
      <c r="O895" s="78"/>
      <c r="P895" s="78"/>
      <c r="Q895" s="78"/>
      <c r="R895" s="78"/>
      <c r="V895" s="79"/>
      <c r="W895" s="78"/>
    </row>
    <row r="896" spans="1:23" s="75" customFormat="1" hidden="1" x14ac:dyDescent="0.35">
      <c r="A896" s="75">
        <v>892</v>
      </c>
      <c r="B896" s="75">
        <v>893</v>
      </c>
      <c r="C896">
        <v>146.0623885</v>
      </c>
      <c r="D896">
        <v>-17.535833950000001</v>
      </c>
      <c r="G896" s="75">
        <v>100</v>
      </c>
      <c r="H896" s="75" t="s">
        <v>26</v>
      </c>
      <c r="I896" t="str">
        <f t="shared" si="13"/>
        <v>X</v>
      </c>
      <c r="J896" s="76"/>
      <c r="K896" s="77"/>
      <c r="L896" s="77"/>
      <c r="M896" s="77"/>
      <c r="N896" s="77"/>
      <c r="O896" s="78"/>
      <c r="P896" s="78"/>
      <c r="Q896" s="78"/>
      <c r="R896" s="78"/>
      <c r="V896" s="79"/>
      <c r="W896" s="78"/>
    </row>
    <row r="897" spans="1:23" s="75" customFormat="1" hidden="1" x14ac:dyDescent="0.35">
      <c r="A897" s="75">
        <v>893</v>
      </c>
      <c r="B897" s="75">
        <v>894</v>
      </c>
      <c r="C897">
        <v>146.06245630000001</v>
      </c>
      <c r="D897">
        <v>-17.535899489999998</v>
      </c>
      <c r="G897" s="75">
        <v>100</v>
      </c>
      <c r="H897" s="75" t="s">
        <v>26</v>
      </c>
      <c r="I897" t="str">
        <f t="shared" si="13"/>
        <v>X</v>
      </c>
      <c r="J897" s="76"/>
      <c r="K897" s="77"/>
      <c r="L897" s="77"/>
      <c r="M897" s="77"/>
      <c r="N897" s="77"/>
      <c r="O897" s="78"/>
      <c r="P897" s="78"/>
      <c r="Q897" s="78"/>
      <c r="R897" s="78"/>
      <c r="V897" s="79"/>
      <c r="W897" s="78"/>
    </row>
    <row r="898" spans="1:23" s="75" customFormat="1" hidden="1" x14ac:dyDescent="0.35">
      <c r="A898" s="75">
        <v>894</v>
      </c>
      <c r="B898" s="75">
        <v>895</v>
      </c>
      <c r="C898">
        <v>146.06254709999999</v>
      </c>
      <c r="D898">
        <v>-17.535920900000001</v>
      </c>
      <c r="E898" s="75">
        <v>50</v>
      </c>
      <c r="G898" s="75">
        <v>100</v>
      </c>
      <c r="H898" s="75" t="s">
        <v>26</v>
      </c>
      <c r="I898" t="str">
        <f t="shared" si="13"/>
        <v>X</v>
      </c>
      <c r="J898" s="76"/>
      <c r="K898" s="77"/>
      <c r="L898" s="77"/>
      <c r="M898" s="77"/>
      <c r="N898" s="77"/>
      <c r="O898" s="78"/>
      <c r="P898" s="78"/>
      <c r="Q898" s="78"/>
      <c r="R898" s="78"/>
      <c r="V898" s="79"/>
      <c r="W898" s="78"/>
    </row>
    <row r="899" spans="1:23" s="75" customFormat="1" hidden="1" x14ac:dyDescent="0.35">
      <c r="A899" s="75">
        <v>895</v>
      </c>
      <c r="B899" s="75">
        <v>896</v>
      </c>
      <c r="C899">
        <v>146.0626293</v>
      </c>
      <c r="D899">
        <v>-17.535958560000001</v>
      </c>
      <c r="G899" s="75">
        <v>100</v>
      </c>
      <c r="H899" s="75" t="s">
        <v>26</v>
      </c>
      <c r="I899" t="str">
        <f t="shared" si="13"/>
        <v>X</v>
      </c>
      <c r="J899" s="76"/>
      <c r="K899" s="77"/>
      <c r="L899" s="77"/>
      <c r="M899" s="77"/>
      <c r="N899" s="77"/>
      <c r="O899" s="78"/>
      <c r="P899" s="78"/>
      <c r="Q899" s="78"/>
      <c r="R899" s="78"/>
      <c r="V899" s="79"/>
      <c r="W899" s="78"/>
    </row>
    <row r="900" spans="1:23" s="75" customFormat="1" hidden="1" x14ac:dyDescent="0.35">
      <c r="A900" s="75">
        <v>896</v>
      </c>
      <c r="B900" s="75">
        <v>897</v>
      </c>
      <c r="C900">
        <v>146.06269689999999</v>
      </c>
      <c r="D900">
        <v>-17.53602441</v>
      </c>
      <c r="G900" s="75">
        <v>100</v>
      </c>
      <c r="H900" s="75" t="s">
        <v>26</v>
      </c>
      <c r="I900" t="str">
        <f t="shared" si="13"/>
        <v>X</v>
      </c>
      <c r="J900" s="76"/>
      <c r="K900" s="77"/>
      <c r="L900" s="77"/>
      <c r="M900" s="77"/>
      <c r="N900" s="77"/>
      <c r="O900" s="78"/>
      <c r="P900" s="78"/>
      <c r="Q900" s="78"/>
      <c r="R900" s="78"/>
      <c r="V900" s="79"/>
      <c r="W900" s="78"/>
    </row>
    <row r="901" spans="1:23" s="75" customFormat="1" hidden="1" x14ac:dyDescent="0.35">
      <c r="A901" s="75">
        <v>897</v>
      </c>
      <c r="B901" s="75">
        <v>898</v>
      </c>
      <c r="C901">
        <v>146.06276750000001</v>
      </c>
      <c r="D901">
        <v>-17.536080070000001</v>
      </c>
      <c r="G901" s="75">
        <v>100</v>
      </c>
      <c r="H901" s="75" t="s">
        <v>26</v>
      </c>
      <c r="I901" t="str">
        <f t="shared" ref="I901:I964" si="14">IF(H901="X","X",IF(J901="NA","X",IF(J901="","X",J901)))</f>
        <v>X</v>
      </c>
      <c r="J901" s="76"/>
      <c r="K901" s="77"/>
      <c r="L901" s="77"/>
      <c r="M901" s="77"/>
      <c r="N901" s="77"/>
      <c r="O901" s="78"/>
      <c r="P901" s="78"/>
      <c r="Q901" s="78"/>
      <c r="R901" s="78"/>
      <c r="V901" s="79"/>
      <c r="W901" s="78"/>
    </row>
    <row r="902" spans="1:23" s="75" customFormat="1" hidden="1" x14ac:dyDescent="0.35">
      <c r="A902" s="75">
        <v>898</v>
      </c>
      <c r="B902" s="75">
        <v>899</v>
      </c>
      <c r="C902">
        <v>146.06285109999999</v>
      </c>
      <c r="D902">
        <v>-17.536093579999999</v>
      </c>
      <c r="G902" s="75">
        <v>100</v>
      </c>
      <c r="H902" s="75" t="s">
        <v>26</v>
      </c>
      <c r="I902" t="str">
        <f t="shared" si="14"/>
        <v>X</v>
      </c>
      <c r="J902" s="76"/>
      <c r="K902" s="77"/>
      <c r="L902" s="77"/>
      <c r="M902" s="77"/>
      <c r="N902" s="77"/>
      <c r="O902" s="78"/>
      <c r="P902" s="78"/>
      <c r="Q902" s="78"/>
      <c r="R902" s="78"/>
      <c r="V902" s="79"/>
      <c r="W902" s="78"/>
    </row>
    <row r="903" spans="1:23" s="75" customFormat="1" hidden="1" x14ac:dyDescent="0.35">
      <c r="A903" s="75">
        <v>899</v>
      </c>
      <c r="B903" s="75">
        <v>900</v>
      </c>
      <c r="C903">
        <v>146.06293199999999</v>
      </c>
      <c r="D903">
        <v>-17.53613373</v>
      </c>
      <c r="E903" s="75">
        <v>50</v>
      </c>
      <c r="G903" s="75">
        <v>100</v>
      </c>
      <c r="H903" s="75" t="s">
        <v>26</v>
      </c>
      <c r="I903" t="str">
        <f t="shared" si="14"/>
        <v>X</v>
      </c>
      <c r="J903" s="76"/>
      <c r="K903" s="77"/>
      <c r="L903" s="77"/>
      <c r="M903" s="77"/>
      <c r="N903" s="77"/>
      <c r="O903" s="78"/>
      <c r="P903" s="78"/>
      <c r="Q903" s="78"/>
      <c r="R903" s="78"/>
      <c r="V903" s="79"/>
      <c r="W903" s="78"/>
    </row>
    <row r="904" spans="1:23" s="75" customFormat="1" hidden="1" x14ac:dyDescent="0.35">
      <c r="A904" s="75">
        <v>900</v>
      </c>
      <c r="B904" s="75">
        <v>901</v>
      </c>
      <c r="C904">
        <v>146.0630247</v>
      </c>
      <c r="D904">
        <v>-17.53615121</v>
      </c>
      <c r="G904" s="75">
        <v>100</v>
      </c>
      <c r="H904" s="75" t="s">
        <v>26</v>
      </c>
      <c r="I904" t="str">
        <f t="shared" si="14"/>
        <v>X</v>
      </c>
      <c r="J904" s="76"/>
      <c r="K904" s="77"/>
      <c r="L904" s="77"/>
      <c r="M904" s="77"/>
      <c r="N904" s="77"/>
      <c r="O904" s="78"/>
      <c r="P904" s="78"/>
      <c r="Q904" s="78"/>
      <c r="R904" s="78"/>
      <c r="V904" s="79"/>
      <c r="W904" s="78"/>
    </row>
    <row r="905" spans="1:23" s="75" customFormat="1" hidden="1" x14ac:dyDescent="0.35">
      <c r="A905" s="75">
        <v>901</v>
      </c>
      <c r="B905" s="75">
        <v>902</v>
      </c>
      <c r="C905">
        <v>146.06311729999999</v>
      </c>
      <c r="D905">
        <v>-17.53616869</v>
      </c>
      <c r="G905" s="75">
        <v>100</v>
      </c>
      <c r="H905" s="75" t="s">
        <v>26</v>
      </c>
      <c r="I905" t="str">
        <f t="shared" si="14"/>
        <v>X</v>
      </c>
      <c r="J905" s="76"/>
      <c r="K905" s="77"/>
      <c r="L905" s="77"/>
      <c r="M905" s="77"/>
      <c r="N905" s="77"/>
      <c r="O905" s="78"/>
      <c r="P905" s="78"/>
      <c r="Q905" s="78"/>
      <c r="R905" s="78"/>
      <c r="V905" s="79"/>
      <c r="W905" s="78"/>
    </row>
    <row r="906" spans="1:23" s="75" customFormat="1" hidden="1" x14ac:dyDescent="0.35">
      <c r="A906" s="75">
        <v>902</v>
      </c>
      <c r="B906" s="75">
        <v>903</v>
      </c>
      <c r="C906">
        <v>146.06321019999999</v>
      </c>
      <c r="D906">
        <v>-17.53618449</v>
      </c>
      <c r="G906" s="75">
        <v>100</v>
      </c>
      <c r="H906" s="75" t="s">
        <v>26</v>
      </c>
      <c r="I906" t="str">
        <f t="shared" si="14"/>
        <v>X</v>
      </c>
      <c r="J906" s="76"/>
      <c r="K906" s="77"/>
      <c r="L906" s="77"/>
      <c r="M906" s="77"/>
      <c r="N906" s="77"/>
      <c r="O906" s="78"/>
      <c r="P906" s="78"/>
      <c r="Q906" s="78"/>
      <c r="R906" s="78"/>
      <c r="V906" s="79"/>
      <c r="W906" s="78"/>
    </row>
    <row r="907" spans="1:23" s="75" customFormat="1" hidden="1" x14ac:dyDescent="0.35">
      <c r="A907" s="75">
        <v>903</v>
      </c>
      <c r="B907" s="75">
        <v>904</v>
      </c>
      <c r="C907">
        <v>146.0633042</v>
      </c>
      <c r="D907">
        <v>-17.53619295</v>
      </c>
      <c r="G907" s="75">
        <v>100</v>
      </c>
      <c r="H907" s="75" t="s">
        <v>26</v>
      </c>
      <c r="I907" t="str">
        <f t="shared" si="14"/>
        <v>X</v>
      </c>
      <c r="J907" s="76"/>
      <c r="K907" s="77"/>
      <c r="L907" s="77"/>
      <c r="M907" s="77"/>
      <c r="N907" s="77"/>
      <c r="O907" s="78"/>
      <c r="P907" s="78"/>
      <c r="Q907" s="78"/>
      <c r="R907" s="78"/>
      <c r="V907" s="79"/>
      <c r="W907" s="78"/>
    </row>
    <row r="908" spans="1:23" s="75" customFormat="1" hidden="1" x14ac:dyDescent="0.35">
      <c r="A908" s="75">
        <v>904</v>
      </c>
      <c r="B908" s="75">
        <v>905</v>
      </c>
      <c r="C908">
        <v>146.0633976</v>
      </c>
      <c r="D908">
        <v>-17.53620579</v>
      </c>
      <c r="E908" s="75">
        <v>50</v>
      </c>
      <c r="G908" s="75">
        <v>100</v>
      </c>
      <c r="H908" s="75" t="s">
        <v>26</v>
      </c>
      <c r="I908" t="str">
        <f t="shared" si="14"/>
        <v>X</v>
      </c>
      <c r="J908" s="76"/>
      <c r="K908" s="77"/>
      <c r="L908" s="77"/>
      <c r="M908" s="77"/>
      <c r="N908" s="77"/>
      <c r="O908" s="78"/>
      <c r="P908" s="78"/>
      <c r="Q908" s="78"/>
      <c r="R908" s="78"/>
      <c r="V908" s="79"/>
      <c r="W908" s="78"/>
    </row>
    <row r="909" spans="1:23" s="75" customFormat="1" hidden="1" x14ac:dyDescent="0.35">
      <c r="A909" s="75">
        <v>905</v>
      </c>
      <c r="B909" s="75">
        <v>906</v>
      </c>
      <c r="C909">
        <v>146.06349080000001</v>
      </c>
      <c r="D909">
        <v>-17.536219979999998</v>
      </c>
      <c r="G909" s="75">
        <v>100</v>
      </c>
      <c r="H909" s="75" t="s">
        <v>26</v>
      </c>
      <c r="I909" t="str">
        <f t="shared" si="14"/>
        <v>X</v>
      </c>
      <c r="J909" s="76"/>
      <c r="K909" s="77"/>
      <c r="L909" s="77"/>
      <c r="M909" s="77"/>
      <c r="N909" s="77"/>
      <c r="O909" s="78"/>
      <c r="P909" s="78"/>
      <c r="Q909" s="78"/>
      <c r="R909" s="78"/>
      <c r="V909" s="79"/>
      <c r="W909" s="78"/>
    </row>
    <row r="910" spans="1:23" s="75" customFormat="1" hidden="1" x14ac:dyDescent="0.35">
      <c r="A910" s="75">
        <v>906</v>
      </c>
      <c r="B910" s="75">
        <v>907</v>
      </c>
      <c r="C910">
        <v>146.06358399999999</v>
      </c>
      <c r="D910">
        <v>-17.536234180000001</v>
      </c>
      <c r="G910" s="75">
        <v>100</v>
      </c>
      <c r="H910" s="75" t="s">
        <v>26</v>
      </c>
      <c r="I910" t="str">
        <f t="shared" si="14"/>
        <v>X</v>
      </c>
      <c r="J910" s="76"/>
      <c r="K910" s="77"/>
      <c r="L910" s="77"/>
      <c r="M910" s="77"/>
      <c r="N910" s="77"/>
      <c r="O910" s="78"/>
      <c r="P910" s="78"/>
      <c r="Q910" s="78"/>
      <c r="R910" s="78"/>
      <c r="V910" s="79"/>
      <c r="W910" s="78"/>
    </row>
    <row r="911" spans="1:23" s="75" customFormat="1" hidden="1" x14ac:dyDescent="0.35">
      <c r="A911" s="75">
        <v>907</v>
      </c>
      <c r="B911" s="75">
        <v>908</v>
      </c>
      <c r="C911">
        <v>146.0636772</v>
      </c>
      <c r="D911">
        <v>-17.536248369999999</v>
      </c>
      <c r="G911" s="75">
        <v>100</v>
      </c>
      <c r="H911" s="75" t="s">
        <v>26</v>
      </c>
      <c r="I911" t="str">
        <f t="shared" si="14"/>
        <v>X</v>
      </c>
      <c r="J911" s="76"/>
      <c r="K911" s="77"/>
      <c r="L911" s="77"/>
      <c r="M911" s="77"/>
      <c r="N911" s="77"/>
      <c r="O911" s="78"/>
      <c r="P911" s="78"/>
      <c r="Q911" s="78"/>
      <c r="R911" s="78"/>
      <c r="V911" s="79"/>
      <c r="W911" s="78"/>
    </row>
    <row r="912" spans="1:23" s="75" customFormat="1" hidden="1" x14ac:dyDescent="0.35">
      <c r="A912" s="75">
        <v>908</v>
      </c>
      <c r="B912" s="75">
        <v>909</v>
      </c>
      <c r="C912">
        <v>146.06376990000001</v>
      </c>
      <c r="D912">
        <v>-17.53624383</v>
      </c>
      <c r="G912" s="75">
        <v>100</v>
      </c>
      <c r="H912" s="75" t="s">
        <v>26</v>
      </c>
      <c r="I912" t="str">
        <f t="shared" si="14"/>
        <v>X</v>
      </c>
      <c r="J912" s="76"/>
      <c r="K912" s="77"/>
      <c r="L912" s="77"/>
      <c r="M912" s="77"/>
      <c r="N912" s="77"/>
      <c r="O912" s="78"/>
      <c r="P912" s="78"/>
      <c r="Q912" s="78"/>
      <c r="R912" s="78"/>
      <c r="V912" s="79"/>
      <c r="W912" s="78"/>
    </row>
    <row r="913" spans="1:23" s="75" customFormat="1" hidden="1" x14ac:dyDescent="0.35">
      <c r="A913" s="75">
        <v>909</v>
      </c>
      <c r="B913" s="75">
        <v>910</v>
      </c>
      <c r="C913">
        <v>146.06386209999999</v>
      </c>
      <c r="D913">
        <v>-17.536223849999999</v>
      </c>
      <c r="E913" s="75">
        <v>50</v>
      </c>
      <c r="G913" s="75">
        <v>100</v>
      </c>
      <c r="H913" s="75" t="s">
        <v>26</v>
      </c>
      <c r="I913" t="str">
        <f t="shared" si="14"/>
        <v>X</v>
      </c>
      <c r="J913" s="76"/>
      <c r="K913" s="77"/>
      <c r="L913" s="77"/>
      <c r="M913" s="77"/>
      <c r="N913" s="77"/>
      <c r="O913" s="78"/>
      <c r="P913" s="78"/>
      <c r="Q913" s="78"/>
      <c r="R913" s="78"/>
      <c r="V913" s="79"/>
      <c r="W913" s="78"/>
    </row>
    <row r="914" spans="1:23" s="75" customFormat="1" hidden="1" x14ac:dyDescent="0.35">
      <c r="A914" s="75">
        <v>910</v>
      </c>
      <c r="B914" s="75">
        <v>911</v>
      </c>
      <c r="C914">
        <v>146.063953</v>
      </c>
      <c r="D914">
        <v>-17.536199960000001</v>
      </c>
      <c r="G914" s="75">
        <v>100</v>
      </c>
      <c r="H914" s="75" t="s">
        <v>26</v>
      </c>
      <c r="I914" t="str">
        <f t="shared" si="14"/>
        <v>X</v>
      </c>
      <c r="J914" s="76"/>
      <c r="K914" s="77"/>
      <c r="L914" s="77"/>
      <c r="M914" s="77"/>
      <c r="N914" s="77"/>
      <c r="O914" s="78"/>
      <c r="P914" s="78"/>
      <c r="Q914" s="78"/>
      <c r="R914" s="78"/>
      <c r="V914" s="79"/>
      <c r="W914" s="78"/>
    </row>
    <row r="915" spans="1:23" s="75" customFormat="1" hidden="1" x14ac:dyDescent="0.35">
      <c r="A915" s="75">
        <v>911</v>
      </c>
      <c r="B915" s="75">
        <v>912</v>
      </c>
      <c r="C915">
        <v>146.06404079999999</v>
      </c>
      <c r="D915">
        <v>-17.53616547</v>
      </c>
      <c r="G915" s="75">
        <v>100</v>
      </c>
      <c r="H915" s="75" t="s">
        <v>26</v>
      </c>
      <c r="I915" t="str">
        <f t="shared" si="14"/>
        <v>X</v>
      </c>
      <c r="J915" s="76"/>
      <c r="K915" s="77"/>
      <c r="L915" s="77"/>
      <c r="M915" s="77"/>
      <c r="N915" s="77"/>
      <c r="O915" s="78"/>
      <c r="P915" s="78"/>
      <c r="Q915" s="78"/>
      <c r="R915" s="78"/>
      <c r="V915" s="79"/>
      <c r="W915" s="78"/>
    </row>
    <row r="916" spans="1:23" s="75" customFormat="1" hidden="1" x14ac:dyDescent="0.35">
      <c r="A916" s="75">
        <v>912</v>
      </c>
      <c r="B916" s="75">
        <v>913</v>
      </c>
      <c r="C916">
        <v>146.0641286</v>
      </c>
      <c r="D916">
        <v>-17.536130979999999</v>
      </c>
      <c r="G916" s="75">
        <v>100</v>
      </c>
      <c r="H916" s="75" t="s">
        <v>26</v>
      </c>
      <c r="I916" t="str">
        <f t="shared" si="14"/>
        <v>X</v>
      </c>
      <c r="J916" s="76"/>
      <c r="K916" s="77"/>
      <c r="L916" s="77"/>
      <c r="M916" s="77"/>
      <c r="N916" s="77"/>
      <c r="O916" s="78"/>
      <c r="P916" s="78"/>
      <c r="Q916" s="78"/>
      <c r="R916" s="78"/>
      <c r="V916" s="79"/>
      <c r="W916" s="78"/>
    </row>
    <row r="917" spans="1:23" s="75" customFormat="1" hidden="1" x14ac:dyDescent="0.35">
      <c r="A917" s="75">
        <v>913</v>
      </c>
      <c r="B917" s="75">
        <v>914</v>
      </c>
      <c r="C917">
        <v>146.06421510000001</v>
      </c>
      <c r="D917">
        <v>-17.536094089999999</v>
      </c>
      <c r="G917" s="75">
        <v>100</v>
      </c>
      <c r="H917" s="75" t="s">
        <v>26</v>
      </c>
      <c r="I917" t="str">
        <f t="shared" si="14"/>
        <v>X</v>
      </c>
      <c r="J917" s="76"/>
      <c r="K917" s="77"/>
      <c r="L917" s="77"/>
      <c r="M917" s="77"/>
      <c r="N917" s="77"/>
      <c r="O917" s="78"/>
      <c r="P917" s="78"/>
      <c r="Q917" s="78"/>
      <c r="R917" s="78"/>
      <c r="V917" s="79"/>
      <c r="W917" s="78"/>
    </row>
    <row r="918" spans="1:23" s="75" customFormat="1" hidden="1" x14ac:dyDescent="0.35">
      <c r="A918" s="75">
        <v>914</v>
      </c>
      <c r="B918" s="75">
        <v>915</v>
      </c>
      <c r="C918">
        <v>146.06429249999999</v>
      </c>
      <c r="D918">
        <v>-17.536040199999999</v>
      </c>
      <c r="E918" s="75">
        <v>50</v>
      </c>
      <c r="G918" s="75">
        <v>100</v>
      </c>
      <c r="H918" s="75" t="s">
        <v>26</v>
      </c>
      <c r="I918" t="str">
        <f t="shared" si="14"/>
        <v>X</v>
      </c>
      <c r="J918" s="76"/>
      <c r="K918" s="77"/>
      <c r="L918" s="77"/>
      <c r="M918" s="77"/>
      <c r="N918" s="77"/>
      <c r="O918" s="78"/>
      <c r="P918" s="78"/>
      <c r="Q918" s="78"/>
      <c r="R918" s="78"/>
      <c r="V918" s="79"/>
      <c r="W918" s="78"/>
    </row>
    <row r="919" spans="1:23" s="75" customFormat="1" hidden="1" x14ac:dyDescent="0.35">
      <c r="A919" s="75">
        <v>915</v>
      </c>
      <c r="B919" s="75">
        <v>916</v>
      </c>
      <c r="C919">
        <v>146.06436980000001</v>
      </c>
      <c r="D919">
        <v>-17.535986319999999</v>
      </c>
      <c r="G919" s="75">
        <v>100</v>
      </c>
      <c r="H919" s="75" t="s">
        <v>26</v>
      </c>
      <c r="I919" t="str">
        <f t="shared" si="14"/>
        <v>X</v>
      </c>
      <c r="J919" s="76"/>
      <c r="K919" s="77"/>
      <c r="L919" s="77"/>
      <c r="M919" s="77"/>
      <c r="N919" s="77"/>
      <c r="O919" s="78"/>
      <c r="P919" s="78"/>
      <c r="Q919" s="78"/>
      <c r="R919" s="78"/>
      <c r="V919" s="79"/>
      <c r="W919" s="78"/>
    </row>
    <row r="920" spans="1:23" s="75" customFormat="1" hidden="1" x14ac:dyDescent="0.35">
      <c r="A920" s="75">
        <v>916</v>
      </c>
      <c r="B920" s="75">
        <v>917</v>
      </c>
      <c r="C920">
        <v>146.0643997</v>
      </c>
      <c r="D920">
        <v>-17.535897739999999</v>
      </c>
      <c r="G920" s="75">
        <v>100</v>
      </c>
      <c r="H920" s="75" t="s">
        <v>26</v>
      </c>
      <c r="I920" t="str">
        <f t="shared" si="14"/>
        <v>X</v>
      </c>
      <c r="J920" s="76"/>
      <c r="K920" s="77"/>
      <c r="L920" s="77"/>
      <c r="M920" s="77"/>
      <c r="N920" s="77"/>
      <c r="O920" s="78"/>
      <c r="P920" s="78"/>
      <c r="Q920" s="78"/>
      <c r="R920" s="78"/>
      <c r="V920" s="79"/>
      <c r="W920" s="78"/>
    </row>
    <row r="921" spans="1:23" s="75" customFormat="1" hidden="1" x14ac:dyDescent="0.35">
      <c r="A921" s="75">
        <v>917</v>
      </c>
      <c r="B921" s="75">
        <v>918</v>
      </c>
      <c r="C921">
        <v>146.06442419999999</v>
      </c>
      <c r="D921">
        <v>-17.53580711</v>
      </c>
      <c r="G921" s="75">
        <v>100</v>
      </c>
      <c r="H921" s="75" t="s">
        <v>26</v>
      </c>
      <c r="I921" t="str">
        <f t="shared" si="14"/>
        <v>X</v>
      </c>
      <c r="J921" s="76"/>
      <c r="K921" s="77"/>
      <c r="L921" s="77"/>
      <c r="M921" s="77"/>
      <c r="N921" s="77"/>
      <c r="O921" s="78"/>
      <c r="P921" s="78"/>
      <c r="Q921" s="78"/>
      <c r="R921" s="78"/>
      <c r="V921" s="79"/>
      <c r="W921" s="78"/>
    </row>
    <row r="922" spans="1:23" s="75" customFormat="1" hidden="1" x14ac:dyDescent="0.35">
      <c r="A922" s="75">
        <v>918</v>
      </c>
      <c r="B922" s="75">
        <v>919</v>
      </c>
      <c r="C922">
        <v>146.06442469999999</v>
      </c>
      <c r="D922">
        <v>-17.53571281</v>
      </c>
      <c r="G922" s="75">
        <v>100</v>
      </c>
      <c r="H922" s="75" t="s">
        <v>26</v>
      </c>
      <c r="I922" t="str">
        <f t="shared" si="14"/>
        <v>X</v>
      </c>
      <c r="J922" s="76"/>
      <c r="K922" s="77"/>
      <c r="L922" s="77"/>
      <c r="M922" s="77"/>
      <c r="N922" s="77"/>
      <c r="O922" s="78"/>
      <c r="P922" s="78"/>
      <c r="Q922" s="78"/>
      <c r="R922" s="78"/>
      <c r="V922" s="79"/>
      <c r="W922" s="78"/>
    </row>
    <row r="923" spans="1:23" s="75" customFormat="1" hidden="1" x14ac:dyDescent="0.35">
      <c r="A923" s="75">
        <v>919</v>
      </c>
      <c r="B923" s="75">
        <v>920</v>
      </c>
      <c r="C923">
        <v>146.06441950000001</v>
      </c>
      <c r="D923">
        <v>-17.535619359999998</v>
      </c>
      <c r="E923" s="75">
        <v>50</v>
      </c>
      <c r="G923" s="75">
        <v>100</v>
      </c>
      <c r="H923" s="75" t="s">
        <v>26</v>
      </c>
      <c r="I923" t="str">
        <f t="shared" si="14"/>
        <v>X</v>
      </c>
      <c r="J923" s="76"/>
      <c r="K923" s="77"/>
      <c r="L923" s="77"/>
      <c r="M923" s="77"/>
      <c r="N923" s="77"/>
      <c r="O923" s="78"/>
      <c r="P923" s="78"/>
      <c r="Q923" s="78"/>
      <c r="R923" s="78"/>
      <c r="V923" s="79"/>
      <c r="W923" s="78"/>
    </row>
    <row r="924" spans="1:23" s="75" customFormat="1" hidden="1" x14ac:dyDescent="0.35">
      <c r="A924" s="75">
        <v>920</v>
      </c>
      <c r="B924" s="75">
        <v>921</v>
      </c>
      <c r="C924">
        <v>146.064391</v>
      </c>
      <c r="D924">
        <v>-17.535529449999999</v>
      </c>
      <c r="G924" s="75">
        <v>100</v>
      </c>
      <c r="H924" s="75" t="s">
        <v>26</v>
      </c>
      <c r="I924" t="str">
        <f t="shared" si="14"/>
        <v>X</v>
      </c>
      <c r="J924" s="76"/>
      <c r="K924" s="77"/>
      <c r="L924" s="77"/>
      <c r="M924" s="77"/>
      <c r="N924" s="77"/>
      <c r="O924" s="78"/>
      <c r="P924" s="78"/>
      <c r="Q924" s="78"/>
      <c r="R924" s="78"/>
      <c r="V924" s="79"/>
      <c r="W924" s="78"/>
    </row>
    <row r="925" spans="1:23" s="75" customFormat="1" hidden="1" x14ac:dyDescent="0.35">
      <c r="A925" s="75">
        <v>921</v>
      </c>
      <c r="B925" s="75">
        <v>922</v>
      </c>
      <c r="C925">
        <v>146.06436260000001</v>
      </c>
      <c r="D925">
        <v>-17.535439530000001</v>
      </c>
      <c r="G925" s="75">
        <v>100</v>
      </c>
      <c r="H925" s="75" t="s">
        <v>26</v>
      </c>
      <c r="I925" t="str">
        <f t="shared" si="14"/>
        <v>X</v>
      </c>
      <c r="J925" s="76"/>
      <c r="K925" s="77"/>
      <c r="L925" s="77"/>
      <c r="M925" s="77"/>
      <c r="N925" s="77"/>
      <c r="O925" s="78"/>
      <c r="P925" s="78"/>
      <c r="Q925" s="78"/>
      <c r="R925" s="78"/>
      <c r="V925" s="79"/>
      <c r="W925" s="78"/>
    </row>
    <row r="926" spans="1:23" s="75" customFormat="1" hidden="1" x14ac:dyDescent="0.35">
      <c r="A926" s="75">
        <v>922</v>
      </c>
      <c r="B926" s="75">
        <v>923</v>
      </c>
      <c r="C926">
        <v>146.06433419999999</v>
      </c>
      <c r="D926">
        <v>-17.535349610000001</v>
      </c>
      <c r="G926" s="75">
        <v>100</v>
      </c>
      <c r="H926" s="75" t="s">
        <v>26</v>
      </c>
      <c r="I926" t="str">
        <f t="shared" si="14"/>
        <v>X</v>
      </c>
      <c r="J926" s="76"/>
      <c r="K926" s="77"/>
      <c r="L926" s="77"/>
      <c r="M926" s="77"/>
      <c r="N926" s="77"/>
      <c r="O926" s="78"/>
      <c r="P926" s="78"/>
      <c r="Q926" s="78"/>
      <c r="R926" s="78"/>
      <c r="V926" s="79"/>
      <c r="W926" s="78"/>
    </row>
    <row r="927" spans="1:23" s="75" customFormat="1" hidden="1" x14ac:dyDescent="0.35">
      <c r="A927" s="75">
        <v>923</v>
      </c>
      <c r="B927" s="75">
        <v>924</v>
      </c>
      <c r="C927">
        <v>146.0643058</v>
      </c>
      <c r="D927">
        <v>-17.53525969</v>
      </c>
      <c r="G927" s="75">
        <v>100</v>
      </c>
      <c r="H927" s="75" t="s">
        <v>26</v>
      </c>
      <c r="I927" t="str">
        <f t="shared" si="14"/>
        <v>X</v>
      </c>
      <c r="J927" s="76"/>
      <c r="K927" s="77"/>
      <c r="L927" s="77"/>
      <c r="M927" s="77"/>
      <c r="N927" s="77"/>
      <c r="O927" s="78"/>
      <c r="P927" s="78"/>
      <c r="Q927" s="78"/>
      <c r="R927" s="78"/>
      <c r="V927" s="79"/>
      <c r="W927" s="78"/>
    </row>
    <row r="928" spans="1:23" s="75" customFormat="1" hidden="1" x14ac:dyDescent="0.35">
      <c r="A928" s="75">
        <v>924</v>
      </c>
      <c r="B928" s="75">
        <v>925</v>
      </c>
      <c r="C928">
        <v>146.06427729999999</v>
      </c>
      <c r="D928">
        <v>-17.535169790000001</v>
      </c>
      <c r="E928" s="75">
        <v>50</v>
      </c>
      <c r="G928" s="75">
        <v>100</v>
      </c>
      <c r="H928" s="75" t="s">
        <v>26</v>
      </c>
      <c r="I928" t="str">
        <f t="shared" si="14"/>
        <v>X</v>
      </c>
      <c r="J928" s="76"/>
      <c r="K928" s="77"/>
      <c r="L928" s="77"/>
      <c r="M928" s="77"/>
      <c r="N928" s="77"/>
      <c r="O928" s="78"/>
      <c r="P928" s="78"/>
      <c r="Q928" s="78"/>
      <c r="R928" s="78"/>
      <c r="V928" s="79"/>
      <c r="W928" s="78"/>
    </row>
    <row r="929" spans="1:23" s="75" customFormat="1" hidden="1" x14ac:dyDescent="0.35">
      <c r="A929" s="75">
        <v>925</v>
      </c>
      <c r="B929" s="75">
        <v>926</v>
      </c>
      <c r="C929">
        <v>146.06424870000001</v>
      </c>
      <c r="D929">
        <v>-17.535079929999998</v>
      </c>
      <c r="G929" s="75">
        <v>100</v>
      </c>
      <c r="H929" s="75" t="s">
        <v>26</v>
      </c>
      <c r="I929" t="str">
        <f t="shared" si="14"/>
        <v>X</v>
      </c>
      <c r="J929" s="76"/>
      <c r="K929" s="77"/>
      <c r="L929" s="77"/>
      <c r="M929" s="77"/>
      <c r="N929" s="77"/>
      <c r="O929" s="78"/>
      <c r="P929" s="78"/>
      <c r="Q929" s="78"/>
      <c r="R929" s="78"/>
      <c r="V929" s="79"/>
      <c r="W929" s="78"/>
    </row>
    <row r="930" spans="1:23" s="75" customFormat="1" hidden="1" x14ac:dyDescent="0.35">
      <c r="A930" s="75">
        <v>926</v>
      </c>
      <c r="B930" s="75">
        <v>927</v>
      </c>
      <c r="C930">
        <v>146.0642201</v>
      </c>
      <c r="D930">
        <v>-17.534990069999999</v>
      </c>
      <c r="G930" s="75">
        <v>100</v>
      </c>
      <c r="H930" s="75" t="s">
        <v>26</v>
      </c>
      <c r="I930" t="str">
        <f t="shared" si="14"/>
        <v>X</v>
      </c>
      <c r="J930" s="76"/>
      <c r="K930" s="77"/>
      <c r="L930" s="77"/>
      <c r="M930" s="77"/>
      <c r="N930" s="77"/>
      <c r="O930" s="78"/>
      <c r="P930" s="78"/>
      <c r="Q930" s="78"/>
      <c r="R930" s="78"/>
      <c r="V930" s="79"/>
      <c r="W930" s="78"/>
    </row>
    <row r="931" spans="1:23" s="75" customFormat="1" hidden="1" x14ac:dyDescent="0.35">
      <c r="A931" s="75">
        <v>927</v>
      </c>
      <c r="B931" s="75">
        <v>928</v>
      </c>
      <c r="C931">
        <v>146.06419149999999</v>
      </c>
      <c r="D931">
        <v>-17.534900199999999</v>
      </c>
      <c r="G931" s="75">
        <v>100</v>
      </c>
      <c r="H931" s="75" t="s">
        <v>26</v>
      </c>
      <c r="I931" t="str">
        <f t="shared" si="14"/>
        <v>X</v>
      </c>
      <c r="J931" s="76"/>
      <c r="K931" s="77"/>
      <c r="L931" s="77"/>
      <c r="M931" s="77"/>
      <c r="N931" s="77"/>
      <c r="O931" s="78"/>
      <c r="P931" s="78"/>
      <c r="Q931" s="78"/>
      <c r="R931" s="78"/>
      <c r="V931" s="79"/>
      <c r="W931" s="78"/>
    </row>
    <row r="932" spans="1:23" s="75" customFormat="1" hidden="1" x14ac:dyDescent="0.35">
      <c r="A932" s="75">
        <v>928</v>
      </c>
      <c r="B932" s="75">
        <v>929</v>
      </c>
      <c r="C932">
        <v>146.06416290000001</v>
      </c>
      <c r="D932">
        <v>-17.53481034</v>
      </c>
      <c r="G932" s="75">
        <v>100</v>
      </c>
      <c r="H932" s="75" t="s">
        <v>26</v>
      </c>
      <c r="I932" t="str">
        <f t="shared" si="14"/>
        <v>X</v>
      </c>
      <c r="J932" s="76"/>
      <c r="K932" s="77"/>
      <c r="L932" s="77"/>
      <c r="M932" s="77"/>
      <c r="N932" s="77"/>
      <c r="O932" s="78"/>
      <c r="P932" s="78"/>
      <c r="Q932" s="78"/>
      <c r="R932" s="78"/>
      <c r="V932" s="79"/>
      <c r="W932" s="78"/>
    </row>
    <row r="933" spans="1:23" s="75" customFormat="1" hidden="1" x14ac:dyDescent="0.35">
      <c r="A933" s="75">
        <v>929</v>
      </c>
      <c r="B933" s="75">
        <v>930</v>
      </c>
      <c r="C933">
        <v>146.06413430000001</v>
      </c>
      <c r="D933">
        <v>-17.534720480000001</v>
      </c>
      <c r="E933" s="75">
        <v>50</v>
      </c>
      <c r="G933" s="75">
        <v>100</v>
      </c>
      <c r="H933" s="75" t="s">
        <v>26</v>
      </c>
      <c r="I933" t="str">
        <f t="shared" si="14"/>
        <v>X</v>
      </c>
      <c r="J933" s="76"/>
      <c r="K933" s="77"/>
      <c r="L933" s="77"/>
      <c r="M933" s="77"/>
      <c r="N933" s="77"/>
      <c r="O933" s="78"/>
      <c r="P933" s="78"/>
      <c r="Q933" s="78"/>
      <c r="R933" s="78"/>
      <c r="V933" s="79"/>
      <c r="W933" s="78"/>
    </row>
    <row r="934" spans="1:23" s="75" customFormat="1" hidden="1" x14ac:dyDescent="0.35">
      <c r="A934" s="75">
        <v>930</v>
      </c>
      <c r="B934" s="75">
        <v>931</v>
      </c>
      <c r="C934">
        <v>146.0641009</v>
      </c>
      <c r="D934">
        <v>-17.534632760000001</v>
      </c>
      <c r="G934" s="75">
        <v>100</v>
      </c>
      <c r="H934" s="75" t="s">
        <v>26</v>
      </c>
      <c r="I934" t="str">
        <f t="shared" si="14"/>
        <v>X</v>
      </c>
      <c r="J934" s="76"/>
      <c r="K934" s="77"/>
      <c r="L934" s="77"/>
      <c r="M934" s="77"/>
      <c r="N934" s="77"/>
      <c r="O934" s="78"/>
      <c r="P934" s="78"/>
      <c r="Q934" s="78"/>
      <c r="R934" s="78"/>
      <c r="V934" s="79"/>
      <c r="W934" s="78"/>
    </row>
    <row r="935" spans="1:23" s="75" customFormat="1" hidden="1" x14ac:dyDescent="0.35">
      <c r="A935" s="75">
        <v>931</v>
      </c>
      <c r="B935" s="75">
        <v>932</v>
      </c>
      <c r="C935">
        <v>146.06405280000001</v>
      </c>
      <c r="D935">
        <v>-17.53455164</v>
      </c>
      <c r="G935" s="75">
        <v>100</v>
      </c>
      <c r="H935" s="75" t="s">
        <v>26</v>
      </c>
      <c r="I935" t="str">
        <f t="shared" si="14"/>
        <v>X</v>
      </c>
      <c r="J935" s="76"/>
      <c r="K935" s="77"/>
      <c r="L935" s="77"/>
      <c r="M935" s="77"/>
      <c r="N935" s="77"/>
      <c r="O935" s="78"/>
      <c r="P935" s="78"/>
      <c r="Q935" s="78"/>
      <c r="R935" s="78"/>
      <c r="V935" s="79"/>
      <c r="W935" s="78"/>
    </row>
    <row r="936" spans="1:23" s="75" customFormat="1" hidden="1" x14ac:dyDescent="0.35">
      <c r="A936" s="75">
        <v>932</v>
      </c>
      <c r="B936" s="75">
        <v>933</v>
      </c>
      <c r="C936">
        <v>146.0640047</v>
      </c>
      <c r="D936">
        <v>-17.53447053</v>
      </c>
      <c r="G936" s="75">
        <v>100</v>
      </c>
      <c r="H936" s="75" t="s">
        <v>26</v>
      </c>
      <c r="I936" t="str">
        <f t="shared" si="14"/>
        <v>X</v>
      </c>
      <c r="J936" s="76"/>
      <c r="K936" s="77"/>
      <c r="L936" s="77"/>
      <c r="M936" s="77"/>
      <c r="N936" s="77"/>
      <c r="O936" s="78"/>
      <c r="P936" s="78"/>
      <c r="Q936" s="78"/>
      <c r="R936" s="78"/>
      <c r="V936" s="79"/>
      <c r="W936" s="78"/>
    </row>
    <row r="937" spans="1:23" s="75" customFormat="1" hidden="1" x14ac:dyDescent="0.35">
      <c r="A937" s="75">
        <v>933</v>
      </c>
      <c r="B937" s="75">
        <v>934</v>
      </c>
      <c r="C937">
        <v>146.06395660000001</v>
      </c>
      <c r="D937">
        <v>-17.53438942</v>
      </c>
      <c r="G937" s="75">
        <v>100</v>
      </c>
      <c r="H937" s="75" t="s">
        <v>26</v>
      </c>
      <c r="I937" t="str">
        <f t="shared" si="14"/>
        <v>X</v>
      </c>
      <c r="J937" s="76"/>
      <c r="K937" s="77"/>
      <c r="L937" s="77"/>
      <c r="M937" s="77"/>
      <c r="N937" s="77"/>
      <c r="O937" s="78"/>
      <c r="P937" s="78"/>
      <c r="Q937" s="78"/>
      <c r="R937" s="78"/>
      <c r="V937" s="79"/>
      <c r="W937" s="78"/>
    </row>
    <row r="938" spans="1:23" s="75" customFormat="1" hidden="1" x14ac:dyDescent="0.35">
      <c r="A938" s="75">
        <v>934</v>
      </c>
      <c r="B938" s="75">
        <v>935</v>
      </c>
      <c r="C938">
        <v>146.0639085</v>
      </c>
      <c r="D938">
        <v>-17.534308299999999</v>
      </c>
      <c r="E938" s="75">
        <v>50</v>
      </c>
      <c r="G938" s="75">
        <v>100</v>
      </c>
      <c r="H938" s="75" t="s">
        <v>26</v>
      </c>
      <c r="I938" t="str">
        <f t="shared" si="14"/>
        <v>X</v>
      </c>
      <c r="J938" s="76"/>
      <c r="K938" s="77"/>
      <c r="L938" s="77"/>
      <c r="M938" s="77"/>
      <c r="N938" s="77"/>
      <c r="O938" s="78"/>
      <c r="P938" s="78"/>
      <c r="Q938" s="78"/>
      <c r="R938" s="78"/>
      <c r="V938" s="79"/>
      <c r="W938" s="78"/>
    </row>
    <row r="939" spans="1:23" s="75" customFormat="1" hidden="1" x14ac:dyDescent="0.35">
      <c r="A939" s="75">
        <v>935</v>
      </c>
      <c r="B939" s="75">
        <v>936</v>
      </c>
      <c r="C939">
        <v>146.06386040000001</v>
      </c>
      <c r="D939">
        <v>-17.534227189999999</v>
      </c>
      <c r="G939" s="75">
        <v>100</v>
      </c>
      <c r="H939" s="75" t="s">
        <v>26</v>
      </c>
      <c r="I939" t="str">
        <f t="shared" si="14"/>
        <v>X</v>
      </c>
      <c r="J939" s="76"/>
      <c r="K939" s="77"/>
      <c r="L939" s="77"/>
      <c r="M939" s="77"/>
      <c r="N939" s="77"/>
      <c r="O939" s="78"/>
      <c r="P939" s="78"/>
      <c r="Q939" s="78"/>
      <c r="R939" s="78"/>
      <c r="V939" s="79"/>
      <c r="W939" s="78"/>
    </row>
    <row r="940" spans="1:23" s="75" customFormat="1" hidden="1" x14ac:dyDescent="0.35">
      <c r="A940" s="75">
        <v>936</v>
      </c>
      <c r="B940" s="75">
        <v>937</v>
      </c>
      <c r="C940">
        <v>146.0638123</v>
      </c>
      <c r="D940">
        <v>-17.534146079999999</v>
      </c>
      <c r="G940" s="75">
        <v>100</v>
      </c>
      <c r="H940" s="75" t="s">
        <v>26</v>
      </c>
      <c r="I940" t="str">
        <f t="shared" si="14"/>
        <v>X</v>
      </c>
      <c r="J940" s="76"/>
      <c r="K940" s="77"/>
      <c r="L940" s="77"/>
      <c r="M940" s="77"/>
      <c r="N940" s="77"/>
      <c r="O940" s="78"/>
      <c r="P940" s="78"/>
      <c r="Q940" s="78"/>
      <c r="R940" s="78"/>
      <c r="V940" s="79"/>
      <c r="W940" s="78"/>
    </row>
    <row r="941" spans="1:23" s="75" customFormat="1" hidden="1" x14ac:dyDescent="0.35">
      <c r="A941" s="75">
        <v>937</v>
      </c>
      <c r="B941" s="75">
        <v>938</v>
      </c>
      <c r="C941">
        <v>146.06375550000001</v>
      </c>
      <c r="D941">
        <v>-17.534074220000001</v>
      </c>
      <c r="G941" s="75">
        <v>100</v>
      </c>
      <c r="H941" s="75" t="s">
        <v>26</v>
      </c>
      <c r="I941" t="str">
        <f t="shared" si="14"/>
        <v>X</v>
      </c>
      <c r="J941" s="76"/>
      <c r="K941" s="77"/>
      <c r="L941" s="77"/>
      <c r="M941" s="77"/>
      <c r="N941" s="77"/>
      <c r="O941" s="78"/>
      <c r="P941" s="78"/>
      <c r="Q941" s="78"/>
      <c r="R941" s="78"/>
      <c r="V941" s="79"/>
      <c r="W941" s="78"/>
    </row>
    <row r="942" spans="1:23" s="75" customFormat="1" hidden="1" x14ac:dyDescent="0.35">
      <c r="A942" s="75">
        <v>938</v>
      </c>
      <c r="B942" s="75">
        <v>939</v>
      </c>
      <c r="C942">
        <v>146.06367159999999</v>
      </c>
      <c r="D942">
        <v>-17.534031049999999</v>
      </c>
      <c r="G942" s="75">
        <v>100</v>
      </c>
      <c r="H942" s="75" t="s">
        <v>26</v>
      </c>
      <c r="I942" t="str">
        <f t="shared" si="14"/>
        <v>X</v>
      </c>
      <c r="J942" s="76"/>
      <c r="K942" s="77"/>
      <c r="L942" s="77"/>
      <c r="M942" s="77"/>
      <c r="N942" s="77"/>
      <c r="O942" s="78"/>
      <c r="P942" s="78"/>
      <c r="Q942" s="78"/>
      <c r="R942" s="78"/>
      <c r="V942" s="79"/>
      <c r="W942" s="78"/>
    </row>
    <row r="943" spans="1:23" s="75" customFormat="1" hidden="1" x14ac:dyDescent="0.35">
      <c r="A943" s="75">
        <v>939</v>
      </c>
      <c r="B943" s="75">
        <v>940</v>
      </c>
      <c r="C943">
        <v>146.06358779999999</v>
      </c>
      <c r="D943">
        <v>-17.533987889999999</v>
      </c>
      <c r="E943" s="75">
        <v>50</v>
      </c>
      <c r="G943" s="75">
        <v>100</v>
      </c>
      <c r="H943" s="75" t="s">
        <v>26</v>
      </c>
      <c r="I943" t="str">
        <f t="shared" si="14"/>
        <v>X</v>
      </c>
      <c r="J943" s="76"/>
      <c r="K943" s="77"/>
      <c r="L943" s="77"/>
      <c r="M943" s="77"/>
      <c r="N943" s="77"/>
      <c r="O943" s="78"/>
      <c r="P943" s="78"/>
      <c r="Q943" s="78"/>
      <c r="R943" s="78"/>
      <c r="V943" s="79"/>
      <c r="W943" s="78"/>
    </row>
    <row r="944" spans="1:23" s="75" customFormat="1" hidden="1" x14ac:dyDescent="0.35">
      <c r="A944" s="75">
        <v>940</v>
      </c>
      <c r="B944" s="75">
        <v>941</v>
      </c>
      <c r="C944">
        <v>146.06350399999999</v>
      </c>
      <c r="D944">
        <v>-17.533944720000001</v>
      </c>
      <c r="G944" s="75">
        <v>100</v>
      </c>
      <c r="H944" s="75" t="s">
        <v>26</v>
      </c>
      <c r="I944" t="str">
        <f t="shared" si="14"/>
        <v>X</v>
      </c>
      <c r="J944" s="76"/>
      <c r="K944" s="77"/>
      <c r="L944" s="77"/>
      <c r="M944" s="77"/>
      <c r="N944" s="77"/>
      <c r="O944" s="78"/>
      <c r="P944" s="78"/>
      <c r="Q944" s="78"/>
      <c r="R944" s="78"/>
      <c r="V944" s="79"/>
      <c r="W944" s="78"/>
    </row>
    <row r="945" spans="1:23" s="75" customFormat="1" hidden="1" x14ac:dyDescent="0.35">
      <c r="A945" s="75">
        <v>941</v>
      </c>
      <c r="B945" s="75">
        <v>942</v>
      </c>
      <c r="C945">
        <v>146.0634201</v>
      </c>
      <c r="D945">
        <v>-17.53390155</v>
      </c>
      <c r="G945" s="75">
        <v>100</v>
      </c>
      <c r="H945" s="75" t="s">
        <v>26</v>
      </c>
      <c r="I945" t="str">
        <f t="shared" si="14"/>
        <v>X</v>
      </c>
      <c r="J945" s="76"/>
      <c r="K945" s="77"/>
      <c r="L945" s="77"/>
      <c r="M945" s="77"/>
      <c r="N945" s="77"/>
      <c r="O945" s="78"/>
      <c r="P945" s="78"/>
      <c r="Q945" s="78"/>
      <c r="R945" s="78"/>
      <c r="V945" s="79"/>
      <c r="W945" s="78"/>
    </row>
    <row r="946" spans="1:23" s="75" customFormat="1" hidden="1" x14ac:dyDescent="0.35">
      <c r="A946" s="75">
        <v>942</v>
      </c>
      <c r="B946" s="75">
        <v>943</v>
      </c>
      <c r="C946">
        <v>146.063334</v>
      </c>
      <c r="D946">
        <v>-17.533863140000001</v>
      </c>
      <c r="G946" s="75">
        <v>100</v>
      </c>
      <c r="H946" s="75" t="s">
        <v>26</v>
      </c>
      <c r="I946" t="str">
        <f t="shared" si="14"/>
        <v>X</v>
      </c>
      <c r="J946" s="76"/>
      <c r="K946" s="77"/>
      <c r="L946" s="77"/>
      <c r="M946" s="77"/>
      <c r="N946" s="77"/>
      <c r="O946" s="78"/>
      <c r="P946" s="78"/>
      <c r="Q946" s="78"/>
      <c r="R946" s="78"/>
      <c r="V946" s="79"/>
      <c r="W946" s="78"/>
    </row>
    <row r="947" spans="1:23" s="75" customFormat="1" hidden="1" x14ac:dyDescent="0.35">
      <c r="A947" s="75">
        <v>943</v>
      </c>
      <c r="B947" s="75">
        <v>944</v>
      </c>
      <c r="C947">
        <v>146.06324760000001</v>
      </c>
      <c r="D947">
        <v>-17.533825419999999</v>
      </c>
      <c r="G947" s="75">
        <v>100</v>
      </c>
      <c r="H947" s="75" t="s">
        <v>26</v>
      </c>
      <c r="I947" t="str">
        <f t="shared" si="14"/>
        <v>X</v>
      </c>
      <c r="J947" s="76"/>
      <c r="K947" s="77"/>
      <c r="L947" s="77"/>
      <c r="M947" s="77"/>
      <c r="N947" s="77"/>
      <c r="O947" s="78"/>
      <c r="P947" s="78"/>
      <c r="Q947" s="78"/>
      <c r="R947" s="78"/>
      <c r="V947" s="79"/>
      <c r="W947" s="78"/>
    </row>
    <row r="948" spans="1:23" s="75" customFormat="1" hidden="1" x14ac:dyDescent="0.35">
      <c r="A948" s="75">
        <v>944</v>
      </c>
      <c r="B948" s="75">
        <v>945</v>
      </c>
      <c r="C948">
        <v>146.0631612</v>
      </c>
      <c r="D948">
        <v>-17.53378769</v>
      </c>
      <c r="E948" s="75">
        <v>50</v>
      </c>
      <c r="G948" s="75">
        <v>100</v>
      </c>
      <c r="H948" s="75" t="s">
        <v>26</v>
      </c>
      <c r="I948" t="str">
        <f t="shared" si="14"/>
        <v>X</v>
      </c>
      <c r="J948" s="76"/>
      <c r="K948" s="77"/>
      <c r="L948" s="77"/>
      <c r="M948" s="77"/>
      <c r="N948" s="77"/>
      <c r="O948" s="78"/>
      <c r="P948" s="78"/>
      <c r="Q948" s="78"/>
      <c r="R948" s="78"/>
      <c r="V948" s="79"/>
      <c r="W948" s="78"/>
    </row>
    <row r="949" spans="1:23" s="75" customFormat="1" hidden="1" x14ac:dyDescent="0.35">
      <c r="A949" s="75">
        <v>945</v>
      </c>
      <c r="B949" s="75">
        <v>946</v>
      </c>
      <c r="C949">
        <v>146.06307469999999</v>
      </c>
      <c r="D949">
        <v>-17.533749969999999</v>
      </c>
      <c r="G949" s="75">
        <v>100</v>
      </c>
      <c r="H949" s="75" t="s">
        <v>26</v>
      </c>
      <c r="I949" t="str">
        <f t="shared" si="14"/>
        <v>X</v>
      </c>
      <c r="J949" s="76"/>
      <c r="K949" s="77"/>
      <c r="L949" s="77"/>
      <c r="M949" s="77"/>
      <c r="N949" s="77"/>
      <c r="O949" s="78"/>
      <c r="P949" s="78"/>
      <c r="Q949" s="78"/>
      <c r="R949" s="78"/>
      <c r="V949" s="79"/>
      <c r="W949" s="78"/>
    </row>
    <row r="950" spans="1:23" s="75" customFormat="1" hidden="1" x14ac:dyDescent="0.35">
      <c r="A950" s="75">
        <v>946</v>
      </c>
      <c r="B950" s="75">
        <v>947</v>
      </c>
      <c r="C950">
        <v>146.0629883</v>
      </c>
      <c r="D950">
        <v>-17.533712250000001</v>
      </c>
      <c r="G950" s="75">
        <v>100</v>
      </c>
      <c r="H950" s="75" t="s">
        <v>26</v>
      </c>
      <c r="I950" t="str">
        <f t="shared" si="14"/>
        <v>X</v>
      </c>
      <c r="J950" s="76"/>
      <c r="K950" s="77"/>
      <c r="L950" s="77"/>
      <c r="M950" s="77"/>
      <c r="N950" s="77"/>
      <c r="O950" s="78"/>
      <c r="P950" s="78"/>
      <c r="Q950" s="78"/>
      <c r="R950" s="78"/>
      <c r="V950" s="79"/>
      <c r="W950" s="78"/>
    </row>
    <row r="951" spans="1:23" s="75" customFormat="1" hidden="1" x14ac:dyDescent="0.35">
      <c r="A951" s="75">
        <v>947</v>
      </c>
      <c r="B951" s="75">
        <v>948</v>
      </c>
      <c r="C951">
        <v>146.06290190000001</v>
      </c>
      <c r="D951">
        <v>-17.533674529999999</v>
      </c>
      <c r="G951" s="75">
        <v>100</v>
      </c>
      <c r="H951" s="75" t="s">
        <v>26</v>
      </c>
      <c r="I951" t="str">
        <f t="shared" si="14"/>
        <v>X</v>
      </c>
      <c r="J951" s="76"/>
      <c r="K951" s="77"/>
      <c r="L951" s="77"/>
      <c r="M951" s="77"/>
      <c r="N951" s="77"/>
      <c r="O951" s="78"/>
      <c r="P951" s="78"/>
      <c r="Q951" s="78"/>
      <c r="R951" s="78"/>
      <c r="V951" s="79"/>
      <c r="W951" s="78"/>
    </row>
    <row r="952" spans="1:23" s="75" customFormat="1" hidden="1" x14ac:dyDescent="0.35">
      <c r="A952" s="75">
        <v>948</v>
      </c>
      <c r="B952" s="75">
        <v>949</v>
      </c>
      <c r="C952">
        <v>146.06281569999999</v>
      </c>
      <c r="D952">
        <v>-17.53363611</v>
      </c>
      <c r="G952" s="75">
        <v>100</v>
      </c>
      <c r="H952" s="75" t="s">
        <v>26</v>
      </c>
      <c r="I952" t="str">
        <f t="shared" si="14"/>
        <v>X</v>
      </c>
      <c r="J952" s="76"/>
      <c r="K952" s="77"/>
      <c r="L952" s="77"/>
      <c r="M952" s="77"/>
      <c r="N952" s="77"/>
      <c r="O952" s="78"/>
      <c r="P952" s="78"/>
      <c r="Q952" s="78"/>
      <c r="R952" s="78"/>
      <c r="V952" s="79"/>
      <c r="W952" s="78"/>
    </row>
    <row r="953" spans="1:23" s="75" customFormat="1" hidden="1" x14ac:dyDescent="0.35">
      <c r="A953" s="75">
        <v>949</v>
      </c>
      <c r="B953" s="75">
        <v>950</v>
      </c>
      <c r="C953">
        <v>146.06272989999999</v>
      </c>
      <c r="D953">
        <v>-17.533597159999999</v>
      </c>
      <c r="E953" s="75">
        <v>50</v>
      </c>
      <c r="G953" s="75">
        <v>100</v>
      </c>
      <c r="H953" s="75" t="s">
        <v>26</v>
      </c>
      <c r="I953" t="str">
        <f t="shared" si="14"/>
        <v>X</v>
      </c>
      <c r="J953" s="76"/>
      <c r="K953" s="77"/>
      <c r="L953" s="77"/>
      <c r="M953" s="77"/>
      <c r="N953" s="77"/>
      <c r="O953" s="78"/>
      <c r="P953" s="78"/>
      <c r="Q953" s="78"/>
      <c r="R953" s="78"/>
      <c r="V953" s="79"/>
      <c r="W953" s="78"/>
    </row>
    <row r="954" spans="1:23" s="75" customFormat="1" hidden="1" x14ac:dyDescent="0.35">
      <c r="A954" s="75">
        <v>950</v>
      </c>
      <c r="B954" s="75">
        <v>951</v>
      </c>
      <c r="C954">
        <v>146.06264400000001</v>
      </c>
      <c r="D954">
        <v>-17.533558209999999</v>
      </c>
      <c r="G954" s="75">
        <v>100</v>
      </c>
      <c r="H954" s="75" t="s">
        <v>26</v>
      </c>
      <c r="I954" t="str">
        <f t="shared" si="14"/>
        <v>X</v>
      </c>
      <c r="J954" s="76"/>
      <c r="K954" s="77"/>
      <c r="L954" s="77"/>
      <c r="M954" s="77"/>
      <c r="N954" s="77"/>
      <c r="O954" s="78"/>
      <c r="P954" s="78"/>
      <c r="Q954" s="78"/>
      <c r="R954" s="78"/>
      <c r="V954" s="79"/>
      <c r="W954" s="78"/>
    </row>
    <row r="955" spans="1:23" s="75" customFormat="1" hidden="1" x14ac:dyDescent="0.35">
      <c r="A955" s="75">
        <v>951</v>
      </c>
      <c r="B955" s="75">
        <v>952</v>
      </c>
      <c r="C955">
        <v>146.06255809999999</v>
      </c>
      <c r="D955">
        <v>-17.533519269999999</v>
      </c>
      <c r="G955" s="75">
        <v>100</v>
      </c>
      <c r="H955" s="75" t="s">
        <v>26</v>
      </c>
      <c r="I955" t="str">
        <f t="shared" si="14"/>
        <v>X</v>
      </c>
      <c r="J955" s="76"/>
      <c r="K955" s="77"/>
      <c r="L955" s="77"/>
      <c r="M955" s="77"/>
      <c r="N955" s="77"/>
      <c r="O955" s="78"/>
      <c r="P955" s="78"/>
      <c r="Q955" s="78"/>
      <c r="R955" s="78"/>
      <c r="V955" s="79"/>
      <c r="W955" s="78"/>
    </row>
    <row r="956" spans="1:23" s="75" customFormat="1" hidden="1" x14ac:dyDescent="0.35">
      <c r="A956" s="75">
        <v>952</v>
      </c>
      <c r="B956" s="75">
        <v>953</v>
      </c>
      <c r="C956">
        <v>146.06247289999999</v>
      </c>
      <c r="D956">
        <v>-17.533478760000001</v>
      </c>
      <c r="G956" s="75">
        <v>100</v>
      </c>
      <c r="H956" s="75" t="s">
        <v>26</v>
      </c>
      <c r="I956" t="str">
        <f t="shared" si="14"/>
        <v>X</v>
      </c>
      <c r="J956" s="76"/>
      <c r="K956" s="77"/>
      <c r="L956" s="77"/>
      <c r="M956" s="77"/>
      <c r="N956" s="77"/>
      <c r="O956" s="78"/>
      <c r="P956" s="78"/>
      <c r="Q956" s="78"/>
      <c r="R956" s="78"/>
      <c r="V956" s="79"/>
      <c r="W956" s="78"/>
    </row>
    <row r="957" spans="1:23" s="75" customFormat="1" hidden="1" x14ac:dyDescent="0.35">
      <c r="A957" s="75">
        <v>953</v>
      </c>
      <c r="B957" s="75">
        <v>954</v>
      </c>
      <c r="C957">
        <v>146.06238809999999</v>
      </c>
      <c r="D957">
        <v>-17.53343757</v>
      </c>
      <c r="G957" s="75">
        <v>100</v>
      </c>
      <c r="H957" s="75" t="s">
        <v>26</v>
      </c>
      <c r="I957" t="str">
        <f t="shared" si="14"/>
        <v>X</v>
      </c>
      <c r="J957" s="76"/>
      <c r="K957" s="77"/>
      <c r="L957" s="77"/>
      <c r="M957" s="77"/>
      <c r="N957" s="77"/>
      <c r="O957" s="78"/>
      <c r="P957" s="78"/>
      <c r="Q957" s="78"/>
      <c r="R957" s="78"/>
      <c r="V957" s="79"/>
      <c r="W957" s="78"/>
    </row>
    <row r="958" spans="1:23" s="75" customFormat="1" hidden="1" x14ac:dyDescent="0.35">
      <c r="A958" s="75">
        <v>954</v>
      </c>
      <c r="B958" s="75">
        <v>955</v>
      </c>
      <c r="C958">
        <v>146.0623027</v>
      </c>
      <c r="D958">
        <v>-17.533398219999999</v>
      </c>
      <c r="E958" s="75">
        <v>50</v>
      </c>
      <c r="G958" s="75">
        <v>100</v>
      </c>
      <c r="H958" s="75" t="s">
        <v>26</v>
      </c>
      <c r="I958" t="str">
        <f t="shared" si="14"/>
        <v>X</v>
      </c>
      <c r="J958" s="76"/>
      <c r="K958" s="77"/>
      <c r="L958" s="77"/>
      <c r="M958" s="77"/>
      <c r="N958" s="77"/>
      <c r="O958" s="78"/>
      <c r="P958" s="78"/>
      <c r="Q958" s="78"/>
      <c r="R958" s="78"/>
      <c r="V958" s="79"/>
      <c r="W958" s="78"/>
    </row>
    <row r="959" spans="1:23" s="75" customFormat="1" hidden="1" x14ac:dyDescent="0.35">
      <c r="A959" s="75">
        <v>955</v>
      </c>
      <c r="B959" s="75">
        <v>956</v>
      </c>
      <c r="C959">
        <v>146.06220970000001</v>
      </c>
      <c r="D959">
        <v>-17.53338248</v>
      </c>
      <c r="G959" s="75">
        <v>100</v>
      </c>
      <c r="H959" s="75" t="s">
        <v>26</v>
      </c>
      <c r="I959" t="str">
        <f t="shared" si="14"/>
        <v>X</v>
      </c>
      <c r="J959" s="76"/>
      <c r="K959" s="77"/>
      <c r="L959" s="77"/>
      <c r="M959" s="77"/>
      <c r="N959" s="77"/>
      <c r="O959" s="78"/>
      <c r="P959" s="78"/>
      <c r="Q959" s="78"/>
      <c r="R959" s="78"/>
      <c r="V959" s="79"/>
      <c r="W959" s="78"/>
    </row>
    <row r="960" spans="1:23" s="75" customFormat="1" hidden="1" x14ac:dyDescent="0.35">
      <c r="A960" s="75">
        <v>956</v>
      </c>
      <c r="B960" s="75">
        <v>957</v>
      </c>
      <c r="C960">
        <v>146.06211669999999</v>
      </c>
      <c r="D960">
        <v>-17.533366730000001</v>
      </c>
      <c r="G960" s="75">
        <v>100</v>
      </c>
      <c r="H960" s="75" t="s">
        <v>26</v>
      </c>
      <c r="I960" t="str">
        <f t="shared" si="14"/>
        <v>X</v>
      </c>
      <c r="J960" s="76"/>
      <c r="K960" s="77"/>
      <c r="L960" s="77"/>
      <c r="M960" s="77"/>
      <c r="N960" s="77"/>
      <c r="O960" s="78"/>
      <c r="P960" s="78"/>
      <c r="Q960" s="78"/>
      <c r="R960" s="78"/>
      <c r="V960" s="79"/>
      <c r="W960" s="78"/>
    </row>
    <row r="961" spans="1:23" s="75" customFormat="1" hidden="1" x14ac:dyDescent="0.35">
      <c r="A961" s="75">
        <v>957</v>
      </c>
      <c r="B961" s="75">
        <v>958</v>
      </c>
      <c r="C961">
        <v>146.062026</v>
      </c>
      <c r="D961">
        <v>-17.533391730000002</v>
      </c>
      <c r="G961" s="75">
        <v>100</v>
      </c>
      <c r="H961" s="75" t="s">
        <v>26</v>
      </c>
      <c r="I961" t="str">
        <f t="shared" si="14"/>
        <v>X</v>
      </c>
      <c r="J961" s="76"/>
      <c r="K961" s="77"/>
      <c r="L961" s="77"/>
      <c r="M961" s="77"/>
      <c r="N961" s="77"/>
      <c r="O961" s="78"/>
      <c r="P961" s="78"/>
      <c r="Q961" s="78"/>
      <c r="R961" s="78"/>
      <c r="V961" s="79"/>
      <c r="W961" s="78"/>
    </row>
    <row r="962" spans="1:23" s="75" customFormat="1" hidden="1" x14ac:dyDescent="0.35">
      <c r="A962" s="75">
        <v>958</v>
      </c>
      <c r="B962" s="75">
        <v>959</v>
      </c>
      <c r="C962">
        <v>146.06193529999999</v>
      </c>
      <c r="D962">
        <v>-17.533417620000002</v>
      </c>
      <c r="G962" s="75">
        <v>100</v>
      </c>
      <c r="H962" s="75" t="s">
        <v>26</v>
      </c>
      <c r="I962" t="str">
        <f t="shared" si="14"/>
        <v>X</v>
      </c>
      <c r="J962" s="76"/>
      <c r="K962" s="77"/>
      <c r="L962" s="77"/>
      <c r="M962" s="77"/>
      <c r="N962" s="77"/>
      <c r="O962" s="78"/>
      <c r="P962" s="78"/>
      <c r="Q962" s="78"/>
      <c r="R962" s="78"/>
      <c r="V962" s="79"/>
      <c r="W962" s="78"/>
    </row>
    <row r="963" spans="1:23" s="75" customFormat="1" hidden="1" x14ac:dyDescent="0.35">
      <c r="A963" s="75">
        <v>959</v>
      </c>
      <c r="B963" s="75">
        <v>960</v>
      </c>
      <c r="C963">
        <v>146.0618532</v>
      </c>
      <c r="D963">
        <v>-17.533463699999999</v>
      </c>
      <c r="E963" s="75">
        <v>50</v>
      </c>
      <c r="G963" s="75">
        <v>100</v>
      </c>
      <c r="H963" s="75" t="s">
        <v>26</v>
      </c>
      <c r="I963" t="str">
        <f t="shared" si="14"/>
        <v>X</v>
      </c>
      <c r="J963" s="76"/>
      <c r="K963" s="77"/>
      <c r="L963" s="77"/>
      <c r="M963" s="77"/>
      <c r="N963" s="77"/>
      <c r="O963" s="78"/>
      <c r="P963" s="78"/>
      <c r="Q963" s="78"/>
      <c r="R963" s="78"/>
      <c r="V963" s="79"/>
      <c r="W963" s="78"/>
    </row>
    <row r="964" spans="1:23" s="75" customFormat="1" hidden="1" x14ac:dyDescent="0.35">
      <c r="A964" s="75">
        <v>960</v>
      </c>
      <c r="B964" s="75">
        <v>961</v>
      </c>
      <c r="C964">
        <v>146.06177679999999</v>
      </c>
      <c r="D964">
        <v>-17.53351782</v>
      </c>
      <c r="G964" s="75">
        <v>100</v>
      </c>
      <c r="H964" s="75" t="s">
        <v>26</v>
      </c>
      <c r="I964" t="str">
        <f t="shared" si="14"/>
        <v>X</v>
      </c>
      <c r="J964" s="76"/>
      <c r="K964" s="77"/>
      <c r="L964" s="77"/>
      <c r="M964" s="77"/>
      <c r="N964" s="77"/>
      <c r="O964" s="78"/>
      <c r="P964" s="78"/>
      <c r="Q964" s="78"/>
      <c r="R964" s="78"/>
      <c r="V964" s="79"/>
      <c r="W964" s="78"/>
    </row>
    <row r="965" spans="1:23" s="75" customFormat="1" hidden="1" x14ac:dyDescent="0.35">
      <c r="A965" s="75">
        <v>961</v>
      </c>
      <c r="B965" s="75">
        <v>962</v>
      </c>
      <c r="C965">
        <v>146.0617091</v>
      </c>
      <c r="D965">
        <v>-17.53358351</v>
      </c>
      <c r="G965" s="75">
        <v>100</v>
      </c>
      <c r="H965" s="75" t="s">
        <v>26</v>
      </c>
      <c r="I965" t="str">
        <f t="shared" ref="I965:I1028" si="15">IF(H965="X","X",IF(J965="NA","X",IF(J965="","X",J965)))</f>
        <v>X</v>
      </c>
      <c r="J965" s="76"/>
      <c r="K965" s="77"/>
      <c r="L965" s="77"/>
      <c r="M965" s="77"/>
      <c r="N965" s="77"/>
      <c r="O965" s="78"/>
      <c r="P965" s="78"/>
      <c r="Q965" s="78"/>
      <c r="R965" s="78"/>
      <c r="V965" s="79"/>
      <c r="W965" s="78"/>
    </row>
    <row r="966" spans="1:23" s="75" customFormat="1" hidden="1" x14ac:dyDescent="0.35">
      <c r="A966" s="75">
        <v>962</v>
      </c>
      <c r="B966" s="75">
        <v>963</v>
      </c>
      <c r="C966">
        <v>146.06164140000001</v>
      </c>
      <c r="D966">
        <v>-17.533649189999998</v>
      </c>
      <c r="G966" s="75">
        <v>100</v>
      </c>
      <c r="H966" s="75" t="s">
        <v>26</v>
      </c>
      <c r="I966" t="str">
        <f t="shared" si="15"/>
        <v>X</v>
      </c>
      <c r="J966" s="76"/>
      <c r="K966" s="77"/>
      <c r="L966" s="77"/>
      <c r="M966" s="77"/>
      <c r="N966" s="77"/>
      <c r="O966" s="78"/>
      <c r="P966" s="78"/>
      <c r="Q966" s="78"/>
      <c r="R966" s="78"/>
      <c r="V966" s="79"/>
      <c r="W966" s="78"/>
    </row>
    <row r="967" spans="1:23" s="75" customFormat="1" hidden="1" x14ac:dyDescent="0.35">
      <c r="A967" s="75">
        <v>963</v>
      </c>
      <c r="B967" s="75">
        <v>964</v>
      </c>
      <c r="C967">
        <v>146.06157379999999</v>
      </c>
      <c r="D967">
        <v>-17.533714870000001</v>
      </c>
      <c r="G967" s="75">
        <v>100</v>
      </c>
      <c r="H967" s="75" t="s">
        <v>26</v>
      </c>
      <c r="I967" t="str">
        <f t="shared" si="15"/>
        <v>X</v>
      </c>
      <c r="J967" s="76"/>
      <c r="K967" s="77"/>
      <c r="L967" s="77"/>
      <c r="M967" s="77"/>
      <c r="N967" s="77"/>
      <c r="O967" s="78"/>
      <c r="P967" s="78"/>
      <c r="Q967" s="78"/>
      <c r="R967" s="78"/>
      <c r="V967" s="79"/>
      <c r="W967" s="78"/>
    </row>
    <row r="968" spans="1:23" s="75" customFormat="1" hidden="1" x14ac:dyDescent="0.35">
      <c r="A968" s="75">
        <v>964</v>
      </c>
      <c r="B968" s="75">
        <v>965</v>
      </c>
      <c r="C968">
        <v>146.06150360000001</v>
      </c>
      <c r="D968">
        <v>-17.533777730000001</v>
      </c>
      <c r="E968" s="75">
        <v>50</v>
      </c>
      <c r="G968" s="75">
        <v>100</v>
      </c>
      <c r="H968" s="75" t="s">
        <v>26</v>
      </c>
      <c r="I968" t="str">
        <f t="shared" si="15"/>
        <v>X</v>
      </c>
      <c r="J968" s="76"/>
      <c r="K968" s="77"/>
      <c r="L968" s="77"/>
      <c r="M968" s="77"/>
      <c r="N968" s="77"/>
      <c r="O968" s="78"/>
      <c r="P968" s="78"/>
      <c r="Q968" s="78"/>
      <c r="R968" s="78"/>
      <c r="V968" s="79"/>
      <c r="W968" s="78"/>
    </row>
    <row r="969" spans="1:23" s="75" customFormat="1" hidden="1" x14ac:dyDescent="0.35">
      <c r="A969" s="75">
        <v>965</v>
      </c>
      <c r="B969" s="75">
        <v>966</v>
      </c>
      <c r="C969">
        <v>146.0614314</v>
      </c>
      <c r="D969">
        <v>-17.53383848</v>
      </c>
      <c r="G969" s="75">
        <v>100</v>
      </c>
      <c r="H969" s="75" t="s">
        <v>26</v>
      </c>
      <c r="I969" t="str">
        <f t="shared" si="15"/>
        <v>X</v>
      </c>
      <c r="J969" s="76"/>
      <c r="K969" s="77"/>
      <c r="L969" s="77"/>
      <c r="M969" s="77"/>
      <c r="N969" s="77"/>
      <c r="O969" s="78"/>
      <c r="P969" s="78"/>
      <c r="Q969" s="78"/>
      <c r="R969" s="78"/>
      <c r="V969" s="79"/>
      <c r="W969" s="78"/>
    </row>
    <row r="970" spans="1:23" s="75" customFormat="1" hidden="1" x14ac:dyDescent="0.35">
      <c r="A970" s="75">
        <v>966</v>
      </c>
      <c r="B970" s="75">
        <v>967</v>
      </c>
      <c r="C970">
        <v>146.06135929999999</v>
      </c>
      <c r="D970">
        <v>-17.53389924</v>
      </c>
      <c r="G970" s="75">
        <v>100</v>
      </c>
      <c r="H970" s="75" t="s">
        <v>26</v>
      </c>
      <c r="I970" t="str">
        <f t="shared" si="15"/>
        <v>X</v>
      </c>
      <c r="J970" s="76"/>
      <c r="K970" s="77"/>
      <c r="L970" s="77"/>
      <c r="M970" s="77"/>
      <c r="N970" s="77"/>
      <c r="O970" s="78"/>
      <c r="P970" s="78"/>
      <c r="Q970" s="78"/>
      <c r="R970" s="78"/>
      <c r="V970" s="79"/>
      <c r="W970" s="78"/>
    </row>
    <row r="971" spans="1:23" s="75" customFormat="1" hidden="1" x14ac:dyDescent="0.35">
      <c r="A971" s="75">
        <v>967</v>
      </c>
      <c r="B971" s="75">
        <v>968</v>
      </c>
      <c r="C971">
        <v>146.06128720000001</v>
      </c>
      <c r="D971">
        <v>-17.53396</v>
      </c>
      <c r="G971" s="75">
        <v>100</v>
      </c>
      <c r="H971" s="75" t="s">
        <v>26</v>
      </c>
      <c r="I971" t="str">
        <f t="shared" si="15"/>
        <v>X</v>
      </c>
      <c r="J971" s="76"/>
      <c r="K971" s="77"/>
      <c r="L971" s="77"/>
      <c r="M971" s="77"/>
      <c r="N971" s="77"/>
      <c r="O971" s="78"/>
      <c r="P971" s="78"/>
      <c r="Q971" s="78"/>
      <c r="R971" s="78"/>
      <c r="V971" s="79"/>
      <c r="W971" s="78"/>
    </row>
    <row r="972" spans="1:23" s="75" customFormat="1" hidden="1" x14ac:dyDescent="0.35">
      <c r="A972" s="75">
        <v>968</v>
      </c>
      <c r="B972" s="75">
        <v>969</v>
      </c>
      <c r="C972">
        <v>146.06121099999999</v>
      </c>
      <c r="D972">
        <v>-17.534014989999999</v>
      </c>
      <c r="G972" s="75">
        <v>100</v>
      </c>
      <c r="H972" s="75" t="s">
        <v>26</v>
      </c>
      <c r="I972" t="str">
        <f t="shared" si="15"/>
        <v>X</v>
      </c>
      <c r="J972" s="76"/>
      <c r="K972" s="77"/>
      <c r="L972" s="77"/>
      <c r="M972" s="77"/>
      <c r="N972" s="77"/>
      <c r="O972" s="78"/>
      <c r="P972" s="78"/>
      <c r="Q972" s="78"/>
      <c r="R972" s="78"/>
      <c r="V972" s="79"/>
      <c r="W972" s="78"/>
    </row>
    <row r="973" spans="1:23" s="75" customFormat="1" hidden="1" x14ac:dyDescent="0.35">
      <c r="A973" s="75">
        <v>969</v>
      </c>
      <c r="B973" s="75">
        <v>970</v>
      </c>
      <c r="C973">
        <v>146.06112999999999</v>
      </c>
      <c r="D973">
        <v>-17.5340633</v>
      </c>
      <c r="E973" s="75">
        <v>50</v>
      </c>
      <c r="G973" s="75">
        <v>100</v>
      </c>
      <c r="H973" s="75" t="s">
        <v>26</v>
      </c>
      <c r="I973" t="str">
        <f t="shared" si="15"/>
        <v>X</v>
      </c>
      <c r="J973" s="76"/>
      <c r="K973" s="77"/>
      <c r="L973" s="77"/>
      <c r="M973" s="77"/>
      <c r="N973" s="77"/>
      <c r="O973" s="78"/>
      <c r="P973" s="78"/>
      <c r="Q973" s="78"/>
      <c r="R973" s="78"/>
      <c r="V973" s="79"/>
      <c r="W973" s="78"/>
    </row>
    <row r="974" spans="1:23" s="75" customFormat="1" hidden="1" x14ac:dyDescent="0.35">
      <c r="A974" s="75">
        <v>970</v>
      </c>
      <c r="B974" s="75">
        <v>971</v>
      </c>
      <c r="C974">
        <v>146.061049</v>
      </c>
      <c r="D974">
        <v>-17.53411161</v>
      </c>
      <c r="G974" s="75">
        <v>100</v>
      </c>
      <c r="H974" s="75" t="s">
        <v>26</v>
      </c>
      <c r="I974" t="str">
        <f t="shared" si="15"/>
        <v>X</v>
      </c>
      <c r="J974" s="76"/>
      <c r="K974" s="77"/>
      <c r="L974" s="77"/>
      <c r="M974" s="77"/>
      <c r="N974" s="77"/>
      <c r="O974" s="78"/>
      <c r="P974" s="78"/>
      <c r="Q974" s="78"/>
      <c r="R974" s="78"/>
      <c r="V974" s="79"/>
      <c r="W974" s="78"/>
    </row>
    <row r="975" spans="1:23" s="75" customFormat="1" hidden="1" x14ac:dyDescent="0.35">
      <c r="A975" s="75">
        <v>971</v>
      </c>
      <c r="B975" s="75">
        <v>972</v>
      </c>
      <c r="C975">
        <v>146.060968</v>
      </c>
      <c r="D975">
        <v>-17.53415992</v>
      </c>
      <c r="G975" s="75">
        <v>100</v>
      </c>
      <c r="H975" s="75" t="s">
        <v>26</v>
      </c>
      <c r="I975" t="str">
        <f t="shared" si="15"/>
        <v>X</v>
      </c>
      <c r="J975" s="76"/>
      <c r="K975" s="77"/>
      <c r="L975" s="77"/>
      <c r="M975" s="77"/>
      <c r="N975" s="77"/>
      <c r="O975" s="78"/>
      <c r="P975" s="78"/>
      <c r="Q975" s="78"/>
      <c r="R975" s="78"/>
      <c r="V975" s="79"/>
      <c r="W975" s="78"/>
    </row>
    <row r="976" spans="1:23" s="75" customFormat="1" hidden="1" x14ac:dyDescent="0.35">
      <c r="A976" s="75">
        <v>972</v>
      </c>
      <c r="B976" s="75">
        <v>973</v>
      </c>
      <c r="C976">
        <v>146.06088700000001</v>
      </c>
      <c r="D976">
        <v>-17.53420822</v>
      </c>
      <c r="G976" s="75">
        <v>100</v>
      </c>
      <c r="H976" s="75" t="s">
        <v>26</v>
      </c>
      <c r="I976" t="str">
        <f t="shared" si="15"/>
        <v>X</v>
      </c>
      <c r="J976" s="76"/>
      <c r="K976" s="77"/>
      <c r="L976" s="77"/>
      <c r="M976" s="77"/>
      <c r="N976" s="77"/>
      <c r="O976" s="78"/>
      <c r="P976" s="78"/>
      <c r="Q976" s="78"/>
      <c r="R976" s="78"/>
      <c r="V976" s="79"/>
      <c r="W976" s="78"/>
    </row>
    <row r="977" spans="1:23" s="75" customFormat="1" hidden="1" x14ac:dyDescent="0.35">
      <c r="A977" s="75">
        <v>973</v>
      </c>
      <c r="B977" s="75">
        <v>974</v>
      </c>
      <c r="C977">
        <v>146.06079840000001</v>
      </c>
      <c r="D977">
        <v>-17.534235939999999</v>
      </c>
      <c r="G977" s="75">
        <v>100</v>
      </c>
      <c r="H977" s="75" t="s">
        <v>26</v>
      </c>
      <c r="I977" t="str">
        <f t="shared" si="15"/>
        <v>X</v>
      </c>
      <c r="J977" s="76"/>
      <c r="K977" s="77"/>
      <c r="L977" s="77"/>
      <c r="M977" s="77"/>
      <c r="N977" s="77"/>
      <c r="O977" s="78"/>
      <c r="P977" s="78"/>
      <c r="Q977" s="78"/>
      <c r="R977" s="78"/>
      <c r="V977" s="79"/>
      <c r="W977" s="78"/>
    </row>
    <row r="978" spans="1:23" s="75" customFormat="1" hidden="1" x14ac:dyDescent="0.35">
      <c r="A978" s="75">
        <v>974</v>
      </c>
      <c r="B978" s="75">
        <v>975</v>
      </c>
      <c r="C978">
        <v>146.06070550000001</v>
      </c>
      <c r="D978">
        <v>-17.534251810000001</v>
      </c>
      <c r="E978" s="75">
        <v>50</v>
      </c>
      <c r="G978" s="75">
        <v>100</v>
      </c>
      <c r="H978" s="75" t="s">
        <v>26</v>
      </c>
      <c r="I978" t="str">
        <f t="shared" si="15"/>
        <v>X</v>
      </c>
      <c r="J978" s="76"/>
      <c r="K978" s="77"/>
      <c r="L978" s="77"/>
      <c r="M978" s="77"/>
      <c r="N978" s="77"/>
      <c r="O978" s="78"/>
      <c r="P978" s="78"/>
      <c r="Q978" s="78"/>
      <c r="R978" s="78"/>
      <c r="V978" s="79"/>
      <c r="W978" s="78"/>
    </row>
    <row r="979" spans="1:23" s="75" customFormat="1" hidden="1" x14ac:dyDescent="0.35">
      <c r="A979" s="75">
        <v>975</v>
      </c>
      <c r="B979" s="75">
        <v>976</v>
      </c>
      <c r="C979">
        <v>146.06061249999999</v>
      </c>
      <c r="D979">
        <v>-17.53426769</v>
      </c>
      <c r="G979" s="75">
        <v>100</v>
      </c>
      <c r="H979" s="75" t="s">
        <v>26</v>
      </c>
      <c r="I979" t="str">
        <f t="shared" si="15"/>
        <v>X</v>
      </c>
      <c r="J979" s="76"/>
      <c r="K979" s="77"/>
      <c r="L979" s="77"/>
      <c r="M979" s="77"/>
      <c r="N979" s="77"/>
      <c r="O979" s="78"/>
      <c r="P979" s="78"/>
      <c r="Q979" s="78"/>
      <c r="R979" s="78"/>
      <c r="V979" s="79"/>
      <c r="W979" s="78"/>
    </row>
    <row r="980" spans="1:23" s="75" customFormat="1" hidden="1" x14ac:dyDescent="0.35">
      <c r="A980" s="75">
        <v>976</v>
      </c>
      <c r="B980" s="75">
        <v>977</v>
      </c>
      <c r="C980">
        <v>146.0605195</v>
      </c>
      <c r="D980">
        <v>-17.534283559999999</v>
      </c>
      <c r="G980" s="75">
        <v>100</v>
      </c>
      <c r="H980" s="75" t="s">
        <v>26</v>
      </c>
      <c r="I980" t="str">
        <f t="shared" si="15"/>
        <v>X</v>
      </c>
      <c r="J980" s="76"/>
      <c r="K980" s="77"/>
      <c r="L980" s="77"/>
      <c r="M980" s="77"/>
      <c r="N980" s="77"/>
      <c r="O980" s="78"/>
      <c r="P980" s="78"/>
      <c r="Q980" s="78"/>
      <c r="R980" s="78"/>
      <c r="V980" s="79"/>
      <c r="W980" s="78"/>
    </row>
    <row r="981" spans="1:23" s="75" customFormat="1" hidden="1" x14ac:dyDescent="0.35">
      <c r="A981" s="75">
        <v>977</v>
      </c>
      <c r="B981" s="75">
        <v>978</v>
      </c>
      <c r="C981">
        <v>146.0604261</v>
      </c>
      <c r="D981">
        <v>-17.53429294</v>
      </c>
      <c r="G981" s="75">
        <v>100</v>
      </c>
      <c r="H981" s="75" t="s">
        <v>26</v>
      </c>
      <c r="I981" t="str">
        <f t="shared" si="15"/>
        <v>X</v>
      </c>
      <c r="J981" s="76"/>
      <c r="K981" s="77"/>
      <c r="L981" s="77"/>
      <c r="M981" s="77"/>
      <c r="N981" s="77"/>
      <c r="O981" s="78"/>
      <c r="P981" s="78"/>
      <c r="Q981" s="78"/>
      <c r="R981" s="78"/>
      <c r="V981" s="79"/>
      <c r="W981" s="78"/>
    </row>
    <row r="982" spans="1:23" s="75" customFormat="1" hidden="1" x14ac:dyDescent="0.35">
      <c r="A982" s="75">
        <v>978</v>
      </c>
      <c r="B982" s="75">
        <v>979</v>
      </c>
      <c r="C982">
        <v>146.0603318</v>
      </c>
      <c r="D982">
        <v>-17.534291639999999</v>
      </c>
      <c r="G982" s="75">
        <v>100</v>
      </c>
      <c r="H982" s="75" t="s">
        <v>26</v>
      </c>
      <c r="I982" t="str">
        <f t="shared" si="15"/>
        <v>X</v>
      </c>
      <c r="J982" s="76"/>
      <c r="K982" s="77"/>
      <c r="L982" s="77"/>
      <c r="M982" s="77"/>
      <c r="N982" s="77"/>
      <c r="O982" s="78"/>
      <c r="P982" s="78"/>
      <c r="Q982" s="78"/>
      <c r="R982" s="78"/>
      <c r="V982" s="79"/>
      <c r="W982" s="78"/>
    </row>
    <row r="983" spans="1:23" s="75" customFormat="1" hidden="1" x14ac:dyDescent="0.35">
      <c r="A983" s="75">
        <v>979</v>
      </c>
      <c r="B983" s="75">
        <v>980</v>
      </c>
      <c r="C983">
        <v>146.0602375</v>
      </c>
      <c r="D983">
        <v>-17.534290339999998</v>
      </c>
      <c r="E983" s="75">
        <v>50</v>
      </c>
      <c r="G983" s="75">
        <v>100</v>
      </c>
      <c r="H983" s="75" t="s">
        <v>26</v>
      </c>
      <c r="I983" t="str">
        <f t="shared" si="15"/>
        <v>X</v>
      </c>
      <c r="J983" s="76"/>
      <c r="K983" s="77"/>
      <c r="L983" s="77"/>
      <c r="M983" s="77"/>
      <c r="N983" s="77"/>
      <c r="O983" s="78"/>
      <c r="P983" s="78"/>
      <c r="Q983" s="78"/>
      <c r="R983" s="78"/>
      <c r="V983" s="79"/>
      <c r="W983" s="78"/>
    </row>
    <row r="984" spans="1:23" s="75" customFormat="1" hidden="1" x14ac:dyDescent="0.35">
      <c r="A984" s="75">
        <v>980</v>
      </c>
      <c r="B984" s="75">
        <v>981</v>
      </c>
      <c r="C984">
        <v>146.0601432</v>
      </c>
      <c r="D984">
        <v>-17.534289040000001</v>
      </c>
      <c r="G984" s="75">
        <v>100</v>
      </c>
      <c r="H984" s="75" t="s">
        <v>26</v>
      </c>
      <c r="I984" t="str">
        <f t="shared" si="15"/>
        <v>X</v>
      </c>
      <c r="J984" s="76"/>
      <c r="K984" s="77"/>
      <c r="L984" s="77"/>
      <c r="M984" s="77"/>
      <c r="N984" s="77"/>
      <c r="O984" s="78"/>
      <c r="P984" s="78"/>
      <c r="Q984" s="78"/>
      <c r="R984" s="78"/>
      <c r="V984" s="79"/>
      <c r="W984" s="78"/>
    </row>
    <row r="985" spans="1:23" s="75" customFormat="1" hidden="1" x14ac:dyDescent="0.35">
      <c r="A985" s="75">
        <v>981</v>
      </c>
      <c r="B985" s="75">
        <v>982</v>
      </c>
      <c r="C985">
        <v>146.0600489</v>
      </c>
      <c r="D985">
        <v>-17.53428774</v>
      </c>
      <c r="G985" s="75">
        <v>100</v>
      </c>
      <c r="H985" s="75" t="s">
        <v>26</v>
      </c>
      <c r="I985" t="str">
        <f t="shared" si="15"/>
        <v>X</v>
      </c>
      <c r="K985" s="77"/>
      <c r="L985" s="77"/>
      <c r="M985" s="77"/>
      <c r="N985" s="77"/>
      <c r="W985" s="78"/>
    </row>
    <row r="986" spans="1:23" s="75" customFormat="1" hidden="1" x14ac:dyDescent="0.35">
      <c r="A986" s="75">
        <v>982</v>
      </c>
      <c r="B986" s="75">
        <v>983</v>
      </c>
      <c r="C986">
        <v>146.0599546</v>
      </c>
      <c r="D986">
        <v>-17.534286439999999</v>
      </c>
      <c r="G986" s="75">
        <v>100</v>
      </c>
      <c r="H986" s="75" t="s">
        <v>26</v>
      </c>
      <c r="I986" t="str">
        <f t="shared" si="15"/>
        <v>X</v>
      </c>
      <c r="K986" s="77"/>
      <c r="L986" s="77"/>
      <c r="M986" s="77"/>
      <c r="N986" s="77"/>
      <c r="W986" s="78"/>
    </row>
    <row r="987" spans="1:23" s="75" customFormat="1" hidden="1" x14ac:dyDescent="0.35">
      <c r="A987" s="75">
        <v>983</v>
      </c>
      <c r="B987" s="75">
        <v>984</v>
      </c>
      <c r="C987">
        <v>146.0598616</v>
      </c>
      <c r="D987">
        <v>-17.534280079999998</v>
      </c>
      <c r="G987" s="75">
        <v>100</v>
      </c>
      <c r="H987" s="75" t="s">
        <v>26</v>
      </c>
      <c r="I987" t="str">
        <f t="shared" si="15"/>
        <v>X</v>
      </c>
      <c r="K987" s="77"/>
      <c r="L987" s="77"/>
      <c r="M987" s="77"/>
      <c r="N987" s="77"/>
      <c r="W987" s="78"/>
    </row>
    <row r="988" spans="1:23" s="75" customFormat="1" hidden="1" x14ac:dyDescent="0.35">
      <c r="A988" s="75">
        <v>984</v>
      </c>
      <c r="B988" s="75">
        <v>985</v>
      </c>
      <c r="C988">
        <v>146.05977799999999</v>
      </c>
      <c r="D988">
        <v>-17.534236329999999</v>
      </c>
      <c r="G988" s="75">
        <v>100</v>
      </c>
      <c r="H988" s="75" t="s">
        <v>26</v>
      </c>
      <c r="I988" t="str">
        <f t="shared" si="15"/>
        <v>X</v>
      </c>
      <c r="K988" s="77"/>
      <c r="L988" s="77"/>
      <c r="M988" s="77"/>
      <c r="N988" s="77"/>
      <c r="W988" s="78"/>
    </row>
    <row r="989" spans="1:23" s="75" customFormat="1" hidden="1" x14ac:dyDescent="0.35">
      <c r="A989" s="75">
        <v>985</v>
      </c>
      <c r="B989" s="75">
        <v>986</v>
      </c>
      <c r="C989">
        <v>146.05969450000001</v>
      </c>
      <c r="D989">
        <v>-17.534192579999999</v>
      </c>
      <c r="G989" s="75">
        <v>100</v>
      </c>
      <c r="H989" s="75" t="s">
        <v>26</v>
      </c>
      <c r="I989" t="str">
        <f t="shared" si="15"/>
        <v>X</v>
      </c>
      <c r="K989" s="77"/>
      <c r="L989" s="77"/>
      <c r="M989" s="77"/>
      <c r="N989" s="77"/>
      <c r="W989" s="78"/>
    </row>
    <row r="990" spans="1:23" s="75" customFormat="1" hidden="1" x14ac:dyDescent="0.35">
      <c r="A990" s="75">
        <v>986</v>
      </c>
      <c r="B990" s="75">
        <v>987</v>
      </c>
      <c r="C990">
        <v>146.05961099999999</v>
      </c>
      <c r="D990">
        <v>-17.534148829999999</v>
      </c>
      <c r="G990" s="75">
        <v>100</v>
      </c>
      <c r="H990" s="75" t="s">
        <v>26</v>
      </c>
      <c r="I990" t="str">
        <f t="shared" si="15"/>
        <v>X</v>
      </c>
      <c r="K990" s="77"/>
      <c r="L990" s="77"/>
      <c r="M990" s="77"/>
      <c r="N990" s="77"/>
      <c r="W990" s="78"/>
    </row>
    <row r="991" spans="1:23" s="75" customFormat="1" hidden="1" x14ac:dyDescent="0.35">
      <c r="A991" s="75">
        <v>987</v>
      </c>
      <c r="B991" s="75">
        <v>988</v>
      </c>
      <c r="C991">
        <v>146.05952740000001</v>
      </c>
      <c r="D991">
        <v>-17.53410508</v>
      </c>
      <c r="G991" s="75">
        <v>100</v>
      </c>
      <c r="H991" s="75" t="s">
        <v>26</v>
      </c>
      <c r="I991" t="str">
        <f t="shared" si="15"/>
        <v>X</v>
      </c>
      <c r="K991" s="77"/>
      <c r="L991" s="77"/>
      <c r="M991" s="77"/>
      <c r="N991" s="77"/>
      <c r="W991" s="78"/>
    </row>
    <row r="992" spans="1:23" s="75" customFormat="1" hidden="1" x14ac:dyDescent="0.35">
      <c r="A992" s="75">
        <v>988</v>
      </c>
      <c r="B992" s="75">
        <v>989</v>
      </c>
      <c r="C992">
        <v>146.0594461</v>
      </c>
      <c r="D992">
        <v>-17.534058890000001</v>
      </c>
      <c r="G992" s="75">
        <v>100</v>
      </c>
      <c r="H992" s="75" t="s">
        <v>26</v>
      </c>
      <c r="I992" t="str">
        <f t="shared" si="15"/>
        <v>X</v>
      </c>
      <c r="K992" s="77"/>
      <c r="L992" s="77"/>
      <c r="M992" s="77"/>
      <c r="N992" s="77"/>
      <c r="W992" s="78"/>
    </row>
    <row r="993" spans="1:23" s="75" customFormat="1" hidden="1" x14ac:dyDescent="0.35">
      <c r="A993" s="75">
        <v>989</v>
      </c>
      <c r="B993" s="75">
        <v>990</v>
      </c>
      <c r="C993">
        <v>146.0593964</v>
      </c>
      <c r="D993">
        <v>-17.533978780000002</v>
      </c>
      <c r="G993" s="75">
        <v>100</v>
      </c>
      <c r="H993" s="75" t="s">
        <v>26</v>
      </c>
      <c r="I993" t="str">
        <f t="shared" si="15"/>
        <v>X</v>
      </c>
      <c r="K993" s="77"/>
      <c r="L993" s="77"/>
      <c r="M993" s="77"/>
      <c r="N993" s="77"/>
      <c r="W993" s="78"/>
    </row>
    <row r="994" spans="1:23" s="75" customFormat="1" hidden="1" x14ac:dyDescent="0.35">
      <c r="A994" s="75">
        <v>990</v>
      </c>
      <c r="B994" s="75">
        <v>991</v>
      </c>
      <c r="C994">
        <v>146.0593466</v>
      </c>
      <c r="D994">
        <v>-17.533898669999999</v>
      </c>
      <c r="G994" s="75">
        <v>100</v>
      </c>
      <c r="H994" s="75" t="s">
        <v>26</v>
      </c>
      <c r="I994" t="str">
        <f t="shared" si="15"/>
        <v>X</v>
      </c>
      <c r="K994" s="77"/>
      <c r="L994" s="77"/>
      <c r="M994" s="77"/>
      <c r="N994" s="77"/>
      <c r="W994" s="78"/>
    </row>
    <row r="995" spans="1:23" s="75" customFormat="1" hidden="1" x14ac:dyDescent="0.35">
      <c r="A995" s="75">
        <v>991</v>
      </c>
      <c r="B995" s="75">
        <v>992</v>
      </c>
      <c r="C995">
        <v>146.05929689999999</v>
      </c>
      <c r="D995">
        <v>-17.53381856</v>
      </c>
      <c r="G995" s="75">
        <v>100</v>
      </c>
      <c r="H995" s="75" t="s">
        <v>26</v>
      </c>
      <c r="I995" t="str">
        <f t="shared" si="15"/>
        <v>X</v>
      </c>
      <c r="J995" s="75">
        <v>1</v>
      </c>
      <c r="K995" s="77"/>
      <c r="L995" s="77"/>
      <c r="M995" s="77"/>
      <c r="N995" s="77"/>
      <c r="W995" s="78"/>
    </row>
    <row r="996" spans="1:23" s="75" customFormat="1" hidden="1" x14ac:dyDescent="0.35">
      <c r="A996" s="75">
        <v>992</v>
      </c>
      <c r="B996" s="75">
        <v>993</v>
      </c>
      <c r="C996">
        <v>146.05924709999999</v>
      </c>
      <c r="D996">
        <v>-17.533738450000001</v>
      </c>
      <c r="F996" s="75" t="str">
        <f>HYPERLINK("E:\Data From Lucan\2024\Johnstone\Frames_for_Analysis\993_20240610_0006_L_0559.jpg","993_20240610_0006_L_0559.jpg")</f>
        <v>993_20240610_0006_L_0559.jpg</v>
      </c>
      <c r="G996" s="75">
        <v>100</v>
      </c>
      <c r="I996">
        <f t="shared" si="15"/>
        <v>1</v>
      </c>
      <c r="J996" s="75">
        <v>1</v>
      </c>
      <c r="K996" s="77"/>
      <c r="L996" s="77"/>
      <c r="M996" s="77"/>
      <c r="N996" s="77"/>
      <c r="O996" s="75" t="s">
        <v>3958</v>
      </c>
      <c r="P996" s="75">
        <v>0</v>
      </c>
      <c r="Q996" s="75">
        <v>0</v>
      </c>
      <c r="R996" s="75">
        <v>0</v>
      </c>
      <c r="S996" s="75">
        <v>0</v>
      </c>
      <c r="T996" s="75">
        <v>0</v>
      </c>
      <c r="U996" s="75">
        <v>0</v>
      </c>
      <c r="V996" s="75">
        <v>0</v>
      </c>
      <c r="W996" s="78"/>
    </row>
    <row r="997" spans="1:23" s="75" customFormat="1" hidden="1" x14ac:dyDescent="0.35">
      <c r="A997" s="75">
        <v>993</v>
      </c>
      <c r="B997" s="75">
        <v>994</v>
      </c>
      <c r="C997">
        <v>146.05919739999999</v>
      </c>
      <c r="D997">
        <v>-17.533658339999999</v>
      </c>
      <c r="G997" s="75">
        <v>100</v>
      </c>
      <c r="H997" s="75" t="s">
        <v>26</v>
      </c>
      <c r="I997" t="str">
        <f t="shared" si="15"/>
        <v>X</v>
      </c>
      <c r="J997" s="75">
        <v>1</v>
      </c>
      <c r="K997" s="77"/>
      <c r="L997" s="77"/>
      <c r="M997" s="77"/>
      <c r="N997" s="77"/>
      <c r="W997" s="78"/>
    </row>
    <row r="998" spans="1:23" s="75" customFormat="1" hidden="1" x14ac:dyDescent="0.35">
      <c r="A998" s="75">
        <v>994</v>
      </c>
      <c r="B998" s="75">
        <v>995</v>
      </c>
      <c r="C998">
        <v>146.05917009999999</v>
      </c>
      <c r="D998">
        <v>-17.533568649999999</v>
      </c>
      <c r="G998" s="75">
        <v>100</v>
      </c>
      <c r="H998" s="75" t="s">
        <v>26</v>
      </c>
      <c r="I998" t="str">
        <f t="shared" si="15"/>
        <v>X</v>
      </c>
      <c r="J998" s="75">
        <v>1</v>
      </c>
      <c r="K998" s="77"/>
      <c r="L998" s="77"/>
      <c r="M998" s="77"/>
      <c r="N998" s="77"/>
      <c r="W998" s="78"/>
    </row>
    <row r="999" spans="1:23" s="75" customFormat="1" hidden="1" x14ac:dyDescent="0.35">
      <c r="A999" s="75">
        <v>995</v>
      </c>
      <c r="B999" s="75">
        <v>996</v>
      </c>
      <c r="C999">
        <v>146.0591245</v>
      </c>
      <c r="D999">
        <v>-17.53349158</v>
      </c>
      <c r="G999" s="75">
        <v>100</v>
      </c>
      <c r="H999" s="75" t="s">
        <v>26</v>
      </c>
      <c r="I999" t="str">
        <f t="shared" si="15"/>
        <v>X</v>
      </c>
      <c r="J999" s="75">
        <v>1</v>
      </c>
      <c r="K999" s="77"/>
      <c r="L999" s="77"/>
      <c r="M999" s="77"/>
      <c r="N999" s="77"/>
      <c r="W999" s="78"/>
    </row>
    <row r="1000" spans="1:23" s="75" customFormat="1" hidden="1" x14ac:dyDescent="0.35">
      <c r="A1000" s="75">
        <v>996</v>
      </c>
      <c r="B1000" s="75">
        <v>997</v>
      </c>
      <c r="C1000">
        <v>146.05904090000001</v>
      </c>
      <c r="D1000">
        <v>-17.53345405</v>
      </c>
      <c r="G1000" s="75">
        <v>100</v>
      </c>
      <c r="H1000" s="75" t="s">
        <v>26</v>
      </c>
      <c r="I1000" t="str">
        <f t="shared" si="15"/>
        <v>X</v>
      </c>
      <c r="J1000" s="75">
        <v>1</v>
      </c>
      <c r="K1000" s="77"/>
      <c r="L1000" s="77"/>
      <c r="M1000" s="77"/>
      <c r="N1000" s="77"/>
      <c r="W1000" s="78"/>
    </row>
    <row r="1001" spans="1:23" s="75" customFormat="1" hidden="1" x14ac:dyDescent="0.35">
      <c r="A1001" s="75">
        <v>997</v>
      </c>
      <c r="B1001" s="75">
        <v>998</v>
      </c>
      <c r="C1001">
        <v>146.0589483</v>
      </c>
      <c r="D1001">
        <v>-17.533436210000001</v>
      </c>
      <c r="F1001" s="75" t="str">
        <f>HYPERLINK("E:\Data From Lucan\2024\Johnstone\Frames_for_Analysis\998_20240610_0006_L_0560.jpg","998_20240610_0006_L_0560.jpg")</f>
        <v>998_20240610_0006_L_0560.jpg</v>
      </c>
      <c r="G1001" s="75">
        <v>100</v>
      </c>
      <c r="I1001" t="str">
        <f t="shared" si="15"/>
        <v>X</v>
      </c>
      <c r="J1001" s="75" t="s">
        <v>3958</v>
      </c>
      <c r="K1001" s="77"/>
      <c r="L1001" s="77"/>
      <c r="M1001" s="77"/>
      <c r="N1001" s="77"/>
      <c r="O1001" s="75" t="s">
        <v>3958</v>
      </c>
      <c r="P1001" s="75">
        <v>0</v>
      </c>
      <c r="Q1001" s="75">
        <v>0</v>
      </c>
      <c r="R1001" s="75">
        <v>0</v>
      </c>
      <c r="S1001" s="75">
        <v>0</v>
      </c>
      <c r="T1001" s="75">
        <v>0</v>
      </c>
      <c r="U1001" s="75">
        <v>0</v>
      </c>
      <c r="V1001" s="75">
        <v>0</v>
      </c>
      <c r="W1001" s="78"/>
    </row>
    <row r="1002" spans="1:23" s="75" customFormat="1" hidden="1" x14ac:dyDescent="0.35">
      <c r="A1002" s="75">
        <v>998</v>
      </c>
      <c r="B1002" s="75">
        <v>999</v>
      </c>
      <c r="C1002">
        <v>146.0588669</v>
      </c>
      <c r="D1002">
        <v>-17.533406450000001</v>
      </c>
      <c r="G1002" s="75">
        <v>100</v>
      </c>
      <c r="H1002" s="75" t="s">
        <v>26</v>
      </c>
      <c r="I1002" t="str">
        <f t="shared" si="15"/>
        <v>X</v>
      </c>
      <c r="J1002" s="75">
        <v>1</v>
      </c>
      <c r="K1002" s="77"/>
      <c r="L1002" s="77"/>
      <c r="M1002" s="77"/>
      <c r="N1002" s="77"/>
      <c r="W1002" s="78"/>
    </row>
    <row r="1003" spans="1:23" s="75" customFormat="1" hidden="1" x14ac:dyDescent="0.35">
      <c r="A1003" s="75">
        <v>999</v>
      </c>
      <c r="B1003" s="75">
        <v>1000</v>
      </c>
      <c r="C1003">
        <v>146.05886720000001</v>
      </c>
      <c r="D1003">
        <v>-17.533322800000001</v>
      </c>
      <c r="G1003" s="75">
        <v>100</v>
      </c>
      <c r="H1003" s="75" t="s">
        <v>26</v>
      </c>
      <c r="I1003" t="str">
        <f t="shared" si="15"/>
        <v>X</v>
      </c>
      <c r="J1003" s="75">
        <v>1</v>
      </c>
      <c r="K1003" s="77"/>
      <c r="L1003" s="77"/>
      <c r="M1003" s="77"/>
      <c r="N1003" s="77"/>
      <c r="W1003" s="78"/>
    </row>
    <row r="1004" spans="1:23" s="75" customFormat="1" hidden="1" x14ac:dyDescent="0.35">
      <c r="A1004" s="75">
        <v>1000</v>
      </c>
      <c r="B1004" s="75">
        <v>1001</v>
      </c>
      <c r="C1004">
        <v>146.0589488</v>
      </c>
      <c r="D1004">
        <v>-17.533277529999999</v>
      </c>
      <c r="G1004" s="75">
        <v>100</v>
      </c>
      <c r="H1004" s="75" t="s">
        <v>26</v>
      </c>
      <c r="I1004" t="str">
        <f t="shared" si="15"/>
        <v>X</v>
      </c>
      <c r="J1004" s="75">
        <v>1</v>
      </c>
      <c r="K1004" s="77"/>
      <c r="L1004" s="77"/>
      <c r="M1004" s="77"/>
      <c r="N1004" s="77"/>
      <c r="W1004" s="78"/>
    </row>
    <row r="1005" spans="1:23" s="75" customFormat="1" hidden="1" x14ac:dyDescent="0.35">
      <c r="A1005" s="75">
        <v>1001</v>
      </c>
      <c r="B1005" s="75">
        <v>1002</v>
      </c>
      <c r="C1005">
        <v>146.05903520000001</v>
      </c>
      <c r="D1005">
        <v>-17.533240339999999</v>
      </c>
      <c r="G1005" s="75">
        <v>100</v>
      </c>
      <c r="H1005" s="75" t="s">
        <v>26</v>
      </c>
      <c r="I1005" t="str">
        <f t="shared" si="15"/>
        <v>X</v>
      </c>
      <c r="J1005" s="75">
        <v>1</v>
      </c>
      <c r="K1005" s="77"/>
      <c r="L1005" s="77"/>
      <c r="M1005" s="77"/>
      <c r="N1005" s="77"/>
      <c r="W1005" s="78"/>
    </row>
    <row r="1006" spans="1:23" s="75" customFormat="1" hidden="1" x14ac:dyDescent="0.35">
      <c r="A1006" s="75">
        <v>1002</v>
      </c>
      <c r="B1006" s="75">
        <v>1003</v>
      </c>
      <c r="C1006">
        <v>146.05912430000001</v>
      </c>
      <c r="D1006">
        <v>-17.533209530000001</v>
      </c>
      <c r="G1006" s="75">
        <v>100</v>
      </c>
      <c r="H1006" s="75" t="s">
        <v>26</v>
      </c>
      <c r="I1006" t="str">
        <f t="shared" si="15"/>
        <v>X</v>
      </c>
      <c r="J1006" s="75">
        <v>1</v>
      </c>
      <c r="K1006" s="77"/>
      <c r="L1006" s="77"/>
      <c r="M1006" s="77"/>
      <c r="N1006" s="77"/>
      <c r="W1006" s="78"/>
    </row>
    <row r="1007" spans="1:23" s="75" customFormat="1" hidden="1" x14ac:dyDescent="0.35">
      <c r="A1007" s="75">
        <v>1003</v>
      </c>
      <c r="B1007" s="75">
        <v>1004</v>
      </c>
      <c r="C1007">
        <v>146.0592134</v>
      </c>
      <c r="D1007">
        <v>-17.533178729999999</v>
      </c>
      <c r="G1007" s="75">
        <v>100</v>
      </c>
      <c r="H1007" s="75" t="s">
        <v>26</v>
      </c>
      <c r="I1007" t="str">
        <f t="shared" si="15"/>
        <v>X</v>
      </c>
      <c r="J1007" s="75">
        <v>1</v>
      </c>
      <c r="K1007" s="77"/>
      <c r="L1007" s="77"/>
      <c r="M1007" s="77"/>
      <c r="N1007" s="77"/>
      <c r="W1007" s="78"/>
    </row>
    <row r="1008" spans="1:23" s="75" customFormat="1" hidden="1" x14ac:dyDescent="0.35">
      <c r="A1008" s="75">
        <v>1004</v>
      </c>
      <c r="B1008" s="75">
        <v>1005</v>
      </c>
      <c r="C1008">
        <v>146.05929119999999</v>
      </c>
      <c r="D1008">
        <v>-17.53312584</v>
      </c>
      <c r="G1008" s="75">
        <v>100</v>
      </c>
      <c r="H1008" s="75" t="s">
        <v>26</v>
      </c>
      <c r="I1008" t="str">
        <f t="shared" si="15"/>
        <v>X</v>
      </c>
      <c r="J1008" s="75">
        <v>1</v>
      </c>
      <c r="K1008" s="77"/>
      <c r="L1008" s="77"/>
      <c r="M1008" s="77"/>
      <c r="N1008" s="77"/>
      <c r="W1008" s="78"/>
    </row>
    <row r="1009" spans="1:23" s="75" customFormat="1" hidden="1" x14ac:dyDescent="0.35">
      <c r="A1009" s="75">
        <v>1005</v>
      </c>
      <c r="B1009" s="75">
        <v>1006</v>
      </c>
      <c r="C1009">
        <v>146.05936800000001</v>
      </c>
      <c r="D1009">
        <v>-17.53307113</v>
      </c>
      <c r="G1009" s="75">
        <v>100</v>
      </c>
      <c r="H1009" s="75" t="s">
        <v>26</v>
      </c>
      <c r="I1009" t="str">
        <f t="shared" si="15"/>
        <v>X</v>
      </c>
      <c r="J1009" s="75">
        <v>1</v>
      </c>
      <c r="K1009" s="77"/>
      <c r="L1009" s="77"/>
      <c r="M1009" s="77"/>
      <c r="N1009" s="77"/>
      <c r="W1009" s="78"/>
    </row>
    <row r="1010" spans="1:23" s="75" customFormat="1" hidden="1" x14ac:dyDescent="0.35">
      <c r="A1010" s="75">
        <v>1006</v>
      </c>
      <c r="B1010" s="75">
        <v>1007</v>
      </c>
      <c r="C1010">
        <v>146.0594304</v>
      </c>
      <c r="D1010">
        <v>-17.533002440000001</v>
      </c>
      <c r="F1010" s="75" t="str">
        <f>HYPERLINK("E:\Data From Lucan\2024\Johnstone\Frames_for_Analysis\1007_20240610_0006_L_0561.jpg","1007_20240610_0006_L_0561.jpg")</f>
        <v>1007_20240610_0006_L_0561.jpg</v>
      </c>
      <c r="G1010" s="75">
        <v>100</v>
      </c>
      <c r="I1010" t="str">
        <f t="shared" si="15"/>
        <v>X</v>
      </c>
      <c r="J1010" s="75" t="s">
        <v>3958</v>
      </c>
      <c r="K1010" s="77"/>
      <c r="L1010" s="77"/>
      <c r="M1010" s="77"/>
      <c r="N1010" s="77"/>
      <c r="O1010" s="75" t="s">
        <v>3958</v>
      </c>
      <c r="P1010" s="75">
        <v>0</v>
      </c>
      <c r="Q1010" s="75">
        <v>0</v>
      </c>
      <c r="R1010" s="75">
        <v>0</v>
      </c>
      <c r="S1010" s="75">
        <v>0</v>
      </c>
      <c r="T1010" s="75">
        <v>0</v>
      </c>
      <c r="U1010" s="75">
        <v>0</v>
      </c>
      <c r="V1010" s="75">
        <v>0</v>
      </c>
      <c r="W1010" s="78"/>
    </row>
    <row r="1011" spans="1:23" s="75" customFormat="1" hidden="1" x14ac:dyDescent="0.35">
      <c r="A1011" s="75">
        <v>1007</v>
      </c>
      <c r="B1011" s="75">
        <v>1008</v>
      </c>
      <c r="C1011">
        <v>146.05948319999999</v>
      </c>
      <c r="D1011">
        <v>-17.532924260000001</v>
      </c>
      <c r="G1011" s="75">
        <v>100</v>
      </c>
      <c r="H1011" s="75" t="s">
        <v>26</v>
      </c>
      <c r="I1011" t="str">
        <f t="shared" si="15"/>
        <v>X</v>
      </c>
      <c r="J1011" s="75">
        <v>1</v>
      </c>
      <c r="K1011" s="77"/>
      <c r="L1011" s="77"/>
      <c r="M1011" s="77"/>
      <c r="N1011" s="77"/>
      <c r="W1011" s="78"/>
    </row>
    <row r="1012" spans="1:23" s="75" customFormat="1" hidden="1" x14ac:dyDescent="0.35">
      <c r="A1012" s="75">
        <v>1008</v>
      </c>
      <c r="B1012" s="75">
        <v>1009</v>
      </c>
      <c r="C1012">
        <v>146.0595304</v>
      </c>
      <c r="D1012">
        <v>-17.53284266</v>
      </c>
      <c r="G1012" s="75">
        <v>100</v>
      </c>
      <c r="H1012" s="75" t="s">
        <v>26</v>
      </c>
      <c r="I1012" t="str">
        <f t="shared" si="15"/>
        <v>X</v>
      </c>
      <c r="J1012" s="75">
        <v>1</v>
      </c>
      <c r="K1012" s="77"/>
      <c r="L1012" s="77"/>
      <c r="M1012" s="77"/>
      <c r="N1012" s="77"/>
      <c r="W1012" s="78"/>
    </row>
    <row r="1013" spans="1:23" s="75" customFormat="1" hidden="1" x14ac:dyDescent="0.35">
      <c r="A1013" s="75">
        <v>1009</v>
      </c>
      <c r="B1013" s="75">
        <v>1010</v>
      </c>
      <c r="C1013">
        <v>146.05957699999999</v>
      </c>
      <c r="D1013">
        <v>-17.532760660000001</v>
      </c>
      <c r="F1013" s="75" t="str">
        <f>HYPERLINK("E:\Data From Lucan\2024\Johnstone\Frames_for_Analysis\1010_20240610_0006_L_0562.jpg","1010_20240610_0006_L_0562.jpg")</f>
        <v>1010_20240610_0006_L_0562.jpg</v>
      </c>
      <c r="G1013" s="75">
        <v>100</v>
      </c>
      <c r="I1013" t="str">
        <f t="shared" si="15"/>
        <v>X</v>
      </c>
      <c r="J1013" s="75" t="s">
        <v>3958</v>
      </c>
      <c r="K1013" s="77"/>
      <c r="L1013" s="77"/>
      <c r="M1013" s="77"/>
      <c r="N1013" s="77"/>
      <c r="O1013" s="75" t="s">
        <v>3958</v>
      </c>
      <c r="P1013" s="75">
        <v>0</v>
      </c>
      <c r="Q1013" s="75">
        <v>0</v>
      </c>
      <c r="R1013" s="75">
        <v>0</v>
      </c>
      <c r="S1013" s="75">
        <v>0</v>
      </c>
      <c r="T1013" s="75">
        <v>0</v>
      </c>
      <c r="U1013" s="75">
        <v>0</v>
      </c>
      <c r="V1013" s="75">
        <v>0</v>
      </c>
      <c r="W1013" s="78"/>
    </row>
    <row r="1014" spans="1:23" s="75" customFormat="1" hidden="1" x14ac:dyDescent="0.35">
      <c r="A1014" s="75">
        <v>1010</v>
      </c>
      <c r="B1014" s="75">
        <v>1011</v>
      </c>
      <c r="C1014">
        <v>146.05962</v>
      </c>
      <c r="D1014">
        <v>-17.532676909999999</v>
      </c>
      <c r="F1014" s="75" t="str">
        <f>HYPERLINK("E:\Data From Lucan\2024\Johnstone\Frames_for_Analysis\1011_20240610_0006_L_0564.jpg","1011_20240610_0006_L_0564.jpg")</f>
        <v>1011_20240610_0006_L_0564.jpg</v>
      </c>
      <c r="G1014" s="75">
        <v>100</v>
      </c>
      <c r="I1014" t="str">
        <f t="shared" si="15"/>
        <v>X</v>
      </c>
      <c r="J1014" s="75" t="s">
        <v>3958</v>
      </c>
      <c r="K1014" s="77"/>
      <c r="L1014" s="77"/>
      <c r="M1014" s="77"/>
      <c r="N1014" s="77"/>
      <c r="O1014" s="75" t="s">
        <v>3958</v>
      </c>
      <c r="P1014" s="75">
        <v>0</v>
      </c>
      <c r="Q1014" s="75">
        <v>0</v>
      </c>
      <c r="R1014" s="75">
        <v>0</v>
      </c>
      <c r="S1014" s="75">
        <v>0</v>
      </c>
      <c r="T1014" s="75">
        <v>0</v>
      </c>
      <c r="U1014" s="75">
        <v>0</v>
      </c>
      <c r="V1014" s="75">
        <v>0</v>
      </c>
      <c r="W1014" s="78"/>
    </row>
    <row r="1015" spans="1:23" s="75" customFormat="1" hidden="1" x14ac:dyDescent="0.35">
      <c r="A1015" s="75">
        <v>1011</v>
      </c>
      <c r="B1015" s="75">
        <v>1012</v>
      </c>
      <c r="C1015">
        <v>146.05965670000001</v>
      </c>
      <c r="D1015">
        <v>-17.53259006</v>
      </c>
      <c r="F1015" s="75" t="str">
        <f>HYPERLINK("E:\Data From Lucan\2024\Johnstone\Frames_for_Analysis\1012_20240610_0006_L_0565.jpg","1012_20240610_0006_L_0565.jpg")</f>
        <v>1012_20240610_0006_L_0565.jpg</v>
      </c>
      <c r="G1015" s="75">
        <v>100</v>
      </c>
      <c r="I1015" t="str">
        <f t="shared" si="15"/>
        <v>X</v>
      </c>
      <c r="J1015" s="75" t="s">
        <v>3958</v>
      </c>
      <c r="K1015" s="77"/>
      <c r="L1015" s="77"/>
      <c r="M1015" s="77"/>
      <c r="N1015" s="77"/>
      <c r="O1015" s="75">
        <v>1</v>
      </c>
      <c r="P1015" s="75">
        <v>0</v>
      </c>
      <c r="Q1015" s="75">
        <v>0</v>
      </c>
      <c r="R1015" s="75">
        <v>0</v>
      </c>
      <c r="S1015" s="75">
        <v>0</v>
      </c>
      <c r="T1015" s="75">
        <v>0</v>
      </c>
      <c r="U1015" s="75">
        <v>0</v>
      </c>
      <c r="V1015" s="75">
        <v>0</v>
      </c>
      <c r="W1015" s="78">
        <v>0</v>
      </c>
    </row>
    <row r="1016" spans="1:23" s="75" customFormat="1" hidden="1" x14ac:dyDescent="0.35">
      <c r="A1016" s="75">
        <v>1012</v>
      </c>
      <c r="B1016" s="75">
        <v>1013</v>
      </c>
      <c r="C1016">
        <v>146.05969350000001</v>
      </c>
      <c r="D1016">
        <v>-17.532503200000001</v>
      </c>
      <c r="F1016" s="75" t="str">
        <f>HYPERLINK("E:\Data From Lucan\2024\Johnstone\Frames_for_Analysis\1013_20240610_0006_L_0567.jpg","1013_20240610_0006_L_0567.jpg")</f>
        <v>1013_20240610_0006_L_0567.jpg</v>
      </c>
      <c r="G1016" s="75">
        <v>100</v>
      </c>
      <c r="I1016">
        <f t="shared" si="15"/>
        <v>1</v>
      </c>
      <c r="J1016" s="75">
        <v>1</v>
      </c>
      <c r="K1016" s="77"/>
      <c r="L1016" s="77"/>
      <c r="M1016" s="77"/>
      <c r="N1016" s="77"/>
      <c r="O1016" s="75">
        <v>1</v>
      </c>
      <c r="P1016" s="75">
        <v>0</v>
      </c>
      <c r="Q1016" s="75">
        <v>0</v>
      </c>
      <c r="R1016" s="75">
        <v>0</v>
      </c>
      <c r="S1016" s="75">
        <v>0</v>
      </c>
      <c r="T1016" s="75">
        <v>0</v>
      </c>
      <c r="U1016" s="75">
        <v>0</v>
      </c>
      <c r="V1016" s="75">
        <v>0</v>
      </c>
      <c r="W1016" s="78">
        <v>0</v>
      </c>
    </row>
    <row r="1017" spans="1:23" s="75" customFormat="1" hidden="1" x14ac:dyDescent="0.35">
      <c r="A1017" s="75">
        <v>1013</v>
      </c>
      <c r="B1017" s="75">
        <v>1014</v>
      </c>
      <c r="C1017">
        <v>146.059755</v>
      </c>
      <c r="D1017">
        <v>-17.532432400000001</v>
      </c>
      <c r="F1017" s="75" t="str">
        <f>HYPERLINK("E:\Data From Lucan\2024\Johnstone\Frames_for_Analysis\1014_20240610_0006_L_0568.jpg","1014_20240610_0006_L_0568.jpg")</f>
        <v>1014_20240610_0006_L_0568.jpg</v>
      </c>
      <c r="G1017" s="75">
        <v>100</v>
      </c>
      <c r="I1017">
        <f t="shared" si="15"/>
        <v>1</v>
      </c>
      <c r="J1017" s="75">
        <v>1</v>
      </c>
      <c r="K1017" s="77"/>
      <c r="L1017" s="77"/>
      <c r="M1017" s="77"/>
      <c r="N1017" s="77"/>
      <c r="O1017" s="75">
        <v>1</v>
      </c>
      <c r="P1017" s="75">
        <v>0</v>
      </c>
      <c r="Q1017" s="75">
        <v>0</v>
      </c>
      <c r="R1017" s="75">
        <v>0</v>
      </c>
      <c r="S1017" s="75">
        <v>0</v>
      </c>
      <c r="T1017" s="75">
        <v>0</v>
      </c>
      <c r="U1017" s="75">
        <v>0</v>
      </c>
      <c r="V1017" s="75">
        <v>0</v>
      </c>
      <c r="W1017" s="78">
        <v>0</v>
      </c>
    </row>
    <row r="1018" spans="1:23" s="75" customFormat="1" hidden="1" x14ac:dyDescent="0.35">
      <c r="A1018" s="75">
        <v>1014</v>
      </c>
      <c r="B1018" s="75">
        <v>1015</v>
      </c>
      <c r="C1018">
        <v>146.05982839999999</v>
      </c>
      <c r="D1018">
        <v>-17.53237442</v>
      </c>
      <c r="F1018" s="75" t="str">
        <f>HYPERLINK("E:\Data From Lucan\2024\Johnstone\Frames_for_Analysis\1015_20240610_0006_L_0572.jpg","1015_20240610_0006_L_0572.jpg")</f>
        <v>1015_20240610_0006_L_0572.jpg</v>
      </c>
      <c r="G1018" s="75">
        <v>100</v>
      </c>
      <c r="I1018">
        <f t="shared" si="15"/>
        <v>1</v>
      </c>
      <c r="J1018" s="75">
        <v>1</v>
      </c>
      <c r="K1018" s="77"/>
      <c r="L1018" s="77"/>
      <c r="M1018" s="77"/>
      <c r="N1018" s="77"/>
      <c r="O1018" s="75">
        <v>1</v>
      </c>
      <c r="P1018" s="75">
        <v>0</v>
      </c>
      <c r="Q1018" s="75">
        <v>0</v>
      </c>
      <c r="R1018" s="75">
        <v>0</v>
      </c>
      <c r="S1018" s="75">
        <v>0</v>
      </c>
      <c r="T1018" s="75">
        <v>0</v>
      </c>
      <c r="U1018" s="75">
        <v>0</v>
      </c>
      <c r="V1018" s="75">
        <v>0</v>
      </c>
      <c r="W1018" s="78">
        <v>0</v>
      </c>
    </row>
    <row r="1019" spans="1:23" s="75" customFormat="1" hidden="1" x14ac:dyDescent="0.35">
      <c r="A1019" s="75">
        <v>1015</v>
      </c>
      <c r="B1019" s="75">
        <v>1016</v>
      </c>
      <c r="C1019">
        <v>146.05990929999999</v>
      </c>
      <c r="D1019">
        <v>-17.53232637</v>
      </c>
      <c r="F1019" s="75" t="str">
        <f>HYPERLINK("E:\Data From Lucan\2024\Johnstone\Frames_for_Analysis\1016_20240610_0006_L_0576.jpg","1016_20240610_0006_L_0576.jpg")</f>
        <v>1016_20240610_0006_L_0576.jpg</v>
      </c>
      <c r="G1019" s="75">
        <v>100</v>
      </c>
      <c r="I1019">
        <f t="shared" si="15"/>
        <v>1</v>
      </c>
      <c r="J1019" s="75">
        <v>1</v>
      </c>
      <c r="K1019" s="77"/>
      <c r="L1019" s="77"/>
      <c r="M1019" s="77"/>
      <c r="N1019" s="77"/>
      <c r="O1019" s="75">
        <v>1</v>
      </c>
      <c r="P1019" s="75">
        <v>0</v>
      </c>
      <c r="Q1019" s="75">
        <v>0</v>
      </c>
      <c r="R1019" s="75">
        <v>0</v>
      </c>
      <c r="S1019" s="75">
        <v>0</v>
      </c>
      <c r="T1019" s="75">
        <v>0</v>
      </c>
      <c r="U1019" s="75">
        <v>0</v>
      </c>
      <c r="V1019" s="75">
        <v>0</v>
      </c>
      <c r="W1019" s="78">
        <v>0</v>
      </c>
    </row>
    <row r="1020" spans="1:23" s="75" customFormat="1" hidden="1" x14ac:dyDescent="0.35">
      <c r="A1020" s="75">
        <v>1016</v>
      </c>
      <c r="B1020" s="75">
        <v>1017</v>
      </c>
      <c r="C1020">
        <v>146.05999829999999</v>
      </c>
      <c r="D1020">
        <v>-17.532295220000002</v>
      </c>
      <c r="F1020" s="75" t="str">
        <f>HYPERLINK("E:\Data From Lucan\2024\Johnstone\Frames_for_Analysis\1017_20240610_0006_L_0582.jpg","1017_20240610_0006_L_0582.jpg")</f>
        <v>1017_20240610_0006_L_0582.jpg</v>
      </c>
      <c r="G1020" s="75">
        <v>100</v>
      </c>
      <c r="I1020" t="str">
        <f t="shared" si="15"/>
        <v>X</v>
      </c>
      <c r="J1020" s="75" t="s">
        <v>3958</v>
      </c>
      <c r="K1020" s="77"/>
      <c r="L1020" s="77"/>
      <c r="M1020" s="77"/>
      <c r="N1020" s="77"/>
      <c r="O1020" s="75">
        <v>1</v>
      </c>
      <c r="P1020" s="75">
        <v>0</v>
      </c>
      <c r="Q1020" s="75">
        <v>0</v>
      </c>
      <c r="R1020" s="75">
        <v>0</v>
      </c>
      <c r="S1020" s="75">
        <v>0</v>
      </c>
      <c r="T1020" s="75">
        <v>0</v>
      </c>
      <c r="U1020" s="75">
        <v>0</v>
      </c>
      <c r="V1020" s="75">
        <v>0</v>
      </c>
      <c r="W1020" s="78">
        <v>0</v>
      </c>
    </row>
    <row r="1021" spans="1:23" s="75" customFormat="1" hidden="1" x14ac:dyDescent="0.35">
      <c r="A1021" s="75">
        <v>1017</v>
      </c>
      <c r="B1021" s="75">
        <v>1018</v>
      </c>
      <c r="C1021">
        <v>146.06008729999999</v>
      </c>
      <c r="D1021">
        <v>-17.53226407</v>
      </c>
      <c r="F1021" s="75" t="str">
        <f>HYPERLINK("E:\Data From Lucan\2024\Johnstone\Frames_for_Analysis\1018_20240610_0006_L_0585.jpg","1018_20240610_0006_L_0585.jpg")</f>
        <v>1018_20240610_0006_L_0585.jpg</v>
      </c>
      <c r="G1021" s="75">
        <v>100</v>
      </c>
      <c r="I1021">
        <f t="shared" si="15"/>
        <v>1</v>
      </c>
      <c r="J1021" s="75">
        <v>1</v>
      </c>
      <c r="K1021" s="77"/>
      <c r="L1021" s="77"/>
      <c r="M1021" s="77"/>
      <c r="N1021" s="77"/>
      <c r="O1021" s="75">
        <v>1</v>
      </c>
      <c r="P1021" s="75">
        <v>0</v>
      </c>
      <c r="Q1021" s="75">
        <v>0</v>
      </c>
      <c r="R1021" s="75">
        <v>0</v>
      </c>
      <c r="S1021" s="75">
        <v>0</v>
      </c>
      <c r="T1021" s="75">
        <v>0</v>
      </c>
      <c r="U1021" s="75">
        <v>0</v>
      </c>
      <c r="V1021" s="75">
        <v>0</v>
      </c>
      <c r="W1021" s="78">
        <v>0</v>
      </c>
    </row>
    <row r="1022" spans="1:23" s="75" customFormat="1" hidden="1" x14ac:dyDescent="0.35">
      <c r="A1022" s="75">
        <v>1018</v>
      </c>
      <c r="B1022" s="75">
        <v>1019</v>
      </c>
      <c r="C1022">
        <v>146.06017629999999</v>
      </c>
      <c r="D1022">
        <v>-17.532232919999998</v>
      </c>
      <c r="F1022" s="75" t="str">
        <f>HYPERLINK("E:\Data From Lucan\2024\Johnstone\Frames_for_Analysis\1019_20240610_0006_L_0588.jpg","1019_20240610_0006_L_0588.jpg")</f>
        <v>1019_20240610_0006_L_0588.jpg</v>
      </c>
      <c r="G1022" s="75">
        <v>100</v>
      </c>
      <c r="I1022">
        <f t="shared" si="15"/>
        <v>1</v>
      </c>
      <c r="J1022" s="75">
        <v>1</v>
      </c>
      <c r="K1022" s="77"/>
      <c r="L1022" s="77"/>
      <c r="M1022" s="77"/>
      <c r="N1022" s="77"/>
      <c r="O1022" s="75">
        <v>1</v>
      </c>
      <c r="P1022" s="75">
        <v>0</v>
      </c>
      <c r="Q1022" s="75">
        <v>0</v>
      </c>
      <c r="R1022" s="75">
        <v>0</v>
      </c>
      <c r="S1022" s="75">
        <v>0</v>
      </c>
      <c r="T1022" s="75">
        <v>0</v>
      </c>
      <c r="U1022" s="75">
        <v>0</v>
      </c>
      <c r="V1022" s="75">
        <v>0</v>
      </c>
      <c r="W1022" s="78">
        <v>0</v>
      </c>
    </row>
    <row r="1023" spans="1:23" s="75" customFormat="1" hidden="1" x14ac:dyDescent="0.35">
      <c r="A1023" s="75">
        <v>1019</v>
      </c>
      <c r="B1023" s="75">
        <v>1020</v>
      </c>
      <c r="C1023">
        <v>146.06026890000001</v>
      </c>
      <c r="D1023">
        <v>-17.532218050000001</v>
      </c>
      <c r="F1023" s="75" t="str">
        <f>HYPERLINK("E:\Data From Lucan\2024\Johnstone\Frames_for_Analysis\1020_20240610_0006_L_0592.jpg","1020_20240610_0006_L_0592.jpg")</f>
        <v>1020_20240610_0006_L_0592.jpg</v>
      </c>
      <c r="G1023" s="75">
        <v>100</v>
      </c>
      <c r="I1023">
        <f t="shared" si="15"/>
        <v>1</v>
      </c>
      <c r="J1023" s="75">
        <v>1</v>
      </c>
      <c r="K1023" s="77"/>
      <c r="L1023" s="77"/>
      <c r="M1023" s="77"/>
      <c r="N1023" s="77"/>
      <c r="O1023" s="75">
        <v>1</v>
      </c>
      <c r="P1023" s="75">
        <v>0</v>
      </c>
      <c r="Q1023" s="75">
        <v>0</v>
      </c>
      <c r="R1023" s="75">
        <v>0</v>
      </c>
      <c r="S1023" s="75">
        <v>0</v>
      </c>
      <c r="T1023" s="75">
        <v>0</v>
      </c>
      <c r="U1023" s="75">
        <v>0</v>
      </c>
      <c r="V1023" s="75">
        <v>0</v>
      </c>
      <c r="W1023" s="78">
        <v>0</v>
      </c>
    </row>
    <row r="1024" spans="1:23" s="75" customFormat="1" hidden="1" x14ac:dyDescent="0.35">
      <c r="A1024" s="75">
        <v>1020</v>
      </c>
      <c r="B1024" s="75">
        <v>1021</v>
      </c>
      <c r="C1024">
        <v>146.06036280000001</v>
      </c>
      <c r="D1024">
        <v>-17.532208919999999</v>
      </c>
      <c r="F1024" s="75" t="str">
        <f>HYPERLINK("E:\Data From Lucan\2024\Johnstone\Frames_for_Analysis\1021_20240610_0006_L_0595.jpg","1021_20240610_0006_L_0595.jpg")</f>
        <v>1021_20240610_0006_L_0595.jpg</v>
      </c>
      <c r="G1024" s="75">
        <v>100</v>
      </c>
      <c r="I1024">
        <f t="shared" si="15"/>
        <v>1</v>
      </c>
      <c r="J1024" s="75">
        <v>1</v>
      </c>
      <c r="K1024" s="77"/>
      <c r="L1024" s="77"/>
      <c r="M1024" s="77"/>
      <c r="N1024" s="77"/>
      <c r="O1024" s="75">
        <v>1</v>
      </c>
      <c r="P1024" s="75">
        <v>0</v>
      </c>
      <c r="Q1024" s="75">
        <v>0</v>
      </c>
      <c r="R1024" s="75">
        <v>0</v>
      </c>
      <c r="S1024" s="75">
        <v>0</v>
      </c>
      <c r="T1024" s="75">
        <v>0</v>
      </c>
      <c r="U1024" s="75">
        <v>0</v>
      </c>
      <c r="V1024" s="75">
        <v>0</v>
      </c>
      <c r="W1024" s="78">
        <v>0</v>
      </c>
    </row>
    <row r="1025" spans="1:23" s="75" customFormat="1" hidden="1" x14ac:dyDescent="0.35">
      <c r="A1025" s="75">
        <v>1021</v>
      </c>
      <c r="B1025" s="75">
        <v>1022</v>
      </c>
      <c r="C1025">
        <v>146.06045660000001</v>
      </c>
      <c r="D1025">
        <v>-17.532199779999999</v>
      </c>
      <c r="F1025" s="75" t="str">
        <f>HYPERLINK("E:\Data From Lucan\2024\Johnstone\Frames_for_Analysis\1022_20240610_0006_L_0599.jpg","1022_20240610_0006_L_0599.jpg")</f>
        <v>1022_20240610_0006_L_0599.jpg</v>
      </c>
      <c r="G1025" s="75">
        <v>100</v>
      </c>
      <c r="I1025">
        <f t="shared" si="15"/>
        <v>1</v>
      </c>
      <c r="J1025" s="75">
        <v>1</v>
      </c>
      <c r="K1025" s="77"/>
      <c r="L1025" s="77"/>
      <c r="M1025" s="77"/>
      <c r="N1025" s="77"/>
      <c r="O1025" s="75">
        <v>1</v>
      </c>
      <c r="P1025" s="75">
        <v>0</v>
      </c>
      <c r="Q1025" s="75">
        <v>0</v>
      </c>
      <c r="R1025" s="75">
        <v>0</v>
      </c>
      <c r="S1025" s="75">
        <v>0</v>
      </c>
      <c r="T1025" s="75">
        <v>0</v>
      </c>
      <c r="U1025" s="75">
        <v>0</v>
      </c>
      <c r="V1025" s="75">
        <v>0</v>
      </c>
      <c r="W1025" s="78">
        <v>0</v>
      </c>
    </row>
    <row r="1026" spans="1:23" s="75" customFormat="1" hidden="1" x14ac:dyDescent="0.35">
      <c r="A1026" s="75">
        <v>1022</v>
      </c>
      <c r="B1026" s="75">
        <v>1023</v>
      </c>
      <c r="C1026">
        <v>146.06055050000001</v>
      </c>
      <c r="D1026">
        <v>-17.532190660000001</v>
      </c>
      <c r="F1026" s="75" t="str">
        <f>HYPERLINK("E:\Data From Lucan\2024\Johnstone\Frames_for_Analysis\1023_20240610_0006_L_0602.jpg","1023_20240610_0006_L_0602.jpg")</f>
        <v>1023_20240610_0006_L_0602.jpg</v>
      </c>
      <c r="G1026" s="75">
        <v>100</v>
      </c>
      <c r="I1026">
        <f t="shared" si="15"/>
        <v>1</v>
      </c>
      <c r="J1026" s="75">
        <v>1</v>
      </c>
      <c r="K1026" s="77"/>
      <c r="L1026" s="77"/>
      <c r="M1026" s="77"/>
      <c r="N1026" s="77"/>
      <c r="O1026" s="75">
        <v>1</v>
      </c>
      <c r="P1026" s="75">
        <v>0</v>
      </c>
      <c r="Q1026" s="75">
        <v>0</v>
      </c>
      <c r="R1026" s="75">
        <v>0</v>
      </c>
      <c r="S1026" s="75">
        <v>0</v>
      </c>
      <c r="T1026" s="75">
        <v>0</v>
      </c>
      <c r="U1026" s="75">
        <v>0</v>
      </c>
      <c r="V1026" s="75">
        <v>0</v>
      </c>
      <c r="W1026" s="78">
        <v>0</v>
      </c>
    </row>
    <row r="1027" spans="1:23" s="75" customFormat="1" hidden="1" x14ac:dyDescent="0.35">
      <c r="A1027" s="75">
        <v>1023</v>
      </c>
      <c r="B1027" s="75">
        <v>1024</v>
      </c>
      <c r="C1027">
        <v>146.06064430000001</v>
      </c>
      <c r="D1027">
        <v>-17.532181520000002</v>
      </c>
      <c r="F1027" s="75" t="str">
        <f>HYPERLINK("E:\Data From Lucan\2024\Johnstone\Frames_for_Analysis\1024_20240610_0006_L_0606.jpg","1024_20240610_0006_L_0606.jpg")</f>
        <v>1024_20240610_0006_L_0606.jpg</v>
      </c>
      <c r="G1027" s="75">
        <v>100</v>
      </c>
      <c r="I1027">
        <f t="shared" si="15"/>
        <v>1</v>
      </c>
      <c r="J1027" s="75">
        <v>1</v>
      </c>
      <c r="K1027" s="77"/>
      <c r="L1027" s="77"/>
      <c r="M1027" s="77"/>
      <c r="N1027" s="77"/>
      <c r="O1027" s="75">
        <v>1</v>
      </c>
      <c r="P1027" s="75">
        <v>0</v>
      </c>
      <c r="Q1027" s="75">
        <v>0</v>
      </c>
      <c r="R1027" s="75">
        <v>0</v>
      </c>
      <c r="S1027" s="75">
        <v>0</v>
      </c>
      <c r="T1027" s="75">
        <v>0</v>
      </c>
      <c r="U1027" s="75">
        <v>0</v>
      </c>
      <c r="V1027" s="75">
        <v>0</v>
      </c>
      <c r="W1027" s="78">
        <v>0</v>
      </c>
    </row>
    <row r="1028" spans="1:23" s="75" customFormat="1" hidden="1" x14ac:dyDescent="0.35">
      <c r="A1028" s="75">
        <v>1024</v>
      </c>
      <c r="B1028" s="75">
        <v>1025</v>
      </c>
      <c r="C1028">
        <v>146.0607383</v>
      </c>
      <c r="D1028">
        <v>-17.532173920000002</v>
      </c>
      <c r="F1028" s="75" t="str">
        <f>HYPERLINK("E:\Data From Lucan\2024\Johnstone\Frames_for_Analysis\1025_20240610_0006_L_0610.jpg","1025_20240610_0006_L_0610.jpg")</f>
        <v>1025_20240610_0006_L_0610.jpg</v>
      </c>
      <c r="G1028" s="75">
        <v>100</v>
      </c>
      <c r="I1028">
        <f t="shared" si="15"/>
        <v>1</v>
      </c>
      <c r="J1028" s="75">
        <v>1</v>
      </c>
      <c r="K1028" s="77"/>
      <c r="L1028" s="77"/>
      <c r="M1028" s="77"/>
      <c r="N1028" s="77"/>
      <c r="O1028" s="75">
        <v>1</v>
      </c>
      <c r="P1028" s="75">
        <v>0</v>
      </c>
      <c r="Q1028" s="75">
        <v>0</v>
      </c>
      <c r="R1028" s="75">
        <v>0</v>
      </c>
      <c r="S1028" s="75">
        <v>0</v>
      </c>
      <c r="T1028" s="75">
        <v>0</v>
      </c>
      <c r="U1028" s="75">
        <v>0</v>
      </c>
      <c r="V1028" s="75">
        <v>0</v>
      </c>
      <c r="W1028" s="78">
        <v>0</v>
      </c>
    </row>
    <row r="1029" spans="1:23" s="75" customFormat="1" hidden="1" x14ac:dyDescent="0.35">
      <c r="A1029" s="75">
        <v>1025</v>
      </c>
      <c r="B1029" s="75">
        <v>1026</v>
      </c>
      <c r="C1029">
        <v>146.0608326</v>
      </c>
      <c r="D1029">
        <v>-17.53217437</v>
      </c>
      <c r="F1029" s="75" t="str">
        <f>HYPERLINK("E:\Data From Lucan\2024\Johnstone\Frames_for_Analysis\1026_20240610_0006_L_0614.jpg","1026_20240610_0006_L_0614.jpg")</f>
        <v>1026_20240610_0006_L_0614.jpg</v>
      </c>
      <c r="G1029" s="75">
        <v>100</v>
      </c>
      <c r="I1029" t="str">
        <f t="shared" ref="I1029:I1092" si="16">IF(H1029="X","X",IF(J1029="NA","X",IF(J1029="","X",J1029)))</f>
        <v>X</v>
      </c>
      <c r="J1029" s="75" t="s">
        <v>3958</v>
      </c>
      <c r="K1029" s="77"/>
      <c r="L1029" s="77"/>
      <c r="M1029" s="77"/>
      <c r="N1029" s="77"/>
      <c r="O1029" s="75">
        <v>1</v>
      </c>
      <c r="P1029" s="75">
        <v>0</v>
      </c>
      <c r="Q1029" s="75">
        <v>0</v>
      </c>
      <c r="R1029" s="75">
        <v>0</v>
      </c>
      <c r="S1029" s="75">
        <v>0</v>
      </c>
      <c r="T1029" s="75">
        <v>0</v>
      </c>
      <c r="U1029" s="75">
        <v>0</v>
      </c>
      <c r="V1029" s="75">
        <v>0</v>
      </c>
      <c r="W1029" s="78">
        <v>0</v>
      </c>
    </row>
    <row r="1030" spans="1:23" s="75" customFormat="1" hidden="1" x14ac:dyDescent="0.35">
      <c r="A1030" s="75">
        <v>1026</v>
      </c>
      <c r="B1030" s="75">
        <v>1027</v>
      </c>
      <c r="C1030">
        <v>146.0609269</v>
      </c>
      <c r="D1030">
        <v>-17.532174820000002</v>
      </c>
      <c r="F1030" s="75" t="str">
        <f>HYPERLINK("E:\Data From Lucan\2024\Johnstone\Frames_for_Analysis\1027_20240610_0006_L_0618.jpg","1027_20240610_0006_L_0618.jpg")</f>
        <v>1027_20240610_0006_L_0618.jpg</v>
      </c>
      <c r="G1030" s="75">
        <v>100</v>
      </c>
      <c r="I1030">
        <f t="shared" si="16"/>
        <v>1</v>
      </c>
      <c r="J1030" s="75">
        <v>1</v>
      </c>
      <c r="K1030" s="77"/>
      <c r="L1030" s="77"/>
      <c r="M1030" s="77"/>
      <c r="N1030" s="77"/>
      <c r="O1030" s="75">
        <v>1</v>
      </c>
      <c r="P1030" s="75">
        <v>0</v>
      </c>
      <c r="Q1030" s="75">
        <v>0</v>
      </c>
      <c r="R1030" s="75">
        <v>0</v>
      </c>
      <c r="S1030" s="75">
        <v>0</v>
      </c>
      <c r="T1030" s="75">
        <v>0</v>
      </c>
      <c r="U1030" s="75">
        <v>0</v>
      </c>
      <c r="V1030" s="75">
        <v>0</v>
      </c>
      <c r="W1030" s="78">
        <v>0</v>
      </c>
    </row>
    <row r="1031" spans="1:23" s="75" customFormat="1" hidden="1" x14ac:dyDescent="0.35">
      <c r="A1031" s="75">
        <v>1027</v>
      </c>
      <c r="B1031" s="75">
        <v>1028</v>
      </c>
      <c r="C1031">
        <v>146.0610212</v>
      </c>
      <c r="D1031">
        <v>-17.532175259999999</v>
      </c>
      <c r="F1031" s="75" t="str">
        <f>HYPERLINK("E:\Data From Lucan\2024\Johnstone\Frames_for_Analysis\1028_20240610_0006_L_0622.jpg","1028_20240610_0006_L_0622.jpg")</f>
        <v>1028_20240610_0006_L_0622.jpg</v>
      </c>
      <c r="G1031" s="75">
        <v>100</v>
      </c>
      <c r="I1031">
        <f t="shared" si="16"/>
        <v>1</v>
      </c>
      <c r="J1031" s="75">
        <v>1</v>
      </c>
      <c r="K1031" s="77"/>
      <c r="L1031" s="77"/>
      <c r="M1031" s="77"/>
      <c r="N1031" s="77"/>
      <c r="O1031" s="75">
        <v>1</v>
      </c>
      <c r="P1031" s="75">
        <v>0</v>
      </c>
      <c r="Q1031" s="75">
        <v>0</v>
      </c>
      <c r="R1031" s="75">
        <v>0</v>
      </c>
      <c r="S1031" s="75">
        <v>0</v>
      </c>
      <c r="T1031" s="75">
        <v>0</v>
      </c>
      <c r="U1031" s="75">
        <v>0</v>
      </c>
      <c r="V1031" s="75">
        <v>0</v>
      </c>
      <c r="W1031" s="78">
        <v>0</v>
      </c>
    </row>
    <row r="1032" spans="1:23" s="75" customFormat="1" hidden="1" x14ac:dyDescent="0.35">
      <c r="A1032" s="75">
        <v>1028</v>
      </c>
      <c r="B1032" s="75">
        <v>1029</v>
      </c>
      <c r="C1032">
        <v>146.0611155</v>
      </c>
      <c r="D1032">
        <v>-17.532175710000001</v>
      </c>
      <c r="F1032" s="75" t="str">
        <f>HYPERLINK("E:\Data From Lucan\2024\Johnstone\Frames_for_Analysis\1029_20240610_0006_L_0626.jpg","1029_20240610_0006_L_0626.jpg")</f>
        <v>1029_20240610_0006_L_0626.jpg</v>
      </c>
      <c r="G1032" s="75">
        <v>100</v>
      </c>
      <c r="I1032">
        <f t="shared" si="16"/>
        <v>1</v>
      </c>
      <c r="J1032" s="75">
        <v>1</v>
      </c>
      <c r="K1032" s="77"/>
      <c r="L1032" s="77"/>
      <c r="M1032" s="77"/>
      <c r="N1032" s="77"/>
      <c r="O1032" s="75">
        <v>1</v>
      </c>
      <c r="P1032" s="75">
        <v>0</v>
      </c>
      <c r="Q1032" s="75">
        <v>0</v>
      </c>
      <c r="R1032" s="75">
        <v>0</v>
      </c>
      <c r="S1032" s="75">
        <v>0</v>
      </c>
      <c r="T1032" s="75">
        <v>0</v>
      </c>
      <c r="U1032" s="75">
        <v>0</v>
      </c>
      <c r="V1032" s="75">
        <v>0</v>
      </c>
      <c r="W1032" s="78">
        <v>0</v>
      </c>
    </row>
    <row r="1033" spans="1:23" s="75" customFormat="1" hidden="1" x14ac:dyDescent="0.35">
      <c r="A1033" s="75">
        <v>1029</v>
      </c>
      <c r="B1033" s="75">
        <v>1030</v>
      </c>
      <c r="C1033">
        <v>146.0612098</v>
      </c>
      <c r="D1033">
        <v>-17.532176159999999</v>
      </c>
      <c r="F1033" s="75" t="str">
        <f>HYPERLINK("E:\Data From Lucan\2024\Johnstone\Frames_for_Analysis\1030_20240610_0006_L_0630.jpg","1030_20240610_0006_L_0630.jpg")</f>
        <v>1030_20240610_0006_L_0630.jpg</v>
      </c>
      <c r="G1033" s="75">
        <v>100</v>
      </c>
      <c r="I1033">
        <f t="shared" si="16"/>
        <v>1</v>
      </c>
      <c r="J1033" s="75">
        <v>1</v>
      </c>
      <c r="K1033" s="77"/>
      <c r="L1033" s="77"/>
      <c r="M1033" s="77"/>
      <c r="N1033" s="77"/>
      <c r="O1033" s="75">
        <v>1</v>
      </c>
      <c r="P1033" s="75">
        <v>0</v>
      </c>
      <c r="Q1033" s="75">
        <v>0</v>
      </c>
      <c r="R1033" s="75">
        <v>0</v>
      </c>
      <c r="S1033" s="75">
        <v>0</v>
      </c>
      <c r="T1033" s="75">
        <v>0</v>
      </c>
      <c r="U1033" s="75">
        <v>0</v>
      </c>
      <c r="V1033" s="75">
        <v>0</v>
      </c>
      <c r="W1033" s="78">
        <v>0</v>
      </c>
    </row>
    <row r="1034" spans="1:23" s="75" customFormat="1" hidden="1" x14ac:dyDescent="0.35">
      <c r="A1034" s="75">
        <v>1030</v>
      </c>
      <c r="B1034" s="75">
        <v>1031</v>
      </c>
      <c r="C1034">
        <v>146.0613041</v>
      </c>
      <c r="D1034">
        <v>-17.5321766</v>
      </c>
      <c r="F1034" s="75" t="str">
        <f>HYPERLINK("E:\Data From Lucan\2024\Johnstone\Frames_for_Analysis\1031_20240610_0006_L_0635.jpg","1031_20240610_0006_L_0635.jpg")</f>
        <v>1031_20240610_0006_L_0635.jpg</v>
      </c>
      <c r="G1034" s="75">
        <v>100</v>
      </c>
      <c r="I1034">
        <f t="shared" si="16"/>
        <v>1</v>
      </c>
      <c r="J1034" s="75">
        <v>1</v>
      </c>
      <c r="K1034" s="77"/>
      <c r="L1034" s="77"/>
      <c r="M1034" s="77"/>
      <c r="N1034" s="77"/>
      <c r="O1034" s="75">
        <v>1</v>
      </c>
      <c r="P1034" s="75">
        <v>0</v>
      </c>
      <c r="Q1034" s="75">
        <v>0</v>
      </c>
      <c r="R1034" s="75">
        <v>0</v>
      </c>
      <c r="S1034" s="75">
        <v>0</v>
      </c>
      <c r="T1034" s="75">
        <v>0</v>
      </c>
      <c r="U1034" s="75">
        <v>0</v>
      </c>
      <c r="V1034" s="75">
        <v>0</v>
      </c>
      <c r="W1034" s="78">
        <v>0</v>
      </c>
    </row>
    <row r="1035" spans="1:23" s="75" customFormat="1" hidden="1" x14ac:dyDescent="0.35">
      <c r="A1035" s="75">
        <v>1031</v>
      </c>
      <c r="B1035" s="75">
        <v>1032</v>
      </c>
      <c r="C1035">
        <v>146.0613984</v>
      </c>
      <c r="D1035">
        <v>-17.532177050000001</v>
      </c>
      <c r="F1035" s="75" t="str">
        <f>HYPERLINK("E:\Data From Lucan\2024\Johnstone\Frames_for_Analysis\1032_20240610_0006_L_0638.jpg","1032_20240610_0006_L_0638.jpg")</f>
        <v>1032_20240610_0006_L_0638.jpg</v>
      </c>
      <c r="G1035" s="75">
        <v>100</v>
      </c>
      <c r="I1035">
        <f t="shared" si="16"/>
        <v>1</v>
      </c>
      <c r="J1035" s="75">
        <v>1</v>
      </c>
      <c r="K1035" s="77"/>
      <c r="L1035" s="77"/>
      <c r="M1035" s="77"/>
      <c r="N1035" s="77"/>
      <c r="O1035" s="75">
        <v>1</v>
      </c>
      <c r="P1035" s="75">
        <v>0</v>
      </c>
      <c r="Q1035" s="75">
        <v>0</v>
      </c>
      <c r="R1035" s="75">
        <v>0</v>
      </c>
      <c r="S1035" s="75">
        <v>0</v>
      </c>
      <c r="T1035" s="75">
        <v>0</v>
      </c>
      <c r="U1035" s="75">
        <v>0</v>
      </c>
      <c r="V1035" s="75">
        <v>0</v>
      </c>
      <c r="W1035" s="78">
        <v>0</v>
      </c>
    </row>
    <row r="1036" spans="1:23" s="75" customFormat="1" hidden="1" x14ac:dyDescent="0.35">
      <c r="A1036" s="75">
        <v>1032</v>
      </c>
      <c r="B1036" s="75">
        <v>1033</v>
      </c>
      <c r="C1036">
        <v>146.0614927</v>
      </c>
      <c r="D1036">
        <v>-17.5321775</v>
      </c>
      <c r="F1036" s="75" t="str">
        <f>HYPERLINK("E:\Data From Lucan\2024\Johnstone\Frames_for_Analysis\1033_20240610_0006_L_0644.jpg","1033_20240610_0006_L_0644.jpg")</f>
        <v>1033_20240610_0006_L_0644.jpg</v>
      </c>
      <c r="G1036" s="75">
        <v>100</v>
      </c>
      <c r="I1036">
        <f t="shared" si="16"/>
        <v>1</v>
      </c>
      <c r="J1036" s="75">
        <v>1</v>
      </c>
      <c r="K1036" s="77"/>
      <c r="L1036" s="77"/>
      <c r="M1036" s="77"/>
      <c r="N1036" s="77"/>
      <c r="O1036" s="75">
        <v>1</v>
      </c>
      <c r="P1036" s="75">
        <v>0</v>
      </c>
      <c r="Q1036" s="75">
        <v>0</v>
      </c>
      <c r="R1036" s="75">
        <v>0</v>
      </c>
      <c r="S1036" s="75">
        <v>0</v>
      </c>
      <c r="T1036" s="75">
        <v>0</v>
      </c>
      <c r="U1036" s="75">
        <v>0</v>
      </c>
      <c r="V1036" s="75">
        <v>0</v>
      </c>
      <c r="W1036" s="78">
        <v>0</v>
      </c>
    </row>
    <row r="1037" spans="1:23" s="75" customFormat="1" hidden="1" x14ac:dyDescent="0.35">
      <c r="A1037" s="75">
        <v>1033</v>
      </c>
      <c r="B1037" s="75">
        <v>1034</v>
      </c>
      <c r="C1037">
        <v>146.06158640000001</v>
      </c>
      <c r="D1037">
        <v>-17.53216754</v>
      </c>
      <c r="F1037" s="75" t="str">
        <f>HYPERLINK("E:\Data From Lucan\2024\Johnstone\Frames_for_Analysis\1034_20240610_0006_L_0650.jpg","1034_20240610_0006_L_0650.jpg")</f>
        <v>1034_20240610_0006_L_0650.jpg</v>
      </c>
      <c r="G1037" s="75">
        <v>100</v>
      </c>
      <c r="I1037">
        <f t="shared" si="16"/>
        <v>1</v>
      </c>
      <c r="J1037" s="75">
        <v>1</v>
      </c>
      <c r="K1037" s="77"/>
      <c r="L1037" s="77"/>
      <c r="M1037" s="77"/>
      <c r="N1037" s="77"/>
      <c r="O1037" s="75">
        <v>1</v>
      </c>
      <c r="P1037" s="75">
        <v>0</v>
      </c>
      <c r="Q1037" s="75">
        <v>0</v>
      </c>
      <c r="R1037" s="75">
        <v>0</v>
      </c>
      <c r="S1037" s="75">
        <v>0</v>
      </c>
      <c r="T1037" s="75">
        <v>0</v>
      </c>
      <c r="U1037" s="75">
        <v>0</v>
      </c>
      <c r="V1037" s="75">
        <v>0</v>
      </c>
      <c r="W1037" s="78">
        <v>0</v>
      </c>
    </row>
    <row r="1038" spans="1:23" s="75" customFormat="1" hidden="1" x14ac:dyDescent="0.35">
      <c r="A1038" s="75">
        <v>1034</v>
      </c>
      <c r="B1038" s="75">
        <v>1035</v>
      </c>
      <c r="C1038">
        <v>146.06168</v>
      </c>
      <c r="D1038">
        <v>-17.532156350000001</v>
      </c>
      <c r="F1038" s="75" t="str">
        <f>HYPERLINK("E:\Data From Lucan\2024\Johnstone\Frames_for_Analysis\1035_20240610_0006_L_0655.jpg","1035_20240610_0006_L_0655.jpg")</f>
        <v>1035_20240610_0006_L_0655.jpg</v>
      </c>
      <c r="G1038" s="75">
        <v>100</v>
      </c>
      <c r="I1038">
        <f t="shared" si="16"/>
        <v>1</v>
      </c>
      <c r="J1038" s="75">
        <v>1</v>
      </c>
      <c r="K1038" s="77"/>
      <c r="L1038" s="77"/>
      <c r="M1038" s="77"/>
      <c r="N1038" s="77"/>
      <c r="O1038" s="75">
        <v>1</v>
      </c>
      <c r="P1038" s="75">
        <v>0</v>
      </c>
      <c r="Q1038" s="75">
        <v>0</v>
      </c>
      <c r="R1038" s="75">
        <v>0</v>
      </c>
      <c r="S1038" s="75">
        <v>0</v>
      </c>
      <c r="T1038" s="75">
        <v>0</v>
      </c>
      <c r="U1038" s="75">
        <v>0</v>
      </c>
      <c r="V1038" s="75">
        <v>0</v>
      </c>
      <c r="W1038" s="78">
        <v>0</v>
      </c>
    </row>
    <row r="1039" spans="1:23" s="75" customFormat="1" hidden="1" x14ac:dyDescent="0.35">
      <c r="A1039" s="75">
        <v>1035</v>
      </c>
      <c r="B1039" s="75">
        <v>1036</v>
      </c>
      <c r="C1039">
        <v>146.0617737</v>
      </c>
      <c r="D1039">
        <v>-17.532145159999999</v>
      </c>
      <c r="F1039" s="75" t="str">
        <f>HYPERLINK("E:\Data From Lucan\2024\Johnstone\Frames_for_Analysis\1036_20240610_0006_L_0661.jpg","1036_20240610_0006_L_0661.jpg")</f>
        <v>1036_20240610_0006_L_0661.jpg</v>
      </c>
      <c r="G1039" s="75">
        <v>100</v>
      </c>
      <c r="I1039">
        <f t="shared" si="16"/>
        <v>1</v>
      </c>
      <c r="J1039" s="75">
        <v>1</v>
      </c>
      <c r="K1039" s="77"/>
      <c r="L1039" s="77"/>
      <c r="M1039" s="77"/>
      <c r="N1039" s="77"/>
      <c r="O1039" s="75">
        <v>1</v>
      </c>
      <c r="P1039" s="75">
        <v>0</v>
      </c>
      <c r="Q1039" s="75">
        <v>0</v>
      </c>
      <c r="R1039" s="75">
        <v>0</v>
      </c>
      <c r="S1039" s="75">
        <v>0</v>
      </c>
      <c r="T1039" s="75">
        <v>0</v>
      </c>
      <c r="U1039" s="75">
        <v>0</v>
      </c>
      <c r="V1039" s="75">
        <v>0</v>
      </c>
      <c r="W1039" s="78">
        <v>0</v>
      </c>
    </row>
    <row r="1040" spans="1:23" s="75" customFormat="1" hidden="1" x14ac:dyDescent="0.35">
      <c r="A1040" s="75">
        <v>1036</v>
      </c>
      <c r="B1040" s="75">
        <v>1037</v>
      </c>
      <c r="C1040">
        <v>146.0618652</v>
      </c>
      <c r="D1040">
        <v>-17.53212371</v>
      </c>
      <c r="F1040" s="75" t="str">
        <f>HYPERLINK("E:\Data From Lucan\2024\Johnstone\Frames_for_Analysis\1037_20240610_0006_L_0667.jpg","1037_20240610_0006_L_0667.jpg")</f>
        <v>1037_20240610_0006_L_0667.jpg</v>
      </c>
      <c r="G1040" s="75">
        <v>100</v>
      </c>
      <c r="I1040">
        <f t="shared" si="16"/>
        <v>1</v>
      </c>
      <c r="J1040" s="75">
        <v>1</v>
      </c>
      <c r="K1040" s="77"/>
      <c r="L1040" s="77"/>
      <c r="M1040" s="77"/>
      <c r="N1040" s="77"/>
      <c r="O1040" s="75">
        <v>1</v>
      </c>
      <c r="P1040" s="75">
        <v>0</v>
      </c>
      <c r="Q1040" s="75">
        <v>0</v>
      </c>
      <c r="R1040" s="75">
        <v>0</v>
      </c>
      <c r="S1040" s="75">
        <v>0</v>
      </c>
      <c r="T1040" s="75">
        <v>0</v>
      </c>
      <c r="U1040" s="75">
        <v>0</v>
      </c>
      <c r="V1040" s="75">
        <v>0</v>
      </c>
      <c r="W1040" s="78">
        <v>0</v>
      </c>
    </row>
    <row r="1041" spans="1:23" s="75" customFormat="1" hidden="1" x14ac:dyDescent="0.35">
      <c r="A1041" s="75">
        <v>1037</v>
      </c>
      <c r="B1041" s="75">
        <v>1038</v>
      </c>
      <c r="C1041">
        <v>146.06195489999999</v>
      </c>
      <c r="D1041">
        <v>-17.53209541</v>
      </c>
      <c r="F1041" s="75" t="str">
        <f>HYPERLINK("E:\Data From Lucan\2024\Johnstone\Frames_for_Analysis\1038_20240610_0006_L_0673.jpg","1038_20240610_0006_L_0673.jpg")</f>
        <v>1038_20240610_0006_L_0673.jpg</v>
      </c>
      <c r="G1041" s="75">
        <v>100</v>
      </c>
      <c r="I1041">
        <f t="shared" si="16"/>
        <v>0</v>
      </c>
      <c r="J1041" s="75">
        <v>0</v>
      </c>
      <c r="K1041" s="77"/>
      <c r="L1041" s="77"/>
      <c r="M1041" s="77"/>
      <c r="N1041" s="77"/>
      <c r="O1041" s="75">
        <v>1</v>
      </c>
      <c r="P1041" s="75">
        <v>0</v>
      </c>
      <c r="Q1041" s="75">
        <v>0</v>
      </c>
      <c r="R1041" s="75">
        <v>0</v>
      </c>
      <c r="S1041" s="75">
        <v>0</v>
      </c>
      <c r="T1041" s="75">
        <v>0</v>
      </c>
      <c r="U1041" s="75">
        <v>0</v>
      </c>
      <c r="V1041" s="75">
        <v>0</v>
      </c>
      <c r="W1041" s="78">
        <v>0</v>
      </c>
    </row>
    <row r="1042" spans="1:23" s="75" customFormat="1" hidden="1" x14ac:dyDescent="0.35">
      <c r="A1042" s="75">
        <v>1038</v>
      </c>
      <c r="B1042" s="75">
        <v>1039</v>
      </c>
      <c r="C1042">
        <v>146.0620308</v>
      </c>
      <c r="D1042">
        <v>-17.53204041</v>
      </c>
      <c r="F1042" s="75" t="str">
        <f>HYPERLINK("E:\Data From Lucan\2024\Johnstone\Frames_for_Analysis\1039_20240610_0006_L_0678.jpg","1039_20240610_0006_L_0678.jpg")</f>
        <v>1039_20240610_0006_L_0678.jpg</v>
      </c>
      <c r="G1042" s="75">
        <v>100</v>
      </c>
      <c r="I1042">
        <f t="shared" si="16"/>
        <v>0</v>
      </c>
      <c r="J1042" s="75">
        <v>0</v>
      </c>
      <c r="K1042" s="77"/>
      <c r="L1042" s="77"/>
      <c r="M1042" s="77"/>
      <c r="N1042" s="77"/>
      <c r="O1042" s="75">
        <v>1</v>
      </c>
      <c r="P1042" s="75">
        <v>0</v>
      </c>
      <c r="Q1042" s="75">
        <v>0</v>
      </c>
      <c r="R1042" s="75">
        <v>0</v>
      </c>
      <c r="S1042" s="75">
        <v>0</v>
      </c>
      <c r="T1042" s="75">
        <v>0</v>
      </c>
      <c r="U1042" s="75">
        <v>0</v>
      </c>
      <c r="V1042" s="75">
        <v>0</v>
      </c>
      <c r="W1042" s="78">
        <v>0</v>
      </c>
    </row>
    <row r="1043" spans="1:23" s="75" customFormat="1" hidden="1" x14ac:dyDescent="0.35">
      <c r="A1043" s="75">
        <v>1039</v>
      </c>
      <c r="B1043" s="75">
        <v>1040</v>
      </c>
      <c r="C1043">
        <v>146.06207760000001</v>
      </c>
      <c r="D1043">
        <v>-17.531960680000001</v>
      </c>
      <c r="F1043" s="75" t="str">
        <f>HYPERLINK("E:\Data From Lucan\2024\Johnstone\Frames_for_Analysis\1040_20240610_0006_L_0686.jpg","1040_20240610_0006_L_0686.jpg")</f>
        <v>1040_20240610_0006_L_0686.jpg</v>
      </c>
      <c r="G1043" s="75">
        <v>100</v>
      </c>
      <c r="I1043">
        <f t="shared" si="16"/>
        <v>1</v>
      </c>
      <c r="J1043" s="75">
        <v>1</v>
      </c>
      <c r="K1043" s="77"/>
      <c r="L1043" s="77"/>
      <c r="M1043" s="77"/>
      <c r="N1043" s="77"/>
      <c r="O1043" s="75">
        <v>1</v>
      </c>
      <c r="P1043" s="75">
        <v>0</v>
      </c>
      <c r="Q1043" s="75">
        <v>0</v>
      </c>
      <c r="R1043" s="75">
        <v>0</v>
      </c>
      <c r="S1043" s="75">
        <v>0</v>
      </c>
      <c r="T1043" s="75">
        <v>0</v>
      </c>
      <c r="U1043" s="75">
        <v>0</v>
      </c>
      <c r="V1043" s="75">
        <v>0</v>
      </c>
      <c r="W1043" s="78">
        <v>0</v>
      </c>
    </row>
    <row r="1044" spans="1:23" s="75" customFormat="1" hidden="1" x14ac:dyDescent="0.35">
      <c r="A1044" s="75">
        <v>1040</v>
      </c>
      <c r="B1044" s="75">
        <v>1041</v>
      </c>
      <c r="C1044">
        <v>146.06208899999999</v>
      </c>
      <c r="D1044">
        <v>-17.531868029999998</v>
      </c>
      <c r="F1044" s="75" t="str">
        <f>HYPERLINK("E:\Data From Lucan\2024\Johnstone\Frames_for_Analysis\1041_20240610_0006_L_0697.jpg","1041_20240610_0006_L_0697.jpg")</f>
        <v>1041_20240610_0006_L_0697.jpg</v>
      </c>
      <c r="G1044" s="75">
        <v>100</v>
      </c>
      <c r="I1044">
        <f t="shared" si="16"/>
        <v>1</v>
      </c>
      <c r="J1044" s="75">
        <v>1</v>
      </c>
      <c r="K1044" s="77"/>
      <c r="L1044" s="77"/>
      <c r="M1044" s="77"/>
      <c r="N1044" s="77"/>
      <c r="O1044" s="75">
        <v>1</v>
      </c>
      <c r="P1044" s="75">
        <v>0</v>
      </c>
      <c r="Q1044" s="75">
        <v>0</v>
      </c>
      <c r="R1044" s="75">
        <v>0</v>
      </c>
      <c r="S1044" s="75">
        <v>0</v>
      </c>
      <c r="T1044" s="75">
        <v>0</v>
      </c>
      <c r="U1044" s="75">
        <v>0</v>
      </c>
      <c r="V1044" s="75">
        <v>0</v>
      </c>
      <c r="W1044" s="78">
        <v>0</v>
      </c>
    </row>
    <row r="1045" spans="1:23" s="75" customFormat="1" hidden="1" x14ac:dyDescent="0.35">
      <c r="A1045" s="75">
        <v>1041</v>
      </c>
      <c r="B1045" s="75">
        <v>1042</v>
      </c>
      <c r="C1045">
        <v>146.0620807</v>
      </c>
      <c r="D1045">
        <v>-17.53177488</v>
      </c>
      <c r="F1045" s="75" t="str">
        <f>HYPERLINK("E:\Data From Lucan\2024\Johnstone\Frames_for_Analysis\1042_20240610_0006_L_0705.jpg","1042_20240610_0006_L_0705.jpg")</f>
        <v>1042_20240610_0006_L_0705.jpg</v>
      </c>
      <c r="G1045" s="75">
        <v>100</v>
      </c>
      <c r="I1045">
        <f t="shared" si="16"/>
        <v>1</v>
      </c>
      <c r="J1045" s="75">
        <v>1</v>
      </c>
      <c r="K1045" s="77"/>
      <c r="L1045" s="77"/>
      <c r="M1045" s="77"/>
      <c r="N1045" s="77"/>
      <c r="O1045" s="75">
        <v>1</v>
      </c>
      <c r="P1045" s="75">
        <v>0</v>
      </c>
      <c r="Q1045" s="75">
        <v>0</v>
      </c>
      <c r="R1045" s="75">
        <v>0</v>
      </c>
      <c r="S1045" s="75">
        <v>0</v>
      </c>
      <c r="T1045" s="75">
        <v>0</v>
      </c>
      <c r="U1045" s="75">
        <v>0</v>
      </c>
      <c r="V1045" s="75">
        <v>0</v>
      </c>
      <c r="W1045" s="78">
        <v>0</v>
      </c>
    </row>
    <row r="1046" spans="1:23" s="75" customFormat="1" hidden="1" x14ac:dyDescent="0.35">
      <c r="A1046" s="75">
        <v>1042</v>
      </c>
      <c r="B1046" s="75">
        <v>1043</v>
      </c>
      <c r="C1046">
        <v>146.06205600000001</v>
      </c>
      <c r="D1046">
        <v>-17.53168389</v>
      </c>
      <c r="F1046" s="75" t="str">
        <f>HYPERLINK("E:\Data From Lucan\2024\Johnstone\Frames_for_Analysis\1043_20240610_0006_L_0709.jpg","1043_20240610_0006_L_0709.jpg")</f>
        <v>1043_20240610_0006_L_0709.jpg</v>
      </c>
      <c r="G1046" s="75">
        <v>100</v>
      </c>
      <c r="I1046">
        <f t="shared" si="16"/>
        <v>1</v>
      </c>
      <c r="J1046" s="75">
        <v>1</v>
      </c>
      <c r="K1046" s="77"/>
      <c r="L1046" s="77"/>
      <c r="M1046" s="77"/>
      <c r="N1046" s="77"/>
      <c r="O1046" s="75">
        <v>1</v>
      </c>
      <c r="P1046" s="75">
        <v>0</v>
      </c>
      <c r="Q1046" s="75">
        <v>0</v>
      </c>
      <c r="R1046" s="75">
        <v>0</v>
      </c>
      <c r="S1046" s="75">
        <v>0</v>
      </c>
      <c r="T1046" s="75">
        <v>0</v>
      </c>
      <c r="U1046" s="75">
        <v>0</v>
      </c>
      <c r="V1046" s="75">
        <v>0</v>
      </c>
      <c r="W1046" s="78">
        <v>0</v>
      </c>
    </row>
    <row r="1047" spans="1:23" s="75" customFormat="1" hidden="1" x14ac:dyDescent="0.35">
      <c r="A1047" s="75">
        <v>1043</v>
      </c>
      <c r="B1047" s="75">
        <v>1044</v>
      </c>
      <c r="C1047">
        <v>146.06202049999999</v>
      </c>
      <c r="D1047">
        <v>-17.531597059999999</v>
      </c>
      <c r="F1047" s="75" t="str">
        <f>HYPERLINK("E:\Data From Lucan\2024\Johnstone\Frames_for_Analysis\1044_20240610_0006_L_0712.jpg","1044_20240610_0006_L_0712.jpg")</f>
        <v>1044_20240610_0006_L_0712.jpg</v>
      </c>
      <c r="G1047" s="75">
        <v>100</v>
      </c>
      <c r="I1047">
        <f t="shared" si="16"/>
        <v>1</v>
      </c>
      <c r="J1047" s="75">
        <v>1</v>
      </c>
      <c r="K1047" s="77"/>
      <c r="L1047" s="77"/>
      <c r="M1047" s="77"/>
      <c r="N1047" s="77"/>
      <c r="O1047" s="75">
        <v>1</v>
      </c>
      <c r="P1047" s="75">
        <v>0</v>
      </c>
      <c r="Q1047" s="75">
        <v>0</v>
      </c>
      <c r="R1047" s="75">
        <v>0</v>
      </c>
      <c r="S1047" s="75">
        <v>0</v>
      </c>
      <c r="T1047" s="75">
        <v>0</v>
      </c>
      <c r="U1047" s="75">
        <v>0</v>
      </c>
      <c r="V1047" s="75">
        <v>0</v>
      </c>
      <c r="W1047" s="78">
        <v>0</v>
      </c>
    </row>
    <row r="1048" spans="1:23" s="75" customFormat="1" hidden="1" x14ac:dyDescent="0.35">
      <c r="A1048" s="75">
        <v>1044</v>
      </c>
      <c r="B1048" s="75">
        <v>1045</v>
      </c>
      <c r="C1048">
        <v>146.0619773</v>
      </c>
      <c r="D1048">
        <v>-17.531513220000001</v>
      </c>
      <c r="F1048" s="75" t="str">
        <f>HYPERLINK("E:\Data From Lucan\2024\Johnstone\Frames_for_Analysis\1045_20240610_0006_L_0717.jpg","1045_20240610_0006_L_0717.jpg")</f>
        <v>1045_20240610_0006_L_0717.jpg</v>
      </c>
      <c r="G1048" s="75">
        <v>100</v>
      </c>
      <c r="I1048">
        <f t="shared" si="16"/>
        <v>1</v>
      </c>
      <c r="J1048" s="75">
        <v>1</v>
      </c>
      <c r="K1048" s="77"/>
      <c r="L1048" s="77"/>
      <c r="M1048" s="77"/>
      <c r="N1048" s="77"/>
      <c r="O1048" s="75">
        <v>1</v>
      </c>
      <c r="P1048" s="75">
        <v>0</v>
      </c>
      <c r="Q1048" s="75">
        <v>0</v>
      </c>
      <c r="R1048" s="75">
        <v>0</v>
      </c>
      <c r="S1048" s="75">
        <v>0</v>
      </c>
      <c r="T1048" s="75">
        <v>0</v>
      </c>
      <c r="U1048" s="75">
        <v>0</v>
      </c>
      <c r="V1048" s="75">
        <v>0</v>
      </c>
      <c r="W1048" s="78">
        <v>0</v>
      </c>
    </row>
    <row r="1049" spans="1:23" s="75" customFormat="1" hidden="1" x14ac:dyDescent="0.35">
      <c r="A1049" s="75">
        <v>1045</v>
      </c>
      <c r="B1049" s="75">
        <v>1046</v>
      </c>
      <c r="C1049">
        <v>146.06192490000001</v>
      </c>
      <c r="D1049">
        <v>-17.531435470000002</v>
      </c>
      <c r="F1049" s="75" t="str">
        <f>HYPERLINK("E:\Data From Lucan\2024\Johnstone\Frames_for_Analysis\1046_20240610_0006_L_0723.jpg","1046_20240610_0006_L_0723.jpg")</f>
        <v>1046_20240610_0006_L_0723.jpg</v>
      </c>
      <c r="G1049" s="75">
        <v>100</v>
      </c>
      <c r="I1049">
        <f t="shared" si="16"/>
        <v>1</v>
      </c>
      <c r="J1049" s="75">
        <v>1</v>
      </c>
      <c r="K1049" s="77"/>
      <c r="L1049" s="77"/>
      <c r="M1049" s="77"/>
      <c r="N1049" s="77"/>
      <c r="O1049" s="75">
        <v>1</v>
      </c>
      <c r="P1049" s="75">
        <v>0</v>
      </c>
      <c r="Q1049" s="75">
        <v>0</v>
      </c>
      <c r="R1049" s="75">
        <v>0</v>
      </c>
      <c r="S1049" s="75">
        <v>0</v>
      </c>
      <c r="T1049" s="75">
        <v>0</v>
      </c>
      <c r="U1049" s="75">
        <v>0</v>
      </c>
      <c r="V1049" s="75">
        <v>0</v>
      </c>
      <c r="W1049" s="78">
        <v>0</v>
      </c>
    </row>
    <row r="1050" spans="1:23" s="75" customFormat="1" hidden="1" x14ac:dyDescent="0.35">
      <c r="A1050" s="75">
        <v>1046</v>
      </c>
      <c r="B1050" s="75">
        <v>1047</v>
      </c>
      <c r="C1050">
        <v>146.06186460000001</v>
      </c>
      <c r="D1050">
        <v>-17.531362949999998</v>
      </c>
      <c r="F1050" s="75" t="str">
        <f>HYPERLINK("E:\Data From Lucan\2024\Johnstone\Frames_for_Analysis\1047_20240610_0006_L_0728.jpg","1047_20240610_0006_L_0728.jpg")</f>
        <v>1047_20240610_0006_L_0728.jpg</v>
      </c>
      <c r="G1050" s="75">
        <v>100</v>
      </c>
      <c r="I1050">
        <f t="shared" si="16"/>
        <v>1</v>
      </c>
      <c r="J1050" s="75">
        <v>1</v>
      </c>
      <c r="K1050" s="77"/>
      <c r="L1050" s="77"/>
      <c r="M1050" s="77"/>
      <c r="N1050" s="77"/>
      <c r="O1050" s="75">
        <v>1</v>
      </c>
      <c r="P1050" s="75">
        <v>0</v>
      </c>
      <c r="Q1050" s="75">
        <v>0</v>
      </c>
      <c r="R1050" s="75">
        <v>0</v>
      </c>
      <c r="S1050" s="75">
        <v>0</v>
      </c>
      <c r="T1050" s="75">
        <v>0</v>
      </c>
      <c r="U1050" s="75">
        <v>0</v>
      </c>
      <c r="V1050" s="75">
        <v>0</v>
      </c>
      <c r="W1050" s="78">
        <v>0</v>
      </c>
    </row>
    <row r="1051" spans="1:23" s="75" customFormat="1" hidden="1" x14ac:dyDescent="0.35">
      <c r="A1051" s="75">
        <v>1047</v>
      </c>
      <c r="B1051" s="75">
        <v>1048</v>
      </c>
      <c r="C1051">
        <v>146.0618044</v>
      </c>
      <c r="D1051">
        <v>-17.531290420000001</v>
      </c>
      <c r="F1051" s="75" t="str">
        <f>HYPERLINK("E:\Data From Lucan\2024\Johnstone\Frames_for_Analysis\1048_20240610_0006_L_0732.jpg","1048_20240610_0006_L_0732.jpg")</f>
        <v>1048_20240610_0006_L_0732.jpg</v>
      </c>
      <c r="G1051" s="75">
        <v>100</v>
      </c>
      <c r="I1051">
        <f t="shared" si="16"/>
        <v>1</v>
      </c>
      <c r="J1051" s="75">
        <v>1</v>
      </c>
      <c r="K1051" s="77"/>
      <c r="L1051" s="77"/>
      <c r="M1051" s="77"/>
      <c r="N1051" s="77"/>
      <c r="O1051" s="75">
        <v>1</v>
      </c>
      <c r="P1051" s="75">
        <v>0</v>
      </c>
      <c r="Q1051" s="75">
        <v>0</v>
      </c>
      <c r="R1051" s="75">
        <v>0</v>
      </c>
      <c r="S1051" s="75">
        <v>0</v>
      </c>
      <c r="T1051" s="75">
        <v>0</v>
      </c>
      <c r="U1051" s="75">
        <v>0</v>
      </c>
      <c r="V1051" s="75">
        <v>0</v>
      </c>
      <c r="W1051" s="78">
        <v>0</v>
      </c>
    </row>
    <row r="1052" spans="1:23" s="75" customFormat="1" hidden="1" x14ac:dyDescent="0.35">
      <c r="A1052" s="75">
        <v>1048</v>
      </c>
      <c r="B1052" s="75">
        <v>1049</v>
      </c>
      <c r="C1052">
        <v>146.0617359</v>
      </c>
      <c r="D1052">
        <v>-17.531225719999998</v>
      </c>
      <c r="F1052" s="75" t="str">
        <f>HYPERLINK("E:\Data From Lucan\2024\Johnstone\Frames_for_Analysis\1049_20240610_0006_L_0737.jpg","1049_20240610_0006_L_0737.jpg")</f>
        <v>1049_20240610_0006_L_0737.jpg</v>
      </c>
      <c r="G1052" s="75">
        <v>100</v>
      </c>
      <c r="I1052">
        <f t="shared" si="16"/>
        <v>1</v>
      </c>
      <c r="J1052" s="75">
        <v>1</v>
      </c>
      <c r="K1052" s="77"/>
      <c r="L1052" s="77"/>
      <c r="M1052" s="77"/>
      <c r="N1052" s="77"/>
      <c r="O1052" s="75">
        <v>1</v>
      </c>
      <c r="P1052" s="75">
        <v>0</v>
      </c>
      <c r="Q1052" s="75">
        <v>0</v>
      </c>
      <c r="R1052" s="75">
        <v>0</v>
      </c>
      <c r="S1052" s="75">
        <v>0</v>
      </c>
      <c r="T1052" s="75">
        <v>0</v>
      </c>
      <c r="U1052" s="75">
        <v>0</v>
      </c>
      <c r="V1052" s="75">
        <v>0</v>
      </c>
      <c r="W1052" s="78">
        <v>0</v>
      </c>
    </row>
    <row r="1053" spans="1:23" s="75" customFormat="1" hidden="1" x14ac:dyDescent="0.35">
      <c r="A1053" s="75">
        <v>1049</v>
      </c>
      <c r="B1053" s="75">
        <v>1050</v>
      </c>
      <c r="C1053">
        <v>146.06166630000001</v>
      </c>
      <c r="D1053">
        <v>-17.53116211</v>
      </c>
      <c r="F1053" s="75" t="str">
        <f>HYPERLINK("E:\Data From Lucan\2024\Johnstone\Frames_for_Analysis\1050_20240610_0006_L_0742.jpg","1050_20240610_0006_L_0742.jpg")</f>
        <v>1050_20240610_0006_L_0742.jpg</v>
      </c>
      <c r="G1053" s="75">
        <v>100</v>
      </c>
      <c r="I1053">
        <f t="shared" si="16"/>
        <v>1</v>
      </c>
      <c r="J1053" s="75">
        <v>1</v>
      </c>
      <c r="K1053" s="77"/>
      <c r="L1053" s="77"/>
      <c r="M1053" s="77"/>
      <c r="N1053" s="77"/>
      <c r="O1053" s="75">
        <v>1</v>
      </c>
      <c r="P1053" s="75">
        <v>0</v>
      </c>
      <c r="Q1053" s="75">
        <v>0</v>
      </c>
      <c r="R1053" s="75">
        <v>0</v>
      </c>
      <c r="S1053" s="75">
        <v>0</v>
      </c>
      <c r="T1053" s="75">
        <v>0</v>
      </c>
      <c r="U1053" s="75">
        <v>0</v>
      </c>
      <c r="V1053" s="75">
        <v>0</v>
      </c>
      <c r="W1053" s="78">
        <v>0</v>
      </c>
    </row>
    <row r="1054" spans="1:23" s="75" customFormat="1" hidden="1" x14ac:dyDescent="0.35">
      <c r="A1054" s="75">
        <v>1050</v>
      </c>
      <c r="B1054" s="75">
        <v>1051</v>
      </c>
      <c r="C1054">
        <v>146.06159700000001</v>
      </c>
      <c r="D1054">
        <v>-17.531098140000001</v>
      </c>
      <c r="F1054" s="75" t="str">
        <f>HYPERLINK("E:\Data From Lucan\2024\Johnstone\Frames_for_Analysis\1051_20240610_0006_L_0746.jpg","1051_20240610_0006_L_0746.jpg")</f>
        <v>1051_20240610_0006_L_0746.jpg</v>
      </c>
      <c r="G1054" s="75">
        <v>100</v>
      </c>
      <c r="I1054">
        <f t="shared" si="16"/>
        <v>1</v>
      </c>
      <c r="J1054" s="75">
        <v>1</v>
      </c>
      <c r="K1054" s="77"/>
      <c r="L1054" s="77"/>
      <c r="M1054" s="77"/>
      <c r="N1054" s="77"/>
      <c r="O1054" s="75">
        <v>1</v>
      </c>
      <c r="P1054" s="75">
        <v>0</v>
      </c>
      <c r="Q1054" s="75">
        <v>0</v>
      </c>
      <c r="R1054" s="75">
        <v>0</v>
      </c>
      <c r="S1054" s="75">
        <v>0</v>
      </c>
      <c r="T1054" s="75">
        <v>0</v>
      </c>
      <c r="U1054" s="75">
        <v>0</v>
      </c>
      <c r="V1054" s="75">
        <v>0</v>
      </c>
      <c r="W1054" s="78">
        <v>0</v>
      </c>
    </row>
    <row r="1055" spans="1:23" s="75" customFormat="1" hidden="1" x14ac:dyDescent="0.35">
      <c r="A1055" s="75">
        <v>1051</v>
      </c>
      <c r="B1055" s="75">
        <v>1052</v>
      </c>
      <c r="C1055">
        <v>146.06153130000001</v>
      </c>
      <c r="D1055">
        <v>-17.5310305</v>
      </c>
      <c r="F1055" s="75" t="str">
        <f>HYPERLINK("E:\Data From Lucan\2024\Johnstone\Frames_for_Analysis\1052_20240610_0006_L_0750.jpg","1052_20240610_0006_L_0750.jpg")</f>
        <v>1052_20240610_0006_L_0750.jpg</v>
      </c>
      <c r="G1055" s="75">
        <v>100</v>
      </c>
      <c r="I1055">
        <f t="shared" si="16"/>
        <v>1</v>
      </c>
      <c r="J1055" s="75">
        <v>1</v>
      </c>
      <c r="K1055" s="77"/>
      <c r="L1055" s="77"/>
      <c r="M1055" s="77"/>
      <c r="N1055" s="77"/>
      <c r="O1055" s="75">
        <v>1</v>
      </c>
      <c r="P1055" s="75">
        <v>0</v>
      </c>
      <c r="Q1055" s="75">
        <v>0</v>
      </c>
      <c r="R1055" s="75">
        <v>0</v>
      </c>
      <c r="S1055" s="75">
        <v>0</v>
      </c>
      <c r="T1055" s="75">
        <v>0</v>
      </c>
      <c r="U1055" s="75">
        <v>0</v>
      </c>
      <c r="V1055" s="75">
        <v>0</v>
      </c>
      <c r="W1055" s="78">
        <v>0</v>
      </c>
    </row>
    <row r="1056" spans="1:23" s="75" customFormat="1" hidden="1" x14ac:dyDescent="0.35">
      <c r="A1056" s="75">
        <v>1052</v>
      </c>
      <c r="B1056" s="75">
        <v>1053</v>
      </c>
      <c r="C1056">
        <v>146.06146559999999</v>
      </c>
      <c r="D1056">
        <v>-17.530962850000002</v>
      </c>
      <c r="F1056" s="75" t="str">
        <f>HYPERLINK("E:\Data From Lucan\2024\Johnstone\Frames_for_Analysis\1053_20240610_0006_L_0754.jpg","1053_20240610_0006_L_0754.jpg")</f>
        <v>1053_20240610_0006_L_0754.jpg</v>
      </c>
      <c r="G1056" s="75">
        <v>100</v>
      </c>
      <c r="I1056">
        <f t="shared" si="16"/>
        <v>1</v>
      </c>
      <c r="J1056" s="75">
        <v>1</v>
      </c>
      <c r="K1056" s="77"/>
      <c r="L1056" s="77"/>
      <c r="M1056" s="77"/>
      <c r="N1056" s="77"/>
      <c r="O1056" s="75">
        <v>1</v>
      </c>
      <c r="P1056" s="75">
        <v>0</v>
      </c>
      <c r="Q1056" s="75">
        <v>0</v>
      </c>
      <c r="R1056" s="75">
        <v>0</v>
      </c>
      <c r="S1056" s="75">
        <v>0</v>
      </c>
      <c r="T1056" s="75">
        <v>0</v>
      </c>
      <c r="U1056" s="75">
        <v>0</v>
      </c>
      <c r="V1056" s="75">
        <v>0</v>
      </c>
      <c r="W1056" s="78">
        <v>0</v>
      </c>
    </row>
    <row r="1057" spans="1:23" s="75" customFormat="1" hidden="1" x14ac:dyDescent="0.35">
      <c r="A1057" s="75">
        <v>1053</v>
      </c>
      <c r="B1057" s="75">
        <v>1054</v>
      </c>
      <c r="C1057">
        <v>146.0614028</v>
      </c>
      <c r="D1057">
        <v>-17.53089267</v>
      </c>
      <c r="F1057" s="75" t="str">
        <f>HYPERLINK("E:\Data From Lucan\2024\Johnstone\Frames_for_Analysis\1054_20240610_0006_L_0758.jpg","1054_20240610_0006_L_0758.jpg")</f>
        <v>1054_20240610_0006_L_0758.jpg</v>
      </c>
      <c r="G1057" s="75">
        <v>100</v>
      </c>
      <c r="I1057">
        <f t="shared" si="16"/>
        <v>1</v>
      </c>
      <c r="J1057" s="75">
        <v>1</v>
      </c>
      <c r="K1057" s="77"/>
      <c r="L1057" s="77"/>
      <c r="M1057" s="77"/>
      <c r="N1057" s="77"/>
      <c r="O1057" s="75">
        <v>1</v>
      </c>
      <c r="P1057" s="75">
        <v>0</v>
      </c>
      <c r="Q1057" s="75">
        <v>0</v>
      </c>
      <c r="R1057" s="75">
        <v>0</v>
      </c>
      <c r="S1057" s="75">
        <v>0</v>
      </c>
      <c r="T1057" s="75">
        <v>0</v>
      </c>
      <c r="U1057" s="75">
        <v>0</v>
      </c>
      <c r="V1057" s="75">
        <v>0</v>
      </c>
      <c r="W1057" s="78">
        <v>0</v>
      </c>
    </row>
    <row r="1058" spans="1:23" s="75" customFormat="1" hidden="1" x14ac:dyDescent="0.35">
      <c r="A1058" s="75">
        <v>1054</v>
      </c>
      <c r="B1058" s="75">
        <v>1055</v>
      </c>
      <c r="C1058">
        <v>146.06134449999999</v>
      </c>
      <c r="D1058">
        <v>-17.53081856</v>
      </c>
      <c r="F1058" s="75" t="str">
        <f>HYPERLINK("E:\Data From Lucan\2024\Johnstone\Frames_for_Analysis\1055_20240610_0006_L_0762.jpg","1055_20240610_0006_L_0762.jpg")</f>
        <v>1055_20240610_0006_L_0762.jpg</v>
      </c>
      <c r="G1058" s="75">
        <v>100</v>
      </c>
      <c r="I1058">
        <f t="shared" si="16"/>
        <v>1</v>
      </c>
      <c r="J1058" s="75">
        <v>1</v>
      </c>
      <c r="K1058" s="77"/>
      <c r="L1058" s="77"/>
      <c r="M1058" s="77"/>
      <c r="N1058" s="77"/>
      <c r="O1058" s="75">
        <v>1</v>
      </c>
      <c r="P1058" s="75">
        <v>0</v>
      </c>
      <c r="Q1058" s="75">
        <v>0</v>
      </c>
      <c r="R1058" s="75">
        <v>0</v>
      </c>
      <c r="S1058" s="75">
        <v>0</v>
      </c>
      <c r="T1058" s="75">
        <v>0</v>
      </c>
      <c r="U1058" s="75">
        <v>0</v>
      </c>
      <c r="V1058" s="75">
        <v>0</v>
      </c>
      <c r="W1058" s="78">
        <v>0</v>
      </c>
    </row>
    <row r="1059" spans="1:23" s="75" customFormat="1" hidden="1" x14ac:dyDescent="0.35">
      <c r="A1059" s="75">
        <v>1055</v>
      </c>
      <c r="B1059" s="75">
        <v>1056</v>
      </c>
      <c r="C1059">
        <v>146.06128609999999</v>
      </c>
      <c r="D1059">
        <v>-17.53074445</v>
      </c>
      <c r="F1059" s="75" t="str">
        <f>HYPERLINK("E:\Data From Lucan\2024\Johnstone\Frames_for_Analysis\1056_20240610_0006_L_0766.jpg","1056_20240610_0006_L_0766.jpg")</f>
        <v>1056_20240610_0006_L_0766.jpg</v>
      </c>
      <c r="G1059" s="75">
        <v>100</v>
      </c>
      <c r="I1059">
        <f t="shared" si="16"/>
        <v>1</v>
      </c>
      <c r="J1059" s="75">
        <v>1</v>
      </c>
      <c r="K1059" s="77"/>
      <c r="L1059" s="77"/>
      <c r="M1059" s="77"/>
      <c r="N1059" s="77"/>
      <c r="O1059" s="75">
        <v>1</v>
      </c>
      <c r="P1059" s="75">
        <v>0</v>
      </c>
      <c r="Q1059" s="75">
        <v>0</v>
      </c>
      <c r="R1059" s="75">
        <v>0</v>
      </c>
      <c r="S1059" s="75">
        <v>0</v>
      </c>
      <c r="T1059" s="75">
        <v>0</v>
      </c>
      <c r="U1059" s="75">
        <v>0</v>
      </c>
      <c r="V1059" s="75">
        <v>0</v>
      </c>
      <c r="W1059" s="78">
        <v>0</v>
      </c>
    </row>
    <row r="1060" spans="1:23" s="75" customFormat="1" hidden="1" x14ac:dyDescent="0.35">
      <c r="A1060" s="75">
        <v>1056</v>
      </c>
      <c r="B1060" s="75">
        <v>1057</v>
      </c>
      <c r="C1060">
        <v>146.06122780000001</v>
      </c>
      <c r="D1060">
        <v>-17.53067034</v>
      </c>
      <c r="F1060" s="75" t="str">
        <f>HYPERLINK("E:\Data From Lucan\2024\Johnstone\Frames_for_Analysis\1057_20240610_0006_L_0770.jpg","1057_20240610_0006_L_0770.jpg")</f>
        <v>1057_20240610_0006_L_0770.jpg</v>
      </c>
      <c r="G1060" s="75">
        <v>100</v>
      </c>
      <c r="I1060">
        <f t="shared" si="16"/>
        <v>1</v>
      </c>
      <c r="J1060" s="75">
        <v>1</v>
      </c>
      <c r="K1060" s="77"/>
      <c r="L1060" s="77"/>
      <c r="M1060" s="77"/>
      <c r="N1060" s="77"/>
      <c r="O1060" s="75">
        <v>1</v>
      </c>
      <c r="P1060" s="75">
        <v>0</v>
      </c>
      <c r="Q1060" s="75">
        <v>0</v>
      </c>
      <c r="R1060" s="75">
        <v>0</v>
      </c>
      <c r="S1060" s="75">
        <v>0</v>
      </c>
      <c r="T1060" s="75">
        <v>0</v>
      </c>
      <c r="U1060" s="75">
        <v>0</v>
      </c>
      <c r="V1060" s="75">
        <v>0</v>
      </c>
      <c r="W1060" s="78">
        <v>0</v>
      </c>
    </row>
    <row r="1061" spans="1:23" s="75" customFormat="1" hidden="1" x14ac:dyDescent="0.35">
      <c r="A1061" s="75">
        <v>1057</v>
      </c>
      <c r="B1061" s="75">
        <v>1058</v>
      </c>
      <c r="C1061">
        <v>146.06116950000001</v>
      </c>
      <c r="D1061">
        <v>-17.53059623</v>
      </c>
      <c r="F1061" s="75" t="str">
        <f>HYPERLINK("E:\Data From Lucan\2024\Johnstone\Frames_for_Analysis\1058_20240610_0006_L_0775.jpg","1058_20240610_0006_L_0775.jpg")</f>
        <v>1058_20240610_0006_L_0775.jpg</v>
      </c>
      <c r="G1061" s="75">
        <v>100</v>
      </c>
      <c r="I1061">
        <f t="shared" si="16"/>
        <v>0</v>
      </c>
      <c r="J1061" s="75">
        <v>0</v>
      </c>
      <c r="K1061" s="77"/>
      <c r="L1061" s="77"/>
      <c r="M1061" s="77"/>
      <c r="N1061" s="77"/>
      <c r="O1061" s="75">
        <v>1</v>
      </c>
      <c r="P1061" s="75">
        <v>0</v>
      </c>
      <c r="Q1061" s="75">
        <v>0</v>
      </c>
      <c r="R1061" s="75">
        <v>0</v>
      </c>
      <c r="S1061" s="75">
        <v>0</v>
      </c>
      <c r="T1061" s="75">
        <v>0</v>
      </c>
      <c r="U1061" s="75">
        <v>0</v>
      </c>
      <c r="V1061" s="75">
        <v>0</v>
      </c>
      <c r="W1061" s="78">
        <v>0</v>
      </c>
    </row>
    <row r="1062" spans="1:23" s="75" customFormat="1" hidden="1" x14ac:dyDescent="0.35">
      <c r="A1062" s="75">
        <v>1058</v>
      </c>
      <c r="B1062" s="75">
        <v>1059</v>
      </c>
      <c r="C1062">
        <v>146.0611112</v>
      </c>
      <c r="D1062">
        <v>-17.53052211</v>
      </c>
      <c r="F1062" s="75" t="str">
        <f>HYPERLINK("E:\Data From Lucan\2024\Johnstone\Frames_for_Analysis\1059_20240610_0006_L_0779.jpg","1059_20240610_0006_L_0779.jpg")</f>
        <v>1059_20240610_0006_L_0779.jpg</v>
      </c>
      <c r="G1062" s="75">
        <v>100</v>
      </c>
      <c r="I1062">
        <f t="shared" si="16"/>
        <v>1</v>
      </c>
      <c r="J1062" s="75">
        <v>1</v>
      </c>
      <c r="K1062" s="77"/>
      <c r="L1062" s="77"/>
      <c r="M1062" s="77"/>
      <c r="N1062" s="77"/>
      <c r="O1062" s="75">
        <v>1</v>
      </c>
      <c r="P1062" s="75">
        <v>0</v>
      </c>
      <c r="Q1062" s="75">
        <v>0</v>
      </c>
      <c r="R1062" s="75">
        <v>0</v>
      </c>
      <c r="S1062" s="75">
        <v>0</v>
      </c>
      <c r="T1062" s="75">
        <v>0</v>
      </c>
      <c r="U1062" s="75">
        <v>0</v>
      </c>
      <c r="V1062" s="75">
        <v>0</v>
      </c>
      <c r="W1062" s="78">
        <v>0</v>
      </c>
    </row>
    <row r="1063" spans="1:23" s="75" customFormat="1" hidden="1" x14ac:dyDescent="0.35">
      <c r="A1063" s="75">
        <v>1059</v>
      </c>
      <c r="B1063" s="75">
        <v>1060</v>
      </c>
      <c r="C1063">
        <v>146.06105289999999</v>
      </c>
      <c r="D1063">
        <v>-17.530448</v>
      </c>
      <c r="F1063" s="75" t="str">
        <f>HYPERLINK("E:\Data From Lucan\2024\Johnstone\Frames_for_Analysis\1060_20240610_0006_L_0784.jpg","1060_20240610_0006_L_0784.jpg")</f>
        <v>1060_20240610_0006_L_0784.jpg</v>
      </c>
      <c r="G1063" s="75">
        <v>100</v>
      </c>
      <c r="I1063">
        <f t="shared" si="16"/>
        <v>0</v>
      </c>
      <c r="J1063" s="75">
        <v>0</v>
      </c>
      <c r="K1063" s="77"/>
      <c r="L1063" s="77"/>
      <c r="M1063" s="77"/>
      <c r="N1063" s="77"/>
      <c r="O1063" s="75">
        <v>1</v>
      </c>
      <c r="P1063" s="75">
        <v>0</v>
      </c>
      <c r="Q1063" s="75">
        <v>0</v>
      </c>
      <c r="R1063" s="75">
        <v>0</v>
      </c>
      <c r="S1063" s="75">
        <v>0</v>
      </c>
      <c r="T1063" s="75">
        <v>0</v>
      </c>
      <c r="U1063" s="75">
        <v>0</v>
      </c>
      <c r="V1063" s="75">
        <v>1</v>
      </c>
      <c r="W1063" s="78">
        <v>0</v>
      </c>
    </row>
    <row r="1064" spans="1:23" s="75" customFormat="1" hidden="1" x14ac:dyDescent="0.35">
      <c r="A1064" s="75">
        <v>1060</v>
      </c>
      <c r="B1064" s="75">
        <v>1061</v>
      </c>
      <c r="C1064">
        <v>146.06099459999999</v>
      </c>
      <c r="D1064">
        <v>-17.53037389</v>
      </c>
      <c r="F1064" s="75" t="str">
        <f>HYPERLINK("E:\Data From Lucan\2024\Johnstone\Frames_for_Analysis\1061_20240610_0006_L_0789.jpg","1061_20240610_0006_L_0789.jpg")</f>
        <v>1061_20240610_0006_L_0789.jpg</v>
      </c>
      <c r="G1064" s="75">
        <v>100</v>
      </c>
      <c r="I1064">
        <f t="shared" si="16"/>
        <v>0</v>
      </c>
      <c r="J1064" s="75">
        <v>0</v>
      </c>
      <c r="K1064" s="77"/>
      <c r="L1064" s="77"/>
      <c r="M1064" s="77"/>
      <c r="N1064" s="77"/>
      <c r="O1064" s="75">
        <v>1</v>
      </c>
      <c r="P1064" s="75">
        <v>0</v>
      </c>
      <c r="Q1064" s="75">
        <v>0</v>
      </c>
      <c r="R1064" s="75">
        <v>0</v>
      </c>
      <c r="S1064" s="75">
        <v>0</v>
      </c>
      <c r="T1064" s="75">
        <v>0</v>
      </c>
      <c r="U1064" s="75">
        <v>0</v>
      </c>
      <c r="V1064" s="75">
        <v>0</v>
      </c>
      <c r="W1064" s="78">
        <v>0</v>
      </c>
    </row>
    <row r="1065" spans="1:23" s="75" customFormat="1" hidden="1" x14ac:dyDescent="0.35">
      <c r="A1065" s="75">
        <v>1061</v>
      </c>
      <c r="B1065" s="75">
        <v>1062</v>
      </c>
      <c r="C1065">
        <v>146.06093619999999</v>
      </c>
      <c r="D1065">
        <v>-17.53029978</v>
      </c>
      <c r="F1065" s="75" t="str">
        <f>HYPERLINK("E:\Data From Lucan\2024\Johnstone\Frames_for_Analysis\1062_20240610_0006_L_0792.jpg","1062_20240610_0006_L_0792.jpg")</f>
        <v>1062_20240610_0006_L_0792.jpg</v>
      </c>
      <c r="G1065" s="75">
        <v>100</v>
      </c>
      <c r="I1065">
        <f t="shared" si="16"/>
        <v>1</v>
      </c>
      <c r="J1065" s="75">
        <v>1</v>
      </c>
      <c r="K1065" s="77"/>
      <c r="L1065" s="77"/>
      <c r="M1065" s="77"/>
      <c r="N1065" s="77"/>
      <c r="O1065" s="75">
        <v>1</v>
      </c>
      <c r="P1065" s="75">
        <v>0</v>
      </c>
      <c r="Q1065" s="75">
        <v>0</v>
      </c>
      <c r="R1065" s="75">
        <v>0</v>
      </c>
      <c r="S1065" s="75">
        <v>0</v>
      </c>
      <c r="T1065" s="75">
        <v>0</v>
      </c>
      <c r="U1065" s="75">
        <v>0</v>
      </c>
      <c r="V1065" s="75">
        <v>0</v>
      </c>
      <c r="W1065" s="78">
        <v>0</v>
      </c>
    </row>
    <row r="1066" spans="1:23" s="75" customFormat="1" hidden="1" x14ac:dyDescent="0.35">
      <c r="A1066" s="75">
        <v>1062</v>
      </c>
      <c r="B1066" s="75">
        <v>1063</v>
      </c>
      <c r="C1066">
        <v>146.06089589999999</v>
      </c>
      <c r="D1066">
        <v>-17.53021498</v>
      </c>
      <c r="F1066" s="75" t="str">
        <f>HYPERLINK("E:\Data From Lucan\2024\Johnstone\Frames_for_Analysis\1063_20240610_0006_L_0795.jpg","1063_20240610_0006_L_0795.jpg")</f>
        <v>1063_20240610_0006_L_0795.jpg</v>
      </c>
      <c r="G1066" s="75">
        <v>100</v>
      </c>
      <c r="I1066">
        <f t="shared" si="16"/>
        <v>1</v>
      </c>
      <c r="J1066" s="75">
        <v>1</v>
      </c>
      <c r="K1066" s="77"/>
      <c r="L1066" s="77"/>
      <c r="M1066" s="77"/>
      <c r="N1066" s="77"/>
      <c r="O1066" s="75">
        <v>1</v>
      </c>
      <c r="P1066" s="75">
        <v>0</v>
      </c>
      <c r="Q1066" s="75">
        <v>0</v>
      </c>
      <c r="R1066" s="75">
        <v>0</v>
      </c>
      <c r="S1066" s="75">
        <v>0</v>
      </c>
      <c r="T1066" s="75">
        <v>0</v>
      </c>
      <c r="U1066" s="75">
        <v>0</v>
      </c>
      <c r="V1066" s="75">
        <v>0</v>
      </c>
      <c r="W1066" s="78">
        <v>0</v>
      </c>
    </row>
    <row r="1067" spans="1:23" s="75" customFormat="1" hidden="1" x14ac:dyDescent="0.35">
      <c r="A1067" s="75">
        <v>1063</v>
      </c>
      <c r="B1067" s="75">
        <v>1064</v>
      </c>
      <c r="C1067">
        <v>146.06085859999999</v>
      </c>
      <c r="D1067">
        <v>-17.530128359999999</v>
      </c>
      <c r="F1067" s="75" t="str">
        <f>HYPERLINK("E:\Data From Lucan\2024\Johnstone\Frames_for_Analysis\1064_20240610_0006_L_0798.jpg","1064_20240610_0006_L_0798.jpg")</f>
        <v>1064_20240610_0006_L_0798.jpg</v>
      </c>
      <c r="G1067" s="75">
        <v>100</v>
      </c>
      <c r="I1067">
        <f t="shared" si="16"/>
        <v>0</v>
      </c>
      <c r="J1067" s="75">
        <v>0</v>
      </c>
      <c r="K1067" s="77"/>
      <c r="L1067" s="77"/>
      <c r="M1067" s="77"/>
      <c r="N1067" s="77"/>
      <c r="O1067" s="75">
        <v>1</v>
      </c>
      <c r="P1067" s="75">
        <v>0</v>
      </c>
      <c r="Q1067" s="75">
        <v>0</v>
      </c>
      <c r="R1067" s="75">
        <v>0</v>
      </c>
      <c r="S1067" s="75">
        <v>0</v>
      </c>
      <c r="T1067" s="75">
        <v>0</v>
      </c>
      <c r="U1067" s="75">
        <v>0</v>
      </c>
      <c r="V1067" s="75">
        <v>0</v>
      </c>
      <c r="W1067" s="78">
        <v>0</v>
      </c>
    </row>
    <row r="1068" spans="1:23" s="75" customFormat="1" hidden="1" x14ac:dyDescent="0.35">
      <c r="A1068" s="75">
        <v>1064</v>
      </c>
      <c r="B1068" s="75">
        <v>1065</v>
      </c>
      <c r="C1068">
        <v>146.06082129999999</v>
      </c>
      <c r="D1068">
        <v>-17.530041749999999</v>
      </c>
      <c r="F1068" s="75" t="str">
        <f>HYPERLINK("E:\Data From Lucan\2024\Johnstone\Frames_for_Analysis\1065_20240610_0006_L_0801.jpg","1065_20240610_0006_L_0801.jpg")</f>
        <v>1065_20240610_0006_L_0801.jpg</v>
      </c>
      <c r="G1068" s="75">
        <v>100</v>
      </c>
      <c r="I1068">
        <f t="shared" si="16"/>
        <v>0</v>
      </c>
      <c r="J1068" s="75">
        <v>0</v>
      </c>
      <c r="K1068" s="77"/>
      <c r="L1068" s="77"/>
      <c r="M1068" s="77"/>
      <c r="N1068" s="77"/>
      <c r="O1068" s="75">
        <v>1</v>
      </c>
      <c r="P1068" s="75">
        <v>0</v>
      </c>
      <c r="Q1068" s="75">
        <v>0</v>
      </c>
      <c r="R1068" s="75">
        <v>0</v>
      </c>
      <c r="S1068" s="75">
        <v>0</v>
      </c>
      <c r="T1068" s="75">
        <v>0</v>
      </c>
      <c r="U1068" s="75">
        <v>0</v>
      </c>
      <c r="V1068" s="75">
        <v>0</v>
      </c>
      <c r="W1068" s="78">
        <v>0</v>
      </c>
    </row>
    <row r="1069" spans="1:23" s="75" customFormat="1" hidden="1" x14ac:dyDescent="0.35">
      <c r="A1069" s="75">
        <v>1065</v>
      </c>
      <c r="B1069" s="75">
        <v>1066</v>
      </c>
      <c r="C1069">
        <v>146.06078400000001</v>
      </c>
      <c r="D1069">
        <v>-17.529955139999998</v>
      </c>
      <c r="F1069" s="75" t="str">
        <f>HYPERLINK("E:\Data From Lucan\2024\Johnstone\Frames_for_Analysis\1066_20240610_0006_L_0804.jpg","1066_20240610_0006_L_0804.jpg")</f>
        <v>1066_20240610_0006_L_0804.jpg</v>
      </c>
      <c r="G1069" s="75">
        <v>100</v>
      </c>
      <c r="I1069">
        <f t="shared" si="16"/>
        <v>0</v>
      </c>
      <c r="J1069" s="75">
        <v>0</v>
      </c>
      <c r="K1069" s="77"/>
      <c r="L1069" s="77"/>
      <c r="M1069" s="77"/>
      <c r="N1069" s="77"/>
      <c r="O1069" s="75">
        <v>1</v>
      </c>
      <c r="P1069" s="75">
        <v>0</v>
      </c>
      <c r="Q1069" s="75">
        <v>0</v>
      </c>
      <c r="R1069" s="75">
        <v>0</v>
      </c>
      <c r="S1069" s="75">
        <v>0</v>
      </c>
      <c r="T1069" s="75">
        <v>0</v>
      </c>
      <c r="U1069" s="75">
        <v>0</v>
      </c>
      <c r="V1069" s="75">
        <v>0</v>
      </c>
      <c r="W1069" s="78">
        <v>0</v>
      </c>
    </row>
    <row r="1070" spans="1:23" s="75" customFormat="1" hidden="1" x14ac:dyDescent="0.35">
      <c r="A1070" s="75">
        <v>1066</v>
      </c>
      <c r="B1070" s="75">
        <v>1067</v>
      </c>
      <c r="C1070">
        <v>146.06075580000001</v>
      </c>
      <c r="D1070">
        <v>-17.529866389999999</v>
      </c>
      <c r="F1070" s="75" t="str">
        <f>HYPERLINK("E:\Data From Lucan\2024\Johnstone\Frames_for_Analysis\1067_20240610_0006_L_0807.jpg","1067_20240610_0006_L_0807.jpg")</f>
        <v>1067_20240610_0006_L_0807.jpg</v>
      </c>
      <c r="G1070" s="75">
        <v>100</v>
      </c>
      <c r="I1070">
        <f t="shared" si="16"/>
        <v>0</v>
      </c>
      <c r="J1070" s="75">
        <v>0</v>
      </c>
      <c r="K1070" s="77"/>
      <c r="L1070" s="77"/>
      <c r="M1070" s="77"/>
      <c r="N1070" s="77"/>
      <c r="O1070" s="75">
        <v>1</v>
      </c>
      <c r="P1070" s="75">
        <v>0</v>
      </c>
      <c r="Q1070" s="75">
        <v>0</v>
      </c>
      <c r="R1070" s="75">
        <v>0</v>
      </c>
      <c r="S1070" s="75">
        <v>0</v>
      </c>
      <c r="T1070" s="75">
        <v>0</v>
      </c>
      <c r="U1070" s="75">
        <v>0</v>
      </c>
      <c r="V1070" s="75">
        <v>0</v>
      </c>
      <c r="W1070" s="78">
        <v>0</v>
      </c>
    </row>
    <row r="1071" spans="1:23" s="75" customFormat="1" hidden="1" x14ac:dyDescent="0.35">
      <c r="A1071" s="75">
        <v>1067</v>
      </c>
      <c r="B1071" s="75">
        <v>1068</v>
      </c>
      <c r="C1071">
        <v>146.06075089999999</v>
      </c>
      <c r="D1071">
        <v>-17.529772220000002</v>
      </c>
      <c r="F1071" s="75" t="str">
        <f>HYPERLINK("E:\Data From Lucan\2024\Johnstone\Frames_for_Analysis\1068_20240610_0006_L_0810.jpg","1068_20240610_0006_L_0810.jpg")</f>
        <v>1068_20240610_0006_L_0810.jpg</v>
      </c>
      <c r="G1071" s="75">
        <v>100</v>
      </c>
      <c r="I1071">
        <f t="shared" si="16"/>
        <v>0</v>
      </c>
      <c r="J1071" s="75">
        <v>0</v>
      </c>
      <c r="K1071" s="77"/>
      <c r="L1071" s="77"/>
      <c r="M1071" s="77"/>
      <c r="N1071" s="77"/>
      <c r="O1071" s="75">
        <v>1</v>
      </c>
      <c r="P1071" s="75">
        <v>0</v>
      </c>
      <c r="Q1071" s="75">
        <v>0</v>
      </c>
      <c r="R1071" s="75">
        <v>0</v>
      </c>
      <c r="S1071" s="75">
        <v>0</v>
      </c>
      <c r="T1071" s="75">
        <v>0</v>
      </c>
      <c r="U1071" s="75">
        <v>0</v>
      </c>
      <c r="V1071" s="75">
        <v>0</v>
      </c>
      <c r="W1071" s="78">
        <v>0</v>
      </c>
    </row>
    <row r="1072" spans="1:23" s="75" customFormat="1" hidden="1" x14ac:dyDescent="0.35">
      <c r="A1072" s="75">
        <v>1068</v>
      </c>
      <c r="B1072" s="75">
        <v>1069</v>
      </c>
      <c r="C1072">
        <v>146.06074889999999</v>
      </c>
      <c r="D1072">
        <v>-17.52967808</v>
      </c>
      <c r="F1072" s="75" t="str">
        <f>HYPERLINK("E:\Data From Lucan\2024\Johnstone\Frames_for_Analysis\1069_20240610_0006_L_0812.jpg","1069_20240610_0006_L_0812.jpg")</f>
        <v>1069_20240610_0006_L_0812.jpg</v>
      </c>
      <c r="G1072" s="75">
        <v>100</v>
      </c>
      <c r="I1072">
        <f t="shared" si="16"/>
        <v>0</v>
      </c>
      <c r="J1072" s="75">
        <v>0</v>
      </c>
      <c r="K1072" s="77"/>
      <c r="L1072" s="77"/>
      <c r="M1072" s="77"/>
      <c r="N1072" s="77"/>
      <c r="O1072" s="75">
        <v>1</v>
      </c>
      <c r="P1072" s="75">
        <v>0</v>
      </c>
      <c r="Q1072" s="75">
        <v>0</v>
      </c>
      <c r="R1072" s="75">
        <v>0</v>
      </c>
      <c r="S1072" s="75">
        <v>0</v>
      </c>
      <c r="T1072" s="75">
        <v>0</v>
      </c>
      <c r="U1072" s="75">
        <v>0</v>
      </c>
      <c r="V1072" s="75">
        <v>0</v>
      </c>
      <c r="W1072" s="78">
        <v>0</v>
      </c>
    </row>
    <row r="1073" spans="1:23" s="75" customFormat="1" hidden="1" x14ac:dyDescent="0.35">
      <c r="A1073" s="75">
        <v>1069</v>
      </c>
      <c r="B1073" s="75">
        <v>1070</v>
      </c>
      <c r="C1073">
        <v>146.0607564</v>
      </c>
      <c r="D1073">
        <v>-17.529584079999999</v>
      </c>
      <c r="F1073" s="75" t="str">
        <f>HYPERLINK("E:\Data From Lucan\2024\Johnstone\Frames_for_Analysis\1070_20240610_0006_L_0815.jpg","1070_20240610_0006_L_0815.jpg")</f>
        <v>1070_20240610_0006_L_0815.jpg</v>
      </c>
      <c r="G1073" s="75">
        <v>100</v>
      </c>
      <c r="I1073">
        <f t="shared" si="16"/>
        <v>0</v>
      </c>
      <c r="J1073" s="75">
        <v>0</v>
      </c>
      <c r="K1073" s="77"/>
      <c r="L1073" s="77"/>
      <c r="M1073" s="77"/>
      <c r="N1073" s="77"/>
      <c r="O1073" s="75">
        <v>1</v>
      </c>
      <c r="P1073" s="75">
        <v>0</v>
      </c>
      <c r="Q1073" s="75">
        <v>0</v>
      </c>
      <c r="R1073" s="75">
        <v>0</v>
      </c>
      <c r="S1073" s="75">
        <v>0</v>
      </c>
      <c r="T1073" s="75">
        <v>0</v>
      </c>
      <c r="U1073" s="75">
        <v>0</v>
      </c>
      <c r="V1073" s="75">
        <v>0</v>
      </c>
      <c r="W1073" s="78">
        <v>0</v>
      </c>
    </row>
    <row r="1074" spans="1:23" s="75" customFormat="1" hidden="1" x14ac:dyDescent="0.35">
      <c r="A1074" s="75">
        <v>1070</v>
      </c>
      <c r="B1074" s="75">
        <v>1071</v>
      </c>
      <c r="C1074">
        <v>146.06076379999999</v>
      </c>
      <c r="D1074">
        <v>-17.529490070000001</v>
      </c>
      <c r="F1074" s="75" t="str">
        <f>HYPERLINK("E:\Data From Lucan\2024\Johnstone\Frames_for_Analysis\1071_20240610_0006_L_0817.jpg","1071_20240610_0006_L_0817.jpg")</f>
        <v>1071_20240610_0006_L_0817.jpg</v>
      </c>
      <c r="G1074" s="75">
        <v>100</v>
      </c>
      <c r="I1074">
        <f t="shared" si="16"/>
        <v>0</v>
      </c>
      <c r="J1074" s="75">
        <v>0</v>
      </c>
      <c r="K1074" s="77"/>
      <c r="L1074" s="77"/>
      <c r="M1074" s="77"/>
      <c r="N1074" s="77"/>
      <c r="O1074" s="75">
        <v>1</v>
      </c>
      <c r="P1074" s="75">
        <v>0</v>
      </c>
      <c r="Q1074" s="75">
        <v>0</v>
      </c>
      <c r="R1074" s="75">
        <v>0</v>
      </c>
      <c r="S1074" s="75">
        <v>0</v>
      </c>
      <c r="T1074" s="75">
        <v>0</v>
      </c>
      <c r="U1074" s="75">
        <v>0</v>
      </c>
      <c r="V1074" s="75">
        <v>0</v>
      </c>
      <c r="W1074" s="78">
        <v>0</v>
      </c>
    </row>
    <row r="1075" spans="1:23" s="75" customFormat="1" hidden="1" x14ac:dyDescent="0.35">
      <c r="A1075" s="75">
        <v>1071</v>
      </c>
      <c r="B1075" s="75">
        <v>1072</v>
      </c>
      <c r="C1075">
        <v>146.06078450000001</v>
      </c>
      <c r="D1075">
        <v>-17.529398230000002</v>
      </c>
      <c r="F1075" s="75" t="str">
        <f>HYPERLINK("E:\Data From Lucan\2024\Johnstone\Frames_for_Analysis\1072_20240610_0006_L_0822.jpg","1072_20240610_0006_L_0822.jpg")</f>
        <v>1072_20240610_0006_L_0822.jpg</v>
      </c>
      <c r="G1075" s="75">
        <v>100</v>
      </c>
      <c r="I1075">
        <f t="shared" si="16"/>
        <v>1</v>
      </c>
      <c r="J1075" s="75">
        <v>1</v>
      </c>
      <c r="K1075" s="77"/>
      <c r="L1075" s="77"/>
      <c r="M1075" s="77"/>
      <c r="N1075" s="77"/>
      <c r="O1075" s="75">
        <v>1</v>
      </c>
      <c r="P1075" s="75">
        <v>0</v>
      </c>
      <c r="Q1075" s="75">
        <v>0</v>
      </c>
      <c r="R1075" s="75">
        <v>0</v>
      </c>
      <c r="S1075" s="75">
        <v>0</v>
      </c>
      <c r="T1075" s="75">
        <v>0</v>
      </c>
      <c r="U1075" s="75">
        <v>0</v>
      </c>
      <c r="V1075" s="75">
        <v>0</v>
      </c>
      <c r="W1075" s="78">
        <v>0</v>
      </c>
    </row>
    <row r="1076" spans="1:23" s="75" customFormat="1" hidden="1" x14ac:dyDescent="0.35">
      <c r="A1076" s="75">
        <v>1072</v>
      </c>
      <c r="B1076" s="75">
        <v>1073</v>
      </c>
      <c r="C1076">
        <v>146.06080739999999</v>
      </c>
      <c r="D1076">
        <v>-17.52930675</v>
      </c>
      <c r="F1076" s="75" t="str">
        <f>HYPERLINK("E:\Data From Lucan\2024\Johnstone\Frames_for_Analysis\1073_20240610_0006_L_0826.jpg","1073_20240610_0006_L_0826.jpg")</f>
        <v>1073_20240610_0006_L_0826.jpg</v>
      </c>
      <c r="G1076" s="75">
        <v>100</v>
      </c>
      <c r="I1076">
        <f t="shared" si="16"/>
        <v>1</v>
      </c>
      <c r="J1076" s="75">
        <v>1</v>
      </c>
      <c r="K1076" s="77"/>
      <c r="L1076" s="77"/>
      <c r="M1076" s="77"/>
      <c r="N1076" s="77"/>
      <c r="O1076" s="75">
        <v>1</v>
      </c>
      <c r="P1076" s="75">
        <v>0</v>
      </c>
      <c r="Q1076" s="75">
        <v>0</v>
      </c>
      <c r="R1076" s="75">
        <v>0</v>
      </c>
      <c r="S1076" s="75">
        <v>0</v>
      </c>
      <c r="T1076" s="75">
        <v>0</v>
      </c>
      <c r="U1076" s="75">
        <v>0</v>
      </c>
      <c r="V1076" s="75">
        <v>0</v>
      </c>
      <c r="W1076" s="78">
        <v>0</v>
      </c>
    </row>
    <row r="1077" spans="1:23" s="75" customFormat="1" hidden="1" x14ac:dyDescent="0.35">
      <c r="A1077" s="75">
        <v>1073</v>
      </c>
      <c r="B1077" s="75">
        <v>1074</v>
      </c>
      <c r="C1077">
        <v>146.06083709999999</v>
      </c>
      <c r="D1077">
        <v>-17.529217289999998</v>
      </c>
      <c r="F1077" s="75" t="str">
        <f>HYPERLINK("E:\Data From Lucan\2024\Johnstone\Frames_for_Analysis\1074_20240610_0006_L_0829.jpg","1074_20240610_0006_L_0829.jpg")</f>
        <v>1074_20240610_0006_L_0829.jpg</v>
      </c>
      <c r="G1077" s="75">
        <v>100</v>
      </c>
      <c r="I1077">
        <f t="shared" si="16"/>
        <v>1</v>
      </c>
      <c r="J1077" s="75">
        <v>1</v>
      </c>
      <c r="K1077" s="77"/>
      <c r="L1077" s="77"/>
      <c r="M1077" s="77"/>
      <c r="N1077" s="77"/>
      <c r="O1077" s="75">
        <v>1</v>
      </c>
      <c r="P1077" s="75">
        <v>0</v>
      </c>
      <c r="Q1077" s="75">
        <v>0</v>
      </c>
      <c r="R1077" s="75">
        <v>0</v>
      </c>
      <c r="S1077" s="75">
        <v>0</v>
      </c>
      <c r="T1077" s="75">
        <v>0</v>
      </c>
      <c r="U1077" s="75">
        <v>0</v>
      </c>
      <c r="V1077" s="75">
        <v>0</v>
      </c>
      <c r="W1077" s="78">
        <v>0</v>
      </c>
    </row>
    <row r="1078" spans="1:23" s="75" customFormat="1" hidden="1" x14ac:dyDescent="0.35">
      <c r="A1078" s="75">
        <v>1074</v>
      </c>
      <c r="B1078" s="75">
        <v>1075</v>
      </c>
      <c r="C1078">
        <v>146.06086790000001</v>
      </c>
      <c r="D1078">
        <v>-17.52912813</v>
      </c>
      <c r="F1078" s="75" t="str">
        <f>HYPERLINK("E:\Data From Lucan\2024\Johnstone\Frames_for_Analysis\1075_20240610_0006_L_0833.jpg","1075_20240610_0006_L_0833.jpg")</f>
        <v>1075_20240610_0006_L_0833.jpg</v>
      </c>
      <c r="G1078" s="75">
        <v>100</v>
      </c>
      <c r="I1078">
        <f t="shared" si="16"/>
        <v>1</v>
      </c>
      <c r="J1078" s="75">
        <v>1</v>
      </c>
      <c r="K1078" s="77"/>
      <c r="L1078" s="77"/>
      <c r="M1078" s="77"/>
      <c r="N1078" s="77"/>
      <c r="O1078" s="75">
        <v>1</v>
      </c>
      <c r="P1078" s="75">
        <v>0</v>
      </c>
      <c r="Q1078" s="75">
        <v>0</v>
      </c>
      <c r="R1078" s="75">
        <v>0</v>
      </c>
      <c r="S1078" s="75">
        <v>0</v>
      </c>
      <c r="T1078" s="75">
        <v>0</v>
      </c>
      <c r="U1078" s="75">
        <v>0</v>
      </c>
      <c r="V1078" s="75">
        <v>0</v>
      </c>
      <c r="W1078" s="78">
        <v>0</v>
      </c>
    </row>
    <row r="1079" spans="1:23" s="75" customFormat="1" hidden="1" x14ac:dyDescent="0.35">
      <c r="A1079" s="75">
        <v>1075</v>
      </c>
      <c r="B1079" s="75">
        <v>1076</v>
      </c>
      <c r="C1079">
        <v>146.06090610000001</v>
      </c>
      <c r="D1079">
        <v>-17.529042390000001</v>
      </c>
      <c r="F1079" s="75" t="str">
        <f>HYPERLINK("E:\Data From Lucan\2024\Johnstone\Frames_for_Analysis\1076_20240610_0006_L_0837.jpg","1076_20240610_0006_L_0837.jpg")</f>
        <v>1076_20240610_0006_L_0837.jpg</v>
      </c>
      <c r="G1079" s="75">
        <v>100</v>
      </c>
      <c r="I1079">
        <f t="shared" si="16"/>
        <v>1</v>
      </c>
      <c r="J1079" s="75">
        <v>1</v>
      </c>
      <c r="K1079" s="77"/>
      <c r="L1079" s="77"/>
      <c r="M1079" s="77"/>
      <c r="N1079" s="77"/>
      <c r="O1079" s="75">
        <v>1</v>
      </c>
      <c r="P1079" s="75">
        <v>0</v>
      </c>
      <c r="Q1079" s="75">
        <v>0</v>
      </c>
      <c r="R1079" s="75">
        <v>0</v>
      </c>
      <c r="S1079" s="75">
        <v>0</v>
      </c>
      <c r="T1079" s="75">
        <v>0</v>
      </c>
      <c r="U1079" s="75">
        <v>0</v>
      </c>
      <c r="V1079" s="75">
        <v>0</v>
      </c>
      <c r="W1079" s="78">
        <v>0</v>
      </c>
    </row>
    <row r="1080" spans="1:23" s="75" customFormat="1" hidden="1" x14ac:dyDescent="0.35">
      <c r="A1080" s="75">
        <v>1076</v>
      </c>
      <c r="B1080" s="75">
        <v>1077</v>
      </c>
      <c r="C1080">
        <v>146.0609527</v>
      </c>
      <c r="D1080">
        <v>-17.528960380000001</v>
      </c>
      <c r="F1080" s="75" t="str">
        <f>HYPERLINK("E:\Data From Lucan\2024\Johnstone\Frames_for_Analysis\1077_20240610_0006_L_0840.jpg","1077_20240610_0006_L_0840.jpg")</f>
        <v>1077_20240610_0006_L_0840.jpg</v>
      </c>
      <c r="G1080" s="75">
        <v>100</v>
      </c>
      <c r="I1080" t="str">
        <f t="shared" si="16"/>
        <v>X</v>
      </c>
      <c r="J1080" s="75" t="s">
        <v>3958</v>
      </c>
      <c r="K1080" s="77"/>
      <c r="L1080" s="77"/>
      <c r="M1080" s="77"/>
      <c r="N1080" s="77"/>
      <c r="O1080" s="75">
        <v>1</v>
      </c>
      <c r="P1080" s="75">
        <v>0</v>
      </c>
      <c r="Q1080" s="75">
        <v>0</v>
      </c>
      <c r="R1080" s="75">
        <v>0</v>
      </c>
      <c r="S1080" s="75">
        <v>0</v>
      </c>
      <c r="T1080" s="75">
        <v>0</v>
      </c>
      <c r="U1080" s="75">
        <v>0</v>
      </c>
      <c r="V1080" s="75">
        <v>0</v>
      </c>
      <c r="W1080" s="78">
        <v>0</v>
      </c>
    </row>
    <row r="1081" spans="1:23" s="75" customFormat="1" hidden="1" x14ac:dyDescent="0.35">
      <c r="A1081" s="75">
        <v>1077</v>
      </c>
      <c r="B1081" s="75">
        <v>1078</v>
      </c>
      <c r="C1081">
        <v>146.06099929999999</v>
      </c>
      <c r="D1081">
        <v>-17.528878379999998</v>
      </c>
      <c r="F1081" s="75" t="str">
        <f>HYPERLINK("E:\Data From Lucan\2024\Johnstone\Frames_for_Analysis\1078_20240610_0006_L_0850.jpg","1078_20240610_0006_L_0850.jpg")</f>
        <v>1078_20240610_0006_L_0850.jpg</v>
      </c>
      <c r="G1081" s="75">
        <v>100</v>
      </c>
      <c r="I1081">
        <f t="shared" si="16"/>
        <v>1</v>
      </c>
      <c r="J1081" s="75">
        <v>1</v>
      </c>
      <c r="K1081" s="77"/>
      <c r="L1081" s="77"/>
      <c r="M1081" s="77"/>
      <c r="N1081" s="77"/>
      <c r="O1081" s="75">
        <v>1</v>
      </c>
      <c r="P1081" s="75">
        <v>0</v>
      </c>
      <c r="Q1081" s="75">
        <v>0</v>
      </c>
      <c r="R1081" s="75">
        <v>0</v>
      </c>
      <c r="S1081" s="75">
        <v>0</v>
      </c>
      <c r="T1081" s="75">
        <v>0</v>
      </c>
      <c r="U1081" s="75">
        <v>0</v>
      </c>
      <c r="V1081" s="75">
        <v>0</v>
      </c>
      <c r="W1081" s="78">
        <v>0</v>
      </c>
    </row>
    <row r="1082" spans="1:23" s="75" customFormat="1" hidden="1" x14ac:dyDescent="0.35">
      <c r="A1082" s="75">
        <v>1078</v>
      </c>
      <c r="B1082" s="75">
        <v>1079</v>
      </c>
      <c r="C1082">
        <v>146.0610465</v>
      </c>
      <c r="D1082">
        <v>-17.528796799999999</v>
      </c>
      <c r="F1082" s="75" t="str">
        <f>HYPERLINK("E:\Data From Lucan\2024\Johnstone\Frames_for_Analysis\1079_20240610_0006_L_0860.jpg","1079_20240610_0006_L_0860.jpg")</f>
        <v>1079_20240610_0006_L_0860.jpg</v>
      </c>
      <c r="G1082" s="75">
        <v>100</v>
      </c>
      <c r="I1082">
        <f t="shared" si="16"/>
        <v>1</v>
      </c>
      <c r="J1082" s="75">
        <v>1</v>
      </c>
      <c r="K1082" s="77"/>
      <c r="L1082" s="77"/>
      <c r="M1082" s="77"/>
      <c r="N1082" s="77"/>
      <c r="O1082" s="75">
        <v>1</v>
      </c>
      <c r="P1082" s="75">
        <v>0</v>
      </c>
      <c r="Q1082" s="75">
        <v>0</v>
      </c>
      <c r="R1082" s="75">
        <v>0</v>
      </c>
      <c r="S1082" s="75">
        <v>0</v>
      </c>
      <c r="T1082" s="75">
        <v>0</v>
      </c>
      <c r="U1082" s="75">
        <v>0</v>
      </c>
      <c r="V1082" s="75">
        <v>0</v>
      </c>
      <c r="W1082" s="78">
        <v>0</v>
      </c>
    </row>
    <row r="1083" spans="1:23" s="75" customFormat="1" hidden="1" x14ac:dyDescent="0.35">
      <c r="A1083" s="75">
        <v>1079</v>
      </c>
      <c r="B1083" s="75">
        <v>1080</v>
      </c>
      <c r="C1083">
        <v>146.06109989999999</v>
      </c>
      <c r="D1083">
        <v>-17.528719079999998</v>
      </c>
      <c r="F1083" s="75" t="str">
        <f>HYPERLINK("E:\Data From Lucan\2024\Johnstone\Frames_for_Analysis\1080_20240610_0006_L_0866.jpg","1080_20240610_0006_L_0866.jpg")</f>
        <v>1080_20240610_0006_L_0866.jpg</v>
      </c>
      <c r="G1083" s="75">
        <v>100</v>
      </c>
      <c r="I1083">
        <f t="shared" si="16"/>
        <v>1</v>
      </c>
      <c r="J1083" s="75">
        <v>1</v>
      </c>
      <c r="K1083" s="77"/>
      <c r="L1083" s="77"/>
      <c r="M1083" s="77"/>
      <c r="N1083" s="77"/>
      <c r="O1083" s="75">
        <v>1</v>
      </c>
      <c r="P1083" s="75">
        <v>0</v>
      </c>
      <c r="Q1083" s="75">
        <v>0</v>
      </c>
      <c r="R1083" s="75">
        <v>0</v>
      </c>
      <c r="S1083" s="75">
        <v>0</v>
      </c>
      <c r="T1083" s="75">
        <v>0</v>
      </c>
      <c r="U1083" s="75">
        <v>0</v>
      </c>
      <c r="V1083" s="75">
        <v>0</v>
      </c>
      <c r="W1083" s="78">
        <v>0</v>
      </c>
    </row>
    <row r="1084" spans="1:23" s="75" customFormat="1" hidden="1" x14ac:dyDescent="0.35">
      <c r="A1084" s="75">
        <v>1080</v>
      </c>
      <c r="B1084" s="75">
        <v>1081</v>
      </c>
      <c r="C1084">
        <v>146.0611533</v>
      </c>
      <c r="D1084">
        <v>-17.528641350000001</v>
      </c>
      <c r="F1084" s="75" t="str">
        <f>HYPERLINK("E:\Data From Lucan\2024\Johnstone\Frames_for_Analysis\1081_20240610_0006_L_0874.jpg","1081_20240610_0006_L_0874.jpg")</f>
        <v>1081_20240610_0006_L_0874.jpg</v>
      </c>
      <c r="G1084" s="75">
        <v>100</v>
      </c>
      <c r="I1084">
        <f t="shared" si="16"/>
        <v>1</v>
      </c>
      <c r="J1084" s="75">
        <v>1</v>
      </c>
      <c r="K1084" s="77"/>
      <c r="L1084" s="77"/>
      <c r="M1084" s="77"/>
      <c r="N1084" s="77"/>
      <c r="O1084" s="75">
        <v>1</v>
      </c>
      <c r="P1084" s="75">
        <v>0</v>
      </c>
      <c r="Q1084" s="75">
        <v>0</v>
      </c>
      <c r="R1084" s="75">
        <v>0</v>
      </c>
      <c r="S1084" s="75">
        <v>0</v>
      </c>
      <c r="T1084" s="75">
        <v>0</v>
      </c>
      <c r="U1084" s="75">
        <v>0</v>
      </c>
      <c r="V1084" s="75">
        <v>0</v>
      </c>
      <c r="W1084" s="78">
        <v>0</v>
      </c>
    </row>
    <row r="1085" spans="1:23" s="75" customFormat="1" hidden="1" x14ac:dyDescent="0.35">
      <c r="A1085" s="75">
        <v>1081</v>
      </c>
      <c r="B1085" s="75">
        <v>1082</v>
      </c>
      <c r="C1085">
        <v>146.06120670000001</v>
      </c>
      <c r="D1085">
        <v>-17.528563630000001</v>
      </c>
      <c r="F1085" s="75" t="str">
        <f>HYPERLINK("E:\Data From Lucan\2024\Johnstone\Frames_for_Analysis\1082_20240610_0006_L_0878.jpg","1082_20240610_0006_L_0878.jpg")</f>
        <v>1082_20240610_0006_L_0878.jpg</v>
      </c>
      <c r="G1085" s="75">
        <v>100</v>
      </c>
      <c r="I1085">
        <f t="shared" si="16"/>
        <v>1</v>
      </c>
      <c r="J1085" s="75">
        <v>1</v>
      </c>
      <c r="K1085" s="77"/>
      <c r="L1085" s="77"/>
      <c r="M1085" s="77"/>
      <c r="N1085" s="77"/>
      <c r="O1085" s="75">
        <v>1</v>
      </c>
      <c r="P1085" s="75">
        <v>0</v>
      </c>
      <c r="Q1085" s="75">
        <v>0</v>
      </c>
      <c r="R1085" s="75">
        <v>0</v>
      </c>
      <c r="S1085" s="75">
        <v>0</v>
      </c>
      <c r="T1085" s="75">
        <v>0</v>
      </c>
      <c r="U1085" s="75">
        <v>0</v>
      </c>
      <c r="V1085" s="75">
        <v>0</v>
      </c>
      <c r="W1085" s="78">
        <v>0</v>
      </c>
    </row>
    <row r="1086" spans="1:23" s="75" customFormat="1" hidden="1" x14ac:dyDescent="0.35">
      <c r="A1086" s="75">
        <v>1082</v>
      </c>
      <c r="B1086" s="75">
        <v>1083</v>
      </c>
      <c r="C1086">
        <v>146.06126789999999</v>
      </c>
      <c r="D1086">
        <v>-17.528492079999999</v>
      </c>
      <c r="F1086" s="75" t="str">
        <f>HYPERLINK("E:\Data From Lucan\2024\Johnstone\Frames_for_Analysis\1083_20240610_0006_L_0885.jpg","1083_20240610_0006_L_0885.jpg")</f>
        <v>1083_20240610_0006_L_0885.jpg</v>
      </c>
      <c r="G1086" s="75">
        <v>100</v>
      </c>
      <c r="I1086">
        <f t="shared" si="16"/>
        <v>1</v>
      </c>
      <c r="J1086" s="75">
        <v>1</v>
      </c>
      <c r="K1086" s="77"/>
      <c r="L1086" s="77"/>
      <c r="M1086" s="77"/>
      <c r="N1086" s="77"/>
      <c r="O1086" s="75">
        <v>1</v>
      </c>
      <c r="P1086" s="75">
        <v>0</v>
      </c>
      <c r="Q1086" s="75">
        <v>0</v>
      </c>
      <c r="R1086" s="75">
        <v>0</v>
      </c>
      <c r="S1086" s="75">
        <v>0</v>
      </c>
      <c r="T1086" s="75">
        <v>0</v>
      </c>
      <c r="U1086" s="75">
        <v>0</v>
      </c>
      <c r="V1086" s="75">
        <v>0</v>
      </c>
      <c r="W1086" s="78">
        <v>0</v>
      </c>
    </row>
    <row r="1087" spans="1:23" s="75" customFormat="1" hidden="1" x14ac:dyDescent="0.35">
      <c r="A1087" s="75">
        <v>1083</v>
      </c>
      <c r="B1087" s="75">
        <v>1084</v>
      </c>
      <c r="C1087">
        <v>146.0613132</v>
      </c>
      <c r="D1087">
        <v>-17.528409419999999</v>
      </c>
      <c r="F1087" s="75" t="str">
        <f>HYPERLINK("E:\Data From Lucan\2024\Johnstone\Frames_for_Analysis\1084_20240610_0006_L_0889.jpg","1084_20240610_0006_L_0889.jpg")</f>
        <v>1084_20240610_0006_L_0889.jpg</v>
      </c>
      <c r="G1087" s="75">
        <v>100</v>
      </c>
      <c r="I1087">
        <f t="shared" si="16"/>
        <v>1</v>
      </c>
      <c r="J1087" s="75">
        <v>1</v>
      </c>
      <c r="K1087" s="77"/>
      <c r="L1087" s="77"/>
      <c r="M1087" s="77"/>
      <c r="N1087" s="77"/>
      <c r="O1087" s="75">
        <v>1</v>
      </c>
      <c r="P1087" s="75">
        <v>0</v>
      </c>
      <c r="Q1087" s="75">
        <v>0</v>
      </c>
      <c r="R1087" s="75">
        <v>0</v>
      </c>
      <c r="S1087" s="75">
        <v>0</v>
      </c>
      <c r="T1087" s="75">
        <v>0</v>
      </c>
      <c r="U1087" s="75">
        <v>0</v>
      </c>
      <c r="V1087" s="75">
        <v>0</v>
      </c>
      <c r="W1087" s="78">
        <v>0</v>
      </c>
    </row>
    <row r="1088" spans="1:23" s="75" customFormat="1" hidden="1" x14ac:dyDescent="0.35">
      <c r="A1088" s="75">
        <v>1084</v>
      </c>
      <c r="B1088" s="75">
        <v>1085</v>
      </c>
      <c r="C1088">
        <v>146.06135689999999</v>
      </c>
      <c r="D1088">
        <v>-17.528325880000001</v>
      </c>
      <c r="F1088" s="75" t="str">
        <f>HYPERLINK("E:\Data From Lucan\2024\Johnstone\Frames_for_Analysis\1085_20240610_0006_L_0897.jpg","1085_20240610_0006_L_0897.jpg")</f>
        <v>1085_20240610_0006_L_0897.jpg</v>
      </c>
      <c r="G1088" s="75">
        <v>100</v>
      </c>
      <c r="I1088">
        <f t="shared" si="16"/>
        <v>1</v>
      </c>
      <c r="J1088" s="75">
        <v>1</v>
      </c>
      <c r="K1088" s="77"/>
      <c r="L1088" s="77"/>
      <c r="M1088" s="77"/>
      <c r="N1088" s="77"/>
      <c r="O1088" s="75">
        <v>1</v>
      </c>
      <c r="P1088" s="75">
        <v>0</v>
      </c>
      <c r="Q1088" s="75">
        <v>0</v>
      </c>
      <c r="R1088" s="75">
        <v>0</v>
      </c>
      <c r="S1088" s="75">
        <v>0</v>
      </c>
      <c r="T1088" s="75">
        <v>0</v>
      </c>
      <c r="U1088" s="75">
        <v>0</v>
      </c>
      <c r="V1088" s="75">
        <v>0</v>
      </c>
      <c r="W1088" s="78">
        <v>0</v>
      </c>
    </row>
    <row r="1089" spans="1:23" s="75" customFormat="1" hidden="1" x14ac:dyDescent="0.35">
      <c r="A1089" s="75">
        <v>1085</v>
      </c>
      <c r="B1089" s="75">
        <v>1086</v>
      </c>
      <c r="C1089">
        <v>146.06139529999999</v>
      </c>
      <c r="D1089">
        <v>-17.528239760000002</v>
      </c>
      <c r="F1089" s="75" t="str">
        <f>HYPERLINK("E:\Data From Lucan\2024\Johnstone\Frames_for_Analysis\1086_20240610_0006_L_0903.jpg","1086_20240610_0006_L_0903.jpg")</f>
        <v>1086_20240610_0006_L_0903.jpg</v>
      </c>
      <c r="G1089" s="75">
        <v>100</v>
      </c>
      <c r="I1089">
        <f t="shared" si="16"/>
        <v>1</v>
      </c>
      <c r="J1089" s="75">
        <v>1</v>
      </c>
      <c r="K1089" s="77"/>
      <c r="L1089" s="77"/>
      <c r="M1089" s="77"/>
      <c r="N1089" s="77"/>
      <c r="O1089" s="75">
        <v>1</v>
      </c>
      <c r="P1089" s="75">
        <v>0</v>
      </c>
      <c r="Q1089" s="75">
        <v>0</v>
      </c>
      <c r="R1089" s="75">
        <v>0</v>
      </c>
      <c r="S1089" s="75">
        <v>0</v>
      </c>
      <c r="T1089" s="75">
        <v>0</v>
      </c>
      <c r="U1089" s="75">
        <v>0</v>
      </c>
      <c r="V1089" s="75">
        <v>0</v>
      </c>
      <c r="W1089" s="78">
        <v>0</v>
      </c>
    </row>
    <row r="1090" spans="1:23" s="75" customFormat="1" hidden="1" x14ac:dyDescent="0.35">
      <c r="A1090" s="75">
        <v>1086</v>
      </c>
      <c r="B1090" s="75">
        <v>1087</v>
      </c>
      <c r="C1090">
        <v>146.06143370000001</v>
      </c>
      <c r="D1090">
        <v>-17.528153639999999</v>
      </c>
      <c r="F1090" s="75" t="str">
        <f>HYPERLINK("E:\Data From Lucan\2024\Johnstone\Frames_for_Analysis\1087_20240610_0006_L_0908.jpg","1087_20240610_0006_L_0908.jpg")</f>
        <v>1087_20240610_0006_L_0908.jpg</v>
      </c>
      <c r="G1090" s="75">
        <v>100</v>
      </c>
      <c r="I1090">
        <f t="shared" si="16"/>
        <v>1</v>
      </c>
      <c r="J1090" s="75">
        <v>1</v>
      </c>
      <c r="K1090" s="77"/>
      <c r="L1090" s="77"/>
      <c r="M1090" s="77"/>
      <c r="N1090" s="77"/>
      <c r="O1090" s="75">
        <v>1</v>
      </c>
      <c r="P1090" s="75">
        <v>0</v>
      </c>
      <c r="Q1090" s="75">
        <v>0</v>
      </c>
      <c r="R1090" s="75">
        <v>0</v>
      </c>
      <c r="S1090" s="75">
        <v>0</v>
      </c>
      <c r="T1090" s="75">
        <v>0</v>
      </c>
      <c r="U1090" s="75">
        <v>0</v>
      </c>
      <c r="V1090" s="75">
        <v>0</v>
      </c>
      <c r="W1090" s="78">
        <v>0</v>
      </c>
    </row>
    <row r="1091" spans="1:23" s="75" customFormat="1" hidden="1" x14ac:dyDescent="0.35">
      <c r="A1091" s="75">
        <v>1087</v>
      </c>
      <c r="B1091" s="75">
        <v>1088</v>
      </c>
      <c r="C1091">
        <v>146.06145430000001</v>
      </c>
      <c r="D1091">
        <v>-17.528063670000002</v>
      </c>
      <c r="F1091" s="75" t="str">
        <f>HYPERLINK("E:\Data From Lucan\2024\Johnstone\Frames_for_Analysis\1088_20240610_0006_L_0915.jpg","1088_20240610_0006_L_0915.jpg")</f>
        <v>1088_20240610_0006_L_0915.jpg</v>
      </c>
      <c r="G1091" s="75">
        <v>100</v>
      </c>
      <c r="I1091">
        <f t="shared" si="16"/>
        <v>1</v>
      </c>
      <c r="J1091" s="75">
        <v>1</v>
      </c>
      <c r="K1091" s="77"/>
      <c r="L1091" s="77"/>
      <c r="M1091" s="77"/>
      <c r="N1091" s="77"/>
      <c r="O1091" s="75">
        <v>1</v>
      </c>
      <c r="P1091" s="75">
        <v>0</v>
      </c>
      <c r="Q1091" s="75">
        <v>0</v>
      </c>
      <c r="R1091" s="75">
        <v>0</v>
      </c>
      <c r="S1091" s="75">
        <v>0</v>
      </c>
      <c r="T1091" s="75">
        <v>0</v>
      </c>
      <c r="U1091" s="75">
        <v>0</v>
      </c>
      <c r="V1091" s="75">
        <v>0</v>
      </c>
      <c r="W1091" s="78">
        <v>0</v>
      </c>
    </row>
    <row r="1092" spans="1:23" s="75" customFormat="1" hidden="1" x14ac:dyDescent="0.35">
      <c r="A1092" s="75">
        <v>1088</v>
      </c>
      <c r="B1092" s="75">
        <v>1089</v>
      </c>
      <c r="C1092">
        <v>146.06145480000001</v>
      </c>
      <c r="D1092">
        <v>-17.527969370000001</v>
      </c>
      <c r="F1092" s="75" t="str">
        <f>HYPERLINK("E:\Data From Lucan\2024\Johnstone\Frames_for_Analysis\1089_20240610_0006_L_0922.jpg","1089_20240610_0006_L_0922.jpg")</f>
        <v>1089_20240610_0006_L_0922.jpg</v>
      </c>
      <c r="G1092" s="75">
        <v>100</v>
      </c>
      <c r="I1092">
        <f t="shared" si="16"/>
        <v>1</v>
      </c>
      <c r="J1092" s="75">
        <v>1</v>
      </c>
      <c r="K1092" s="77"/>
      <c r="L1092" s="77"/>
      <c r="M1092" s="77"/>
      <c r="N1092" s="77"/>
      <c r="O1092" s="75">
        <v>1</v>
      </c>
      <c r="P1092" s="75">
        <v>0</v>
      </c>
      <c r="Q1092" s="75">
        <v>0</v>
      </c>
      <c r="R1092" s="75">
        <v>0</v>
      </c>
      <c r="S1092" s="75">
        <v>0</v>
      </c>
      <c r="T1092" s="75">
        <v>0</v>
      </c>
      <c r="U1092" s="75">
        <v>0</v>
      </c>
      <c r="V1092" s="75">
        <v>0</v>
      </c>
      <c r="W1092" s="78">
        <v>0</v>
      </c>
    </row>
    <row r="1093" spans="1:23" s="75" customFormat="1" hidden="1" x14ac:dyDescent="0.35">
      <c r="A1093" s="75">
        <v>1089</v>
      </c>
      <c r="B1093" s="75">
        <v>1090</v>
      </c>
      <c r="C1093">
        <v>146.06142600000001</v>
      </c>
      <c r="D1093">
        <v>-17.527879590000001</v>
      </c>
      <c r="F1093" s="75" t="str">
        <f>HYPERLINK("E:\Data From Lucan\2024\Johnstone\Frames_for_Analysis\1090_20240610_0006_L_0927.jpg","1090_20240610_0006_L_0927.jpg")</f>
        <v>1090_20240610_0006_L_0927.jpg</v>
      </c>
      <c r="G1093" s="75">
        <v>100</v>
      </c>
      <c r="I1093">
        <f t="shared" ref="I1093:I1156" si="17">IF(H1093="X","X",IF(J1093="NA","X",IF(J1093="","X",J1093)))</f>
        <v>1</v>
      </c>
      <c r="J1093" s="75">
        <v>1</v>
      </c>
      <c r="K1093" s="77"/>
      <c r="L1093" s="77"/>
      <c r="M1093" s="77"/>
      <c r="N1093" s="77"/>
      <c r="O1093" s="75">
        <v>1</v>
      </c>
      <c r="P1093" s="75">
        <v>0</v>
      </c>
      <c r="Q1093" s="75">
        <v>0</v>
      </c>
      <c r="R1093" s="75">
        <v>0</v>
      </c>
      <c r="S1093" s="75">
        <v>0</v>
      </c>
      <c r="T1093" s="75">
        <v>0</v>
      </c>
      <c r="U1093" s="75">
        <v>0</v>
      </c>
      <c r="V1093" s="75">
        <v>0</v>
      </c>
      <c r="W1093" s="78">
        <v>0</v>
      </c>
    </row>
    <row r="1094" spans="1:23" s="75" customFormat="1" hidden="1" x14ac:dyDescent="0.35">
      <c r="A1094" s="75">
        <v>1090</v>
      </c>
      <c r="B1094" s="75">
        <v>1091</v>
      </c>
      <c r="C1094">
        <v>146.06139709999999</v>
      </c>
      <c r="D1094">
        <v>-17.527789819999999</v>
      </c>
      <c r="F1094" s="75" t="str">
        <f>HYPERLINK("E:\Data From Lucan\2024\Johnstone\Frames_for_Analysis\1091_20240610_0006_L_0932.jpg","1091_20240610_0006_L_0932.jpg")</f>
        <v>1091_20240610_0006_L_0932.jpg</v>
      </c>
      <c r="G1094" s="75">
        <v>100</v>
      </c>
      <c r="I1094">
        <f t="shared" si="17"/>
        <v>1</v>
      </c>
      <c r="J1094" s="75">
        <v>1</v>
      </c>
      <c r="K1094" s="77"/>
      <c r="L1094" s="77"/>
      <c r="M1094" s="77"/>
      <c r="N1094" s="77"/>
      <c r="O1094" s="75">
        <v>1</v>
      </c>
      <c r="P1094" s="75">
        <v>0</v>
      </c>
      <c r="Q1094" s="75">
        <v>0</v>
      </c>
      <c r="R1094" s="75">
        <v>0</v>
      </c>
      <c r="S1094" s="75">
        <v>0</v>
      </c>
      <c r="T1094" s="75">
        <v>0</v>
      </c>
      <c r="U1094" s="75">
        <v>0</v>
      </c>
      <c r="V1094" s="75">
        <v>0</v>
      </c>
      <c r="W1094" s="78">
        <v>0</v>
      </c>
    </row>
    <row r="1095" spans="1:23" s="75" customFormat="1" hidden="1" x14ac:dyDescent="0.35">
      <c r="A1095" s="75">
        <v>1091</v>
      </c>
      <c r="B1095" s="75">
        <v>1092</v>
      </c>
      <c r="C1095">
        <v>146.06133940000001</v>
      </c>
      <c r="D1095">
        <v>-17.52771594</v>
      </c>
      <c r="F1095" s="75" t="str">
        <f>HYPERLINK("E:\Data From Lucan\2024\Johnstone\Frames_for_Analysis\1092_20240610_0006_L_0936.jpg","1092_20240610_0006_L_0936.jpg")</f>
        <v>1092_20240610_0006_L_0936.jpg</v>
      </c>
      <c r="G1095" s="75">
        <v>100</v>
      </c>
      <c r="I1095">
        <f t="shared" si="17"/>
        <v>1</v>
      </c>
      <c r="J1095" s="75">
        <v>1</v>
      </c>
      <c r="K1095" s="77"/>
      <c r="L1095" s="77"/>
      <c r="M1095" s="77"/>
      <c r="N1095" s="77"/>
      <c r="O1095" s="75">
        <v>1</v>
      </c>
      <c r="P1095" s="75">
        <v>0</v>
      </c>
      <c r="Q1095" s="75">
        <v>0</v>
      </c>
      <c r="R1095" s="75">
        <v>0</v>
      </c>
      <c r="S1095" s="75">
        <v>0</v>
      </c>
      <c r="T1095" s="75">
        <v>0</v>
      </c>
      <c r="U1095" s="75">
        <v>0</v>
      </c>
      <c r="V1095" s="75">
        <v>0</v>
      </c>
      <c r="W1095" s="78">
        <v>0</v>
      </c>
    </row>
    <row r="1096" spans="1:23" s="75" customFormat="1" hidden="1" x14ac:dyDescent="0.35">
      <c r="A1096" s="75">
        <v>1092</v>
      </c>
      <c r="B1096" s="75">
        <v>1093</v>
      </c>
      <c r="C1096">
        <v>146.06127889999999</v>
      </c>
      <c r="D1096">
        <v>-17.527643609999998</v>
      </c>
      <c r="F1096" s="75" t="str">
        <f>HYPERLINK("E:\Data From Lucan\2024\Johnstone\Frames_for_Analysis\1093_20240610_0006_L_0941.jpg","1093_20240610_0006_L_0941.jpg")</f>
        <v>1093_20240610_0006_L_0941.jpg</v>
      </c>
      <c r="G1096" s="75">
        <v>100</v>
      </c>
      <c r="I1096">
        <f t="shared" si="17"/>
        <v>1</v>
      </c>
      <c r="J1096" s="75">
        <v>1</v>
      </c>
      <c r="K1096" s="77"/>
      <c r="L1096" s="77"/>
      <c r="M1096" s="77"/>
      <c r="N1096" s="77"/>
      <c r="O1096" s="75">
        <v>1</v>
      </c>
      <c r="P1096" s="75">
        <v>0</v>
      </c>
      <c r="Q1096" s="75">
        <v>0</v>
      </c>
      <c r="R1096" s="75">
        <v>0</v>
      </c>
      <c r="S1096" s="75">
        <v>0</v>
      </c>
      <c r="T1096" s="75">
        <v>0</v>
      </c>
      <c r="U1096" s="75">
        <v>0</v>
      </c>
      <c r="V1096" s="75">
        <v>0</v>
      </c>
      <c r="W1096" s="78">
        <v>0</v>
      </c>
    </row>
    <row r="1097" spans="1:23" s="75" customFormat="1" hidden="1" x14ac:dyDescent="0.35">
      <c r="A1097" s="75">
        <v>1093</v>
      </c>
      <c r="B1097" s="75">
        <v>1094</v>
      </c>
      <c r="C1097">
        <v>146.0612175</v>
      </c>
      <c r="D1097">
        <v>-17.527572030000002</v>
      </c>
      <c r="F1097" s="75" t="str">
        <f>HYPERLINK("E:\Data From Lucan\2024\Johnstone\Frames_for_Analysis\1094_20240610_0006_L_0946.jpg","1094_20240610_0006_L_0946.jpg")</f>
        <v>1094_20240610_0006_L_0946.jpg</v>
      </c>
      <c r="G1097" s="75">
        <v>100</v>
      </c>
      <c r="I1097">
        <f t="shared" si="17"/>
        <v>1</v>
      </c>
      <c r="J1097" s="75">
        <v>1</v>
      </c>
      <c r="K1097" s="77"/>
      <c r="L1097" s="77"/>
      <c r="M1097" s="77"/>
      <c r="N1097" s="77"/>
      <c r="O1097" s="75">
        <v>1</v>
      </c>
      <c r="P1097" s="75">
        <v>0</v>
      </c>
      <c r="Q1097" s="75">
        <v>0</v>
      </c>
      <c r="R1097" s="75">
        <v>0</v>
      </c>
      <c r="S1097" s="75">
        <v>0</v>
      </c>
      <c r="T1097" s="75">
        <v>0</v>
      </c>
      <c r="U1097" s="75">
        <v>0</v>
      </c>
      <c r="V1097" s="75">
        <v>0</v>
      </c>
      <c r="W1097" s="78">
        <v>0</v>
      </c>
    </row>
    <row r="1098" spans="1:23" s="75" customFormat="1" hidden="1" x14ac:dyDescent="0.35">
      <c r="A1098" s="75">
        <v>1094</v>
      </c>
      <c r="B1098" s="75">
        <v>1095</v>
      </c>
      <c r="C1098">
        <v>146.06115199999999</v>
      </c>
      <c r="D1098">
        <v>-17.527504180000001</v>
      </c>
      <c r="F1098" s="75" t="str">
        <f>HYPERLINK("E:\Data From Lucan\2024\Johnstone\Frames_for_Analysis\1095_20240610_0006_L_0950.jpg","1095_20240610_0006_L_0950.jpg")</f>
        <v>1095_20240610_0006_L_0950.jpg</v>
      </c>
      <c r="G1098" s="75">
        <v>100</v>
      </c>
      <c r="I1098">
        <f t="shared" si="17"/>
        <v>1</v>
      </c>
      <c r="J1098" s="75">
        <v>1</v>
      </c>
      <c r="K1098" s="77"/>
      <c r="L1098" s="77"/>
      <c r="M1098" s="77"/>
      <c r="N1098" s="77"/>
      <c r="O1098" s="75">
        <v>1</v>
      </c>
      <c r="P1098" s="75">
        <v>0</v>
      </c>
      <c r="Q1098" s="75">
        <v>0</v>
      </c>
      <c r="R1098" s="75">
        <v>0</v>
      </c>
      <c r="S1098" s="75">
        <v>0</v>
      </c>
      <c r="T1098" s="75">
        <v>0</v>
      </c>
      <c r="U1098" s="75">
        <v>0</v>
      </c>
      <c r="V1098" s="75">
        <v>0</v>
      </c>
      <c r="W1098" s="78">
        <v>0</v>
      </c>
    </row>
    <row r="1099" spans="1:23" s="75" customFormat="1" hidden="1" x14ac:dyDescent="0.35">
      <c r="A1099" s="75">
        <v>1095</v>
      </c>
      <c r="B1099" s="75">
        <v>1096</v>
      </c>
      <c r="C1099">
        <v>146.06108649999999</v>
      </c>
      <c r="D1099">
        <v>-17.527436340000001</v>
      </c>
      <c r="F1099" s="75" t="str">
        <f>HYPERLINK("E:\Data From Lucan\2024\Johnstone\Frames_for_Analysis\1096_20240610_0006_L_0954.jpg","1096_20240610_0006_L_0954.jpg")</f>
        <v>1096_20240610_0006_L_0954.jpg</v>
      </c>
      <c r="G1099" s="75">
        <v>100</v>
      </c>
      <c r="I1099">
        <f t="shared" si="17"/>
        <v>1</v>
      </c>
      <c r="J1099" s="75">
        <v>1</v>
      </c>
      <c r="K1099" s="77"/>
      <c r="L1099" s="77"/>
      <c r="M1099" s="77"/>
      <c r="N1099" s="77"/>
      <c r="O1099" s="75">
        <v>1</v>
      </c>
      <c r="P1099" s="75">
        <v>0</v>
      </c>
      <c r="Q1099" s="75">
        <v>0</v>
      </c>
      <c r="R1099" s="75">
        <v>0</v>
      </c>
      <c r="S1099" s="75">
        <v>0</v>
      </c>
      <c r="T1099" s="75">
        <v>0</v>
      </c>
      <c r="U1099" s="75">
        <v>0</v>
      </c>
      <c r="V1099" s="75">
        <v>0</v>
      </c>
      <c r="W1099" s="78">
        <v>0</v>
      </c>
    </row>
    <row r="1100" spans="1:23" s="75" customFormat="1" hidden="1" x14ac:dyDescent="0.35">
      <c r="A1100" s="75">
        <v>1096</v>
      </c>
      <c r="B1100" s="75">
        <v>1097</v>
      </c>
      <c r="C1100">
        <v>146.06102100000001</v>
      </c>
      <c r="D1100">
        <v>-17.527368490000001</v>
      </c>
      <c r="F1100" s="75" t="str">
        <f>HYPERLINK("E:\Data From Lucan\2024\Johnstone\Frames_for_Analysis\1097_20240610_0006_L_0957.jpg","1097_20240610_0006_L_0957.jpg")</f>
        <v>1097_20240610_0006_L_0957.jpg</v>
      </c>
      <c r="G1100" s="75">
        <v>100</v>
      </c>
      <c r="I1100">
        <f t="shared" si="17"/>
        <v>1</v>
      </c>
      <c r="J1100" s="75">
        <v>1</v>
      </c>
      <c r="K1100" s="77"/>
      <c r="L1100" s="77"/>
      <c r="M1100" s="77"/>
      <c r="N1100" s="77"/>
      <c r="O1100" s="75">
        <v>1</v>
      </c>
      <c r="P1100" s="75">
        <v>0</v>
      </c>
      <c r="Q1100" s="75">
        <v>0</v>
      </c>
      <c r="R1100" s="75">
        <v>0</v>
      </c>
      <c r="S1100" s="75">
        <v>0</v>
      </c>
      <c r="T1100" s="75">
        <v>0</v>
      </c>
      <c r="U1100" s="75">
        <v>0</v>
      </c>
      <c r="V1100" s="75">
        <v>0</v>
      </c>
      <c r="W1100" s="78">
        <v>0</v>
      </c>
    </row>
    <row r="1101" spans="1:23" s="75" customFormat="1" hidden="1" x14ac:dyDescent="0.35">
      <c r="A1101" s="75">
        <v>1097</v>
      </c>
      <c r="B1101" s="75">
        <v>1098</v>
      </c>
      <c r="C1101">
        <v>146.06095550000001</v>
      </c>
      <c r="D1101">
        <v>-17.527300650000001</v>
      </c>
      <c r="F1101" s="75" t="str">
        <f>HYPERLINK("E:\Data From Lucan\2024\Johnstone\Frames_for_Analysis\1098_20240610_0006_L_0961.jpg","1098_20240610_0006_L_0961.jpg")</f>
        <v>1098_20240610_0006_L_0961.jpg</v>
      </c>
      <c r="G1101" s="75">
        <v>100</v>
      </c>
      <c r="I1101">
        <f t="shared" si="17"/>
        <v>1</v>
      </c>
      <c r="J1101" s="75">
        <v>1</v>
      </c>
      <c r="K1101" s="77"/>
      <c r="L1101" s="77"/>
      <c r="M1101" s="77"/>
      <c r="N1101" s="77"/>
      <c r="O1101" s="75">
        <v>1</v>
      </c>
      <c r="P1101" s="75">
        <v>0</v>
      </c>
      <c r="Q1101" s="75">
        <v>0</v>
      </c>
      <c r="R1101" s="75">
        <v>0</v>
      </c>
      <c r="S1101" s="75">
        <v>0</v>
      </c>
      <c r="T1101" s="75">
        <v>0</v>
      </c>
      <c r="U1101" s="75">
        <v>0</v>
      </c>
      <c r="V1101" s="75">
        <v>0</v>
      </c>
      <c r="W1101" s="78">
        <v>0</v>
      </c>
    </row>
    <row r="1102" spans="1:23" s="75" customFormat="1" hidden="1" x14ac:dyDescent="0.35">
      <c r="A1102" s="75">
        <v>1098</v>
      </c>
      <c r="B1102" s="75">
        <v>1099</v>
      </c>
      <c r="C1102">
        <v>146.06088990000001</v>
      </c>
      <c r="D1102">
        <v>-17.527232909999999</v>
      </c>
      <c r="F1102" s="75" t="str">
        <f>HYPERLINK("E:\Data From Lucan\2024\Johnstone\Frames_for_Analysis\1099_20240610_0006_L_0965.jpg","1099_20240610_0006_L_0965.jpg")</f>
        <v>1099_20240610_0006_L_0965.jpg</v>
      </c>
      <c r="G1102" s="75">
        <v>100</v>
      </c>
      <c r="I1102">
        <f t="shared" si="17"/>
        <v>1</v>
      </c>
      <c r="J1102" s="75">
        <v>1</v>
      </c>
      <c r="K1102" s="77"/>
      <c r="L1102" s="77"/>
      <c r="M1102" s="77"/>
      <c r="N1102" s="77"/>
      <c r="O1102" s="75">
        <v>1</v>
      </c>
      <c r="P1102" s="75">
        <v>0</v>
      </c>
      <c r="Q1102" s="75">
        <v>0</v>
      </c>
      <c r="R1102" s="75">
        <v>0</v>
      </c>
      <c r="S1102" s="75">
        <v>0</v>
      </c>
      <c r="T1102" s="75">
        <v>0</v>
      </c>
      <c r="U1102" s="75">
        <v>0</v>
      </c>
      <c r="V1102" s="75">
        <v>0</v>
      </c>
      <c r="W1102" s="78">
        <v>0</v>
      </c>
    </row>
    <row r="1103" spans="1:23" s="75" customFormat="1" hidden="1" x14ac:dyDescent="0.35">
      <c r="A1103" s="75">
        <v>1099</v>
      </c>
      <c r="B1103" s="75">
        <v>1100</v>
      </c>
      <c r="C1103">
        <v>146.060824</v>
      </c>
      <c r="D1103">
        <v>-17.527165449999998</v>
      </c>
      <c r="F1103" s="75" t="str">
        <f>HYPERLINK("E:\Data From Lucan\2024\Johnstone\Frames_for_Analysis\1100_20240610_0006_L_0968.jpg","1100_20240610_0006_L_0968.jpg")</f>
        <v>1100_20240610_0006_L_0968.jpg</v>
      </c>
      <c r="G1103" s="75">
        <v>100</v>
      </c>
      <c r="I1103" t="str">
        <f t="shared" si="17"/>
        <v>X</v>
      </c>
      <c r="J1103" s="75" t="s">
        <v>3958</v>
      </c>
      <c r="K1103" s="77"/>
      <c r="L1103" s="77"/>
      <c r="M1103" s="77"/>
      <c r="N1103" s="77"/>
      <c r="O1103" s="75">
        <v>1</v>
      </c>
      <c r="P1103" s="75">
        <v>0</v>
      </c>
      <c r="Q1103" s="75">
        <v>0</v>
      </c>
      <c r="R1103" s="75">
        <v>0</v>
      </c>
      <c r="S1103" s="75">
        <v>0</v>
      </c>
      <c r="T1103" s="75">
        <v>0</v>
      </c>
      <c r="U1103" s="75">
        <v>0</v>
      </c>
      <c r="V1103" s="75">
        <v>0</v>
      </c>
      <c r="W1103" s="78">
        <v>0</v>
      </c>
    </row>
    <row r="1104" spans="1:23" s="75" customFormat="1" hidden="1" x14ac:dyDescent="0.35">
      <c r="A1104" s="75">
        <v>1100</v>
      </c>
      <c r="B1104" s="75">
        <v>1101</v>
      </c>
      <c r="C1104">
        <v>146.06075809999999</v>
      </c>
      <c r="D1104">
        <v>-17.527097999999999</v>
      </c>
      <c r="F1104" s="75" t="str">
        <f>HYPERLINK("E:\Data From Lucan\2024\Johnstone\Frames_for_Analysis\1101_20240610_0006_L_0971.jpg","1101_20240610_0006_L_0971.jpg")</f>
        <v>1101_20240610_0006_L_0971.jpg</v>
      </c>
      <c r="G1104" s="75">
        <v>100</v>
      </c>
      <c r="I1104">
        <f t="shared" si="17"/>
        <v>1</v>
      </c>
      <c r="J1104" s="75">
        <v>1</v>
      </c>
      <c r="K1104" s="77"/>
      <c r="L1104" s="77"/>
      <c r="M1104" s="77"/>
      <c r="N1104" s="77"/>
      <c r="O1104" s="75">
        <v>1</v>
      </c>
      <c r="P1104" s="75">
        <v>0</v>
      </c>
      <c r="Q1104" s="75">
        <v>0</v>
      </c>
      <c r="R1104" s="75">
        <v>0</v>
      </c>
      <c r="S1104" s="75">
        <v>0</v>
      </c>
      <c r="T1104" s="75">
        <v>0</v>
      </c>
      <c r="U1104" s="75">
        <v>0</v>
      </c>
      <c r="V1104" s="75">
        <v>0</v>
      </c>
      <c r="W1104" s="78">
        <v>0</v>
      </c>
    </row>
    <row r="1105" spans="1:23" s="75" customFormat="1" hidden="1" x14ac:dyDescent="0.35">
      <c r="A1105" s="75">
        <v>1101</v>
      </c>
      <c r="B1105" s="75">
        <v>1102</v>
      </c>
      <c r="C1105">
        <v>146.06069220000001</v>
      </c>
      <c r="D1105">
        <v>-17.527030549999999</v>
      </c>
      <c r="F1105" s="75" t="str">
        <f>HYPERLINK("E:\Data From Lucan\2024\Johnstone\Frames_for_Analysis\1102_20240610_0006_L_0974.jpg","1102_20240610_0006_L_0974.jpg")</f>
        <v>1102_20240610_0006_L_0974.jpg</v>
      </c>
      <c r="G1105" s="75">
        <v>100</v>
      </c>
      <c r="I1105">
        <f t="shared" si="17"/>
        <v>1</v>
      </c>
      <c r="J1105" s="75">
        <v>1</v>
      </c>
      <c r="K1105" s="77"/>
      <c r="L1105" s="77"/>
      <c r="M1105" s="77"/>
      <c r="N1105" s="77"/>
      <c r="O1105" s="75">
        <v>1</v>
      </c>
      <c r="P1105" s="75">
        <v>0</v>
      </c>
      <c r="Q1105" s="75">
        <v>0</v>
      </c>
      <c r="R1105" s="75">
        <v>0</v>
      </c>
      <c r="S1105" s="75">
        <v>0</v>
      </c>
      <c r="T1105" s="75">
        <v>0</v>
      </c>
      <c r="U1105" s="75">
        <v>0</v>
      </c>
      <c r="V1105" s="75">
        <v>0</v>
      </c>
      <c r="W1105" s="78">
        <v>0</v>
      </c>
    </row>
    <row r="1106" spans="1:23" s="75" customFormat="1" hidden="1" x14ac:dyDescent="0.35">
      <c r="A1106" s="75">
        <v>1102</v>
      </c>
      <c r="B1106" s="75">
        <v>1103</v>
      </c>
      <c r="C1106">
        <v>146.0606263</v>
      </c>
      <c r="D1106">
        <v>-17.526963089999999</v>
      </c>
      <c r="F1106" s="75" t="str">
        <f>HYPERLINK("E:\Data From Lucan\2024\Johnstone\Frames_for_Analysis\1103_20240610_0006_L_0979.jpg","1103_20240610_0006_L_0979.jpg")</f>
        <v>1103_20240610_0006_L_0979.jpg</v>
      </c>
      <c r="G1106" s="75">
        <v>100</v>
      </c>
      <c r="I1106">
        <f t="shared" si="17"/>
        <v>1</v>
      </c>
      <c r="J1106" s="75">
        <v>1</v>
      </c>
      <c r="K1106" s="77"/>
      <c r="L1106" s="77"/>
      <c r="M1106" s="77"/>
      <c r="N1106" s="77"/>
      <c r="O1106" s="75">
        <v>1</v>
      </c>
      <c r="P1106" s="75">
        <v>0</v>
      </c>
      <c r="Q1106" s="75">
        <v>0</v>
      </c>
      <c r="R1106" s="75">
        <v>0</v>
      </c>
      <c r="S1106" s="75">
        <v>0</v>
      </c>
      <c r="T1106" s="75">
        <v>0</v>
      </c>
      <c r="U1106" s="75">
        <v>0</v>
      </c>
      <c r="V1106" s="75">
        <v>0</v>
      </c>
      <c r="W1106" s="78">
        <v>0</v>
      </c>
    </row>
    <row r="1107" spans="1:23" s="75" customFormat="1" hidden="1" x14ac:dyDescent="0.35">
      <c r="A1107" s="75">
        <v>1103</v>
      </c>
      <c r="B1107" s="75">
        <v>1104</v>
      </c>
      <c r="C1107">
        <v>146.06056040000001</v>
      </c>
      <c r="D1107">
        <v>-17.526895639999999</v>
      </c>
      <c r="F1107" s="75" t="str">
        <f>HYPERLINK("E:\Data From Lucan\2024\Johnstone\Frames_for_Analysis\1104_20240610_0006_L_0982.jpg","1104_20240610_0006_L_0982.jpg")</f>
        <v>1104_20240610_0006_L_0982.jpg</v>
      </c>
      <c r="G1107" s="75">
        <v>100</v>
      </c>
      <c r="I1107">
        <f t="shared" si="17"/>
        <v>1</v>
      </c>
      <c r="J1107" s="75">
        <v>1</v>
      </c>
      <c r="K1107" s="77"/>
      <c r="L1107" s="77"/>
      <c r="M1107" s="77"/>
      <c r="N1107" s="77"/>
      <c r="O1107" s="75">
        <v>1</v>
      </c>
      <c r="P1107" s="75">
        <v>0</v>
      </c>
      <c r="Q1107" s="75">
        <v>0</v>
      </c>
      <c r="R1107" s="75">
        <v>0</v>
      </c>
      <c r="S1107" s="75">
        <v>0</v>
      </c>
      <c r="T1107" s="75">
        <v>0</v>
      </c>
      <c r="U1107" s="75">
        <v>0</v>
      </c>
      <c r="V1107" s="75">
        <v>0</v>
      </c>
      <c r="W1107" s="78">
        <v>0</v>
      </c>
    </row>
    <row r="1108" spans="1:23" s="75" customFormat="1" hidden="1" x14ac:dyDescent="0.35">
      <c r="A1108" s="75">
        <v>1104</v>
      </c>
      <c r="B1108" s="75">
        <v>1105</v>
      </c>
      <c r="C1108">
        <v>146.06049859999999</v>
      </c>
      <c r="D1108">
        <v>-17.526824869999999</v>
      </c>
      <c r="F1108" s="75" t="str">
        <f>HYPERLINK("E:\Data From Lucan\2024\Johnstone\Frames_for_Analysis\1105_20240610_0006_L_0986.jpg","1105_20240610_0006_L_0986.jpg")</f>
        <v>1105_20240610_0006_L_0986.jpg</v>
      </c>
      <c r="G1108" s="75">
        <v>100</v>
      </c>
      <c r="I1108">
        <f t="shared" si="17"/>
        <v>1</v>
      </c>
      <c r="J1108" s="75">
        <v>1</v>
      </c>
      <c r="K1108" s="77"/>
      <c r="L1108" s="77"/>
      <c r="M1108" s="77"/>
      <c r="N1108" s="77"/>
      <c r="O1108" s="75">
        <v>1</v>
      </c>
      <c r="P1108" s="75">
        <v>0</v>
      </c>
      <c r="Q1108" s="75">
        <v>0</v>
      </c>
      <c r="R1108" s="75">
        <v>0</v>
      </c>
      <c r="S1108" s="75">
        <v>0</v>
      </c>
      <c r="T1108" s="75">
        <v>0</v>
      </c>
      <c r="U1108" s="75">
        <v>0</v>
      </c>
      <c r="V1108" s="75">
        <v>0</v>
      </c>
      <c r="W1108" s="78">
        <v>0</v>
      </c>
    </row>
    <row r="1109" spans="1:23" s="75" customFormat="1" hidden="1" x14ac:dyDescent="0.35">
      <c r="A1109" s="75">
        <v>1105</v>
      </c>
      <c r="B1109" s="75">
        <v>1106</v>
      </c>
      <c r="C1109">
        <v>146.06044660000001</v>
      </c>
      <c r="D1109">
        <v>-17.526746200000002</v>
      </c>
      <c r="F1109" s="75" t="str">
        <f>HYPERLINK("E:\Data From Lucan\2024\Johnstone\Frames_for_Analysis\1106_20240610_0006_L_0990.jpg","1106_20240610_0006_L_0990.jpg")</f>
        <v>1106_20240610_0006_L_0990.jpg</v>
      </c>
      <c r="G1109" s="75">
        <v>100</v>
      </c>
      <c r="I1109">
        <f t="shared" si="17"/>
        <v>1</v>
      </c>
      <c r="J1109" s="75">
        <v>1</v>
      </c>
      <c r="K1109" s="77"/>
      <c r="L1109" s="77"/>
      <c r="M1109" s="77"/>
      <c r="N1109" s="77"/>
      <c r="O1109" s="75">
        <v>1</v>
      </c>
      <c r="P1109" s="75">
        <v>0</v>
      </c>
      <c r="Q1109" s="75">
        <v>0</v>
      </c>
      <c r="R1109" s="75">
        <v>0</v>
      </c>
      <c r="S1109" s="75">
        <v>0</v>
      </c>
      <c r="T1109" s="75">
        <v>0</v>
      </c>
      <c r="U1109" s="75">
        <v>0</v>
      </c>
      <c r="V1109" s="75">
        <v>0</v>
      </c>
      <c r="W1109" s="78">
        <v>0</v>
      </c>
    </row>
    <row r="1110" spans="1:23" s="75" customFormat="1" hidden="1" x14ac:dyDescent="0.35">
      <c r="A1110" s="75">
        <v>1106</v>
      </c>
      <c r="B1110" s="75">
        <v>1107</v>
      </c>
      <c r="C1110">
        <v>146.0603946</v>
      </c>
      <c r="D1110">
        <v>-17.52666752</v>
      </c>
      <c r="F1110" s="75" t="str">
        <f>HYPERLINK("E:\Data From Lucan\2024\Johnstone\Frames_for_Analysis\1107_20240610_0006_L_0994.jpg","1107_20240610_0006_L_0994.jpg")</f>
        <v>1107_20240610_0006_L_0994.jpg</v>
      </c>
      <c r="G1110" s="75">
        <v>100</v>
      </c>
      <c r="I1110">
        <f t="shared" si="17"/>
        <v>1</v>
      </c>
      <c r="J1110" s="75">
        <v>1</v>
      </c>
      <c r="K1110" s="77"/>
      <c r="L1110" s="77"/>
      <c r="M1110" s="77"/>
      <c r="N1110" s="77"/>
      <c r="O1110" s="75">
        <v>1</v>
      </c>
      <c r="P1110" s="75">
        <v>0</v>
      </c>
      <c r="Q1110" s="75">
        <v>0</v>
      </c>
      <c r="R1110" s="75">
        <v>0</v>
      </c>
      <c r="S1110" s="75">
        <v>0</v>
      </c>
      <c r="T1110" s="75">
        <v>0</v>
      </c>
      <c r="U1110" s="75">
        <v>0</v>
      </c>
      <c r="V1110" s="75">
        <v>0</v>
      </c>
      <c r="W1110" s="78">
        <v>0</v>
      </c>
    </row>
    <row r="1111" spans="1:23" s="75" customFormat="1" hidden="1" x14ac:dyDescent="0.35">
      <c r="A1111" s="75">
        <v>1107</v>
      </c>
      <c r="B1111" s="75">
        <v>1108</v>
      </c>
      <c r="C1111">
        <v>146.06034260000001</v>
      </c>
      <c r="D1111">
        <v>-17.52658885</v>
      </c>
      <c r="F1111" s="75" t="str">
        <f>HYPERLINK("E:\Data From Lucan\2024\Johnstone\Frames_for_Analysis\1108_20240610_0006_L_0998.jpg","1108_20240610_0006_L_0998.jpg")</f>
        <v>1108_20240610_0006_L_0998.jpg</v>
      </c>
      <c r="G1111" s="75">
        <v>100</v>
      </c>
      <c r="I1111">
        <f t="shared" si="17"/>
        <v>1</v>
      </c>
      <c r="J1111" s="75">
        <v>1</v>
      </c>
      <c r="K1111" s="77"/>
      <c r="L1111" s="77"/>
      <c r="M1111" s="77"/>
      <c r="N1111" s="77"/>
      <c r="O1111" s="75">
        <v>1</v>
      </c>
      <c r="P1111" s="75">
        <v>0</v>
      </c>
      <c r="Q1111" s="75">
        <v>0</v>
      </c>
      <c r="R1111" s="75">
        <v>0</v>
      </c>
      <c r="S1111" s="75">
        <v>0</v>
      </c>
      <c r="T1111" s="75">
        <v>0</v>
      </c>
      <c r="U1111" s="75">
        <v>0</v>
      </c>
      <c r="V1111" s="75">
        <v>0</v>
      </c>
      <c r="W1111" s="78">
        <v>0</v>
      </c>
    </row>
    <row r="1112" spans="1:23" s="75" customFormat="1" hidden="1" x14ac:dyDescent="0.35">
      <c r="A1112" s="75">
        <v>1108</v>
      </c>
      <c r="B1112" s="75">
        <v>1109</v>
      </c>
      <c r="C1112">
        <v>146.0602907</v>
      </c>
      <c r="D1112">
        <v>-17.526510170000002</v>
      </c>
      <c r="F1112" s="75" t="str">
        <f>HYPERLINK("E:\Data From Lucan\2024\Johnstone\Frames_for_Analysis\1109_20240610_0006_L_1002.jpg","1109_20240610_0006_L_1002.jpg")</f>
        <v>1109_20240610_0006_L_1002.jpg</v>
      </c>
      <c r="G1112" s="75">
        <v>100</v>
      </c>
      <c r="I1112">
        <f t="shared" si="17"/>
        <v>1</v>
      </c>
      <c r="J1112" s="75">
        <v>1</v>
      </c>
      <c r="K1112" s="77"/>
      <c r="L1112" s="77"/>
      <c r="M1112" s="77"/>
      <c r="N1112" s="77"/>
      <c r="O1112" s="75">
        <v>1</v>
      </c>
      <c r="P1112" s="75">
        <v>0</v>
      </c>
      <c r="Q1112" s="75">
        <v>0</v>
      </c>
      <c r="R1112" s="75">
        <v>0</v>
      </c>
      <c r="S1112" s="75">
        <v>0</v>
      </c>
      <c r="T1112" s="75">
        <v>0</v>
      </c>
      <c r="U1112" s="75">
        <v>0</v>
      </c>
      <c r="V1112" s="75">
        <v>0</v>
      </c>
      <c r="W1112" s="78">
        <v>0</v>
      </c>
    </row>
    <row r="1113" spans="1:23" s="75" customFormat="1" hidden="1" x14ac:dyDescent="0.35">
      <c r="A1113" s="75">
        <v>1109</v>
      </c>
      <c r="B1113" s="75">
        <v>1110</v>
      </c>
      <c r="C1113">
        <v>146.06023870000001</v>
      </c>
      <c r="D1113">
        <v>-17.526431500000001</v>
      </c>
      <c r="F1113" s="75" t="str">
        <f>HYPERLINK("E:\Data From Lucan\2024\Johnstone\Frames_for_Analysis\1110_20240610_0006_L_1006.jpg","1110_20240610_0006_L_1006.jpg")</f>
        <v>1110_20240610_0006_L_1006.jpg</v>
      </c>
      <c r="G1113" s="75">
        <v>100</v>
      </c>
      <c r="I1113">
        <f t="shared" si="17"/>
        <v>1</v>
      </c>
      <c r="J1113" s="75">
        <v>1</v>
      </c>
      <c r="K1113" s="77"/>
      <c r="L1113" s="77"/>
      <c r="M1113" s="77"/>
      <c r="N1113" s="77"/>
      <c r="O1113" s="75">
        <v>1</v>
      </c>
      <c r="P1113" s="75">
        <v>0</v>
      </c>
      <c r="Q1113" s="75">
        <v>0</v>
      </c>
      <c r="R1113" s="75">
        <v>0</v>
      </c>
      <c r="S1113" s="75">
        <v>0</v>
      </c>
      <c r="T1113" s="75">
        <v>0</v>
      </c>
      <c r="U1113" s="75">
        <v>0</v>
      </c>
      <c r="V1113" s="75">
        <v>0</v>
      </c>
      <c r="W1113" s="78">
        <v>0</v>
      </c>
    </row>
    <row r="1114" spans="1:23" s="75" customFormat="1" hidden="1" x14ac:dyDescent="0.35">
      <c r="A1114" s="75">
        <v>1110</v>
      </c>
      <c r="B1114" s="75">
        <v>1111</v>
      </c>
      <c r="C1114">
        <v>146.06017779999999</v>
      </c>
      <c r="D1114">
        <v>-17.52635952</v>
      </c>
      <c r="F1114" s="75" t="str">
        <f>HYPERLINK("E:\Data From Lucan\2024\Johnstone\Frames_for_Analysis\1111_20240610_0006_L_1009.jpg","1111_20240610_0006_L_1009.jpg")</f>
        <v>1111_20240610_0006_L_1009.jpg</v>
      </c>
      <c r="G1114" s="75">
        <v>100</v>
      </c>
      <c r="I1114">
        <f t="shared" si="17"/>
        <v>1</v>
      </c>
      <c r="J1114" s="75">
        <v>1</v>
      </c>
      <c r="K1114" s="77"/>
      <c r="L1114" s="77"/>
      <c r="M1114" s="77"/>
      <c r="N1114" s="77"/>
      <c r="O1114" s="75">
        <v>1</v>
      </c>
      <c r="P1114" s="75">
        <v>0</v>
      </c>
      <c r="Q1114" s="75">
        <v>0</v>
      </c>
      <c r="R1114" s="75">
        <v>0</v>
      </c>
      <c r="S1114" s="75">
        <v>0</v>
      </c>
      <c r="T1114" s="75">
        <v>0</v>
      </c>
      <c r="U1114" s="75">
        <v>0</v>
      </c>
      <c r="V1114" s="75">
        <v>0</v>
      </c>
      <c r="W1114" s="78">
        <v>0</v>
      </c>
    </row>
    <row r="1115" spans="1:23" s="75" customFormat="1" hidden="1" x14ac:dyDescent="0.35">
      <c r="A1115" s="75">
        <v>1111</v>
      </c>
      <c r="B1115" s="75">
        <v>1112</v>
      </c>
      <c r="C1115">
        <v>146.06011670000001</v>
      </c>
      <c r="D1115">
        <v>-17.52628765</v>
      </c>
      <c r="F1115" s="75" t="str">
        <f>HYPERLINK("E:\Data From Lucan\2024\Johnstone\Frames_for_Analysis\1112_20240610_0006_L_1013.jpg","1112_20240610_0006_L_1013.jpg")</f>
        <v>1112_20240610_0006_L_1013.jpg</v>
      </c>
      <c r="G1115" s="75">
        <v>100</v>
      </c>
      <c r="I1115">
        <f t="shared" si="17"/>
        <v>1</v>
      </c>
      <c r="J1115" s="75">
        <v>1</v>
      </c>
      <c r="K1115" s="77"/>
      <c r="L1115" s="77"/>
      <c r="M1115" s="77"/>
      <c r="N1115" s="77"/>
      <c r="O1115" s="75">
        <v>1</v>
      </c>
      <c r="P1115" s="75">
        <v>0</v>
      </c>
      <c r="Q1115" s="75">
        <v>0</v>
      </c>
      <c r="R1115" s="75">
        <v>0</v>
      </c>
      <c r="S1115" s="75">
        <v>0</v>
      </c>
      <c r="T1115" s="75">
        <v>0</v>
      </c>
      <c r="U1115" s="75">
        <v>0</v>
      </c>
      <c r="V1115" s="75">
        <v>0</v>
      </c>
      <c r="W1115" s="78">
        <v>0</v>
      </c>
    </row>
    <row r="1116" spans="1:23" s="75" customFormat="1" hidden="1" x14ac:dyDescent="0.35">
      <c r="A1116" s="75">
        <v>1112</v>
      </c>
      <c r="B1116" s="75">
        <v>1113</v>
      </c>
      <c r="C1116">
        <v>146.0600556</v>
      </c>
      <c r="D1116">
        <v>-17.526215789999998</v>
      </c>
      <c r="F1116" s="75" t="str">
        <f>HYPERLINK("E:\Data From Lucan\2024\Johnstone\Frames_for_Analysis\1113_20240610_0006_L_1017.jpg","1113_20240610_0006_L_1017.jpg")</f>
        <v>1113_20240610_0006_L_1017.jpg</v>
      </c>
      <c r="G1116" s="75">
        <v>100</v>
      </c>
      <c r="I1116">
        <f t="shared" si="17"/>
        <v>1</v>
      </c>
      <c r="J1116" s="75">
        <v>1</v>
      </c>
      <c r="K1116" s="77"/>
      <c r="L1116" s="77"/>
      <c r="M1116" s="77"/>
      <c r="N1116" s="77"/>
      <c r="O1116" s="75">
        <v>1</v>
      </c>
      <c r="P1116" s="75">
        <v>0</v>
      </c>
      <c r="Q1116" s="75">
        <v>0</v>
      </c>
      <c r="R1116" s="75">
        <v>0</v>
      </c>
      <c r="S1116" s="75">
        <v>0</v>
      </c>
      <c r="T1116" s="75">
        <v>0</v>
      </c>
      <c r="U1116" s="75">
        <v>0</v>
      </c>
      <c r="V1116" s="75">
        <v>0</v>
      </c>
      <c r="W1116" s="78">
        <v>0</v>
      </c>
    </row>
    <row r="1117" spans="1:23" s="75" customFormat="1" hidden="1" x14ac:dyDescent="0.35">
      <c r="A1117" s="75">
        <v>1113</v>
      </c>
      <c r="B1117" s="75">
        <v>1114</v>
      </c>
      <c r="C1117">
        <v>146.05999460000001</v>
      </c>
      <c r="D1117">
        <v>-17.52614393</v>
      </c>
      <c r="F1117" s="75" t="str">
        <f>HYPERLINK("E:\Data From Lucan\2024\Johnstone\Frames_for_Analysis\1114_20240610_0006_L_1021.jpg","1114_20240610_0006_L_1021.jpg")</f>
        <v>1114_20240610_0006_L_1021.jpg</v>
      </c>
      <c r="G1117" s="75">
        <v>100</v>
      </c>
      <c r="I1117">
        <f t="shared" si="17"/>
        <v>1</v>
      </c>
      <c r="J1117" s="75">
        <v>1</v>
      </c>
      <c r="K1117" s="77"/>
      <c r="L1117" s="77"/>
      <c r="M1117" s="77"/>
      <c r="N1117" s="77"/>
      <c r="O1117" s="75">
        <v>1</v>
      </c>
      <c r="P1117" s="75">
        <v>0</v>
      </c>
      <c r="Q1117" s="75">
        <v>0</v>
      </c>
      <c r="R1117" s="75">
        <v>0</v>
      </c>
      <c r="S1117" s="75">
        <v>0</v>
      </c>
      <c r="T1117" s="75">
        <v>0</v>
      </c>
      <c r="U1117" s="75">
        <v>0</v>
      </c>
      <c r="V1117" s="75">
        <v>0</v>
      </c>
      <c r="W1117" s="78">
        <v>0</v>
      </c>
    </row>
    <row r="1118" spans="1:23" s="75" customFormat="1" hidden="1" x14ac:dyDescent="0.35">
      <c r="A1118" s="75">
        <v>1114</v>
      </c>
      <c r="B1118" s="75">
        <v>1115</v>
      </c>
      <c r="C1118">
        <v>146.0599335</v>
      </c>
      <c r="D1118">
        <v>-17.526072070000001</v>
      </c>
      <c r="F1118" s="75" t="str">
        <f>HYPERLINK("E:\Data From Lucan\2024\Johnstone\Frames_for_Analysis\1115_20240610_0006_L_1024.jpg","1115_20240610_0006_L_1024.jpg")</f>
        <v>1115_20240610_0006_L_1024.jpg</v>
      </c>
      <c r="G1118" s="75">
        <v>100</v>
      </c>
      <c r="I1118">
        <f t="shared" si="17"/>
        <v>1</v>
      </c>
      <c r="J1118" s="75">
        <v>1</v>
      </c>
      <c r="K1118" s="77"/>
      <c r="L1118" s="77"/>
      <c r="M1118" s="77"/>
      <c r="N1118" s="77"/>
      <c r="O1118" s="75">
        <v>1</v>
      </c>
      <c r="P1118" s="75">
        <v>0</v>
      </c>
      <c r="Q1118" s="75">
        <v>0</v>
      </c>
      <c r="R1118" s="75">
        <v>0</v>
      </c>
      <c r="S1118" s="75">
        <v>0</v>
      </c>
      <c r="T1118" s="75">
        <v>0</v>
      </c>
      <c r="U1118" s="75">
        <v>0</v>
      </c>
      <c r="V1118" s="75">
        <v>0</v>
      </c>
      <c r="W1118" s="78">
        <v>0</v>
      </c>
    </row>
    <row r="1119" spans="1:23" s="75" customFormat="1" hidden="1" x14ac:dyDescent="0.35">
      <c r="A1119" s="75">
        <v>1115</v>
      </c>
      <c r="B1119" s="75">
        <v>1116</v>
      </c>
      <c r="C1119">
        <v>146.0598588</v>
      </c>
      <c r="D1119">
        <v>-17.52601482</v>
      </c>
      <c r="F1119" s="75" t="str">
        <f>HYPERLINK("E:\Data From Lucan\2024\Johnstone\Frames_for_Analysis\1116_20240610_0006_L_1028.jpg","1116_20240610_0006_L_1028.jpg")</f>
        <v>1116_20240610_0006_L_1028.jpg</v>
      </c>
      <c r="G1119" s="75">
        <v>100</v>
      </c>
      <c r="I1119">
        <f t="shared" si="17"/>
        <v>1</v>
      </c>
      <c r="J1119" s="75">
        <v>1</v>
      </c>
      <c r="K1119" s="77"/>
      <c r="L1119" s="77"/>
      <c r="M1119" s="77"/>
      <c r="N1119" s="77"/>
      <c r="O1119" s="75">
        <v>1</v>
      </c>
      <c r="P1119" s="75">
        <v>0</v>
      </c>
      <c r="Q1119" s="75">
        <v>0</v>
      </c>
      <c r="R1119" s="75">
        <v>0</v>
      </c>
      <c r="S1119" s="75">
        <v>0</v>
      </c>
      <c r="T1119" s="75">
        <v>0</v>
      </c>
      <c r="U1119" s="75">
        <v>0</v>
      </c>
      <c r="V1119" s="75">
        <v>0</v>
      </c>
      <c r="W1119" s="78">
        <v>0</v>
      </c>
    </row>
    <row r="1120" spans="1:23" s="75" customFormat="1" hidden="1" x14ac:dyDescent="0.35">
      <c r="A1120" s="75">
        <v>1116</v>
      </c>
      <c r="B1120" s="75">
        <v>1117</v>
      </c>
      <c r="C1120">
        <v>146.05978279999999</v>
      </c>
      <c r="D1120">
        <v>-17.525959069999999</v>
      </c>
      <c r="F1120" s="75" t="str">
        <f>HYPERLINK("E:\Data From Lucan\2024\Johnstone\Frames_for_Analysis\1117_20240610_0006_L_1032.jpg","1117_20240610_0006_L_1032.jpg")</f>
        <v>1117_20240610_0006_L_1032.jpg</v>
      </c>
      <c r="G1120" s="75">
        <v>100</v>
      </c>
      <c r="I1120">
        <f t="shared" si="17"/>
        <v>1</v>
      </c>
      <c r="J1120" s="75">
        <v>1</v>
      </c>
      <c r="K1120" s="77"/>
      <c r="L1120" s="77"/>
      <c r="M1120" s="77"/>
      <c r="N1120" s="77"/>
      <c r="O1120" s="75">
        <v>1</v>
      </c>
      <c r="P1120" s="75">
        <v>0</v>
      </c>
      <c r="Q1120" s="75">
        <v>0</v>
      </c>
      <c r="R1120" s="75">
        <v>0</v>
      </c>
      <c r="S1120" s="75">
        <v>0</v>
      </c>
      <c r="T1120" s="75">
        <v>0</v>
      </c>
      <c r="U1120" s="75">
        <v>0</v>
      </c>
      <c r="V1120" s="75">
        <v>0</v>
      </c>
      <c r="W1120" s="78">
        <v>0</v>
      </c>
    </row>
    <row r="1121" spans="1:23" s="75" customFormat="1" hidden="1" x14ac:dyDescent="0.35">
      <c r="A1121" s="75">
        <v>1117</v>
      </c>
      <c r="B1121" s="75">
        <v>1118</v>
      </c>
      <c r="C1121">
        <v>146.05970669999999</v>
      </c>
      <c r="D1121">
        <v>-17.525903329999998</v>
      </c>
      <c r="F1121" s="75" t="str">
        <f>HYPERLINK("E:\Data From Lucan\2024\Johnstone\Frames_for_Analysis\1118_20240610_0006_L_1036.jpg","1118_20240610_0006_L_1036.jpg")</f>
        <v>1118_20240610_0006_L_1036.jpg</v>
      </c>
      <c r="G1121" s="75">
        <v>100</v>
      </c>
      <c r="I1121">
        <f t="shared" si="17"/>
        <v>1</v>
      </c>
      <c r="J1121" s="75">
        <v>1</v>
      </c>
      <c r="K1121" s="77"/>
      <c r="L1121" s="77"/>
      <c r="M1121" s="77"/>
      <c r="N1121" s="77"/>
      <c r="O1121" s="75">
        <v>1</v>
      </c>
      <c r="P1121" s="75">
        <v>0</v>
      </c>
      <c r="Q1121" s="75">
        <v>0</v>
      </c>
      <c r="R1121" s="75">
        <v>0</v>
      </c>
      <c r="S1121" s="75">
        <v>0</v>
      </c>
      <c r="T1121" s="75">
        <v>0</v>
      </c>
      <c r="U1121" s="75">
        <v>0</v>
      </c>
      <c r="V1121" s="75">
        <v>0</v>
      </c>
      <c r="W1121" s="78">
        <v>0</v>
      </c>
    </row>
    <row r="1122" spans="1:23" s="75" customFormat="1" hidden="1" x14ac:dyDescent="0.35">
      <c r="A1122" s="75">
        <v>1118</v>
      </c>
      <c r="B1122" s="75">
        <v>1119</v>
      </c>
      <c r="C1122">
        <v>146.0596204</v>
      </c>
      <c r="D1122">
        <v>-17.525865920000001</v>
      </c>
      <c r="F1122" s="75" t="str">
        <f>HYPERLINK("E:\Data From Lucan\2024\Johnstone\Frames_for_Analysis\1119_20240610_0006_L_1039.jpg","1119_20240610_0006_L_1039.jpg")</f>
        <v>1119_20240610_0006_L_1039.jpg</v>
      </c>
      <c r="G1122" s="75">
        <v>100</v>
      </c>
      <c r="I1122">
        <f t="shared" si="17"/>
        <v>1</v>
      </c>
      <c r="J1122" s="75">
        <v>1</v>
      </c>
      <c r="K1122" s="77"/>
      <c r="L1122" s="77"/>
      <c r="M1122" s="77"/>
      <c r="N1122" s="77"/>
      <c r="O1122" s="75">
        <v>1</v>
      </c>
      <c r="P1122" s="75">
        <v>0</v>
      </c>
      <c r="Q1122" s="75">
        <v>0</v>
      </c>
      <c r="R1122" s="75">
        <v>0</v>
      </c>
      <c r="S1122" s="75">
        <v>0</v>
      </c>
      <c r="T1122" s="75">
        <v>0</v>
      </c>
      <c r="U1122" s="75">
        <v>0</v>
      </c>
      <c r="V1122" s="75">
        <v>0</v>
      </c>
      <c r="W1122" s="78">
        <v>0</v>
      </c>
    </row>
    <row r="1123" spans="1:23" s="75" customFormat="1" hidden="1" x14ac:dyDescent="0.35">
      <c r="A1123" s="75">
        <v>1119</v>
      </c>
      <c r="B1123" s="75">
        <v>1120</v>
      </c>
      <c r="C1123">
        <v>146.05953310000001</v>
      </c>
      <c r="D1123">
        <v>-17.52583018</v>
      </c>
      <c r="F1123" s="75" t="str">
        <f>HYPERLINK("E:\Data From Lucan\2024\Johnstone\Frames_for_Analysis\1120_20240610_0006_L_1043.jpg","1120_20240610_0006_L_1043.jpg")</f>
        <v>1120_20240610_0006_L_1043.jpg</v>
      </c>
      <c r="G1123" s="75">
        <v>100</v>
      </c>
      <c r="I1123">
        <f t="shared" si="17"/>
        <v>1</v>
      </c>
      <c r="J1123" s="75">
        <v>1</v>
      </c>
      <c r="K1123" s="77"/>
      <c r="L1123" s="77"/>
      <c r="M1123" s="77"/>
      <c r="N1123" s="77"/>
      <c r="O1123" s="75">
        <v>1</v>
      </c>
      <c r="P1123" s="75">
        <v>0</v>
      </c>
      <c r="Q1123" s="75">
        <v>0</v>
      </c>
      <c r="R1123" s="75">
        <v>0</v>
      </c>
      <c r="S1123" s="75">
        <v>0</v>
      </c>
      <c r="T1123" s="75">
        <v>0</v>
      </c>
      <c r="U1123" s="75">
        <v>0</v>
      </c>
      <c r="V1123" s="75">
        <v>0</v>
      </c>
      <c r="W1123" s="78">
        <v>0</v>
      </c>
    </row>
    <row r="1124" spans="1:23" s="75" customFormat="1" hidden="1" x14ac:dyDescent="0.35">
      <c r="A1124" s="75">
        <v>1120</v>
      </c>
      <c r="B1124" s="75">
        <v>1121</v>
      </c>
      <c r="C1124">
        <v>146.05944579999999</v>
      </c>
      <c r="D1124">
        <v>-17.525794439999999</v>
      </c>
      <c r="F1124" s="75" t="str">
        <f>HYPERLINK("E:\Data From Lucan\2024\Johnstone\Frames_for_Analysis\1121_20240610_0006_L_1046.jpg","1121_20240610_0006_L_1046.jpg")</f>
        <v>1121_20240610_0006_L_1046.jpg</v>
      </c>
      <c r="G1124" s="75">
        <v>100</v>
      </c>
      <c r="I1124">
        <f t="shared" si="17"/>
        <v>1</v>
      </c>
      <c r="J1124" s="75">
        <v>1</v>
      </c>
      <c r="K1124" s="77"/>
      <c r="L1124" s="77"/>
      <c r="M1124" s="77"/>
      <c r="N1124" s="77"/>
      <c r="O1124" s="75">
        <v>1</v>
      </c>
      <c r="P1124" s="75">
        <v>0</v>
      </c>
      <c r="Q1124" s="75">
        <v>0</v>
      </c>
      <c r="R1124" s="75">
        <v>0</v>
      </c>
      <c r="S1124" s="75">
        <v>0</v>
      </c>
      <c r="T1124" s="75">
        <v>0</v>
      </c>
      <c r="U1124" s="75">
        <v>0</v>
      </c>
      <c r="V1124" s="75">
        <v>0</v>
      </c>
      <c r="W1124" s="78">
        <v>0</v>
      </c>
    </row>
    <row r="1125" spans="1:23" s="75" customFormat="1" hidden="1" x14ac:dyDescent="0.35">
      <c r="A1125" s="75">
        <v>1121</v>
      </c>
      <c r="B1125" s="75">
        <v>1122</v>
      </c>
      <c r="C1125">
        <v>146.05935779999999</v>
      </c>
      <c r="D1125">
        <v>-17.525760739999999</v>
      </c>
      <c r="F1125" s="75" t="str">
        <f>HYPERLINK("E:\Data From Lucan\2024\Johnstone\Frames_for_Analysis\1122_20240610_0006_L_1050.jpg","1122_20240610_0006_L_1050.jpg")</f>
        <v>1122_20240610_0006_L_1050.jpg</v>
      </c>
      <c r="G1125" s="75">
        <v>100</v>
      </c>
      <c r="I1125">
        <f t="shared" si="17"/>
        <v>1</v>
      </c>
      <c r="J1125" s="75">
        <v>1</v>
      </c>
      <c r="K1125" s="77"/>
      <c r="L1125" s="77"/>
      <c r="M1125" s="77"/>
      <c r="N1125" s="77"/>
      <c r="O1125" s="75">
        <v>1</v>
      </c>
      <c r="P1125" s="75">
        <v>0</v>
      </c>
      <c r="Q1125" s="75">
        <v>0</v>
      </c>
      <c r="R1125" s="75">
        <v>0</v>
      </c>
      <c r="S1125" s="75">
        <v>0</v>
      </c>
      <c r="T1125" s="75">
        <v>0</v>
      </c>
      <c r="U1125" s="75">
        <v>0</v>
      </c>
      <c r="V1125" s="75">
        <v>0</v>
      </c>
      <c r="W1125" s="78">
        <v>0</v>
      </c>
    </row>
    <row r="1126" spans="1:23" s="75" customFormat="1" hidden="1" x14ac:dyDescent="0.35">
      <c r="A1126" s="75">
        <v>1122</v>
      </c>
      <c r="B1126" s="75">
        <v>1123</v>
      </c>
      <c r="C1126">
        <v>146.059268</v>
      </c>
      <c r="D1126">
        <v>-17.525732090000002</v>
      </c>
      <c r="F1126" s="75" t="str">
        <f>HYPERLINK("E:\Data From Lucan\2024\Johnstone\Frames_for_Analysis\1123_20240610_0006_L_1053.jpg","1123_20240610_0006_L_1053.jpg")</f>
        <v>1123_20240610_0006_L_1053.jpg</v>
      </c>
      <c r="G1126" s="75">
        <v>100</v>
      </c>
      <c r="I1126">
        <f t="shared" si="17"/>
        <v>1</v>
      </c>
      <c r="J1126" s="75">
        <v>1</v>
      </c>
      <c r="K1126" s="77"/>
      <c r="L1126" s="77"/>
      <c r="M1126" s="77"/>
      <c r="N1126" s="77"/>
      <c r="O1126" s="75">
        <v>1</v>
      </c>
      <c r="P1126" s="75">
        <v>0</v>
      </c>
      <c r="Q1126" s="75">
        <v>0</v>
      </c>
      <c r="R1126" s="75">
        <v>0</v>
      </c>
      <c r="S1126" s="75">
        <v>0</v>
      </c>
      <c r="T1126" s="75">
        <v>0</v>
      </c>
      <c r="U1126" s="75">
        <v>0</v>
      </c>
      <c r="V1126" s="75">
        <v>0</v>
      </c>
      <c r="W1126" s="78">
        <v>0</v>
      </c>
    </row>
    <row r="1127" spans="1:23" s="75" customFormat="1" hidden="1" x14ac:dyDescent="0.35">
      <c r="A1127" s="75">
        <v>1123</v>
      </c>
      <c r="B1127" s="75">
        <v>1124</v>
      </c>
      <c r="C1127">
        <v>146.0591781</v>
      </c>
      <c r="D1127">
        <v>-17.52570343</v>
      </c>
      <c r="F1127" s="75" t="str">
        <f>HYPERLINK("E:\Data From Lucan\2024\Johnstone\Frames_for_Analysis\1124_20240610_0006_L_1056.jpg","1124_20240610_0006_L_1056.jpg")</f>
        <v>1124_20240610_0006_L_1056.jpg</v>
      </c>
      <c r="G1127" s="75">
        <v>100</v>
      </c>
      <c r="I1127">
        <f t="shared" si="17"/>
        <v>1</v>
      </c>
      <c r="J1127" s="75">
        <v>1</v>
      </c>
      <c r="K1127" s="77"/>
      <c r="L1127" s="77"/>
      <c r="M1127" s="77"/>
      <c r="N1127" s="77"/>
      <c r="O1127" s="75">
        <v>1</v>
      </c>
      <c r="P1127" s="75">
        <v>0</v>
      </c>
      <c r="Q1127" s="75">
        <v>0</v>
      </c>
      <c r="R1127" s="75">
        <v>0</v>
      </c>
      <c r="S1127" s="75">
        <v>0</v>
      </c>
      <c r="T1127" s="75">
        <v>0</v>
      </c>
      <c r="U1127" s="75">
        <v>0</v>
      </c>
      <c r="V1127" s="75">
        <v>0</v>
      </c>
      <c r="W1127" s="78">
        <v>0</v>
      </c>
    </row>
    <row r="1128" spans="1:23" s="75" customFormat="1" hidden="1" x14ac:dyDescent="0.35">
      <c r="A1128" s="75">
        <v>1124</v>
      </c>
      <c r="B1128" s="75">
        <v>1125</v>
      </c>
      <c r="C1128">
        <v>146.05908830000001</v>
      </c>
      <c r="D1128">
        <v>-17.525674779999999</v>
      </c>
      <c r="F1128" s="75" t="str">
        <f>HYPERLINK("E:\Data From Lucan\2024\Johnstone\Frames_for_Analysis\1125_20240610_0006_L_1063.jpg","1125_20240610_0006_L_1063.jpg")</f>
        <v>1125_20240610_0006_L_1063.jpg</v>
      </c>
      <c r="G1128" s="75">
        <v>100</v>
      </c>
      <c r="I1128">
        <f t="shared" si="17"/>
        <v>1</v>
      </c>
      <c r="J1128" s="75">
        <v>1</v>
      </c>
      <c r="K1128" s="77"/>
      <c r="L1128" s="77"/>
      <c r="M1128" s="77"/>
      <c r="N1128" s="77"/>
      <c r="O1128" s="75">
        <v>1</v>
      </c>
      <c r="P1128" s="75">
        <v>0</v>
      </c>
      <c r="Q1128" s="75">
        <v>0</v>
      </c>
      <c r="R1128" s="75">
        <v>0</v>
      </c>
      <c r="S1128" s="75">
        <v>0</v>
      </c>
      <c r="T1128" s="75">
        <v>0</v>
      </c>
      <c r="U1128" s="75">
        <v>0</v>
      </c>
      <c r="V1128" s="75">
        <v>0</v>
      </c>
      <c r="W1128" s="78">
        <v>0</v>
      </c>
    </row>
    <row r="1129" spans="1:23" s="75" customFormat="1" hidden="1" x14ac:dyDescent="0.35">
      <c r="A1129" s="75">
        <v>1125</v>
      </c>
      <c r="B1129" s="75">
        <v>1126</v>
      </c>
      <c r="C1129">
        <v>146.05899840000001</v>
      </c>
      <c r="D1129">
        <v>-17.525646129999998</v>
      </c>
      <c r="F1129" s="75" t="str">
        <f>HYPERLINK("E:\Data From Lucan\2024\Johnstone\Frames_for_Analysis\1126_20240610_0007_R_0007.jpg","1126_20240610_0007_R_0007.jpg")</f>
        <v>1126_20240610_0007_R_0007.jpg</v>
      </c>
      <c r="G1129" s="75">
        <v>100</v>
      </c>
      <c r="I1129" t="str">
        <f t="shared" si="17"/>
        <v>X</v>
      </c>
      <c r="J1129" s="75" t="s">
        <v>3958</v>
      </c>
      <c r="K1129" s="77"/>
      <c r="L1129" s="77"/>
      <c r="M1129" s="77"/>
      <c r="N1129" s="77"/>
      <c r="O1129" s="75">
        <v>1</v>
      </c>
      <c r="P1129" s="75">
        <v>0</v>
      </c>
      <c r="Q1129" s="75">
        <v>0</v>
      </c>
      <c r="R1129" s="75">
        <v>0</v>
      </c>
      <c r="S1129" s="75">
        <v>0</v>
      </c>
      <c r="T1129" s="75">
        <v>0</v>
      </c>
      <c r="U1129" s="75">
        <v>0</v>
      </c>
      <c r="V1129" s="75">
        <v>0</v>
      </c>
      <c r="W1129" s="78">
        <v>0</v>
      </c>
    </row>
    <row r="1130" spans="1:23" s="75" customFormat="1" hidden="1" x14ac:dyDescent="0.35">
      <c r="A1130" s="75">
        <v>1126</v>
      </c>
      <c r="B1130" s="75">
        <v>1127</v>
      </c>
      <c r="C1130">
        <v>146.0589086</v>
      </c>
      <c r="D1130">
        <v>-17.52561747</v>
      </c>
      <c r="F1130" s="75" t="str">
        <f>HYPERLINK("E:\Data From Lucan\2024\Johnstone\Frames_for_Analysis\1127_20240610_0006_L_1069.jpg","1127_20240610_0006_L_1069.jpg")</f>
        <v>1127_20240610_0006_L_1069.jpg</v>
      </c>
      <c r="G1130" s="75">
        <v>100</v>
      </c>
      <c r="I1130">
        <f t="shared" si="17"/>
        <v>1</v>
      </c>
      <c r="J1130" s="75">
        <v>1</v>
      </c>
      <c r="K1130" s="77"/>
      <c r="L1130" s="77"/>
      <c r="M1130" s="77"/>
      <c r="N1130" s="77"/>
      <c r="O1130" s="75">
        <v>1</v>
      </c>
      <c r="P1130" s="75">
        <v>0</v>
      </c>
      <c r="Q1130" s="75">
        <v>0</v>
      </c>
      <c r="R1130" s="75">
        <v>0</v>
      </c>
      <c r="S1130" s="75">
        <v>0</v>
      </c>
      <c r="T1130" s="75">
        <v>0</v>
      </c>
      <c r="U1130" s="75">
        <v>0</v>
      </c>
      <c r="V1130" s="75">
        <v>0</v>
      </c>
      <c r="W1130" s="78">
        <v>0</v>
      </c>
    </row>
    <row r="1131" spans="1:23" s="75" customFormat="1" hidden="1" x14ac:dyDescent="0.35">
      <c r="A1131" s="75">
        <v>1127</v>
      </c>
      <c r="B1131" s="75">
        <v>1128</v>
      </c>
      <c r="C1131">
        <v>146.05881869999999</v>
      </c>
      <c r="D1131">
        <v>-17.525588819999999</v>
      </c>
      <c r="F1131" s="75" t="str">
        <f>HYPERLINK("E:\Data From Lucan\2024\Johnstone\Frames_for_Analysis\1128_20240610_0006_L_1072.jpg","1128_20240610_0006_L_1072.jpg")</f>
        <v>1128_20240610_0006_L_1072.jpg</v>
      </c>
      <c r="G1131" s="75">
        <v>100</v>
      </c>
      <c r="I1131">
        <f t="shared" si="17"/>
        <v>1</v>
      </c>
      <c r="J1131" s="75">
        <v>1</v>
      </c>
      <c r="K1131" s="77"/>
      <c r="L1131" s="77"/>
      <c r="M1131" s="77"/>
      <c r="N1131" s="77"/>
      <c r="O1131" s="75">
        <v>1</v>
      </c>
      <c r="P1131" s="75">
        <v>0</v>
      </c>
      <c r="Q1131" s="75">
        <v>0</v>
      </c>
      <c r="R1131" s="75">
        <v>0</v>
      </c>
      <c r="S1131" s="75">
        <v>0</v>
      </c>
      <c r="T1131" s="75">
        <v>0</v>
      </c>
      <c r="U1131" s="75">
        <v>0</v>
      </c>
      <c r="V1131" s="75">
        <v>0</v>
      </c>
      <c r="W1131" s="78">
        <v>0</v>
      </c>
    </row>
    <row r="1132" spans="1:23" s="75" customFormat="1" hidden="1" x14ac:dyDescent="0.35">
      <c r="A1132" s="75">
        <v>1128</v>
      </c>
      <c r="B1132" s="75">
        <v>1129</v>
      </c>
      <c r="C1132">
        <v>146.0587329</v>
      </c>
      <c r="D1132">
        <v>-17.525549949999998</v>
      </c>
      <c r="F1132" s="75" t="str">
        <f>HYPERLINK("E:\Data From Lucan\2024\Johnstone\Frames_for_Analysis\1129_20240610_0006_L_1077.jpg","1129_20240610_0006_L_1077.jpg")</f>
        <v>1129_20240610_0006_L_1077.jpg</v>
      </c>
      <c r="G1132" s="75">
        <v>100</v>
      </c>
      <c r="I1132">
        <f t="shared" si="17"/>
        <v>1</v>
      </c>
      <c r="J1132" s="75">
        <v>1</v>
      </c>
      <c r="K1132" s="77"/>
      <c r="L1132" s="77"/>
      <c r="M1132" s="77"/>
      <c r="N1132" s="77"/>
      <c r="O1132" s="75">
        <v>1</v>
      </c>
      <c r="P1132" s="75">
        <v>0</v>
      </c>
      <c r="Q1132" s="75">
        <v>0</v>
      </c>
      <c r="R1132" s="75">
        <v>0</v>
      </c>
      <c r="S1132" s="75">
        <v>0</v>
      </c>
      <c r="T1132" s="75">
        <v>0</v>
      </c>
      <c r="U1132" s="75">
        <v>0</v>
      </c>
      <c r="V1132" s="75">
        <v>0</v>
      </c>
      <c r="W1132" s="78">
        <v>0</v>
      </c>
    </row>
    <row r="1133" spans="1:23" s="75" customFormat="1" hidden="1" x14ac:dyDescent="0.35">
      <c r="A1133" s="75">
        <v>1129</v>
      </c>
      <c r="B1133" s="75">
        <v>1130</v>
      </c>
      <c r="C1133">
        <v>146.05864779999999</v>
      </c>
      <c r="D1133">
        <v>-17.52550931</v>
      </c>
      <c r="F1133" s="75" t="str">
        <f>HYPERLINK("E:\Data From Lucan\2024\Johnstone\Frames_for_Analysis\1130_20240610_0006_L_1081.jpg","1130_20240610_0006_L_1081.jpg")</f>
        <v>1130_20240610_0006_L_1081.jpg</v>
      </c>
      <c r="G1133" s="75">
        <v>100</v>
      </c>
      <c r="I1133">
        <f t="shared" si="17"/>
        <v>1</v>
      </c>
      <c r="J1133" s="75">
        <v>1</v>
      </c>
      <c r="K1133" s="77"/>
      <c r="L1133" s="77"/>
      <c r="M1133" s="77"/>
      <c r="N1133" s="77"/>
      <c r="O1133" s="75">
        <v>1</v>
      </c>
      <c r="P1133" s="75">
        <v>0</v>
      </c>
      <c r="Q1133" s="75">
        <v>0</v>
      </c>
      <c r="R1133" s="75">
        <v>0</v>
      </c>
      <c r="S1133" s="75">
        <v>0</v>
      </c>
      <c r="T1133" s="75">
        <v>0</v>
      </c>
      <c r="U1133" s="75">
        <v>0</v>
      </c>
      <c r="V1133" s="75">
        <v>0</v>
      </c>
      <c r="W1133" s="78">
        <v>0</v>
      </c>
    </row>
    <row r="1134" spans="1:23" s="75" customFormat="1" hidden="1" x14ac:dyDescent="0.35">
      <c r="A1134" s="75">
        <v>1130</v>
      </c>
      <c r="B1134" s="75">
        <v>1131</v>
      </c>
      <c r="C1134">
        <v>146.05856270000001</v>
      </c>
      <c r="D1134">
        <v>-17.525468679999999</v>
      </c>
      <c r="F1134" s="75" t="str">
        <f>HYPERLINK("E:\Data From Lucan\2024\Johnstone\Frames_for_Analysis\1131_20240610_0006_L_1084.jpg","1131_20240610_0006_L_1084.jpg")</f>
        <v>1131_20240610_0006_L_1084.jpg</v>
      </c>
      <c r="G1134" s="75">
        <v>100</v>
      </c>
      <c r="I1134">
        <f t="shared" si="17"/>
        <v>1</v>
      </c>
      <c r="J1134" s="75">
        <v>1</v>
      </c>
      <c r="K1134" s="77"/>
      <c r="L1134" s="77"/>
      <c r="M1134" s="77"/>
      <c r="N1134" s="77"/>
      <c r="O1134" s="75">
        <v>1</v>
      </c>
      <c r="P1134" s="75">
        <v>0</v>
      </c>
      <c r="Q1134" s="75">
        <v>0</v>
      </c>
      <c r="R1134" s="75">
        <v>0</v>
      </c>
      <c r="S1134" s="75">
        <v>0</v>
      </c>
      <c r="T1134" s="75">
        <v>0</v>
      </c>
      <c r="U1134" s="75">
        <v>0</v>
      </c>
      <c r="V1134" s="75">
        <v>0</v>
      </c>
      <c r="W1134" s="78">
        <v>0</v>
      </c>
    </row>
    <row r="1135" spans="1:23" s="75" customFormat="1" hidden="1" x14ac:dyDescent="0.35">
      <c r="A1135" s="75">
        <v>1131</v>
      </c>
      <c r="B1135" s="75">
        <v>1132</v>
      </c>
      <c r="C1135">
        <v>146.0584777</v>
      </c>
      <c r="D1135">
        <v>-17.52542802</v>
      </c>
      <c r="F1135" s="75" t="str">
        <f>HYPERLINK("E:\Data From Lucan\2024\Johnstone\Frames_for_Analysis\1132_20240610_0006_L_1088.jpg","1132_20240610_0006_L_1088.jpg")</f>
        <v>1132_20240610_0006_L_1088.jpg</v>
      </c>
      <c r="G1135" s="75">
        <v>100</v>
      </c>
      <c r="I1135">
        <f t="shared" si="17"/>
        <v>1</v>
      </c>
      <c r="J1135" s="75">
        <v>1</v>
      </c>
      <c r="K1135" s="77"/>
      <c r="L1135" s="77"/>
      <c r="M1135" s="77"/>
      <c r="N1135" s="77"/>
      <c r="O1135" s="75">
        <v>1</v>
      </c>
      <c r="P1135" s="75">
        <v>0</v>
      </c>
      <c r="Q1135" s="75">
        <v>0</v>
      </c>
      <c r="R1135" s="75">
        <v>0</v>
      </c>
      <c r="S1135" s="75">
        <v>0</v>
      </c>
      <c r="T1135" s="75">
        <v>0</v>
      </c>
      <c r="U1135" s="75">
        <v>0</v>
      </c>
      <c r="V1135" s="75">
        <v>0</v>
      </c>
      <c r="W1135" s="78">
        <v>0</v>
      </c>
    </row>
    <row r="1136" spans="1:23" s="75" customFormat="1" hidden="1" x14ac:dyDescent="0.35">
      <c r="A1136" s="75">
        <v>1132</v>
      </c>
      <c r="B1136" s="75">
        <v>1133</v>
      </c>
      <c r="C1136">
        <v>146.05839710000001</v>
      </c>
      <c r="D1136">
        <v>-17.52537899</v>
      </c>
      <c r="F1136" s="75" t="str">
        <f>HYPERLINK("E:\Data From Lucan\2024\Johnstone\Frames_for_Analysis\1133_20240610_0006_L_1092.jpg","1133_20240610_0006_L_1092.jpg")</f>
        <v>1133_20240610_0006_L_1092.jpg</v>
      </c>
      <c r="G1136" s="75">
        <v>100</v>
      </c>
      <c r="I1136">
        <f t="shared" si="17"/>
        <v>1</v>
      </c>
      <c r="J1136" s="75">
        <v>1</v>
      </c>
      <c r="K1136" s="77"/>
      <c r="L1136" s="77"/>
      <c r="M1136" s="77"/>
      <c r="N1136" s="77"/>
      <c r="O1136" s="75">
        <v>2</v>
      </c>
      <c r="P1136" s="75">
        <v>0</v>
      </c>
      <c r="Q1136" s="75">
        <v>0</v>
      </c>
      <c r="R1136" s="75">
        <v>0</v>
      </c>
      <c r="S1136" s="75">
        <v>0</v>
      </c>
      <c r="T1136" s="75">
        <v>0</v>
      </c>
      <c r="U1136" s="75">
        <v>0</v>
      </c>
      <c r="V1136" s="75">
        <v>0</v>
      </c>
      <c r="W1136" s="78">
        <v>1</v>
      </c>
    </row>
    <row r="1137" spans="1:23" s="75" customFormat="1" hidden="1" x14ac:dyDescent="0.35">
      <c r="A1137" s="75">
        <v>1133</v>
      </c>
      <c r="B1137" s="75">
        <v>1134</v>
      </c>
      <c r="C1137">
        <v>146.05831649999999</v>
      </c>
      <c r="D1137">
        <v>-17.525329960000001</v>
      </c>
      <c r="F1137" s="75" t="str">
        <f>HYPERLINK("E:\Data From Lucan\2024\Johnstone\Frames_for_Analysis\1134_20240610_0006_L_1096.jpg","1134_20240610_0006_L_1096.jpg")</f>
        <v>1134_20240610_0006_L_1096.jpg</v>
      </c>
      <c r="G1137" s="75">
        <v>100</v>
      </c>
      <c r="I1137">
        <f t="shared" si="17"/>
        <v>0</v>
      </c>
      <c r="J1137" s="75">
        <v>0</v>
      </c>
      <c r="K1137" s="77"/>
      <c r="L1137" s="77"/>
      <c r="M1137" s="77"/>
      <c r="N1137" s="77"/>
      <c r="O1137" s="75">
        <v>1</v>
      </c>
      <c r="P1137" s="75">
        <v>0</v>
      </c>
      <c r="Q1137" s="75">
        <v>0</v>
      </c>
      <c r="S1137" s="75">
        <v>0</v>
      </c>
      <c r="T1137" s="75">
        <v>0</v>
      </c>
      <c r="U1137" s="75">
        <v>0</v>
      </c>
      <c r="V1137" s="75">
        <v>0</v>
      </c>
      <c r="W1137" s="78">
        <v>0</v>
      </c>
    </row>
    <row r="1138" spans="1:23" s="75" customFormat="1" hidden="1" x14ac:dyDescent="0.35">
      <c r="A1138" s="75">
        <v>1134</v>
      </c>
      <c r="B1138" s="75">
        <v>1135</v>
      </c>
      <c r="C1138">
        <v>146.05823599999999</v>
      </c>
      <c r="D1138">
        <v>-17.525280939999998</v>
      </c>
      <c r="F1138" s="75" t="str">
        <f>HYPERLINK("E:\Data From Lucan\2024\Johnstone\Frames_for_Analysis\1135_20240610_0006_L_1099.jpg","1135_20240610_0006_L_1099.jpg")</f>
        <v>1135_20240610_0006_L_1099.jpg</v>
      </c>
      <c r="G1138" s="75">
        <v>100</v>
      </c>
      <c r="I1138">
        <f t="shared" si="17"/>
        <v>1</v>
      </c>
      <c r="J1138" s="75">
        <v>1</v>
      </c>
      <c r="K1138" s="77"/>
      <c r="L1138" s="77"/>
      <c r="M1138" s="77"/>
      <c r="N1138" s="77"/>
      <c r="O1138" s="75">
        <v>1</v>
      </c>
      <c r="P1138" s="75">
        <v>0</v>
      </c>
      <c r="Q1138" s="75">
        <v>0</v>
      </c>
      <c r="R1138" s="75">
        <v>0</v>
      </c>
      <c r="S1138" s="75">
        <v>0</v>
      </c>
      <c r="T1138" s="75">
        <v>0</v>
      </c>
      <c r="U1138" s="75">
        <v>0</v>
      </c>
      <c r="V1138" s="75">
        <v>0</v>
      </c>
      <c r="W1138" s="78">
        <v>0</v>
      </c>
    </row>
    <row r="1139" spans="1:23" s="75" customFormat="1" hidden="1" x14ac:dyDescent="0.35">
      <c r="A1139" s="75">
        <v>1135</v>
      </c>
      <c r="B1139" s="75">
        <v>1136</v>
      </c>
      <c r="C1139">
        <v>146.0581598</v>
      </c>
      <c r="D1139">
        <v>-17.525225840000001</v>
      </c>
      <c r="F1139" s="75" t="str">
        <f>HYPERLINK("E:\Data From Lucan\2024\Johnstone\Frames_for_Analysis\1136_20240610_0006_L_1101.jpg","1136_20240610_0006_L_1101.jpg")</f>
        <v>1136_20240610_0006_L_1101.jpg</v>
      </c>
      <c r="G1139" s="75">
        <v>100</v>
      </c>
      <c r="I1139">
        <f t="shared" si="17"/>
        <v>1</v>
      </c>
      <c r="J1139" s="75">
        <v>1</v>
      </c>
      <c r="K1139" s="77"/>
      <c r="L1139" s="77"/>
      <c r="M1139" s="77"/>
      <c r="N1139" s="77"/>
      <c r="O1139" s="75">
        <v>1</v>
      </c>
      <c r="P1139" s="75">
        <v>0</v>
      </c>
      <c r="Q1139" s="75">
        <v>0</v>
      </c>
      <c r="R1139" s="75">
        <v>0</v>
      </c>
      <c r="S1139" s="75">
        <v>0</v>
      </c>
      <c r="T1139" s="75">
        <v>0</v>
      </c>
      <c r="U1139" s="75">
        <v>0</v>
      </c>
      <c r="V1139" s="75">
        <v>0</v>
      </c>
      <c r="W1139" s="78">
        <v>0</v>
      </c>
    </row>
    <row r="1140" spans="1:23" s="75" customFormat="1" hidden="1" x14ac:dyDescent="0.35">
      <c r="A1140" s="75">
        <v>1136</v>
      </c>
      <c r="B1140" s="75">
        <v>1137</v>
      </c>
      <c r="C1140">
        <v>146.05808830000001</v>
      </c>
      <c r="D1140">
        <v>-17.52516438</v>
      </c>
      <c r="F1140" s="75" t="str">
        <f>HYPERLINK("E:\Data From Lucan\2024\Johnstone\Frames_for_Analysis\1137_20240610_0006_L_1104.jpg","1137_20240610_0006_L_1104.jpg")</f>
        <v>1137_20240610_0006_L_1104.jpg</v>
      </c>
      <c r="G1140" s="75">
        <v>100</v>
      </c>
      <c r="I1140">
        <f t="shared" si="17"/>
        <v>1</v>
      </c>
      <c r="J1140" s="75">
        <v>1</v>
      </c>
      <c r="K1140" s="77"/>
      <c r="L1140" s="77"/>
      <c r="M1140" s="77"/>
      <c r="N1140" s="77"/>
      <c r="O1140" s="75">
        <v>1</v>
      </c>
      <c r="P1140" s="75">
        <v>0</v>
      </c>
      <c r="Q1140" s="75">
        <v>0</v>
      </c>
      <c r="R1140" s="75">
        <v>0</v>
      </c>
      <c r="S1140" s="75">
        <v>0</v>
      </c>
      <c r="T1140" s="75">
        <v>0</v>
      </c>
      <c r="U1140" s="75">
        <v>0</v>
      </c>
      <c r="V1140" s="75">
        <v>0</v>
      </c>
      <c r="W1140" s="78">
        <v>0</v>
      </c>
    </row>
    <row r="1141" spans="1:23" s="75" customFormat="1" hidden="1" x14ac:dyDescent="0.35">
      <c r="A1141" s="75">
        <v>1137</v>
      </c>
      <c r="B1141" s="75">
        <v>1138</v>
      </c>
      <c r="C1141">
        <v>146.05801629999999</v>
      </c>
      <c r="D1141">
        <v>-17.525103510000001</v>
      </c>
      <c r="F1141" s="75" t="str">
        <f>HYPERLINK("E:\Data From Lucan\2024\Johnstone\Frames_for_Analysis\1138_20240610_0006_L_1106.jpg","1138_20240610_0006_L_1106.jpg")</f>
        <v>1138_20240610_0006_L_1106.jpg</v>
      </c>
      <c r="G1141" s="75">
        <v>100</v>
      </c>
      <c r="I1141">
        <f t="shared" si="17"/>
        <v>1</v>
      </c>
      <c r="J1141" s="75">
        <v>1</v>
      </c>
      <c r="K1141" s="77"/>
      <c r="L1141" s="77"/>
      <c r="M1141" s="77"/>
      <c r="N1141" s="77"/>
      <c r="O1141" s="75">
        <v>1</v>
      </c>
      <c r="P1141" s="75">
        <v>0</v>
      </c>
      <c r="Q1141" s="75">
        <v>0</v>
      </c>
      <c r="R1141" s="75">
        <v>0</v>
      </c>
      <c r="S1141" s="75">
        <v>0</v>
      </c>
      <c r="T1141" s="75">
        <v>0</v>
      </c>
      <c r="U1141" s="75">
        <v>0</v>
      </c>
      <c r="V1141" s="75">
        <v>0</v>
      </c>
      <c r="W1141" s="78">
        <v>0</v>
      </c>
    </row>
    <row r="1142" spans="1:23" s="75" customFormat="1" hidden="1" x14ac:dyDescent="0.35">
      <c r="A1142" s="75">
        <v>1138</v>
      </c>
      <c r="B1142" s="75">
        <v>1139</v>
      </c>
      <c r="C1142">
        <v>146.0579458</v>
      </c>
      <c r="D1142">
        <v>-17.52504132</v>
      </c>
      <c r="F1142" s="75" t="str">
        <f>HYPERLINK("E:\Data From Lucan\2024\Johnstone\Frames_for_Analysis\1139_20240610_0006_L_1109.jpg","1139_20240610_0006_L_1109.jpg")</f>
        <v>1139_20240610_0006_L_1109.jpg</v>
      </c>
      <c r="G1142" s="75">
        <v>100</v>
      </c>
      <c r="I1142">
        <f t="shared" si="17"/>
        <v>0</v>
      </c>
      <c r="J1142" s="75">
        <v>0</v>
      </c>
      <c r="K1142" s="77"/>
      <c r="L1142" s="77"/>
      <c r="M1142" s="77"/>
      <c r="N1142" s="77"/>
      <c r="O1142" s="75">
        <v>1</v>
      </c>
      <c r="P1142" s="75">
        <v>0</v>
      </c>
      <c r="Q1142" s="75">
        <v>0</v>
      </c>
      <c r="R1142" s="75">
        <v>0</v>
      </c>
      <c r="S1142" s="75">
        <v>0</v>
      </c>
      <c r="T1142" s="75">
        <v>0</v>
      </c>
      <c r="U1142" s="75">
        <v>0</v>
      </c>
      <c r="V1142" s="75">
        <v>0</v>
      </c>
      <c r="W1142" s="78">
        <v>0</v>
      </c>
    </row>
    <row r="1143" spans="1:23" s="75" customFormat="1" hidden="1" x14ac:dyDescent="0.35">
      <c r="A1143" s="75">
        <v>1139</v>
      </c>
      <c r="B1143" s="75">
        <v>1140</v>
      </c>
      <c r="C1143">
        <v>146.05788920000001</v>
      </c>
      <c r="D1143">
        <v>-17.52496588</v>
      </c>
      <c r="F1143" s="75" t="str">
        <f>HYPERLINK("E:\Data From Lucan\2024\Johnstone\Frames_for_Analysis\1140_20240610_0006_L_1112.jpg","1140_20240610_0006_L_1112.jpg")</f>
        <v>1140_20240610_0006_L_1112.jpg</v>
      </c>
      <c r="G1143" s="75">
        <v>100</v>
      </c>
      <c r="I1143">
        <f t="shared" si="17"/>
        <v>1</v>
      </c>
      <c r="J1143" s="75">
        <v>1</v>
      </c>
      <c r="K1143" s="77"/>
      <c r="L1143" s="77"/>
      <c r="M1143" s="77"/>
      <c r="N1143" s="77"/>
      <c r="O1143" s="75">
        <v>1</v>
      </c>
      <c r="P1143" s="75">
        <v>0</v>
      </c>
      <c r="Q1143" s="75">
        <v>0</v>
      </c>
      <c r="R1143" s="75">
        <v>0</v>
      </c>
      <c r="S1143" s="75">
        <v>0</v>
      </c>
      <c r="T1143" s="75">
        <v>0</v>
      </c>
      <c r="U1143" s="75">
        <v>0</v>
      </c>
      <c r="V1143" s="75">
        <v>0</v>
      </c>
      <c r="W1143" s="78">
        <v>0</v>
      </c>
    </row>
    <row r="1144" spans="1:23" s="75" customFormat="1" hidden="1" x14ac:dyDescent="0.35">
      <c r="A1144" s="75">
        <v>1140</v>
      </c>
      <c r="B1144" s="75">
        <v>1141</v>
      </c>
      <c r="C1144">
        <v>146.05784890000001</v>
      </c>
      <c r="D1144">
        <v>-17.52488103</v>
      </c>
      <c r="F1144" s="75" t="str">
        <f>HYPERLINK("E:\Data From Lucan\2024\Johnstone\Frames_for_Analysis\1141_20240610_0006_L_1115.jpg","1141_20240610_0006_L_1115.jpg")</f>
        <v>1141_20240610_0006_L_1115.jpg</v>
      </c>
      <c r="G1144" s="75">
        <v>100</v>
      </c>
      <c r="I1144">
        <f t="shared" si="17"/>
        <v>1</v>
      </c>
      <c r="J1144" s="75">
        <v>1</v>
      </c>
      <c r="K1144" s="77"/>
      <c r="L1144" s="77"/>
      <c r="M1144" s="77"/>
      <c r="N1144" s="77"/>
      <c r="O1144" s="75">
        <v>1</v>
      </c>
      <c r="P1144" s="75">
        <v>0</v>
      </c>
      <c r="Q1144" s="75">
        <v>0</v>
      </c>
      <c r="R1144" s="75">
        <v>0</v>
      </c>
      <c r="S1144" s="75">
        <v>0</v>
      </c>
      <c r="T1144" s="75">
        <v>0</v>
      </c>
      <c r="U1144" s="75">
        <v>0</v>
      </c>
      <c r="V1144" s="75">
        <v>0</v>
      </c>
      <c r="W1144" s="78">
        <v>0</v>
      </c>
    </row>
    <row r="1145" spans="1:23" s="75" customFormat="1" hidden="1" x14ac:dyDescent="0.35">
      <c r="A1145" s="75">
        <v>1141</v>
      </c>
      <c r="B1145" s="75">
        <v>1142</v>
      </c>
      <c r="C1145">
        <v>146.0577964</v>
      </c>
      <c r="D1145">
        <v>-17.52480272</v>
      </c>
      <c r="F1145" s="75" t="str">
        <f>HYPERLINK("E:\Data From Lucan\2024\Johnstone\Frames_for_Analysis\1142_20240610_0006_L_1117.jpg","1142_20240610_0006_L_1117.jpg")</f>
        <v>1142_20240610_0006_L_1117.jpg</v>
      </c>
      <c r="G1145" s="75">
        <v>100</v>
      </c>
      <c r="I1145">
        <f t="shared" si="17"/>
        <v>1</v>
      </c>
      <c r="J1145" s="75">
        <v>1</v>
      </c>
      <c r="K1145" s="77"/>
      <c r="L1145" s="77"/>
      <c r="M1145" s="77"/>
      <c r="N1145" s="77"/>
      <c r="O1145" s="75">
        <v>1</v>
      </c>
      <c r="P1145" s="75">
        <v>0</v>
      </c>
      <c r="Q1145" s="75">
        <v>0</v>
      </c>
      <c r="R1145" s="75">
        <v>0</v>
      </c>
      <c r="S1145" s="75">
        <v>0</v>
      </c>
      <c r="T1145" s="75">
        <v>0</v>
      </c>
      <c r="U1145" s="75">
        <v>0</v>
      </c>
      <c r="V1145" s="75">
        <v>0</v>
      </c>
      <c r="W1145" s="78">
        <v>0</v>
      </c>
    </row>
    <row r="1146" spans="1:23" s="75" customFormat="1" hidden="1" x14ac:dyDescent="0.35">
      <c r="A1146" s="75">
        <v>1142</v>
      </c>
      <c r="B1146" s="75">
        <v>1143</v>
      </c>
      <c r="C1146">
        <v>146.0577438</v>
      </c>
      <c r="D1146">
        <v>-17.524724410000001</v>
      </c>
      <c r="F1146" s="75" t="str">
        <f>HYPERLINK("E:\Data From Lucan\2024\Johnstone\Frames_for_Analysis\1143_20240610_0006_L_1120.jpg","1143_20240610_0006_L_1120.jpg")</f>
        <v>1143_20240610_0006_L_1120.jpg</v>
      </c>
      <c r="G1146" s="75">
        <v>100</v>
      </c>
      <c r="I1146">
        <f t="shared" si="17"/>
        <v>1</v>
      </c>
      <c r="J1146" s="75">
        <v>1</v>
      </c>
      <c r="K1146" s="77"/>
      <c r="L1146" s="77"/>
      <c r="M1146" s="77"/>
      <c r="N1146" s="77"/>
      <c r="O1146" s="75">
        <v>1</v>
      </c>
      <c r="P1146" s="75">
        <v>0</v>
      </c>
      <c r="Q1146" s="75">
        <v>0</v>
      </c>
      <c r="R1146" s="75">
        <v>0</v>
      </c>
      <c r="S1146" s="75">
        <v>0</v>
      </c>
      <c r="T1146" s="75">
        <v>0</v>
      </c>
      <c r="U1146" s="75">
        <v>0</v>
      </c>
      <c r="V1146" s="75">
        <v>0</v>
      </c>
      <c r="W1146" s="78">
        <v>0</v>
      </c>
    </row>
    <row r="1147" spans="1:23" s="75" customFormat="1" hidden="1" x14ac:dyDescent="0.35">
      <c r="A1147" s="75">
        <v>1143</v>
      </c>
      <c r="B1147" s="75">
        <v>1144</v>
      </c>
      <c r="C1147">
        <v>146.05769129999999</v>
      </c>
      <c r="D1147">
        <v>-17.524646099999998</v>
      </c>
      <c r="F1147" s="75" t="str">
        <f>HYPERLINK("E:\Data From Lucan\2024\Johnstone\Frames_for_Analysis\1144_20240610_0006_L_1123.jpg","1144_20240610_0006_L_1123.jpg")</f>
        <v>1144_20240610_0006_L_1123.jpg</v>
      </c>
      <c r="G1147" s="75">
        <v>100</v>
      </c>
      <c r="I1147">
        <f t="shared" si="17"/>
        <v>1</v>
      </c>
      <c r="J1147" s="75">
        <v>1</v>
      </c>
      <c r="K1147" s="77"/>
      <c r="L1147" s="77"/>
      <c r="M1147" s="77"/>
      <c r="N1147" s="77"/>
      <c r="O1147" s="75">
        <v>1</v>
      </c>
      <c r="P1147" s="75">
        <v>0</v>
      </c>
      <c r="Q1147" s="75">
        <v>0</v>
      </c>
      <c r="R1147" s="75">
        <v>0</v>
      </c>
      <c r="S1147" s="75">
        <v>0</v>
      </c>
      <c r="T1147" s="75">
        <v>0</v>
      </c>
      <c r="U1147" s="75">
        <v>0</v>
      </c>
      <c r="V1147" s="75">
        <v>0</v>
      </c>
      <c r="W1147" s="78">
        <v>0</v>
      </c>
    </row>
    <row r="1148" spans="1:23" s="75" customFormat="1" hidden="1" x14ac:dyDescent="0.35">
      <c r="A1148" s="75">
        <v>1144</v>
      </c>
      <c r="B1148" s="75">
        <v>1145</v>
      </c>
      <c r="C1148">
        <v>146.05763859999999</v>
      </c>
      <c r="D1148">
        <v>-17.524567919999999</v>
      </c>
      <c r="F1148" s="75" t="str">
        <f>HYPERLINK("E:\Data From Lucan\2024\Johnstone\Frames_for_Analysis\1145_20240610_0006_L_1127.jpg","1145_20240610_0006_L_1127.jpg")</f>
        <v>1145_20240610_0006_L_1127.jpg</v>
      </c>
      <c r="G1148" s="75">
        <v>100</v>
      </c>
      <c r="I1148">
        <f t="shared" si="17"/>
        <v>1</v>
      </c>
      <c r="J1148" s="75">
        <v>1</v>
      </c>
      <c r="K1148" s="77"/>
      <c r="L1148" s="77"/>
      <c r="M1148" s="77"/>
      <c r="N1148" s="77"/>
      <c r="O1148" s="75">
        <v>1</v>
      </c>
      <c r="P1148" s="75">
        <v>0</v>
      </c>
      <c r="Q1148" s="75">
        <v>0</v>
      </c>
      <c r="R1148" s="75">
        <v>0</v>
      </c>
      <c r="S1148" s="75">
        <v>0</v>
      </c>
      <c r="T1148" s="75">
        <v>0</v>
      </c>
      <c r="U1148" s="75">
        <v>0</v>
      </c>
      <c r="V1148" s="75">
        <v>0</v>
      </c>
      <c r="W1148" s="78">
        <v>0</v>
      </c>
    </row>
    <row r="1149" spans="1:23" s="75" customFormat="1" hidden="1" x14ac:dyDescent="0.35">
      <c r="A1149" s="75">
        <v>1145</v>
      </c>
      <c r="B1149" s="75">
        <v>1146</v>
      </c>
      <c r="C1149">
        <v>146.05758510000001</v>
      </c>
      <c r="D1149">
        <v>-17.524490199999999</v>
      </c>
      <c r="F1149" s="75" t="str">
        <f>HYPERLINK("E:\Data From Lucan\2024\Johnstone\Frames_for_Analysis\1146_20240610_0006_L_1131.jpg","1146_20240610_0006_L_1131.jpg")</f>
        <v>1146_20240610_0006_L_1131.jpg</v>
      </c>
      <c r="G1149" s="75">
        <v>100</v>
      </c>
      <c r="I1149">
        <f t="shared" si="17"/>
        <v>1</v>
      </c>
      <c r="J1149" s="75">
        <v>1</v>
      </c>
      <c r="K1149" s="77"/>
      <c r="L1149" s="77"/>
      <c r="M1149" s="77"/>
      <c r="N1149" s="77"/>
      <c r="O1149" s="75">
        <v>1</v>
      </c>
      <c r="P1149" s="75">
        <v>0</v>
      </c>
      <c r="Q1149" s="75">
        <v>0</v>
      </c>
      <c r="R1149" s="75">
        <v>0</v>
      </c>
      <c r="S1149" s="75">
        <v>0</v>
      </c>
      <c r="T1149" s="75">
        <v>0</v>
      </c>
      <c r="U1149" s="75">
        <v>0</v>
      </c>
      <c r="V1149" s="75">
        <v>0</v>
      </c>
      <c r="W1149" s="78">
        <v>0</v>
      </c>
    </row>
    <row r="1150" spans="1:23" x14ac:dyDescent="0.35">
      <c r="A1150">
        <v>1146</v>
      </c>
      <c r="B1150">
        <v>1147</v>
      </c>
      <c r="C1150">
        <v>146.05754339999999</v>
      </c>
      <c r="D1150">
        <v>-17.52440618</v>
      </c>
      <c r="F1150" t="str">
        <f>HYPERLINK("D:\Data From Lucan\2024\Johnstone\Frames_for_Analysis\1147_20240610_0006_L_1134.jpg","1147_20240610_0006_L_1134.jpg")</f>
        <v>1147_20240610_0006_L_1134.jpg</v>
      </c>
      <c r="G1150">
        <v>2</v>
      </c>
      <c r="I1150">
        <f t="shared" si="17"/>
        <v>1</v>
      </c>
      <c r="J1150" s="58">
        <v>1</v>
      </c>
      <c r="K1150" s="32"/>
      <c r="L1150" s="32"/>
      <c r="M1150" s="32"/>
      <c r="N1150" s="32"/>
      <c r="O1150">
        <v>1</v>
      </c>
      <c r="P1150" s="58">
        <v>0</v>
      </c>
      <c r="Q1150" s="58">
        <v>0</v>
      </c>
      <c r="R1150" s="58">
        <v>0</v>
      </c>
      <c r="S1150" s="58">
        <v>0</v>
      </c>
      <c r="T1150" s="58">
        <v>0</v>
      </c>
      <c r="U1150" s="58">
        <v>0</v>
      </c>
      <c r="V1150" s="58">
        <v>0</v>
      </c>
      <c r="W1150" s="4">
        <v>0</v>
      </c>
    </row>
    <row r="1151" spans="1:23" x14ac:dyDescent="0.35">
      <c r="A1151">
        <v>1147</v>
      </c>
      <c r="B1151">
        <v>1148</v>
      </c>
      <c r="C1151">
        <v>146.05747109999999</v>
      </c>
      <c r="D1151">
        <v>-17.524345660000002</v>
      </c>
      <c r="F1151" t="str">
        <f>HYPERLINK("D:\Data From Lucan\2024\Johnstone\Frames_for_Analysis\1148_20240610_0006_L_1136.jpg","1148_20240610_0006_L_1136.jpg")</f>
        <v>1148_20240610_0006_L_1136.jpg</v>
      </c>
      <c r="G1151">
        <v>2</v>
      </c>
      <c r="I1151">
        <f t="shared" si="17"/>
        <v>1</v>
      </c>
      <c r="J1151" s="58">
        <v>1</v>
      </c>
      <c r="K1151" s="32"/>
      <c r="L1151" s="32"/>
      <c r="M1151" s="32"/>
      <c r="N1151" s="32"/>
      <c r="O1151">
        <v>1</v>
      </c>
      <c r="P1151" s="58">
        <v>0</v>
      </c>
      <c r="Q1151" s="58">
        <v>0</v>
      </c>
      <c r="R1151" s="58">
        <v>0</v>
      </c>
      <c r="S1151" s="58">
        <v>0</v>
      </c>
      <c r="T1151" s="58">
        <v>0</v>
      </c>
      <c r="U1151" s="58">
        <v>0</v>
      </c>
      <c r="V1151" s="58">
        <v>0</v>
      </c>
      <c r="W1151" s="4">
        <v>0</v>
      </c>
    </row>
    <row r="1152" spans="1:23" x14ac:dyDescent="0.35">
      <c r="A1152">
        <v>1148</v>
      </c>
      <c r="B1152">
        <v>1149</v>
      </c>
      <c r="C1152">
        <v>146.0573785</v>
      </c>
      <c r="D1152">
        <v>-17.524328270000002</v>
      </c>
      <c r="F1152" t="str">
        <f>HYPERLINK("D:\Data From Lucan\2024\Johnstone\Frames_for_Analysis\1149_20240610_0006_L_1138.jpg","1149_20240610_0006_L_1138.jpg")</f>
        <v>1149_20240610_0006_L_1138.jpg</v>
      </c>
      <c r="G1152">
        <v>2</v>
      </c>
      <c r="I1152">
        <f t="shared" si="17"/>
        <v>1</v>
      </c>
      <c r="J1152" s="58">
        <v>1</v>
      </c>
      <c r="K1152" s="32"/>
      <c r="L1152" s="32"/>
      <c r="M1152" s="32"/>
      <c r="N1152" s="32"/>
      <c r="O1152">
        <v>1</v>
      </c>
      <c r="P1152" s="58">
        <v>0</v>
      </c>
      <c r="Q1152" s="58">
        <v>0</v>
      </c>
      <c r="R1152" s="58">
        <v>0</v>
      </c>
      <c r="S1152" s="58">
        <v>0</v>
      </c>
      <c r="T1152" s="58">
        <v>0</v>
      </c>
      <c r="U1152" s="58">
        <v>0</v>
      </c>
      <c r="V1152" s="58">
        <v>0</v>
      </c>
      <c r="W1152" s="4">
        <v>0</v>
      </c>
    </row>
    <row r="1153" spans="1:23" x14ac:dyDescent="0.35">
      <c r="A1153">
        <v>1149</v>
      </c>
      <c r="B1153">
        <v>1150</v>
      </c>
      <c r="C1153">
        <v>146.05728579999999</v>
      </c>
      <c r="D1153">
        <v>-17.524311350000001</v>
      </c>
      <c r="F1153" t="str">
        <f>HYPERLINK("D:\Data From Lucan\2024\Johnstone\Frames_for_Analysis\1150_20240610_0006_L_1139.jpg","1150_20240610_0006_L_1139.jpg")</f>
        <v>1150_20240610_0006_L_1139.jpg</v>
      </c>
      <c r="G1153">
        <v>2</v>
      </c>
      <c r="I1153">
        <f t="shared" si="17"/>
        <v>1</v>
      </c>
      <c r="J1153" s="58">
        <v>1</v>
      </c>
      <c r="K1153" s="32"/>
      <c r="L1153" s="32"/>
      <c r="M1153" s="32"/>
      <c r="N1153" s="32"/>
      <c r="O1153">
        <v>1</v>
      </c>
      <c r="P1153" s="58">
        <v>0</v>
      </c>
      <c r="Q1153" s="58">
        <v>0</v>
      </c>
      <c r="R1153" s="58">
        <v>0</v>
      </c>
      <c r="S1153" s="58">
        <v>0</v>
      </c>
      <c r="T1153" s="58">
        <v>0</v>
      </c>
      <c r="U1153" s="58">
        <v>0</v>
      </c>
      <c r="V1153" s="58">
        <v>0</v>
      </c>
      <c r="W1153" s="4">
        <v>0</v>
      </c>
    </row>
    <row r="1154" spans="1:23" x14ac:dyDescent="0.35">
      <c r="A1154">
        <v>1150</v>
      </c>
      <c r="B1154">
        <v>1151</v>
      </c>
      <c r="C1154">
        <v>146.05719160000001</v>
      </c>
      <c r="D1154">
        <v>-17.52431245</v>
      </c>
      <c r="F1154" t="str">
        <f>HYPERLINK("D:\Data From Lucan\2024\Johnstone\Frames_for_Analysis\1151_20240610_0003_L_0013.jpg","1151_20240610_0003_L_0013.jpg")</f>
        <v>1151_20240610_0003_L_0013.jpg</v>
      </c>
      <c r="G1154">
        <v>2</v>
      </c>
      <c r="I1154">
        <f t="shared" si="17"/>
        <v>1</v>
      </c>
      <c r="J1154" s="58">
        <v>1</v>
      </c>
      <c r="K1154" s="32"/>
      <c r="L1154" s="32"/>
      <c r="M1154" s="32"/>
      <c r="N1154" s="32"/>
      <c r="O1154">
        <v>1</v>
      </c>
      <c r="P1154" s="58">
        <v>0</v>
      </c>
      <c r="Q1154" s="58">
        <v>0</v>
      </c>
      <c r="R1154" s="58">
        <v>0</v>
      </c>
      <c r="S1154" s="58">
        <v>0</v>
      </c>
      <c r="T1154" s="58">
        <v>0</v>
      </c>
      <c r="U1154" s="58">
        <v>0</v>
      </c>
      <c r="V1154" s="58">
        <v>0</v>
      </c>
      <c r="W1154" s="4">
        <v>0</v>
      </c>
    </row>
    <row r="1155" spans="1:23" x14ac:dyDescent="0.35">
      <c r="A1155">
        <v>1151</v>
      </c>
      <c r="B1155">
        <v>1152</v>
      </c>
      <c r="C1155">
        <v>146.0570974</v>
      </c>
      <c r="D1155">
        <v>-17.524315179999999</v>
      </c>
      <c r="F1155" t="str">
        <f>HYPERLINK("D:\Data From Lucan\2024\Johnstone\Frames_for_Analysis\1152_20240610_0003_L_0017.jpg","1152_20240610_0003_L_0017.jpg")</f>
        <v>1152_20240610_0003_L_0017.jpg</v>
      </c>
      <c r="G1155">
        <v>2</v>
      </c>
      <c r="I1155">
        <f t="shared" si="17"/>
        <v>1</v>
      </c>
      <c r="J1155" s="58">
        <v>1</v>
      </c>
      <c r="K1155" s="32"/>
      <c r="L1155" s="32"/>
      <c r="M1155" s="32"/>
      <c r="N1155" s="32"/>
      <c r="O1155">
        <v>1</v>
      </c>
      <c r="P1155" s="58">
        <v>0</v>
      </c>
      <c r="Q1155" s="58">
        <v>0</v>
      </c>
      <c r="R1155" s="58">
        <v>0</v>
      </c>
      <c r="S1155" s="58">
        <v>0</v>
      </c>
      <c r="T1155" s="58">
        <v>0</v>
      </c>
      <c r="U1155" s="58">
        <v>0</v>
      </c>
      <c r="V1155" s="58">
        <v>0</v>
      </c>
      <c r="W1155" s="4">
        <v>0</v>
      </c>
    </row>
    <row r="1156" spans="1:23" x14ac:dyDescent="0.35">
      <c r="A1156">
        <v>1152</v>
      </c>
      <c r="B1156">
        <v>1153</v>
      </c>
      <c r="C1156">
        <v>146.0570031</v>
      </c>
      <c r="D1156">
        <v>-17.5243179</v>
      </c>
      <c r="F1156" t="str">
        <f>HYPERLINK("D:\Data From Lucan\2024\Johnstone\Frames_for_Analysis\1153_20240610_0003_L_0024.jpg","1153_20240610_0003_L_0024.jpg")</f>
        <v>1153_20240610_0003_L_0024.jpg</v>
      </c>
      <c r="G1156">
        <v>2</v>
      </c>
      <c r="I1156">
        <f t="shared" si="17"/>
        <v>1</v>
      </c>
      <c r="J1156" s="58">
        <v>1</v>
      </c>
      <c r="K1156" s="32"/>
      <c r="L1156" s="32"/>
      <c r="M1156" s="32"/>
      <c r="N1156" s="32"/>
      <c r="O1156">
        <v>1</v>
      </c>
      <c r="P1156" s="58">
        <v>0</v>
      </c>
      <c r="Q1156" s="58">
        <v>0</v>
      </c>
      <c r="R1156" s="58">
        <v>0</v>
      </c>
      <c r="S1156" s="58">
        <v>0</v>
      </c>
      <c r="T1156" s="58">
        <v>0</v>
      </c>
      <c r="U1156" s="58">
        <v>0</v>
      </c>
      <c r="V1156" s="58">
        <v>0</v>
      </c>
      <c r="W1156" s="4">
        <v>0</v>
      </c>
    </row>
    <row r="1157" spans="1:23" x14ac:dyDescent="0.35">
      <c r="A1157">
        <v>1153</v>
      </c>
      <c r="B1157">
        <v>1154</v>
      </c>
      <c r="C1157">
        <v>146.0569088</v>
      </c>
      <c r="D1157">
        <v>-17.52431764</v>
      </c>
      <c r="F1157" t="str">
        <f>HYPERLINK("D:\Data From Lucan\2024\Johnstone\Frames_for_Analysis\1154_20240610_0003_L_0031.jpg","1154_20240610_0003_L_0031.jpg")</f>
        <v>1154_20240610_0003_L_0031.jpg</v>
      </c>
      <c r="G1157">
        <v>2</v>
      </c>
      <c r="I1157">
        <f t="shared" ref="I1157:I1220" si="18">IF(H1157="X","X",IF(J1157="NA","X",IF(J1157="","X",J1157)))</f>
        <v>1</v>
      </c>
      <c r="J1157" s="58">
        <v>1</v>
      </c>
      <c r="K1157" s="32"/>
      <c r="L1157" s="32"/>
      <c r="M1157" s="32"/>
      <c r="N1157" s="32"/>
      <c r="O1157">
        <v>1</v>
      </c>
      <c r="P1157" s="58">
        <v>0</v>
      </c>
      <c r="Q1157" s="58">
        <v>0</v>
      </c>
      <c r="R1157" s="58">
        <v>0</v>
      </c>
      <c r="S1157" s="58">
        <v>0</v>
      </c>
      <c r="T1157" s="58">
        <v>0</v>
      </c>
      <c r="U1157" s="58">
        <v>0</v>
      </c>
      <c r="V1157" s="58">
        <v>0</v>
      </c>
      <c r="W1157" s="4">
        <v>0</v>
      </c>
    </row>
    <row r="1158" spans="1:23" x14ac:dyDescent="0.35">
      <c r="A1158">
        <v>1154</v>
      </c>
      <c r="B1158">
        <v>1155</v>
      </c>
      <c r="C1158">
        <v>146.0568146</v>
      </c>
      <c r="D1158">
        <v>-17.524314929999999</v>
      </c>
      <c r="F1158" t="str">
        <f>HYPERLINK("D:\Data From Lucan\2024\Johnstone\Frames_for_Analysis\1155_20240610_0003_L_0033.jpg","1155_20240610_0003_L_0033.jpg")</f>
        <v>1155_20240610_0003_L_0033.jpg</v>
      </c>
      <c r="G1158">
        <v>2</v>
      </c>
      <c r="I1158">
        <f t="shared" si="18"/>
        <v>1</v>
      </c>
      <c r="J1158" s="58">
        <v>1</v>
      </c>
      <c r="K1158" s="32"/>
      <c r="L1158" s="32"/>
      <c r="M1158" s="32"/>
      <c r="N1158" s="32"/>
      <c r="O1158">
        <v>1</v>
      </c>
      <c r="P1158" s="58">
        <v>0</v>
      </c>
      <c r="Q1158" s="58">
        <v>0</v>
      </c>
      <c r="R1158" s="58">
        <v>0</v>
      </c>
      <c r="S1158" s="58">
        <v>0</v>
      </c>
      <c r="T1158" s="58">
        <v>0</v>
      </c>
      <c r="U1158" s="58">
        <v>0</v>
      </c>
      <c r="V1158" s="58">
        <v>0</v>
      </c>
      <c r="W1158" s="4">
        <v>0</v>
      </c>
    </row>
    <row r="1159" spans="1:23" x14ac:dyDescent="0.35">
      <c r="A1159">
        <v>1155</v>
      </c>
      <c r="B1159">
        <v>1156</v>
      </c>
      <c r="C1159">
        <v>146.05672029999999</v>
      </c>
      <c r="D1159">
        <v>-17.524312219999999</v>
      </c>
      <c r="F1159" t="str">
        <f>HYPERLINK("D:\Data From Lucan\2024\Johnstone\Frames_for_Analysis\1156_20240610_0003_L_0035.jpg","1156_20240610_0003_L_0035.jpg")</f>
        <v>1156_20240610_0003_L_0035.jpg</v>
      </c>
      <c r="G1159">
        <v>2</v>
      </c>
      <c r="I1159">
        <f t="shared" si="18"/>
        <v>1</v>
      </c>
      <c r="J1159" s="58">
        <v>1</v>
      </c>
      <c r="K1159" s="32"/>
      <c r="L1159" s="32"/>
      <c r="M1159" s="32"/>
      <c r="N1159" s="32"/>
      <c r="O1159">
        <v>1</v>
      </c>
      <c r="P1159" s="58">
        <v>0</v>
      </c>
      <c r="Q1159" s="58">
        <v>0</v>
      </c>
      <c r="R1159" s="58">
        <v>0</v>
      </c>
      <c r="S1159" s="58">
        <v>0</v>
      </c>
      <c r="T1159" s="58">
        <v>0</v>
      </c>
      <c r="U1159" s="58">
        <v>0</v>
      </c>
      <c r="V1159" s="58">
        <v>0</v>
      </c>
      <c r="W1159" s="4">
        <v>0</v>
      </c>
    </row>
    <row r="1160" spans="1:23" x14ac:dyDescent="0.35">
      <c r="A1160">
        <v>1156</v>
      </c>
      <c r="B1160">
        <v>1157</v>
      </c>
      <c r="C1160">
        <v>146.05662599999999</v>
      </c>
      <c r="D1160">
        <v>-17.524309509999998</v>
      </c>
      <c r="F1160" t="str">
        <f>HYPERLINK("D:\Data From Lucan\2024\Johnstone\Frames_for_Analysis\1157_20240610_0003_L_0041.jpg","1157_20240610_0003_L_0041.jpg")</f>
        <v>1157_20240610_0003_L_0041.jpg</v>
      </c>
      <c r="G1160">
        <v>2</v>
      </c>
      <c r="I1160">
        <f t="shared" si="18"/>
        <v>1</v>
      </c>
      <c r="J1160" s="58">
        <v>1</v>
      </c>
      <c r="K1160" s="32"/>
      <c r="L1160" s="32"/>
      <c r="M1160" s="32"/>
      <c r="N1160" s="32"/>
      <c r="O1160">
        <v>1</v>
      </c>
      <c r="P1160" s="58">
        <v>0</v>
      </c>
      <c r="Q1160" s="58">
        <v>0</v>
      </c>
      <c r="R1160" s="58">
        <v>0</v>
      </c>
      <c r="S1160" s="58">
        <v>0</v>
      </c>
      <c r="T1160" s="58">
        <v>0</v>
      </c>
      <c r="U1160" s="58">
        <v>0</v>
      </c>
      <c r="V1160" s="58">
        <v>0</v>
      </c>
      <c r="W1160" s="4">
        <v>0</v>
      </c>
    </row>
    <row r="1161" spans="1:23" x14ac:dyDescent="0.35">
      <c r="A1161">
        <v>1157</v>
      </c>
      <c r="B1161">
        <v>1158</v>
      </c>
      <c r="C1161">
        <v>146.05653179999999</v>
      </c>
      <c r="D1161">
        <v>-17.524306800000002</v>
      </c>
      <c r="F1161" t="str">
        <f>HYPERLINK("D:\Data From Lucan\2024\Johnstone\Frames_for_Analysis\1158_20240610_0003_L_0043.jpg","1158_20240610_0003_L_0043.jpg")</f>
        <v>1158_20240610_0003_L_0043.jpg</v>
      </c>
      <c r="G1161">
        <v>2</v>
      </c>
      <c r="I1161">
        <f t="shared" si="18"/>
        <v>1</v>
      </c>
      <c r="J1161" s="58">
        <v>1</v>
      </c>
      <c r="K1161" s="32"/>
      <c r="L1161" s="32"/>
      <c r="M1161" s="32"/>
      <c r="N1161" s="32"/>
      <c r="O1161">
        <v>1</v>
      </c>
      <c r="P1161" s="58">
        <v>0</v>
      </c>
      <c r="Q1161" s="58">
        <v>0</v>
      </c>
      <c r="R1161" s="58">
        <v>0</v>
      </c>
      <c r="S1161" s="58">
        <v>0</v>
      </c>
      <c r="T1161" s="58">
        <v>0</v>
      </c>
      <c r="U1161" s="58">
        <v>0</v>
      </c>
      <c r="V1161" s="58">
        <v>0</v>
      </c>
      <c r="W1161" s="4">
        <v>0</v>
      </c>
    </row>
    <row r="1162" spans="1:23" x14ac:dyDescent="0.35">
      <c r="A1162">
        <v>1158</v>
      </c>
      <c r="B1162">
        <v>1159</v>
      </c>
      <c r="C1162">
        <v>146.0564396</v>
      </c>
      <c r="D1162">
        <v>-17.524288370000001</v>
      </c>
      <c r="F1162" t="str">
        <f>HYPERLINK("D:\Data From Lucan\2024\Johnstone\Frames_for_Analysis\1159_20240610_0003_L_0063.jpg","1159_20240610_0003_L_0063.jpg")</f>
        <v>1159_20240610_0003_L_0063.jpg</v>
      </c>
      <c r="G1162">
        <v>2</v>
      </c>
      <c r="I1162">
        <f t="shared" si="18"/>
        <v>1</v>
      </c>
      <c r="J1162" s="58">
        <v>1</v>
      </c>
      <c r="K1162" s="32"/>
      <c r="L1162" s="32"/>
      <c r="M1162" s="32"/>
      <c r="N1162" s="32"/>
      <c r="O1162">
        <v>1</v>
      </c>
      <c r="P1162" s="58">
        <v>0</v>
      </c>
      <c r="Q1162" s="58">
        <v>0</v>
      </c>
      <c r="R1162" s="58">
        <v>0</v>
      </c>
      <c r="S1162" s="58">
        <v>0</v>
      </c>
      <c r="T1162" s="58">
        <v>0</v>
      </c>
      <c r="U1162" s="58">
        <v>0</v>
      </c>
      <c r="V1162" s="58">
        <v>0</v>
      </c>
      <c r="W1162" s="4">
        <v>0</v>
      </c>
    </row>
    <row r="1163" spans="1:23" x14ac:dyDescent="0.35">
      <c r="A1163">
        <v>1159</v>
      </c>
      <c r="B1163">
        <v>1160</v>
      </c>
      <c r="C1163">
        <v>146.0563478</v>
      </c>
      <c r="D1163">
        <v>-17.524266610000002</v>
      </c>
      <c r="F1163" t="str">
        <f>HYPERLINK("D:\Data From Lucan\2024\Johnstone\Frames_for_Analysis\1160_20240610_0003_L_0068.jpg","1160_20240610_0003_L_0068.jpg")</f>
        <v>1160_20240610_0003_L_0068.jpg</v>
      </c>
      <c r="G1163">
        <v>2</v>
      </c>
      <c r="I1163">
        <f t="shared" si="18"/>
        <v>1</v>
      </c>
      <c r="J1163" s="58">
        <v>1</v>
      </c>
      <c r="K1163" s="32"/>
      <c r="L1163" s="32"/>
      <c r="M1163" s="32"/>
      <c r="N1163" s="32"/>
      <c r="O1163">
        <v>1</v>
      </c>
      <c r="P1163" s="58">
        <v>0</v>
      </c>
      <c r="Q1163" s="58">
        <v>0</v>
      </c>
      <c r="R1163" s="58">
        <v>0</v>
      </c>
      <c r="S1163" s="58">
        <v>0</v>
      </c>
      <c r="T1163" s="58">
        <v>0</v>
      </c>
      <c r="U1163" s="58">
        <v>0</v>
      </c>
      <c r="V1163" s="58">
        <v>0</v>
      </c>
      <c r="W1163" s="4">
        <v>0</v>
      </c>
    </row>
    <row r="1164" spans="1:23" x14ac:dyDescent="0.35">
      <c r="A1164">
        <v>1160</v>
      </c>
      <c r="B1164">
        <v>1161</v>
      </c>
      <c r="C1164">
        <v>146.05625610000001</v>
      </c>
      <c r="D1164">
        <v>-17.524244840000001</v>
      </c>
      <c r="F1164" t="str">
        <f>HYPERLINK("D:\Data From Lucan\2024\Johnstone\Frames_for_Analysis\1161_20240610_0003_L_0072.jpg","1161_20240610_0003_L_0072.jpg")</f>
        <v>1161_20240610_0003_L_0072.jpg</v>
      </c>
      <c r="G1164">
        <v>2</v>
      </c>
      <c r="I1164">
        <f t="shared" si="18"/>
        <v>1</v>
      </c>
      <c r="J1164" s="58">
        <v>1</v>
      </c>
      <c r="K1164" s="32"/>
      <c r="L1164" s="32"/>
      <c r="M1164" s="32"/>
      <c r="N1164" s="32"/>
      <c r="O1164">
        <v>1</v>
      </c>
      <c r="P1164" s="58">
        <v>0</v>
      </c>
      <c r="Q1164" s="58">
        <v>0</v>
      </c>
      <c r="R1164" s="58">
        <v>0</v>
      </c>
      <c r="S1164" s="58">
        <v>0</v>
      </c>
      <c r="T1164" s="58">
        <v>0</v>
      </c>
      <c r="U1164" s="58">
        <v>0</v>
      </c>
      <c r="V1164" s="58">
        <v>0</v>
      </c>
      <c r="W1164" s="4">
        <v>0</v>
      </c>
    </row>
    <row r="1165" spans="1:23" x14ac:dyDescent="0.35">
      <c r="A1165">
        <v>1161</v>
      </c>
      <c r="B1165">
        <v>1162</v>
      </c>
      <c r="C1165">
        <v>146.05616760000001</v>
      </c>
      <c r="D1165">
        <v>-17.52421889</v>
      </c>
      <c r="F1165" t="str">
        <f>HYPERLINK("D:\Data From Lucan\2024\Johnstone\Frames_for_Analysis\1162_20240610_0003_L_0077.jpg","1162_20240610_0003_L_0077.jpg")</f>
        <v>1162_20240610_0003_L_0077.jpg</v>
      </c>
      <c r="G1165">
        <v>2</v>
      </c>
      <c r="I1165">
        <f t="shared" si="18"/>
        <v>1</v>
      </c>
      <c r="J1165" s="58">
        <v>1</v>
      </c>
      <c r="K1165" s="32"/>
      <c r="L1165" s="32"/>
      <c r="M1165" s="32"/>
      <c r="N1165" s="32"/>
      <c r="O1165">
        <v>1</v>
      </c>
      <c r="P1165" s="58">
        <v>0</v>
      </c>
      <c r="Q1165" s="58">
        <v>0</v>
      </c>
      <c r="R1165" s="58">
        <v>0</v>
      </c>
      <c r="S1165" s="58">
        <v>0</v>
      </c>
      <c r="T1165" s="58">
        <v>0</v>
      </c>
      <c r="U1165" s="58">
        <v>0</v>
      </c>
      <c r="V1165" s="58">
        <v>0</v>
      </c>
      <c r="W1165" s="4">
        <v>0</v>
      </c>
    </row>
    <row r="1166" spans="1:23" x14ac:dyDescent="0.35">
      <c r="A1166">
        <v>1162</v>
      </c>
      <c r="B1166">
        <v>1163</v>
      </c>
      <c r="C1166">
        <v>146.05612439999999</v>
      </c>
      <c r="D1166">
        <v>-17.524135040000001</v>
      </c>
      <c r="G1166">
        <v>2</v>
      </c>
      <c r="H1166" t="s">
        <v>26</v>
      </c>
      <c r="I1166" t="str">
        <f t="shared" si="18"/>
        <v>X</v>
      </c>
      <c r="K1166" s="32"/>
      <c r="L1166" s="32"/>
      <c r="M1166" s="32"/>
      <c r="N1166" s="32"/>
      <c r="W1166" s="4"/>
    </row>
    <row r="1167" spans="1:23" x14ac:dyDescent="0.35">
      <c r="A1167">
        <v>1163</v>
      </c>
      <c r="B1167">
        <v>1164</v>
      </c>
      <c r="C1167">
        <v>146.0560657</v>
      </c>
      <c r="D1167">
        <v>-17.524063659999999</v>
      </c>
      <c r="F1167" t="str">
        <f>HYPERLINK("D:\Data From Lucan\2024\Johnstone\Frames_for_Analysis\1164_20240610_0003_L_0081.jpg","1164_20240610_0003_L_0081.jpg")</f>
        <v>1164_20240610_0003_L_0081.jpg</v>
      </c>
      <c r="G1167">
        <v>2</v>
      </c>
      <c r="I1167">
        <f t="shared" si="18"/>
        <v>1</v>
      </c>
      <c r="J1167" s="58">
        <v>1</v>
      </c>
      <c r="K1167" s="32"/>
      <c r="L1167" s="32"/>
      <c r="M1167" s="32"/>
      <c r="N1167" s="32"/>
      <c r="O1167">
        <v>1</v>
      </c>
      <c r="P1167" s="58">
        <v>0</v>
      </c>
      <c r="Q1167" s="58">
        <v>0</v>
      </c>
      <c r="R1167" s="58">
        <v>0</v>
      </c>
      <c r="S1167" s="58">
        <v>0</v>
      </c>
      <c r="T1167" s="58">
        <v>0</v>
      </c>
      <c r="U1167" s="58">
        <v>0</v>
      </c>
      <c r="V1167" s="58">
        <v>0</v>
      </c>
      <c r="W1167" s="4">
        <v>0</v>
      </c>
    </row>
    <row r="1168" spans="1:23" x14ac:dyDescent="0.35">
      <c r="A1168">
        <v>1164</v>
      </c>
      <c r="B1168">
        <v>1165</v>
      </c>
      <c r="C1168">
        <v>146.05599340000001</v>
      </c>
      <c r="D1168">
        <v>-17.524003140000001</v>
      </c>
      <c r="G1168">
        <v>2</v>
      </c>
      <c r="H1168" t="s">
        <v>26</v>
      </c>
      <c r="I1168" t="str">
        <f t="shared" si="18"/>
        <v>X</v>
      </c>
      <c r="K1168" s="32"/>
      <c r="L1168" s="32"/>
      <c r="M1168" s="32"/>
      <c r="N1168" s="32"/>
      <c r="W1168" s="4"/>
    </row>
    <row r="1169" spans="1:23" x14ac:dyDescent="0.35">
      <c r="A1169">
        <v>1165</v>
      </c>
      <c r="B1169">
        <v>1166</v>
      </c>
      <c r="C1169">
        <v>146.05591000000001</v>
      </c>
      <c r="D1169">
        <v>-17.523959860000001</v>
      </c>
      <c r="F1169" t="str">
        <f>HYPERLINK("D:\Data From Lucan\2024\Johnstone\Frames_for_Analysis\1166_20240610_0003_L_0084.jpg","1166_20240610_0003_L_0084.jpg")</f>
        <v>1166_20240610_0003_L_0084.jpg</v>
      </c>
      <c r="G1169">
        <v>2</v>
      </c>
      <c r="I1169">
        <f t="shared" si="18"/>
        <v>1</v>
      </c>
      <c r="J1169" s="58">
        <v>1</v>
      </c>
      <c r="K1169" s="32"/>
      <c r="L1169" s="32"/>
      <c r="M1169" s="32"/>
      <c r="N1169" s="32"/>
      <c r="O1169">
        <v>1</v>
      </c>
      <c r="P1169" s="58">
        <v>0</v>
      </c>
      <c r="Q1169" s="58">
        <v>0</v>
      </c>
      <c r="R1169" s="58">
        <v>0</v>
      </c>
      <c r="S1169" s="58">
        <v>0</v>
      </c>
      <c r="T1169" s="58">
        <v>0</v>
      </c>
      <c r="U1169" s="58">
        <v>0</v>
      </c>
      <c r="V1169" s="58">
        <v>0</v>
      </c>
      <c r="W1169" s="4">
        <v>0</v>
      </c>
    </row>
    <row r="1170" spans="1:23" x14ac:dyDescent="0.35">
      <c r="A1170">
        <v>1166</v>
      </c>
      <c r="B1170">
        <v>1167</v>
      </c>
      <c r="C1170">
        <v>146.05582469999999</v>
      </c>
      <c r="D1170">
        <v>-17.523919670000002</v>
      </c>
      <c r="F1170" t="str">
        <f>HYPERLINK("D:\Data From Lucan\2024\Johnstone\Frames_for_Analysis\1167_20240610_0003_L_0089.jpg","1167_20240610_0003_L_0089.jpg")</f>
        <v>1167_20240610_0003_L_0089.jpg</v>
      </c>
      <c r="G1170">
        <v>2</v>
      </c>
      <c r="I1170">
        <f t="shared" si="18"/>
        <v>1</v>
      </c>
      <c r="J1170" s="58">
        <v>1</v>
      </c>
      <c r="K1170" s="32"/>
      <c r="L1170" s="32"/>
      <c r="M1170" s="32"/>
      <c r="N1170" s="32"/>
      <c r="O1170">
        <v>1</v>
      </c>
      <c r="P1170" s="58">
        <v>0</v>
      </c>
      <c r="Q1170" s="58">
        <v>0</v>
      </c>
      <c r="R1170" s="58">
        <v>0</v>
      </c>
      <c r="S1170" s="58">
        <v>0</v>
      </c>
      <c r="T1170" s="58">
        <v>0</v>
      </c>
      <c r="U1170" s="58">
        <v>0</v>
      </c>
      <c r="V1170" s="58">
        <v>0</v>
      </c>
      <c r="W1170" s="4">
        <v>0</v>
      </c>
    </row>
    <row r="1171" spans="1:23" x14ac:dyDescent="0.35">
      <c r="A1171">
        <v>1167</v>
      </c>
      <c r="B1171">
        <v>1168</v>
      </c>
      <c r="C1171">
        <v>146.0557341</v>
      </c>
      <c r="D1171">
        <v>-17.52389595</v>
      </c>
      <c r="F1171" t="str">
        <f>HYPERLINK("D:\Data From Lucan\2024\Johnstone\Frames_for_Analysis\1168_20240610_0003_L_0094.jpg","1168_20240610_0003_L_0094.jpg")</f>
        <v>1168_20240610_0003_L_0094.jpg</v>
      </c>
      <c r="G1171">
        <v>2</v>
      </c>
      <c r="I1171">
        <f t="shared" si="18"/>
        <v>1</v>
      </c>
      <c r="J1171" s="58">
        <v>1</v>
      </c>
      <c r="K1171" s="32"/>
      <c r="L1171" s="32"/>
      <c r="M1171" s="32"/>
      <c r="N1171" s="32"/>
      <c r="O1171">
        <v>1</v>
      </c>
      <c r="P1171" s="58">
        <v>0</v>
      </c>
      <c r="Q1171" s="58">
        <v>0</v>
      </c>
      <c r="R1171" s="58">
        <v>0</v>
      </c>
      <c r="S1171" s="58">
        <v>0</v>
      </c>
      <c r="T1171" s="58">
        <v>0</v>
      </c>
      <c r="U1171" s="58">
        <v>0</v>
      </c>
      <c r="V1171" s="58">
        <v>0</v>
      </c>
      <c r="W1171" s="4">
        <v>0</v>
      </c>
    </row>
    <row r="1172" spans="1:23" x14ac:dyDescent="0.35">
      <c r="A1172">
        <v>1168</v>
      </c>
      <c r="B1172">
        <v>1169</v>
      </c>
      <c r="C1172">
        <v>146.05564129999999</v>
      </c>
      <c r="D1172">
        <v>-17.523879300000001</v>
      </c>
      <c r="F1172" t="str">
        <f>HYPERLINK("D:\Data From Lucan\2024\Johnstone\Frames_for_Analysis\1169_20240610_0003_L_0098.jpg","1169_20240610_0003_L_0098.jpg")</f>
        <v>1169_20240610_0003_L_0098.jpg</v>
      </c>
      <c r="G1172">
        <v>2</v>
      </c>
      <c r="I1172">
        <f t="shared" si="18"/>
        <v>1</v>
      </c>
      <c r="J1172" s="58">
        <v>1</v>
      </c>
      <c r="K1172" s="32"/>
      <c r="L1172" s="32"/>
      <c r="M1172" s="32"/>
      <c r="N1172" s="32"/>
      <c r="O1172">
        <v>1</v>
      </c>
      <c r="P1172" s="58">
        <v>0</v>
      </c>
      <c r="Q1172" s="58">
        <v>0</v>
      </c>
      <c r="R1172" s="58">
        <v>0</v>
      </c>
      <c r="S1172" s="58">
        <v>0</v>
      </c>
      <c r="T1172" s="58">
        <v>0</v>
      </c>
      <c r="U1172" s="58">
        <v>0</v>
      </c>
      <c r="V1172" s="58">
        <v>0</v>
      </c>
      <c r="W1172" s="4">
        <v>0</v>
      </c>
    </row>
    <row r="1173" spans="1:23" x14ac:dyDescent="0.35">
      <c r="A1173">
        <v>1169</v>
      </c>
      <c r="B1173">
        <v>1170</v>
      </c>
      <c r="C1173">
        <v>146.05554839999999</v>
      </c>
      <c r="D1173">
        <v>-17.523863309999999</v>
      </c>
      <c r="F1173" t="str">
        <f>HYPERLINK("D:\Data From Lucan\2024\Johnstone\Frames_for_Analysis\1170_20240610_0003_L_0101.jpg","1170_20240610_0003_L_0101.jpg")</f>
        <v>1170_20240610_0003_L_0101.jpg</v>
      </c>
      <c r="G1173">
        <v>2</v>
      </c>
      <c r="I1173">
        <f t="shared" si="18"/>
        <v>1</v>
      </c>
      <c r="J1173" s="58">
        <v>1</v>
      </c>
      <c r="K1173" s="32"/>
      <c r="L1173" s="32"/>
      <c r="M1173" s="32"/>
      <c r="N1173" s="32"/>
      <c r="O1173">
        <v>1</v>
      </c>
      <c r="P1173" s="58">
        <v>0</v>
      </c>
      <c r="Q1173" s="58">
        <v>0</v>
      </c>
      <c r="R1173" s="58">
        <v>0</v>
      </c>
      <c r="S1173" s="58">
        <v>0</v>
      </c>
      <c r="T1173" s="58">
        <v>0</v>
      </c>
      <c r="U1173" s="58">
        <v>0</v>
      </c>
      <c r="V1173" s="58">
        <v>0</v>
      </c>
      <c r="W1173" s="4">
        <v>0</v>
      </c>
    </row>
    <row r="1174" spans="1:23" x14ac:dyDescent="0.35">
      <c r="A1174">
        <v>1170</v>
      </c>
      <c r="B1174">
        <v>1171</v>
      </c>
      <c r="C1174">
        <v>146.05545430000001</v>
      </c>
      <c r="D1174">
        <v>-17.52385718</v>
      </c>
      <c r="F1174" t="str">
        <f>HYPERLINK("D:\Data From Lucan\2024\Johnstone\Frames_for_Analysis\1171_20240610_0003_L_0105.jpg","1171_20240610_0003_L_0105.jpg")</f>
        <v>1171_20240610_0003_L_0105.jpg</v>
      </c>
      <c r="G1174">
        <v>2</v>
      </c>
      <c r="I1174">
        <f t="shared" si="18"/>
        <v>1</v>
      </c>
      <c r="J1174" s="58">
        <v>1</v>
      </c>
      <c r="K1174" s="32"/>
      <c r="L1174" s="32"/>
      <c r="M1174" s="32"/>
      <c r="N1174" s="32"/>
      <c r="O1174">
        <v>1</v>
      </c>
      <c r="P1174" s="58">
        <v>0</v>
      </c>
      <c r="Q1174" s="58">
        <v>0</v>
      </c>
      <c r="R1174" s="58">
        <v>0</v>
      </c>
      <c r="S1174" s="58">
        <v>0</v>
      </c>
      <c r="T1174" s="58">
        <v>0</v>
      </c>
      <c r="U1174" s="58">
        <v>0</v>
      </c>
      <c r="V1174" s="58">
        <v>0</v>
      </c>
      <c r="W1174" s="4">
        <v>0</v>
      </c>
    </row>
    <row r="1175" spans="1:23" x14ac:dyDescent="0.35">
      <c r="A1175">
        <v>1171</v>
      </c>
      <c r="B1175">
        <v>1172</v>
      </c>
      <c r="C1175">
        <v>146.0553602</v>
      </c>
      <c r="D1175">
        <v>-17.523851050000001</v>
      </c>
      <c r="F1175" t="str">
        <f>HYPERLINK("D:\Data From Lucan\2024\Johnstone\Frames_for_Analysis\1172_20240610_0003_L_0107.jpg","1172_20240610_0003_L_0107.jpg")</f>
        <v>1172_20240610_0003_L_0107.jpg</v>
      </c>
      <c r="G1175">
        <v>2</v>
      </c>
      <c r="I1175">
        <f t="shared" si="18"/>
        <v>1</v>
      </c>
      <c r="J1175" s="58">
        <v>1</v>
      </c>
      <c r="K1175" s="32"/>
      <c r="L1175" s="32"/>
      <c r="M1175" s="32"/>
      <c r="N1175" s="32"/>
      <c r="O1175">
        <v>1</v>
      </c>
      <c r="P1175" s="58">
        <v>0</v>
      </c>
      <c r="Q1175" s="58">
        <v>0</v>
      </c>
      <c r="R1175" s="58">
        <v>0</v>
      </c>
      <c r="S1175" s="58">
        <v>0</v>
      </c>
      <c r="T1175" s="58">
        <v>0</v>
      </c>
      <c r="U1175" s="58">
        <v>0</v>
      </c>
      <c r="V1175" s="58">
        <v>0</v>
      </c>
      <c r="W1175" s="4">
        <v>0</v>
      </c>
    </row>
    <row r="1176" spans="1:23" x14ac:dyDescent="0.35">
      <c r="A1176">
        <v>1172</v>
      </c>
      <c r="B1176">
        <v>1173</v>
      </c>
      <c r="C1176">
        <v>146.05526610000001</v>
      </c>
      <c r="D1176">
        <v>-17.523844919999998</v>
      </c>
      <c r="F1176" t="str">
        <f>HYPERLINK("D:\Data From Lucan\2024\Johnstone\Frames_for_Analysis\1173_20240610_0003_L_0112.jpg","1173_20240610_0003_L_0112.jpg")</f>
        <v>1173_20240610_0003_L_0112.jpg</v>
      </c>
      <c r="G1176">
        <v>2</v>
      </c>
      <c r="I1176">
        <f t="shared" si="18"/>
        <v>1</v>
      </c>
      <c r="J1176" s="58">
        <v>1</v>
      </c>
      <c r="K1176" s="32"/>
      <c r="L1176" s="32"/>
      <c r="M1176" s="32"/>
      <c r="N1176" s="32"/>
      <c r="O1176">
        <v>1</v>
      </c>
      <c r="P1176" s="58">
        <v>0</v>
      </c>
      <c r="Q1176" s="58">
        <v>0</v>
      </c>
      <c r="R1176" s="58">
        <v>0</v>
      </c>
      <c r="S1176" s="58">
        <v>0</v>
      </c>
      <c r="T1176" s="58">
        <v>0</v>
      </c>
      <c r="U1176" s="58">
        <v>0</v>
      </c>
      <c r="V1176" s="58">
        <v>0</v>
      </c>
      <c r="W1176" s="4">
        <v>0</v>
      </c>
    </row>
    <row r="1177" spans="1:23" x14ac:dyDescent="0.35">
      <c r="A1177">
        <v>1173</v>
      </c>
      <c r="B1177">
        <v>1174</v>
      </c>
      <c r="C1177">
        <v>146.055172</v>
      </c>
      <c r="D1177">
        <v>-17.523838789999999</v>
      </c>
      <c r="F1177" t="str">
        <f>HYPERLINK("D:\Data From Lucan\2024\Johnstone\Frames_for_Analysis\1174_20240610_0003_L_0115.jpg","1174_20240610_0003_L_0115.jpg")</f>
        <v>1174_20240610_0003_L_0115.jpg</v>
      </c>
      <c r="G1177">
        <v>2</v>
      </c>
      <c r="I1177">
        <f t="shared" si="18"/>
        <v>1</v>
      </c>
      <c r="J1177" s="58">
        <v>1</v>
      </c>
      <c r="K1177" s="32"/>
      <c r="L1177" s="32"/>
      <c r="M1177" s="32"/>
      <c r="N1177" s="32"/>
      <c r="O1177">
        <v>1</v>
      </c>
      <c r="P1177" s="58">
        <v>0</v>
      </c>
      <c r="Q1177" s="58">
        <v>0</v>
      </c>
      <c r="R1177" s="58">
        <v>0</v>
      </c>
      <c r="S1177" s="58">
        <v>0</v>
      </c>
      <c r="T1177" s="58">
        <v>0</v>
      </c>
      <c r="U1177" s="58">
        <v>0</v>
      </c>
      <c r="V1177" s="58">
        <v>0</v>
      </c>
      <c r="W1177" s="4">
        <v>0</v>
      </c>
    </row>
    <row r="1178" spans="1:23" x14ac:dyDescent="0.35">
      <c r="A1178">
        <v>1174</v>
      </c>
      <c r="B1178">
        <v>1175</v>
      </c>
      <c r="C1178">
        <v>146.05507789999999</v>
      </c>
      <c r="D1178">
        <v>-17.52383266</v>
      </c>
      <c r="F1178" t="str">
        <f>HYPERLINK("D:\Data From Lucan\2024\Johnstone\Frames_for_Analysis\1175_20240610_0003_L_0118.jpg","1175_20240610_0003_L_0118.jpg")</f>
        <v>1175_20240610_0003_L_0118.jpg</v>
      </c>
      <c r="G1178">
        <v>2</v>
      </c>
      <c r="I1178">
        <f t="shared" si="18"/>
        <v>1</v>
      </c>
      <c r="J1178" s="58">
        <v>1</v>
      </c>
      <c r="K1178" s="32"/>
      <c r="L1178" s="32"/>
      <c r="M1178" s="32"/>
      <c r="N1178" s="32"/>
      <c r="O1178">
        <v>1</v>
      </c>
      <c r="P1178" s="58">
        <v>0</v>
      </c>
      <c r="Q1178" s="58">
        <v>0</v>
      </c>
      <c r="R1178" s="58">
        <v>0</v>
      </c>
      <c r="S1178" s="58">
        <v>0</v>
      </c>
      <c r="T1178" s="58">
        <v>0</v>
      </c>
      <c r="U1178" s="58">
        <v>0</v>
      </c>
      <c r="V1178" s="58">
        <v>0</v>
      </c>
      <c r="W1178" s="4">
        <v>0</v>
      </c>
    </row>
    <row r="1179" spans="1:23" x14ac:dyDescent="0.35">
      <c r="A1179">
        <v>1175</v>
      </c>
      <c r="B1179">
        <v>1176</v>
      </c>
      <c r="C1179">
        <v>146.05498370000001</v>
      </c>
      <c r="D1179">
        <v>-17.523832259999999</v>
      </c>
      <c r="F1179" t="str">
        <f>HYPERLINK("D:\Data From Lucan\2024\Johnstone\Frames_for_Analysis\1176_20240610_0003_L_0121.jpg","1176_20240610_0003_L_0121.jpg")</f>
        <v>1176_20240610_0003_L_0121.jpg</v>
      </c>
      <c r="G1179">
        <v>2</v>
      </c>
      <c r="I1179">
        <f t="shared" si="18"/>
        <v>1</v>
      </c>
      <c r="J1179" s="58">
        <v>1</v>
      </c>
      <c r="K1179" s="32"/>
      <c r="L1179" s="32"/>
      <c r="M1179" s="32"/>
      <c r="N1179" s="32"/>
      <c r="O1179">
        <v>1</v>
      </c>
      <c r="P1179" s="58">
        <v>0</v>
      </c>
      <c r="Q1179" s="58">
        <v>0</v>
      </c>
      <c r="R1179" s="58">
        <v>0</v>
      </c>
      <c r="S1179" s="58">
        <v>0</v>
      </c>
      <c r="T1179" s="58">
        <v>0</v>
      </c>
      <c r="U1179" s="58">
        <v>0</v>
      </c>
      <c r="V1179" s="58">
        <v>0</v>
      </c>
      <c r="W1179" s="4">
        <v>0</v>
      </c>
    </row>
    <row r="1180" spans="1:23" x14ac:dyDescent="0.35">
      <c r="A1180">
        <v>1176</v>
      </c>
      <c r="B1180">
        <v>1177</v>
      </c>
      <c r="C1180">
        <v>146.05488940000001</v>
      </c>
      <c r="D1180">
        <v>-17.523834870000002</v>
      </c>
      <c r="F1180" t="str">
        <f>HYPERLINK("D:\Data From Lucan\2024\Johnstone\Frames_for_Analysis\1177_20240610_0003_L_0124.jpg","1177_20240610_0003_L_0124.jpg")</f>
        <v>1177_20240610_0003_L_0124.jpg</v>
      </c>
      <c r="G1180">
        <v>2</v>
      </c>
      <c r="I1180">
        <f t="shared" si="18"/>
        <v>1</v>
      </c>
      <c r="J1180" s="58">
        <v>1</v>
      </c>
      <c r="K1180" s="32"/>
      <c r="L1180" s="32"/>
      <c r="M1180" s="32"/>
      <c r="N1180" s="32"/>
      <c r="O1180">
        <v>1</v>
      </c>
      <c r="P1180" s="58">
        <v>0</v>
      </c>
      <c r="Q1180" s="58">
        <v>0</v>
      </c>
      <c r="R1180" s="58">
        <v>0</v>
      </c>
      <c r="S1180" s="58">
        <v>0</v>
      </c>
      <c r="T1180" s="58">
        <v>0</v>
      </c>
      <c r="U1180" s="58">
        <v>0</v>
      </c>
      <c r="V1180" s="58">
        <v>0</v>
      </c>
      <c r="W1180" s="4">
        <v>0</v>
      </c>
    </row>
    <row r="1181" spans="1:23" x14ac:dyDescent="0.35">
      <c r="A1181">
        <v>1177</v>
      </c>
      <c r="B1181">
        <v>1178</v>
      </c>
      <c r="C1181">
        <v>146.0547952</v>
      </c>
      <c r="D1181">
        <v>-17.523837480000001</v>
      </c>
      <c r="F1181" t="str">
        <f>HYPERLINK("D:\Data From Lucan\2024\Johnstone\Frames_for_Analysis\1178_20240610_0003_L_0126.jpg","1178_20240610_0003_L_0126.jpg")</f>
        <v>1178_20240610_0003_L_0126.jpg</v>
      </c>
      <c r="G1181">
        <v>2</v>
      </c>
      <c r="I1181">
        <f t="shared" si="18"/>
        <v>1</v>
      </c>
      <c r="J1181" s="58">
        <v>1</v>
      </c>
      <c r="K1181" s="32"/>
      <c r="L1181" s="32"/>
      <c r="M1181" s="32"/>
      <c r="N1181" s="32"/>
      <c r="O1181">
        <v>1</v>
      </c>
      <c r="P1181" s="58">
        <v>0</v>
      </c>
      <c r="Q1181" s="58">
        <v>0</v>
      </c>
      <c r="R1181" s="58">
        <v>0</v>
      </c>
      <c r="S1181" s="58">
        <v>0</v>
      </c>
      <c r="T1181" s="58">
        <v>0</v>
      </c>
      <c r="U1181" s="58">
        <v>0</v>
      </c>
      <c r="V1181" s="58">
        <v>0</v>
      </c>
      <c r="W1181" s="4">
        <v>0</v>
      </c>
    </row>
    <row r="1182" spans="1:23" x14ac:dyDescent="0.35">
      <c r="A1182">
        <v>1178</v>
      </c>
      <c r="B1182">
        <v>1179</v>
      </c>
      <c r="C1182">
        <v>146.0547009</v>
      </c>
      <c r="D1182">
        <v>-17.52384009</v>
      </c>
      <c r="F1182" t="str">
        <f>HYPERLINK("D:\Data From Lucan\2024\Johnstone\Frames_for_Analysis\1179_20240610_0003_L_0129.jpg","1179_20240610_0003_L_0129.jpg")</f>
        <v>1179_20240610_0003_L_0129.jpg</v>
      </c>
      <c r="G1182">
        <v>2</v>
      </c>
      <c r="I1182">
        <f t="shared" si="18"/>
        <v>1</v>
      </c>
      <c r="J1182" s="58">
        <v>1</v>
      </c>
      <c r="K1182" s="32"/>
      <c r="L1182" s="32"/>
      <c r="M1182" s="32"/>
      <c r="N1182" s="32"/>
      <c r="O1182">
        <v>1</v>
      </c>
      <c r="P1182" s="58">
        <v>0</v>
      </c>
      <c r="Q1182" s="58">
        <v>0</v>
      </c>
      <c r="R1182" s="58">
        <v>0</v>
      </c>
      <c r="S1182" s="58">
        <v>0</v>
      </c>
      <c r="T1182" s="58">
        <v>0</v>
      </c>
      <c r="U1182" s="58">
        <v>0</v>
      </c>
      <c r="V1182" s="58">
        <v>0</v>
      </c>
      <c r="W1182" s="4">
        <v>0</v>
      </c>
    </row>
    <row r="1183" spans="1:23" x14ac:dyDescent="0.35">
      <c r="A1183">
        <v>1179</v>
      </c>
      <c r="B1183">
        <v>1180</v>
      </c>
      <c r="C1183">
        <v>146.0546066</v>
      </c>
      <c r="D1183">
        <v>-17.52384271</v>
      </c>
      <c r="F1183" t="str">
        <f>HYPERLINK("D:\Data From Lucan\2024\Johnstone\Frames_for_Analysis\1180_20240610_0003_L_0132.jpg","1180_20240610_0003_L_0132.jpg")</f>
        <v>1180_20240610_0003_L_0132.jpg</v>
      </c>
      <c r="G1183">
        <v>2</v>
      </c>
      <c r="I1183">
        <f t="shared" si="18"/>
        <v>1</v>
      </c>
      <c r="J1183" s="58">
        <v>1</v>
      </c>
      <c r="K1183" s="32"/>
      <c r="L1183" s="32"/>
      <c r="M1183" s="32"/>
      <c r="N1183" s="32"/>
      <c r="O1183">
        <v>1</v>
      </c>
      <c r="P1183" s="58">
        <v>0</v>
      </c>
      <c r="Q1183" s="58">
        <v>0</v>
      </c>
      <c r="R1183" s="58">
        <v>0</v>
      </c>
      <c r="S1183" s="58">
        <v>0</v>
      </c>
      <c r="T1183" s="58">
        <v>0</v>
      </c>
      <c r="U1183" s="58">
        <v>0</v>
      </c>
      <c r="V1183" s="58">
        <v>0</v>
      </c>
      <c r="W1183" s="4">
        <v>0</v>
      </c>
    </row>
    <row r="1184" spans="1:23" x14ac:dyDescent="0.35">
      <c r="A1184">
        <v>1180</v>
      </c>
      <c r="B1184">
        <v>1181</v>
      </c>
      <c r="C1184">
        <v>146.05451239999999</v>
      </c>
      <c r="D1184">
        <v>-17.52384532</v>
      </c>
      <c r="F1184" t="str">
        <f>HYPERLINK("D:\Data From Lucan\2024\Johnstone\Frames_for_Analysis\1181_20240610_0003_L_0135.jpg","1181_20240610_0003_L_0135.jpg")</f>
        <v>1181_20240610_0003_L_0135.jpg</v>
      </c>
      <c r="G1184">
        <v>2</v>
      </c>
      <c r="I1184">
        <f t="shared" si="18"/>
        <v>1</v>
      </c>
      <c r="J1184" s="58">
        <v>1</v>
      </c>
      <c r="K1184" s="32"/>
      <c r="L1184" s="32"/>
      <c r="M1184" s="32"/>
      <c r="N1184" s="32"/>
      <c r="O1184">
        <v>1</v>
      </c>
      <c r="P1184" s="58">
        <v>0</v>
      </c>
      <c r="Q1184" s="58">
        <v>0</v>
      </c>
      <c r="R1184" s="58">
        <v>0</v>
      </c>
      <c r="S1184" s="58">
        <v>0</v>
      </c>
      <c r="T1184" s="58">
        <v>0</v>
      </c>
      <c r="U1184" s="58">
        <v>0</v>
      </c>
      <c r="V1184" s="58">
        <v>0</v>
      </c>
      <c r="W1184" s="4">
        <v>0</v>
      </c>
    </row>
    <row r="1185" spans="1:23" x14ac:dyDescent="0.35">
      <c r="A1185">
        <v>1181</v>
      </c>
      <c r="B1185">
        <v>1182</v>
      </c>
      <c r="C1185">
        <v>146.05441809999999</v>
      </c>
      <c r="D1185">
        <v>-17.523848300000001</v>
      </c>
      <c r="F1185" t="str">
        <f>HYPERLINK("D:\Data From Lucan\2024\Johnstone\Frames_for_Analysis\1182_20240610_0003_L_0139.jpg","1182_20240610_0003_L_0139.jpg")</f>
        <v>1182_20240610_0003_L_0139.jpg</v>
      </c>
      <c r="G1185">
        <v>2</v>
      </c>
      <c r="I1185">
        <f t="shared" si="18"/>
        <v>1</v>
      </c>
      <c r="J1185" s="58">
        <v>1</v>
      </c>
      <c r="K1185" s="32"/>
      <c r="L1185" s="32"/>
      <c r="M1185" s="32"/>
      <c r="N1185" s="32"/>
      <c r="O1185">
        <v>1</v>
      </c>
      <c r="P1185" s="58">
        <v>0</v>
      </c>
      <c r="Q1185" s="58">
        <v>0</v>
      </c>
      <c r="R1185" s="58">
        <v>0</v>
      </c>
      <c r="S1185" s="58">
        <v>0</v>
      </c>
      <c r="T1185" s="58">
        <v>0</v>
      </c>
      <c r="U1185" s="58">
        <v>0</v>
      </c>
      <c r="V1185" s="58">
        <v>0</v>
      </c>
      <c r="W1185" s="4">
        <v>0</v>
      </c>
    </row>
    <row r="1186" spans="1:23" x14ac:dyDescent="0.35">
      <c r="A1186">
        <v>1182</v>
      </c>
      <c r="B1186">
        <v>1183</v>
      </c>
      <c r="C1186">
        <v>146.05432400000001</v>
      </c>
      <c r="D1186">
        <v>-17.52385404</v>
      </c>
      <c r="F1186" t="str">
        <f>HYPERLINK("D:\Data From Lucan\2024\Johnstone\Frames_for_Analysis\1183_20240610_0003_L_0143.jpg","1183_20240610_0003_L_0143.jpg")</f>
        <v>1183_20240610_0003_L_0143.jpg</v>
      </c>
      <c r="G1186">
        <v>2</v>
      </c>
      <c r="I1186">
        <f t="shared" si="18"/>
        <v>1</v>
      </c>
      <c r="J1186" s="58">
        <v>1</v>
      </c>
      <c r="K1186" s="32"/>
      <c r="L1186" s="32"/>
      <c r="M1186" s="32"/>
      <c r="N1186" s="32"/>
      <c r="O1186">
        <v>1</v>
      </c>
      <c r="P1186" s="58">
        <v>0</v>
      </c>
      <c r="Q1186" s="58">
        <v>0</v>
      </c>
      <c r="R1186" s="58">
        <v>0</v>
      </c>
      <c r="S1186" s="58">
        <v>0</v>
      </c>
      <c r="T1186" s="58">
        <v>0</v>
      </c>
      <c r="U1186" s="58">
        <v>0</v>
      </c>
      <c r="V1186" s="58">
        <v>0</v>
      </c>
      <c r="W1186" s="4">
        <v>0</v>
      </c>
    </row>
    <row r="1187" spans="1:23" x14ac:dyDescent="0.35">
      <c r="A1187">
        <v>1183</v>
      </c>
      <c r="B1187">
        <v>1184</v>
      </c>
      <c r="C1187">
        <v>146.0542298</v>
      </c>
      <c r="D1187">
        <v>-17.523859789999999</v>
      </c>
      <c r="F1187" t="str">
        <f>HYPERLINK("D:\Data From Lucan\2024\Johnstone\Frames_for_Analysis\1184_20240610_0003_L_0147.jpg","1184_20240610_0003_L_0147.jpg")</f>
        <v>1184_20240610_0003_L_0147.jpg</v>
      </c>
      <c r="G1187">
        <v>2</v>
      </c>
      <c r="I1187">
        <f t="shared" si="18"/>
        <v>1</v>
      </c>
      <c r="J1187" s="58">
        <v>1</v>
      </c>
      <c r="K1187" s="32"/>
      <c r="L1187" s="32"/>
      <c r="M1187" s="32"/>
      <c r="N1187" s="32"/>
      <c r="O1187">
        <v>1</v>
      </c>
      <c r="P1187" s="58">
        <v>0</v>
      </c>
      <c r="Q1187" s="58">
        <v>0</v>
      </c>
      <c r="R1187" s="58">
        <v>0</v>
      </c>
      <c r="S1187" s="58">
        <v>0</v>
      </c>
      <c r="T1187" s="58">
        <v>0</v>
      </c>
      <c r="U1187" s="58">
        <v>0</v>
      </c>
      <c r="V1187" s="58">
        <v>0</v>
      </c>
      <c r="W1187" s="4">
        <v>0</v>
      </c>
    </row>
    <row r="1188" spans="1:23" x14ac:dyDescent="0.35">
      <c r="A1188">
        <v>1184</v>
      </c>
      <c r="B1188">
        <v>1185</v>
      </c>
      <c r="C1188">
        <v>146.05413569999999</v>
      </c>
      <c r="D1188">
        <v>-17.523865539999999</v>
      </c>
      <c r="F1188" t="str">
        <f>HYPERLINK("D:\Data From Lucan\2024\Johnstone\Frames_for_Analysis\1185_20240610_0003_L_0151.jpg","1185_20240610_0003_L_0151.jpg")</f>
        <v>1185_20240610_0003_L_0151.jpg</v>
      </c>
      <c r="G1188">
        <v>2</v>
      </c>
      <c r="I1188">
        <f t="shared" si="18"/>
        <v>1</v>
      </c>
      <c r="J1188" s="58">
        <v>1</v>
      </c>
      <c r="K1188" s="32"/>
      <c r="L1188" s="32"/>
      <c r="M1188" s="32"/>
      <c r="N1188" s="32"/>
      <c r="O1188">
        <v>1</v>
      </c>
      <c r="P1188" s="58">
        <v>0</v>
      </c>
      <c r="Q1188" s="58">
        <v>0</v>
      </c>
      <c r="R1188" s="58">
        <v>0</v>
      </c>
      <c r="S1188" s="58">
        <v>0</v>
      </c>
      <c r="T1188" s="58">
        <v>0</v>
      </c>
      <c r="U1188" s="58">
        <v>0</v>
      </c>
      <c r="V1188" s="58">
        <v>0</v>
      </c>
      <c r="W1188" s="4">
        <v>0</v>
      </c>
    </row>
    <row r="1189" spans="1:23" x14ac:dyDescent="0.35">
      <c r="A1189">
        <v>1185</v>
      </c>
      <c r="B1189">
        <v>1186</v>
      </c>
      <c r="C1189">
        <v>146.05404160000001</v>
      </c>
      <c r="D1189">
        <v>-17.523871289999999</v>
      </c>
      <c r="F1189" t="str">
        <f>HYPERLINK("D:\Data From Lucan\2024\Johnstone\Frames_for_Analysis\1186_20240610_0003_L_0154.jpg","1186_20240610_0003_L_0154.jpg")</f>
        <v>1186_20240610_0003_L_0154.jpg</v>
      </c>
      <c r="G1189">
        <v>2</v>
      </c>
      <c r="I1189">
        <f t="shared" si="18"/>
        <v>1</v>
      </c>
      <c r="J1189" s="58">
        <v>1</v>
      </c>
      <c r="K1189" s="32"/>
      <c r="L1189" s="32"/>
      <c r="M1189" s="32"/>
      <c r="N1189" s="32"/>
      <c r="O1189">
        <v>1</v>
      </c>
      <c r="P1189" s="58">
        <v>0</v>
      </c>
      <c r="Q1189" s="58">
        <v>0</v>
      </c>
      <c r="R1189" s="58">
        <v>0</v>
      </c>
      <c r="S1189" s="58">
        <v>0</v>
      </c>
      <c r="T1189" s="58">
        <v>0</v>
      </c>
      <c r="U1189" s="58">
        <v>0</v>
      </c>
      <c r="V1189" s="58">
        <v>0</v>
      </c>
      <c r="W1189" s="4">
        <v>0</v>
      </c>
    </row>
    <row r="1190" spans="1:23" x14ac:dyDescent="0.35">
      <c r="A1190">
        <v>1186</v>
      </c>
      <c r="B1190">
        <v>1187</v>
      </c>
      <c r="C1190">
        <v>146.05394749999999</v>
      </c>
      <c r="D1190">
        <v>-17.523877030000001</v>
      </c>
      <c r="F1190" t="str">
        <f>HYPERLINK("D:\Data From Lucan\2024\Johnstone\Frames_for_Analysis\1187_20240610_0003_L_0157.jpg","1187_20240610_0003_L_0157.jpg")</f>
        <v>1187_20240610_0003_L_0157.jpg</v>
      </c>
      <c r="G1190">
        <v>2</v>
      </c>
      <c r="I1190">
        <f t="shared" si="18"/>
        <v>1</v>
      </c>
      <c r="J1190" s="58">
        <v>1</v>
      </c>
      <c r="K1190" s="32"/>
      <c r="L1190" s="32"/>
      <c r="M1190" s="32"/>
      <c r="N1190" s="32"/>
      <c r="O1190">
        <v>1</v>
      </c>
      <c r="P1190" s="58">
        <v>0</v>
      </c>
      <c r="Q1190" s="58">
        <v>0</v>
      </c>
      <c r="R1190" s="58">
        <v>0</v>
      </c>
      <c r="S1190" s="58">
        <v>0</v>
      </c>
      <c r="T1190" s="58">
        <v>0</v>
      </c>
      <c r="U1190" s="58">
        <v>0</v>
      </c>
      <c r="V1190" s="58">
        <v>0</v>
      </c>
      <c r="W1190" s="4">
        <v>0</v>
      </c>
    </row>
    <row r="1191" spans="1:23" x14ac:dyDescent="0.35">
      <c r="A1191">
        <v>1187</v>
      </c>
      <c r="B1191">
        <v>1188</v>
      </c>
      <c r="C1191">
        <v>146.05385329999999</v>
      </c>
      <c r="D1191">
        <v>-17.523882780000001</v>
      </c>
      <c r="F1191" t="str">
        <f>HYPERLINK("D:\Data From Lucan\2024\Johnstone\Frames_for_Analysis\1188_20240610_0003_L_0163.jpg","1188_20240610_0003_L_0163.jpg")</f>
        <v>1188_20240610_0003_L_0163.jpg</v>
      </c>
      <c r="G1191">
        <v>2</v>
      </c>
      <c r="I1191">
        <f t="shared" si="18"/>
        <v>1</v>
      </c>
      <c r="J1191" s="58">
        <v>1</v>
      </c>
      <c r="K1191" s="32"/>
      <c r="L1191" s="32"/>
      <c r="M1191" s="32"/>
      <c r="N1191" s="32"/>
      <c r="O1191">
        <v>1</v>
      </c>
      <c r="P1191" s="58">
        <v>0</v>
      </c>
      <c r="Q1191" s="58">
        <v>0</v>
      </c>
      <c r="R1191" s="58">
        <v>0</v>
      </c>
      <c r="S1191" s="58">
        <v>0</v>
      </c>
      <c r="T1191" s="58">
        <v>0</v>
      </c>
      <c r="U1191" s="58">
        <v>0</v>
      </c>
      <c r="V1191" s="58">
        <v>0</v>
      </c>
      <c r="W1191" s="4">
        <v>0</v>
      </c>
    </row>
    <row r="1192" spans="1:23" x14ac:dyDescent="0.35">
      <c r="A1192">
        <v>1188</v>
      </c>
      <c r="B1192">
        <v>1189</v>
      </c>
      <c r="C1192">
        <v>146.0537592</v>
      </c>
      <c r="D1192">
        <v>-17.523888530000001</v>
      </c>
      <c r="F1192" t="str">
        <f>HYPERLINK("D:\Data From Lucan\2024\Johnstone\Frames_for_Analysis\1189_20240610_0003_L_0171.jpg","1189_20240610_0003_L_0171.jpg")</f>
        <v>1189_20240610_0003_L_0171.jpg</v>
      </c>
      <c r="G1192">
        <v>2</v>
      </c>
      <c r="I1192">
        <v>0</v>
      </c>
      <c r="J1192" s="58">
        <v>2</v>
      </c>
      <c r="K1192" s="32"/>
      <c r="L1192" s="32"/>
      <c r="M1192" s="32"/>
      <c r="N1192" s="32"/>
      <c r="O1192">
        <v>1</v>
      </c>
      <c r="P1192" s="58">
        <v>0</v>
      </c>
      <c r="Q1192" s="58">
        <v>0</v>
      </c>
      <c r="R1192" s="58">
        <v>0</v>
      </c>
      <c r="S1192" s="58">
        <v>0</v>
      </c>
      <c r="T1192" s="58">
        <v>0</v>
      </c>
      <c r="U1192" s="58">
        <v>0</v>
      </c>
      <c r="V1192" s="58">
        <v>0</v>
      </c>
      <c r="W1192" s="4">
        <v>0</v>
      </c>
    </row>
    <row r="1193" spans="1:23" x14ac:dyDescent="0.35">
      <c r="A1193">
        <v>1189</v>
      </c>
      <c r="B1193">
        <v>1190</v>
      </c>
      <c r="C1193">
        <v>146.05366509999999</v>
      </c>
      <c r="D1193">
        <v>-17.52389428</v>
      </c>
      <c r="F1193" t="str">
        <f>HYPERLINK("D:\Data From Lucan\2024\Johnstone\Frames_for_Analysis\1190_20240610_0003_L_0182.jpg","1190_20240610_0003_L_0182.jpg")</f>
        <v>1190_20240610_0003_L_0182.jpg</v>
      </c>
      <c r="G1193">
        <v>2</v>
      </c>
      <c r="I1193">
        <f t="shared" si="18"/>
        <v>1</v>
      </c>
      <c r="J1193" s="58">
        <v>1</v>
      </c>
      <c r="K1193" s="32"/>
      <c r="L1193" s="32"/>
      <c r="M1193" s="32"/>
      <c r="N1193" s="32"/>
      <c r="O1193">
        <v>1</v>
      </c>
      <c r="P1193" s="58">
        <v>0</v>
      </c>
      <c r="Q1193" s="58">
        <v>0</v>
      </c>
      <c r="R1193" s="58">
        <v>0</v>
      </c>
      <c r="S1193" s="58">
        <v>0</v>
      </c>
      <c r="T1193" s="58">
        <v>0</v>
      </c>
      <c r="U1193" s="58">
        <v>0</v>
      </c>
      <c r="V1193" s="58">
        <v>0</v>
      </c>
      <c r="W1193" s="4">
        <v>0</v>
      </c>
    </row>
    <row r="1194" spans="1:23" x14ac:dyDescent="0.35">
      <c r="A1194">
        <v>1190</v>
      </c>
      <c r="B1194">
        <v>1191</v>
      </c>
      <c r="C1194">
        <v>146.0535711</v>
      </c>
      <c r="D1194">
        <v>-17.5239017</v>
      </c>
      <c r="F1194" t="str">
        <f>HYPERLINK("D:\Data From Lucan\2024\Johnstone\Frames_for_Analysis\1191_20240610_0003_L_0189.jpg","1191_20240610_0003_L_0189.jpg")</f>
        <v>1191_20240610_0003_L_0189.jpg</v>
      </c>
      <c r="G1194">
        <v>2</v>
      </c>
      <c r="I1194">
        <f t="shared" si="18"/>
        <v>1</v>
      </c>
      <c r="J1194" s="58">
        <v>1</v>
      </c>
      <c r="K1194" s="32"/>
      <c r="L1194" s="32"/>
      <c r="M1194" s="32"/>
      <c r="N1194" s="32"/>
      <c r="O1194">
        <v>1</v>
      </c>
      <c r="P1194" s="58">
        <v>0</v>
      </c>
      <c r="Q1194" s="58">
        <v>0</v>
      </c>
      <c r="R1194" s="58">
        <v>0</v>
      </c>
      <c r="S1194" s="58">
        <v>0</v>
      </c>
      <c r="T1194" s="58">
        <v>0</v>
      </c>
      <c r="U1194" s="58">
        <v>0</v>
      </c>
      <c r="V1194" s="58">
        <v>0</v>
      </c>
      <c r="W1194" s="4">
        <v>0</v>
      </c>
    </row>
    <row r="1195" spans="1:23" x14ac:dyDescent="0.35">
      <c r="A1195">
        <v>1191</v>
      </c>
      <c r="B1195">
        <v>1192</v>
      </c>
      <c r="C1195">
        <v>146.0534773</v>
      </c>
      <c r="D1195">
        <v>-17.52391175</v>
      </c>
      <c r="F1195" t="str">
        <f>HYPERLINK("D:\Data From Lucan\2024\Johnstone\Frames_for_Analysis\1192_20240610_0003_L_0196.jpg","1192_20240610_0003_L_0196.jpg")</f>
        <v>1192_20240610_0003_L_0196.jpg</v>
      </c>
      <c r="G1195">
        <v>2</v>
      </c>
      <c r="I1195">
        <f t="shared" si="18"/>
        <v>0</v>
      </c>
      <c r="J1195" s="58">
        <v>0</v>
      </c>
      <c r="K1195" s="32"/>
      <c r="L1195" s="32"/>
      <c r="M1195" s="32"/>
      <c r="N1195" s="32"/>
      <c r="O1195">
        <v>1</v>
      </c>
      <c r="P1195" s="58">
        <v>0</v>
      </c>
      <c r="Q1195" s="58">
        <v>0</v>
      </c>
      <c r="R1195" s="58">
        <v>0</v>
      </c>
      <c r="S1195" s="58">
        <v>0</v>
      </c>
      <c r="T1195" s="58">
        <v>0</v>
      </c>
      <c r="U1195" s="58">
        <v>0</v>
      </c>
      <c r="V1195" s="58">
        <v>0</v>
      </c>
      <c r="W1195" s="4">
        <v>0</v>
      </c>
    </row>
    <row r="1196" spans="1:23" x14ac:dyDescent="0.35">
      <c r="A1196">
        <v>1192</v>
      </c>
      <c r="B1196">
        <v>1193</v>
      </c>
      <c r="C1196">
        <v>146.05338359999999</v>
      </c>
      <c r="D1196">
        <v>-17.5239218</v>
      </c>
      <c r="F1196" t="str">
        <f>HYPERLINK("D:\Data From Lucan\2024\Johnstone\Frames_for_Analysis\1193_20240610_0003_L_0206.jpg","1193_20240610_0003_L_0206.jpg")</f>
        <v>1193_20240610_0003_L_0206.jpg</v>
      </c>
      <c r="G1196">
        <v>2</v>
      </c>
      <c r="I1196">
        <f t="shared" si="18"/>
        <v>1</v>
      </c>
      <c r="J1196" s="58">
        <v>1</v>
      </c>
      <c r="K1196" s="32"/>
      <c r="L1196" s="32"/>
      <c r="M1196" s="32"/>
      <c r="N1196" s="32"/>
      <c r="O1196">
        <v>1</v>
      </c>
      <c r="P1196" s="58">
        <v>0</v>
      </c>
      <c r="Q1196" s="58">
        <v>0</v>
      </c>
      <c r="R1196" s="58">
        <v>0</v>
      </c>
      <c r="S1196" s="58">
        <v>0</v>
      </c>
      <c r="T1196" s="58">
        <v>0</v>
      </c>
      <c r="U1196" s="58">
        <v>0</v>
      </c>
      <c r="V1196" s="58">
        <v>0</v>
      </c>
      <c r="W1196" s="4">
        <v>0</v>
      </c>
    </row>
    <row r="1197" spans="1:23" x14ac:dyDescent="0.35">
      <c r="A1197">
        <v>1193</v>
      </c>
      <c r="B1197">
        <v>1194</v>
      </c>
      <c r="C1197">
        <v>146.05328979999999</v>
      </c>
      <c r="D1197">
        <v>-17.523931860000001</v>
      </c>
      <c r="F1197" t="str">
        <f>HYPERLINK("D:\Data From Lucan\2024\Johnstone\Frames_for_Analysis\1194_20240610_0003_L_0210.jpg","1194_20240610_0003_L_0210.jpg")</f>
        <v>1194_20240610_0003_L_0210.jpg</v>
      </c>
      <c r="G1197">
        <v>2</v>
      </c>
      <c r="I1197">
        <f t="shared" si="18"/>
        <v>1</v>
      </c>
      <c r="J1197" s="58">
        <v>1</v>
      </c>
      <c r="K1197" s="32"/>
      <c r="L1197" s="32"/>
      <c r="M1197" s="32"/>
      <c r="N1197" s="32"/>
      <c r="O1197">
        <v>1</v>
      </c>
      <c r="P1197" s="58">
        <v>0</v>
      </c>
      <c r="Q1197" s="58">
        <v>0</v>
      </c>
      <c r="R1197" s="58">
        <v>0</v>
      </c>
      <c r="S1197" s="58">
        <v>0</v>
      </c>
      <c r="T1197" s="58">
        <v>0</v>
      </c>
      <c r="U1197" s="58">
        <v>0</v>
      </c>
      <c r="V1197" s="58">
        <v>0</v>
      </c>
      <c r="W1197" s="4">
        <v>0</v>
      </c>
    </row>
    <row r="1198" spans="1:23" x14ac:dyDescent="0.35">
      <c r="A1198">
        <v>1194</v>
      </c>
      <c r="B1198">
        <v>1195</v>
      </c>
      <c r="C1198">
        <v>146.05319600000001</v>
      </c>
      <c r="D1198">
        <v>-17.523941910000001</v>
      </c>
      <c r="F1198" t="str">
        <f>HYPERLINK("D:\Data From Lucan\2024\Johnstone\Frames_for_Analysis\1195_20240610_0003_L_0215.jpg","1195_20240610_0003_L_0215.jpg")</f>
        <v>1195_20240610_0003_L_0215.jpg</v>
      </c>
      <c r="G1198">
        <v>2</v>
      </c>
      <c r="I1198">
        <f t="shared" si="18"/>
        <v>1</v>
      </c>
      <c r="J1198" s="58">
        <v>1</v>
      </c>
      <c r="K1198" s="32"/>
      <c r="L1198" s="32"/>
      <c r="M1198" s="32"/>
      <c r="N1198" s="32"/>
      <c r="O1198">
        <v>1</v>
      </c>
      <c r="P1198" s="58">
        <v>0</v>
      </c>
      <c r="Q1198" s="58">
        <v>0</v>
      </c>
      <c r="R1198" s="58">
        <v>0</v>
      </c>
      <c r="S1198" s="58">
        <v>0</v>
      </c>
      <c r="T1198" s="58">
        <v>0</v>
      </c>
      <c r="U1198" s="58">
        <v>0</v>
      </c>
      <c r="V1198" s="58">
        <v>0</v>
      </c>
      <c r="W1198" s="4">
        <v>0</v>
      </c>
    </row>
    <row r="1199" spans="1:23" x14ac:dyDescent="0.35">
      <c r="A1199">
        <v>1195</v>
      </c>
      <c r="B1199">
        <v>1196</v>
      </c>
      <c r="C1199">
        <v>146.05310230000001</v>
      </c>
      <c r="D1199">
        <v>-17.523951960000002</v>
      </c>
      <c r="F1199" t="str">
        <f>HYPERLINK("D:\Data From Lucan\2024\Johnstone\Frames_for_Analysis\1196_20240610_0003_L_0221.jpg","1196_20240610_0003_L_0221.jpg")</f>
        <v>1196_20240610_0003_L_0221.jpg</v>
      </c>
      <c r="G1199">
        <v>2</v>
      </c>
      <c r="I1199">
        <f t="shared" si="18"/>
        <v>1</v>
      </c>
      <c r="J1199" s="58">
        <v>1</v>
      </c>
      <c r="K1199" s="32"/>
      <c r="L1199" s="32"/>
      <c r="M1199" s="32"/>
      <c r="N1199" s="32"/>
      <c r="O1199">
        <v>1</v>
      </c>
      <c r="P1199" s="58">
        <v>0</v>
      </c>
      <c r="Q1199" s="58">
        <v>0</v>
      </c>
      <c r="R1199" s="58">
        <v>0</v>
      </c>
      <c r="S1199" s="58">
        <v>0</v>
      </c>
      <c r="T1199" s="58">
        <v>0</v>
      </c>
      <c r="U1199" s="58">
        <v>0</v>
      </c>
      <c r="V1199" s="58">
        <v>0</v>
      </c>
      <c r="W1199" s="4">
        <v>0</v>
      </c>
    </row>
    <row r="1200" spans="1:23" x14ac:dyDescent="0.35">
      <c r="A1200">
        <v>1196</v>
      </c>
      <c r="B1200">
        <v>1197</v>
      </c>
      <c r="C1200">
        <v>146.0530085</v>
      </c>
      <c r="D1200">
        <v>-17.523962010000002</v>
      </c>
      <c r="F1200" t="str">
        <f>HYPERLINK("D:\Data From Lucan\2024\Johnstone\Frames_for_Analysis\1197_20240610_0003_L_0226.jpg","1197_20240610_0003_L_0226.jpg")</f>
        <v>1197_20240610_0003_L_0226.jpg</v>
      </c>
      <c r="G1200">
        <v>2</v>
      </c>
      <c r="I1200">
        <f t="shared" si="18"/>
        <v>1</v>
      </c>
      <c r="J1200" s="58">
        <v>1</v>
      </c>
      <c r="K1200" s="32"/>
      <c r="L1200" s="32"/>
      <c r="M1200" s="32"/>
      <c r="N1200" s="32"/>
      <c r="O1200">
        <v>1</v>
      </c>
      <c r="P1200" s="58">
        <v>0</v>
      </c>
      <c r="Q1200" s="58">
        <v>0</v>
      </c>
      <c r="R1200" s="58">
        <v>0</v>
      </c>
      <c r="S1200" s="58">
        <v>0</v>
      </c>
      <c r="T1200" s="58">
        <v>0</v>
      </c>
      <c r="U1200" s="58">
        <v>0</v>
      </c>
      <c r="V1200" s="58">
        <v>0</v>
      </c>
      <c r="W1200" s="4">
        <v>0</v>
      </c>
    </row>
    <row r="1201" spans="1:23" x14ac:dyDescent="0.35">
      <c r="A1201">
        <v>1197</v>
      </c>
      <c r="B1201">
        <v>1198</v>
      </c>
      <c r="C1201">
        <v>146.0529147</v>
      </c>
      <c r="D1201">
        <v>-17.523972059999998</v>
      </c>
      <c r="F1201" t="str">
        <f>HYPERLINK("D:\Data From Lucan\2024\Johnstone\Frames_for_Analysis\1198_20240610_0003_L_0229.jpg","1198_20240610_0003_L_0229.jpg")</f>
        <v>1198_20240610_0003_L_0229.jpg</v>
      </c>
      <c r="G1201">
        <v>2</v>
      </c>
      <c r="I1201">
        <f t="shared" si="18"/>
        <v>1</v>
      </c>
      <c r="J1201" s="58">
        <v>1</v>
      </c>
      <c r="K1201" s="32"/>
      <c r="L1201" s="32"/>
      <c r="M1201" s="32"/>
      <c r="N1201" s="32"/>
      <c r="O1201">
        <v>1</v>
      </c>
      <c r="P1201" s="58">
        <v>0</v>
      </c>
      <c r="Q1201" s="58">
        <v>0</v>
      </c>
      <c r="R1201" s="58">
        <v>0</v>
      </c>
      <c r="S1201" s="58">
        <v>0</v>
      </c>
      <c r="T1201" s="58">
        <v>0</v>
      </c>
      <c r="U1201" s="58">
        <v>0</v>
      </c>
      <c r="V1201" s="58">
        <v>0</v>
      </c>
      <c r="W1201" s="4">
        <v>0</v>
      </c>
    </row>
    <row r="1202" spans="1:23" x14ac:dyDescent="0.35">
      <c r="A1202">
        <v>1198</v>
      </c>
      <c r="B1202">
        <v>1199</v>
      </c>
      <c r="C1202">
        <v>146.05282099999999</v>
      </c>
      <c r="D1202">
        <v>-17.523982119999999</v>
      </c>
      <c r="F1202" t="str">
        <f>HYPERLINK("D:\Data From Lucan\2024\Johnstone\Frames_for_Analysis\1199_20240610_0003_L_0235.jpg","1199_20240610_0003_L_0235.jpg")</f>
        <v>1199_20240610_0003_L_0235.jpg</v>
      </c>
      <c r="G1202">
        <v>2</v>
      </c>
      <c r="I1202">
        <f t="shared" si="18"/>
        <v>1</v>
      </c>
      <c r="J1202" s="58">
        <v>1</v>
      </c>
      <c r="K1202" s="32"/>
      <c r="L1202" s="32"/>
      <c r="M1202" s="32"/>
      <c r="N1202" s="32"/>
      <c r="O1202">
        <v>1</v>
      </c>
      <c r="P1202" s="58">
        <v>0</v>
      </c>
      <c r="Q1202" s="58">
        <v>0</v>
      </c>
      <c r="R1202" s="58">
        <v>0</v>
      </c>
      <c r="S1202" s="58">
        <v>0</v>
      </c>
      <c r="T1202" s="58">
        <v>0</v>
      </c>
      <c r="U1202" s="58">
        <v>0</v>
      </c>
      <c r="V1202" s="58">
        <v>0</v>
      </c>
      <c r="W1202" s="4">
        <v>0</v>
      </c>
    </row>
    <row r="1203" spans="1:23" x14ac:dyDescent="0.35">
      <c r="A1203">
        <v>1199</v>
      </c>
      <c r="B1203">
        <v>1200</v>
      </c>
      <c r="C1203">
        <v>146.05272719999999</v>
      </c>
      <c r="D1203">
        <v>-17.52399217</v>
      </c>
      <c r="F1203" t="str">
        <f>HYPERLINK("D:\Data From Lucan\2024\Johnstone\Frames_for_Analysis\1200_20240610_0003_L_0239.jpg","1200_20240610_0003_L_0239.jpg")</f>
        <v>1200_20240610_0003_L_0239.jpg</v>
      </c>
      <c r="G1203">
        <v>2</v>
      </c>
      <c r="I1203">
        <f t="shared" si="18"/>
        <v>1</v>
      </c>
      <c r="J1203" s="58">
        <v>1</v>
      </c>
      <c r="K1203" s="32"/>
      <c r="L1203" s="32"/>
      <c r="M1203" s="32"/>
      <c r="N1203" s="32"/>
      <c r="O1203">
        <v>1</v>
      </c>
      <c r="P1203" s="58">
        <v>0</v>
      </c>
      <c r="Q1203" s="58">
        <v>0</v>
      </c>
      <c r="R1203" s="58">
        <v>0</v>
      </c>
      <c r="S1203" s="58">
        <v>0</v>
      </c>
      <c r="T1203" s="58">
        <v>0</v>
      </c>
      <c r="U1203" s="58">
        <v>0</v>
      </c>
      <c r="V1203" s="58">
        <v>0</v>
      </c>
      <c r="W1203" s="4">
        <v>0</v>
      </c>
    </row>
    <row r="1204" spans="1:23" x14ac:dyDescent="0.35">
      <c r="A1204">
        <v>1200</v>
      </c>
      <c r="B1204">
        <v>1201</v>
      </c>
      <c r="C1204">
        <v>146.0526347</v>
      </c>
      <c r="D1204">
        <v>-17.524010430000001</v>
      </c>
      <c r="F1204" t="str">
        <f>HYPERLINK("D:\Data From Lucan\2024\Johnstone\Frames_for_Analysis\1201_20240610_0003_L_0246.jpg","1201_20240610_0003_L_0246.jpg")</f>
        <v>1201_20240610_0003_L_0246.jpg</v>
      </c>
      <c r="G1204">
        <v>2</v>
      </c>
      <c r="I1204">
        <f t="shared" si="18"/>
        <v>1</v>
      </c>
      <c r="J1204" s="58">
        <v>1</v>
      </c>
      <c r="K1204" s="32"/>
      <c r="L1204" s="32"/>
      <c r="M1204" s="32"/>
      <c r="N1204" s="32"/>
      <c r="O1204">
        <v>1</v>
      </c>
      <c r="P1204" s="58">
        <v>0</v>
      </c>
      <c r="Q1204" s="58">
        <v>0</v>
      </c>
      <c r="R1204" s="58">
        <v>0</v>
      </c>
      <c r="S1204" s="58">
        <v>0</v>
      </c>
      <c r="T1204" s="58">
        <v>0</v>
      </c>
      <c r="U1204" s="58">
        <v>0</v>
      </c>
      <c r="V1204" s="58">
        <v>0</v>
      </c>
      <c r="W1204" s="4">
        <v>0</v>
      </c>
    </row>
    <row r="1205" spans="1:23" x14ac:dyDescent="0.35">
      <c r="A1205">
        <v>1201</v>
      </c>
      <c r="B1205">
        <v>1202</v>
      </c>
      <c r="C1205">
        <v>146.05254249999999</v>
      </c>
      <c r="D1205">
        <v>-17.52403018</v>
      </c>
      <c r="F1205" t="str">
        <f>HYPERLINK("D:\Data From Lucan\2024\Johnstone\Frames_for_Analysis\1202_20240610_0003_L_0250.jpg","1202_20240610_0003_L_0250.jpg")</f>
        <v>1202_20240610_0003_L_0250.jpg</v>
      </c>
      <c r="G1205">
        <v>2</v>
      </c>
      <c r="I1205">
        <f t="shared" si="18"/>
        <v>1</v>
      </c>
      <c r="J1205" s="58">
        <v>1</v>
      </c>
      <c r="K1205" s="32"/>
      <c r="L1205" s="32"/>
      <c r="M1205" s="32"/>
      <c r="N1205" s="32"/>
      <c r="O1205">
        <v>1</v>
      </c>
      <c r="P1205" s="58">
        <v>0</v>
      </c>
      <c r="Q1205" s="58">
        <v>0</v>
      </c>
      <c r="R1205" s="58">
        <v>0</v>
      </c>
      <c r="S1205" s="58">
        <v>0</v>
      </c>
      <c r="T1205" s="58">
        <v>0</v>
      </c>
      <c r="U1205" s="58">
        <v>0</v>
      </c>
      <c r="V1205" s="58">
        <v>0</v>
      </c>
      <c r="W1205" s="4">
        <v>0</v>
      </c>
    </row>
    <row r="1206" spans="1:23" x14ac:dyDescent="0.35">
      <c r="A1206">
        <v>1202</v>
      </c>
      <c r="B1206">
        <v>1203</v>
      </c>
      <c r="C1206">
        <v>146.0524503</v>
      </c>
      <c r="D1206">
        <v>-17.524049940000001</v>
      </c>
      <c r="F1206" t="str">
        <f>HYPERLINK("D:\Data From Lucan\2024\Johnstone\Frames_for_Analysis\1203_20240610_0003_L_0259.jpg","1203_20240610_0003_L_0259.jpg")</f>
        <v>1203_20240610_0003_L_0259.jpg</v>
      </c>
      <c r="G1206">
        <v>2</v>
      </c>
      <c r="I1206">
        <f t="shared" si="18"/>
        <v>1</v>
      </c>
      <c r="J1206" s="58">
        <v>1</v>
      </c>
      <c r="K1206" s="32"/>
      <c r="L1206" s="32"/>
      <c r="M1206" s="32"/>
      <c r="N1206" s="32"/>
      <c r="O1206">
        <v>1</v>
      </c>
      <c r="P1206" s="58">
        <v>0</v>
      </c>
      <c r="Q1206" s="58">
        <v>0</v>
      </c>
      <c r="R1206" s="58">
        <v>0</v>
      </c>
      <c r="S1206" s="58">
        <v>0</v>
      </c>
      <c r="T1206" s="58">
        <v>0</v>
      </c>
      <c r="U1206" s="58">
        <v>0</v>
      </c>
      <c r="V1206" s="58">
        <v>0</v>
      </c>
      <c r="W1206" s="4">
        <v>0</v>
      </c>
    </row>
    <row r="1207" spans="1:23" x14ac:dyDescent="0.35">
      <c r="A1207">
        <v>1203</v>
      </c>
      <c r="B1207">
        <v>1204</v>
      </c>
      <c r="C1207">
        <v>146.05235809999999</v>
      </c>
      <c r="D1207">
        <v>-17.524069699999998</v>
      </c>
      <c r="F1207" t="str">
        <f>HYPERLINK("D:\Data From Lucan\2024\Johnstone\Frames_for_Analysis\1204_20240610_0003_L_0263.jpg","1204_20240610_0003_L_0263.jpg")</f>
        <v>1204_20240610_0003_L_0263.jpg</v>
      </c>
      <c r="G1207">
        <v>2</v>
      </c>
      <c r="I1207">
        <v>0</v>
      </c>
      <c r="J1207" s="58">
        <v>2</v>
      </c>
      <c r="K1207" s="32"/>
      <c r="L1207" s="32"/>
      <c r="M1207" s="32"/>
      <c r="N1207" s="32"/>
      <c r="O1207">
        <v>1</v>
      </c>
      <c r="P1207" s="58">
        <v>0</v>
      </c>
      <c r="Q1207" s="58">
        <v>0</v>
      </c>
      <c r="R1207" s="58">
        <v>0</v>
      </c>
      <c r="S1207" s="58">
        <v>0</v>
      </c>
      <c r="T1207" s="58">
        <v>0</v>
      </c>
      <c r="U1207" s="58">
        <v>0</v>
      </c>
      <c r="V1207" s="58">
        <v>0</v>
      </c>
      <c r="W1207" s="4">
        <v>0</v>
      </c>
    </row>
    <row r="1208" spans="1:23" x14ac:dyDescent="0.35">
      <c r="A1208">
        <v>1204</v>
      </c>
      <c r="B1208">
        <v>1205</v>
      </c>
      <c r="C1208">
        <v>146.05226590000001</v>
      </c>
      <c r="D1208">
        <v>-17.524089459999999</v>
      </c>
      <c r="F1208" t="str">
        <f>HYPERLINK("D:\Data From Lucan\2024\Johnstone\Frames_for_Analysis\1205_20240610_0003_L_0269.jpg","1205_20240610_0003_L_0269.jpg")</f>
        <v>1205_20240610_0003_L_0269.jpg</v>
      </c>
      <c r="G1208">
        <v>2</v>
      </c>
      <c r="I1208">
        <v>0</v>
      </c>
      <c r="J1208" s="58">
        <v>2</v>
      </c>
      <c r="K1208" s="32"/>
      <c r="L1208" s="32"/>
      <c r="M1208" s="32"/>
      <c r="N1208" s="32"/>
      <c r="O1208">
        <v>1</v>
      </c>
      <c r="P1208" s="58">
        <v>0</v>
      </c>
      <c r="Q1208" s="58">
        <v>0</v>
      </c>
      <c r="R1208" s="58">
        <v>0</v>
      </c>
      <c r="S1208" s="58">
        <v>0</v>
      </c>
      <c r="T1208" s="58">
        <v>0</v>
      </c>
      <c r="U1208" s="58">
        <v>0</v>
      </c>
      <c r="V1208" s="58">
        <v>0</v>
      </c>
      <c r="W1208" s="4">
        <v>0</v>
      </c>
    </row>
    <row r="1209" spans="1:23" x14ac:dyDescent="0.35">
      <c r="A1209">
        <v>1205</v>
      </c>
      <c r="B1209">
        <v>1206</v>
      </c>
      <c r="C1209">
        <v>146.0521737</v>
      </c>
      <c r="D1209">
        <v>-17.524109209999999</v>
      </c>
      <c r="F1209" t="str">
        <f>HYPERLINK("D:\Data From Lucan\2024\Johnstone\Frames_for_Analysis\1206_20240610_0003_L_0275.jpg","1206_20240610_0003_L_0275.jpg")</f>
        <v>1206_20240610_0003_L_0275.jpg</v>
      </c>
      <c r="G1209">
        <v>2</v>
      </c>
      <c r="I1209">
        <f t="shared" si="18"/>
        <v>1</v>
      </c>
      <c r="J1209" s="58">
        <v>1</v>
      </c>
      <c r="K1209" s="32"/>
      <c r="L1209" s="32"/>
      <c r="M1209" s="32"/>
      <c r="N1209" s="32"/>
      <c r="O1209">
        <v>1</v>
      </c>
      <c r="P1209" s="58">
        <v>0</v>
      </c>
      <c r="Q1209" s="58">
        <v>0</v>
      </c>
      <c r="R1209" s="58">
        <v>0</v>
      </c>
      <c r="S1209" s="58">
        <v>0</v>
      </c>
      <c r="T1209" s="58">
        <v>0</v>
      </c>
      <c r="U1209" s="58">
        <v>0</v>
      </c>
      <c r="V1209" s="58">
        <v>0</v>
      </c>
      <c r="W1209" s="4">
        <v>0</v>
      </c>
    </row>
    <row r="1210" spans="1:23" x14ac:dyDescent="0.35">
      <c r="A1210">
        <v>1206</v>
      </c>
      <c r="B1210">
        <v>1207</v>
      </c>
      <c r="C1210">
        <v>146.05208150000001</v>
      </c>
      <c r="D1210">
        <v>-17.52412897</v>
      </c>
      <c r="F1210" t="str">
        <f>HYPERLINK("D:\Data From Lucan\2024\Johnstone\Frames_for_Analysis\1207_20240610_0003_L_0282.jpg","1207_20240610_0003_L_0282.jpg")</f>
        <v>1207_20240610_0003_L_0282.jpg</v>
      </c>
      <c r="G1210">
        <v>2</v>
      </c>
      <c r="I1210">
        <f t="shared" si="18"/>
        <v>1</v>
      </c>
      <c r="J1210" s="58">
        <v>1</v>
      </c>
      <c r="K1210" s="32"/>
      <c r="L1210" s="32"/>
      <c r="M1210" s="32"/>
      <c r="N1210" s="32"/>
      <c r="O1210">
        <v>1</v>
      </c>
      <c r="P1210" s="58">
        <v>0</v>
      </c>
      <c r="Q1210" s="58">
        <v>0</v>
      </c>
      <c r="R1210" s="58">
        <v>0</v>
      </c>
      <c r="S1210" s="58">
        <v>0</v>
      </c>
      <c r="T1210" s="58">
        <v>0</v>
      </c>
      <c r="U1210" s="58">
        <v>0</v>
      </c>
      <c r="V1210" s="58">
        <v>0</v>
      </c>
      <c r="W1210" s="4">
        <v>0</v>
      </c>
    </row>
    <row r="1211" spans="1:23" x14ac:dyDescent="0.35">
      <c r="A1211">
        <v>1207</v>
      </c>
      <c r="B1211">
        <v>1208</v>
      </c>
      <c r="C1211">
        <v>146.0519893</v>
      </c>
      <c r="D1211">
        <v>-17.52414873</v>
      </c>
      <c r="F1211" t="str">
        <f>HYPERLINK("D:\Data From Lucan\2024\Johnstone\Frames_for_Analysis\1208_20240610_0003_L_0289.jpg","1208_20240610_0003_L_0289.jpg")</f>
        <v>1208_20240610_0003_L_0289.jpg</v>
      </c>
      <c r="G1211">
        <v>2</v>
      </c>
      <c r="I1211">
        <f t="shared" si="18"/>
        <v>1</v>
      </c>
      <c r="J1211" s="58">
        <v>1</v>
      </c>
      <c r="K1211" s="32"/>
      <c r="L1211" s="32"/>
      <c r="M1211" s="32"/>
      <c r="N1211" s="32"/>
      <c r="O1211">
        <v>1</v>
      </c>
      <c r="P1211" s="58">
        <v>0</v>
      </c>
      <c r="Q1211" s="58">
        <v>0</v>
      </c>
      <c r="R1211" s="58">
        <v>0</v>
      </c>
      <c r="S1211" s="58">
        <v>0</v>
      </c>
      <c r="T1211" s="58">
        <v>0</v>
      </c>
      <c r="U1211" s="58">
        <v>0</v>
      </c>
      <c r="V1211" s="58">
        <v>0</v>
      </c>
      <c r="W1211" s="4">
        <v>0</v>
      </c>
    </row>
    <row r="1212" spans="1:23" x14ac:dyDescent="0.35">
      <c r="A1212">
        <v>1208</v>
      </c>
      <c r="B1212">
        <v>1209</v>
      </c>
      <c r="C1212">
        <v>146.05189669999999</v>
      </c>
      <c r="D1212">
        <v>-17.524166480000002</v>
      </c>
      <c r="F1212" t="str">
        <f>HYPERLINK("D:\Data From Lucan\2024\Johnstone\Frames_for_Analysis\1209_20240610_0003_L_0294.jpg","1209_20240610_0003_L_0294.jpg")</f>
        <v>1209_20240610_0003_L_0294.jpg</v>
      </c>
      <c r="G1212">
        <v>2</v>
      </c>
      <c r="I1212">
        <f t="shared" si="18"/>
        <v>1</v>
      </c>
      <c r="J1212" s="58">
        <v>1</v>
      </c>
      <c r="K1212" s="32"/>
      <c r="L1212" s="32"/>
      <c r="M1212" s="32"/>
      <c r="N1212" s="32"/>
      <c r="O1212">
        <v>1</v>
      </c>
      <c r="P1212" s="58">
        <v>0</v>
      </c>
      <c r="Q1212" s="58">
        <v>0</v>
      </c>
      <c r="R1212" s="58">
        <v>0</v>
      </c>
      <c r="S1212" s="58">
        <v>0</v>
      </c>
      <c r="T1212" s="58">
        <v>0</v>
      </c>
      <c r="U1212" s="58">
        <v>0</v>
      </c>
      <c r="V1212" s="58">
        <v>0</v>
      </c>
      <c r="W1212" s="4">
        <v>0</v>
      </c>
    </row>
    <row r="1213" spans="1:23" x14ac:dyDescent="0.35">
      <c r="A1213">
        <v>1209</v>
      </c>
      <c r="B1213">
        <v>1210</v>
      </c>
      <c r="C1213">
        <v>146.051804</v>
      </c>
      <c r="D1213">
        <v>-17.524183900000001</v>
      </c>
      <c r="F1213" t="str">
        <f>HYPERLINK("D:\Data From Lucan\2024\Johnstone\Frames_for_Analysis\1210_20240610_0003_L_0300.jpg","1210_20240610_0003_L_0300.jpg")</f>
        <v>1210_20240610_0003_L_0300.jpg</v>
      </c>
      <c r="G1213">
        <v>2</v>
      </c>
      <c r="I1213">
        <f t="shared" si="18"/>
        <v>1</v>
      </c>
      <c r="J1213" s="58">
        <v>1</v>
      </c>
      <c r="K1213" s="32"/>
      <c r="L1213" s="32"/>
      <c r="M1213" s="32"/>
      <c r="N1213" s="32"/>
      <c r="O1213">
        <v>1</v>
      </c>
      <c r="P1213" s="58">
        <v>0</v>
      </c>
      <c r="Q1213" s="58">
        <v>0</v>
      </c>
      <c r="R1213" s="58">
        <v>0</v>
      </c>
      <c r="S1213" s="58">
        <v>0</v>
      </c>
      <c r="T1213" s="58">
        <v>0</v>
      </c>
      <c r="U1213" s="58">
        <v>0</v>
      </c>
      <c r="V1213" s="58">
        <v>0</v>
      </c>
      <c r="W1213" s="4">
        <v>0</v>
      </c>
    </row>
    <row r="1214" spans="1:23" x14ac:dyDescent="0.35">
      <c r="A1214">
        <v>1210</v>
      </c>
      <c r="B1214">
        <v>1211</v>
      </c>
      <c r="C1214">
        <v>146.05171129999999</v>
      </c>
      <c r="D1214">
        <v>-17.52420133</v>
      </c>
      <c r="F1214" t="str">
        <f>HYPERLINK("D:\Data From Lucan\2024\Johnstone\Frames_for_Analysis\1211_20240610_0003_L_0308.jpg","1211_20240610_0003_L_0308.jpg")</f>
        <v>1211_20240610_0003_L_0308.jpg</v>
      </c>
      <c r="G1214">
        <v>2</v>
      </c>
      <c r="I1214">
        <f t="shared" si="18"/>
        <v>1</v>
      </c>
      <c r="J1214" s="58">
        <v>1</v>
      </c>
      <c r="K1214" s="32"/>
      <c r="L1214" s="32"/>
      <c r="M1214" s="32"/>
      <c r="N1214" s="32"/>
      <c r="O1214">
        <v>1</v>
      </c>
      <c r="P1214" s="58">
        <v>0</v>
      </c>
      <c r="Q1214" s="58">
        <v>0</v>
      </c>
      <c r="R1214" s="58">
        <v>0</v>
      </c>
      <c r="S1214" s="58">
        <v>0</v>
      </c>
      <c r="T1214" s="58">
        <v>0</v>
      </c>
      <c r="U1214" s="58">
        <v>0</v>
      </c>
      <c r="V1214" s="58">
        <v>0</v>
      </c>
      <c r="W1214" s="4">
        <v>0</v>
      </c>
    </row>
    <row r="1215" spans="1:23" x14ac:dyDescent="0.35">
      <c r="A1215">
        <v>1211</v>
      </c>
      <c r="B1215">
        <v>1212</v>
      </c>
      <c r="C1215">
        <v>146.05161860000001</v>
      </c>
      <c r="D1215">
        <v>-17.524218749999999</v>
      </c>
      <c r="F1215" t="str">
        <f>HYPERLINK("D:\Data From Lucan\2024\Johnstone\Frames_for_Analysis\1212_20240610_0003_L_0314.jpg","1212_20240610_0003_L_0314.jpg")</f>
        <v>1212_20240610_0003_L_0314.jpg</v>
      </c>
      <c r="G1215">
        <v>2</v>
      </c>
      <c r="I1215">
        <f t="shared" si="18"/>
        <v>1</v>
      </c>
      <c r="J1215" s="58">
        <v>1</v>
      </c>
      <c r="K1215" s="32"/>
      <c r="L1215" s="32"/>
      <c r="M1215" s="32"/>
      <c r="N1215" s="32"/>
      <c r="O1215">
        <v>1</v>
      </c>
      <c r="P1215" s="58">
        <v>0</v>
      </c>
      <c r="Q1215" s="58">
        <v>0</v>
      </c>
      <c r="R1215" s="58">
        <v>0</v>
      </c>
      <c r="S1215" s="58">
        <v>0</v>
      </c>
      <c r="T1215" s="58">
        <v>0</v>
      </c>
      <c r="U1215" s="58">
        <v>0</v>
      </c>
      <c r="V1215" s="58">
        <v>0</v>
      </c>
      <c r="W1215" s="4">
        <v>0</v>
      </c>
    </row>
    <row r="1216" spans="1:23" x14ac:dyDescent="0.35">
      <c r="A1216">
        <v>1212</v>
      </c>
      <c r="B1216">
        <v>1213</v>
      </c>
      <c r="C1216">
        <v>146.0515259</v>
      </c>
      <c r="D1216">
        <v>-17.524236169999998</v>
      </c>
      <c r="F1216" t="str">
        <f>HYPERLINK("D:\Data From Lucan\2024\Johnstone\Frames_for_Analysis\1213_20240610_0003_L_0321.jpg","1213_20240610_0003_L_0321.jpg")</f>
        <v>1213_20240610_0003_L_0321.jpg</v>
      </c>
      <c r="G1216">
        <v>2</v>
      </c>
      <c r="I1216">
        <v>0</v>
      </c>
      <c r="J1216" s="58">
        <v>2</v>
      </c>
      <c r="K1216" s="32"/>
      <c r="L1216" s="32"/>
      <c r="M1216" s="32"/>
      <c r="N1216" s="32"/>
      <c r="O1216">
        <v>1</v>
      </c>
      <c r="P1216" s="58">
        <v>0</v>
      </c>
      <c r="Q1216" s="58">
        <v>0</v>
      </c>
      <c r="R1216" s="58">
        <v>0</v>
      </c>
      <c r="S1216" s="58">
        <v>0</v>
      </c>
      <c r="T1216" s="58">
        <v>0</v>
      </c>
      <c r="U1216" s="58">
        <v>0</v>
      </c>
      <c r="V1216" s="58">
        <v>0</v>
      </c>
      <c r="W1216" s="4">
        <v>0</v>
      </c>
    </row>
    <row r="1217" spans="1:23" x14ac:dyDescent="0.35">
      <c r="A1217">
        <v>1213</v>
      </c>
      <c r="B1217">
        <v>1214</v>
      </c>
      <c r="C1217">
        <v>146.05143330000001</v>
      </c>
      <c r="D1217">
        <v>-17.524253600000002</v>
      </c>
      <c r="F1217" t="str">
        <f>HYPERLINK("D:\Data From Lucan\2024\Johnstone\Frames_for_Analysis\1214_20240610_0003_L_0327.jpg","1214_20240610_0003_L_0327.jpg")</f>
        <v>1214_20240610_0003_L_0327.jpg</v>
      </c>
      <c r="G1217">
        <v>2</v>
      </c>
      <c r="I1217">
        <f t="shared" si="18"/>
        <v>1</v>
      </c>
      <c r="J1217" s="58">
        <v>1</v>
      </c>
      <c r="K1217" s="32"/>
      <c r="L1217" s="32"/>
      <c r="M1217" s="32"/>
      <c r="N1217" s="32"/>
      <c r="O1217">
        <v>1</v>
      </c>
      <c r="P1217" s="58">
        <v>0</v>
      </c>
      <c r="Q1217" s="58">
        <v>0</v>
      </c>
      <c r="R1217" s="58">
        <v>0</v>
      </c>
      <c r="S1217" s="58">
        <v>0</v>
      </c>
      <c r="T1217" s="58">
        <v>0</v>
      </c>
      <c r="U1217" s="58">
        <v>0</v>
      </c>
      <c r="V1217" s="58">
        <v>0</v>
      </c>
      <c r="W1217" s="4">
        <v>0</v>
      </c>
    </row>
    <row r="1218" spans="1:23" x14ac:dyDescent="0.35">
      <c r="A1218">
        <v>1214</v>
      </c>
      <c r="B1218">
        <v>1215</v>
      </c>
      <c r="C1218">
        <v>146.0513406</v>
      </c>
      <c r="D1218">
        <v>-17.52427102</v>
      </c>
      <c r="F1218" t="str">
        <f>HYPERLINK("D:\Data From Lucan\2024\Johnstone\Frames_for_Analysis\1215_20240610_0003_L_0335.jpg","1215_20240610_0003_L_0335.jpg")</f>
        <v>1215_20240610_0003_L_0335.jpg</v>
      </c>
      <c r="G1218">
        <v>2</v>
      </c>
      <c r="I1218">
        <v>0</v>
      </c>
      <c r="J1218" s="58">
        <v>2</v>
      </c>
      <c r="K1218" s="32"/>
      <c r="L1218" s="32"/>
      <c r="M1218" s="32"/>
      <c r="N1218" s="32"/>
      <c r="O1218">
        <v>1</v>
      </c>
      <c r="P1218" s="58">
        <v>0</v>
      </c>
      <c r="Q1218" s="58">
        <v>0</v>
      </c>
      <c r="R1218" s="58">
        <v>0</v>
      </c>
      <c r="S1218" s="58">
        <v>0</v>
      </c>
      <c r="T1218" s="58">
        <v>0</v>
      </c>
      <c r="U1218" s="58">
        <v>0</v>
      </c>
      <c r="V1218" s="58">
        <v>0</v>
      </c>
      <c r="W1218" s="4">
        <v>0</v>
      </c>
    </row>
    <row r="1219" spans="1:23" x14ac:dyDescent="0.35">
      <c r="A1219">
        <v>1215</v>
      </c>
      <c r="B1219">
        <v>1216</v>
      </c>
      <c r="C1219">
        <v>146.0512468</v>
      </c>
      <c r="D1219">
        <v>-17.524280650000001</v>
      </c>
      <c r="F1219" t="str">
        <f>HYPERLINK("D:\Data From Lucan\2024\Johnstone\Frames_for_Analysis\1216_20240610_0003_L_0341.jpg","1216_20240610_0003_L_0341.jpg")</f>
        <v>1216_20240610_0003_L_0341.jpg</v>
      </c>
      <c r="G1219">
        <v>2</v>
      </c>
      <c r="I1219">
        <f t="shared" si="18"/>
        <v>1</v>
      </c>
      <c r="J1219" s="58">
        <v>1</v>
      </c>
      <c r="K1219" s="32"/>
      <c r="L1219" s="32"/>
      <c r="M1219" s="32"/>
      <c r="N1219" s="32"/>
      <c r="O1219">
        <v>1</v>
      </c>
      <c r="P1219" s="58">
        <v>0</v>
      </c>
      <c r="Q1219" s="58">
        <v>0</v>
      </c>
      <c r="R1219" s="58">
        <v>0</v>
      </c>
      <c r="S1219" s="58">
        <v>0</v>
      </c>
      <c r="T1219" s="58">
        <v>0</v>
      </c>
      <c r="U1219" s="58">
        <v>0</v>
      </c>
      <c r="V1219" s="58">
        <v>0</v>
      </c>
      <c r="W1219" s="4">
        <v>0</v>
      </c>
    </row>
    <row r="1220" spans="1:23" x14ac:dyDescent="0.35">
      <c r="A1220">
        <v>1216</v>
      </c>
      <c r="B1220">
        <v>1217</v>
      </c>
      <c r="C1220">
        <v>146.0511549</v>
      </c>
      <c r="D1220">
        <v>-17.524299360000001</v>
      </c>
      <c r="F1220" t="str">
        <f>HYPERLINK("D:\Data From Lucan\2024\Johnstone\Frames_for_Analysis\1217_20240610_0003_L_0349.jpg","1217_20240610_0003_L_0349.jpg")</f>
        <v>1217_20240610_0003_L_0349.jpg</v>
      </c>
      <c r="G1220">
        <v>3</v>
      </c>
      <c r="I1220">
        <f t="shared" si="18"/>
        <v>1</v>
      </c>
      <c r="J1220" s="58">
        <v>1</v>
      </c>
      <c r="K1220" s="32"/>
      <c r="L1220" s="32"/>
      <c r="M1220" s="32"/>
      <c r="N1220" s="32"/>
      <c r="O1220">
        <v>1</v>
      </c>
      <c r="P1220" s="58">
        <v>0</v>
      </c>
      <c r="Q1220" s="58">
        <v>0</v>
      </c>
      <c r="R1220" s="58">
        <v>0</v>
      </c>
      <c r="S1220" s="58">
        <v>0</v>
      </c>
      <c r="T1220" s="58">
        <v>0</v>
      </c>
      <c r="U1220" s="58">
        <v>0</v>
      </c>
      <c r="V1220" s="58">
        <v>0</v>
      </c>
      <c r="W1220" s="4">
        <v>0</v>
      </c>
    </row>
    <row r="1221" spans="1:23" x14ac:dyDescent="0.35">
      <c r="A1221">
        <v>1217</v>
      </c>
      <c r="B1221">
        <v>1218</v>
      </c>
      <c r="C1221">
        <v>146.05107430000001</v>
      </c>
      <c r="D1221">
        <v>-17.52434646</v>
      </c>
      <c r="F1221" t="str">
        <f>HYPERLINK("D:\Data From Lucan\2024\Johnstone\Frames_for_Analysis\1218_20240610_0003_L_0354.jpg","1218_20240610_0003_L_0354.jpg")</f>
        <v>1218_20240610_0003_L_0354.jpg</v>
      </c>
      <c r="G1221">
        <v>3</v>
      </c>
      <c r="I1221">
        <f t="shared" ref="I1221:I1284" si="19">IF(H1221="X","X",IF(J1221="NA","X",IF(J1221="","X",J1221)))</f>
        <v>1</v>
      </c>
      <c r="J1221" s="58">
        <v>1</v>
      </c>
      <c r="K1221" s="32"/>
      <c r="L1221" s="32"/>
      <c r="M1221" s="32"/>
      <c r="N1221" s="32"/>
      <c r="O1221">
        <v>1</v>
      </c>
      <c r="P1221" s="58">
        <v>0</v>
      </c>
      <c r="Q1221" s="58">
        <v>0</v>
      </c>
      <c r="R1221" s="58">
        <v>0</v>
      </c>
      <c r="S1221" s="58">
        <v>0</v>
      </c>
      <c r="T1221" s="58">
        <v>0</v>
      </c>
      <c r="U1221" s="58">
        <v>0</v>
      </c>
      <c r="V1221" s="58">
        <v>0</v>
      </c>
      <c r="W1221" s="4">
        <v>0</v>
      </c>
    </row>
    <row r="1222" spans="1:23" x14ac:dyDescent="0.35">
      <c r="A1222">
        <v>1218</v>
      </c>
      <c r="B1222">
        <v>1219</v>
      </c>
      <c r="C1222">
        <v>146.05099730000001</v>
      </c>
      <c r="D1222">
        <v>-17.5244009</v>
      </c>
      <c r="F1222" t="str">
        <f>HYPERLINK("D:\Data From Lucan\2024\Johnstone\Frames_for_Analysis\1219_20240610_0003_L_0363.jpg","1219_20240610_0003_L_0363.jpg")</f>
        <v>1219_20240610_0003_L_0363.jpg</v>
      </c>
      <c r="G1222">
        <v>3</v>
      </c>
      <c r="I1222">
        <f t="shared" si="19"/>
        <v>1</v>
      </c>
      <c r="J1222" s="58">
        <v>1</v>
      </c>
      <c r="K1222" s="32"/>
      <c r="L1222" s="32"/>
      <c r="M1222" s="32"/>
      <c r="N1222" s="32"/>
      <c r="O1222">
        <v>1</v>
      </c>
      <c r="P1222" s="58">
        <v>0</v>
      </c>
      <c r="Q1222" s="58">
        <v>0</v>
      </c>
      <c r="R1222" s="58">
        <v>0</v>
      </c>
      <c r="S1222" s="58">
        <v>0</v>
      </c>
      <c r="T1222" s="58">
        <v>0</v>
      </c>
      <c r="U1222" s="58">
        <v>0</v>
      </c>
      <c r="V1222" s="58">
        <v>0</v>
      </c>
      <c r="W1222" s="4">
        <v>0</v>
      </c>
    </row>
    <row r="1223" spans="1:23" x14ac:dyDescent="0.35">
      <c r="A1223">
        <v>1219</v>
      </c>
      <c r="B1223">
        <v>1220</v>
      </c>
      <c r="C1223">
        <v>146.05091490000001</v>
      </c>
      <c r="D1223">
        <v>-17.524446650000002</v>
      </c>
      <c r="F1223" t="str">
        <f>HYPERLINK("D:\Data From Lucan\2024\Johnstone\Frames_for_Analysis\1220_20240610_0003_L_0376.jpg","1220_20240610_0003_L_0376.jpg")</f>
        <v>1220_20240610_0003_L_0376.jpg</v>
      </c>
      <c r="G1223">
        <v>3</v>
      </c>
      <c r="I1223">
        <f t="shared" si="19"/>
        <v>1</v>
      </c>
      <c r="J1223" s="58">
        <v>1</v>
      </c>
      <c r="K1223" s="32"/>
      <c r="L1223" s="32"/>
      <c r="M1223" s="32"/>
      <c r="N1223" s="32"/>
      <c r="O1223">
        <v>1</v>
      </c>
      <c r="P1223" s="58">
        <v>0</v>
      </c>
      <c r="Q1223" s="58">
        <v>0</v>
      </c>
      <c r="R1223" s="58">
        <v>0</v>
      </c>
      <c r="S1223" s="58">
        <v>0</v>
      </c>
      <c r="T1223" s="58">
        <v>0</v>
      </c>
      <c r="U1223" s="58">
        <v>0</v>
      </c>
      <c r="V1223" s="58">
        <v>0</v>
      </c>
      <c r="W1223" s="4">
        <v>0</v>
      </c>
    </row>
    <row r="1224" spans="1:23" x14ac:dyDescent="0.35">
      <c r="A1224">
        <v>1220</v>
      </c>
      <c r="B1224">
        <v>1221</v>
      </c>
      <c r="C1224">
        <v>146.0508318</v>
      </c>
      <c r="D1224">
        <v>-17.524491309999998</v>
      </c>
      <c r="F1224" t="str">
        <f>HYPERLINK("D:\Data From Lucan\2024\Johnstone\Frames_for_Analysis\1221_20240610_0003_L_0381.jpg","1221_20240610_0003_L_0381.jpg")</f>
        <v>1221_20240610_0003_L_0381.jpg</v>
      </c>
      <c r="G1224">
        <v>3</v>
      </c>
      <c r="I1224">
        <f t="shared" si="19"/>
        <v>1</v>
      </c>
      <c r="J1224" s="58">
        <v>1</v>
      </c>
      <c r="K1224" s="32"/>
      <c r="L1224" s="32"/>
      <c r="M1224" s="32"/>
      <c r="N1224" s="32"/>
      <c r="O1224">
        <v>1</v>
      </c>
      <c r="P1224" s="58">
        <v>0</v>
      </c>
      <c r="Q1224" s="58">
        <v>0</v>
      </c>
      <c r="R1224" s="58">
        <v>0</v>
      </c>
      <c r="S1224" s="58">
        <v>0</v>
      </c>
      <c r="T1224" s="58">
        <v>0</v>
      </c>
      <c r="U1224" s="58">
        <v>0</v>
      </c>
      <c r="V1224" s="58">
        <v>0</v>
      </c>
      <c r="W1224" s="4">
        <v>0</v>
      </c>
    </row>
    <row r="1225" spans="1:23" x14ac:dyDescent="0.35">
      <c r="A1225">
        <v>1221</v>
      </c>
      <c r="B1225">
        <v>1222</v>
      </c>
      <c r="C1225">
        <v>146.05074880000001</v>
      </c>
      <c r="D1225">
        <v>-17.524535969999999</v>
      </c>
      <c r="F1225" t="str">
        <f>HYPERLINK("D:\Data From Lucan\2024\Johnstone\Frames_for_Analysis\1222_20240610_0003_L_0387.jpg","1222_20240610_0003_L_0387.jpg")</f>
        <v>1222_20240610_0003_L_0387.jpg</v>
      </c>
      <c r="G1225">
        <v>3</v>
      </c>
      <c r="I1225">
        <f t="shared" si="19"/>
        <v>1</v>
      </c>
      <c r="J1225" s="58">
        <v>1</v>
      </c>
      <c r="K1225" s="32"/>
      <c r="L1225" s="32"/>
      <c r="M1225" s="32"/>
      <c r="N1225" s="32"/>
      <c r="O1225">
        <v>1</v>
      </c>
      <c r="P1225" s="58">
        <v>0</v>
      </c>
      <c r="Q1225" s="58">
        <v>0</v>
      </c>
      <c r="R1225" s="58">
        <v>0</v>
      </c>
      <c r="S1225" s="58">
        <v>0</v>
      </c>
      <c r="T1225" s="58">
        <v>0</v>
      </c>
      <c r="U1225" s="58">
        <v>0</v>
      </c>
      <c r="V1225" s="58">
        <v>0</v>
      </c>
      <c r="W1225" s="4">
        <v>0</v>
      </c>
    </row>
    <row r="1226" spans="1:23" x14ac:dyDescent="0.35">
      <c r="A1226">
        <v>1222</v>
      </c>
      <c r="B1226">
        <v>1223</v>
      </c>
      <c r="C1226">
        <v>146.05066869999999</v>
      </c>
      <c r="D1226">
        <v>-17.524585330000001</v>
      </c>
      <c r="F1226" t="str">
        <f>HYPERLINK("D:\Data From Lucan\2024\Johnstone\Frames_for_Analysis\1223_20240610_0003_L_0392.jpg","1223_20240610_0003_L_0392.jpg")</f>
        <v>1223_20240610_0003_L_0392.jpg</v>
      </c>
      <c r="G1226">
        <v>3</v>
      </c>
      <c r="I1226">
        <v>0</v>
      </c>
      <c r="J1226" s="58">
        <v>2</v>
      </c>
      <c r="K1226" s="32"/>
      <c r="L1226" s="32"/>
      <c r="M1226" s="32"/>
      <c r="N1226" s="32"/>
      <c r="O1226">
        <v>1</v>
      </c>
      <c r="P1226" s="58">
        <v>0</v>
      </c>
      <c r="Q1226" s="58">
        <v>0</v>
      </c>
      <c r="R1226" s="58">
        <v>0</v>
      </c>
      <c r="S1226" s="58">
        <v>0</v>
      </c>
      <c r="T1226" s="58">
        <v>0</v>
      </c>
      <c r="U1226" s="58">
        <v>0</v>
      </c>
      <c r="V1226" s="58">
        <v>0</v>
      </c>
      <c r="W1226" s="4">
        <v>0</v>
      </c>
    </row>
    <row r="1227" spans="1:23" x14ac:dyDescent="0.35">
      <c r="A1227">
        <v>1223</v>
      </c>
      <c r="B1227">
        <v>1224</v>
      </c>
      <c r="C1227">
        <v>146.0505928</v>
      </c>
      <c r="D1227">
        <v>-17.52464136</v>
      </c>
      <c r="F1227" t="str">
        <f>HYPERLINK("D:\Data From Lucan\2024\Johnstone\Frames_for_Analysis\1224_20240610_0003_L_0399.jpg","1224_20240610_0003_L_0399.jpg")</f>
        <v>1224_20240610_0003_L_0399.jpg</v>
      </c>
      <c r="G1227">
        <v>3</v>
      </c>
      <c r="I1227">
        <v>0</v>
      </c>
      <c r="J1227" s="58">
        <v>2</v>
      </c>
      <c r="K1227" s="32"/>
      <c r="L1227" s="32"/>
      <c r="M1227" s="32"/>
      <c r="N1227" s="32"/>
      <c r="O1227">
        <v>1</v>
      </c>
      <c r="P1227" s="58">
        <v>0</v>
      </c>
      <c r="Q1227" s="58">
        <v>0</v>
      </c>
      <c r="R1227" s="58">
        <v>0</v>
      </c>
      <c r="S1227" s="58">
        <v>0</v>
      </c>
      <c r="T1227" s="58">
        <v>0</v>
      </c>
      <c r="U1227" s="58">
        <v>0</v>
      </c>
      <c r="V1227" s="58">
        <v>0</v>
      </c>
      <c r="W1227" s="4">
        <v>0</v>
      </c>
    </row>
    <row r="1228" spans="1:23" x14ac:dyDescent="0.35">
      <c r="A1228">
        <v>1224</v>
      </c>
      <c r="B1228">
        <v>1225</v>
      </c>
      <c r="C1228">
        <v>146.05051700000001</v>
      </c>
      <c r="D1228">
        <v>-17.52469739</v>
      </c>
      <c r="F1228" t="str">
        <f>HYPERLINK("D:\Data From Lucan\2024\Johnstone\Frames_for_Analysis\1225_20240610_0003_L_0405.jpg","1225_20240610_0003_L_0405.jpg")</f>
        <v>1225_20240610_0003_L_0405.jpg</v>
      </c>
      <c r="G1228">
        <v>3</v>
      </c>
      <c r="I1228">
        <f t="shared" si="19"/>
        <v>1</v>
      </c>
      <c r="J1228" s="58">
        <v>1</v>
      </c>
      <c r="K1228" s="32"/>
      <c r="L1228" s="32"/>
      <c r="M1228" s="32"/>
      <c r="N1228" s="32"/>
      <c r="O1228">
        <v>1</v>
      </c>
      <c r="P1228" s="58">
        <v>0</v>
      </c>
      <c r="Q1228" s="58">
        <v>0</v>
      </c>
      <c r="R1228" s="58">
        <v>0</v>
      </c>
      <c r="S1228" s="58">
        <v>0</v>
      </c>
      <c r="T1228" s="58">
        <v>0</v>
      </c>
      <c r="U1228" s="58">
        <v>0</v>
      </c>
      <c r="V1228" s="58">
        <v>0</v>
      </c>
      <c r="W1228" s="4">
        <v>0</v>
      </c>
    </row>
    <row r="1229" spans="1:23" x14ac:dyDescent="0.35">
      <c r="A1229">
        <v>1225</v>
      </c>
      <c r="B1229">
        <v>1226</v>
      </c>
      <c r="C1229">
        <v>146.0504411</v>
      </c>
      <c r="D1229">
        <v>-17.52475342</v>
      </c>
      <c r="F1229" t="str">
        <f>HYPERLINK("D:\Data From Lucan\2024\Johnstone\Frames_for_Analysis\1226_20240610_0003_L_0408.jpg","1226_20240610_0003_L_0408.jpg")</f>
        <v>1226_20240610_0003_L_0408.jpg</v>
      </c>
      <c r="G1229">
        <v>3</v>
      </c>
      <c r="I1229">
        <v>0</v>
      </c>
      <c r="J1229" s="58">
        <v>2</v>
      </c>
      <c r="K1229" s="32"/>
      <c r="L1229" s="32"/>
      <c r="M1229" s="32"/>
      <c r="N1229" s="32"/>
      <c r="O1229">
        <v>1</v>
      </c>
      <c r="P1229" s="58">
        <v>0</v>
      </c>
      <c r="Q1229" s="58">
        <v>0</v>
      </c>
      <c r="R1229" s="58">
        <v>0</v>
      </c>
      <c r="S1229" s="58">
        <v>0</v>
      </c>
      <c r="T1229" s="58">
        <v>0</v>
      </c>
      <c r="U1229" s="58">
        <v>0</v>
      </c>
      <c r="V1229" s="58">
        <v>0</v>
      </c>
      <c r="W1229" s="4">
        <v>0</v>
      </c>
    </row>
    <row r="1230" spans="1:23" x14ac:dyDescent="0.35">
      <c r="A1230">
        <v>1226</v>
      </c>
      <c r="B1230">
        <v>1227</v>
      </c>
      <c r="C1230">
        <v>146.05036530000001</v>
      </c>
      <c r="D1230">
        <v>-17.524809449999999</v>
      </c>
      <c r="F1230" t="str">
        <f>HYPERLINK("D:\Data From Lucan\2024\Johnstone\Frames_for_Analysis\1227_20240610_0003_L_0413.jpg","1227_20240610_0003_L_0413.jpg")</f>
        <v>1227_20240610_0003_L_0413.jpg</v>
      </c>
      <c r="G1230">
        <v>3</v>
      </c>
      <c r="I1230">
        <v>0</v>
      </c>
      <c r="J1230" s="58">
        <v>2</v>
      </c>
      <c r="K1230" s="32"/>
      <c r="L1230" s="32"/>
      <c r="M1230" s="32"/>
      <c r="N1230" s="32"/>
      <c r="O1230">
        <v>1</v>
      </c>
      <c r="P1230" s="58">
        <v>0</v>
      </c>
      <c r="Q1230" s="58">
        <v>0</v>
      </c>
      <c r="R1230" s="58">
        <v>0</v>
      </c>
      <c r="S1230" s="58">
        <v>0</v>
      </c>
      <c r="T1230" s="58">
        <v>0</v>
      </c>
      <c r="U1230" s="58">
        <v>0</v>
      </c>
      <c r="V1230" s="58">
        <v>0</v>
      </c>
      <c r="W1230" s="4">
        <v>0</v>
      </c>
    </row>
    <row r="1231" spans="1:23" x14ac:dyDescent="0.35">
      <c r="A1231">
        <v>1227</v>
      </c>
      <c r="B1231">
        <v>1228</v>
      </c>
      <c r="C1231">
        <v>146.05029139999999</v>
      </c>
      <c r="D1231">
        <v>-17.524867700000001</v>
      </c>
      <c r="F1231" t="str">
        <f>HYPERLINK("D:\Data From Lucan\2024\Johnstone\Frames_for_Analysis\1228_20240610_0003_L_0419.jpg","1228_20240610_0003_L_0419.jpg")</f>
        <v>1228_20240610_0003_L_0419.jpg</v>
      </c>
      <c r="G1231">
        <v>3</v>
      </c>
      <c r="I1231">
        <v>0</v>
      </c>
      <c r="J1231" s="58">
        <v>2</v>
      </c>
      <c r="K1231" s="32"/>
      <c r="L1231" s="32"/>
      <c r="M1231" s="32"/>
      <c r="N1231" s="32"/>
      <c r="O1231">
        <v>1</v>
      </c>
      <c r="P1231" s="58">
        <v>0</v>
      </c>
      <c r="Q1231" s="58">
        <v>0</v>
      </c>
      <c r="R1231" s="58">
        <v>0</v>
      </c>
      <c r="S1231" s="58">
        <v>0</v>
      </c>
      <c r="T1231" s="58">
        <v>0</v>
      </c>
      <c r="U1231" s="58">
        <v>0</v>
      </c>
      <c r="V1231" s="58">
        <v>0</v>
      </c>
      <c r="W1231" s="4">
        <v>0</v>
      </c>
    </row>
    <row r="1232" spans="1:23" x14ac:dyDescent="0.35">
      <c r="A1232">
        <v>1228</v>
      </c>
      <c r="B1232">
        <v>1229</v>
      </c>
      <c r="C1232">
        <v>146.0502266</v>
      </c>
      <c r="D1232">
        <v>-17.52493626</v>
      </c>
      <c r="F1232" t="str">
        <f>HYPERLINK("D:\Data From Lucan\2024\Johnstone\Frames_for_Analysis\1229_20240610_0003_L_0427.jpg","1229_20240610_0003_L_0427.jpg")</f>
        <v>1229_20240610_0003_L_0427.jpg</v>
      </c>
      <c r="G1232">
        <v>3</v>
      </c>
      <c r="I1232">
        <v>0</v>
      </c>
      <c r="J1232" s="58">
        <v>2</v>
      </c>
      <c r="K1232" s="32"/>
      <c r="L1232" s="32"/>
      <c r="M1232" s="32"/>
      <c r="N1232" s="32"/>
      <c r="O1232">
        <v>1</v>
      </c>
      <c r="P1232" s="58">
        <v>0</v>
      </c>
      <c r="Q1232" s="58">
        <v>0</v>
      </c>
      <c r="R1232" s="58">
        <v>0</v>
      </c>
      <c r="S1232" s="58">
        <v>0</v>
      </c>
      <c r="T1232" s="58">
        <v>0</v>
      </c>
      <c r="U1232" s="58">
        <v>0</v>
      </c>
      <c r="V1232" s="58">
        <v>0</v>
      </c>
      <c r="W1232" s="4">
        <v>0</v>
      </c>
    </row>
    <row r="1233" spans="1:23" x14ac:dyDescent="0.35">
      <c r="A1233">
        <v>1229</v>
      </c>
      <c r="B1233">
        <v>1230</v>
      </c>
      <c r="C1233">
        <v>146.05016190000001</v>
      </c>
      <c r="D1233">
        <v>-17.525004809999999</v>
      </c>
      <c r="F1233" t="str">
        <f>HYPERLINK("D:\Data From Lucan\2024\Johnstone\Frames_for_Analysis\1230_20240610_0003_L_0433.jpg","1230_20240610_0003_L_0433.jpg")</f>
        <v>1230_20240610_0003_L_0433.jpg</v>
      </c>
      <c r="G1233">
        <v>3</v>
      </c>
      <c r="I1233">
        <f t="shared" si="19"/>
        <v>1</v>
      </c>
      <c r="J1233" s="58">
        <v>1</v>
      </c>
      <c r="K1233" s="32"/>
      <c r="L1233" s="32"/>
      <c r="M1233" s="32"/>
      <c r="N1233" s="32"/>
      <c r="O1233">
        <v>1</v>
      </c>
      <c r="P1233" s="58">
        <v>0</v>
      </c>
      <c r="Q1233" s="58">
        <v>0</v>
      </c>
      <c r="R1233" s="58">
        <v>0</v>
      </c>
      <c r="S1233" s="58">
        <v>0</v>
      </c>
      <c r="T1233" s="58">
        <v>0</v>
      </c>
      <c r="U1233" s="58">
        <v>0</v>
      </c>
      <c r="V1233" s="58">
        <v>0</v>
      </c>
      <c r="W1233" s="4">
        <v>0</v>
      </c>
    </row>
    <row r="1234" spans="1:23" x14ac:dyDescent="0.35">
      <c r="A1234">
        <v>1230</v>
      </c>
      <c r="B1234">
        <v>1231</v>
      </c>
      <c r="C1234">
        <v>146.05009709999999</v>
      </c>
      <c r="D1234">
        <v>-17.525073370000001</v>
      </c>
      <c r="F1234" t="str">
        <f>HYPERLINK("D:\Data From Lucan\2024\Johnstone\Frames_for_Analysis\1231_20240610_0003_L_0440.jpg","1231_20240610_0003_L_0440.jpg")</f>
        <v>1231_20240610_0003_L_0440.jpg</v>
      </c>
      <c r="G1234">
        <v>3</v>
      </c>
      <c r="I1234">
        <v>0</v>
      </c>
      <c r="J1234" s="58">
        <v>2</v>
      </c>
      <c r="K1234" s="32"/>
      <c r="L1234" s="32"/>
      <c r="M1234" s="32"/>
      <c r="N1234" s="32"/>
      <c r="O1234">
        <v>1</v>
      </c>
      <c r="P1234" s="58">
        <v>0</v>
      </c>
      <c r="Q1234" s="58">
        <v>0</v>
      </c>
      <c r="R1234" s="58">
        <v>0</v>
      </c>
      <c r="S1234" s="58">
        <v>0</v>
      </c>
      <c r="T1234" s="58">
        <v>0</v>
      </c>
      <c r="U1234" s="58">
        <v>0</v>
      </c>
      <c r="V1234" s="58">
        <v>0</v>
      </c>
      <c r="W1234" s="4">
        <v>0</v>
      </c>
    </row>
    <row r="1235" spans="1:23" x14ac:dyDescent="0.35">
      <c r="A1235">
        <v>1231</v>
      </c>
      <c r="B1235">
        <v>1232</v>
      </c>
      <c r="C1235">
        <v>146.0500323</v>
      </c>
      <c r="D1235">
        <v>-17.525141919999999</v>
      </c>
      <c r="F1235" t="str">
        <f>HYPERLINK("D:\Data From Lucan\2024\Johnstone\Frames_for_Analysis\1232_20240610_0003_L_0445.jpg","1232_20240610_0003_L_0445.jpg")</f>
        <v>1232_20240610_0003_L_0445.jpg</v>
      </c>
      <c r="G1235">
        <v>3</v>
      </c>
      <c r="I1235">
        <v>0</v>
      </c>
      <c r="J1235" s="58">
        <v>2</v>
      </c>
      <c r="K1235" s="32"/>
      <c r="L1235" s="32"/>
      <c r="M1235" s="32"/>
      <c r="N1235" s="32"/>
      <c r="O1235">
        <v>1</v>
      </c>
      <c r="P1235" s="58">
        <v>0</v>
      </c>
      <c r="Q1235" s="58">
        <v>0</v>
      </c>
      <c r="R1235" s="58">
        <v>0</v>
      </c>
      <c r="S1235" s="58">
        <v>0</v>
      </c>
      <c r="T1235" s="58">
        <v>0</v>
      </c>
      <c r="U1235" s="58">
        <v>0</v>
      </c>
      <c r="V1235" s="58">
        <v>0</v>
      </c>
      <c r="W1235" s="4">
        <v>0</v>
      </c>
    </row>
    <row r="1236" spans="1:23" x14ac:dyDescent="0.35">
      <c r="A1236">
        <v>1232</v>
      </c>
      <c r="B1236">
        <v>1233</v>
      </c>
      <c r="C1236">
        <v>146.0499676</v>
      </c>
      <c r="D1236">
        <v>-17.525210470000001</v>
      </c>
      <c r="F1236" t="str">
        <f>HYPERLINK("D:\Data From Lucan\2024\Johnstone\Frames_for_Analysis\1233_20240610_0003_L_0452.jpg","1233_20240610_0003_L_0452.jpg")</f>
        <v>1233_20240610_0003_L_0452.jpg</v>
      </c>
      <c r="G1236">
        <v>3</v>
      </c>
      <c r="I1236">
        <v>0</v>
      </c>
      <c r="J1236" s="58">
        <v>2</v>
      </c>
      <c r="K1236" s="32"/>
      <c r="L1236" s="32"/>
      <c r="M1236" s="32"/>
      <c r="N1236" s="32"/>
      <c r="O1236">
        <v>1</v>
      </c>
      <c r="P1236" s="58">
        <v>0</v>
      </c>
      <c r="Q1236" s="58">
        <v>0</v>
      </c>
      <c r="R1236" s="58">
        <v>0</v>
      </c>
      <c r="S1236" s="58">
        <v>0</v>
      </c>
      <c r="T1236" s="58">
        <v>0</v>
      </c>
      <c r="U1236" s="58">
        <v>0</v>
      </c>
      <c r="V1236" s="58">
        <v>0</v>
      </c>
      <c r="W1236" s="4">
        <v>0</v>
      </c>
    </row>
    <row r="1237" spans="1:23" x14ac:dyDescent="0.35">
      <c r="A1237">
        <v>1233</v>
      </c>
      <c r="B1237">
        <v>1234</v>
      </c>
      <c r="C1237">
        <v>146.04990280000001</v>
      </c>
      <c r="D1237">
        <v>-17.525279000000001</v>
      </c>
      <c r="F1237" t="str">
        <f>HYPERLINK("D:\Data From Lucan\2024\Johnstone\Frames_for_Analysis\1234_20240610_0003_L_0461.jpg","1234_20240610_0003_L_0461.jpg")</f>
        <v>1234_20240610_0003_L_0461.jpg</v>
      </c>
      <c r="G1237">
        <v>3</v>
      </c>
      <c r="I1237">
        <f t="shared" si="19"/>
        <v>1</v>
      </c>
      <c r="J1237" s="58">
        <v>1</v>
      </c>
      <c r="K1237" s="32"/>
      <c r="L1237" s="32"/>
      <c r="M1237" s="32"/>
      <c r="N1237" s="32"/>
      <c r="O1237">
        <v>1</v>
      </c>
      <c r="P1237" s="58">
        <v>0</v>
      </c>
      <c r="Q1237" s="58">
        <v>0</v>
      </c>
      <c r="R1237" s="58">
        <v>0</v>
      </c>
      <c r="S1237" s="58">
        <v>0</v>
      </c>
      <c r="T1237" s="58">
        <v>0</v>
      </c>
      <c r="U1237" s="58">
        <v>0</v>
      </c>
      <c r="V1237" s="58">
        <v>0</v>
      </c>
      <c r="W1237" s="4">
        <v>0</v>
      </c>
    </row>
    <row r="1238" spans="1:23" x14ac:dyDescent="0.35">
      <c r="A1238">
        <v>1234</v>
      </c>
      <c r="B1238">
        <v>1235</v>
      </c>
      <c r="C1238">
        <v>146.04983799999999</v>
      </c>
      <c r="D1238">
        <v>-17.52534747</v>
      </c>
      <c r="F1238" t="str">
        <f>HYPERLINK("D:\Data From Lucan\2024\Johnstone\Frames_for_Analysis\1235_20240610_0003_L_0471.jpg","1235_20240610_0003_L_0471.jpg")</f>
        <v>1235_20240610_0003_L_0471.jpg</v>
      </c>
      <c r="G1238">
        <v>3</v>
      </c>
      <c r="I1238">
        <v>0</v>
      </c>
      <c r="J1238" s="58">
        <v>2</v>
      </c>
      <c r="K1238" s="32"/>
      <c r="L1238" s="32"/>
      <c r="M1238" s="32"/>
      <c r="N1238" s="32"/>
      <c r="O1238">
        <v>1</v>
      </c>
      <c r="P1238" s="58">
        <v>0</v>
      </c>
      <c r="Q1238" s="58">
        <v>0</v>
      </c>
      <c r="R1238" s="58">
        <v>0</v>
      </c>
      <c r="S1238" s="58">
        <v>0</v>
      </c>
      <c r="T1238" s="58">
        <v>0</v>
      </c>
      <c r="U1238" s="58">
        <v>0</v>
      </c>
      <c r="V1238" s="58">
        <v>0</v>
      </c>
      <c r="W1238" s="4">
        <v>0</v>
      </c>
    </row>
    <row r="1239" spans="1:23" x14ac:dyDescent="0.35">
      <c r="A1239">
        <v>1235</v>
      </c>
      <c r="B1239">
        <v>1236</v>
      </c>
      <c r="C1239">
        <v>146.04977310000001</v>
      </c>
      <c r="D1239">
        <v>-17.525415939999998</v>
      </c>
      <c r="F1239" t="str">
        <f>HYPERLINK("D:\Data From Lucan\2024\Johnstone\Frames_for_Analysis\1236_20240610_0003_L_0479.jpg","1236_20240610_0003_L_0479.jpg")</f>
        <v>1236_20240610_0003_L_0479.jpg</v>
      </c>
      <c r="G1239">
        <v>3</v>
      </c>
      <c r="I1239">
        <v>0</v>
      </c>
      <c r="J1239" s="58">
        <v>2</v>
      </c>
      <c r="K1239" s="32"/>
      <c r="L1239" s="32"/>
      <c r="M1239" s="32"/>
      <c r="N1239" s="32"/>
      <c r="O1239">
        <v>1</v>
      </c>
      <c r="P1239" s="58">
        <v>0</v>
      </c>
      <c r="Q1239" s="58">
        <v>0</v>
      </c>
      <c r="R1239" s="58">
        <v>0</v>
      </c>
      <c r="S1239" s="58">
        <v>0</v>
      </c>
      <c r="T1239" s="58">
        <v>0</v>
      </c>
      <c r="U1239" s="58">
        <v>0</v>
      </c>
      <c r="V1239" s="58">
        <v>0</v>
      </c>
      <c r="W1239" s="4">
        <v>0</v>
      </c>
    </row>
    <row r="1240" spans="1:23" x14ac:dyDescent="0.35">
      <c r="A1240">
        <v>1236</v>
      </c>
      <c r="B1240">
        <v>1237</v>
      </c>
      <c r="C1240">
        <v>146.04970829999999</v>
      </c>
      <c r="D1240">
        <v>-17.525484410000001</v>
      </c>
      <c r="F1240" t="str">
        <f>HYPERLINK("D:\Data From Lucan\2024\Johnstone\Frames_for_Analysis\1237_20240610_0003_L_0490.jpg","1237_20240610_0003_L_0490.jpg")</f>
        <v>1237_20240610_0003_L_0490.jpg</v>
      </c>
      <c r="G1240">
        <v>3</v>
      </c>
      <c r="I1240">
        <f t="shared" si="19"/>
        <v>1</v>
      </c>
      <c r="J1240" s="58">
        <v>1</v>
      </c>
      <c r="K1240" s="32"/>
      <c r="L1240" s="32"/>
      <c r="M1240" s="32"/>
      <c r="N1240" s="32"/>
      <c r="O1240">
        <v>1</v>
      </c>
      <c r="P1240" s="58">
        <v>0</v>
      </c>
      <c r="Q1240" s="58">
        <v>0</v>
      </c>
      <c r="R1240" s="58">
        <v>0</v>
      </c>
      <c r="S1240" s="58">
        <v>0</v>
      </c>
      <c r="T1240" s="58">
        <v>0</v>
      </c>
      <c r="U1240" s="58">
        <v>0</v>
      </c>
      <c r="V1240" s="58">
        <v>0</v>
      </c>
      <c r="W1240" s="4">
        <v>0</v>
      </c>
    </row>
    <row r="1241" spans="1:23" x14ac:dyDescent="0.35">
      <c r="A1241">
        <v>1237</v>
      </c>
      <c r="B1241">
        <v>1238</v>
      </c>
      <c r="C1241">
        <v>146.04964200000001</v>
      </c>
      <c r="D1241">
        <v>-17.525551409999998</v>
      </c>
      <c r="F1241" t="str">
        <f>HYPERLINK("D:\Data From Lucan\2024\Johnstone\Frames_for_Analysis\1238_20240610_0003_L_0497.jpg","1238_20240610_0003_L_0497.jpg")</f>
        <v>1238_20240610_0003_L_0497.jpg</v>
      </c>
      <c r="G1241">
        <v>3</v>
      </c>
      <c r="I1241">
        <v>0</v>
      </c>
      <c r="J1241" s="58">
        <v>2</v>
      </c>
      <c r="K1241" s="32"/>
      <c r="L1241" s="32"/>
      <c r="M1241" s="32"/>
      <c r="N1241" s="32"/>
      <c r="O1241">
        <v>1</v>
      </c>
      <c r="P1241" s="58">
        <v>0</v>
      </c>
      <c r="Q1241" s="58">
        <v>0</v>
      </c>
      <c r="R1241" s="58">
        <v>0</v>
      </c>
      <c r="S1241" s="58">
        <v>0</v>
      </c>
      <c r="T1241" s="58">
        <v>0</v>
      </c>
      <c r="U1241" s="58">
        <v>0</v>
      </c>
      <c r="V1241" s="58">
        <v>0</v>
      </c>
      <c r="W1241" s="4">
        <v>0</v>
      </c>
    </row>
    <row r="1242" spans="1:23" x14ac:dyDescent="0.35">
      <c r="A1242">
        <v>1238</v>
      </c>
      <c r="B1242">
        <v>1239</v>
      </c>
      <c r="C1242">
        <v>146.0495722</v>
      </c>
      <c r="D1242">
        <v>-17.525614869999998</v>
      </c>
      <c r="F1242" t="str">
        <f>HYPERLINK("D:\Data From Lucan\2024\Johnstone\Frames_for_Analysis\1239_20240610_0003_L_0506.jpg","1239_20240610_0003_L_0506.jpg")</f>
        <v>1239_20240610_0003_L_0506.jpg</v>
      </c>
      <c r="G1242">
        <v>3</v>
      </c>
      <c r="I1242">
        <v>0</v>
      </c>
      <c r="J1242" s="58">
        <v>2</v>
      </c>
      <c r="K1242" s="32"/>
      <c r="L1242" s="32"/>
      <c r="M1242" s="32"/>
      <c r="N1242" s="32"/>
      <c r="O1242">
        <v>1</v>
      </c>
      <c r="P1242" s="58">
        <v>0</v>
      </c>
      <c r="Q1242" s="58">
        <v>0</v>
      </c>
      <c r="R1242" s="58">
        <v>0</v>
      </c>
      <c r="S1242" s="58">
        <v>0</v>
      </c>
      <c r="T1242" s="58">
        <v>0</v>
      </c>
      <c r="U1242" s="58">
        <v>0</v>
      </c>
      <c r="V1242" s="58">
        <v>0</v>
      </c>
      <c r="W1242" s="4">
        <v>0</v>
      </c>
    </row>
    <row r="1243" spans="1:23" x14ac:dyDescent="0.35">
      <c r="A1243">
        <v>1239</v>
      </c>
      <c r="B1243">
        <v>1240</v>
      </c>
      <c r="C1243">
        <v>146.04950249999999</v>
      </c>
      <c r="D1243">
        <v>-17.525678330000002</v>
      </c>
      <c r="F1243" t="str">
        <f>HYPERLINK("D:\Data From Lucan\2024\Johnstone\Frames_for_Analysis\1240_20240610_0003_L_0511.jpg","1240_20240610_0003_L_0511.jpg")</f>
        <v>1240_20240610_0003_L_0511.jpg</v>
      </c>
      <c r="G1243">
        <v>3</v>
      </c>
      <c r="I1243">
        <v>0</v>
      </c>
      <c r="J1243" s="58">
        <v>2</v>
      </c>
      <c r="K1243" s="32"/>
      <c r="L1243" s="32"/>
      <c r="M1243" s="32"/>
      <c r="N1243" s="32"/>
      <c r="O1243">
        <v>1</v>
      </c>
      <c r="P1243" s="58">
        <v>0</v>
      </c>
      <c r="Q1243" s="58">
        <v>0</v>
      </c>
      <c r="R1243" s="58">
        <v>0</v>
      </c>
      <c r="S1243" s="58">
        <v>0</v>
      </c>
      <c r="T1243" s="58">
        <v>0</v>
      </c>
      <c r="U1243" s="58">
        <v>0</v>
      </c>
      <c r="V1243" s="58">
        <v>0</v>
      </c>
      <c r="W1243" s="4">
        <v>0</v>
      </c>
    </row>
    <row r="1244" spans="1:23" x14ac:dyDescent="0.35">
      <c r="A1244">
        <v>1240</v>
      </c>
      <c r="B1244">
        <v>1241</v>
      </c>
      <c r="C1244">
        <v>146.04943270000001</v>
      </c>
      <c r="D1244">
        <v>-17.525741790000001</v>
      </c>
      <c r="F1244" t="str">
        <f>HYPERLINK("D:\Data From Lucan\2024\Johnstone\Frames_for_Analysis\1241_20240610_0003_L_0517.jpg","1241_20240610_0003_L_0517.jpg")</f>
        <v>1241_20240610_0003_L_0517.jpg</v>
      </c>
      <c r="G1244">
        <v>3</v>
      </c>
      <c r="I1244">
        <v>0</v>
      </c>
      <c r="J1244" s="58">
        <v>2</v>
      </c>
      <c r="K1244" s="32"/>
      <c r="L1244" s="32"/>
      <c r="M1244" s="32"/>
      <c r="N1244" s="32"/>
      <c r="O1244">
        <v>1</v>
      </c>
      <c r="P1244" s="58">
        <v>0</v>
      </c>
      <c r="Q1244" s="58">
        <v>0</v>
      </c>
      <c r="R1244" s="58">
        <v>0</v>
      </c>
      <c r="S1244" s="58">
        <v>0</v>
      </c>
      <c r="T1244" s="58">
        <v>0</v>
      </c>
      <c r="U1244" s="58">
        <v>0</v>
      </c>
      <c r="V1244" s="58">
        <v>0</v>
      </c>
      <c r="W1244" s="4">
        <v>0</v>
      </c>
    </row>
    <row r="1245" spans="1:23" x14ac:dyDescent="0.35">
      <c r="A1245">
        <v>1241</v>
      </c>
      <c r="B1245">
        <v>1242</v>
      </c>
      <c r="C1245">
        <v>146.049363</v>
      </c>
      <c r="D1245">
        <v>-17.525805250000001</v>
      </c>
      <c r="F1245" t="str">
        <f>HYPERLINK("D:\Data From Lucan\2024\Johnstone\Frames_for_Analysis\1242_20240610_0003_L_0523.jpg","1242_20240610_0003_L_0523.jpg")</f>
        <v>1242_20240610_0003_L_0523.jpg</v>
      </c>
      <c r="G1245">
        <v>3</v>
      </c>
      <c r="I1245">
        <v>0</v>
      </c>
      <c r="J1245" s="58">
        <v>2</v>
      </c>
      <c r="K1245" s="32"/>
      <c r="L1245" s="32"/>
      <c r="M1245" s="32"/>
      <c r="N1245" s="32"/>
      <c r="O1245">
        <v>1</v>
      </c>
      <c r="P1245" s="58">
        <v>0</v>
      </c>
      <c r="Q1245" s="58">
        <v>0</v>
      </c>
      <c r="R1245" s="58">
        <v>0</v>
      </c>
      <c r="S1245" s="58">
        <v>0</v>
      </c>
      <c r="T1245" s="58">
        <v>0</v>
      </c>
      <c r="U1245" s="58">
        <v>0</v>
      </c>
      <c r="V1245" s="58">
        <v>0</v>
      </c>
      <c r="W1245" s="4">
        <v>0</v>
      </c>
    </row>
    <row r="1246" spans="1:23" x14ac:dyDescent="0.35">
      <c r="A1246">
        <v>1242</v>
      </c>
      <c r="B1246">
        <v>1243</v>
      </c>
      <c r="C1246">
        <v>146.04929430000001</v>
      </c>
      <c r="D1246">
        <v>-17.52586977</v>
      </c>
      <c r="F1246" t="str">
        <f>HYPERLINK("D:\Data From Lucan\2024\Johnstone\Frames_for_Analysis\1243_20240610_0003_L_0529.jpg","1243_20240610_0003_L_0529.jpg")</f>
        <v>1243_20240610_0003_L_0529.jpg</v>
      </c>
      <c r="G1246">
        <v>3</v>
      </c>
      <c r="I1246">
        <v>0</v>
      </c>
      <c r="J1246" s="58">
        <v>2</v>
      </c>
      <c r="K1246" s="32"/>
      <c r="L1246" s="32"/>
      <c r="M1246" s="32"/>
      <c r="N1246" s="32"/>
      <c r="O1246">
        <v>1</v>
      </c>
      <c r="P1246" s="58">
        <v>0</v>
      </c>
      <c r="Q1246" s="58">
        <v>0</v>
      </c>
      <c r="R1246" s="58">
        <v>0</v>
      </c>
      <c r="S1246" s="58">
        <v>0</v>
      </c>
      <c r="T1246" s="58">
        <v>0</v>
      </c>
      <c r="U1246" s="58">
        <v>0</v>
      </c>
      <c r="V1246" s="58">
        <v>0</v>
      </c>
      <c r="W1246" s="4">
        <v>0</v>
      </c>
    </row>
    <row r="1247" spans="1:23" x14ac:dyDescent="0.35">
      <c r="A1247">
        <v>1243</v>
      </c>
      <c r="B1247">
        <v>1244</v>
      </c>
      <c r="C1247">
        <v>146.04923529999999</v>
      </c>
      <c r="D1247">
        <v>-17.52594332</v>
      </c>
      <c r="F1247" t="str">
        <f>HYPERLINK("D:\Data From Lucan\2024\Johnstone\Frames_for_Analysis\1244_20240610_0003_L_0537.jpg","1244_20240610_0003_L_0537.jpg")</f>
        <v>1244_20240610_0003_L_0537.jpg</v>
      </c>
      <c r="G1247">
        <v>3</v>
      </c>
      <c r="I1247">
        <v>0</v>
      </c>
      <c r="J1247" s="58">
        <v>2</v>
      </c>
      <c r="K1247" s="32"/>
      <c r="L1247" s="32"/>
      <c r="M1247" s="32"/>
      <c r="N1247" s="32"/>
      <c r="O1247">
        <v>1</v>
      </c>
      <c r="P1247" s="58">
        <v>0</v>
      </c>
      <c r="Q1247" s="58">
        <v>0</v>
      </c>
      <c r="R1247" s="58">
        <v>0</v>
      </c>
      <c r="S1247" s="58">
        <v>0</v>
      </c>
      <c r="T1247" s="58">
        <v>0</v>
      </c>
      <c r="U1247" s="58">
        <v>0</v>
      </c>
      <c r="V1247" s="58">
        <v>0</v>
      </c>
      <c r="W1247" s="4">
        <v>0</v>
      </c>
    </row>
    <row r="1248" spans="1:23" x14ac:dyDescent="0.35">
      <c r="A1248">
        <v>1244</v>
      </c>
      <c r="B1248">
        <v>1245</v>
      </c>
      <c r="C1248">
        <v>146.0491763</v>
      </c>
      <c r="D1248">
        <v>-17.52601688</v>
      </c>
      <c r="F1248" t="str">
        <f>HYPERLINK("D:\Data From Lucan\2024\Johnstone\Frames_for_Analysis\1245_20240610_0003_L_0543.jpg","1245_20240610_0003_L_0543.jpg")</f>
        <v>1245_20240610_0003_L_0543.jpg</v>
      </c>
      <c r="G1248">
        <v>3</v>
      </c>
      <c r="I1248">
        <v>0</v>
      </c>
      <c r="J1248" s="58">
        <v>2</v>
      </c>
      <c r="K1248" s="32"/>
      <c r="L1248" s="32"/>
      <c r="M1248" s="32"/>
      <c r="N1248" s="32"/>
      <c r="O1248">
        <v>1</v>
      </c>
      <c r="P1248" s="58">
        <v>0</v>
      </c>
      <c r="Q1248" s="58">
        <v>0</v>
      </c>
      <c r="R1248" s="58">
        <v>0</v>
      </c>
      <c r="S1248" s="58">
        <v>0</v>
      </c>
      <c r="T1248" s="58">
        <v>0</v>
      </c>
      <c r="U1248" s="58">
        <v>0</v>
      </c>
      <c r="V1248" s="58">
        <v>0</v>
      </c>
      <c r="W1248" s="4">
        <v>0</v>
      </c>
    </row>
    <row r="1249" spans="1:23" x14ac:dyDescent="0.35">
      <c r="A1249">
        <v>1245</v>
      </c>
      <c r="B1249">
        <v>1246</v>
      </c>
      <c r="C1249">
        <v>146.04911730000001</v>
      </c>
      <c r="D1249">
        <v>-17.52609043</v>
      </c>
      <c r="F1249" t="str">
        <f>HYPERLINK("D:\Data From Lucan\2024\Johnstone\Frames_for_Analysis\1246_20240610_0003_L_0550.jpg","1246_20240610_0003_L_0550.jpg")</f>
        <v>1246_20240610_0003_L_0550.jpg</v>
      </c>
      <c r="G1249">
        <v>3</v>
      </c>
      <c r="I1249">
        <f t="shared" si="19"/>
        <v>1</v>
      </c>
      <c r="J1249" s="58">
        <v>1</v>
      </c>
      <c r="K1249" s="32"/>
      <c r="L1249" s="32"/>
      <c r="M1249" s="32"/>
      <c r="N1249" s="32"/>
      <c r="O1249">
        <v>1</v>
      </c>
      <c r="P1249" s="58">
        <v>0</v>
      </c>
      <c r="Q1249" s="58">
        <v>0</v>
      </c>
      <c r="R1249" s="58">
        <v>0</v>
      </c>
      <c r="S1249" s="58">
        <v>0</v>
      </c>
      <c r="T1249" s="58">
        <v>0</v>
      </c>
      <c r="U1249" s="58">
        <v>0</v>
      </c>
      <c r="V1249" s="58">
        <v>0</v>
      </c>
      <c r="W1249" s="4">
        <v>0</v>
      </c>
    </row>
    <row r="1250" spans="1:23" x14ac:dyDescent="0.35">
      <c r="A1250">
        <v>1246</v>
      </c>
      <c r="B1250">
        <v>1247</v>
      </c>
      <c r="C1250">
        <v>146.04905830000001</v>
      </c>
      <c r="D1250">
        <v>-17.526163990000001</v>
      </c>
      <c r="F1250" t="str">
        <f>HYPERLINK("D:\Data From Lucan\2024\Johnstone\Frames_for_Analysis\1247_20240610_0003_L_0554.jpg","1247_20240610_0003_L_0554.jpg")</f>
        <v>1247_20240610_0003_L_0554.jpg</v>
      </c>
      <c r="G1250">
        <v>3</v>
      </c>
      <c r="I1250">
        <f t="shared" si="19"/>
        <v>1</v>
      </c>
      <c r="J1250" s="58">
        <v>1</v>
      </c>
      <c r="K1250" s="32"/>
      <c r="L1250" s="32"/>
      <c r="M1250" s="32"/>
      <c r="N1250" s="32"/>
      <c r="O1250">
        <v>1</v>
      </c>
      <c r="P1250" s="58">
        <v>0</v>
      </c>
      <c r="Q1250" s="58">
        <v>0</v>
      </c>
      <c r="R1250" s="58">
        <v>0</v>
      </c>
      <c r="S1250" s="58">
        <v>0</v>
      </c>
      <c r="T1250" s="58">
        <v>0</v>
      </c>
      <c r="U1250" s="58">
        <v>0</v>
      </c>
      <c r="V1250" s="58">
        <v>0</v>
      </c>
      <c r="W1250" s="4">
        <v>0</v>
      </c>
    </row>
    <row r="1251" spans="1:23" x14ac:dyDescent="0.35">
      <c r="A1251">
        <v>1247</v>
      </c>
      <c r="B1251">
        <v>1248</v>
      </c>
      <c r="C1251">
        <v>146.0490016</v>
      </c>
      <c r="D1251">
        <v>-17.52623913</v>
      </c>
      <c r="F1251" t="str">
        <f>HYPERLINK("D:\Data From Lucan\2024\Johnstone\Frames_for_Analysis\1248_20240610_0003_L_0558.jpg","1248_20240610_0003_L_0558.jpg")</f>
        <v>1248_20240610_0003_L_0558.jpg</v>
      </c>
      <c r="G1251">
        <v>3</v>
      </c>
      <c r="I1251">
        <f t="shared" si="19"/>
        <v>1</v>
      </c>
      <c r="J1251" s="58">
        <v>1</v>
      </c>
      <c r="K1251" s="32"/>
      <c r="L1251" s="32"/>
      <c r="M1251" s="32"/>
      <c r="N1251" s="32"/>
      <c r="O1251">
        <v>1</v>
      </c>
      <c r="P1251" s="58">
        <v>0</v>
      </c>
      <c r="Q1251" s="58">
        <v>0</v>
      </c>
      <c r="R1251" s="58">
        <v>0</v>
      </c>
      <c r="S1251" s="58">
        <v>0</v>
      </c>
      <c r="T1251" s="58">
        <v>0</v>
      </c>
      <c r="U1251" s="58">
        <v>0</v>
      </c>
      <c r="V1251" s="58">
        <v>0</v>
      </c>
      <c r="W1251" s="4">
        <v>0</v>
      </c>
    </row>
    <row r="1252" spans="1:23" x14ac:dyDescent="0.35">
      <c r="A1252">
        <v>1248</v>
      </c>
      <c r="B1252">
        <v>1249</v>
      </c>
      <c r="C1252">
        <v>146.04895479999999</v>
      </c>
      <c r="D1252">
        <v>-17.52632101</v>
      </c>
      <c r="F1252" t="str">
        <f>HYPERLINK("D:\Data From Lucan\2024\Johnstone\Frames_for_Analysis\1249_20240610_0003_L_0564.jpg","1249_20240610_0003_L_0564.jpg")</f>
        <v>1249_20240610_0003_L_0564.jpg</v>
      </c>
      <c r="G1252">
        <v>3</v>
      </c>
      <c r="I1252">
        <v>0</v>
      </c>
      <c r="J1252" s="58">
        <v>2</v>
      </c>
      <c r="K1252" s="32"/>
      <c r="L1252" s="32"/>
      <c r="M1252" s="32"/>
      <c r="N1252" s="32"/>
      <c r="O1252">
        <v>1</v>
      </c>
      <c r="P1252" s="58">
        <v>0</v>
      </c>
      <c r="Q1252" s="58">
        <v>0</v>
      </c>
      <c r="R1252" s="58">
        <v>0</v>
      </c>
      <c r="S1252" s="58">
        <v>0</v>
      </c>
      <c r="T1252" s="58">
        <v>0</v>
      </c>
      <c r="U1252" s="58">
        <v>0</v>
      </c>
      <c r="V1252" s="58">
        <v>0</v>
      </c>
      <c r="W1252" s="4">
        <v>0</v>
      </c>
    </row>
    <row r="1253" spans="1:23" x14ac:dyDescent="0.35">
      <c r="A1253">
        <v>1249</v>
      </c>
      <c r="B1253">
        <v>1250</v>
      </c>
      <c r="C1253">
        <v>146.04890800000001</v>
      </c>
      <c r="D1253">
        <v>-17.52640289</v>
      </c>
      <c r="F1253" t="str">
        <f>HYPERLINK("D:\Data From Lucan\2024\Johnstone\Frames_for_Analysis\1250_20240610_0003_L_0569.jpg","1250_20240610_0003_L_0569.jpg")</f>
        <v>1250_20240610_0003_L_0569.jpg</v>
      </c>
      <c r="G1253">
        <v>3</v>
      </c>
      <c r="I1253">
        <v>0</v>
      </c>
      <c r="J1253" s="58">
        <v>2</v>
      </c>
      <c r="K1253" s="32"/>
      <c r="L1253" s="32"/>
      <c r="M1253" s="32"/>
      <c r="N1253" s="32"/>
      <c r="O1253">
        <v>1</v>
      </c>
      <c r="P1253" s="58">
        <v>0</v>
      </c>
      <c r="Q1253" s="58">
        <v>0</v>
      </c>
      <c r="R1253" s="58">
        <v>0</v>
      </c>
      <c r="S1253" s="58">
        <v>0</v>
      </c>
      <c r="T1253" s="58">
        <v>0</v>
      </c>
      <c r="U1253" s="58">
        <v>0</v>
      </c>
      <c r="V1253" s="58">
        <v>0</v>
      </c>
      <c r="W1253" s="4">
        <v>0</v>
      </c>
    </row>
    <row r="1254" spans="1:23" x14ac:dyDescent="0.35">
      <c r="A1254">
        <v>1250</v>
      </c>
      <c r="B1254">
        <v>1251</v>
      </c>
      <c r="C1254">
        <v>146.0488612</v>
      </c>
      <c r="D1254">
        <v>-17.526484780000001</v>
      </c>
      <c r="F1254" t="str">
        <f>HYPERLINK("D:\Data From Lucan\2024\Johnstone\Frames_for_Analysis\1251_20240610_0003_L_0579.jpg","1251_20240610_0003_L_0579.jpg")</f>
        <v>1251_20240610_0003_L_0579.jpg</v>
      </c>
      <c r="G1254">
        <v>3</v>
      </c>
      <c r="I1254">
        <v>0</v>
      </c>
      <c r="J1254" s="58">
        <v>2</v>
      </c>
      <c r="K1254" s="32"/>
      <c r="L1254" s="32"/>
      <c r="M1254" s="32"/>
      <c r="N1254" s="32"/>
      <c r="O1254">
        <v>1</v>
      </c>
      <c r="P1254" s="58">
        <v>0</v>
      </c>
      <c r="Q1254" s="58">
        <v>0</v>
      </c>
      <c r="R1254" s="58">
        <v>0</v>
      </c>
      <c r="S1254" s="58">
        <v>0</v>
      </c>
      <c r="T1254" s="58">
        <v>0</v>
      </c>
      <c r="U1254" s="58">
        <v>0</v>
      </c>
      <c r="V1254" s="58">
        <v>0</v>
      </c>
      <c r="W1254" s="4">
        <v>0</v>
      </c>
    </row>
    <row r="1255" spans="1:23" x14ac:dyDescent="0.35">
      <c r="A1255">
        <v>1251</v>
      </c>
      <c r="B1255">
        <v>1252</v>
      </c>
      <c r="C1255">
        <v>146.04880929999999</v>
      </c>
      <c r="D1255">
        <v>-17.526562949999999</v>
      </c>
      <c r="F1255" t="str">
        <f>HYPERLINK("D:\Data From Lucan\2024\Johnstone\Frames_for_Analysis\1252_20240610_0003_L_0586.jpg","1252_20240610_0003_L_0586.jpg")</f>
        <v>1252_20240610_0003_L_0586.jpg</v>
      </c>
      <c r="G1255">
        <v>3</v>
      </c>
      <c r="I1255">
        <v>0</v>
      </c>
      <c r="J1255" s="58">
        <v>2</v>
      </c>
      <c r="K1255" s="32"/>
      <c r="L1255" s="32"/>
      <c r="M1255" s="32"/>
      <c r="N1255" s="32"/>
      <c r="O1255">
        <v>1</v>
      </c>
      <c r="P1255" s="58">
        <v>0</v>
      </c>
      <c r="Q1255" s="58">
        <v>0</v>
      </c>
      <c r="R1255" s="58">
        <v>0</v>
      </c>
      <c r="S1255" s="58">
        <v>0</v>
      </c>
      <c r="T1255" s="58">
        <v>0</v>
      </c>
      <c r="U1255" s="58">
        <v>0</v>
      </c>
      <c r="V1255" s="58">
        <v>0</v>
      </c>
      <c r="W1255" s="4">
        <v>0</v>
      </c>
    </row>
    <row r="1256" spans="1:23" x14ac:dyDescent="0.35">
      <c r="A1256">
        <v>1252</v>
      </c>
      <c r="B1256">
        <v>1253</v>
      </c>
      <c r="C1256">
        <v>146.04874620000001</v>
      </c>
      <c r="D1256">
        <v>-17.52663299</v>
      </c>
      <c r="F1256" t="str">
        <f>HYPERLINK("D:\Data From Lucan\2024\Johnstone\Frames_for_Analysis\1253_20240610_0003_L_0590.jpg","1253_20240610_0003_L_0590.jpg")</f>
        <v>1253_20240610_0003_L_0590.jpg</v>
      </c>
      <c r="G1256">
        <v>3</v>
      </c>
      <c r="I1256">
        <v>0</v>
      </c>
      <c r="J1256" s="58">
        <v>2</v>
      </c>
      <c r="K1256" s="32"/>
      <c r="L1256" s="32"/>
      <c r="M1256" s="32"/>
      <c r="N1256" s="32"/>
      <c r="O1256">
        <v>1</v>
      </c>
      <c r="P1256" s="58">
        <v>0</v>
      </c>
      <c r="Q1256" s="58">
        <v>0</v>
      </c>
      <c r="R1256" s="58">
        <v>0</v>
      </c>
      <c r="S1256" s="58">
        <v>0</v>
      </c>
      <c r="T1256" s="58">
        <v>0</v>
      </c>
      <c r="U1256" s="58">
        <v>0</v>
      </c>
      <c r="V1256" s="58">
        <v>0</v>
      </c>
      <c r="W1256" s="4">
        <v>0</v>
      </c>
    </row>
    <row r="1257" spans="1:23" x14ac:dyDescent="0.35">
      <c r="A1257">
        <v>1253</v>
      </c>
      <c r="B1257">
        <v>1254</v>
      </c>
      <c r="C1257">
        <v>146.04868300000001</v>
      </c>
      <c r="D1257">
        <v>-17.526703040000001</v>
      </c>
      <c r="F1257" t="str">
        <f>HYPERLINK("D:\Data From Lucan\2024\Johnstone\Frames_for_Analysis\1254_20240610_0003_L_0595.jpg","1254_20240610_0003_L_0595.jpg")</f>
        <v>1254_20240610_0003_L_0595.jpg</v>
      </c>
      <c r="G1257">
        <v>3</v>
      </c>
      <c r="I1257">
        <v>0</v>
      </c>
      <c r="J1257" s="58">
        <v>2</v>
      </c>
      <c r="K1257" s="32"/>
      <c r="L1257" s="32"/>
      <c r="M1257" s="32"/>
      <c r="N1257" s="32"/>
      <c r="O1257">
        <v>1</v>
      </c>
      <c r="P1257" s="58">
        <v>0</v>
      </c>
      <c r="Q1257" s="58">
        <v>0</v>
      </c>
      <c r="R1257" s="58">
        <v>0</v>
      </c>
      <c r="S1257" s="58">
        <v>0</v>
      </c>
      <c r="T1257" s="58">
        <v>0</v>
      </c>
      <c r="U1257" s="58">
        <v>0</v>
      </c>
      <c r="V1257" s="58">
        <v>0</v>
      </c>
      <c r="W1257" s="4">
        <v>0</v>
      </c>
    </row>
    <row r="1258" spans="1:23" x14ac:dyDescent="0.35">
      <c r="A1258">
        <v>1254</v>
      </c>
      <c r="B1258">
        <v>1255</v>
      </c>
      <c r="C1258">
        <v>146.04861990000001</v>
      </c>
      <c r="D1258">
        <v>-17.526773089999999</v>
      </c>
      <c r="F1258" t="str">
        <f>HYPERLINK("D:\Data From Lucan\2024\Johnstone\Frames_for_Analysis\1255_20240610_0003_L_0598.jpg","1255_20240610_0003_L_0598.jpg")</f>
        <v>1255_20240610_0003_L_0598.jpg</v>
      </c>
      <c r="G1258">
        <v>3</v>
      </c>
      <c r="I1258">
        <f t="shared" si="19"/>
        <v>1</v>
      </c>
      <c r="J1258" s="58">
        <v>1</v>
      </c>
      <c r="K1258" s="32"/>
      <c r="L1258" s="32"/>
      <c r="M1258" s="32"/>
      <c r="N1258" s="32"/>
      <c r="O1258">
        <v>1</v>
      </c>
      <c r="P1258" s="58">
        <v>0</v>
      </c>
      <c r="Q1258" s="58">
        <v>0</v>
      </c>
      <c r="R1258" s="58">
        <v>0</v>
      </c>
      <c r="S1258" s="58">
        <v>0</v>
      </c>
      <c r="T1258" s="58">
        <v>0</v>
      </c>
      <c r="U1258" s="58">
        <v>0</v>
      </c>
      <c r="V1258" s="58">
        <v>0</v>
      </c>
      <c r="W1258" s="4">
        <v>0</v>
      </c>
    </row>
    <row r="1259" spans="1:23" x14ac:dyDescent="0.35">
      <c r="A1259">
        <v>1255</v>
      </c>
      <c r="B1259">
        <v>1256</v>
      </c>
      <c r="C1259">
        <v>146.0485568</v>
      </c>
      <c r="D1259">
        <v>-17.52684314</v>
      </c>
      <c r="F1259" t="str">
        <f>HYPERLINK("D:\Data From Lucan\2024\Johnstone\Frames_for_Analysis\1256_20240610_0003_L_0606.jpg","1256_20240610_0003_L_0606.jpg")</f>
        <v>1256_20240610_0003_L_0606.jpg</v>
      </c>
      <c r="G1259">
        <v>3</v>
      </c>
      <c r="I1259">
        <f t="shared" si="19"/>
        <v>1</v>
      </c>
      <c r="J1259" s="58">
        <v>1</v>
      </c>
      <c r="K1259" s="32"/>
      <c r="L1259" s="32"/>
      <c r="M1259" s="32"/>
      <c r="N1259" s="32"/>
      <c r="O1259">
        <v>1</v>
      </c>
      <c r="P1259" s="58">
        <v>0</v>
      </c>
      <c r="Q1259" s="58">
        <v>0</v>
      </c>
      <c r="R1259" s="58">
        <v>0</v>
      </c>
      <c r="S1259" s="58">
        <v>0</v>
      </c>
      <c r="T1259" s="58">
        <v>0</v>
      </c>
      <c r="U1259" s="58">
        <v>0</v>
      </c>
      <c r="V1259" s="58">
        <v>1</v>
      </c>
      <c r="W1259" s="4">
        <v>1</v>
      </c>
    </row>
    <row r="1260" spans="1:23" x14ac:dyDescent="0.35">
      <c r="A1260">
        <v>1256</v>
      </c>
      <c r="B1260">
        <v>1257</v>
      </c>
      <c r="C1260">
        <v>146.0484936</v>
      </c>
      <c r="D1260">
        <v>-17.526913189999998</v>
      </c>
      <c r="F1260" t="str">
        <f>HYPERLINK("D:\Data From Lucan\2024\Johnstone\Frames_for_Analysis\1257_20240610_0003_L_0610.jpg","1257_20240610_0003_L_0610.jpg")</f>
        <v>1257_20240610_0003_L_0610.jpg</v>
      </c>
      <c r="G1260">
        <v>3</v>
      </c>
      <c r="I1260">
        <f t="shared" si="19"/>
        <v>0</v>
      </c>
      <c r="J1260" s="58">
        <v>0</v>
      </c>
      <c r="K1260" s="32"/>
      <c r="L1260" s="32"/>
      <c r="M1260" s="32"/>
      <c r="N1260" s="32"/>
      <c r="O1260">
        <v>1</v>
      </c>
      <c r="P1260" s="58">
        <v>0</v>
      </c>
      <c r="Q1260" s="58">
        <v>0</v>
      </c>
      <c r="R1260" s="58">
        <v>0</v>
      </c>
      <c r="S1260" s="58">
        <v>0</v>
      </c>
      <c r="T1260" s="58">
        <v>0</v>
      </c>
      <c r="U1260" s="58">
        <v>0</v>
      </c>
      <c r="V1260" s="58">
        <v>0</v>
      </c>
      <c r="W1260" s="4">
        <v>1</v>
      </c>
    </row>
    <row r="1261" spans="1:23" x14ac:dyDescent="0.35">
      <c r="A1261">
        <v>1257</v>
      </c>
      <c r="B1261">
        <v>1258</v>
      </c>
      <c r="C1261">
        <v>146.0484342</v>
      </c>
      <c r="D1261">
        <v>-17.526986440000002</v>
      </c>
      <c r="F1261" t="str">
        <f>HYPERLINK("D:\Data From Lucan\2024\Johnstone\Frames_for_Analysis\1258_20240610_0003_L_0615.jpg","1258_20240610_0003_L_0615.jpg")</f>
        <v>1258_20240610_0003_L_0615.jpg</v>
      </c>
      <c r="G1261">
        <v>3</v>
      </c>
      <c r="I1261">
        <f t="shared" si="19"/>
        <v>1</v>
      </c>
      <c r="J1261" s="58">
        <v>1</v>
      </c>
      <c r="K1261" s="32"/>
      <c r="L1261" s="32"/>
      <c r="M1261" s="32"/>
      <c r="N1261" s="32"/>
      <c r="O1261">
        <v>1</v>
      </c>
      <c r="P1261" s="58">
        <v>0</v>
      </c>
      <c r="Q1261" s="58">
        <v>0</v>
      </c>
      <c r="R1261" s="58">
        <v>0</v>
      </c>
      <c r="S1261" s="58">
        <v>0</v>
      </c>
      <c r="T1261" s="58">
        <v>0</v>
      </c>
      <c r="U1261" s="58">
        <v>0</v>
      </c>
      <c r="V1261" s="58">
        <v>0</v>
      </c>
      <c r="W1261" s="4">
        <v>1</v>
      </c>
    </row>
    <row r="1262" spans="1:23" x14ac:dyDescent="0.35">
      <c r="A1262">
        <v>1258</v>
      </c>
      <c r="B1262">
        <v>1259</v>
      </c>
      <c r="C1262">
        <v>146.04837499999999</v>
      </c>
      <c r="D1262">
        <v>-17.527059820000002</v>
      </c>
      <c r="F1262" t="str">
        <f>HYPERLINK("D:\Data From Lucan\2024\Johnstone\Frames_for_Analysis\1259_20240610_0003_L_0621.jpg","1259_20240610_0003_L_0621.jpg")</f>
        <v>1259_20240610_0003_L_0621.jpg</v>
      </c>
      <c r="G1262">
        <v>3</v>
      </c>
      <c r="I1262">
        <f t="shared" si="19"/>
        <v>1</v>
      </c>
      <c r="J1262" s="58">
        <v>1</v>
      </c>
      <c r="K1262" s="32"/>
      <c r="L1262" s="32"/>
      <c r="M1262" s="32"/>
      <c r="N1262" s="32"/>
      <c r="O1262">
        <v>1</v>
      </c>
      <c r="P1262" s="58">
        <v>1</v>
      </c>
      <c r="Q1262" s="58">
        <v>0</v>
      </c>
      <c r="R1262" s="58">
        <v>0</v>
      </c>
      <c r="S1262" s="58">
        <v>0</v>
      </c>
      <c r="T1262" s="58">
        <v>0</v>
      </c>
      <c r="U1262" s="58">
        <v>0</v>
      </c>
      <c r="V1262" s="58">
        <v>0</v>
      </c>
      <c r="W1262" s="4">
        <v>1</v>
      </c>
    </row>
    <row r="1263" spans="1:23" x14ac:dyDescent="0.35">
      <c r="A1263">
        <v>1259</v>
      </c>
      <c r="B1263">
        <v>1260</v>
      </c>
      <c r="C1263">
        <v>146.04831580000001</v>
      </c>
      <c r="D1263">
        <v>-17.527133190000001</v>
      </c>
      <c r="F1263" t="str">
        <f>HYPERLINK("D:\Data From Lucan\2024\Johnstone\Frames_for_Analysis\1260_20240610_0003_L_0625.jpg","1260_20240610_0003_L_0625.jpg")</f>
        <v>1260_20240610_0003_L_0625.jpg</v>
      </c>
      <c r="G1263">
        <v>3</v>
      </c>
      <c r="I1263">
        <f t="shared" si="19"/>
        <v>1</v>
      </c>
      <c r="J1263" s="58">
        <v>1</v>
      </c>
      <c r="K1263" s="32"/>
      <c r="L1263" s="32"/>
      <c r="M1263" s="32"/>
      <c r="N1263" s="32"/>
      <c r="O1263">
        <v>1</v>
      </c>
      <c r="P1263" s="58">
        <v>0</v>
      </c>
      <c r="Q1263" s="58">
        <v>0</v>
      </c>
      <c r="R1263" s="58">
        <v>1</v>
      </c>
      <c r="S1263" s="58">
        <v>0</v>
      </c>
      <c r="T1263" s="58">
        <v>0</v>
      </c>
      <c r="U1263" s="58">
        <v>0</v>
      </c>
      <c r="V1263" s="58">
        <v>1</v>
      </c>
      <c r="W1263" s="4">
        <v>1</v>
      </c>
    </row>
    <row r="1264" spans="1:23" x14ac:dyDescent="0.35">
      <c r="A1264">
        <v>1260</v>
      </c>
      <c r="B1264">
        <v>1261</v>
      </c>
      <c r="C1264">
        <v>146.04825650000001</v>
      </c>
      <c r="D1264">
        <v>-17.527206570000001</v>
      </c>
      <c r="F1264" t="str">
        <f>HYPERLINK("D:\Data From Lucan\2024\Johnstone\Frames_for_Analysis\1261_20240610_0003_L_0630.jpg","1261_20240610_0003_L_0630.jpg")</f>
        <v>1261_20240610_0003_L_0630.jpg</v>
      </c>
      <c r="G1264">
        <v>3</v>
      </c>
      <c r="H1264" t="s">
        <v>26</v>
      </c>
      <c r="I1264" t="str">
        <f t="shared" si="19"/>
        <v>X</v>
      </c>
      <c r="J1264" s="58" t="s">
        <v>3958</v>
      </c>
      <c r="K1264" s="32"/>
      <c r="L1264" s="32"/>
      <c r="M1264" s="32"/>
      <c r="N1264" s="32"/>
      <c r="O1264" t="s">
        <v>3958</v>
      </c>
      <c r="P1264" s="58">
        <v>1</v>
      </c>
      <c r="Q1264" s="58">
        <v>0</v>
      </c>
      <c r="R1264" s="58">
        <v>0</v>
      </c>
      <c r="S1264" s="58">
        <v>0</v>
      </c>
      <c r="T1264" s="58">
        <v>0</v>
      </c>
      <c r="U1264" s="58">
        <v>0</v>
      </c>
      <c r="V1264" s="58">
        <v>0</v>
      </c>
      <c r="W1264" s="4"/>
    </row>
    <row r="1265" spans="1:23" x14ac:dyDescent="0.35">
      <c r="A1265">
        <v>1261</v>
      </c>
      <c r="B1265">
        <v>1262</v>
      </c>
      <c r="C1265">
        <v>146.0481973</v>
      </c>
      <c r="D1265">
        <v>-17.52727994</v>
      </c>
      <c r="F1265" t="str">
        <f>HYPERLINK("D:\Data From Lucan\2024\Johnstone\Frames_for_Analysis\1262_20240610_0003_L_0635.jpg","1262_20240610_0003_L_0635.jpg")</f>
        <v>1262_20240610_0003_L_0635.jpg</v>
      </c>
      <c r="G1265">
        <v>3</v>
      </c>
      <c r="H1265" t="s">
        <v>26</v>
      </c>
      <c r="I1265" t="str">
        <f t="shared" si="19"/>
        <v>X</v>
      </c>
      <c r="J1265" s="58" t="s">
        <v>3958</v>
      </c>
      <c r="K1265" s="32"/>
      <c r="L1265" s="32"/>
      <c r="M1265" s="32"/>
      <c r="N1265" s="32"/>
      <c r="O1265" t="s">
        <v>3958</v>
      </c>
      <c r="P1265" s="58">
        <v>0</v>
      </c>
      <c r="Q1265" s="58">
        <v>0</v>
      </c>
      <c r="R1265" s="58">
        <v>0</v>
      </c>
      <c r="S1265" s="58">
        <v>0</v>
      </c>
      <c r="T1265" s="58">
        <v>0</v>
      </c>
      <c r="U1265" s="58">
        <v>0</v>
      </c>
      <c r="V1265" s="58">
        <v>0</v>
      </c>
      <c r="W1265" s="4"/>
    </row>
    <row r="1266" spans="1:23" x14ac:dyDescent="0.35">
      <c r="A1266">
        <v>1262</v>
      </c>
      <c r="B1266">
        <v>1263</v>
      </c>
      <c r="C1266">
        <v>146.04813379999999</v>
      </c>
      <c r="D1266">
        <v>-17.52734955</v>
      </c>
      <c r="F1266" t="str">
        <f>HYPERLINK("D:\Data From Lucan\2024\Johnstone\Frames_for_Analysis\1263_20240610_0003_L_0640.jpg","1263_20240610_0003_L_0640.jpg")</f>
        <v>1263_20240610_0003_L_0640.jpg</v>
      </c>
      <c r="G1266">
        <v>3</v>
      </c>
      <c r="H1266" t="s">
        <v>26</v>
      </c>
      <c r="I1266" t="str">
        <f t="shared" si="19"/>
        <v>X</v>
      </c>
      <c r="J1266" s="58" t="s">
        <v>3958</v>
      </c>
      <c r="K1266" s="32"/>
      <c r="L1266" s="32"/>
      <c r="M1266" s="32"/>
      <c r="N1266" s="32"/>
      <c r="O1266" t="s">
        <v>3958</v>
      </c>
      <c r="P1266" s="58">
        <v>0</v>
      </c>
      <c r="Q1266" s="58">
        <v>0</v>
      </c>
      <c r="R1266" s="58">
        <v>0</v>
      </c>
      <c r="S1266" s="58">
        <v>0</v>
      </c>
      <c r="T1266" s="58">
        <v>0</v>
      </c>
      <c r="U1266" s="58">
        <v>0</v>
      </c>
      <c r="V1266" s="58">
        <v>0</v>
      </c>
      <c r="W1266" s="4"/>
    </row>
    <row r="1267" spans="1:23" x14ac:dyDescent="0.35">
      <c r="A1267">
        <v>1263</v>
      </c>
      <c r="B1267">
        <v>1264</v>
      </c>
      <c r="C1267">
        <v>146.04806819999999</v>
      </c>
      <c r="D1267">
        <v>-17.527417320000001</v>
      </c>
      <c r="F1267" t="str">
        <f>HYPERLINK("D:\Data From Lucan\2024\Johnstone\Frames_for_Analysis\1264_20240610_0003_L_0645.jpg","1264_20240610_0003_L_0645.jpg")</f>
        <v>1264_20240610_0003_L_0645.jpg</v>
      </c>
      <c r="G1267">
        <v>3</v>
      </c>
      <c r="I1267">
        <f t="shared" si="19"/>
        <v>1</v>
      </c>
      <c r="J1267" s="58">
        <v>1</v>
      </c>
      <c r="K1267" s="32"/>
      <c r="L1267" s="32"/>
      <c r="M1267" s="32"/>
      <c r="N1267" s="32"/>
      <c r="O1267" t="s">
        <v>3958</v>
      </c>
      <c r="P1267" s="58">
        <v>0</v>
      </c>
      <c r="Q1267" s="58">
        <v>0</v>
      </c>
      <c r="R1267" s="58">
        <v>0</v>
      </c>
      <c r="S1267" s="58">
        <v>0</v>
      </c>
      <c r="T1267" s="58">
        <v>0</v>
      </c>
      <c r="U1267" s="58">
        <v>0</v>
      </c>
      <c r="V1267" s="58">
        <v>0</v>
      </c>
      <c r="W1267" s="4">
        <v>1</v>
      </c>
    </row>
    <row r="1268" spans="1:23" x14ac:dyDescent="0.35">
      <c r="A1268">
        <v>1264</v>
      </c>
      <c r="B1268">
        <v>1265</v>
      </c>
      <c r="C1268">
        <v>146.04800259999999</v>
      </c>
      <c r="D1268">
        <v>-17.527485080000002</v>
      </c>
      <c r="F1268" t="str">
        <f>HYPERLINK("D:\Data From Lucan\2024\Johnstone\Frames_for_Analysis\1265_20240610_0003_L_0650.jpg","1265_20240610_0003_L_0650.jpg")</f>
        <v>1265_20240610_0003_L_0650.jpg</v>
      </c>
      <c r="G1268">
        <v>3</v>
      </c>
      <c r="I1268">
        <f t="shared" si="19"/>
        <v>1</v>
      </c>
      <c r="J1268" s="58">
        <v>1</v>
      </c>
      <c r="K1268" s="32"/>
      <c r="L1268" s="32"/>
      <c r="M1268" s="32"/>
      <c r="N1268" s="32"/>
      <c r="O1268">
        <v>2</v>
      </c>
      <c r="P1268" s="58">
        <v>0</v>
      </c>
      <c r="Q1268" s="58">
        <v>0</v>
      </c>
      <c r="R1268" s="58">
        <v>0</v>
      </c>
      <c r="S1268" s="58">
        <v>0</v>
      </c>
      <c r="T1268" s="58">
        <v>0</v>
      </c>
      <c r="U1268" s="58">
        <v>0</v>
      </c>
      <c r="V1268" s="58">
        <v>0</v>
      </c>
      <c r="W1268" s="4">
        <v>1</v>
      </c>
    </row>
    <row r="1269" spans="1:23" x14ac:dyDescent="0.35">
      <c r="A1269">
        <v>1265</v>
      </c>
      <c r="B1269">
        <v>1266</v>
      </c>
      <c r="C1269">
        <v>146.04793699999999</v>
      </c>
      <c r="D1269">
        <v>-17.527552839999998</v>
      </c>
      <c r="F1269" t="str">
        <f>HYPERLINK("D:\Data From Lucan\2024\Johnstone\Frames_for_Analysis\1266_20240610_0003_L_0656.jpg","1266_20240610_0003_L_0656.jpg")</f>
        <v>1266_20240610_0003_L_0656.jpg</v>
      </c>
      <c r="G1269">
        <v>3</v>
      </c>
      <c r="I1269">
        <f t="shared" si="19"/>
        <v>1</v>
      </c>
      <c r="J1269" s="58">
        <v>1</v>
      </c>
      <c r="K1269" s="32"/>
      <c r="L1269" s="32"/>
      <c r="M1269" s="32"/>
      <c r="N1269" s="32"/>
      <c r="O1269">
        <v>2</v>
      </c>
      <c r="P1269" s="58">
        <v>0</v>
      </c>
      <c r="Q1269" s="58">
        <v>0</v>
      </c>
      <c r="R1269" s="58">
        <v>0</v>
      </c>
      <c r="S1269" s="58">
        <v>0</v>
      </c>
      <c r="T1269" s="58">
        <v>0</v>
      </c>
      <c r="U1269" s="58">
        <v>0</v>
      </c>
      <c r="V1269" s="58">
        <v>0</v>
      </c>
      <c r="W1269" s="4">
        <v>1</v>
      </c>
    </row>
    <row r="1270" spans="1:23" x14ac:dyDescent="0.35">
      <c r="A1270">
        <v>1266</v>
      </c>
      <c r="B1270">
        <v>1267</v>
      </c>
      <c r="C1270">
        <v>146.04787150000001</v>
      </c>
      <c r="D1270">
        <v>-17.527620599999999</v>
      </c>
      <c r="F1270" t="str">
        <f>HYPERLINK("D:\Data From Lucan\2024\Johnstone\Frames_for_Analysis\1267_20240610_0003_L_0661.jpg","1267_20240610_0003_L_0661.jpg")</f>
        <v>1267_20240610_0003_L_0661.jpg</v>
      </c>
      <c r="G1270">
        <v>3</v>
      </c>
      <c r="H1270" t="s">
        <v>26</v>
      </c>
      <c r="I1270" t="str">
        <f t="shared" si="19"/>
        <v>X</v>
      </c>
      <c r="K1270" s="32"/>
      <c r="L1270" s="32"/>
      <c r="M1270" s="32"/>
      <c r="N1270" s="32"/>
      <c r="O1270">
        <v>2</v>
      </c>
      <c r="P1270" s="58">
        <v>0</v>
      </c>
      <c r="Q1270" s="58">
        <v>1</v>
      </c>
      <c r="S1270" s="58">
        <v>0</v>
      </c>
      <c r="T1270" s="58">
        <v>0</v>
      </c>
      <c r="U1270" s="58">
        <v>0</v>
      </c>
      <c r="V1270" s="58">
        <v>0</v>
      </c>
      <c r="W1270" s="4"/>
    </row>
    <row r="1271" spans="1:23" x14ac:dyDescent="0.35">
      <c r="A1271">
        <v>1267</v>
      </c>
      <c r="B1271">
        <v>1268</v>
      </c>
      <c r="C1271">
        <v>146.04780650000001</v>
      </c>
      <c r="D1271">
        <v>-17.527688990000001</v>
      </c>
      <c r="F1271" t="str">
        <f>HYPERLINK("D:\Data From Lucan\2024\Johnstone\Frames_for_Analysis\1268_20240610_0003_L_0667.jpg","1268_20240610_0003_L_0667.jpg")</f>
        <v>1268_20240610_0003_L_0667.jpg</v>
      </c>
      <c r="G1271">
        <v>3</v>
      </c>
      <c r="H1271" t="s">
        <v>26</v>
      </c>
      <c r="I1271" t="str">
        <f t="shared" si="19"/>
        <v>X</v>
      </c>
      <c r="J1271" s="58" t="s">
        <v>3958</v>
      </c>
      <c r="K1271" s="32"/>
      <c r="L1271" s="32"/>
      <c r="M1271" s="32"/>
      <c r="N1271" s="32"/>
      <c r="O1271">
        <v>2</v>
      </c>
      <c r="P1271" s="58">
        <v>0</v>
      </c>
      <c r="Q1271" s="58">
        <v>1</v>
      </c>
      <c r="R1271" s="58">
        <v>0</v>
      </c>
      <c r="S1271" s="58">
        <v>0</v>
      </c>
      <c r="T1271" s="58">
        <v>0</v>
      </c>
      <c r="U1271" s="58">
        <v>0</v>
      </c>
      <c r="V1271" s="58">
        <v>0</v>
      </c>
      <c r="W1271" s="4">
        <v>1</v>
      </c>
    </row>
    <row r="1272" spans="1:23" x14ac:dyDescent="0.35">
      <c r="A1272">
        <v>1268</v>
      </c>
      <c r="B1272">
        <v>1269</v>
      </c>
      <c r="C1272">
        <v>146.0477429</v>
      </c>
      <c r="D1272">
        <v>-17.527758590000001</v>
      </c>
      <c r="F1272" t="str">
        <f>HYPERLINK("D:\Data From Lucan\2024\Johnstone\Frames_for_Analysis\1269_20240610_0003_L_0673.jpg","1269_20240610_0003_L_0673.jpg")</f>
        <v>1269_20240610_0003_L_0673.jpg</v>
      </c>
      <c r="G1272">
        <v>3</v>
      </c>
      <c r="I1272">
        <f t="shared" si="19"/>
        <v>0</v>
      </c>
      <c r="J1272" s="58">
        <v>0</v>
      </c>
      <c r="K1272" s="32"/>
      <c r="L1272" s="32"/>
      <c r="M1272" s="32"/>
      <c r="N1272" s="32"/>
      <c r="O1272">
        <v>2</v>
      </c>
      <c r="P1272" s="58">
        <v>0</v>
      </c>
      <c r="Q1272" s="58">
        <v>1</v>
      </c>
      <c r="R1272" s="58">
        <v>0</v>
      </c>
      <c r="S1272" s="58">
        <v>0</v>
      </c>
      <c r="T1272" s="58">
        <v>0</v>
      </c>
      <c r="U1272" s="58">
        <v>0</v>
      </c>
      <c r="V1272" s="58">
        <v>0</v>
      </c>
      <c r="W1272" s="4">
        <v>1</v>
      </c>
    </row>
    <row r="1273" spans="1:23" x14ac:dyDescent="0.35">
      <c r="A1273">
        <v>1269</v>
      </c>
      <c r="B1273">
        <v>1270</v>
      </c>
      <c r="C1273">
        <v>146.0476793</v>
      </c>
      <c r="D1273">
        <v>-17.527828190000001</v>
      </c>
      <c r="F1273" t="str">
        <f>HYPERLINK("D:\Data From Lucan\2024\Johnstone\Frames_for_Analysis\1270_20240610_0003_L_0678.jpg","1270_20240610_0003_L_0678.jpg")</f>
        <v>1270_20240610_0003_L_0678.jpg</v>
      </c>
      <c r="G1273">
        <v>3</v>
      </c>
      <c r="H1273" t="s">
        <v>26</v>
      </c>
      <c r="I1273" t="str">
        <f t="shared" si="19"/>
        <v>X</v>
      </c>
      <c r="K1273" s="32"/>
      <c r="L1273" s="32"/>
      <c r="M1273" s="32"/>
      <c r="N1273" s="32"/>
      <c r="O1273">
        <v>2</v>
      </c>
      <c r="P1273" s="58">
        <v>0</v>
      </c>
      <c r="Q1273" s="58">
        <v>1</v>
      </c>
      <c r="S1273" s="58">
        <v>0</v>
      </c>
      <c r="T1273" s="58">
        <v>0</v>
      </c>
      <c r="U1273" s="58">
        <v>0</v>
      </c>
      <c r="V1273" s="58">
        <v>0</v>
      </c>
      <c r="W1273" s="4"/>
    </row>
    <row r="1274" spans="1:23" x14ac:dyDescent="0.35">
      <c r="A1274">
        <v>1270</v>
      </c>
      <c r="B1274">
        <v>1271</v>
      </c>
      <c r="C1274">
        <v>146.0476156</v>
      </c>
      <c r="D1274">
        <v>-17.527897790000001</v>
      </c>
      <c r="F1274" t="str">
        <f>HYPERLINK("D:\Data From Lucan\2024\Johnstone\Frames_for_Analysis\1271_20240610_0003_L_0683.jpg","1271_20240610_0003_L_0683.jpg")</f>
        <v>1271_20240610_0003_L_0683.jpg</v>
      </c>
      <c r="G1274">
        <v>3</v>
      </c>
      <c r="I1274">
        <f t="shared" si="19"/>
        <v>1</v>
      </c>
      <c r="J1274" s="58">
        <v>1</v>
      </c>
      <c r="K1274" s="32"/>
      <c r="L1274" s="32"/>
      <c r="M1274" s="32"/>
      <c r="N1274" s="32"/>
      <c r="O1274">
        <v>2</v>
      </c>
      <c r="P1274" s="58">
        <v>0</v>
      </c>
      <c r="Q1274" s="58">
        <v>0</v>
      </c>
      <c r="R1274" s="58">
        <v>1</v>
      </c>
      <c r="S1274" s="58">
        <v>0</v>
      </c>
      <c r="T1274" s="58">
        <v>0</v>
      </c>
      <c r="U1274" s="58">
        <v>0</v>
      </c>
      <c r="V1274" s="58">
        <v>0</v>
      </c>
      <c r="W1274" s="4">
        <v>1</v>
      </c>
    </row>
    <row r="1275" spans="1:23" x14ac:dyDescent="0.35">
      <c r="A1275">
        <v>1271</v>
      </c>
      <c r="B1275">
        <v>1272</v>
      </c>
      <c r="C1275">
        <v>146.047552</v>
      </c>
      <c r="D1275">
        <v>-17.527967390000001</v>
      </c>
      <c r="F1275" t="str">
        <f>HYPERLINK("D:\Data From Lucan\2024\Johnstone\Frames_for_Analysis\1272_20240610_0003_L_0685.jpg","1272_20240610_0003_L_0685.jpg")</f>
        <v>1272_20240610_0003_L_0685.jpg</v>
      </c>
      <c r="G1275">
        <v>3</v>
      </c>
      <c r="I1275">
        <f t="shared" si="19"/>
        <v>1</v>
      </c>
      <c r="J1275" s="58">
        <v>1</v>
      </c>
      <c r="K1275" s="32"/>
      <c r="L1275" s="32"/>
      <c r="M1275" s="32"/>
      <c r="N1275" s="32"/>
      <c r="O1275">
        <v>2</v>
      </c>
      <c r="P1275" s="58">
        <v>0</v>
      </c>
      <c r="Q1275" s="58">
        <v>0</v>
      </c>
      <c r="R1275" s="58">
        <v>0</v>
      </c>
      <c r="S1275" s="58">
        <v>0</v>
      </c>
      <c r="T1275" s="58">
        <v>0</v>
      </c>
      <c r="U1275" s="58">
        <v>0</v>
      </c>
      <c r="V1275" s="58">
        <v>0</v>
      </c>
      <c r="W1275" s="4">
        <v>1</v>
      </c>
    </row>
    <row r="1276" spans="1:23" x14ac:dyDescent="0.35">
      <c r="A1276">
        <v>1272</v>
      </c>
      <c r="B1276">
        <v>1273</v>
      </c>
      <c r="C1276">
        <v>146.04748530000001</v>
      </c>
      <c r="D1276">
        <v>-17.528033969999999</v>
      </c>
      <c r="F1276" t="str">
        <f>HYPERLINK("D:\Data From Lucan\2024\Johnstone\Frames_for_Analysis\1273_20240610_0003_L_0688.jpg","1273_20240610_0003_L_0688.jpg")</f>
        <v>1273_20240610_0003_L_0688.jpg</v>
      </c>
      <c r="G1276">
        <v>3</v>
      </c>
      <c r="I1276">
        <f t="shared" si="19"/>
        <v>0</v>
      </c>
      <c r="J1276" s="58">
        <v>0</v>
      </c>
      <c r="K1276" s="32"/>
      <c r="L1276" s="32"/>
      <c r="M1276" s="32"/>
      <c r="N1276" s="32"/>
      <c r="O1276">
        <v>2</v>
      </c>
      <c r="P1276" s="58">
        <v>0</v>
      </c>
      <c r="Q1276" s="58">
        <v>0</v>
      </c>
      <c r="R1276" s="58">
        <v>0</v>
      </c>
      <c r="S1276" s="58">
        <v>0</v>
      </c>
      <c r="T1276" s="58">
        <v>0</v>
      </c>
      <c r="U1276" s="58">
        <v>0</v>
      </c>
      <c r="V1276" s="58">
        <v>0</v>
      </c>
      <c r="W1276" s="4">
        <v>1</v>
      </c>
    </row>
    <row r="1277" spans="1:23" x14ac:dyDescent="0.35">
      <c r="A1277">
        <v>1273</v>
      </c>
      <c r="B1277">
        <v>1274</v>
      </c>
      <c r="C1277">
        <v>146.04741770000001</v>
      </c>
      <c r="D1277">
        <v>-17.528099749999999</v>
      </c>
      <c r="F1277" t="str">
        <f>HYPERLINK("D:\Data From Lucan\2024\Johnstone\Frames_for_Analysis\1274_20240610_0003_L_0694.jpg","1274_20240610_0003_L_0694.jpg")</f>
        <v>1274_20240610_0003_L_0694.jpg</v>
      </c>
      <c r="G1277">
        <v>3</v>
      </c>
      <c r="I1277">
        <f t="shared" si="19"/>
        <v>0</v>
      </c>
      <c r="J1277" s="58">
        <v>0</v>
      </c>
      <c r="K1277" s="32"/>
      <c r="L1277" s="32"/>
      <c r="M1277" s="32"/>
      <c r="N1277" s="32"/>
      <c r="O1277">
        <v>2</v>
      </c>
      <c r="P1277" s="58">
        <v>0</v>
      </c>
      <c r="Q1277" s="58">
        <v>1</v>
      </c>
      <c r="R1277" s="58">
        <v>0</v>
      </c>
      <c r="S1277" s="58">
        <v>0</v>
      </c>
      <c r="T1277" s="58">
        <v>0</v>
      </c>
      <c r="U1277" s="58">
        <v>0</v>
      </c>
      <c r="V1277" s="58">
        <v>0</v>
      </c>
      <c r="W1277" s="4">
        <v>1</v>
      </c>
    </row>
    <row r="1278" spans="1:23" x14ac:dyDescent="0.35">
      <c r="A1278">
        <v>1274</v>
      </c>
      <c r="B1278">
        <v>1275</v>
      </c>
      <c r="C1278">
        <v>146.04735009999999</v>
      </c>
      <c r="D1278">
        <v>-17.528165529999999</v>
      </c>
      <c r="F1278" t="str">
        <f>HYPERLINK("D:\Data From Lucan\2024\Johnstone\Frames_for_Analysis\1275_20240610_0003_L_0699.jpg","1275_20240610_0003_L_0699.jpg")</f>
        <v>1275_20240610_0003_L_0699.jpg</v>
      </c>
      <c r="G1278">
        <v>3</v>
      </c>
      <c r="I1278">
        <f t="shared" si="19"/>
        <v>0</v>
      </c>
      <c r="J1278" s="58">
        <v>0</v>
      </c>
      <c r="K1278" s="32"/>
      <c r="L1278" s="32"/>
      <c r="M1278" s="32"/>
      <c r="N1278" s="32"/>
      <c r="O1278">
        <v>3</v>
      </c>
      <c r="P1278" s="58">
        <v>1</v>
      </c>
      <c r="Q1278" s="58">
        <v>1</v>
      </c>
      <c r="R1278" s="58">
        <v>0</v>
      </c>
      <c r="S1278" s="58">
        <v>0</v>
      </c>
      <c r="T1278" s="58">
        <v>0</v>
      </c>
      <c r="U1278" s="58">
        <v>0</v>
      </c>
      <c r="V1278" s="58">
        <v>0</v>
      </c>
      <c r="W1278" s="4">
        <v>2</v>
      </c>
    </row>
    <row r="1279" spans="1:23" x14ac:dyDescent="0.35">
      <c r="A1279">
        <v>1275</v>
      </c>
      <c r="B1279">
        <v>1276</v>
      </c>
      <c r="C1279">
        <v>146.04728249999999</v>
      </c>
      <c r="D1279">
        <v>-17.528231309999999</v>
      </c>
      <c r="F1279" t="str">
        <f>HYPERLINK("D:\Data From Lucan\2024\Johnstone\Frames_for_Analysis\1276_20240610_0003_L_0704.jpg","1276_20240610_0003_L_0704.jpg")</f>
        <v>1276_20240610_0003_L_0704.jpg</v>
      </c>
      <c r="G1279">
        <v>3</v>
      </c>
      <c r="I1279">
        <f t="shared" si="19"/>
        <v>1</v>
      </c>
      <c r="J1279" s="58">
        <v>1</v>
      </c>
      <c r="K1279" s="32"/>
      <c r="L1279" s="32"/>
      <c r="M1279" s="32"/>
      <c r="N1279" s="32"/>
      <c r="O1279">
        <v>2</v>
      </c>
      <c r="P1279" s="58">
        <v>0</v>
      </c>
      <c r="Q1279" s="58">
        <v>1</v>
      </c>
      <c r="R1279" s="58">
        <v>2</v>
      </c>
      <c r="S1279" s="58">
        <v>0</v>
      </c>
      <c r="T1279" s="58">
        <v>0</v>
      </c>
      <c r="U1279" s="58">
        <v>0</v>
      </c>
      <c r="V1279" s="58">
        <v>0</v>
      </c>
      <c r="W1279" s="4">
        <v>1</v>
      </c>
    </row>
    <row r="1280" spans="1:23" x14ac:dyDescent="0.35">
      <c r="A1280">
        <v>1276</v>
      </c>
      <c r="B1280">
        <v>1277</v>
      </c>
      <c r="C1280">
        <v>146.0466552</v>
      </c>
      <c r="D1280">
        <v>-17.527468460000001</v>
      </c>
      <c r="G1280">
        <v>3</v>
      </c>
      <c r="H1280" t="s">
        <v>26</v>
      </c>
      <c r="I1280" t="str">
        <f t="shared" si="19"/>
        <v>X</v>
      </c>
      <c r="K1280" s="32"/>
      <c r="L1280" s="32"/>
      <c r="M1280" s="32"/>
      <c r="N1280" s="32"/>
      <c r="W1280" s="4"/>
    </row>
    <row r="1281" spans="1:23" x14ac:dyDescent="0.35">
      <c r="A1281">
        <v>1277</v>
      </c>
      <c r="B1281">
        <v>1278</v>
      </c>
      <c r="C1281">
        <v>146.0467385</v>
      </c>
      <c r="D1281">
        <v>-17.52742417</v>
      </c>
      <c r="G1281">
        <v>3</v>
      </c>
      <c r="H1281" t="s">
        <v>26</v>
      </c>
      <c r="I1281" t="str">
        <f t="shared" si="19"/>
        <v>X</v>
      </c>
      <c r="K1281" s="32"/>
      <c r="L1281" s="32"/>
      <c r="M1281" s="32"/>
      <c r="N1281" s="32"/>
      <c r="W1281" s="4"/>
    </row>
    <row r="1282" spans="1:23" x14ac:dyDescent="0.35">
      <c r="A1282">
        <v>1278</v>
      </c>
      <c r="B1282">
        <v>1279</v>
      </c>
      <c r="C1282">
        <v>146.04682170000001</v>
      </c>
      <c r="D1282">
        <v>-17.527379870000001</v>
      </c>
      <c r="G1282">
        <v>3</v>
      </c>
      <c r="H1282" t="s">
        <v>26</v>
      </c>
      <c r="I1282" t="str">
        <f t="shared" si="19"/>
        <v>X</v>
      </c>
      <c r="K1282" s="32"/>
      <c r="L1282" s="32"/>
      <c r="M1282" s="32"/>
      <c r="N1282" s="32"/>
      <c r="W1282" s="4"/>
    </row>
    <row r="1283" spans="1:23" x14ac:dyDescent="0.35">
      <c r="A1283">
        <v>1279</v>
      </c>
      <c r="B1283">
        <v>1280</v>
      </c>
      <c r="C1283">
        <v>146.0468946</v>
      </c>
      <c r="D1283">
        <v>-17.527320790000001</v>
      </c>
      <c r="G1283">
        <v>3</v>
      </c>
      <c r="H1283" t="s">
        <v>26</v>
      </c>
      <c r="I1283" t="str">
        <f t="shared" si="19"/>
        <v>X</v>
      </c>
      <c r="K1283" s="32"/>
      <c r="L1283" s="32"/>
      <c r="M1283" s="32"/>
      <c r="N1283" s="32"/>
      <c r="W1283" s="4"/>
    </row>
    <row r="1284" spans="1:23" x14ac:dyDescent="0.35">
      <c r="A1284">
        <v>1280</v>
      </c>
      <c r="B1284">
        <v>1281</v>
      </c>
      <c r="C1284">
        <v>146.0469646</v>
      </c>
      <c r="D1284">
        <v>-17.52725753</v>
      </c>
      <c r="G1284">
        <v>3</v>
      </c>
      <c r="H1284" t="s">
        <v>26</v>
      </c>
      <c r="I1284" t="str">
        <f t="shared" si="19"/>
        <v>X</v>
      </c>
      <c r="K1284" s="32"/>
      <c r="L1284" s="32"/>
      <c r="M1284" s="32"/>
      <c r="N1284" s="32"/>
      <c r="W1284" s="4"/>
    </row>
    <row r="1285" spans="1:23" x14ac:dyDescent="0.35">
      <c r="A1285">
        <v>1281</v>
      </c>
      <c r="B1285">
        <v>1282</v>
      </c>
      <c r="C1285">
        <v>146.0470345</v>
      </c>
      <c r="D1285">
        <v>-17.527194269999999</v>
      </c>
      <c r="G1285">
        <v>3</v>
      </c>
      <c r="H1285" t="s">
        <v>26</v>
      </c>
      <c r="I1285" t="str">
        <f t="shared" ref="I1285:I1348" si="20">IF(H1285="X","X",IF(J1285="NA","X",IF(J1285="","X",J1285)))</f>
        <v>X</v>
      </c>
      <c r="K1285" s="32"/>
      <c r="L1285" s="32"/>
      <c r="M1285" s="32"/>
      <c r="N1285" s="32"/>
      <c r="W1285" s="4"/>
    </row>
    <row r="1286" spans="1:23" x14ac:dyDescent="0.35">
      <c r="A1286">
        <v>1282</v>
      </c>
      <c r="B1286">
        <v>1283</v>
      </c>
      <c r="C1286">
        <v>146.04710439999999</v>
      </c>
      <c r="D1286">
        <v>-17.527131010000002</v>
      </c>
      <c r="G1286">
        <v>3</v>
      </c>
      <c r="H1286" t="s">
        <v>26</v>
      </c>
      <c r="I1286" t="str">
        <f t="shared" si="20"/>
        <v>X</v>
      </c>
      <c r="K1286" s="32"/>
      <c r="L1286" s="32"/>
      <c r="M1286" s="32"/>
      <c r="N1286" s="32"/>
      <c r="W1286" s="4"/>
    </row>
    <row r="1287" spans="1:23" x14ac:dyDescent="0.35">
      <c r="A1287">
        <v>1283</v>
      </c>
      <c r="B1287">
        <v>1284</v>
      </c>
      <c r="C1287">
        <v>146.04717439999999</v>
      </c>
      <c r="D1287">
        <v>-17.527067750000001</v>
      </c>
      <c r="G1287">
        <v>3</v>
      </c>
      <c r="H1287" t="s">
        <v>26</v>
      </c>
      <c r="I1287" t="str">
        <f t="shared" si="20"/>
        <v>X</v>
      </c>
      <c r="K1287" s="32"/>
      <c r="L1287" s="32"/>
      <c r="M1287" s="32"/>
      <c r="N1287" s="32"/>
      <c r="W1287" s="4"/>
    </row>
    <row r="1288" spans="1:23" x14ac:dyDescent="0.35">
      <c r="A1288">
        <v>1284</v>
      </c>
      <c r="B1288">
        <v>1285</v>
      </c>
      <c r="C1288">
        <v>146.04724429999999</v>
      </c>
      <c r="D1288">
        <v>-17.527004489999999</v>
      </c>
      <c r="G1288">
        <v>3</v>
      </c>
      <c r="H1288" t="s">
        <v>26</v>
      </c>
      <c r="I1288" t="str">
        <f t="shared" si="20"/>
        <v>X</v>
      </c>
      <c r="K1288" s="32"/>
      <c r="L1288" s="32"/>
      <c r="M1288" s="32"/>
      <c r="N1288" s="32"/>
      <c r="W1288" s="4"/>
    </row>
    <row r="1289" spans="1:23" x14ac:dyDescent="0.35">
      <c r="A1289">
        <v>1285</v>
      </c>
      <c r="B1289">
        <v>1286</v>
      </c>
      <c r="C1289">
        <v>146.0473131</v>
      </c>
      <c r="D1289">
        <v>-17.526940029999999</v>
      </c>
      <c r="G1289">
        <v>3</v>
      </c>
      <c r="H1289" t="s">
        <v>26</v>
      </c>
      <c r="I1289" t="str">
        <f t="shared" si="20"/>
        <v>X</v>
      </c>
      <c r="K1289" s="32"/>
      <c r="L1289" s="32"/>
      <c r="M1289" s="32"/>
      <c r="N1289" s="32"/>
      <c r="W1289" s="4"/>
    </row>
    <row r="1290" spans="1:23" x14ac:dyDescent="0.35">
      <c r="A1290">
        <v>1286</v>
      </c>
      <c r="B1290">
        <v>1287</v>
      </c>
      <c r="C1290">
        <v>146.0473819</v>
      </c>
      <c r="D1290">
        <v>-17.526875499999999</v>
      </c>
      <c r="G1290">
        <v>3</v>
      </c>
      <c r="H1290" t="s">
        <v>26</v>
      </c>
      <c r="I1290" t="str">
        <f t="shared" si="20"/>
        <v>X</v>
      </c>
      <c r="K1290" s="32"/>
      <c r="L1290" s="32"/>
      <c r="M1290" s="32"/>
      <c r="N1290" s="32"/>
      <c r="W1290" s="4"/>
    </row>
    <row r="1291" spans="1:23" x14ac:dyDescent="0.35">
      <c r="A1291">
        <v>1287</v>
      </c>
      <c r="B1291">
        <v>1288</v>
      </c>
      <c r="C1291">
        <v>146.047436</v>
      </c>
      <c r="D1291">
        <v>-17.526800399999999</v>
      </c>
      <c r="G1291">
        <v>3</v>
      </c>
      <c r="H1291" t="s">
        <v>26</v>
      </c>
      <c r="I1291" t="str">
        <f t="shared" si="20"/>
        <v>X</v>
      </c>
      <c r="K1291" s="32"/>
      <c r="L1291" s="32"/>
      <c r="M1291" s="32"/>
      <c r="N1291" s="32"/>
      <c r="W1291" s="4"/>
    </row>
    <row r="1292" spans="1:23" x14ac:dyDescent="0.35">
      <c r="A1292">
        <v>1288</v>
      </c>
      <c r="B1292">
        <v>1289</v>
      </c>
      <c r="C1292">
        <v>146.04747549999999</v>
      </c>
      <c r="D1292">
        <v>-17.52671475</v>
      </c>
      <c r="G1292">
        <v>3</v>
      </c>
      <c r="H1292" t="s">
        <v>26</v>
      </c>
      <c r="I1292" t="str">
        <f t="shared" si="20"/>
        <v>X</v>
      </c>
      <c r="K1292" s="32"/>
      <c r="L1292" s="32"/>
      <c r="M1292" s="32"/>
      <c r="N1292" s="32"/>
      <c r="W1292" s="4"/>
    </row>
    <row r="1293" spans="1:23" x14ac:dyDescent="0.35">
      <c r="A1293">
        <v>1289</v>
      </c>
      <c r="B1293">
        <v>1290</v>
      </c>
      <c r="C1293">
        <v>146.04751490000001</v>
      </c>
      <c r="D1293">
        <v>-17.52662909</v>
      </c>
      <c r="G1293">
        <v>3</v>
      </c>
      <c r="H1293" t="s">
        <v>26</v>
      </c>
      <c r="I1293" t="str">
        <f t="shared" si="20"/>
        <v>X</v>
      </c>
      <c r="K1293" s="32"/>
      <c r="L1293" s="32"/>
      <c r="M1293" s="32"/>
      <c r="N1293" s="32"/>
      <c r="W1293" s="4"/>
    </row>
    <row r="1294" spans="1:23" x14ac:dyDescent="0.35">
      <c r="A1294">
        <v>1290</v>
      </c>
      <c r="B1294">
        <v>1291</v>
      </c>
      <c r="C1294">
        <v>146.0475544</v>
      </c>
      <c r="D1294">
        <v>-17.526543440000001</v>
      </c>
      <c r="G1294">
        <v>3</v>
      </c>
      <c r="H1294" t="s">
        <v>26</v>
      </c>
      <c r="I1294" t="str">
        <f t="shared" si="20"/>
        <v>X</v>
      </c>
      <c r="K1294" s="32"/>
      <c r="L1294" s="32"/>
      <c r="M1294" s="32"/>
      <c r="N1294" s="32"/>
      <c r="W1294" s="4"/>
    </row>
    <row r="1295" spans="1:23" x14ac:dyDescent="0.35">
      <c r="A1295">
        <v>1291</v>
      </c>
      <c r="B1295">
        <v>1292</v>
      </c>
      <c r="C1295">
        <v>146.04759379999999</v>
      </c>
      <c r="D1295">
        <v>-17.526457789999998</v>
      </c>
      <c r="G1295">
        <v>3</v>
      </c>
      <c r="H1295" t="s">
        <v>26</v>
      </c>
      <c r="I1295" t="str">
        <f t="shared" si="20"/>
        <v>X</v>
      </c>
      <c r="K1295" s="32"/>
      <c r="L1295" s="32"/>
      <c r="M1295" s="32"/>
      <c r="N1295" s="32"/>
      <c r="W1295" s="4"/>
    </row>
    <row r="1296" spans="1:23" x14ac:dyDescent="0.35">
      <c r="A1296">
        <v>1292</v>
      </c>
      <c r="B1296">
        <v>1293</v>
      </c>
      <c r="C1296">
        <v>146.04764119999999</v>
      </c>
      <c r="D1296">
        <v>-17.526376259999999</v>
      </c>
      <c r="G1296">
        <v>3</v>
      </c>
      <c r="H1296" t="s">
        <v>26</v>
      </c>
      <c r="I1296" t="str">
        <f t="shared" si="20"/>
        <v>X</v>
      </c>
      <c r="K1296" s="32"/>
      <c r="L1296" s="32"/>
      <c r="M1296" s="32"/>
      <c r="N1296" s="32"/>
      <c r="W1296" s="4"/>
    </row>
    <row r="1297" spans="1:23" x14ac:dyDescent="0.35">
      <c r="A1297">
        <v>1293</v>
      </c>
      <c r="B1297">
        <v>1294</v>
      </c>
      <c r="C1297">
        <v>146.04768899999999</v>
      </c>
      <c r="D1297">
        <v>-17.526294960000001</v>
      </c>
      <c r="G1297">
        <v>3</v>
      </c>
      <c r="H1297" t="s">
        <v>26</v>
      </c>
      <c r="I1297" t="str">
        <f t="shared" si="20"/>
        <v>X</v>
      </c>
      <c r="K1297" s="32"/>
      <c r="L1297" s="32"/>
      <c r="M1297" s="32"/>
      <c r="N1297" s="32"/>
      <c r="W1297" s="4"/>
    </row>
    <row r="1298" spans="1:23" x14ac:dyDescent="0.35">
      <c r="A1298">
        <v>1294</v>
      </c>
      <c r="B1298">
        <v>1295</v>
      </c>
      <c r="C1298">
        <v>146.0477367</v>
      </c>
      <c r="D1298">
        <v>-17.526213649999999</v>
      </c>
      <c r="G1298">
        <v>3</v>
      </c>
      <c r="H1298" t="s">
        <v>26</v>
      </c>
      <c r="I1298" t="str">
        <f t="shared" si="20"/>
        <v>X</v>
      </c>
      <c r="K1298" s="32"/>
      <c r="L1298" s="32"/>
      <c r="M1298" s="32"/>
      <c r="N1298" s="32"/>
      <c r="W1298" s="4"/>
    </row>
    <row r="1299" spans="1:23" x14ac:dyDescent="0.35">
      <c r="A1299">
        <v>1295</v>
      </c>
      <c r="B1299">
        <v>1296</v>
      </c>
      <c r="C1299">
        <v>146.04778450000001</v>
      </c>
      <c r="D1299">
        <v>-17.526132350000001</v>
      </c>
      <c r="G1299">
        <v>3</v>
      </c>
      <c r="H1299" t="s">
        <v>26</v>
      </c>
      <c r="I1299" t="str">
        <f t="shared" si="20"/>
        <v>X</v>
      </c>
      <c r="K1299" s="32"/>
      <c r="L1299" s="32"/>
      <c r="M1299" s="32"/>
      <c r="N1299" s="32"/>
      <c r="W1299" s="4"/>
    </row>
    <row r="1300" spans="1:23" x14ac:dyDescent="0.35">
      <c r="A1300">
        <v>1296</v>
      </c>
      <c r="B1300">
        <v>1297</v>
      </c>
      <c r="C1300">
        <v>146.04783230000001</v>
      </c>
      <c r="D1300">
        <v>-17.526051039999999</v>
      </c>
      <c r="G1300">
        <v>3</v>
      </c>
      <c r="H1300" t="s">
        <v>26</v>
      </c>
      <c r="I1300" t="str">
        <f t="shared" si="20"/>
        <v>X</v>
      </c>
      <c r="K1300" s="32"/>
      <c r="L1300" s="32"/>
      <c r="M1300" s="32"/>
      <c r="N1300" s="32"/>
      <c r="W1300" s="4"/>
    </row>
    <row r="1301" spans="1:23" x14ac:dyDescent="0.35">
      <c r="A1301">
        <v>1297</v>
      </c>
      <c r="B1301">
        <v>1298</v>
      </c>
      <c r="C1301">
        <v>146.04788009999999</v>
      </c>
      <c r="D1301">
        <v>-17.52596973</v>
      </c>
      <c r="G1301">
        <v>3</v>
      </c>
      <c r="H1301" t="s">
        <v>26</v>
      </c>
      <c r="I1301" t="str">
        <f t="shared" si="20"/>
        <v>X</v>
      </c>
      <c r="K1301" s="32"/>
      <c r="L1301" s="32"/>
      <c r="M1301" s="32"/>
      <c r="N1301" s="32"/>
      <c r="W1301" s="4"/>
    </row>
    <row r="1302" spans="1:23" x14ac:dyDescent="0.35">
      <c r="A1302">
        <v>1298</v>
      </c>
      <c r="B1302">
        <v>1299</v>
      </c>
      <c r="C1302">
        <v>146.0479278</v>
      </c>
      <c r="D1302">
        <v>-17.525888429999998</v>
      </c>
      <c r="G1302">
        <v>3</v>
      </c>
      <c r="H1302" t="s">
        <v>26</v>
      </c>
      <c r="I1302" t="str">
        <f t="shared" si="20"/>
        <v>X</v>
      </c>
      <c r="K1302" s="32"/>
      <c r="L1302" s="32"/>
      <c r="M1302" s="32"/>
      <c r="N1302" s="32"/>
      <c r="W1302" s="4"/>
    </row>
    <row r="1303" spans="1:23" x14ac:dyDescent="0.35">
      <c r="A1303">
        <v>1299</v>
      </c>
      <c r="B1303">
        <v>1300</v>
      </c>
      <c r="C1303">
        <v>146.04796920000001</v>
      </c>
      <c r="D1303">
        <v>-17.52580407</v>
      </c>
      <c r="G1303">
        <v>3</v>
      </c>
      <c r="H1303" t="s">
        <v>26</v>
      </c>
      <c r="I1303" t="str">
        <f t="shared" si="20"/>
        <v>X</v>
      </c>
      <c r="K1303" s="32"/>
      <c r="L1303" s="32"/>
      <c r="M1303" s="32"/>
      <c r="N1303" s="32"/>
      <c r="W1303" s="4"/>
    </row>
    <row r="1304" spans="1:23" x14ac:dyDescent="0.35">
      <c r="A1304">
        <v>1300</v>
      </c>
      <c r="B1304">
        <v>1301</v>
      </c>
      <c r="C1304">
        <v>146.04800180000001</v>
      </c>
      <c r="D1304">
        <v>-17.52571558</v>
      </c>
      <c r="G1304">
        <v>3</v>
      </c>
      <c r="H1304" t="s">
        <v>26</v>
      </c>
      <c r="I1304" t="str">
        <f t="shared" si="20"/>
        <v>X</v>
      </c>
      <c r="K1304" s="32"/>
      <c r="L1304" s="32"/>
      <c r="M1304" s="32"/>
      <c r="N1304" s="32"/>
      <c r="W1304" s="4"/>
    </row>
    <row r="1305" spans="1:23" x14ac:dyDescent="0.35">
      <c r="A1305">
        <v>1301</v>
      </c>
      <c r="B1305">
        <v>1302</v>
      </c>
      <c r="C1305">
        <v>146.04803440000001</v>
      </c>
      <c r="D1305">
        <v>-17.52562709</v>
      </c>
      <c r="G1305">
        <v>3</v>
      </c>
      <c r="H1305" t="s">
        <v>26</v>
      </c>
      <c r="I1305" t="str">
        <f t="shared" si="20"/>
        <v>X</v>
      </c>
      <c r="K1305" s="32"/>
      <c r="L1305" s="32"/>
      <c r="M1305" s="32"/>
      <c r="N1305" s="32"/>
      <c r="W1305" s="4"/>
    </row>
    <row r="1306" spans="1:23" x14ac:dyDescent="0.35">
      <c r="A1306">
        <v>1302</v>
      </c>
      <c r="B1306">
        <v>1303</v>
      </c>
      <c r="C1306">
        <v>146.04799410000001</v>
      </c>
      <c r="D1306">
        <v>-17.525556040000001</v>
      </c>
      <c r="G1306">
        <v>3</v>
      </c>
      <c r="H1306" t="s">
        <v>26</v>
      </c>
      <c r="I1306" t="str">
        <f t="shared" si="20"/>
        <v>X</v>
      </c>
      <c r="K1306" s="32"/>
      <c r="L1306" s="32"/>
      <c r="M1306" s="32"/>
      <c r="N1306" s="32"/>
      <c r="W1306" s="4"/>
    </row>
    <row r="1307" spans="1:23" x14ac:dyDescent="0.35">
      <c r="A1307">
        <v>1303</v>
      </c>
      <c r="B1307">
        <v>1304</v>
      </c>
      <c r="C1307">
        <v>146.04791420000001</v>
      </c>
      <c r="D1307">
        <v>-17.525524789999999</v>
      </c>
      <c r="G1307">
        <v>3</v>
      </c>
      <c r="H1307" t="s">
        <v>26</v>
      </c>
      <c r="I1307" t="str">
        <f t="shared" si="20"/>
        <v>X</v>
      </c>
      <c r="K1307" s="32"/>
      <c r="L1307" s="32"/>
      <c r="M1307" s="32"/>
      <c r="N1307" s="32"/>
      <c r="W1307" s="4"/>
    </row>
    <row r="1308" spans="1:23" x14ac:dyDescent="0.35">
      <c r="A1308">
        <v>1304</v>
      </c>
      <c r="B1308">
        <v>1305</v>
      </c>
      <c r="C1308">
        <v>146.0478205</v>
      </c>
      <c r="D1308">
        <v>-17.525535600000001</v>
      </c>
      <c r="G1308">
        <v>3</v>
      </c>
      <c r="H1308" t="s">
        <v>26</v>
      </c>
      <c r="I1308" t="str">
        <f t="shared" si="20"/>
        <v>X</v>
      </c>
      <c r="K1308" s="32"/>
      <c r="L1308" s="32"/>
      <c r="M1308" s="32"/>
      <c r="N1308" s="32"/>
      <c r="W1308" s="4"/>
    </row>
    <row r="1309" spans="1:23" x14ac:dyDescent="0.35">
      <c r="A1309">
        <v>1305</v>
      </c>
      <c r="B1309">
        <v>1306</v>
      </c>
      <c r="C1309">
        <v>146.0477357</v>
      </c>
      <c r="D1309">
        <v>-17.525572390000001</v>
      </c>
      <c r="G1309">
        <v>3</v>
      </c>
      <c r="H1309" t="s">
        <v>26</v>
      </c>
      <c r="I1309" t="str">
        <f t="shared" si="20"/>
        <v>X</v>
      </c>
      <c r="K1309" s="32"/>
      <c r="L1309" s="32"/>
      <c r="M1309" s="32"/>
      <c r="N1309" s="32"/>
      <c r="W1309" s="4"/>
    </row>
    <row r="1310" spans="1:23" x14ac:dyDescent="0.35">
      <c r="A1310">
        <v>1306</v>
      </c>
      <c r="B1310">
        <v>1307</v>
      </c>
      <c r="C1310">
        <v>146.0476438</v>
      </c>
      <c r="D1310">
        <v>-17.52559115</v>
      </c>
      <c r="G1310">
        <v>3</v>
      </c>
      <c r="H1310" t="s">
        <v>26</v>
      </c>
      <c r="I1310" t="str">
        <f t="shared" si="20"/>
        <v>X</v>
      </c>
      <c r="K1310" s="32"/>
      <c r="L1310" s="32"/>
      <c r="M1310" s="32"/>
      <c r="N1310" s="32"/>
      <c r="W1310" s="4"/>
    </row>
    <row r="1311" spans="1:23" x14ac:dyDescent="0.35">
      <c r="A1311">
        <v>1307</v>
      </c>
      <c r="B1311">
        <v>1308</v>
      </c>
      <c r="C1311">
        <v>146.04755080000001</v>
      </c>
      <c r="D1311">
        <v>-17.525606939999999</v>
      </c>
      <c r="G1311">
        <v>3</v>
      </c>
      <c r="H1311" t="s">
        <v>26</v>
      </c>
      <c r="I1311" t="str">
        <f t="shared" si="20"/>
        <v>X</v>
      </c>
      <c r="K1311" s="32"/>
      <c r="L1311" s="32"/>
      <c r="M1311" s="32"/>
      <c r="N1311" s="32"/>
      <c r="W1311" s="4"/>
    </row>
    <row r="1312" spans="1:23" x14ac:dyDescent="0.35">
      <c r="A1312">
        <v>1308</v>
      </c>
      <c r="B1312">
        <v>1309</v>
      </c>
      <c r="C1312">
        <v>146.04750680000001</v>
      </c>
      <c r="D1312">
        <v>-17.525531900000001</v>
      </c>
      <c r="G1312">
        <v>3</v>
      </c>
      <c r="H1312" t="s">
        <v>26</v>
      </c>
      <c r="I1312" t="str">
        <f t="shared" si="20"/>
        <v>X</v>
      </c>
      <c r="K1312" s="32"/>
      <c r="L1312" s="32"/>
      <c r="M1312" s="32"/>
      <c r="N1312" s="32"/>
      <c r="W1312" s="4"/>
    </row>
    <row r="1313" spans="1:23" x14ac:dyDescent="0.35">
      <c r="A1313">
        <v>1309</v>
      </c>
      <c r="B1313">
        <v>1310</v>
      </c>
      <c r="C1313">
        <v>146.04742529999999</v>
      </c>
      <c r="D1313">
        <v>-17.52549338</v>
      </c>
      <c r="G1313">
        <v>3</v>
      </c>
      <c r="H1313" t="s">
        <v>26</v>
      </c>
      <c r="I1313" t="str">
        <f t="shared" si="20"/>
        <v>X</v>
      </c>
      <c r="K1313" s="32"/>
      <c r="L1313" s="32"/>
      <c r="M1313" s="32"/>
      <c r="N1313" s="32"/>
      <c r="W1313" s="4"/>
    </row>
    <row r="1314" spans="1:23" x14ac:dyDescent="0.35">
      <c r="A1314">
        <v>1310</v>
      </c>
      <c r="B1314">
        <v>1311</v>
      </c>
      <c r="C1314">
        <v>146.04733469999999</v>
      </c>
      <c r="D1314">
        <v>-17.525467330000001</v>
      </c>
      <c r="G1314">
        <v>3</v>
      </c>
      <c r="H1314" t="s">
        <v>26</v>
      </c>
      <c r="I1314" t="str">
        <f t="shared" si="20"/>
        <v>X</v>
      </c>
      <c r="K1314" s="32"/>
      <c r="L1314" s="32"/>
      <c r="M1314" s="32"/>
      <c r="N1314" s="32"/>
      <c r="W1314" s="4"/>
    </row>
    <row r="1315" spans="1:23" x14ac:dyDescent="0.35">
      <c r="A1315">
        <v>1311</v>
      </c>
      <c r="B1315">
        <v>1312</v>
      </c>
      <c r="C1315">
        <v>146.04724419999999</v>
      </c>
      <c r="D1315">
        <v>-17.525440840000002</v>
      </c>
      <c r="G1315">
        <v>3</v>
      </c>
      <c r="H1315" t="s">
        <v>26</v>
      </c>
      <c r="I1315" t="str">
        <f t="shared" si="20"/>
        <v>X</v>
      </c>
      <c r="K1315" s="32"/>
      <c r="L1315" s="32"/>
      <c r="M1315" s="32"/>
      <c r="N1315" s="32"/>
      <c r="W1315" s="4"/>
    </row>
    <row r="1316" spans="1:23" x14ac:dyDescent="0.35">
      <c r="A1316">
        <v>1312</v>
      </c>
      <c r="B1316">
        <v>1313</v>
      </c>
      <c r="C1316">
        <v>146.0471537</v>
      </c>
      <c r="D1316">
        <v>-17.525414130000001</v>
      </c>
      <c r="G1316">
        <v>3</v>
      </c>
      <c r="H1316" t="s">
        <v>26</v>
      </c>
      <c r="I1316" t="str">
        <f t="shared" si="20"/>
        <v>X</v>
      </c>
      <c r="K1316" s="32"/>
      <c r="L1316" s="32"/>
      <c r="M1316" s="32"/>
      <c r="N1316" s="32"/>
      <c r="W1316" s="4"/>
    </row>
    <row r="1317" spans="1:23" x14ac:dyDescent="0.35">
      <c r="A1317">
        <v>1313</v>
      </c>
      <c r="B1317">
        <v>1314</v>
      </c>
      <c r="C1317">
        <v>146.04706340000001</v>
      </c>
      <c r="D1317">
        <v>-17.525387009999999</v>
      </c>
      <c r="G1317">
        <v>3</v>
      </c>
      <c r="H1317" t="s">
        <v>26</v>
      </c>
      <c r="I1317" t="str">
        <f t="shared" si="20"/>
        <v>X</v>
      </c>
      <c r="K1317" s="32"/>
      <c r="L1317" s="32"/>
      <c r="M1317" s="32"/>
      <c r="N1317" s="32"/>
      <c r="W1317" s="4"/>
    </row>
    <row r="1318" spans="1:23" x14ac:dyDescent="0.35">
      <c r="A1318">
        <v>1314</v>
      </c>
      <c r="B1318">
        <v>1315</v>
      </c>
      <c r="C1318">
        <v>146.0469775</v>
      </c>
      <c r="D1318">
        <v>-17.525348220000001</v>
      </c>
      <c r="G1318">
        <v>3</v>
      </c>
      <c r="H1318" t="s">
        <v>26</v>
      </c>
      <c r="I1318" t="str">
        <f t="shared" si="20"/>
        <v>X</v>
      </c>
      <c r="K1318" s="32"/>
      <c r="L1318" s="32"/>
      <c r="M1318" s="32"/>
      <c r="N1318" s="32"/>
      <c r="W1318" s="4"/>
    </row>
    <row r="1319" spans="1:23" x14ac:dyDescent="0.35">
      <c r="A1319">
        <v>1315</v>
      </c>
      <c r="B1319">
        <v>1316</v>
      </c>
      <c r="C1319">
        <v>146.04688970000001</v>
      </c>
      <c r="D1319">
        <v>-17.525316719999999</v>
      </c>
      <c r="G1319">
        <v>3</v>
      </c>
      <c r="H1319" t="s">
        <v>26</v>
      </c>
      <c r="I1319" t="str">
        <f t="shared" si="20"/>
        <v>X</v>
      </c>
      <c r="K1319" s="32"/>
      <c r="L1319" s="32"/>
      <c r="M1319" s="32"/>
      <c r="N1319" s="32"/>
      <c r="W1319" s="4"/>
    </row>
    <row r="1320" spans="1:23" x14ac:dyDescent="0.35">
      <c r="A1320">
        <v>1316</v>
      </c>
      <c r="B1320">
        <v>1317</v>
      </c>
      <c r="C1320">
        <v>146.0467956</v>
      </c>
      <c r="D1320">
        <v>-17.525310439999998</v>
      </c>
      <c r="G1320">
        <v>3</v>
      </c>
      <c r="H1320" t="s">
        <v>26</v>
      </c>
      <c r="I1320" t="str">
        <f t="shared" si="20"/>
        <v>X</v>
      </c>
      <c r="K1320" s="32"/>
      <c r="L1320" s="32"/>
      <c r="M1320" s="32"/>
      <c r="N1320" s="32"/>
      <c r="W1320" s="4"/>
    </row>
    <row r="1321" spans="1:23" x14ac:dyDescent="0.35">
      <c r="A1321">
        <v>1317</v>
      </c>
      <c r="B1321">
        <v>1318</v>
      </c>
      <c r="C1321">
        <v>146.0467031</v>
      </c>
      <c r="D1321">
        <v>-17.52531767</v>
      </c>
      <c r="G1321">
        <v>3</v>
      </c>
      <c r="H1321" t="s">
        <v>26</v>
      </c>
      <c r="I1321" t="str">
        <f t="shared" si="20"/>
        <v>X</v>
      </c>
      <c r="K1321" s="32"/>
      <c r="L1321" s="32"/>
      <c r="M1321" s="32"/>
      <c r="N1321" s="32"/>
      <c r="W1321" s="4"/>
    </row>
    <row r="1322" spans="1:23" x14ac:dyDescent="0.35">
      <c r="A1322">
        <v>1318</v>
      </c>
      <c r="B1322">
        <v>1319</v>
      </c>
      <c r="C1322">
        <v>146.0466132</v>
      </c>
      <c r="D1322">
        <v>-17.525345959999999</v>
      </c>
      <c r="G1322">
        <v>3</v>
      </c>
      <c r="H1322" t="s">
        <v>26</v>
      </c>
      <c r="I1322" t="str">
        <f t="shared" si="20"/>
        <v>X</v>
      </c>
      <c r="K1322" s="32"/>
      <c r="L1322" s="32"/>
      <c r="M1322" s="32"/>
      <c r="N1322" s="32"/>
      <c r="W1322" s="4"/>
    </row>
    <row r="1323" spans="1:23" x14ac:dyDescent="0.35">
      <c r="A1323">
        <v>1319</v>
      </c>
      <c r="B1323">
        <v>1320</v>
      </c>
      <c r="C1323">
        <v>146.0465232</v>
      </c>
      <c r="D1323">
        <v>-17.525374249999999</v>
      </c>
      <c r="G1323">
        <v>3</v>
      </c>
      <c r="H1323" t="s">
        <v>26</v>
      </c>
      <c r="I1323" t="str">
        <f t="shared" si="20"/>
        <v>X</v>
      </c>
      <c r="K1323" s="32"/>
      <c r="L1323" s="32"/>
      <c r="M1323" s="32"/>
      <c r="N1323" s="32"/>
      <c r="W1323" s="4"/>
    </row>
    <row r="1324" spans="1:23" x14ac:dyDescent="0.35">
      <c r="A1324">
        <v>1320</v>
      </c>
      <c r="B1324">
        <v>1321</v>
      </c>
      <c r="C1324">
        <v>146.04643369999999</v>
      </c>
      <c r="D1324">
        <v>-17.525403950000001</v>
      </c>
      <c r="G1324">
        <v>3</v>
      </c>
      <c r="H1324" t="s">
        <v>26</v>
      </c>
      <c r="I1324" t="str">
        <f t="shared" si="20"/>
        <v>X</v>
      </c>
      <c r="K1324" s="32"/>
      <c r="L1324" s="32"/>
      <c r="M1324" s="32"/>
      <c r="N1324" s="32"/>
      <c r="W1324" s="4"/>
    </row>
    <row r="1325" spans="1:23" x14ac:dyDescent="0.35">
      <c r="A1325">
        <v>1321</v>
      </c>
      <c r="B1325">
        <v>1322</v>
      </c>
      <c r="C1325">
        <v>146.04634590000001</v>
      </c>
      <c r="D1325">
        <v>-17.525438399999999</v>
      </c>
      <c r="G1325">
        <v>3</v>
      </c>
      <c r="H1325" t="s">
        <v>26</v>
      </c>
      <c r="I1325" t="str">
        <f t="shared" si="20"/>
        <v>X</v>
      </c>
      <c r="K1325" s="32"/>
      <c r="L1325" s="32"/>
      <c r="M1325" s="32"/>
      <c r="N1325" s="32"/>
      <c r="W1325" s="4"/>
    </row>
    <row r="1326" spans="1:23" x14ac:dyDescent="0.35">
      <c r="A1326">
        <v>1322</v>
      </c>
      <c r="B1326">
        <v>1323</v>
      </c>
      <c r="C1326">
        <v>146.04625820000001</v>
      </c>
      <c r="D1326">
        <v>-17.52547285</v>
      </c>
      <c r="G1326">
        <v>3</v>
      </c>
      <c r="H1326" t="s">
        <v>26</v>
      </c>
      <c r="I1326" t="str">
        <f t="shared" si="20"/>
        <v>X</v>
      </c>
      <c r="K1326" s="32"/>
      <c r="L1326" s="32"/>
      <c r="M1326" s="32"/>
      <c r="N1326" s="32"/>
      <c r="W1326" s="4"/>
    </row>
    <row r="1327" spans="1:23" x14ac:dyDescent="0.35">
      <c r="A1327">
        <v>1323</v>
      </c>
      <c r="B1327">
        <v>1324</v>
      </c>
      <c r="C1327">
        <v>146.04617039999999</v>
      </c>
      <c r="D1327">
        <v>-17.525507300000001</v>
      </c>
      <c r="G1327">
        <v>3</v>
      </c>
      <c r="H1327" t="s">
        <v>26</v>
      </c>
      <c r="I1327" t="str">
        <f t="shared" si="20"/>
        <v>X</v>
      </c>
      <c r="K1327" s="32"/>
      <c r="L1327" s="32"/>
      <c r="M1327" s="32"/>
      <c r="N1327" s="32"/>
      <c r="W1327" s="4"/>
    </row>
    <row r="1328" spans="1:23" x14ac:dyDescent="0.35">
      <c r="A1328">
        <v>1324</v>
      </c>
      <c r="B1328">
        <v>1325</v>
      </c>
      <c r="C1328">
        <v>146.04608260000001</v>
      </c>
      <c r="D1328">
        <v>-17.525541749999999</v>
      </c>
      <c r="G1328">
        <v>3</v>
      </c>
      <c r="H1328" t="s">
        <v>26</v>
      </c>
      <c r="I1328" t="str">
        <f t="shared" si="20"/>
        <v>X</v>
      </c>
      <c r="K1328" s="32"/>
      <c r="L1328" s="32"/>
      <c r="M1328" s="32"/>
      <c r="N1328" s="32"/>
      <c r="W1328" s="4"/>
    </row>
    <row r="1329" spans="1:23" x14ac:dyDescent="0.35">
      <c r="A1329">
        <v>1325</v>
      </c>
      <c r="B1329">
        <v>1326</v>
      </c>
      <c r="C1329">
        <v>146.04599479999999</v>
      </c>
      <c r="D1329">
        <v>-17.5255762</v>
      </c>
      <c r="G1329">
        <v>3</v>
      </c>
      <c r="H1329" t="s">
        <v>26</v>
      </c>
      <c r="I1329" t="str">
        <f t="shared" si="20"/>
        <v>X</v>
      </c>
      <c r="K1329" s="32"/>
      <c r="L1329" s="32"/>
      <c r="M1329" s="32"/>
      <c r="N1329" s="32"/>
      <c r="W1329" s="4"/>
    </row>
    <row r="1330" spans="1:23" x14ac:dyDescent="0.35">
      <c r="A1330">
        <v>1326</v>
      </c>
      <c r="B1330">
        <v>1327</v>
      </c>
      <c r="C1330">
        <v>146.04590719999999</v>
      </c>
      <c r="D1330">
        <v>-17.52561103</v>
      </c>
      <c r="G1330">
        <v>3</v>
      </c>
      <c r="H1330" t="s">
        <v>26</v>
      </c>
      <c r="I1330" t="str">
        <f t="shared" si="20"/>
        <v>X</v>
      </c>
      <c r="K1330" s="32"/>
      <c r="L1330" s="32"/>
      <c r="M1330" s="32"/>
      <c r="N1330" s="32"/>
      <c r="W1330" s="4"/>
    </row>
    <row r="1331" spans="1:23" x14ac:dyDescent="0.35">
      <c r="A1331">
        <v>1327</v>
      </c>
      <c r="B1331">
        <v>1328</v>
      </c>
      <c r="C1331">
        <v>146.04581999999999</v>
      </c>
      <c r="D1331">
        <v>-17.525646999999999</v>
      </c>
      <c r="G1331">
        <v>3</v>
      </c>
      <c r="H1331" t="s">
        <v>26</v>
      </c>
      <c r="I1331" t="str">
        <f t="shared" si="20"/>
        <v>X</v>
      </c>
      <c r="K1331" s="32"/>
      <c r="L1331" s="32"/>
      <c r="M1331" s="32"/>
      <c r="N1331" s="32"/>
      <c r="W1331" s="4"/>
    </row>
    <row r="1332" spans="1:23" x14ac:dyDescent="0.35">
      <c r="A1332">
        <v>1328</v>
      </c>
      <c r="B1332">
        <v>1329</v>
      </c>
      <c r="C1332">
        <v>146.0457328</v>
      </c>
      <c r="D1332">
        <v>-17.525682960000001</v>
      </c>
      <c r="G1332">
        <v>3</v>
      </c>
      <c r="H1332" t="s">
        <v>26</v>
      </c>
      <c r="I1332" t="str">
        <f t="shared" si="20"/>
        <v>X</v>
      </c>
      <c r="K1332" s="32"/>
      <c r="L1332" s="32"/>
      <c r="M1332" s="32"/>
      <c r="N1332" s="32"/>
      <c r="W1332" s="4"/>
    </row>
    <row r="1333" spans="1:23" x14ac:dyDescent="0.35">
      <c r="A1333">
        <v>1329</v>
      </c>
      <c r="B1333">
        <v>1330</v>
      </c>
      <c r="C1333">
        <v>146.04565160000001</v>
      </c>
      <c r="D1333">
        <v>-17.525727329999999</v>
      </c>
      <c r="G1333">
        <v>3</v>
      </c>
      <c r="H1333" t="s">
        <v>26</v>
      </c>
      <c r="I1333" t="str">
        <f t="shared" si="20"/>
        <v>X</v>
      </c>
      <c r="K1333" s="32"/>
      <c r="L1333" s="32"/>
      <c r="M1333" s="32"/>
      <c r="N1333" s="32"/>
      <c r="W1333" s="4"/>
    </row>
    <row r="1334" spans="1:23" x14ac:dyDescent="0.35">
      <c r="A1334">
        <v>1330</v>
      </c>
      <c r="B1334">
        <v>1331</v>
      </c>
      <c r="C1334">
        <v>146.04558610000001</v>
      </c>
      <c r="D1334">
        <v>-17.525795080000002</v>
      </c>
      <c r="G1334">
        <v>3</v>
      </c>
      <c r="H1334" t="s">
        <v>26</v>
      </c>
      <c r="I1334" t="str">
        <f t="shared" si="20"/>
        <v>X</v>
      </c>
      <c r="K1334" s="32"/>
      <c r="L1334" s="32"/>
      <c r="M1334" s="32"/>
      <c r="N1334" s="32"/>
      <c r="W1334" s="4"/>
    </row>
    <row r="1335" spans="1:23" x14ac:dyDescent="0.35">
      <c r="A1335">
        <v>1331</v>
      </c>
      <c r="B1335">
        <v>1332</v>
      </c>
      <c r="C1335">
        <v>146.04551760000001</v>
      </c>
      <c r="D1335">
        <v>-17.525859929999999</v>
      </c>
      <c r="G1335">
        <v>3</v>
      </c>
      <c r="H1335" t="s">
        <v>26</v>
      </c>
      <c r="I1335" t="str">
        <f t="shared" si="20"/>
        <v>X</v>
      </c>
      <c r="K1335" s="32"/>
      <c r="L1335" s="32"/>
      <c r="M1335" s="32"/>
      <c r="N1335" s="32"/>
      <c r="W1335" s="4"/>
    </row>
    <row r="1336" spans="1:23" x14ac:dyDescent="0.35">
      <c r="A1336">
        <v>1332</v>
      </c>
      <c r="B1336">
        <v>1333</v>
      </c>
      <c r="C1336">
        <v>146.045433</v>
      </c>
      <c r="D1336">
        <v>-17.525901149999999</v>
      </c>
      <c r="G1336">
        <v>3</v>
      </c>
      <c r="H1336" t="s">
        <v>26</v>
      </c>
      <c r="I1336" t="str">
        <f t="shared" si="20"/>
        <v>X</v>
      </c>
      <c r="K1336" s="32"/>
      <c r="L1336" s="32"/>
      <c r="M1336" s="32"/>
      <c r="N1336" s="32"/>
      <c r="W1336" s="4"/>
    </row>
    <row r="1337" spans="1:23" x14ac:dyDescent="0.35">
      <c r="A1337">
        <v>1333</v>
      </c>
      <c r="B1337">
        <v>1334</v>
      </c>
      <c r="C1337">
        <v>146.04535319999999</v>
      </c>
      <c r="D1337">
        <v>-17.5259514</v>
      </c>
      <c r="G1337">
        <v>3</v>
      </c>
      <c r="H1337" t="s">
        <v>26</v>
      </c>
      <c r="I1337" t="str">
        <f t="shared" si="20"/>
        <v>X</v>
      </c>
      <c r="K1337" s="32"/>
      <c r="L1337" s="32"/>
      <c r="M1337" s="32"/>
      <c r="N1337" s="32"/>
      <c r="W1337" s="4"/>
    </row>
    <row r="1338" spans="1:23" x14ac:dyDescent="0.35">
      <c r="A1338">
        <v>1334</v>
      </c>
      <c r="B1338">
        <v>1335</v>
      </c>
      <c r="C1338">
        <v>146.04527340000001</v>
      </c>
      <c r="D1338">
        <v>-17.52600164</v>
      </c>
      <c r="G1338">
        <v>3</v>
      </c>
      <c r="H1338" t="s">
        <v>26</v>
      </c>
      <c r="I1338" t="str">
        <f t="shared" si="20"/>
        <v>X</v>
      </c>
      <c r="K1338" s="32"/>
      <c r="L1338" s="32"/>
      <c r="M1338" s="32"/>
      <c r="N1338" s="32"/>
      <c r="W1338" s="4"/>
    </row>
    <row r="1339" spans="1:23" x14ac:dyDescent="0.35">
      <c r="A1339">
        <v>1335</v>
      </c>
      <c r="B1339">
        <v>1336</v>
      </c>
      <c r="C1339">
        <v>146.0451936</v>
      </c>
      <c r="D1339">
        <v>-17.526051890000002</v>
      </c>
      <c r="G1339">
        <v>3</v>
      </c>
      <c r="H1339" t="s">
        <v>26</v>
      </c>
      <c r="I1339" t="str">
        <f t="shared" si="20"/>
        <v>X</v>
      </c>
      <c r="K1339" s="32"/>
      <c r="L1339" s="32"/>
      <c r="M1339" s="32"/>
      <c r="N1339" s="32"/>
      <c r="W1339" s="4"/>
    </row>
    <row r="1340" spans="1:23" x14ac:dyDescent="0.35">
      <c r="A1340">
        <v>1336</v>
      </c>
      <c r="B1340">
        <v>1337</v>
      </c>
      <c r="C1340">
        <v>146.04510809999999</v>
      </c>
      <c r="D1340">
        <v>-17.526091409999999</v>
      </c>
      <c r="G1340">
        <v>3</v>
      </c>
      <c r="H1340" t="s">
        <v>26</v>
      </c>
      <c r="I1340" t="str">
        <f t="shared" si="20"/>
        <v>X</v>
      </c>
      <c r="K1340" s="32"/>
      <c r="L1340" s="32"/>
      <c r="M1340" s="32"/>
      <c r="N1340" s="32"/>
      <c r="W1340" s="4"/>
    </row>
    <row r="1341" spans="1:23" x14ac:dyDescent="0.35">
      <c r="A1341">
        <v>1337</v>
      </c>
      <c r="B1341">
        <v>1338</v>
      </c>
      <c r="C1341">
        <v>146.04502170000001</v>
      </c>
      <c r="D1341">
        <v>-17.526129210000001</v>
      </c>
      <c r="G1341">
        <v>3</v>
      </c>
      <c r="H1341" t="s">
        <v>26</v>
      </c>
      <c r="I1341" t="str">
        <f t="shared" si="20"/>
        <v>X</v>
      </c>
      <c r="K1341" s="32"/>
      <c r="L1341" s="32"/>
      <c r="M1341" s="32"/>
      <c r="N1341" s="32"/>
      <c r="W1341" s="4"/>
    </row>
    <row r="1342" spans="1:23" x14ac:dyDescent="0.35">
      <c r="A1342">
        <v>1338</v>
      </c>
      <c r="B1342">
        <v>1339</v>
      </c>
      <c r="C1342">
        <v>146.04493529999999</v>
      </c>
      <c r="D1342">
        <v>-17.526167010000002</v>
      </c>
      <c r="G1342">
        <v>3</v>
      </c>
      <c r="H1342" t="s">
        <v>26</v>
      </c>
      <c r="I1342" t="str">
        <f t="shared" si="20"/>
        <v>X</v>
      </c>
      <c r="K1342" s="32"/>
      <c r="L1342" s="32"/>
      <c r="M1342" s="32"/>
      <c r="N1342" s="32"/>
      <c r="W1342" s="4"/>
    </row>
    <row r="1343" spans="1:23" x14ac:dyDescent="0.35">
      <c r="A1343">
        <v>1339</v>
      </c>
      <c r="B1343">
        <v>1340</v>
      </c>
      <c r="C1343">
        <v>146.044849</v>
      </c>
      <c r="D1343">
        <v>-17.526205019999999</v>
      </c>
      <c r="G1343">
        <v>3</v>
      </c>
      <c r="H1343" t="s">
        <v>26</v>
      </c>
      <c r="I1343" t="str">
        <f t="shared" si="20"/>
        <v>X</v>
      </c>
      <c r="K1343" s="32"/>
      <c r="L1343" s="32"/>
      <c r="M1343" s="32"/>
      <c r="N1343" s="32"/>
      <c r="W1343" s="4"/>
    </row>
    <row r="1344" spans="1:23" x14ac:dyDescent="0.35">
      <c r="A1344">
        <v>1340</v>
      </c>
      <c r="B1344">
        <v>1341</v>
      </c>
      <c r="C1344">
        <v>146.04476299999999</v>
      </c>
      <c r="D1344">
        <v>-17.526243829999999</v>
      </c>
      <c r="G1344">
        <v>3</v>
      </c>
      <c r="H1344" t="s">
        <v>26</v>
      </c>
      <c r="I1344" t="str">
        <f t="shared" si="20"/>
        <v>X</v>
      </c>
      <c r="K1344" s="32"/>
      <c r="L1344" s="32"/>
      <c r="M1344" s="32"/>
      <c r="N1344" s="32"/>
      <c r="W1344" s="4"/>
    </row>
    <row r="1345" spans="1:23" x14ac:dyDescent="0.35">
      <c r="A1345">
        <v>1341</v>
      </c>
      <c r="B1345">
        <v>1342</v>
      </c>
      <c r="C1345">
        <v>146.0446771</v>
      </c>
      <c r="D1345">
        <v>-17.526282649999999</v>
      </c>
      <c r="G1345">
        <v>3</v>
      </c>
      <c r="H1345" t="s">
        <v>26</v>
      </c>
      <c r="I1345" t="str">
        <f t="shared" si="20"/>
        <v>X</v>
      </c>
      <c r="K1345" s="32"/>
      <c r="L1345" s="32"/>
      <c r="M1345" s="32"/>
      <c r="N1345" s="32"/>
      <c r="W1345" s="4"/>
    </row>
    <row r="1346" spans="1:23" x14ac:dyDescent="0.35">
      <c r="A1346">
        <v>1342</v>
      </c>
      <c r="B1346">
        <v>1343</v>
      </c>
      <c r="C1346">
        <v>146.04459109999999</v>
      </c>
      <c r="D1346">
        <v>-17.526321459999998</v>
      </c>
      <c r="G1346">
        <v>3</v>
      </c>
      <c r="H1346" t="s">
        <v>26</v>
      </c>
      <c r="I1346" t="str">
        <f t="shared" si="20"/>
        <v>X</v>
      </c>
      <c r="K1346" s="32"/>
      <c r="L1346" s="32"/>
      <c r="M1346" s="32"/>
      <c r="N1346" s="32"/>
      <c r="W1346" s="4"/>
    </row>
    <row r="1347" spans="1:23" x14ac:dyDescent="0.35">
      <c r="A1347">
        <v>1343</v>
      </c>
      <c r="B1347">
        <v>1344</v>
      </c>
      <c r="C1347">
        <v>146.0445052</v>
      </c>
      <c r="D1347">
        <v>-17.526360279999999</v>
      </c>
      <c r="G1347">
        <v>3</v>
      </c>
      <c r="H1347" t="s">
        <v>26</v>
      </c>
      <c r="I1347" t="str">
        <f t="shared" si="20"/>
        <v>X</v>
      </c>
      <c r="K1347" s="32"/>
      <c r="L1347" s="32"/>
      <c r="M1347" s="32"/>
      <c r="N1347" s="32"/>
      <c r="W1347" s="4"/>
    </row>
    <row r="1348" spans="1:23" x14ac:dyDescent="0.35">
      <c r="A1348">
        <v>1344</v>
      </c>
      <c r="B1348">
        <v>1345</v>
      </c>
      <c r="C1348">
        <v>146.04441919999999</v>
      </c>
      <c r="D1348">
        <v>-17.526399090000002</v>
      </c>
      <c r="G1348">
        <v>3</v>
      </c>
      <c r="H1348" t="s">
        <v>26</v>
      </c>
      <c r="I1348" t="str">
        <f t="shared" si="20"/>
        <v>X</v>
      </c>
      <c r="K1348" s="32"/>
      <c r="L1348" s="32"/>
      <c r="M1348" s="32"/>
      <c r="N1348" s="32"/>
      <c r="W1348" s="4"/>
    </row>
    <row r="1349" spans="1:23" x14ac:dyDescent="0.35">
      <c r="A1349">
        <v>1345</v>
      </c>
      <c r="B1349">
        <v>1346</v>
      </c>
      <c r="C1349">
        <v>146.04433330000001</v>
      </c>
      <c r="D1349">
        <v>-17.526437909999999</v>
      </c>
      <c r="G1349">
        <v>3</v>
      </c>
      <c r="H1349" t="s">
        <v>26</v>
      </c>
      <c r="I1349" t="str">
        <f t="shared" ref="I1349:I1412" si="21">IF(H1349="X","X",IF(J1349="NA","X",IF(J1349="","X",J1349)))</f>
        <v>X</v>
      </c>
      <c r="K1349" s="32"/>
      <c r="L1349" s="32"/>
      <c r="M1349" s="32"/>
      <c r="N1349" s="32"/>
      <c r="W1349" s="4"/>
    </row>
    <row r="1350" spans="1:23" x14ac:dyDescent="0.35">
      <c r="A1350">
        <v>1346</v>
      </c>
      <c r="B1350">
        <v>1347</v>
      </c>
      <c r="C1350">
        <v>146.04424689999999</v>
      </c>
      <c r="D1350">
        <v>-17.526475659999999</v>
      </c>
      <c r="G1350">
        <v>3</v>
      </c>
      <c r="H1350" t="s">
        <v>26</v>
      </c>
      <c r="I1350" t="str">
        <f t="shared" si="21"/>
        <v>X</v>
      </c>
      <c r="K1350" s="32"/>
      <c r="L1350" s="32"/>
      <c r="M1350" s="32"/>
      <c r="N1350" s="32"/>
      <c r="W1350" s="4"/>
    </row>
    <row r="1351" spans="1:23" x14ac:dyDescent="0.35">
      <c r="A1351">
        <v>1347</v>
      </c>
      <c r="B1351">
        <v>1348</v>
      </c>
      <c r="C1351">
        <v>146.04415710000001</v>
      </c>
      <c r="D1351">
        <v>-17.526504249999999</v>
      </c>
      <c r="G1351">
        <v>3</v>
      </c>
      <c r="H1351" t="s">
        <v>26</v>
      </c>
      <c r="I1351" t="str">
        <f t="shared" si="21"/>
        <v>X</v>
      </c>
      <c r="K1351" s="32"/>
      <c r="L1351" s="32"/>
      <c r="M1351" s="32"/>
      <c r="N1351" s="32"/>
      <c r="W1351" s="4"/>
    </row>
    <row r="1352" spans="1:23" x14ac:dyDescent="0.35">
      <c r="A1352">
        <v>1348</v>
      </c>
      <c r="B1352">
        <v>1349</v>
      </c>
      <c r="C1352">
        <v>146.0440672</v>
      </c>
      <c r="D1352">
        <v>-17.526532849999999</v>
      </c>
      <c r="G1352">
        <v>3</v>
      </c>
      <c r="H1352" t="s">
        <v>26</v>
      </c>
      <c r="I1352" t="str">
        <f t="shared" si="21"/>
        <v>X</v>
      </c>
      <c r="K1352" s="32"/>
      <c r="L1352" s="32"/>
      <c r="M1352" s="32"/>
      <c r="N1352" s="32"/>
      <c r="W1352" s="4"/>
    </row>
    <row r="1353" spans="1:23" x14ac:dyDescent="0.35">
      <c r="A1353">
        <v>1349</v>
      </c>
      <c r="B1353">
        <v>1350</v>
      </c>
      <c r="C1353">
        <v>146.04397739999999</v>
      </c>
      <c r="D1353">
        <v>-17.526561439999998</v>
      </c>
      <c r="G1353">
        <v>3</v>
      </c>
      <c r="H1353" t="s">
        <v>26</v>
      </c>
      <c r="I1353" t="str">
        <f t="shared" si="21"/>
        <v>X</v>
      </c>
      <c r="K1353" s="32"/>
      <c r="L1353" s="32"/>
      <c r="M1353" s="32"/>
      <c r="N1353" s="32"/>
      <c r="W1353" s="4"/>
    </row>
    <row r="1354" spans="1:23" x14ac:dyDescent="0.35">
      <c r="A1354">
        <v>1350</v>
      </c>
      <c r="B1354">
        <v>1351</v>
      </c>
      <c r="C1354">
        <v>146.04388750000001</v>
      </c>
      <c r="D1354">
        <v>-17.526590030000001</v>
      </c>
      <c r="G1354">
        <v>3</v>
      </c>
      <c r="H1354" t="s">
        <v>26</v>
      </c>
      <c r="I1354" t="str">
        <f t="shared" si="21"/>
        <v>X</v>
      </c>
      <c r="K1354" s="32"/>
      <c r="L1354" s="32"/>
      <c r="M1354" s="32"/>
      <c r="N1354" s="32"/>
      <c r="W1354" s="4"/>
    </row>
    <row r="1355" spans="1:23" x14ac:dyDescent="0.35">
      <c r="A1355">
        <v>1351</v>
      </c>
      <c r="B1355">
        <v>1352</v>
      </c>
      <c r="C1355">
        <v>146.0437977</v>
      </c>
      <c r="D1355">
        <v>-17.526618970000001</v>
      </c>
      <c r="G1355">
        <v>3</v>
      </c>
      <c r="H1355" t="s">
        <v>26</v>
      </c>
      <c r="I1355" t="str">
        <f t="shared" si="21"/>
        <v>X</v>
      </c>
      <c r="K1355" s="32"/>
      <c r="L1355" s="32"/>
      <c r="M1355" s="32"/>
      <c r="N1355" s="32"/>
      <c r="W1355" s="4"/>
    </row>
    <row r="1356" spans="1:23" x14ac:dyDescent="0.35">
      <c r="A1356">
        <v>1352</v>
      </c>
      <c r="B1356">
        <v>1353</v>
      </c>
      <c r="C1356">
        <v>146.04370829999999</v>
      </c>
      <c r="D1356">
        <v>-17.526648789999999</v>
      </c>
      <c r="G1356">
        <v>3</v>
      </c>
      <c r="H1356" t="s">
        <v>26</v>
      </c>
      <c r="I1356" t="str">
        <f t="shared" si="21"/>
        <v>X</v>
      </c>
      <c r="K1356" s="32"/>
      <c r="L1356" s="32"/>
      <c r="M1356" s="32"/>
      <c r="N1356" s="32"/>
      <c r="W1356" s="4"/>
    </row>
    <row r="1357" spans="1:23" x14ac:dyDescent="0.35">
      <c r="A1357">
        <v>1353</v>
      </c>
      <c r="B1357">
        <v>1354</v>
      </c>
      <c r="C1357">
        <v>146.04361879999999</v>
      </c>
      <c r="D1357">
        <v>-17.526678610000001</v>
      </c>
      <c r="G1357">
        <v>3</v>
      </c>
      <c r="H1357" t="s">
        <v>26</v>
      </c>
      <c r="I1357" t="str">
        <f t="shared" si="21"/>
        <v>X</v>
      </c>
      <c r="K1357" s="32"/>
      <c r="L1357" s="32"/>
      <c r="M1357" s="32"/>
      <c r="N1357" s="32"/>
      <c r="W1357" s="4"/>
    </row>
    <row r="1358" spans="1:23" x14ac:dyDescent="0.35">
      <c r="A1358">
        <v>1354</v>
      </c>
      <c r="B1358">
        <v>1355</v>
      </c>
      <c r="C1358">
        <v>146.04352929999999</v>
      </c>
      <c r="D1358">
        <v>-17.526708429999999</v>
      </c>
      <c r="G1358">
        <v>3</v>
      </c>
      <c r="H1358" t="s">
        <v>26</v>
      </c>
      <c r="I1358" t="str">
        <f t="shared" si="21"/>
        <v>X</v>
      </c>
      <c r="K1358" s="32"/>
      <c r="L1358" s="32"/>
      <c r="M1358" s="32"/>
      <c r="N1358" s="32"/>
      <c r="W1358" s="4"/>
    </row>
    <row r="1359" spans="1:23" x14ac:dyDescent="0.35">
      <c r="A1359">
        <v>1355</v>
      </c>
      <c r="B1359">
        <v>1356</v>
      </c>
      <c r="C1359">
        <v>146.04347709999999</v>
      </c>
      <c r="D1359">
        <v>-17.526776269999999</v>
      </c>
      <c r="G1359">
        <v>3</v>
      </c>
      <c r="H1359" t="s">
        <v>26</v>
      </c>
      <c r="I1359" t="str">
        <f t="shared" si="21"/>
        <v>X</v>
      </c>
      <c r="K1359" s="32"/>
      <c r="L1359" s="32"/>
      <c r="M1359" s="32"/>
      <c r="N1359" s="32"/>
      <c r="W1359" s="4"/>
    </row>
    <row r="1360" spans="1:23" x14ac:dyDescent="0.35">
      <c r="A1360">
        <v>1356</v>
      </c>
      <c r="B1360">
        <v>1357</v>
      </c>
      <c r="C1360">
        <v>146.04345559999999</v>
      </c>
      <c r="D1360">
        <v>-17.526861539999999</v>
      </c>
      <c r="G1360">
        <v>3</v>
      </c>
      <c r="H1360" t="s">
        <v>26</v>
      </c>
      <c r="I1360" t="str">
        <f t="shared" si="21"/>
        <v>X</v>
      </c>
      <c r="K1360" s="32"/>
      <c r="L1360" s="32"/>
      <c r="M1360" s="32"/>
      <c r="N1360" s="32"/>
      <c r="W1360" s="4"/>
    </row>
    <row r="1361" spans="1:23" x14ac:dyDescent="0.35">
      <c r="A1361">
        <v>1357</v>
      </c>
      <c r="B1361">
        <v>1358</v>
      </c>
      <c r="C1361">
        <v>146.04353549999999</v>
      </c>
      <c r="D1361">
        <v>-17.526911519999999</v>
      </c>
      <c r="G1361">
        <v>3</v>
      </c>
      <c r="H1361" t="s">
        <v>26</v>
      </c>
      <c r="I1361" t="str">
        <f t="shared" si="21"/>
        <v>X</v>
      </c>
      <c r="K1361" s="32"/>
      <c r="L1361" s="32"/>
      <c r="M1361" s="32"/>
      <c r="N1361" s="32"/>
      <c r="W1361" s="4"/>
    </row>
    <row r="1362" spans="1:23" x14ac:dyDescent="0.35">
      <c r="A1362">
        <v>1358</v>
      </c>
      <c r="B1362">
        <v>1359</v>
      </c>
      <c r="C1362">
        <v>146.0436139</v>
      </c>
      <c r="D1362">
        <v>-17.526963500000001</v>
      </c>
      <c r="G1362">
        <v>3</v>
      </c>
      <c r="H1362" t="s">
        <v>26</v>
      </c>
      <c r="I1362" t="str">
        <f t="shared" si="21"/>
        <v>X</v>
      </c>
      <c r="K1362" s="32"/>
      <c r="L1362" s="32"/>
      <c r="M1362" s="32"/>
      <c r="N1362" s="32"/>
      <c r="W1362" s="4"/>
    </row>
    <row r="1363" spans="1:23" x14ac:dyDescent="0.35">
      <c r="A1363">
        <v>1359</v>
      </c>
      <c r="B1363">
        <v>1360</v>
      </c>
      <c r="C1363">
        <v>146.04368059999999</v>
      </c>
      <c r="D1363">
        <v>-17.527030180000001</v>
      </c>
      <c r="G1363">
        <v>3</v>
      </c>
      <c r="H1363" t="s">
        <v>26</v>
      </c>
      <c r="I1363" t="str">
        <f t="shared" si="21"/>
        <v>X</v>
      </c>
      <c r="K1363" s="32"/>
      <c r="L1363" s="32"/>
      <c r="M1363" s="32"/>
      <c r="N1363" s="32"/>
      <c r="W1363" s="4"/>
    </row>
    <row r="1364" spans="1:23" x14ac:dyDescent="0.35">
      <c r="A1364">
        <v>1360</v>
      </c>
      <c r="B1364">
        <v>1361</v>
      </c>
      <c r="C1364">
        <v>146.04374730000001</v>
      </c>
      <c r="D1364">
        <v>-17.527096870000001</v>
      </c>
      <c r="G1364">
        <v>3</v>
      </c>
      <c r="H1364" t="s">
        <v>26</v>
      </c>
      <c r="I1364" t="str">
        <f t="shared" si="21"/>
        <v>X</v>
      </c>
      <c r="K1364" s="32"/>
      <c r="L1364" s="32"/>
      <c r="M1364" s="32"/>
      <c r="N1364" s="32"/>
      <c r="W1364" s="4"/>
    </row>
    <row r="1365" spans="1:23" x14ac:dyDescent="0.35">
      <c r="A1365">
        <v>1361</v>
      </c>
      <c r="B1365">
        <v>1362</v>
      </c>
      <c r="C1365">
        <v>146.043814</v>
      </c>
      <c r="D1365">
        <v>-17.527163550000001</v>
      </c>
      <c r="G1365">
        <v>3</v>
      </c>
      <c r="H1365" t="s">
        <v>26</v>
      </c>
      <c r="I1365" t="str">
        <f t="shared" si="21"/>
        <v>X</v>
      </c>
      <c r="K1365" s="32"/>
      <c r="L1365" s="32"/>
      <c r="M1365" s="32"/>
      <c r="N1365" s="32"/>
      <c r="W1365" s="4"/>
    </row>
    <row r="1366" spans="1:23" x14ac:dyDescent="0.35">
      <c r="A1366">
        <v>1362</v>
      </c>
      <c r="B1366">
        <v>1363</v>
      </c>
      <c r="C1366">
        <v>146.04388059999999</v>
      </c>
      <c r="D1366">
        <v>-17.527230230000001</v>
      </c>
      <c r="G1366">
        <v>3</v>
      </c>
      <c r="H1366" t="s">
        <v>26</v>
      </c>
      <c r="I1366" t="str">
        <f t="shared" si="21"/>
        <v>X</v>
      </c>
      <c r="K1366" s="32"/>
      <c r="L1366" s="32"/>
      <c r="M1366" s="32"/>
      <c r="N1366" s="32"/>
      <c r="W1366" s="4"/>
    </row>
    <row r="1367" spans="1:23" x14ac:dyDescent="0.35">
      <c r="A1367">
        <v>1363</v>
      </c>
      <c r="B1367">
        <v>1364</v>
      </c>
      <c r="C1367">
        <v>146.04394730000001</v>
      </c>
      <c r="D1367">
        <v>-17.52729691</v>
      </c>
      <c r="G1367">
        <v>3</v>
      </c>
      <c r="H1367" t="s">
        <v>26</v>
      </c>
      <c r="I1367" t="str">
        <f t="shared" si="21"/>
        <v>X</v>
      </c>
      <c r="K1367" s="32"/>
      <c r="L1367" s="32"/>
      <c r="M1367" s="32"/>
      <c r="N1367" s="32"/>
      <c r="W1367" s="4"/>
    </row>
    <row r="1368" spans="1:23" x14ac:dyDescent="0.35">
      <c r="A1368">
        <v>1364</v>
      </c>
      <c r="B1368">
        <v>1365</v>
      </c>
      <c r="C1368">
        <v>146.044026</v>
      </c>
      <c r="D1368">
        <v>-17.527343380000001</v>
      </c>
      <c r="G1368">
        <v>3</v>
      </c>
      <c r="H1368" t="s">
        <v>26</v>
      </c>
      <c r="I1368" t="str">
        <f t="shared" si="21"/>
        <v>X</v>
      </c>
      <c r="K1368" s="32"/>
      <c r="L1368" s="32"/>
      <c r="M1368" s="32"/>
      <c r="N1368" s="32"/>
      <c r="W1368" s="4"/>
    </row>
    <row r="1369" spans="1:23" x14ac:dyDescent="0.35">
      <c r="A1369">
        <v>1365</v>
      </c>
      <c r="B1369">
        <v>1366</v>
      </c>
      <c r="C1369">
        <v>146.0441165</v>
      </c>
      <c r="D1369">
        <v>-17.52736999</v>
      </c>
      <c r="G1369">
        <v>3</v>
      </c>
      <c r="H1369" t="s">
        <v>26</v>
      </c>
      <c r="I1369" t="str">
        <f t="shared" si="21"/>
        <v>X</v>
      </c>
      <c r="K1369" s="32"/>
      <c r="L1369" s="32"/>
      <c r="M1369" s="32"/>
      <c r="N1369" s="32"/>
      <c r="W1369" s="4"/>
    </row>
    <row r="1370" spans="1:23" x14ac:dyDescent="0.35">
      <c r="A1370">
        <v>1366</v>
      </c>
      <c r="B1370">
        <v>1367</v>
      </c>
      <c r="C1370">
        <v>146.04420690000001</v>
      </c>
      <c r="D1370">
        <v>-17.527396599999999</v>
      </c>
      <c r="G1370">
        <v>3</v>
      </c>
      <c r="H1370" t="s">
        <v>26</v>
      </c>
      <c r="I1370" t="str">
        <f t="shared" si="21"/>
        <v>X</v>
      </c>
      <c r="K1370" s="32"/>
      <c r="L1370" s="32"/>
      <c r="M1370" s="32"/>
      <c r="N1370" s="32"/>
      <c r="W1370" s="4"/>
    </row>
    <row r="1371" spans="1:23" x14ac:dyDescent="0.35">
      <c r="A1371">
        <v>1367</v>
      </c>
      <c r="B1371">
        <v>1368</v>
      </c>
      <c r="C1371">
        <v>146.0442765</v>
      </c>
      <c r="D1371">
        <v>-17.52745208</v>
      </c>
      <c r="G1371">
        <v>3</v>
      </c>
      <c r="H1371" t="s">
        <v>26</v>
      </c>
      <c r="I1371" t="str">
        <f t="shared" si="21"/>
        <v>X</v>
      </c>
      <c r="K1371" s="32"/>
      <c r="L1371" s="32"/>
      <c r="M1371" s="32"/>
      <c r="N1371" s="32"/>
      <c r="W1371" s="4"/>
    </row>
    <row r="1372" spans="1:23" x14ac:dyDescent="0.35">
      <c r="A1372">
        <v>1368</v>
      </c>
      <c r="B1372">
        <v>1369</v>
      </c>
      <c r="C1372">
        <v>146.044355</v>
      </c>
      <c r="D1372">
        <v>-17.52750022</v>
      </c>
      <c r="G1372">
        <v>3</v>
      </c>
      <c r="H1372" t="s">
        <v>26</v>
      </c>
      <c r="I1372" t="str">
        <f t="shared" si="21"/>
        <v>X</v>
      </c>
      <c r="K1372" s="32"/>
      <c r="L1372" s="32"/>
      <c r="M1372" s="32"/>
      <c r="N1372" s="32"/>
      <c r="W1372" s="4"/>
    </row>
    <row r="1373" spans="1:23" x14ac:dyDescent="0.35">
      <c r="A1373">
        <v>1369</v>
      </c>
      <c r="B1373">
        <v>1370</v>
      </c>
      <c r="C1373">
        <v>146.0444411</v>
      </c>
      <c r="D1373">
        <v>-17.527538320000001</v>
      </c>
      <c r="G1373">
        <v>3</v>
      </c>
      <c r="H1373" t="s">
        <v>26</v>
      </c>
      <c r="I1373" t="str">
        <f t="shared" si="21"/>
        <v>X</v>
      </c>
      <c r="K1373" s="32"/>
      <c r="L1373" s="32"/>
      <c r="M1373" s="32"/>
      <c r="N1373" s="32"/>
      <c r="W1373" s="4"/>
    </row>
    <row r="1374" spans="1:23" x14ac:dyDescent="0.35">
      <c r="A1374">
        <v>1370</v>
      </c>
      <c r="B1374">
        <v>1371</v>
      </c>
      <c r="C1374">
        <v>146.04451399999999</v>
      </c>
      <c r="D1374">
        <v>-17.52759545</v>
      </c>
      <c r="G1374">
        <v>3</v>
      </c>
      <c r="H1374" t="s">
        <v>26</v>
      </c>
      <c r="I1374" t="str">
        <f t="shared" si="21"/>
        <v>X</v>
      </c>
      <c r="K1374" s="32"/>
      <c r="L1374" s="32"/>
      <c r="M1374" s="32"/>
      <c r="N1374" s="32"/>
      <c r="W1374" s="4"/>
    </row>
    <row r="1375" spans="1:23" x14ac:dyDescent="0.35">
      <c r="A1375">
        <v>1371</v>
      </c>
      <c r="B1375">
        <v>1372</v>
      </c>
      <c r="C1375">
        <v>146.04458940000001</v>
      </c>
      <c r="D1375">
        <v>-17.527648549999999</v>
      </c>
      <c r="G1375">
        <v>3</v>
      </c>
      <c r="H1375" t="s">
        <v>26</v>
      </c>
      <c r="I1375" t="str">
        <f t="shared" si="21"/>
        <v>X</v>
      </c>
      <c r="K1375" s="32"/>
      <c r="L1375" s="32"/>
      <c r="M1375" s="32"/>
      <c r="N1375" s="32"/>
      <c r="W1375" s="4"/>
    </row>
    <row r="1376" spans="1:23" x14ac:dyDescent="0.35">
      <c r="A1376">
        <v>1372</v>
      </c>
      <c r="B1376">
        <v>1373</v>
      </c>
      <c r="C1376">
        <v>146.0446791</v>
      </c>
      <c r="D1376">
        <v>-17.527677610000001</v>
      </c>
      <c r="G1376">
        <v>3</v>
      </c>
      <c r="H1376" t="s">
        <v>26</v>
      </c>
      <c r="I1376" t="str">
        <f t="shared" si="21"/>
        <v>X</v>
      </c>
      <c r="K1376" s="32"/>
      <c r="L1376" s="32"/>
      <c r="M1376" s="32"/>
      <c r="N1376" s="32"/>
      <c r="W1376" s="4"/>
    </row>
    <row r="1377" spans="1:23" x14ac:dyDescent="0.35">
      <c r="A1377">
        <v>1373</v>
      </c>
      <c r="B1377">
        <v>1374</v>
      </c>
      <c r="C1377">
        <v>146.04476990000001</v>
      </c>
      <c r="D1377">
        <v>-17.52770216</v>
      </c>
      <c r="G1377">
        <v>3</v>
      </c>
      <c r="H1377" t="s">
        <v>26</v>
      </c>
      <c r="I1377" t="str">
        <f t="shared" si="21"/>
        <v>X</v>
      </c>
      <c r="K1377" s="32"/>
      <c r="L1377" s="32"/>
      <c r="M1377" s="32"/>
      <c r="N1377" s="32"/>
      <c r="W1377" s="4"/>
    </row>
    <row r="1378" spans="1:23" x14ac:dyDescent="0.35">
      <c r="A1378">
        <v>1374</v>
      </c>
      <c r="B1378">
        <v>1375</v>
      </c>
      <c r="C1378">
        <v>146.04486320000001</v>
      </c>
      <c r="D1378">
        <v>-17.52771568</v>
      </c>
      <c r="G1378">
        <v>3</v>
      </c>
      <c r="H1378" t="s">
        <v>26</v>
      </c>
      <c r="I1378" t="str">
        <f t="shared" si="21"/>
        <v>X</v>
      </c>
      <c r="K1378" s="32"/>
      <c r="L1378" s="32"/>
      <c r="M1378" s="32"/>
      <c r="N1378" s="32"/>
      <c r="W1378" s="4"/>
    </row>
    <row r="1379" spans="1:23" x14ac:dyDescent="0.35">
      <c r="A1379">
        <v>1375</v>
      </c>
      <c r="B1379">
        <v>1376</v>
      </c>
      <c r="C1379">
        <v>146.04495650000001</v>
      </c>
      <c r="D1379">
        <v>-17.527729189999999</v>
      </c>
      <c r="G1379">
        <v>3</v>
      </c>
      <c r="H1379" t="s">
        <v>26</v>
      </c>
      <c r="I1379" t="str">
        <f t="shared" si="21"/>
        <v>X</v>
      </c>
      <c r="K1379" s="32"/>
      <c r="L1379" s="32"/>
      <c r="M1379" s="32"/>
      <c r="N1379" s="32"/>
      <c r="W1379" s="4"/>
    </row>
    <row r="1380" spans="1:23" x14ac:dyDescent="0.35">
      <c r="A1380">
        <v>1376</v>
      </c>
      <c r="B1380">
        <v>1377</v>
      </c>
      <c r="C1380">
        <v>146.04504990000001</v>
      </c>
      <c r="D1380">
        <v>-17.527742709999998</v>
      </c>
      <c r="G1380">
        <v>3</v>
      </c>
      <c r="H1380" t="s">
        <v>26</v>
      </c>
      <c r="I1380" t="str">
        <f t="shared" si="21"/>
        <v>X</v>
      </c>
      <c r="K1380" s="32"/>
      <c r="L1380" s="32"/>
      <c r="M1380" s="32"/>
      <c r="N1380" s="32"/>
      <c r="W1380" s="4"/>
    </row>
    <row r="1381" spans="1:23" x14ac:dyDescent="0.35">
      <c r="A1381">
        <v>1377</v>
      </c>
      <c r="B1381">
        <v>1378</v>
      </c>
      <c r="C1381">
        <v>146.04514349999999</v>
      </c>
      <c r="D1381">
        <v>-17.527753019999999</v>
      </c>
      <c r="G1381">
        <v>3</v>
      </c>
      <c r="H1381" t="s">
        <v>26</v>
      </c>
      <c r="I1381" t="str">
        <f t="shared" si="21"/>
        <v>X</v>
      </c>
      <c r="K1381" s="32"/>
      <c r="L1381" s="32"/>
      <c r="M1381" s="32"/>
      <c r="N1381" s="32"/>
      <c r="W1381" s="4"/>
    </row>
    <row r="1382" spans="1:23" x14ac:dyDescent="0.35">
      <c r="A1382">
        <v>1378</v>
      </c>
      <c r="B1382">
        <v>1379</v>
      </c>
      <c r="C1382">
        <v>146.0452377</v>
      </c>
      <c r="D1382">
        <v>-17.52775497</v>
      </c>
      <c r="G1382">
        <v>3</v>
      </c>
      <c r="H1382" t="s">
        <v>26</v>
      </c>
      <c r="I1382" t="str">
        <f t="shared" si="21"/>
        <v>X</v>
      </c>
      <c r="K1382" s="32"/>
      <c r="L1382" s="32"/>
      <c r="M1382" s="32"/>
      <c r="N1382" s="32"/>
      <c r="W1382" s="4"/>
    </row>
    <row r="1383" spans="1:23" x14ac:dyDescent="0.35">
      <c r="A1383">
        <v>1379</v>
      </c>
      <c r="B1383">
        <v>1380</v>
      </c>
      <c r="C1383">
        <v>146.045332</v>
      </c>
      <c r="D1383">
        <v>-17.527756910000001</v>
      </c>
      <c r="G1383">
        <v>3</v>
      </c>
      <c r="H1383" t="s">
        <v>26</v>
      </c>
      <c r="I1383" t="str">
        <f t="shared" si="21"/>
        <v>X</v>
      </c>
      <c r="K1383" s="32"/>
      <c r="L1383" s="32"/>
      <c r="M1383" s="32"/>
      <c r="N1383" s="32"/>
      <c r="W1383" s="4"/>
    </row>
    <row r="1384" spans="1:23" x14ac:dyDescent="0.35">
      <c r="A1384">
        <v>1380</v>
      </c>
      <c r="B1384">
        <v>1381</v>
      </c>
      <c r="C1384">
        <v>146.04542620000001</v>
      </c>
      <c r="D1384">
        <v>-17.527753440000001</v>
      </c>
      <c r="G1384">
        <v>3</v>
      </c>
      <c r="H1384" t="s">
        <v>26</v>
      </c>
      <c r="I1384" t="str">
        <f t="shared" si="21"/>
        <v>X</v>
      </c>
      <c r="K1384" s="32"/>
      <c r="L1384" s="32"/>
      <c r="M1384" s="32"/>
      <c r="N1384" s="32"/>
      <c r="W1384" s="4"/>
    </row>
    <row r="1385" spans="1:23" x14ac:dyDescent="0.35">
      <c r="A1385">
        <v>1381</v>
      </c>
      <c r="B1385">
        <v>1382</v>
      </c>
      <c r="C1385">
        <v>146.0455202</v>
      </c>
      <c r="D1385">
        <v>-17.527746650000001</v>
      </c>
      <c r="G1385">
        <v>3</v>
      </c>
      <c r="H1385" t="s">
        <v>26</v>
      </c>
      <c r="I1385" t="str">
        <f t="shared" si="21"/>
        <v>X</v>
      </c>
      <c r="K1385" s="32"/>
      <c r="L1385" s="32"/>
      <c r="M1385" s="32"/>
      <c r="N1385" s="32"/>
      <c r="W1385" s="4"/>
    </row>
    <row r="1386" spans="1:23" x14ac:dyDescent="0.35">
      <c r="A1386">
        <v>1382</v>
      </c>
      <c r="B1386">
        <v>1383</v>
      </c>
      <c r="C1386">
        <v>146.04561430000001</v>
      </c>
      <c r="D1386">
        <v>-17.52773985</v>
      </c>
      <c r="G1386">
        <v>3</v>
      </c>
      <c r="H1386" t="s">
        <v>26</v>
      </c>
      <c r="I1386" t="str">
        <f t="shared" si="21"/>
        <v>X</v>
      </c>
      <c r="K1386" s="32"/>
      <c r="L1386" s="32"/>
      <c r="M1386" s="32"/>
      <c r="N1386" s="32"/>
      <c r="W1386" s="4"/>
    </row>
    <row r="1387" spans="1:23" x14ac:dyDescent="0.35">
      <c r="A1387">
        <v>1383</v>
      </c>
      <c r="B1387">
        <v>1384</v>
      </c>
      <c r="C1387">
        <v>146.0457083</v>
      </c>
      <c r="D1387">
        <v>-17.527733059999999</v>
      </c>
      <c r="G1387">
        <v>3</v>
      </c>
      <c r="H1387" t="s">
        <v>26</v>
      </c>
      <c r="I1387" t="str">
        <f t="shared" si="21"/>
        <v>X</v>
      </c>
      <c r="K1387" s="32"/>
      <c r="L1387" s="32"/>
      <c r="M1387" s="32"/>
      <c r="N1387" s="32"/>
      <c r="W1387" s="4"/>
    </row>
    <row r="1388" spans="1:23" x14ac:dyDescent="0.35">
      <c r="A1388">
        <v>1384</v>
      </c>
      <c r="B1388">
        <v>1385</v>
      </c>
      <c r="C1388">
        <v>146.04580240000001</v>
      </c>
      <c r="D1388">
        <v>-17.527726269999999</v>
      </c>
      <c r="G1388">
        <v>3</v>
      </c>
      <c r="H1388" t="s">
        <v>26</v>
      </c>
      <c r="I1388" t="str">
        <f t="shared" si="21"/>
        <v>X</v>
      </c>
      <c r="K1388" s="32"/>
      <c r="L1388" s="32"/>
      <c r="M1388" s="32"/>
      <c r="N1388" s="32"/>
      <c r="W1388" s="4"/>
    </row>
    <row r="1389" spans="1:23" x14ac:dyDescent="0.35">
      <c r="A1389">
        <v>1385</v>
      </c>
      <c r="B1389">
        <v>1386</v>
      </c>
      <c r="C1389">
        <v>146.0458951</v>
      </c>
      <c r="D1389">
        <v>-17.52771018</v>
      </c>
      <c r="G1389">
        <v>3</v>
      </c>
      <c r="H1389" t="s">
        <v>26</v>
      </c>
      <c r="I1389" t="str">
        <f t="shared" si="21"/>
        <v>X</v>
      </c>
      <c r="K1389" s="32"/>
      <c r="L1389" s="32"/>
      <c r="M1389" s="32"/>
      <c r="N1389" s="32"/>
      <c r="W1389" s="4"/>
    </row>
    <row r="1390" spans="1:23" x14ac:dyDescent="0.35">
      <c r="A1390">
        <v>1386</v>
      </c>
      <c r="B1390">
        <v>1387</v>
      </c>
      <c r="C1390">
        <v>146.04598709999999</v>
      </c>
      <c r="D1390">
        <v>-17.527689630000001</v>
      </c>
      <c r="G1390">
        <v>3</v>
      </c>
      <c r="H1390" t="s">
        <v>26</v>
      </c>
      <c r="I1390" t="str">
        <f t="shared" si="21"/>
        <v>X</v>
      </c>
      <c r="K1390" s="32"/>
      <c r="L1390" s="32"/>
      <c r="M1390" s="32"/>
      <c r="N1390" s="32"/>
      <c r="W1390" s="4"/>
    </row>
    <row r="1391" spans="1:23" x14ac:dyDescent="0.35">
      <c r="A1391">
        <v>1387</v>
      </c>
      <c r="B1391">
        <v>1388</v>
      </c>
      <c r="C1391">
        <v>146.04607920000001</v>
      </c>
      <c r="D1391">
        <v>-17.52766909</v>
      </c>
      <c r="G1391">
        <v>3</v>
      </c>
      <c r="H1391" t="s">
        <v>26</v>
      </c>
      <c r="I1391" t="str">
        <f t="shared" si="21"/>
        <v>X</v>
      </c>
      <c r="K1391" s="32"/>
      <c r="L1391" s="32"/>
      <c r="M1391" s="32"/>
      <c r="N1391" s="32"/>
      <c r="W1391" s="4"/>
    </row>
    <row r="1392" spans="1:23" x14ac:dyDescent="0.35">
      <c r="A1392">
        <v>1388</v>
      </c>
      <c r="B1392">
        <v>1389</v>
      </c>
      <c r="C1392">
        <v>146.0461712</v>
      </c>
      <c r="D1392">
        <v>-17.527648549999999</v>
      </c>
      <c r="G1392">
        <v>3</v>
      </c>
      <c r="H1392" t="s">
        <v>26</v>
      </c>
      <c r="I1392" t="str">
        <f t="shared" si="21"/>
        <v>X</v>
      </c>
      <c r="K1392" s="32"/>
      <c r="L1392" s="32"/>
      <c r="M1392" s="32"/>
      <c r="N1392" s="32"/>
      <c r="W1392" s="4"/>
    </row>
    <row r="1393" spans="1:23" x14ac:dyDescent="0.35">
      <c r="A1393">
        <v>1389</v>
      </c>
      <c r="B1393">
        <v>1390</v>
      </c>
      <c r="C1393">
        <v>146.04626329999999</v>
      </c>
      <c r="D1393">
        <v>-17.527628010000001</v>
      </c>
      <c r="G1393">
        <v>3</v>
      </c>
      <c r="H1393" t="s">
        <v>26</v>
      </c>
      <c r="I1393" t="str">
        <f t="shared" si="21"/>
        <v>X</v>
      </c>
      <c r="K1393" s="32"/>
      <c r="L1393" s="32"/>
      <c r="M1393" s="32"/>
      <c r="N1393" s="32"/>
      <c r="W1393" s="4"/>
    </row>
    <row r="1394" spans="1:23" x14ac:dyDescent="0.35">
      <c r="A1394">
        <v>1390</v>
      </c>
      <c r="B1394">
        <v>1391</v>
      </c>
      <c r="C1394">
        <v>146.04635529999999</v>
      </c>
      <c r="D1394">
        <v>-17.52760747</v>
      </c>
      <c r="G1394">
        <v>3</v>
      </c>
      <c r="H1394" t="s">
        <v>26</v>
      </c>
      <c r="I1394" t="str">
        <f t="shared" si="21"/>
        <v>X</v>
      </c>
      <c r="K1394" s="32"/>
      <c r="L1394" s="32"/>
      <c r="M1394" s="32"/>
      <c r="N1394" s="32"/>
      <c r="W1394" s="4"/>
    </row>
    <row r="1395" spans="1:23" x14ac:dyDescent="0.35">
      <c r="A1395">
        <v>1391</v>
      </c>
      <c r="B1395">
        <v>1392</v>
      </c>
      <c r="C1395">
        <v>146.0464465</v>
      </c>
      <c r="D1395">
        <v>-17.527584340000001</v>
      </c>
      <c r="G1395">
        <v>3</v>
      </c>
      <c r="H1395" t="s">
        <v>26</v>
      </c>
      <c r="I1395" t="str">
        <f t="shared" si="21"/>
        <v>X</v>
      </c>
      <c r="K1395" s="32"/>
      <c r="L1395" s="32"/>
      <c r="M1395" s="32"/>
      <c r="N1395" s="32"/>
      <c r="W1395" s="4"/>
    </row>
    <row r="1396" spans="1:23" x14ac:dyDescent="0.35">
      <c r="A1396">
        <v>1392</v>
      </c>
      <c r="B1396">
        <v>1393</v>
      </c>
      <c r="C1396">
        <v>146.04653210000001</v>
      </c>
      <c r="D1396">
        <v>-17.52754492</v>
      </c>
      <c r="G1396">
        <v>3</v>
      </c>
      <c r="H1396" t="s">
        <v>26</v>
      </c>
      <c r="I1396" t="str">
        <f t="shared" si="21"/>
        <v>X</v>
      </c>
      <c r="K1396" s="32"/>
      <c r="L1396" s="32"/>
      <c r="M1396" s="32"/>
      <c r="N1396" s="32"/>
      <c r="W1396" s="4"/>
    </row>
    <row r="1397" spans="1:23" x14ac:dyDescent="0.35">
      <c r="A1397">
        <v>1393</v>
      </c>
      <c r="B1397">
        <v>1394</v>
      </c>
      <c r="C1397">
        <v>146.04723770000001</v>
      </c>
      <c r="D1397">
        <v>-17.528274929999998</v>
      </c>
      <c r="F1397" t="str">
        <f>HYPERLINK("D:\Data From Lucan\2024\Johnstone\Frames_for_Analysis\1394_20240610_0003_L_0708.jpg","1394_20240610_0003_L_0708.jpg")</f>
        <v>1394_20240610_0003_L_0708.jpg</v>
      </c>
      <c r="G1397">
        <v>3</v>
      </c>
      <c r="I1397">
        <f t="shared" si="21"/>
        <v>0</v>
      </c>
      <c r="J1397" s="58">
        <v>0</v>
      </c>
      <c r="K1397" s="32"/>
      <c r="L1397" s="32"/>
      <c r="M1397" s="32"/>
      <c r="N1397" s="32"/>
      <c r="O1397">
        <v>2</v>
      </c>
      <c r="P1397" s="58">
        <v>0</v>
      </c>
      <c r="Q1397" s="58">
        <v>0</v>
      </c>
      <c r="R1397" s="58">
        <v>3</v>
      </c>
      <c r="S1397" s="58">
        <v>0</v>
      </c>
      <c r="T1397" s="58">
        <v>0</v>
      </c>
      <c r="U1397" s="58">
        <v>0</v>
      </c>
      <c r="V1397" s="58">
        <v>0</v>
      </c>
      <c r="W1397" s="4">
        <v>1</v>
      </c>
    </row>
    <row r="1398" spans="1:23" x14ac:dyDescent="0.35">
      <c r="A1398">
        <v>1394</v>
      </c>
      <c r="B1398">
        <v>1395</v>
      </c>
      <c r="C1398">
        <v>146.04716880000001</v>
      </c>
      <c r="D1398">
        <v>-17.528338860000002</v>
      </c>
      <c r="F1398" t="str">
        <f>HYPERLINK("D:\Data From Lucan\2024\Johnstone\Frames_for_Analysis\1395_20240610_0003_L_0713.jpg","1395_20240610_0003_L_0713.jpg")</f>
        <v>1395_20240610_0003_L_0713.jpg</v>
      </c>
      <c r="G1398">
        <v>3</v>
      </c>
      <c r="I1398">
        <f t="shared" si="21"/>
        <v>0</v>
      </c>
      <c r="J1398" s="58">
        <v>0</v>
      </c>
      <c r="K1398" s="32"/>
      <c r="L1398" s="32"/>
      <c r="M1398" s="32"/>
      <c r="N1398" s="32"/>
      <c r="O1398">
        <v>2</v>
      </c>
      <c r="P1398" s="58">
        <v>1</v>
      </c>
      <c r="Q1398" s="58">
        <v>0</v>
      </c>
      <c r="R1398" s="58">
        <v>3</v>
      </c>
      <c r="S1398" s="58">
        <v>0</v>
      </c>
      <c r="T1398" s="58">
        <v>0</v>
      </c>
      <c r="U1398" s="58">
        <v>0</v>
      </c>
      <c r="V1398" s="58">
        <v>1</v>
      </c>
      <c r="W1398" s="4">
        <v>1</v>
      </c>
    </row>
    <row r="1399" spans="1:23" x14ac:dyDescent="0.35">
      <c r="A1399">
        <v>1395</v>
      </c>
      <c r="B1399">
        <v>1396</v>
      </c>
      <c r="C1399">
        <v>146.04708719999999</v>
      </c>
      <c r="D1399">
        <v>-17.5283862</v>
      </c>
      <c r="F1399" t="str">
        <f>HYPERLINK("D:\Data From Lucan\2024\Johnstone\Frames_for_Analysis\1396_20240610_0003_L_0718.jpg","1396_20240610_0003_L_0718.jpg")</f>
        <v>1396_20240610_0003_L_0718.jpg</v>
      </c>
      <c r="G1399">
        <v>3</v>
      </c>
      <c r="I1399">
        <v>0</v>
      </c>
      <c r="J1399" s="58">
        <v>2</v>
      </c>
      <c r="K1399" s="32"/>
      <c r="L1399" s="32"/>
      <c r="M1399" s="32"/>
      <c r="N1399" s="32"/>
      <c r="O1399">
        <v>2</v>
      </c>
      <c r="P1399" s="58">
        <v>0</v>
      </c>
      <c r="Q1399" s="58">
        <v>1</v>
      </c>
      <c r="R1399" s="58">
        <v>2</v>
      </c>
      <c r="S1399" s="58">
        <v>0</v>
      </c>
      <c r="T1399" s="58">
        <v>0</v>
      </c>
      <c r="U1399" s="58">
        <v>0</v>
      </c>
      <c r="V1399" s="58">
        <v>0</v>
      </c>
      <c r="W1399" s="4">
        <v>1</v>
      </c>
    </row>
    <row r="1400" spans="1:23" x14ac:dyDescent="0.35">
      <c r="A1400">
        <v>1396</v>
      </c>
      <c r="B1400">
        <v>1397</v>
      </c>
      <c r="C1400">
        <v>146.04700560000001</v>
      </c>
      <c r="D1400">
        <v>-17.528433540000002</v>
      </c>
      <c r="F1400" t="str">
        <f>HYPERLINK("D:\Data From Lucan\2024\Johnstone\Frames_for_Analysis\1397_20240610_0003_L_0723.jpg","1397_20240610_0003_L_0723.jpg")</f>
        <v>1397_20240610_0003_L_0723.jpg</v>
      </c>
      <c r="G1400">
        <v>3</v>
      </c>
      <c r="I1400">
        <f t="shared" si="21"/>
        <v>1</v>
      </c>
      <c r="J1400" s="58">
        <v>1</v>
      </c>
      <c r="K1400" s="32"/>
      <c r="L1400" s="32"/>
      <c r="M1400" s="32"/>
      <c r="N1400" s="32"/>
      <c r="O1400">
        <v>2</v>
      </c>
      <c r="P1400" s="58">
        <v>0</v>
      </c>
      <c r="Q1400" s="58">
        <v>1</v>
      </c>
      <c r="R1400" s="58">
        <v>0</v>
      </c>
      <c r="S1400" s="58">
        <v>0</v>
      </c>
      <c r="T1400" s="58">
        <v>0</v>
      </c>
      <c r="U1400" s="58">
        <v>0</v>
      </c>
      <c r="V1400" s="58">
        <v>0</v>
      </c>
      <c r="W1400" s="4">
        <v>1</v>
      </c>
    </row>
    <row r="1401" spans="1:23" x14ac:dyDescent="0.35">
      <c r="A1401">
        <v>1397</v>
      </c>
      <c r="B1401">
        <v>1398</v>
      </c>
      <c r="C1401">
        <v>146.04692410000001</v>
      </c>
      <c r="D1401">
        <v>-17.52848088</v>
      </c>
      <c r="F1401" t="str">
        <f>HYPERLINK("D:\Data From Lucan\2024\Johnstone\Frames_for_Analysis\1398_20240610_0003_L_0727.jpg","1398_20240610_0003_L_0727.jpg")</f>
        <v>1398_20240610_0003_L_0727.jpg</v>
      </c>
      <c r="G1401">
        <v>3</v>
      </c>
      <c r="I1401">
        <f t="shared" si="21"/>
        <v>1</v>
      </c>
      <c r="J1401" s="58">
        <v>1</v>
      </c>
      <c r="K1401" s="32"/>
      <c r="L1401" s="32"/>
      <c r="M1401" s="32"/>
      <c r="N1401" s="32"/>
      <c r="O1401">
        <v>2</v>
      </c>
      <c r="P1401" s="58">
        <v>0</v>
      </c>
      <c r="Q1401" s="58">
        <v>1</v>
      </c>
      <c r="R1401" s="58">
        <v>0</v>
      </c>
      <c r="S1401" s="58">
        <v>0</v>
      </c>
      <c r="T1401" s="58">
        <v>0</v>
      </c>
      <c r="U1401" s="58">
        <v>0</v>
      </c>
      <c r="V1401" s="58">
        <v>1</v>
      </c>
      <c r="W1401" s="4">
        <v>1</v>
      </c>
    </row>
    <row r="1402" spans="1:23" x14ac:dyDescent="0.35">
      <c r="A1402">
        <v>1398</v>
      </c>
      <c r="B1402">
        <v>1399</v>
      </c>
      <c r="C1402">
        <v>146.0468425</v>
      </c>
      <c r="D1402">
        <v>-17.528528210000001</v>
      </c>
      <c r="F1402" t="str">
        <f>HYPERLINK("D:\Data From Lucan\2024\Johnstone\Frames_for_Analysis\1399_20240610_0003_L_0731.jpg","1399_20240610_0003_L_0731.jpg")</f>
        <v>1399_20240610_0003_L_0731.jpg</v>
      </c>
      <c r="G1402">
        <v>3</v>
      </c>
      <c r="I1402">
        <f t="shared" si="21"/>
        <v>1</v>
      </c>
      <c r="J1402" s="58">
        <v>1</v>
      </c>
      <c r="K1402" s="32"/>
      <c r="L1402" s="32"/>
      <c r="M1402" s="32"/>
      <c r="N1402" s="32"/>
      <c r="O1402">
        <v>2</v>
      </c>
      <c r="P1402" s="58">
        <v>0</v>
      </c>
      <c r="Q1402" s="58">
        <v>1</v>
      </c>
      <c r="R1402" s="58">
        <v>1</v>
      </c>
      <c r="S1402" s="58">
        <v>0</v>
      </c>
      <c r="T1402" s="58">
        <v>0</v>
      </c>
      <c r="U1402" s="58">
        <v>0</v>
      </c>
      <c r="V1402" s="58">
        <v>0</v>
      </c>
      <c r="W1402" s="4">
        <v>1</v>
      </c>
    </row>
    <row r="1403" spans="1:23" x14ac:dyDescent="0.35">
      <c r="A1403">
        <v>1399</v>
      </c>
      <c r="B1403">
        <v>1400</v>
      </c>
      <c r="C1403">
        <v>146.046761</v>
      </c>
      <c r="D1403">
        <v>-17.52857556</v>
      </c>
      <c r="F1403" t="str">
        <f>HYPERLINK("D:\Data From Lucan\2024\Johnstone\Frames_for_Analysis\1400_20240610_0003_L_0738.jpg","1400_20240610_0003_L_0738.jpg")</f>
        <v>1400_20240610_0003_L_0738.jpg</v>
      </c>
      <c r="G1403">
        <v>3</v>
      </c>
      <c r="I1403">
        <f t="shared" si="21"/>
        <v>0</v>
      </c>
      <c r="J1403" s="58">
        <v>0</v>
      </c>
      <c r="K1403" s="32"/>
      <c r="L1403" s="32"/>
      <c r="M1403" s="32"/>
      <c r="N1403" s="32"/>
      <c r="O1403">
        <v>2</v>
      </c>
      <c r="P1403" s="58">
        <v>0</v>
      </c>
      <c r="Q1403" s="58">
        <v>1</v>
      </c>
      <c r="R1403" s="58">
        <v>0</v>
      </c>
      <c r="S1403" s="58">
        <v>0</v>
      </c>
      <c r="T1403" s="58">
        <v>0</v>
      </c>
      <c r="U1403" s="58">
        <v>0</v>
      </c>
      <c r="V1403" s="58">
        <v>0</v>
      </c>
      <c r="W1403" s="4">
        <v>1</v>
      </c>
    </row>
    <row r="1404" spans="1:23" x14ac:dyDescent="0.35">
      <c r="A1404">
        <v>1400</v>
      </c>
      <c r="B1404">
        <v>1401</v>
      </c>
      <c r="C1404">
        <v>146.04667950000001</v>
      </c>
      <c r="D1404">
        <v>-17.528623079999999</v>
      </c>
      <c r="F1404" t="str">
        <f>HYPERLINK("D:\Data From Lucan\2024\Johnstone\Frames_for_Analysis\1401_20240610_0003_L_0741.jpg","1401_20240610_0003_L_0741.jpg")</f>
        <v>1401_20240610_0003_L_0741.jpg</v>
      </c>
      <c r="G1404">
        <v>3</v>
      </c>
      <c r="I1404">
        <f t="shared" si="21"/>
        <v>0</v>
      </c>
      <c r="J1404" s="58">
        <v>0</v>
      </c>
      <c r="K1404" s="32"/>
      <c r="L1404" s="32"/>
      <c r="M1404" s="32"/>
      <c r="N1404" s="32"/>
      <c r="O1404">
        <v>3</v>
      </c>
      <c r="P1404" s="58">
        <v>1</v>
      </c>
      <c r="Q1404" s="58">
        <v>1</v>
      </c>
      <c r="R1404" s="58">
        <v>0</v>
      </c>
      <c r="S1404" s="58">
        <v>0</v>
      </c>
      <c r="T1404" s="58">
        <v>0</v>
      </c>
      <c r="U1404" s="58">
        <v>0</v>
      </c>
      <c r="V1404" s="58">
        <v>0</v>
      </c>
      <c r="W1404" s="4">
        <v>2</v>
      </c>
    </row>
    <row r="1405" spans="1:23" x14ac:dyDescent="0.35">
      <c r="A1405">
        <v>1401</v>
      </c>
      <c r="B1405">
        <v>1402</v>
      </c>
      <c r="C1405">
        <v>146.04659849999999</v>
      </c>
      <c r="D1405">
        <v>-17.528671339999999</v>
      </c>
      <c r="F1405" t="str">
        <f>HYPERLINK("D:\Data From Lucan\2024\Johnstone\Frames_for_Analysis\1402_20240610_0003_L_0747.jpg","1402_20240610_0003_L_0747.jpg")</f>
        <v>1402_20240610_0003_L_0747.jpg</v>
      </c>
      <c r="G1405">
        <v>3</v>
      </c>
      <c r="I1405">
        <f t="shared" si="21"/>
        <v>0</v>
      </c>
      <c r="J1405" s="58">
        <v>0</v>
      </c>
      <c r="K1405" s="32"/>
      <c r="L1405" s="32"/>
      <c r="M1405" s="32"/>
      <c r="N1405" s="32"/>
      <c r="O1405">
        <v>3</v>
      </c>
      <c r="P1405" s="58">
        <v>1</v>
      </c>
      <c r="Q1405" s="58">
        <v>1</v>
      </c>
      <c r="R1405" s="58">
        <v>0</v>
      </c>
      <c r="S1405" s="58">
        <v>0</v>
      </c>
      <c r="T1405" s="58">
        <v>0</v>
      </c>
      <c r="U1405" s="58">
        <v>0</v>
      </c>
      <c r="V1405" s="58">
        <v>0</v>
      </c>
      <c r="W1405" s="4">
        <v>2</v>
      </c>
    </row>
    <row r="1406" spans="1:23" x14ac:dyDescent="0.35">
      <c r="A1406">
        <v>1402</v>
      </c>
      <c r="B1406">
        <v>1403</v>
      </c>
      <c r="C1406">
        <v>146.04651749999999</v>
      </c>
      <c r="D1406">
        <v>-17.528719590000001</v>
      </c>
      <c r="F1406" t="str">
        <f>HYPERLINK("D:\Data From Lucan\2024\Johnstone\Frames_for_Analysis\1403_20240610_0003_L_0752.jpg","1403_20240610_0003_L_0752.jpg")</f>
        <v>1403_20240610_0003_L_0752.jpg</v>
      </c>
      <c r="G1406">
        <v>3</v>
      </c>
      <c r="I1406">
        <f t="shared" si="21"/>
        <v>0</v>
      </c>
      <c r="J1406" s="58">
        <v>0</v>
      </c>
      <c r="K1406" s="32"/>
      <c r="L1406" s="32"/>
      <c r="M1406" s="32"/>
      <c r="N1406" s="32"/>
      <c r="O1406">
        <v>2</v>
      </c>
      <c r="P1406" s="58">
        <v>1</v>
      </c>
      <c r="Q1406" s="58">
        <v>1</v>
      </c>
      <c r="R1406" s="58">
        <v>0</v>
      </c>
      <c r="S1406" s="58">
        <v>0</v>
      </c>
      <c r="T1406" s="58">
        <v>0</v>
      </c>
      <c r="U1406" s="58">
        <v>0</v>
      </c>
      <c r="V1406" s="58">
        <v>0</v>
      </c>
      <c r="W1406" s="4">
        <v>1</v>
      </c>
    </row>
    <row r="1407" spans="1:23" x14ac:dyDescent="0.35">
      <c r="A1407">
        <v>1403</v>
      </c>
      <c r="B1407">
        <v>1404</v>
      </c>
      <c r="C1407">
        <v>146.0464364</v>
      </c>
      <c r="D1407">
        <v>-17.528767850000001</v>
      </c>
      <c r="F1407" t="str">
        <f>HYPERLINK("D:\Data From Lucan\2024\Johnstone\Frames_for_Analysis\1404_20240610_0003_L_0754.jpg","1404_20240610_0003_L_0754.jpg")</f>
        <v>1404_20240610_0003_L_0754.jpg</v>
      </c>
      <c r="G1407">
        <v>3</v>
      </c>
      <c r="I1407">
        <f t="shared" si="21"/>
        <v>0</v>
      </c>
      <c r="J1407" s="58">
        <v>0</v>
      </c>
      <c r="K1407" s="32"/>
      <c r="L1407" s="32"/>
      <c r="M1407" s="32"/>
      <c r="N1407" s="32"/>
      <c r="O1407">
        <v>2</v>
      </c>
      <c r="P1407" s="58">
        <v>0</v>
      </c>
      <c r="Q1407" s="58">
        <v>1</v>
      </c>
      <c r="R1407" s="58">
        <v>0</v>
      </c>
      <c r="S1407" s="58">
        <v>0</v>
      </c>
      <c r="T1407" s="58">
        <v>0</v>
      </c>
      <c r="U1407" s="58">
        <v>0</v>
      </c>
      <c r="V1407" s="58">
        <v>0</v>
      </c>
      <c r="W1407" s="4">
        <v>1</v>
      </c>
    </row>
    <row r="1408" spans="1:23" x14ac:dyDescent="0.35">
      <c r="A1408">
        <v>1404</v>
      </c>
      <c r="B1408">
        <v>1405</v>
      </c>
      <c r="C1408">
        <v>146.04635540000001</v>
      </c>
      <c r="D1408">
        <v>-17.528816110000001</v>
      </c>
      <c r="F1408" t="str">
        <f>HYPERLINK("D:\Data From Lucan\2024\Johnstone\Frames_for_Analysis\1405_20240610_0003_L_0756.jpg","1405_20240610_0003_L_0756.jpg")</f>
        <v>1405_20240610_0003_L_0756.jpg</v>
      </c>
      <c r="G1408">
        <v>3</v>
      </c>
      <c r="I1408">
        <f t="shared" si="21"/>
        <v>1</v>
      </c>
      <c r="J1408" s="58">
        <v>1</v>
      </c>
      <c r="K1408" s="32"/>
      <c r="L1408" s="32"/>
      <c r="M1408" s="32"/>
      <c r="N1408" s="32"/>
      <c r="O1408">
        <v>2</v>
      </c>
      <c r="P1408" s="58">
        <v>0</v>
      </c>
      <c r="Q1408" s="58">
        <v>1</v>
      </c>
      <c r="R1408" s="58">
        <v>0</v>
      </c>
      <c r="S1408" s="58">
        <v>0</v>
      </c>
      <c r="T1408" s="58">
        <v>0</v>
      </c>
      <c r="U1408" s="58">
        <v>0</v>
      </c>
      <c r="V1408" s="58">
        <v>0</v>
      </c>
      <c r="W1408" s="4">
        <v>1</v>
      </c>
    </row>
    <row r="1409" spans="1:23" x14ac:dyDescent="0.35">
      <c r="A1409">
        <v>1405</v>
      </c>
      <c r="B1409">
        <v>1406</v>
      </c>
      <c r="C1409">
        <v>146.04627439999999</v>
      </c>
      <c r="D1409">
        <v>-17.52886436</v>
      </c>
      <c r="F1409" t="str">
        <f>HYPERLINK("D:\Data From Lucan\2024\Johnstone\Frames_for_Analysis\1406_20240610_0003_L_0760.jpg","1406_20240610_0003_L_0760.jpg")</f>
        <v>1406_20240610_0003_L_0760.jpg</v>
      </c>
      <c r="G1409">
        <v>3</v>
      </c>
      <c r="I1409">
        <f t="shared" si="21"/>
        <v>0</v>
      </c>
      <c r="J1409" s="58">
        <v>0</v>
      </c>
      <c r="K1409" s="32"/>
      <c r="L1409" s="32"/>
      <c r="M1409" s="32"/>
      <c r="N1409" s="32"/>
      <c r="O1409">
        <v>2</v>
      </c>
      <c r="P1409" s="58">
        <v>0</v>
      </c>
      <c r="Q1409" s="58">
        <v>1</v>
      </c>
      <c r="R1409" s="58">
        <v>0</v>
      </c>
      <c r="S1409" s="58">
        <v>0</v>
      </c>
      <c r="T1409" s="58">
        <v>0</v>
      </c>
      <c r="U1409" s="58">
        <v>0</v>
      </c>
      <c r="V1409" s="58">
        <v>0</v>
      </c>
      <c r="W1409" s="4">
        <v>1</v>
      </c>
    </row>
    <row r="1410" spans="1:23" x14ac:dyDescent="0.35">
      <c r="A1410">
        <v>1406</v>
      </c>
      <c r="B1410">
        <v>1407</v>
      </c>
      <c r="C1410">
        <v>146.046188</v>
      </c>
      <c r="D1410">
        <v>-17.528894430000001</v>
      </c>
      <c r="F1410" t="str">
        <f>HYPERLINK("D:\Data From Lucan\2024\Johnstone\Frames_for_Analysis\1407_20240610_0003_L_0766.jpg","1407_20240610_0003_L_0766.jpg")</f>
        <v>1407_20240610_0003_L_0766.jpg</v>
      </c>
      <c r="G1410">
        <v>3</v>
      </c>
      <c r="I1410">
        <f t="shared" si="21"/>
        <v>1</v>
      </c>
      <c r="J1410" s="58">
        <v>1</v>
      </c>
      <c r="K1410" s="32"/>
      <c r="L1410" s="32"/>
      <c r="M1410" s="32"/>
      <c r="N1410" s="32"/>
      <c r="O1410">
        <v>2</v>
      </c>
      <c r="P1410" s="58">
        <v>0</v>
      </c>
      <c r="Q1410" s="58">
        <v>1</v>
      </c>
      <c r="R1410" s="58">
        <v>0</v>
      </c>
      <c r="S1410" s="58">
        <v>0</v>
      </c>
      <c r="T1410" s="58">
        <v>0</v>
      </c>
      <c r="U1410" s="58">
        <v>0</v>
      </c>
      <c r="V1410" s="58">
        <v>0</v>
      </c>
      <c r="W1410" s="4">
        <v>1</v>
      </c>
    </row>
    <row r="1411" spans="1:23" x14ac:dyDescent="0.35">
      <c r="A1411">
        <v>1407</v>
      </c>
      <c r="B1411">
        <v>1408</v>
      </c>
      <c r="C1411">
        <v>146.04609379999999</v>
      </c>
      <c r="D1411">
        <v>-17.5288982</v>
      </c>
      <c r="F1411" t="str">
        <f>HYPERLINK("D:\Data From Lucan\2024\Johnstone\Frames_for_Analysis\1408_20240610_0003_L_0771.jpg","1408_20240610_0003_L_0771.jpg")</f>
        <v>1408_20240610_0003_L_0771.jpg</v>
      </c>
      <c r="G1411">
        <v>3</v>
      </c>
      <c r="I1411">
        <v>0</v>
      </c>
      <c r="J1411" s="58">
        <v>2</v>
      </c>
      <c r="K1411" s="32"/>
      <c r="L1411" s="32"/>
      <c r="M1411" s="32"/>
      <c r="N1411" s="32"/>
      <c r="O1411">
        <v>2</v>
      </c>
      <c r="P1411" s="58">
        <v>0</v>
      </c>
      <c r="Q1411" s="58">
        <v>0</v>
      </c>
      <c r="R1411" s="58">
        <v>0</v>
      </c>
      <c r="S1411" s="58">
        <v>0</v>
      </c>
      <c r="T1411" s="58">
        <v>0</v>
      </c>
      <c r="U1411" s="58">
        <v>0</v>
      </c>
      <c r="V1411" s="58">
        <v>0</v>
      </c>
      <c r="W1411" s="4">
        <v>1</v>
      </c>
    </row>
    <row r="1412" spans="1:23" x14ac:dyDescent="0.35">
      <c r="A1412">
        <v>1408</v>
      </c>
      <c r="B1412">
        <v>1409</v>
      </c>
      <c r="C1412">
        <v>146.04599949999999</v>
      </c>
      <c r="D1412">
        <v>-17.528901980000001</v>
      </c>
      <c r="F1412" t="str">
        <f>HYPERLINK("D:\Data From Lucan\2024\Johnstone\Frames_for_Analysis\1409_20240610_0003_L_0776.jpg","1409_20240610_0003_L_0776.jpg")</f>
        <v>1409_20240610_0003_L_0776.jpg</v>
      </c>
      <c r="G1412">
        <v>3</v>
      </c>
      <c r="I1412">
        <v>0</v>
      </c>
      <c r="J1412" s="58">
        <v>2</v>
      </c>
      <c r="K1412" s="32"/>
      <c r="L1412" s="32"/>
      <c r="M1412" s="32"/>
      <c r="N1412" s="32"/>
      <c r="O1412">
        <v>2</v>
      </c>
      <c r="P1412" s="58">
        <v>0</v>
      </c>
      <c r="Q1412" s="58">
        <v>0</v>
      </c>
      <c r="R1412" s="58">
        <v>0</v>
      </c>
      <c r="S1412" s="58">
        <v>0</v>
      </c>
      <c r="T1412" s="58">
        <v>0</v>
      </c>
      <c r="U1412" s="58">
        <v>0</v>
      </c>
      <c r="V1412" s="58">
        <v>0</v>
      </c>
      <c r="W1412" s="4">
        <v>1</v>
      </c>
    </row>
    <row r="1413" spans="1:23" x14ac:dyDescent="0.35">
      <c r="A1413">
        <v>1409</v>
      </c>
      <c r="B1413">
        <v>1410</v>
      </c>
      <c r="C1413">
        <v>146.04590529999999</v>
      </c>
      <c r="D1413">
        <v>-17.528905760000001</v>
      </c>
      <c r="F1413" t="str">
        <f>HYPERLINK("D:\Data From Lucan\2024\Johnstone\Frames_for_Analysis\1410_20240610_0003_L_0783.jpg","1410_20240610_0003_L_0783.jpg")</f>
        <v>1410_20240610_0003_L_0783.jpg</v>
      </c>
      <c r="G1413">
        <v>3</v>
      </c>
      <c r="I1413">
        <f t="shared" ref="I1413:I1476" si="22">IF(H1413="X","X",IF(J1413="NA","X",IF(J1413="","X",J1413)))</f>
        <v>1</v>
      </c>
      <c r="J1413" s="58">
        <v>1</v>
      </c>
      <c r="K1413" s="32"/>
      <c r="L1413" s="32"/>
      <c r="M1413" s="32"/>
      <c r="N1413" s="32"/>
      <c r="O1413">
        <v>2</v>
      </c>
      <c r="P1413" s="58">
        <v>1</v>
      </c>
      <c r="Q1413" s="58">
        <v>0</v>
      </c>
      <c r="R1413" s="58">
        <v>0</v>
      </c>
      <c r="S1413" s="58">
        <v>0</v>
      </c>
      <c r="T1413" s="58">
        <v>0</v>
      </c>
      <c r="U1413" s="58">
        <v>0</v>
      </c>
      <c r="V1413" s="58">
        <v>0</v>
      </c>
      <c r="W1413" s="4">
        <v>1</v>
      </c>
    </row>
    <row r="1414" spans="1:23" x14ac:dyDescent="0.35">
      <c r="A1414">
        <v>1410</v>
      </c>
      <c r="B1414">
        <v>1411</v>
      </c>
      <c r="C1414">
        <v>146.04581110000001</v>
      </c>
      <c r="D1414">
        <v>-17.52890953</v>
      </c>
      <c r="F1414" t="str">
        <f>HYPERLINK("D:\Data From Lucan\2024\Johnstone\Frames_for_Analysis\1411_20240610_0003_L_0786.jpg","1411_20240610_0003_L_0786.jpg")</f>
        <v>1411_20240610_0003_L_0786.jpg</v>
      </c>
      <c r="G1414">
        <v>3</v>
      </c>
      <c r="I1414">
        <f t="shared" si="22"/>
        <v>1</v>
      </c>
      <c r="J1414" s="58">
        <v>1</v>
      </c>
      <c r="K1414" s="32"/>
      <c r="L1414" s="32"/>
      <c r="M1414" s="32"/>
      <c r="N1414" s="32"/>
      <c r="O1414">
        <v>2</v>
      </c>
      <c r="P1414" s="58">
        <v>0</v>
      </c>
      <c r="Q1414" s="58">
        <v>0</v>
      </c>
      <c r="R1414" s="58">
        <v>0</v>
      </c>
      <c r="S1414" s="58">
        <v>0</v>
      </c>
      <c r="T1414" s="58">
        <v>0</v>
      </c>
      <c r="U1414" s="58">
        <v>0</v>
      </c>
      <c r="V1414" s="58">
        <v>0</v>
      </c>
      <c r="W1414" s="4">
        <v>1</v>
      </c>
    </row>
    <row r="1415" spans="1:23" x14ac:dyDescent="0.35">
      <c r="A1415">
        <v>1411</v>
      </c>
      <c r="B1415">
        <v>1412</v>
      </c>
      <c r="C1415">
        <v>146.04571680000001</v>
      </c>
      <c r="D1415">
        <v>-17.52891331</v>
      </c>
      <c r="F1415" t="str">
        <f>HYPERLINK("D:\Data From Lucan\2024\Johnstone\Frames_for_Analysis\1412_20240610_0003_L_0791.jpg","1412_20240610_0003_L_0791.jpg")</f>
        <v>1412_20240610_0003_L_0791.jpg</v>
      </c>
      <c r="G1415">
        <v>3</v>
      </c>
      <c r="I1415">
        <f t="shared" si="22"/>
        <v>1</v>
      </c>
      <c r="J1415" s="58">
        <v>1</v>
      </c>
      <c r="K1415" s="32"/>
      <c r="L1415" s="32"/>
      <c r="M1415" s="32"/>
      <c r="N1415" s="32"/>
      <c r="O1415">
        <v>2</v>
      </c>
      <c r="P1415" s="58">
        <v>0</v>
      </c>
      <c r="Q1415" s="58">
        <v>1</v>
      </c>
      <c r="R1415" s="58">
        <v>0</v>
      </c>
      <c r="S1415" s="58">
        <v>0</v>
      </c>
      <c r="T1415" s="58">
        <v>0</v>
      </c>
      <c r="U1415" s="58">
        <v>0</v>
      </c>
      <c r="V1415" s="58">
        <v>0</v>
      </c>
      <c r="W1415" s="4">
        <v>1</v>
      </c>
    </row>
    <row r="1416" spans="1:23" x14ac:dyDescent="0.35">
      <c r="A1416">
        <v>1412</v>
      </c>
      <c r="B1416">
        <v>1413</v>
      </c>
      <c r="C1416">
        <v>146.0456226</v>
      </c>
      <c r="D1416">
        <v>-17.52891709</v>
      </c>
      <c r="F1416" t="str">
        <f>HYPERLINK("D:\Data From Lucan\2024\Johnstone\Frames_for_Analysis\1413_20240610_0003_L_0796.jpg","1413_20240610_0003_L_0796.jpg")</f>
        <v>1413_20240610_0003_L_0796.jpg</v>
      </c>
      <c r="G1416">
        <v>3</v>
      </c>
      <c r="I1416">
        <f t="shared" si="22"/>
        <v>0</v>
      </c>
      <c r="J1416" s="58">
        <v>0</v>
      </c>
      <c r="K1416" s="32"/>
      <c r="L1416" s="32"/>
      <c r="M1416" s="32"/>
      <c r="N1416" s="32"/>
      <c r="O1416">
        <v>2</v>
      </c>
      <c r="P1416" s="58">
        <v>0</v>
      </c>
      <c r="Q1416" s="58">
        <v>1</v>
      </c>
      <c r="R1416" s="58">
        <v>0</v>
      </c>
      <c r="S1416" s="58">
        <v>0</v>
      </c>
      <c r="T1416" s="58">
        <v>0</v>
      </c>
      <c r="U1416" s="58">
        <v>0</v>
      </c>
      <c r="V1416" s="58">
        <v>0</v>
      </c>
      <c r="W1416" s="4">
        <v>1</v>
      </c>
    </row>
    <row r="1417" spans="1:23" x14ac:dyDescent="0.35">
      <c r="A1417">
        <v>1413</v>
      </c>
      <c r="B1417">
        <v>1414</v>
      </c>
      <c r="C1417">
        <v>146.04552870000001</v>
      </c>
      <c r="D1417">
        <v>-17.528914010000001</v>
      </c>
      <c r="F1417" t="str">
        <f>HYPERLINK("D:\Data From Lucan\2024\Johnstone\Frames_for_Analysis\1414_20240610_0003_L_0800.jpg","1414_20240610_0003_L_0800.jpg")</f>
        <v>1414_20240610_0003_L_0800.jpg</v>
      </c>
      <c r="G1417">
        <v>3</v>
      </c>
      <c r="I1417">
        <f t="shared" si="22"/>
        <v>1</v>
      </c>
      <c r="J1417" s="58">
        <v>1</v>
      </c>
      <c r="K1417" s="32"/>
      <c r="L1417" s="32"/>
      <c r="M1417" s="32"/>
      <c r="N1417" s="32"/>
      <c r="O1417">
        <v>2</v>
      </c>
      <c r="P1417" s="58">
        <v>0</v>
      </c>
      <c r="Q1417" s="58">
        <v>0</v>
      </c>
      <c r="R1417" s="58">
        <v>2</v>
      </c>
      <c r="S1417" s="58">
        <v>0</v>
      </c>
      <c r="T1417" s="58">
        <v>0</v>
      </c>
      <c r="U1417" s="58">
        <v>0</v>
      </c>
      <c r="V1417" s="58">
        <v>0</v>
      </c>
      <c r="W1417" s="4">
        <v>1</v>
      </c>
    </row>
    <row r="1418" spans="1:23" x14ac:dyDescent="0.35">
      <c r="A1418">
        <v>1414</v>
      </c>
      <c r="B1418">
        <v>1415</v>
      </c>
      <c r="C1418">
        <v>146.0454354</v>
      </c>
      <c r="D1418">
        <v>-17.52890069</v>
      </c>
      <c r="F1418" t="str">
        <f>HYPERLINK("D:\Data From Lucan\2024\Johnstone\Frames_for_Analysis\1415_20240610_0003_L_0803.jpg","1415_20240610_0003_L_0803.jpg")</f>
        <v>1415_20240610_0003_L_0803.jpg</v>
      </c>
      <c r="G1418">
        <v>3</v>
      </c>
      <c r="I1418">
        <f t="shared" si="22"/>
        <v>1</v>
      </c>
      <c r="J1418" s="58">
        <v>1</v>
      </c>
      <c r="K1418" s="32"/>
      <c r="L1418" s="32"/>
      <c r="M1418" s="32"/>
      <c r="N1418" s="32"/>
      <c r="O1418">
        <v>2</v>
      </c>
      <c r="P1418" s="58">
        <v>0</v>
      </c>
      <c r="Q1418" s="58">
        <v>0</v>
      </c>
      <c r="R1418" s="58">
        <v>2</v>
      </c>
      <c r="S1418" s="58">
        <v>0</v>
      </c>
      <c r="T1418" s="58">
        <v>0</v>
      </c>
      <c r="U1418" s="58">
        <v>0</v>
      </c>
      <c r="V1418" s="58">
        <v>0</v>
      </c>
      <c r="W1418" s="4">
        <v>1</v>
      </c>
    </row>
    <row r="1419" spans="1:23" x14ac:dyDescent="0.35">
      <c r="A1419">
        <v>1415</v>
      </c>
      <c r="B1419">
        <v>1416</v>
      </c>
      <c r="C1419">
        <v>146.04534200000001</v>
      </c>
      <c r="D1419">
        <v>-17.528887359999999</v>
      </c>
      <c r="F1419" t="str">
        <f>HYPERLINK("D:\Data From Lucan\2024\Johnstone\Frames_for_Analysis\1416_20240610_0003_L_0806.jpg","1416_20240610_0003_L_0806.jpg")</f>
        <v>1416_20240610_0003_L_0806.jpg</v>
      </c>
      <c r="G1419">
        <v>3</v>
      </c>
      <c r="I1419">
        <f t="shared" si="22"/>
        <v>1</v>
      </c>
      <c r="J1419" s="58">
        <v>1</v>
      </c>
      <c r="K1419" s="32"/>
      <c r="L1419" s="32"/>
      <c r="M1419" s="32"/>
      <c r="N1419" s="32"/>
      <c r="O1419">
        <v>2</v>
      </c>
      <c r="P1419" s="58">
        <v>0</v>
      </c>
      <c r="Q1419" s="58">
        <v>0</v>
      </c>
      <c r="R1419" s="58">
        <v>2</v>
      </c>
      <c r="S1419" s="58">
        <v>0</v>
      </c>
      <c r="T1419" s="58">
        <v>0</v>
      </c>
      <c r="U1419" s="58">
        <v>0</v>
      </c>
      <c r="V1419" s="58">
        <v>0</v>
      </c>
      <c r="W1419" s="4">
        <v>1</v>
      </c>
    </row>
    <row r="1420" spans="1:23" x14ac:dyDescent="0.35">
      <c r="A1420">
        <v>1416</v>
      </c>
      <c r="B1420">
        <v>1417</v>
      </c>
      <c r="C1420">
        <v>146.0452487</v>
      </c>
      <c r="D1420">
        <v>-17.528874040000002</v>
      </c>
      <c r="F1420" t="str">
        <f>HYPERLINK("D:\Data From Lucan\2024\Johnstone\Frames_for_Analysis\1417_20240610_0003_L_0808.jpg","1417_20240610_0003_L_0808.jpg")</f>
        <v>1417_20240610_0003_L_0808.jpg</v>
      </c>
      <c r="G1420">
        <v>3</v>
      </c>
      <c r="I1420">
        <f t="shared" si="22"/>
        <v>1</v>
      </c>
      <c r="J1420" s="58">
        <v>1</v>
      </c>
      <c r="K1420" s="32"/>
      <c r="L1420" s="32"/>
      <c r="M1420" s="32"/>
      <c r="N1420" s="32"/>
      <c r="O1420">
        <v>2</v>
      </c>
      <c r="P1420" s="58">
        <v>0</v>
      </c>
      <c r="Q1420" s="58">
        <v>0</v>
      </c>
      <c r="R1420" s="58">
        <v>3</v>
      </c>
      <c r="S1420" s="58">
        <v>0</v>
      </c>
      <c r="T1420" s="58">
        <v>0</v>
      </c>
      <c r="U1420" s="58">
        <v>0</v>
      </c>
      <c r="V1420" s="58">
        <v>0</v>
      </c>
      <c r="W1420" s="4">
        <v>1</v>
      </c>
    </row>
    <row r="1421" spans="1:23" x14ac:dyDescent="0.35">
      <c r="A1421">
        <v>1417</v>
      </c>
      <c r="B1421">
        <v>1418</v>
      </c>
      <c r="C1421">
        <v>146.0451553</v>
      </c>
      <c r="D1421">
        <v>-17.52886071</v>
      </c>
      <c r="F1421" t="str">
        <f>HYPERLINK("D:\Data From Lucan\2024\Johnstone\Frames_for_Analysis\1418_20240610_0003_L_0815.jpg","1418_20240610_0003_L_0815.jpg")</f>
        <v>1418_20240610_0003_L_0815.jpg</v>
      </c>
      <c r="G1421">
        <v>3</v>
      </c>
      <c r="I1421">
        <f t="shared" si="22"/>
        <v>0</v>
      </c>
      <c r="J1421" s="58">
        <v>0</v>
      </c>
      <c r="K1421" s="32"/>
      <c r="L1421" s="32"/>
      <c r="M1421" s="32"/>
      <c r="N1421" s="32"/>
      <c r="O1421">
        <v>2</v>
      </c>
      <c r="P1421" s="58">
        <v>1</v>
      </c>
      <c r="Q1421" s="58">
        <v>0</v>
      </c>
      <c r="R1421" s="58">
        <v>0</v>
      </c>
      <c r="S1421" s="58">
        <v>0</v>
      </c>
      <c r="T1421" s="58">
        <v>0</v>
      </c>
      <c r="U1421" s="58">
        <v>0</v>
      </c>
      <c r="V1421" s="58">
        <v>0</v>
      </c>
      <c r="W1421" s="4">
        <v>1</v>
      </c>
    </row>
    <row r="1422" spans="1:23" x14ac:dyDescent="0.35">
      <c r="A1422">
        <v>1418</v>
      </c>
      <c r="B1422">
        <v>1419</v>
      </c>
      <c r="C1422">
        <v>146.04506319999999</v>
      </c>
      <c r="D1422">
        <v>-17.528840750000001</v>
      </c>
      <c r="F1422" t="str">
        <f>HYPERLINK("D:\Data From Lucan\2024\Johnstone\Frames_for_Analysis\1419_20240610_0003_L_0819.jpg","1419_20240610_0003_L_0819.jpg")</f>
        <v>1419_20240610_0003_L_0819.jpg</v>
      </c>
      <c r="G1422">
        <v>3</v>
      </c>
      <c r="I1422">
        <f t="shared" si="22"/>
        <v>1</v>
      </c>
      <c r="J1422" s="58">
        <v>1</v>
      </c>
      <c r="K1422" s="32"/>
      <c r="L1422" s="32"/>
      <c r="M1422" s="32"/>
      <c r="N1422" s="32"/>
      <c r="O1422">
        <v>2</v>
      </c>
      <c r="P1422" s="58">
        <v>0</v>
      </c>
      <c r="Q1422" s="58">
        <v>0</v>
      </c>
      <c r="R1422" s="58">
        <v>0</v>
      </c>
      <c r="S1422" s="58">
        <v>0</v>
      </c>
      <c r="T1422" s="58">
        <v>0</v>
      </c>
      <c r="U1422" s="58">
        <v>0</v>
      </c>
      <c r="V1422" s="58">
        <v>0</v>
      </c>
      <c r="W1422" s="4">
        <v>1</v>
      </c>
    </row>
    <row r="1423" spans="1:23" x14ac:dyDescent="0.35">
      <c r="A1423">
        <v>1419</v>
      </c>
      <c r="B1423">
        <v>1420</v>
      </c>
      <c r="C1423">
        <v>146.0449715</v>
      </c>
      <c r="D1423">
        <v>-17.528818860000001</v>
      </c>
      <c r="F1423" t="str">
        <f>HYPERLINK("D:\Data From Lucan\2024\Johnstone\Frames_for_Analysis\1420_20240610_0003_L_0826.jpg","1420_20240610_0003_L_0826.jpg")</f>
        <v>1420_20240610_0003_L_0826.jpg</v>
      </c>
      <c r="G1423">
        <v>3</v>
      </c>
      <c r="I1423">
        <f t="shared" si="22"/>
        <v>1</v>
      </c>
      <c r="J1423" s="58">
        <v>1</v>
      </c>
      <c r="K1423" s="32"/>
      <c r="L1423" s="32"/>
      <c r="M1423" s="32"/>
      <c r="N1423" s="32"/>
      <c r="O1423">
        <v>2</v>
      </c>
      <c r="P1423" s="58">
        <v>1</v>
      </c>
      <c r="Q1423" s="58">
        <v>0</v>
      </c>
      <c r="R1423" s="58">
        <v>1</v>
      </c>
      <c r="S1423" s="58">
        <v>0</v>
      </c>
      <c r="T1423" s="58">
        <v>0</v>
      </c>
      <c r="U1423" s="58">
        <v>0</v>
      </c>
      <c r="V1423" s="58">
        <v>0</v>
      </c>
      <c r="W1423" s="4">
        <v>1</v>
      </c>
    </row>
    <row r="1424" spans="1:23" x14ac:dyDescent="0.35">
      <c r="A1424">
        <v>1420</v>
      </c>
      <c r="B1424">
        <v>1421</v>
      </c>
      <c r="C1424">
        <v>146.04487979999999</v>
      </c>
      <c r="D1424">
        <v>-17.528796960000001</v>
      </c>
      <c r="F1424" t="str">
        <f>HYPERLINK("D:\Data From Lucan\2024\Johnstone\Frames_for_Analysis\1421_20240610_0003_L_0830.jpg","1421_20240610_0003_L_0830.jpg")</f>
        <v>1421_20240610_0003_L_0830.jpg</v>
      </c>
      <c r="G1424">
        <v>3</v>
      </c>
      <c r="I1424">
        <f t="shared" si="22"/>
        <v>1</v>
      </c>
      <c r="J1424" s="58">
        <v>1</v>
      </c>
      <c r="K1424" s="32"/>
      <c r="L1424" s="32"/>
      <c r="M1424" s="32"/>
      <c r="N1424" s="32"/>
      <c r="O1424">
        <v>2</v>
      </c>
      <c r="P1424" s="58">
        <v>0</v>
      </c>
      <c r="Q1424" s="58">
        <v>0</v>
      </c>
      <c r="R1424" s="58">
        <v>2</v>
      </c>
      <c r="S1424" s="58">
        <v>0</v>
      </c>
      <c r="T1424" s="58">
        <v>0</v>
      </c>
      <c r="U1424" s="58">
        <v>0</v>
      </c>
      <c r="V1424" s="58">
        <v>0</v>
      </c>
      <c r="W1424" s="4">
        <v>1</v>
      </c>
    </row>
    <row r="1425" spans="1:23" x14ac:dyDescent="0.35">
      <c r="A1425">
        <v>1421</v>
      </c>
      <c r="B1425">
        <v>1422</v>
      </c>
      <c r="C1425">
        <v>146.04478800000001</v>
      </c>
      <c r="D1425">
        <v>-17.528775069999998</v>
      </c>
      <c r="F1425" t="str">
        <f>HYPERLINK("D:\Data From Lucan\2024\Johnstone\Frames_for_Analysis\1422_20240610_0003_L_0836.jpg","1422_20240610_0003_L_0836.jpg")</f>
        <v>1422_20240610_0003_L_0836.jpg</v>
      </c>
      <c r="G1425">
        <v>3</v>
      </c>
      <c r="I1425">
        <f t="shared" si="22"/>
        <v>0</v>
      </c>
      <c r="J1425" s="58">
        <v>0</v>
      </c>
      <c r="K1425" s="32"/>
      <c r="L1425" s="32"/>
      <c r="M1425" s="32"/>
      <c r="N1425" s="32"/>
      <c r="O1425">
        <v>2</v>
      </c>
      <c r="P1425" s="58">
        <v>1</v>
      </c>
      <c r="Q1425" s="58">
        <v>0</v>
      </c>
      <c r="R1425" s="58">
        <v>0</v>
      </c>
      <c r="S1425" s="58">
        <v>0</v>
      </c>
      <c r="T1425" s="58">
        <v>0</v>
      </c>
      <c r="U1425" s="58">
        <v>0</v>
      </c>
      <c r="V1425" s="58">
        <v>0</v>
      </c>
      <c r="W1425" s="4">
        <v>1</v>
      </c>
    </row>
    <row r="1426" spans="1:23" x14ac:dyDescent="0.35">
      <c r="A1426">
        <v>1422</v>
      </c>
      <c r="B1426">
        <v>1423</v>
      </c>
      <c r="C1426">
        <v>146.0446939</v>
      </c>
      <c r="D1426">
        <v>-17.5287802</v>
      </c>
      <c r="F1426" t="str">
        <f>HYPERLINK("D:\Data From Lucan\2024\Johnstone\Frames_for_Analysis\1423_20240610_0003_L_0841.jpg","1423_20240610_0003_L_0841.jpg")</f>
        <v>1423_20240610_0003_L_0841.jpg</v>
      </c>
      <c r="G1426">
        <v>3</v>
      </c>
      <c r="I1426">
        <f t="shared" si="22"/>
        <v>1</v>
      </c>
      <c r="J1426" s="58">
        <v>1</v>
      </c>
      <c r="K1426" s="32"/>
      <c r="L1426" s="32"/>
      <c r="M1426" s="32"/>
      <c r="N1426" s="32"/>
      <c r="O1426">
        <v>2</v>
      </c>
      <c r="P1426" s="58">
        <v>0</v>
      </c>
      <c r="Q1426" s="58">
        <v>0</v>
      </c>
      <c r="R1426" s="58">
        <v>0</v>
      </c>
      <c r="S1426" s="58">
        <v>0</v>
      </c>
      <c r="T1426" s="58">
        <v>0</v>
      </c>
      <c r="U1426" s="58">
        <v>0</v>
      </c>
      <c r="V1426" s="58">
        <v>0</v>
      </c>
      <c r="W1426" s="4">
        <v>1</v>
      </c>
    </row>
    <row r="1427" spans="1:23" x14ac:dyDescent="0.35">
      <c r="A1427">
        <v>1423</v>
      </c>
      <c r="B1427">
        <v>1424</v>
      </c>
      <c r="C1427">
        <v>146.04459969999999</v>
      </c>
      <c r="D1427">
        <v>-17.528785370000001</v>
      </c>
      <c r="F1427" t="str">
        <f>HYPERLINK("D:\Data From Lucan\2024\Johnstone\Frames_for_Analysis\1424_20240610_0003_L_0847.jpg","1424_20240610_0003_L_0847.jpg")</f>
        <v>1424_20240610_0003_L_0847.jpg</v>
      </c>
      <c r="G1427">
        <v>3</v>
      </c>
      <c r="I1427">
        <f t="shared" si="22"/>
        <v>1</v>
      </c>
      <c r="J1427" s="58">
        <v>1</v>
      </c>
      <c r="K1427" s="32"/>
      <c r="L1427" s="32"/>
      <c r="M1427" s="32"/>
      <c r="N1427" s="32"/>
      <c r="O1427">
        <v>2</v>
      </c>
      <c r="P1427" s="58">
        <v>1</v>
      </c>
      <c r="Q1427" s="58">
        <v>0</v>
      </c>
      <c r="R1427" s="58">
        <v>2</v>
      </c>
      <c r="S1427" s="58">
        <v>0</v>
      </c>
      <c r="T1427" s="58">
        <v>0</v>
      </c>
      <c r="U1427" s="58">
        <v>0</v>
      </c>
      <c r="V1427" s="58">
        <v>0</v>
      </c>
      <c r="W1427" s="4">
        <v>1</v>
      </c>
    </row>
    <row r="1428" spans="1:23" x14ac:dyDescent="0.35">
      <c r="A1428">
        <v>1424</v>
      </c>
      <c r="B1428">
        <v>1425</v>
      </c>
      <c r="C1428">
        <v>146.04450550000001</v>
      </c>
      <c r="D1428">
        <v>-17.528790539999999</v>
      </c>
      <c r="F1428" t="str">
        <f>HYPERLINK("D:\Data From Lucan\2024\Johnstone\Frames_for_Analysis\1425_20240610_0003_L_0851.jpg","1425_20240610_0003_L_0851.jpg")</f>
        <v>1425_20240610_0003_L_0851.jpg</v>
      </c>
      <c r="G1428">
        <v>3</v>
      </c>
      <c r="I1428">
        <f t="shared" si="22"/>
        <v>1</v>
      </c>
      <c r="J1428" s="58">
        <v>1</v>
      </c>
      <c r="K1428" s="32"/>
      <c r="L1428" s="32"/>
      <c r="M1428" s="32"/>
      <c r="N1428" s="32"/>
      <c r="O1428">
        <v>2</v>
      </c>
      <c r="P1428" s="58">
        <v>0</v>
      </c>
      <c r="Q1428" s="58">
        <v>0</v>
      </c>
      <c r="R1428" s="58">
        <v>0</v>
      </c>
      <c r="S1428" s="58">
        <v>0</v>
      </c>
      <c r="T1428" s="58">
        <v>0</v>
      </c>
      <c r="U1428" s="58">
        <v>0</v>
      </c>
      <c r="V1428" s="58">
        <v>0</v>
      </c>
      <c r="W1428" s="4">
        <v>1</v>
      </c>
    </row>
    <row r="1429" spans="1:23" x14ac:dyDescent="0.35">
      <c r="A1429">
        <v>1425</v>
      </c>
      <c r="B1429">
        <v>1426</v>
      </c>
      <c r="C1429">
        <v>146.0444119</v>
      </c>
      <c r="D1429">
        <v>-17.528793199999999</v>
      </c>
      <c r="F1429" t="str">
        <f>HYPERLINK("D:\Data From Lucan\2024\Johnstone\Frames_for_Analysis\1426_20240610_0003_L_0856.jpg","1426_20240610_0003_L_0856.jpg")</f>
        <v>1426_20240610_0003_L_0856.jpg</v>
      </c>
      <c r="G1429">
        <v>3</v>
      </c>
      <c r="I1429">
        <f t="shared" si="22"/>
        <v>1</v>
      </c>
      <c r="J1429" s="58">
        <v>1</v>
      </c>
      <c r="K1429" s="32"/>
      <c r="L1429" s="32"/>
      <c r="M1429" s="32"/>
      <c r="N1429" s="32"/>
      <c r="O1429">
        <v>2</v>
      </c>
      <c r="P1429" s="58">
        <v>0</v>
      </c>
      <c r="Q1429" s="58">
        <v>0</v>
      </c>
      <c r="R1429" s="58">
        <v>0</v>
      </c>
      <c r="S1429" s="58">
        <v>0</v>
      </c>
      <c r="T1429" s="58">
        <v>0</v>
      </c>
      <c r="U1429" s="58">
        <v>0</v>
      </c>
      <c r="V1429" s="58">
        <v>0</v>
      </c>
      <c r="W1429" s="4">
        <v>1</v>
      </c>
    </row>
    <row r="1430" spans="1:23" x14ac:dyDescent="0.35">
      <c r="A1430">
        <v>1426</v>
      </c>
      <c r="B1430">
        <v>1427</v>
      </c>
      <c r="C1430">
        <v>146.0443258</v>
      </c>
      <c r="D1430">
        <v>-17.52875461</v>
      </c>
      <c r="F1430" t="str">
        <f>HYPERLINK("D:\Data From Lucan\2024\Johnstone\Frames_for_Analysis\1427_20240610_0003_L_0859.jpg","1427_20240610_0003_L_0859.jpg")</f>
        <v>1427_20240610_0003_L_0859.jpg</v>
      </c>
      <c r="G1430">
        <v>3</v>
      </c>
      <c r="I1430">
        <f t="shared" si="22"/>
        <v>1</v>
      </c>
      <c r="J1430" s="58">
        <v>1</v>
      </c>
      <c r="K1430" s="32"/>
      <c r="L1430" s="32"/>
      <c r="M1430" s="32"/>
      <c r="N1430" s="32"/>
      <c r="O1430">
        <v>2</v>
      </c>
      <c r="P1430" s="58">
        <v>1</v>
      </c>
      <c r="Q1430" s="58">
        <v>0</v>
      </c>
      <c r="R1430" s="58">
        <v>0</v>
      </c>
      <c r="S1430" s="58">
        <v>0</v>
      </c>
      <c r="T1430" s="58">
        <v>0</v>
      </c>
      <c r="U1430" s="58">
        <v>0</v>
      </c>
      <c r="V1430" s="58">
        <v>0</v>
      </c>
      <c r="W1430" s="4">
        <v>1</v>
      </c>
    </row>
    <row r="1431" spans="1:23" x14ac:dyDescent="0.35">
      <c r="A1431">
        <v>1427</v>
      </c>
      <c r="B1431">
        <v>1428</v>
      </c>
      <c r="C1431">
        <v>146.04423980000001</v>
      </c>
      <c r="D1431">
        <v>-17.52871601</v>
      </c>
      <c r="F1431" t="str">
        <f>HYPERLINK("D:\Data From Lucan\2024\Johnstone\Frames_for_Analysis\1428_20240610_0003_L_0866.jpg","1428_20240610_0003_L_0866.jpg")</f>
        <v>1428_20240610_0003_L_0866.jpg</v>
      </c>
      <c r="G1431">
        <v>3</v>
      </c>
      <c r="I1431">
        <v>0</v>
      </c>
      <c r="J1431" s="58">
        <v>2</v>
      </c>
      <c r="K1431" s="32"/>
      <c r="L1431" s="32"/>
      <c r="M1431" s="32"/>
      <c r="N1431" s="32"/>
      <c r="O1431">
        <v>2</v>
      </c>
      <c r="P1431" s="58">
        <v>0</v>
      </c>
      <c r="Q1431" s="58">
        <v>0</v>
      </c>
      <c r="R1431" s="58">
        <v>0</v>
      </c>
      <c r="S1431" s="58">
        <v>0</v>
      </c>
      <c r="T1431" s="58">
        <v>0</v>
      </c>
      <c r="U1431" s="58">
        <v>0</v>
      </c>
      <c r="V1431" s="58">
        <v>0</v>
      </c>
      <c r="W1431" s="4">
        <v>1</v>
      </c>
    </row>
    <row r="1432" spans="1:23" x14ac:dyDescent="0.35">
      <c r="A1432">
        <v>1428</v>
      </c>
      <c r="B1432">
        <v>1429</v>
      </c>
      <c r="C1432">
        <v>146.04415370000001</v>
      </c>
      <c r="D1432">
        <v>-17.528677420000001</v>
      </c>
      <c r="F1432" t="str">
        <f>HYPERLINK("D:\Data From Lucan\2024\Johnstone\Frames_for_Analysis\1429_20240610_0003_L_0873.jpg","1429_20240610_0003_L_0873.jpg")</f>
        <v>1429_20240610_0003_L_0873.jpg</v>
      </c>
      <c r="G1432">
        <v>3</v>
      </c>
      <c r="I1432">
        <f t="shared" si="22"/>
        <v>0</v>
      </c>
      <c r="J1432" s="58">
        <v>0</v>
      </c>
      <c r="K1432" s="32"/>
      <c r="L1432" s="32"/>
      <c r="M1432" s="32"/>
      <c r="N1432" s="32"/>
      <c r="O1432">
        <v>2</v>
      </c>
      <c r="P1432" s="58">
        <v>0</v>
      </c>
      <c r="Q1432" s="58">
        <v>1</v>
      </c>
      <c r="R1432" s="58">
        <v>0</v>
      </c>
      <c r="S1432" s="58">
        <v>0</v>
      </c>
      <c r="T1432" s="58">
        <v>0</v>
      </c>
      <c r="U1432" s="58">
        <v>0</v>
      </c>
      <c r="V1432" s="58">
        <v>0</v>
      </c>
      <c r="W1432" s="4">
        <v>1</v>
      </c>
    </row>
    <row r="1433" spans="1:23" x14ac:dyDescent="0.35">
      <c r="A1433">
        <v>1429</v>
      </c>
      <c r="B1433">
        <v>1430</v>
      </c>
      <c r="C1433">
        <v>146.0440677</v>
      </c>
      <c r="D1433">
        <v>-17.528638829999998</v>
      </c>
      <c r="F1433" t="str">
        <f>HYPERLINK("D:\Data From Lucan\2024\Johnstone\Frames_for_Analysis\1430_20240610_0003_L_0878.jpg","1430_20240610_0003_L_0878.jpg")</f>
        <v>1430_20240610_0003_L_0878.jpg</v>
      </c>
      <c r="G1433">
        <v>3</v>
      </c>
      <c r="I1433">
        <f t="shared" si="22"/>
        <v>0</v>
      </c>
      <c r="J1433" s="58">
        <v>0</v>
      </c>
      <c r="K1433" s="32"/>
      <c r="L1433" s="32"/>
      <c r="M1433" s="32"/>
      <c r="N1433" s="32"/>
      <c r="O1433">
        <v>2</v>
      </c>
      <c r="P1433" s="58">
        <v>0</v>
      </c>
      <c r="Q1433" s="58">
        <v>1</v>
      </c>
      <c r="R1433" s="58">
        <v>0</v>
      </c>
      <c r="S1433" s="58">
        <v>0</v>
      </c>
      <c r="T1433" s="58">
        <v>0</v>
      </c>
      <c r="U1433" s="58">
        <v>0</v>
      </c>
      <c r="V1433" s="58">
        <v>0</v>
      </c>
      <c r="W1433" s="4">
        <v>1</v>
      </c>
    </row>
    <row r="1434" spans="1:23" x14ac:dyDescent="0.35">
      <c r="A1434">
        <v>1430</v>
      </c>
      <c r="B1434">
        <v>1431</v>
      </c>
      <c r="C1434">
        <v>146.0439816</v>
      </c>
      <c r="D1434">
        <v>-17.528600229999999</v>
      </c>
      <c r="F1434" t="str">
        <f>HYPERLINK("D:\Data From Lucan\2024\Johnstone\Frames_for_Analysis\1431_20240610_0003_L_0881.jpg","1431_20240610_0003_L_0881.jpg")</f>
        <v>1431_20240610_0003_L_0881.jpg</v>
      </c>
      <c r="G1434">
        <v>3</v>
      </c>
      <c r="H1434" t="s">
        <v>26</v>
      </c>
      <c r="I1434" t="str">
        <f t="shared" si="22"/>
        <v>X</v>
      </c>
      <c r="K1434" s="32"/>
      <c r="L1434" s="32"/>
      <c r="M1434" s="32"/>
      <c r="N1434" s="32"/>
      <c r="O1434">
        <v>2</v>
      </c>
      <c r="P1434" s="58">
        <v>0</v>
      </c>
      <c r="Q1434" s="58">
        <v>1</v>
      </c>
      <c r="S1434" s="58">
        <v>0</v>
      </c>
      <c r="T1434" s="58">
        <v>0</v>
      </c>
      <c r="U1434" s="58">
        <v>0</v>
      </c>
      <c r="V1434" s="58">
        <v>0</v>
      </c>
      <c r="W1434" s="4"/>
    </row>
    <row r="1435" spans="1:23" x14ac:dyDescent="0.35">
      <c r="A1435">
        <v>1431</v>
      </c>
      <c r="B1435">
        <v>1432</v>
      </c>
      <c r="C1435">
        <v>146.04389560000001</v>
      </c>
      <c r="D1435">
        <v>-17.528561639999999</v>
      </c>
      <c r="F1435" t="str">
        <f>HYPERLINK("D:\Data From Lucan\2024\Johnstone\Frames_for_Analysis\1432_20240610_0003_L_0886.jpg","1432_20240610_0003_L_0886.jpg")</f>
        <v>1432_20240610_0003_L_0886.jpg</v>
      </c>
      <c r="G1435">
        <v>3</v>
      </c>
      <c r="I1435">
        <f t="shared" si="22"/>
        <v>0</v>
      </c>
      <c r="J1435" s="58">
        <v>0</v>
      </c>
      <c r="K1435" s="32"/>
      <c r="L1435" s="32"/>
      <c r="M1435" s="32"/>
      <c r="N1435" s="32"/>
      <c r="O1435">
        <v>2</v>
      </c>
      <c r="P1435" s="58">
        <v>0</v>
      </c>
      <c r="Q1435" s="58">
        <v>1</v>
      </c>
      <c r="R1435" s="58">
        <v>0</v>
      </c>
      <c r="S1435" s="58">
        <v>0</v>
      </c>
      <c r="T1435" s="58">
        <v>0</v>
      </c>
      <c r="U1435" s="58">
        <v>0</v>
      </c>
      <c r="V1435" s="58">
        <v>1</v>
      </c>
      <c r="W1435" s="4">
        <v>1</v>
      </c>
    </row>
    <row r="1436" spans="1:23" x14ac:dyDescent="0.35">
      <c r="A1436">
        <v>1432</v>
      </c>
      <c r="B1436">
        <v>1433</v>
      </c>
      <c r="C1436">
        <v>146.04380950000001</v>
      </c>
      <c r="D1436">
        <v>-17.52852304</v>
      </c>
      <c r="F1436" t="str">
        <f>HYPERLINK("D:\Data From Lucan\2024\Johnstone\Frames_for_Analysis\1433_20240610_0003_L_0890.jpg","1433_20240610_0003_L_0890.jpg")</f>
        <v>1433_20240610_0003_L_0890.jpg</v>
      </c>
      <c r="G1436">
        <v>3</v>
      </c>
      <c r="I1436">
        <f t="shared" si="22"/>
        <v>0</v>
      </c>
      <c r="J1436" s="58">
        <v>0</v>
      </c>
      <c r="K1436" s="32"/>
      <c r="L1436" s="32"/>
      <c r="M1436" s="32"/>
      <c r="N1436" s="32"/>
      <c r="O1436">
        <v>2</v>
      </c>
      <c r="P1436" s="58">
        <v>0</v>
      </c>
      <c r="Q1436" s="58">
        <v>1</v>
      </c>
      <c r="R1436" s="58">
        <v>0</v>
      </c>
      <c r="S1436" s="58">
        <v>0</v>
      </c>
      <c r="T1436" s="58">
        <v>0</v>
      </c>
      <c r="U1436" s="58">
        <v>0</v>
      </c>
      <c r="V1436" s="58">
        <v>0</v>
      </c>
      <c r="W1436" s="4">
        <v>1</v>
      </c>
    </row>
    <row r="1437" spans="1:23" x14ac:dyDescent="0.35">
      <c r="A1437">
        <v>1433</v>
      </c>
      <c r="B1437">
        <v>1434</v>
      </c>
      <c r="C1437">
        <v>146.04372190000001</v>
      </c>
      <c r="D1437">
        <v>-17.528489090000001</v>
      </c>
      <c r="F1437" t="str">
        <f>HYPERLINK("D:\Data From Lucan\2024\Johnstone\Frames_for_Analysis\1434_20240610_0003_L_0895.jpg","1434_20240610_0003_L_0895.jpg")</f>
        <v>1434_20240610_0003_L_0895.jpg</v>
      </c>
      <c r="G1437">
        <v>3</v>
      </c>
      <c r="I1437">
        <f t="shared" si="22"/>
        <v>0</v>
      </c>
      <c r="J1437" s="58">
        <v>0</v>
      </c>
      <c r="K1437" s="32"/>
      <c r="L1437" s="32"/>
      <c r="M1437" s="32"/>
      <c r="N1437" s="32"/>
      <c r="O1437">
        <v>2</v>
      </c>
      <c r="P1437" s="58">
        <v>0</v>
      </c>
      <c r="Q1437" s="58">
        <v>1</v>
      </c>
      <c r="R1437" s="58">
        <v>0</v>
      </c>
      <c r="S1437" s="58">
        <v>0</v>
      </c>
      <c r="T1437" s="58">
        <v>0</v>
      </c>
      <c r="U1437" s="58">
        <v>0</v>
      </c>
      <c r="V1437" s="58">
        <v>0</v>
      </c>
      <c r="W1437" s="4">
        <v>1</v>
      </c>
    </row>
    <row r="1438" spans="1:23" x14ac:dyDescent="0.35">
      <c r="A1438">
        <v>1434</v>
      </c>
      <c r="B1438">
        <v>1435</v>
      </c>
      <c r="C1438">
        <v>146.04363050000001</v>
      </c>
      <c r="D1438">
        <v>-17.528465749999999</v>
      </c>
      <c r="F1438" t="str">
        <f>HYPERLINK("D:\Data From Lucan\2024\Johnstone\Frames_for_Analysis\1435_20240610_0003_L_0902.jpg","1435_20240610_0003_L_0902.jpg")</f>
        <v>1435_20240610_0003_L_0902.jpg</v>
      </c>
      <c r="G1438">
        <v>3</v>
      </c>
      <c r="I1438">
        <f t="shared" si="22"/>
        <v>1</v>
      </c>
      <c r="J1438" s="58">
        <v>1</v>
      </c>
      <c r="K1438" s="32"/>
      <c r="L1438" s="32"/>
      <c r="M1438" s="32"/>
      <c r="N1438" s="32"/>
      <c r="O1438">
        <v>2</v>
      </c>
      <c r="P1438" s="58">
        <v>0</v>
      </c>
      <c r="Q1438" s="58">
        <v>1</v>
      </c>
      <c r="R1438" s="58">
        <v>0</v>
      </c>
      <c r="S1438" s="58">
        <v>0</v>
      </c>
      <c r="T1438" s="58">
        <v>0</v>
      </c>
      <c r="U1438" s="58">
        <v>0</v>
      </c>
      <c r="V1438" s="58">
        <v>0</v>
      </c>
      <c r="W1438" s="4">
        <v>1</v>
      </c>
    </row>
    <row r="1439" spans="1:23" x14ac:dyDescent="0.35">
      <c r="A1439">
        <v>1435</v>
      </c>
      <c r="B1439">
        <v>1436</v>
      </c>
      <c r="C1439">
        <v>146.0435391</v>
      </c>
      <c r="D1439">
        <v>-17.528442399999999</v>
      </c>
      <c r="F1439" t="str">
        <f>HYPERLINK("D:\Data From Lucan\2024\Johnstone\Frames_for_Analysis\1436_20240610_0003_L_0912.jpg","1436_20240610_0003_L_0912.jpg")</f>
        <v>1436_20240610_0003_L_0912.jpg</v>
      </c>
      <c r="G1439">
        <v>3</v>
      </c>
      <c r="I1439">
        <f t="shared" si="22"/>
        <v>1</v>
      </c>
      <c r="J1439" s="58">
        <v>1</v>
      </c>
      <c r="K1439" s="32"/>
      <c r="L1439" s="32"/>
      <c r="M1439" s="32"/>
      <c r="N1439" s="32"/>
      <c r="O1439">
        <v>2</v>
      </c>
      <c r="P1439" s="58">
        <v>0</v>
      </c>
      <c r="Q1439" s="58">
        <v>1</v>
      </c>
      <c r="R1439" s="58">
        <v>0</v>
      </c>
      <c r="S1439" s="58">
        <v>0</v>
      </c>
      <c r="T1439" s="58">
        <v>0</v>
      </c>
      <c r="U1439" s="58">
        <v>0</v>
      </c>
      <c r="V1439" s="58">
        <v>0</v>
      </c>
      <c r="W1439" s="4">
        <v>1</v>
      </c>
    </row>
    <row r="1440" spans="1:23" x14ac:dyDescent="0.35">
      <c r="A1440">
        <v>1436</v>
      </c>
      <c r="B1440">
        <v>1437</v>
      </c>
      <c r="C1440">
        <v>146.0434478</v>
      </c>
      <c r="D1440">
        <v>-17.52841905</v>
      </c>
      <c r="F1440" t="str">
        <f>HYPERLINK("D:\Data From Lucan\2024\Johnstone\Frames_for_Analysis\1437_20240610_0003_L_0918.jpg","1437_20240610_0003_L_0918.jpg")</f>
        <v>1437_20240610_0003_L_0918.jpg</v>
      </c>
      <c r="G1440">
        <v>3</v>
      </c>
      <c r="I1440">
        <f t="shared" si="22"/>
        <v>1</v>
      </c>
      <c r="J1440" s="58">
        <v>1</v>
      </c>
      <c r="K1440" s="32"/>
      <c r="L1440" s="32"/>
      <c r="M1440" s="32"/>
      <c r="N1440" s="32"/>
      <c r="O1440">
        <v>2</v>
      </c>
      <c r="P1440" s="58">
        <v>0</v>
      </c>
      <c r="Q1440" s="58">
        <v>1</v>
      </c>
      <c r="R1440" s="58">
        <v>0</v>
      </c>
      <c r="S1440" s="58">
        <v>0</v>
      </c>
      <c r="T1440" s="58">
        <v>0</v>
      </c>
      <c r="U1440" s="58">
        <v>0</v>
      </c>
      <c r="V1440" s="58">
        <v>1</v>
      </c>
      <c r="W1440" s="4">
        <v>1</v>
      </c>
    </row>
    <row r="1441" spans="1:23" x14ac:dyDescent="0.35">
      <c r="A1441">
        <v>1437</v>
      </c>
      <c r="B1441">
        <v>1438</v>
      </c>
      <c r="C1441">
        <v>146.0433592</v>
      </c>
      <c r="D1441">
        <v>-17.528387039999998</v>
      </c>
      <c r="F1441" t="str">
        <f>HYPERLINK("D:\Data From Lucan\2024\Johnstone\Frames_for_Analysis\1438_20240610_0003_L_0927.jpg","1438_20240610_0003_L_0927.jpg")</f>
        <v>1438_20240610_0003_L_0927.jpg</v>
      </c>
      <c r="G1441">
        <v>3</v>
      </c>
      <c r="I1441">
        <f t="shared" si="22"/>
        <v>1</v>
      </c>
      <c r="J1441" s="58">
        <v>1</v>
      </c>
      <c r="K1441" s="32"/>
      <c r="L1441" s="32"/>
      <c r="M1441" s="32"/>
      <c r="N1441" s="32"/>
      <c r="O1441">
        <v>2</v>
      </c>
      <c r="P1441" s="58">
        <v>0</v>
      </c>
      <c r="Q1441" s="58">
        <v>1</v>
      </c>
      <c r="R1441" s="58">
        <v>0</v>
      </c>
      <c r="S1441" s="58">
        <v>0</v>
      </c>
      <c r="T1441" s="58">
        <v>0</v>
      </c>
      <c r="U1441" s="58">
        <v>0</v>
      </c>
      <c r="V1441" s="58">
        <v>0</v>
      </c>
      <c r="W1441" s="4">
        <v>1</v>
      </c>
    </row>
    <row r="1442" spans="1:23" x14ac:dyDescent="0.35">
      <c r="A1442">
        <v>1438</v>
      </c>
      <c r="B1442">
        <v>1439</v>
      </c>
      <c r="C1442">
        <v>146.04327140000001</v>
      </c>
      <c r="D1442">
        <v>-17.52835258</v>
      </c>
      <c r="F1442" t="str">
        <f>HYPERLINK("D:\Data From Lucan\2024\Johnstone\Frames_for_Analysis\1439_20240610_0003_L_0930.jpg","1439_20240610_0003_L_0930.jpg")</f>
        <v>1439_20240610_0003_L_0930.jpg</v>
      </c>
      <c r="G1442">
        <v>3</v>
      </c>
      <c r="H1442" t="s">
        <v>26</v>
      </c>
      <c r="I1442" t="str">
        <f t="shared" si="22"/>
        <v>X</v>
      </c>
      <c r="K1442" s="32"/>
      <c r="L1442" s="32"/>
      <c r="M1442" s="32"/>
      <c r="N1442" s="32"/>
      <c r="O1442">
        <v>2</v>
      </c>
      <c r="P1442" s="58">
        <v>0</v>
      </c>
      <c r="Q1442" s="58">
        <v>1</v>
      </c>
      <c r="S1442" s="58">
        <v>0</v>
      </c>
      <c r="T1442" s="58">
        <v>0</v>
      </c>
      <c r="U1442" s="58">
        <v>0</v>
      </c>
      <c r="V1442" s="58">
        <v>0</v>
      </c>
      <c r="W1442" s="4"/>
    </row>
    <row r="1443" spans="1:23" x14ac:dyDescent="0.35">
      <c r="A1443">
        <v>1439</v>
      </c>
      <c r="B1443">
        <v>1440</v>
      </c>
      <c r="C1443">
        <v>146.04318359999999</v>
      </c>
      <c r="D1443">
        <v>-17.528318120000002</v>
      </c>
      <c r="F1443" t="str">
        <f>HYPERLINK("D:\Data From Lucan\2024\Johnstone\Frames_for_Analysis\1440_20240610_0003_L_0936.jpg","1440_20240610_0003_L_0936.jpg")</f>
        <v>1440_20240610_0003_L_0936.jpg</v>
      </c>
      <c r="G1443">
        <v>3</v>
      </c>
      <c r="I1443">
        <f t="shared" si="22"/>
        <v>0</v>
      </c>
      <c r="J1443" s="58">
        <v>0</v>
      </c>
      <c r="K1443" s="32"/>
      <c r="L1443" s="32"/>
      <c r="M1443" s="32"/>
      <c r="N1443" s="32"/>
      <c r="O1443">
        <v>2</v>
      </c>
      <c r="P1443" s="58">
        <v>0</v>
      </c>
      <c r="Q1443" s="58">
        <v>1</v>
      </c>
      <c r="R1443" s="58">
        <v>0</v>
      </c>
      <c r="S1443" s="58">
        <v>0</v>
      </c>
      <c r="T1443" s="58">
        <v>0</v>
      </c>
      <c r="U1443" s="58">
        <v>0</v>
      </c>
      <c r="V1443" s="58">
        <v>0</v>
      </c>
      <c r="W1443" s="4">
        <v>1</v>
      </c>
    </row>
    <row r="1444" spans="1:23" x14ac:dyDescent="0.35">
      <c r="A1444">
        <v>1440</v>
      </c>
      <c r="B1444">
        <v>1441</v>
      </c>
      <c r="C1444">
        <v>146.0430959</v>
      </c>
      <c r="D1444">
        <v>-17.52828366</v>
      </c>
      <c r="F1444" t="str">
        <f>HYPERLINK("D:\Data From Lucan\2024\Johnstone\Frames_for_Analysis\1441_20240610_0003_L_0940.jpg","1441_20240610_0003_L_0940.jpg")</f>
        <v>1441_20240610_0003_L_0940.jpg</v>
      </c>
      <c r="G1444">
        <v>3</v>
      </c>
      <c r="I1444">
        <f t="shared" si="22"/>
        <v>0</v>
      </c>
      <c r="J1444" s="58">
        <v>0</v>
      </c>
      <c r="K1444" s="32"/>
      <c r="L1444" s="32"/>
      <c r="M1444" s="32"/>
      <c r="N1444" s="32"/>
      <c r="O1444">
        <v>2</v>
      </c>
      <c r="P1444" s="58">
        <v>0</v>
      </c>
      <c r="Q1444" s="58">
        <v>1</v>
      </c>
      <c r="R1444" s="58">
        <v>0</v>
      </c>
      <c r="S1444" s="58">
        <v>1</v>
      </c>
      <c r="T1444" s="58">
        <v>0</v>
      </c>
      <c r="U1444" s="58">
        <v>0</v>
      </c>
      <c r="V1444" s="58">
        <v>0</v>
      </c>
      <c r="W1444" s="4">
        <v>1</v>
      </c>
    </row>
    <row r="1445" spans="1:23" x14ac:dyDescent="0.35">
      <c r="A1445">
        <v>1441</v>
      </c>
      <c r="B1445">
        <v>1442</v>
      </c>
      <c r="C1445">
        <v>146.04300810000001</v>
      </c>
      <c r="D1445">
        <v>-17.528249200000001</v>
      </c>
      <c r="F1445" t="str">
        <f>HYPERLINK("D:\Data From Lucan\2024\Johnstone\Frames_for_Analysis\1442_20240610_0003_L_0949.jpg","1442_20240610_0003_L_0949.jpg")</f>
        <v>1442_20240610_0003_L_0949.jpg</v>
      </c>
      <c r="G1445">
        <v>3</v>
      </c>
      <c r="I1445">
        <f t="shared" si="22"/>
        <v>0</v>
      </c>
      <c r="J1445" s="58">
        <v>0</v>
      </c>
      <c r="K1445" s="32"/>
      <c r="L1445" s="32"/>
      <c r="M1445" s="32"/>
      <c r="N1445" s="32"/>
      <c r="O1445">
        <v>2</v>
      </c>
      <c r="P1445" s="58">
        <v>1</v>
      </c>
      <c r="Q1445" s="58">
        <v>1</v>
      </c>
      <c r="R1445" s="58">
        <v>0</v>
      </c>
      <c r="S1445" s="58">
        <v>0</v>
      </c>
      <c r="T1445" s="58">
        <v>0</v>
      </c>
      <c r="U1445" s="58">
        <v>0</v>
      </c>
      <c r="V1445" s="58">
        <v>0</v>
      </c>
      <c r="W1445" s="4">
        <v>2</v>
      </c>
    </row>
    <row r="1446" spans="1:23" x14ac:dyDescent="0.35">
      <c r="A1446">
        <v>1442</v>
      </c>
      <c r="B1446">
        <v>1443</v>
      </c>
      <c r="C1446">
        <v>146.04292029999999</v>
      </c>
      <c r="D1446">
        <v>-17.52821475</v>
      </c>
      <c r="F1446" t="str">
        <f>HYPERLINK("D:\Data From Lucan\2024\Johnstone\Frames_for_Analysis\1443_20240610_0003_L_0955.jpg","1443_20240610_0003_L_0955.jpg")</f>
        <v>1443_20240610_0003_L_0955.jpg</v>
      </c>
      <c r="G1446">
        <v>3</v>
      </c>
      <c r="I1446">
        <f t="shared" si="22"/>
        <v>1</v>
      </c>
      <c r="J1446" s="58">
        <v>1</v>
      </c>
      <c r="K1446" s="32"/>
      <c r="L1446" s="32"/>
      <c r="M1446" s="32"/>
      <c r="N1446" s="32"/>
      <c r="O1446">
        <v>3</v>
      </c>
      <c r="P1446" s="58">
        <v>0</v>
      </c>
      <c r="Q1446" s="58">
        <v>0</v>
      </c>
      <c r="R1446" s="58">
        <v>0</v>
      </c>
      <c r="S1446" s="58">
        <v>0</v>
      </c>
      <c r="T1446" s="58">
        <v>0</v>
      </c>
      <c r="U1446" s="58">
        <v>0</v>
      </c>
      <c r="V1446" s="58">
        <v>0</v>
      </c>
      <c r="W1446" s="4">
        <v>1</v>
      </c>
    </row>
    <row r="1447" spans="1:23" x14ac:dyDescent="0.35">
      <c r="A1447">
        <v>1443</v>
      </c>
      <c r="B1447">
        <v>1444</v>
      </c>
      <c r="C1447">
        <v>146.0428325</v>
      </c>
      <c r="D1447">
        <v>-17.528180290000002</v>
      </c>
      <c r="F1447" t="str">
        <f>HYPERLINK("D:\Data From Lucan\2024\Johnstone\Frames_for_Analysis\1444_20240610_0003_L_0960.jpg","1444_20240610_0003_L_0960.jpg")</f>
        <v>1444_20240610_0003_L_0960.jpg</v>
      </c>
      <c r="G1447">
        <v>3</v>
      </c>
      <c r="I1447">
        <f t="shared" si="22"/>
        <v>1</v>
      </c>
      <c r="J1447" s="58">
        <v>1</v>
      </c>
      <c r="K1447" s="32"/>
      <c r="L1447" s="32"/>
      <c r="M1447" s="32"/>
      <c r="N1447" s="32"/>
      <c r="O1447">
        <v>2</v>
      </c>
      <c r="P1447" s="58">
        <v>0</v>
      </c>
      <c r="Q1447" s="58">
        <v>0</v>
      </c>
      <c r="R1447" s="58">
        <v>0</v>
      </c>
      <c r="S1447" s="58">
        <v>0</v>
      </c>
      <c r="T1447" s="58">
        <v>0</v>
      </c>
      <c r="U1447" s="58">
        <v>0</v>
      </c>
      <c r="V1447" s="58">
        <v>0</v>
      </c>
      <c r="W1447" s="4">
        <v>1</v>
      </c>
    </row>
    <row r="1448" spans="1:23" x14ac:dyDescent="0.35">
      <c r="A1448">
        <v>1444</v>
      </c>
      <c r="B1448">
        <v>1445</v>
      </c>
      <c r="C1448">
        <v>146.04274469999999</v>
      </c>
      <c r="D1448">
        <v>-17.52814583</v>
      </c>
      <c r="F1448" t="str">
        <f>HYPERLINK("D:\Data From Lucan\2024\Johnstone\Frames_for_Analysis\1445_20240610_0003_L_0966.jpg","1445_20240610_0003_L_0966.jpg")</f>
        <v>1445_20240610_0003_L_0966.jpg</v>
      </c>
      <c r="G1448">
        <v>3</v>
      </c>
      <c r="I1448">
        <f t="shared" si="22"/>
        <v>1</v>
      </c>
      <c r="J1448" s="58">
        <v>1</v>
      </c>
      <c r="K1448" s="32"/>
      <c r="L1448" s="32"/>
      <c r="M1448" s="32"/>
      <c r="N1448" s="32"/>
      <c r="O1448">
        <v>2</v>
      </c>
      <c r="P1448" s="58">
        <v>0</v>
      </c>
      <c r="Q1448" s="58">
        <v>0</v>
      </c>
      <c r="R1448" s="58">
        <v>1</v>
      </c>
      <c r="S1448" s="58">
        <v>0</v>
      </c>
      <c r="T1448" s="58">
        <v>0</v>
      </c>
      <c r="U1448" s="58">
        <v>0</v>
      </c>
      <c r="V1448" s="58">
        <v>0</v>
      </c>
      <c r="W1448" s="4">
        <v>1</v>
      </c>
    </row>
    <row r="1449" spans="1:23" x14ac:dyDescent="0.35">
      <c r="A1449">
        <v>1445</v>
      </c>
      <c r="B1449">
        <v>1446</v>
      </c>
      <c r="C1449">
        <v>146.0426569</v>
      </c>
      <c r="D1449">
        <v>-17.528111370000001</v>
      </c>
      <c r="F1449" t="str">
        <f>HYPERLINK("D:\Data From Lucan\2024\Johnstone\Frames_for_Analysis\1446_20240610_0003_L_0971.jpg","1446_20240610_0003_L_0971.jpg")</f>
        <v>1446_20240610_0003_L_0971.jpg</v>
      </c>
      <c r="G1449">
        <v>3</v>
      </c>
      <c r="I1449">
        <f t="shared" si="22"/>
        <v>1</v>
      </c>
      <c r="J1449" s="58">
        <v>1</v>
      </c>
      <c r="K1449" s="32"/>
      <c r="L1449" s="32"/>
      <c r="M1449" s="32"/>
      <c r="N1449" s="32"/>
      <c r="O1449">
        <v>2</v>
      </c>
      <c r="P1449" s="58">
        <v>0</v>
      </c>
      <c r="Q1449" s="58">
        <v>0</v>
      </c>
      <c r="R1449" s="58">
        <v>0</v>
      </c>
      <c r="S1449" s="58">
        <v>0</v>
      </c>
      <c r="T1449" s="58">
        <v>0</v>
      </c>
      <c r="U1449" s="58">
        <v>0</v>
      </c>
      <c r="V1449" s="58">
        <v>0</v>
      </c>
      <c r="W1449" s="4">
        <v>1</v>
      </c>
    </row>
    <row r="1450" spans="1:23" x14ac:dyDescent="0.35">
      <c r="A1450">
        <v>1446</v>
      </c>
      <c r="B1450">
        <v>1447</v>
      </c>
      <c r="C1450">
        <v>146.04256330000001</v>
      </c>
      <c r="D1450">
        <v>-17.528101620000001</v>
      </c>
      <c r="F1450" t="str">
        <f>HYPERLINK("D:\Data From Lucan\2024\Johnstone\Frames_for_Analysis\1447_20240610_0003_L_0975.jpg","1447_20240610_0003_L_0975.jpg")</f>
        <v>1447_20240610_0003_L_0975.jpg</v>
      </c>
      <c r="G1450">
        <v>3</v>
      </c>
      <c r="I1450">
        <f t="shared" si="22"/>
        <v>1</v>
      </c>
      <c r="J1450" s="58">
        <v>1</v>
      </c>
      <c r="K1450" s="32"/>
      <c r="L1450" s="32"/>
      <c r="M1450" s="32"/>
      <c r="N1450" s="32"/>
      <c r="O1450">
        <v>2</v>
      </c>
      <c r="P1450" s="58">
        <v>0</v>
      </c>
      <c r="Q1450" s="58">
        <v>0</v>
      </c>
      <c r="R1450" s="58">
        <v>0</v>
      </c>
      <c r="S1450" s="58">
        <v>0</v>
      </c>
      <c r="T1450" s="58">
        <v>0</v>
      </c>
      <c r="U1450" s="58">
        <v>0</v>
      </c>
      <c r="V1450" s="58">
        <v>0</v>
      </c>
      <c r="W1450" s="4">
        <v>1</v>
      </c>
    </row>
    <row r="1451" spans="1:23" x14ac:dyDescent="0.35">
      <c r="A1451">
        <v>1447</v>
      </c>
      <c r="B1451">
        <v>1448</v>
      </c>
      <c r="C1451">
        <v>146.04246939999999</v>
      </c>
      <c r="D1451">
        <v>-17.528093120000001</v>
      </c>
      <c r="F1451" t="str">
        <f>HYPERLINK("D:\Data From Lucan\2024\Johnstone\Frames_for_Analysis\1448_20240610_0003_L_0980.jpg","1448_20240610_0003_L_0980.jpg")</f>
        <v>1448_20240610_0003_L_0980.jpg</v>
      </c>
      <c r="G1451">
        <v>3</v>
      </c>
      <c r="I1451">
        <f t="shared" si="22"/>
        <v>0</v>
      </c>
      <c r="J1451" s="58">
        <v>0</v>
      </c>
      <c r="K1451" s="32"/>
      <c r="L1451" s="32"/>
      <c r="M1451" s="32"/>
      <c r="N1451" s="32"/>
      <c r="O1451">
        <v>2</v>
      </c>
      <c r="P1451" s="58">
        <v>0</v>
      </c>
      <c r="Q1451" s="58">
        <v>0</v>
      </c>
      <c r="R1451" s="58">
        <v>0</v>
      </c>
      <c r="S1451" s="58">
        <v>0</v>
      </c>
      <c r="T1451" s="58">
        <v>0</v>
      </c>
      <c r="U1451" s="58">
        <v>0</v>
      </c>
      <c r="V1451" s="58">
        <v>0</v>
      </c>
      <c r="W1451" s="4">
        <v>1</v>
      </c>
    </row>
    <row r="1452" spans="1:23" x14ac:dyDescent="0.35">
      <c r="A1452">
        <v>1448</v>
      </c>
      <c r="B1452">
        <v>1449</v>
      </c>
      <c r="C1452">
        <v>146.0423768</v>
      </c>
      <c r="D1452">
        <v>-17.528079829999999</v>
      </c>
      <c r="F1452" t="str">
        <f>HYPERLINK("D:\Data From Lucan\2024\Johnstone\Frames_for_Analysis\1449_20240610_0003_L_0983.jpg","1449_20240610_0003_L_0983.jpg")</f>
        <v>1449_20240610_0003_L_0983.jpg</v>
      </c>
      <c r="G1452">
        <v>3</v>
      </c>
      <c r="I1452">
        <f t="shared" si="22"/>
        <v>0</v>
      </c>
      <c r="J1452" s="58">
        <v>0</v>
      </c>
      <c r="K1452" s="32"/>
      <c r="L1452" s="32"/>
      <c r="M1452" s="32"/>
      <c r="N1452" s="32"/>
      <c r="O1452">
        <v>2</v>
      </c>
      <c r="P1452" s="58">
        <v>0</v>
      </c>
      <c r="Q1452" s="58">
        <v>0</v>
      </c>
      <c r="R1452" s="58">
        <v>0</v>
      </c>
      <c r="S1452" s="58">
        <v>0</v>
      </c>
      <c r="T1452" s="58">
        <v>0</v>
      </c>
      <c r="U1452" s="58">
        <v>0</v>
      </c>
      <c r="V1452" s="58">
        <v>0</v>
      </c>
      <c r="W1452" s="4">
        <v>1</v>
      </c>
    </row>
    <row r="1453" spans="1:23" x14ac:dyDescent="0.35">
      <c r="A1453">
        <v>1449</v>
      </c>
      <c r="B1453">
        <v>1450</v>
      </c>
      <c r="C1453">
        <v>146.0422911</v>
      </c>
      <c r="D1453">
        <v>-17.528040279999999</v>
      </c>
      <c r="F1453" t="str">
        <f>HYPERLINK("D:\Data From Lucan\2024\Johnstone\Frames_for_Analysis\1450_20240610_0003_L_0987.jpg","1450_20240610_0003_L_0987.jpg")</f>
        <v>1450_20240610_0003_L_0987.jpg</v>
      </c>
      <c r="G1453">
        <v>3</v>
      </c>
      <c r="I1453">
        <f t="shared" si="22"/>
        <v>1</v>
      </c>
      <c r="J1453" s="58">
        <v>1</v>
      </c>
      <c r="K1453" s="32"/>
      <c r="L1453" s="32"/>
      <c r="M1453" s="32"/>
      <c r="N1453" s="32"/>
      <c r="O1453">
        <v>3</v>
      </c>
      <c r="P1453" s="58">
        <v>0</v>
      </c>
      <c r="Q1453" s="58">
        <v>1</v>
      </c>
      <c r="R1453" s="58">
        <v>0</v>
      </c>
      <c r="S1453" s="58">
        <v>0</v>
      </c>
      <c r="T1453" s="58">
        <v>0</v>
      </c>
      <c r="U1453" s="58">
        <v>0</v>
      </c>
      <c r="V1453" s="58">
        <v>0</v>
      </c>
      <c r="W1453" s="4">
        <v>2</v>
      </c>
    </row>
    <row r="1454" spans="1:23" x14ac:dyDescent="0.35">
      <c r="A1454">
        <v>1450</v>
      </c>
      <c r="B1454">
        <v>1451</v>
      </c>
      <c r="C1454">
        <v>146.04220549999999</v>
      </c>
      <c r="D1454">
        <v>-17.528000729999999</v>
      </c>
      <c r="F1454" t="str">
        <f>HYPERLINK("D:\Data From Lucan\2024\Johnstone\Frames_for_Analysis\1451_20240610_0003_L_0992.jpg","1451_20240610_0003_L_0992.jpg")</f>
        <v>1451_20240610_0003_L_0992.jpg</v>
      </c>
      <c r="G1454">
        <v>3</v>
      </c>
      <c r="I1454">
        <f t="shared" si="22"/>
        <v>1</v>
      </c>
      <c r="J1454" s="58">
        <v>1</v>
      </c>
      <c r="K1454" s="32"/>
      <c r="L1454" s="32"/>
      <c r="M1454" s="32"/>
      <c r="N1454" s="32"/>
      <c r="O1454">
        <v>3</v>
      </c>
      <c r="P1454" s="58">
        <v>0</v>
      </c>
      <c r="Q1454" s="58">
        <v>1</v>
      </c>
      <c r="R1454" s="58">
        <v>0</v>
      </c>
      <c r="S1454" s="58">
        <v>0</v>
      </c>
      <c r="T1454" s="58">
        <v>0</v>
      </c>
      <c r="U1454" s="58">
        <v>0</v>
      </c>
      <c r="V1454" s="58">
        <v>0</v>
      </c>
      <c r="W1454" s="4">
        <v>2</v>
      </c>
    </row>
    <row r="1455" spans="1:23" x14ac:dyDescent="0.35">
      <c r="A1455">
        <v>1451</v>
      </c>
      <c r="B1455">
        <v>1452</v>
      </c>
      <c r="C1455">
        <v>146.04211989999999</v>
      </c>
      <c r="D1455">
        <v>-17.527961179999998</v>
      </c>
      <c r="F1455" t="str">
        <f>HYPERLINK("D:\Data From Lucan\2024\Johnstone\Frames_for_Analysis\1452_20240610_0003_L_0997.jpg","1452_20240610_0003_L_0997.jpg")</f>
        <v>1452_20240610_0003_L_0997.jpg</v>
      </c>
      <c r="G1455">
        <v>3</v>
      </c>
      <c r="I1455">
        <f t="shared" si="22"/>
        <v>0</v>
      </c>
      <c r="J1455" s="58">
        <v>0</v>
      </c>
      <c r="K1455" s="32"/>
      <c r="L1455" s="32"/>
      <c r="M1455" s="32"/>
      <c r="N1455" s="32"/>
      <c r="O1455">
        <v>3</v>
      </c>
      <c r="P1455" s="58">
        <v>0</v>
      </c>
      <c r="Q1455" s="58">
        <v>1</v>
      </c>
      <c r="R1455" s="58">
        <v>0</v>
      </c>
      <c r="S1455" s="58">
        <v>0</v>
      </c>
      <c r="T1455" s="58">
        <v>0</v>
      </c>
      <c r="U1455" s="58">
        <v>0</v>
      </c>
      <c r="V1455" s="58">
        <v>0</v>
      </c>
      <c r="W1455" s="4">
        <v>2</v>
      </c>
    </row>
    <row r="1456" spans="1:23" x14ac:dyDescent="0.35">
      <c r="A1456">
        <v>1452</v>
      </c>
      <c r="B1456">
        <v>1453</v>
      </c>
      <c r="C1456">
        <v>146.04203430000001</v>
      </c>
      <c r="D1456">
        <v>-17.527921630000002</v>
      </c>
      <c r="F1456" t="str">
        <f>HYPERLINK("D:\Data From Lucan\2024\Johnstone\Frames_for_Analysis\1453_20240610_0003_L_1001.jpg","1453_20240610_0003_L_1001.jpg")</f>
        <v>1453_20240610_0003_L_1001.jpg</v>
      </c>
      <c r="G1456">
        <v>3</v>
      </c>
      <c r="I1456">
        <f t="shared" si="22"/>
        <v>0</v>
      </c>
      <c r="J1456" s="58">
        <v>0</v>
      </c>
      <c r="K1456" s="32"/>
      <c r="L1456" s="32"/>
      <c r="M1456" s="32"/>
      <c r="N1456" s="32"/>
      <c r="O1456">
        <v>3</v>
      </c>
      <c r="P1456" s="58">
        <v>0</v>
      </c>
      <c r="Q1456" s="58">
        <v>1</v>
      </c>
      <c r="R1456" s="58">
        <v>0</v>
      </c>
      <c r="S1456" s="58">
        <v>0</v>
      </c>
      <c r="T1456" s="58">
        <v>0</v>
      </c>
      <c r="U1456" s="58">
        <v>0</v>
      </c>
      <c r="V1456" s="58">
        <v>0</v>
      </c>
      <c r="W1456" s="4">
        <v>2</v>
      </c>
    </row>
    <row r="1457" spans="1:23" x14ac:dyDescent="0.35">
      <c r="A1457">
        <v>1453</v>
      </c>
      <c r="B1457">
        <v>1454</v>
      </c>
      <c r="C1457">
        <v>146.04194870000001</v>
      </c>
      <c r="D1457">
        <v>-17.527882080000001</v>
      </c>
      <c r="F1457" t="str">
        <f>HYPERLINK("D:\Data From Lucan\2024\Johnstone\Frames_for_Analysis\1454_20240610_0003_L_1005.jpg","1454_20240610_0003_L_1005.jpg")</f>
        <v>1454_20240610_0003_L_1005.jpg</v>
      </c>
      <c r="G1457">
        <v>3</v>
      </c>
      <c r="I1457">
        <f t="shared" si="22"/>
        <v>0</v>
      </c>
      <c r="J1457" s="58">
        <v>0</v>
      </c>
      <c r="K1457" s="32"/>
      <c r="L1457" s="32"/>
      <c r="M1457" s="32"/>
      <c r="N1457" s="32"/>
      <c r="O1457">
        <v>3</v>
      </c>
      <c r="P1457" s="58">
        <v>0</v>
      </c>
      <c r="Q1457" s="58">
        <v>1</v>
      </c>
      <c r="R1457" s="58">
        <v>0</v>
      </c>
      <c r="S1457" s="58">
        <v>0</v>
      </c>
      <c r="T1457" s="58">
        <v>0</v>
      </c>
      <c r="U1457" s="58">
        <v>0</v>
      </c>
      <c r="V1457" s="58">
        <v>0</v>
      </c>
      <c r="W1457" s="4">
        <v>2</v>
      </c>
    </row>
    <row r="1458" spans="1:23" x14ac:dyDescent="0.35">
      <c r="A1458">
        <v>1454</v>
      </c>
      <c r="B1458">
        <v>1455</v>
      </c>
      <c r="C1458">
        <v>146.0418631</v>
      </c>
      <c r="D1458">
        <v>-17.527842440000001</v>
      </c>
      <c r="F1458" t="str">
        <f>HYPERLINK("D:\Data From Lucan\2024\Johnstone\Frames_for_Analysis\1455_20240610_0003_L_1010.jpg","1455_20240610_0003_L_1010.jpg")</f>
        <v>1455_20240610_0003_L_1010.jpg</v>
      </c>
      <c r="G1458">
        <v>3</v>
      </c>
      <c r="I1458">
        <f t="shared" si="22"/>
        <v>0</v>
      </c>
      <c r="J1458" s="58">
        <v>0</v>
      </c>
      <c r="K1458" s="32"/>
      <c r="L1458" s="32"/>
      <c r="M1458" s="32"/>
      <c r="N1458" s="32"/>
      <c r="O1458">
        <v>3</v>
      </c>
      <c r="P1458" s="58">
        <v>0</v>
      </c>
      <c r="Q1458" s="58">
        <v>1</v>
      </c>
      <c r="R1458" s="58">
        <v>0</v>
      </c>
      <c r="S1458" s="58">
        <v>0</v>
      </c>
      <c r="T1458" s="58">
        <v>0</v>
      </c>
      <c r="U1458" s="58">
        <v>0</v>
      </c>
      <c r="V1458" s="58">
        <v>0</v>
      </c>
      <c r="W1458" s="4">
        <v>2</v>
      </c>
    </row>
    <row r="1459" spans="1:23" x14ac:dyDescent="0.35">
      <c r="A1459">
        <v>1455</v>
      </c>
      <c r="B1459">
        <v>1456</v>
      </c>
      <c r="C1459">
        <v>146.0417788</v>
      </c>
      <c r="D1459">
        <v>-17.527800280000001</v>
      </c>
      <c r="F1459" t="str">
        <f>HYPERLINK("D:\Data From Lucan\2024\Johnstone\Frames_for_Analysis\1456_20240610_0003_L_1015.jpg","1456_20240610_0003_L_1015.jpg")</f>
        <v>1456_20240610_0003_L_1015.jpg</v>
      </c>
      <c r="G1459">
        <v>3</v>
      </c>
      <c r="I1459">
        <f t="shared" si="22"/>
        <v>0</v>
      </c>
      <c r="J1459" s="58">
        <v>0</v>
      </c>
      <c r="K1459" s="32"/>
      <c r="L1459" s="32"/>
      <c r="M1459" s="32"/>
      <c r="N1459" s="32"/>
      <c r="O1459">
        <v>3</v>
      </c>
      <c r="P1459" s="58">
        <v>0</v>
      </c>
      <c r="Q1459" s="58">
        <v>1</v>
      </c>
      <c r="R1459" s="58">
        <v>0</v>
      </c>
      <c r="S1459" s="58">
        <v>0</v>
      </c>
      <c r="T1459" s="58">
        <v>1</v>
      </c>
      <c r="U1459" s="58">
        <v>0</v>
      </c>
      <c r="V1459" s="58">
        <v>0</v>
      </c>
      <c r="W1459" s="4">
        <v>2</v>
      </c>
    </row>
    <row r="1460" spans="1:23" x14ac:dyDescent="0.35">
      <c r="A1460">
        <v>1456</v>
      </c>
      <c r="B1460">
        <v>1457</v>
      </c>
      <c r="C1460">
        <v>146.04169440000001</v>
      </c>
      <c r="D1460">
        <v>-17.527758110000001</v>
      </c>
      <c r="F1460" t="str">
        <f>HYPERLINK("D:\Data From Lucan\2024\Johnstone\Frames_for_Analysis\1457_20240610_0003_L_1020.jpg","1457_20240610_0003_L_1020.jpg")</f>
        <v>1457_20240610_0003_L_1020.jpg</v>
      </c>
      <c r="G1460">
        <v>3</v>
      </c>
      <c r="I1460">
        <f t="shared" si="22"/>
        <v>1</v>
      </c>
      <c r="J1460" s="58">
        <v>1</v>
      </c>
      <c r="K1460" s="32"/>
      <c r="L1460" s="32"/>
      <c r="M1460" s="32"/>
      <c r="N1460" s="32"/>
      <c r="O1460">
        <v>2</v>
      </c>
      <c r="P1460" s="58">
        <v>0</v>
      </c>
      <c r="Q1460" s="58">
        <v>1</v>
      </c>
      <c r="R1460" s="58">
        <v>1</v>
      </c>
      <c r="S1460" s="58">
        <v>0</v>
      </c>
      <c r="T1460" s="58">
        <v>0</v>
      </c>
      <c r="U1460" s="58">
        <v>0</v>
      </c>
      <c r="V1460" s="58">
        <v>0</v>
      </c>
      <c r="W1460" s="4">
        <v>1</v>
      </c>
    </row>
    <row r="1461" spans="1:23" x14ac:dyDescent="0.35">
      <c r="A1461">
        <v>1457</v>
      </c>
      <c r="B1461">
        <v>1458</v>
      </c>
      <c r="C1461">
        <v>146.04161010000001</v>
      </c>
      <c r="D1461">
        <v>-17.527715950000001</v>
      </c>
      <c r="F1461" t="str">
        <f>HYPERLINK("D:\Data From Lucan\2024\Johnstone\Frames_for_Analysis\1458_20240610_0003_L_1025.jpg","1458_20240610_0003_L_1025.jpg")</f>
        <v>1458_20240610_0003_L_1025.jpg</v>
      </c>
      <c r="G1461">
        <v>3</v>
      </c>
      <c r="I1461">
        <f t="shared" si="22"/>
        <v>1</v>
      </c>
      <c r="J1461" s="58">
        <v>1</v>
      </c>
      <c r="K1461" s="32"/>
      <c r="L1461" s="32"/>
      <c r="M1461" s="32"/>
      <c r="N1461" s="32"/>
      <c r="O1461">
        <v>2</v>
      </c>
      <c r="P1461" s="58">
        <v>0</v>
      </c>
      <c r="Q1461" s="58">
        <v>1</v>
      </c>
      <c r="R1461" s="58">
        <v>0</v>
      </c>
      <c r="S1461" s="58">
        <v>0</v>
      </c>
      <c r="T1461" s="58">
        <v>0</v>
      </c>
      <c r="U1461" s="58">
        <v>0</v>
      </c>
      <c r="V1461" s="58">
        <v>0</v>
      </c>
      <c r="W1461" s="4">
        <v>1</v>
      </c>
    </row>
    <row r="1462" spans="1:23" x14ac:dyDescent="0.35">
      <c r="A1462">
        <v>1458</v>
      </c>
      <c r="B1462">
        <v>1459</v>
      </c>
      <c r="C1462">
        <v>146.04152569999999</v>
      </c>
      <c r="D1462">
        <v>-17.527673780000001</v>
      </c>
      <c r="F1462" t="str">
        <f>HYPERLINK("D:\Data From Lucan\2024\Johnstone\Frames_for_Analysis\1459_20240610_0003_L_1030.jpg","1459_20240610_0003_L_1030.jpg")</f>
        <v>1459_20240610_0003_L_1030.jpg</v>
      </c>
      <c r="G1462">
        <v>3</v>
      </c>
      <c r="I1462">
        <f t="shared" si="22"/>
        <v>0</v>
      </c>
      <c r="J1462" s="58">
        <v>0</v>
      </c>
      <c r="K1462" s="32"/>
      <c r="L1462" s="32"/>
      <c r="M1462" s="32"/>
      <c r="N1462" s="32"/>
      <c r="O1462">
        <v>2</v>
      </c>
      <c r="P1462" s="58">
        <v>0</v>
      </c>
      <c r="Q1462" s="58">
        <v>1</v>
      </c>
      <c r="R1462" s="58">
        <v>0</v>
      </c>
      <c r="S1462" s="58">
        <v>0</v>
      </c>
      <c r="T1462" s="58">
        <v>0</v>
      </c>
      <c r="U1462" s="58">
        <v>0</v>
      </c>
      <c r="V1462" s="58">
        <v>0</v>
      </c>
      <c r="W1462" s="4">
        <v>1</v>
      </c>
    </row>
    <row r="1463" spans="1:23" x14ac:dyDescent="0.35">
      <c r="A1463">
        <v>1459</v>
      </c>
      <c r="B1463">
        <v>1460</v>
      </c>
      <c r="C1463">
        <v>146.04143529999999</v>
      </c>
      <c r="D1463">
        <v>-17.527648450000001</v>
      </c>
      <c r="F1463" t="str">
        <f>HYPERLINK("D:\Data From Lucan\2024\Johnstone\Frames_for_Analysis\1460_20240610_0003_L_1035.jpg","1460_20240610_0003_L_1035.jpg")</f>
        <v>1460_20240610_0003_L_1035.jpg</v>
      </c>
      <c r="G1463">
        <v>3</v>
      </c>
      <c r="I1463">
        <f t="shared" si="22"/>
        <v>1</v>
      </c>
      <c r="J1463" s="58">
        <v>1</v>
      </c>
      <c r="K1463" s="32"/>
      <c r="L1463" s="32"/>
      <c r="M1463" s="32"/>
      <c r="N1463" s="32"/>
      <c r="O1463">
        <v>2</v>
      </c>
      <c r="P1463" s="58">
        <v>0</v>
      </c>
      <c r="Q1463" s="58">
        <v>1</v>
      </c>
      <c r="R1463" s="58">
        <v>1</v>
      </c>
      <c r="S1463" s="58">
        <v>0</v>
      </c>
      <c r="T1463" s="58">
        <v>0</v>
      </c>
      <c r="U1463" s="58">
        <v>0</v>
      </c>
      <c r="V1463" s="58">
        <v>0</v>
      </c>
      <c r="W1463" s="4">
        <v>1</v>
      </c>
    </row>
    <row r="1464" spans="1:23" x14ac:dyDescent="0.35">
      <c r="A1464">
        <v>1460</v>
      </c>
      <c r="B1464">
        <v>1461</v>
      </c>
      <c r="C1464">
        <v>146.04134339999999</v>
      </c>
      <c r="D1464">
        <v>-17.52762731</v>
      </c>
      <c r="F1464" t="str">
        <f>HYPERLINK("D:\Data From Lucan\2024\Johnstone\Frames_for_Analysis\1461_20240610_0003_L_1039.jpg","1461_20240610_0003_L_1039.jpg")</f>
        <v>1461_20240610_0003_L_1039.jpg</v>
      </c>
      <c r="G1464">
        <v>3</v>
      </c>
      <c r="I1464">
        <f t="shared" si="22"/>
        <v>0</v>
      </c>
      <c r="J1464" s="58">
        <v>0</v>
      </c>
      <c r="K1464" s="32"/>
      <c r="L1464" s="32"/>
      <c r="M1464" s="32"/>
      <c r="N1464" s="32"/>
      <c r="O1464">
        <v>2</v>
      </c>
      <c r="P1464" s="58">
        <v>0</v>
      </c>
      <c r="Q1464" s="58">
        <v>1</v>
      </c>
      <c r="R1464" s="58">
        <v>0</v>
      </c>
      <c r="S1464" s="58">
        <v>0</v>
      </c>
      <c r="T1464" s="58">
        <v>0</v>
      </c>
      <c r="U1464" s="58">
        <v>0</v>
      </c>
      <c r="V1464" s="58">
        <v>0</v>
      </c>
      <c r="W1464" s="4">
        <v>1</v>
      </c>
    </row>
    <row r="1465" spans="1:23" x14ac:dyDescent="0.35">
      <c r="A1465">
        <v>1461</v>
      </c>
      <c r="B1465">
        <v>1462</v>
      </c>
      <c r="C1465">
        <v>146.04125149999999</v>
      </c>
      <c r="D1465">
        <v>-17.527606160000001</v>
      </c>
      <c r="F1465" t="str">
        <f>HYPERLINK("D:\Data From Lucan\2024\Johnstone\Frames_for_Analysis\1462_20240610_0003_L_1044.jpg","1462_20240610_0003_L_1044.jpg")</f>
        <v>1462_20240610_0003_L_1044.jpg</v>
      </c>
      <c r="G1465">
        <v>3</v>
      </c>
      <c r="I1465">
        <f t="shared" si="22"/>
        <v>0</v>
      </c>
      <c r="J1465" s="58">
        <v>0</v>
      </c>
      <c r="K1465" s="32"/>
      <c r="L1465" s="32"/>
      <c r="M1465" s="32"/>
      <c r="N1465" s="32"/>
      <c r="O1465">
        <v>3</v>
      </c>
      <c r="P1465" s="58">
        <v>0</v>
      </c>
      <c r="Q1465" s="58">
        <v>1</v>
      </c>
      <c r="R1465" s="58">
        <v>0</v>
      </c>
      <c r="S1465" s="58">
        <v>0</v>
      </c>
      <c r="T1465" s="58">
        <v>0</v>
      </c>
      <c r="U1465" s="58">
        <v>0</v>
      </c>
      <c r="V1465" s="58">
        <v>0</v>
      </c>
      <c r="W1465" s="4">
        <v>2</v>
      </c>
    </row>
    <row r="1466" spans="1:23" x14ac:dyDescent="0.35">
      <c r="A1466">
        <v>1462</v>
      </c>
      <c r="B1466">
        <v>1463</v>
      </c>
      <c r="C1466">
        <v>146.04115959999999</v>
      </c>
      <c r="D1466">
        <v>-17.527585009999999</v>
      </c>
      <c r="F1466" t="str">
        <f>HYPERLINK("D:\Data From Lucan\2024\Johnstone\Frames_for_Analysis\1463_20240610_0003_L_1049.jpg","1463_20240610_0003_L_1049.jpg")</f>
        <v>1463_20240610_0003_L_1049.jpg</v>
      </c>
      <c r="G1466">
        <v>3</v>
      </c>
      <c r="H1466" t="s">
        <v>26</v>
      </c>
      <c r="I1466" t="str">
        <f t="shared" si="22"/>
        <v>X</v>
      </c>
      <c r="J1466" s="58" t="s">
        <v>3958</v>
      </c>
      <c r="K1466" s="32"/>
      <c r="L1466" s="32"/>
      <c r="M1466" s="32"/>
      <c r="N1466" s="32"/>
      <c r="O1466">
        <v>3</v>
      </c>
      <c r="P1466" s="58">
        <v>0</v>
      </c>
      <c r="Q1466" s="58">
        <v>1</v>
      </c>
      <c r="R1466" s="58">
        <v>0</v>
      </c>
      <c r="S1466" s="58">
        <v>0</v>
      </c>
      <c r="T1466" s="58">
        <v>0</v>
      </c>
      <c r="U1466" s="58">
        <v>0</v>
      </c>
      <c r="V1466" s="58">
        <v>0</v>
      </c>
      <c r="W1466" s="4">
        <v>2</v>
      </c>
    </row>
    <row r="1467" spans="1:23" x14ac:dyDescent="0.35">
      <c r="A1467">
        <v>1463</v>
      </c>
      <c r="B1467">
        <v>1464</v>
      </c>
      <c r="C1467">
        <v>146.04106770000001</v>
      </c>
      <c r="D1467">
        <v>-17.527563860000001</v>
      </c>
      <c r="F1467" t="str">
        <f>HYPERLINK("D:\Data From Lucan\2024\Johnstone\Frames_for_Analysis\1464_20240610_0003_L_1053.jpg","1464_20240610_0003_L_1053.jpg")</f>
        <v>1464_20240610_0003_L_1053.jpg</v>
      </c>
      <c r="G1467">
        <v>3</v>
      </c>
      <c r="H1467" t="s">
        <v>26</v>
      </c>
      <c r="I1467" t="str">
        <f t="shared" si="22"/>
        <v>X</v>
      </c>
      <c r="J1467" s="58" t="s">
        <v>3958</v>
      </c>
      <c r="K1467" s="32"/>
      <c r="L1467" s="32"/>
      <c r="M1467" s="32"/>
      <c r="N1467" s="32"/>
      <c r="O1467" t="s">
        <v>3958</v>
      </c>
      <c r="P1467" s="58">
        <v>0</v>
      </c>
      <c r="Q1467" s="58">
        <v>1</v>
      </c>
      <c r="R1467" s="58">
        <v>0</v>
      </c>
      <c r="S1467" s="58">
        <v>0</v>
      </c>
      <c r="T1467" s="58">
        <v>0</v>
      </c>
      <c r="U1467" s="58">
        <v>0</v>
      </c>
      <c r="V1467" s="58">
        <v>0</v>
      </c>
      <c r="W1467" s="4"/>
    </row>
    <row r="1468" spans="1:23" x14ac:dyDescent="0.35">
      <c r="A1468">
        <v>1464</v>
      </c>
      <c r="B1468">
        <v>1465</v>
      </c>
      <c r="C1468">
        <v>146.04097580000001</v>
      </c>
      <c r="D1468">
        <v>-17.527542709999999</v>
      </c>
      <c r="F1468" t="str">
        <f>HYPERLINK("D:\Data From Lucan\2024\Johnstone\Frames_for_Analysis\1465_20240610_0003_L_1061.jpg","1465_20240610_0003_L_1061.jpg")</f>
        <v>1465_20240610_0003_L_1061.jpg</v>
      </c>
      <c r="G1468">
        <v>3</v>
      </c>
      <c r="I1468">
        <f t="shared" si="22"/>
        <v>0</v>
      </c>
      <c r="J1468" s="58">
        <v>0</v>
      </c>
      <c r="K1468" s="32"/>
      <c r="L1468" s="32"/>
      <c r="M1468" s="32"/>
      <c r="N1468" s="32"/>
      <c r="O1468">
        <v>2</v>
      </c>
      <c r="P1468" s="58">
        <v>0</v>
      </c>
      <c r="Q1468" s="58">
        <v>1</v>
      </c>
      <c r="R1468" s="58">
        <v>3</v>
      </c>
      <c r="S1468" s="58">
        <v>0</v>
      </c>
      <c r="T1468" s="58">
        <v>0</v>
      </c>
      <c r="U1468" s="58">
        <v>0</v>
      </c>
      <c r="V1468" s="58">
        <v>0</v>
      </c>
      <c r="W1468" s="4">
        <v>1</v>
      </c>
    </row>
    <row r="1469" spans="1:23" x14ac:dyDescent="0.35">
      <c r="A1469">
        <v>1465</v>
      </c>
      <c r="B1469">
        <v>1466</v>
      </c>
      <c r="C1469">
        <v>146.0408846</v>
      </c>
      <c r="D1469">
        <v>-17.527519139999999</v>
      </c>
      <c r="F1469" t="str">
        <f>HYPERLINK("D:\Data From Lucan\2024\Johnstone\Frames_for_Analysis\1466_20240610_0003_L_1065.jpg","1466_20240610_0003_L_1065.jpg")</f>
        <v>1466_20240610_0003_L_1065.jpg</v>
      </c>
      <c r="G1469">
        <v>3</v>
      </c>
      <c r="I1469">
        <f t="shared" si="22"/>
        <v>0</v>
      </c>
      <c r="J1469" s="58">
        <v>0</v>
      </c>
      <c r="K1469" s="32"/>
      <c r="L1469" s="32"/>
      <c r="M1469" s="32"/>
      <c r="N1469" s="32"/>
      <c r="O1469">
        <v>3</v>
      </c>
      <c r="P1469" s="58">
        <v>0</v>
      </c>
      <c r="Q1469" s="58">
        <v>1</v>
      </c>
      <c r="R1469" s="58">
        <v>0</v>
      </c>
      <c r="S1469" s="58">
        <v>0</v>
      </c>
      <c r="T1469" s="58">
        <v>0</v>
      </c>
      <c r="U1469" s="58">
        <v>0</v>
      </c>
      <c r="V1469" s="58">
        <v>0</v>
      </c>
      <c r="W1469" s="4">
        <v>2</v>
      </c>
    </row>
    <row r="1470" spans="1:23" x14ac:dyDescent="0.35">
      <c r="A1470">
        <v>1466</v>
      </c>
      <c r="B1470">
        <v>1467</v>
      </c>
      <c r="C1470">
        <v>146.04079390000001</v>
      </c>
      <c r="D1470">
        <v>-17.527492989999999</v>
      </c>
      <c r="F1470" t="str">
        <f>HYPERLINK("D:\Data From Lucan\2024\Johnstone\Frames_for_Analysis\1467_20240610_0003_L_1070.jpg","1467_20240610_0003_L_1070.jpg")</f>
        <v>1467_20240610_0003_L_1070.jpg</v>
      </c>
      <c r="G1470">
        <v>3</v>
      </c>
      <c r="I1470">
        <f t="shared" si="22"/>
        <v>0</v>
      </c>
      <c r="J1470" s="58">
        <v>0</v>
      </c>
      <c r="K1470" s="32"/>
      <c r="L1470" s="32"/>
      <c r="M1470" s="32"/>
      <c r="N1470" s="32"/>
      <c r="O1470">
        <v>3</v>
      </c>
      <c r="P1470" s="58">
        <v>0</v>
      </c>
      <c r="Q1470" s="58">
        <v>1</v>
      </c>
      <c r="R1470" s="58">
        <v>0</v>
      </c>
      <c r="S1470" s="58">
        <v>0</v>
      </c>
      <c r="T1470" s="58">
        <v>0</v>
      </c>
      <c r="U1470" s="58">
        <v>0</v>
      </c>
      <c r="V1470" s="58">
        <v>0</v>
      </c>
      <c r="W1470" s="4">
        <v>2</v>
      </c>
    </row>
    <row r="1471" spans="1:23" x14ac:dyDescent="0.35">
      <c r="A1471">
        <v>1467</v>
      </c>
      <c r="B1471">
        <v>1468</v>
      </c>
      <c r="C1471">
        <v>146.04070329999999</v>
      </c>
      <c r="D1471">
        <v>-17.52746685</v>
      </c>
      <c r="F1471" t="str">
        <f>HYPERLINK("D:\Data From Lucan\2024\Johnstone\Frames_for_Analysis\1468_20240610_0003_L_1075.jpg","1468_20240610_0003_L_1075.jpg")</f>
        <v>1468_20240610_0003_L_1075.jpg</v>
      </c>
      <c r="G1471">
        <v>3</v>
      </c>
      <c r="I1471">
        <f t="shared" si="22"/>
        <v>0</v>
      </c>
      <c r="J1471" s="58">
        <v>0</v>
      </c>
      <c r="K1471" s="32"/>
      <c r="L1471" s="32"/>
      <c r="M1471" s="32"/>
      <c r="N1471" s="32"/>
      <c r="O1471">
        <v>2</v>
      </c>
      <c r="P1471" s="58">
        <v>0</v>
      </c>
      <c r="Q1471" s="58">
        <v>1</v>
      </c>
      <c r="R1471" s="58">
        <v>0</v>
      </c>
      <c r="S1471" s="58">
        <v>0</v>
      </c>
      <c r="T1471" s="58">
        <v>0</v>
      </c>
      <c r="U1471" s="58">
        <v>0</v>
      </c>
      <c r="V1471" s="58">
        <v>0</v>
      </c>
      <c r="W1471" s="4">
        <v>1</v>
      </c>
    </row>
    <row r="1472" spans="1:23" x14ac:dyDescent="0.35">
      <c r="A1472">
        <v>1468</v>
      </c>
      <c r="B1472">
        <v>1469</v>
      </c>
      <c r="C1472">
        <v>146.0406127</v>
      </c>
      <c r="D1472">
        <v>-17.52744071</v>
      </c>
      <c r="F1472" t="str">
        <f>HYPERLINK("D:\Data From Lucan\2024\Johnstone\Frames_for_Analysis\1469_20240610_0003_L_1081.jpg","1469_20240610_0003_L_1081.jpg")</f>
        <v>1469_20240610_0003_L_1081.jpg</v>
      </c>
      <c r="G1472">
        <v>3</v>
      </c>
      <c r="I1472">
        <f t="shared" si="22"/>
        <v>0</v>
      </c>
      <c r="J1472" s="58">
        <v>0</v>
      </c>
      <c r="K1472" s="32"/>
      <c r="L1472" s="32"/>
      <c r="M1472" s="32"/>
      <c r="N1472" s="32"/>
      <c r="O1472">
        <v>2</v>
      </c>
      <c r="P1472" s="58">
        <v>1</v>
      </c>
      <c r="Q1472" s="58">
        <v>1</v>
      </c>
      <c r="R1472" s="58">
        <v>0</v>
      </c>
      <c r="S1472" s="58">
        <v>0</v>
      </c>
      <c r="T1472" s="58">
        <v>0</v>
      </c>
      <c r="U1472" s="58">
        <v>0</v>
      </c>
      <c r="V1472" s="58">
        <v>0</v>
      </c>
      <c r="W1472" s="4">
        <v>1</v>
      </c>
    </row>
    <row r="1473" spans="1:23" x14ac:dyDescent="0.35">
      <c r="A1473">
        <v>1469</v>
      </c>
      <c r="B1473">
        <v>1470</v>
      </c>
      <c r="C1473">
        <v>146.0405221</v>
      </c>
      <c r="D1473">
        <v>-17.527414570000001</v>
      </c>
      <c r="F1473" t="str">
        <f>HYPERLINK("D:\Data From Lucan\2024\Johnstone\Frames_for_Analysis\1470_20240610_0003_L_1087.jpg","1470_20240610_0003_L_1087.jpg")</f>
        <v>1470_20240610_0003_L_1087.jpg</v>
      </c>
      <c r="G1473">
        <v>3</v>
      </c>
      <c r="I1473">
        <f t="shared" si="22"/>
        <v>1</v>
      </c>
      <c r="J1473" s="58">
        <v>1</v>
      </c>
      <c r="K1473" s="32"/>
      <c r="L1473" s="32"/>
      <c r="M1473" s="32"/>
      <c r="N1473" s="32"/>
      <c r="O1473">
        <v>2</v>
      </c>
      <c r="P1473" s="58">
        <v>0</v>
      </c>
      <c r="Q1473" s="58">
        <v>0</v>
      </c>
      <c r="R1473" s="58">
        <v>0</v>
      </c>
      <c r="S1473" s="58">
        <v>0</v>
      </c>
      <c r="T1473" s="58">
        <v>0</v>
      </c>
      <c r="U1473" s="58">
        <v>0</v>
      </c>
      <c r="V1473" s="58">
        <v>0</v>
      </c>
      <c r="W1473" s="4">
        <v>1</v>
      </c>
    </row>
    <row r="1474" spans="1:23" x14ac:dyDescent="0.35">
      <c r="A1474">
        <v>1470</v>
      </c>
      <c r="B1474">
        <v>1471</v>
      </c>
      <c r="C1474">
        <v>146.04043150000001</v>
      </c>
      <c r="D1474">
        <v>-17.527388429999998</v>
      </c>
      <c r="F1474" t="str">
        <f>HYPERLINK("D:\Data From Lucan\2024\Johnstone\Frames_for_Analysis\1471_20240610_0003_L_1092.jpg","1471_20240610_0003_L_1092.jpg")</f>
        <v>1471_20240610_0003_L_1092.jpg</v>
      </c>
      <c r="G1474">
        <v>3</v>
      </c>
      <c r="I1474">
        <f t="shared" si="22"/>
        <v>1</v>
      </c>
      <c r="J1474" s="58">
        <v>1</v>
      </c>
      <c r="K1474" s="32"/>
      <c r="L1474" s="32"/>
      <c r="M1474" s="32"/>
      <c r="N1474" s="32"/>
      <c r="O1474">
        <v>2</v>
      </c>
      <c r="P1474" s="58">
        <v>0</v>
      </c>
      <c r="Q1474" s="58">
        <v>0</v>
      </c>
      <c r="R1474" s="58">
        <v>0</v>
      </c>
      <c r="S1474" s="58">
        <v>0</v>
      </c>
      <c r="T1474" s="58">
        <v>0</v>
      </c>
      <c r="U1474" s="58">
        <v>0</v>
      </c>
      <c r="V1474" s="58">
        <v>0</v>
      </c>
      <c r="W1474" s="4">
        <v>1</v>
      </c>
    </row>
    <row r="1475" spans="1:23" x14ac:dyDescent="0.35">
      <c r="A1475">
        <v>1471</v>
      </c>
      <c r="B1475">
        <v>1472</v>
      </c>
      <c r="C1475">
        <v>146.04034239999999</v>
      </c>
      <c r="D1475">
        <v>-17.527357760000001</v>
      </c>
      <c r="F1475" t="str">
        <f>HYPERLINK("D:\Data From Lucan\2024\Johnstone\Frames_for_Analysis\1472_20240610_0003_L_1097.jpg","1472_20240610_0003_L_1097.jpg")</f>
        <v>1472_20240610_0003_L_1097.jpg</v>
      </c>
      <c r="G1475">
        <v>3</v>
      </c>
      <c r="I1475">
        <f t="shared" si="22"/>
        <v>1</v>
      </c>
      <c r="J1475" s="58">
        <v>1</v>
      </c>
      <c r="K1475" s="32"/>
      <c r="L1475" s="32"/>
      <c r="M1475" s="32"/>
      <c r="N1475" s="32"/>
      <c r="O1475">
        <v>2</v>
      </c>
      <c r="P1475" s="58">
        <v>0</v>
      </c>
      <c r="Q1475" s="58">
        <v>0</v>
      </c>
      <c r="R1475" s="58">
        <v>0</v>
      </c>
      <c r="S1475" s="58">
        <v>0</v>
      </c>
      <c r="T1475" s="58">
        <v>0</v>
      </c>
      <c r="U1475" s="58">
        <v>0</v>
      </c>
      <c r="V1475" s="58">
        <v>0</v>
      </c>
      <c r="W1475" s="4">
        <v>1</v>
      </c>
    </row>
    <row r="1476" spans="1:23" x14ac:dyDescent="0.35">
      <c r="A1476">
        <v>1472</v>
      </c>
      <c r="B1476">
        <v>1473</v>
      </c>
      <c r="C1476">
        <v>146.04025369999999</v>
      </c>
      <c r="D1476">
        <v>-17.52732554</v>
      </c>
      <c r="F1476" t="str">
        <f>HYPERLINK("D:\Data From Lucan\2024\Johnstone\Frames_for_Analysis\1473_20240610_0003_L_1103.jpg","1473_20240610_0003_L_1103.jpg")</f>
        <v>1473_20240610_0003_L_1103.jpg</v>
      </c>
      <c r="G1476">
        <v>3</v>
      </c>
      <c r="I1476">
        <f t="shared" si="22"/>
        <v>1</v>
      </c>
      <c r="J1476" s="58">
        <v>1</v>
      </c>
      <c r="K1476" s="32"/>
      <c r="L1476" s="32"/>
      <c r="M1476" s="32"/>
      <c r="N1476" s="32"/>
      <c r="O1476">
        <v>2</v>
      </c>
      <c r="P1476" s="58">
        <v>0</v>
      </c>
      <c r="Q1476" s="58">
        <v>0</v>
      </c>
      <c r="R1476" s="58">
        <v>0</v>
      </c>
      <c r="S1476" s="58">
        <v>0</v>
      </c>
      <c r="T1476" s="58">
        <v>0</v>
      </c>
      <c r="U1476" s="58">
        <v>0</v>
      </c>
      <c r="V1476" s="58">
        <v>0</v>
      </c>
      <c r="W1476" s="4">
        <v>1</v>
      </c>
    </row>
    <row r="1477" spans="1:23" x14ac:dyDescent="0.35">
      <c r="A1477">
        <v>1473</v>
      </c>
      <c r="B1477">
        <v>1474</v>
      </c>
      <c r="C1477">
        <v>146.0401651</v>
      </c>
      <c r="D1477">
        <v>-17.527293329999999</v>
      </c>
      <c r="F1477" t="str">
        <f>HYPERLINK("D:\Data From Lucan\2024\Johnstone\Frames_for_Analysis\1474_20240610_0003_L_1108.jpg","1474_20240610_0003_L_1108.jpg")</f>
        <v>1474_20240610_0003_L_1108.jpg</v>
      </c>
      <c r="G1477">
        <v>3</v>
      </c>
      <c r="I1477">
        <f t="shared" ref="I1477:I1540" si="23">IF(H1477="X","X",IF(J1477="NA","X",IF(J1477="","X",J1477)))</f>
        <v>1</v>
      </c>
      <c r="J1477" s="58">
        <v>1</v>
      </c>
      <c r="K1477" s="32"/>
      <c r="L1477" s="32"/>
      <c r="M1477" s="32"/>
      <c r="N1477" s="32"/>
      <c r="O1477">
        <v>2</v>
      </c>
      <c r="P1477" s="58">
        <v>0</v>
      </c>
      <c r="Q1477" s="58">
        <v>0</v>
      </c>
      <c r="R1477" s="58">
        <v>2</v>
      </c>
      <c r="S1477" s="58">
        <v>0</v>
      </c>
      <c r="T1477" s="58">
        <v>0</v>
      </c>
      <c r="U1477" s="58">
        <v>0</v>
      </c>
      <c r="V1477" s="58">
        <v>0</v>
      </c>
      <c r="W1477" s="4">
        <v>1</v>
      </c>
    </row>
    <row r="1478" spans="1:23" x14ac:dyDescent="0.35">
      <c r="A1478">
        <v>1474</v>
      </c>
      <c r="B1478">
        <v>1475</v>
      </c>
      <c r="C1478">
        <v>146.0400765</v>
      </c>
      <c r="D1478">
        <v>-17.527261119999999</v>
      </c>
      <c r="F1478" t="str">
        <f>HYPERLINK("D:\Data From Lucan\2024\Johnstone\Frames_for_Analysis\1475_20240610_0003_L_1117.jpg","1475_20240610_0003_L_1117.jpg")</f>
        <v>1475_20240610_0003_L_1117.jpg</v>
      </c>
      <c r="G1478">
        <v>3</v>
      </c>
      <c r="I1478">
        <f t="shared" si="23"/>
        <v>1</v>
      </c>
      <c r="J1478" s="58">
        <v>1</v>
      </c>
      <c r="K1478" s="32"/>
      <c r="L1478" s="32"/>
      <c r="M1478" s="32"/>
      <c r="N1478" s="32"/>
      <c r="O1478">
        <v>2</v>
      </c>
      <c r="P1478" s="58">
        <v>0</v>
      </c>
      <c r="Q1478" s="58">
        <v>0</v>
      </c>
      <c r="R1478" s="58">
        <v>0</v>
      </c>
      <c r="S1478" s="58">
        <v>0</v>
      </c>
      <c r="T1478" s="58">
        <v>0</v>
      </c>
      <c r="U1478" s="58">
        <v>0</v>
      </c>
      <c r="V1478" s="58">
        <v>0</v>
      </c>
      <c r="W1478" s="4">
        <v>1</v>
      </c>
    </row>
    <row r="1479" spans="1:23" x14ac:dyDescent="0.35">
      <c r="A1479">
        <v>1475</v>
      </c>
      <c r="B1479">
        <v>1476</v>
      </c>
      <c r="C1479">
        <v>146.0399879</v>
      </c>
      <c r="D1479">
        <v>-17.527228910000002</v>
      </c>
      <c r="F1479" t="str">
        <f>HYPERLINK("D:\Data From Lucan\2024\Johnstone\Frames_for_Analysis\1476_20240610_0003_L_1122.jpg","1476_20240610_0003_L_1122.jpg")</f>
        <v>1476_20240610_0003_L_1122.jpg</v>
      </c>
      <c r="G1479">
        <v>3</v>
      </c>
      <c r="I1479">
        <f t="shared" si="23"/>
        <v>1</v>
      </c>
      <c r="J1479" s="58">
        <v>1</v>
      </c>
      <c r="K1479" s="32"/>
      <c r="L1479" s="32"/>
      <c r="M1479" s="32"/>
      <c r="N1479" s="32"/>
      <c r="O1479">
        <v>2</v>
      </c>
      <c r="P1479" s="58">
        <v>0</v>
      </c>
      <c r="Q1479" s="58">
        <v>0</v>
      </c>
      <c r="R1479" s="58">
        <v>0</v>
      </c>
      <c r="S1479" s="58">
        <v>0</v>
      </c>
      <c r="T1479" s="58">
        <v>0</v>
      </c>
      <c r="U1479" s="58">
        <v>0</v>
      </c>
      <c r="V1479" s="58">
        <v>0</v>
      </c>
      <c r="W1479" s="4">
        <v>1</v>
      </c>
    </row>
    <row r="1480" spans="1:23" x14ac:dyDescent="0.35">
      <c r="A1480">
        <v>1476</v>
      </c>
      <c r="B1480">
        <v>1477</v>
      </c>
      <c r="C1480">
        <v>146.03990479999999</v>
      </c>
      <c r="D1480">
        <v>-17.527184699999999</v>
      </c>
      <c r="F1480" t="str">
        <f>HYPERLINK("D:\Data From Lucan\2024\Johnstone\Frames_for_Analysis\1477_20240610_0003_L_1129.jpg","1477_20240610_0003_L_1129.jpg")</f>
        <v>1477_20240610_0003_L_1129.jpg</v>
      </c>
      <c r="G1480">
        <v>3</v>
      </c>
      <c r="I1480">
        <f t="shared" si="23"/>
        <v>1</v>
      </c>
      <c r="J1480" s="58">
        <v>1</v>
      </c>
      <c r="K1480" s="32"/>
      <c r="L1480" s="32"/>
      <c r="M1480" s="32"/>
      <c r="N1480" s="32"/>
      <c r="O1480">
        <v>2</v>
      </c>
      <c r="P1480" s="58">
        <v>0</v>
      </c>
      <c r="Q1480" s="58">
        <v>0</v>
      </c>
      <c r="R1480" s="58">
        <v>0</v>
      </c>
      <c r="S1480" s="58">
        <v>0</v>
      </c>
      <c r="T1480" s="58">
        <v>0</v>
      </c>
      <c r="U1480" s="58">
        <v>0</v>
      </c>
      <c r="V1480" s="58">
        <v>0</v>
      </c>
      <c r="W1480" s="4">
        <v>1</v>
      </c>
    </row>
    <row r="1481" spans="1:23" x14ac:dyDescent="0.35">
      <c r="A1481">
        <v>1477</v>
      </c>
      <c r="B1481">
        <v>1478</v>
      </c>
      <c r="C1481">
        <v>146.03982300000001</v>
      </c>
      <c r="D1481">
        <v>-17.527137759999999</v>
      </c>
      <c r="F1481" t="str">
        <f>HYPERLINK("D:\Data From Lucan\2024\Johnstone\Frames_for_Analysis\1478_20240610_0003_L_1135.jpg","1478_20240610_0003_L_1135.jpg")</f>
        <v>1478_20240610_0003_L_1135.jpg</v>
      </c>
      <c r="G1481">
        <v>3</v>
      </c>
      <c r="I1481">
        <f t="shared" si="23"/>
        <v>0</v>
      </c>
      <c r="J1481" s="58">
        <v>0</v>
      </c>
      <c r="K1481" s="32"/>
      <c r="L1481" s="32"/>
      <c r="M1481" s="32"/>
      <c r="N1481" s="32"/>
      <c r="O1481">
        <v>2</v>
      </c>
      <c r="P1481" s="58">
        <v>1</v>
      </c>
      <c r="Q1481" s="58">
        <v>0</v>
      </c>
      <c r="R1481" s="58">
        <v>0</v>
      </c>
      <c r="S1481" s="58">
        <v>0</v>
      </c>
      <c r="T1481" s="58">
        <v>0</v>
      </c>
      <c r="U1481" s="58">
        <v>0</v>
      </c>
      <c r="V1481" s="58">
        <v>0</v>
      </c>
      <c r="W1481" s="4">
        <v>1</v>
      </c>
    </row>
    <row r="1482" spans="1:23" x14ac:dyDescent="0.35">
      <c r="A1482">
        <v>1478</v>
      </c>
      <c r="B1482">
        <v>1479</v>
      </c>
      <c r="C1482">
        <v>146.03974120000001</v>
      </c>
      <c r="D1482">
        <v>-17.527090820000002</v>
      </c>
      <c r="F1482" t="str">
        <f>HYPERLINK("D:\Data From Lucan\2024\Johnstone\Frames_for_Analysis\1479_20240610_0003_L_1141.jpg","1479_20240610_0003_L_1141.jpg")</f>
        <v>1479_20240610_0003_L_1141.jpg</v>
      </c>
      <c r="G1482">
        <v>3</v>
      </c>
      <c r="I1482">
        <f t="shared" si="23"/>
        <v>1</v>
      </c>
      <c r="J1482" s="58">
        <v>1</v>
      </c>
      <c r="K1482" s="32"/>
      <c r="L1482" s="32"/>
      <c r="M1482" s="32"/>
      <c r="N1482" s="32"/>
      <c r="O1482">
        <v>2</v>
      </c>
      <c r="P1482" s="58">
        <v>0</v>
      </c>
      <c r="Q1482" s="58">
        <v>0</v>
      </c>
      <c r="R1482" s="58">
        <v>0</v>
      </c>
      <c r="S1482" s="58">
        <v>0</v>
      </c>
      <c r="T1482" s="58">
        <v>0</v>
      </c>
      <c r="U1482" s="58">
        <v>0</v>
      </c>
      <c r="V1482" s="58">
        <v>0</v>
      </c>
      <c r="W1482" s="4">
        <v>1</v>
      </c>
    </row>
    <row r="1483" spans="1:23" x14ac:dyDescent="0.35">
      <c r="A1483">
        <v>1479</v>
      </c>
      <c r="B1483">
        <v>1480</v>
      </c>
      <c r="C1483">
        <v>146.03965940000001</v>
      </c>
      <c r="D1483">
        <v>-17.52704387</v>
      </c>
      <c r="F1483" t="str">
        <f>HYPERLINK("D:\Data From Lucan\2024\Johnstone\Frames_for_Analysis\1480_20240610_0003_L_1144.jpg","1480_20240610_0003_L_1144.jpg")</f>
        <v>1480_20240610_0003_L_1144.jpg</v>
      </c>
      <c r="G1483">
        <v>3</v>
      </c>
      <c r="I1483">
        <f t="shared" si="23"/>
        <v>1</v>
      </c>
      <c r="J1483" s="58">
        <v>1</v>
      </c>
      <c r="K1483" s="32"/>
      <c r="L1483" s="32"/>
      <c r="M1483" s="32"/>
      <c r="N1483" s="32"/>
      <c r="O1483">
        <v>2</v>
      </c>
      <c r="P1483" s="58">
        <v>1</v>
      </c>
      <c r="Q1483" s="58">
        <v>0</v>
      </c>
      <c r="R1483" s="58">
        <v>1</v>
      </c>
      <c r="S1483" s="58">
        <v>0</v>
      </c>
      <c r="T1483" s="58">
        <v>0</v>
      </c>
      <c r="U1483" s="58">
        <v>0</v>
      </c>
      <c r="V1483" s="58">
        <v>0</v>
      </c>
      <c r="W1483" s="4">
        <v>1</v>
      </c>
    </row>
    <row r="1484" spans="1:23" x14ac:dyDescent="0.35">
      <c r="A1484">
        <v>1480</v>
      </c>
      <c r="B1484">
        <v>1481</v>
      </c>
      <c r="C1484">
        <v>146.0395776</v>
      </c>
      <c r="D1484">
        <v>-17.526996929999999</v>
      </c>
      <c r="F1484" t="str">
        <f>HYPERLINK("D:\Data From Lucan\2024\Johnstone\Frames_for_Analysis\1481_20240610_0003_L_1150.jpg","1481_20240610_0003_L_1150.jpg")</f>
        <v>1481_20240610_0003_L_1150.jpg</v>
      </c>
      <c r="G1484">
        <v>3</v>
      </c>
      <c r="I1484">
        <f t="shared" si="23"/>
        <v>0</v>
      </c>
      <c r="J1484" s="58">
        <v>0</v>
      </c>
      <c r="K1484" s="32"/>
      <c r="L1484" s="32"/>
      <c r="M1484" s="32"/>
      <c r="N1484" s="32"/>
      <c r="O1484">
        <v>2</v>
      </c>
      <c r="P1484" s="58">
        <v>0</v>
      </c>
      <c r="Q1484" s="58">
        <v>0</v>
      </c>
      <c r="R1484" s="58">
        <v>0</v>
      </c>
      <c r="S1484" s="58">
        <v>0</v>
      </c>
      <c r="T1484" s="58">
        <v>1</v>
      </c>
      <c r="U1484" s="58">
        <v>0</v>
      </c>
      <c r="V1484" s="58">
        <v>0</v>
      </c>
      <c r="W1484" s="4">
        <v>1</v>
      </c>
    </row>
    <row r="1485" spans="1:23" x14ac:dyDescent="0.35">
      <c r="A1485">
        <v>1481</v>
      </c>
      <c r="B1485">
        <v>1482</v>
      </c>
      <c r="C1485">
        <v>146.0394958</v>
      </c>
      <c r="D1485">
        <v>-17.526949980000001</v>
      </c>
      <c r="F1485" t="str">
        <f>HYPERLINK("D:\Data From Lucan\2024\Johnstone\Frames_for_Analysis\1482_20240610_0003_L_1155.jpg","1482_20240610_0003_L_1155.jpg")</f>
        <v>1482_20240610_0003_L_1155.jpg</v>
      </c>
      <c r="G1485">
        <v>3</v>
      </c>
      <c r="I1485">
        <f t="shared" si="23"/>
        <v>1</v>
      </c>
      <c r="J1485" s="58">
        <v>1</v>
      </c>
      <c r="K1485" s="32"/>
      <c r="L1485" s="32"/>
      <c r="M1485" s="32"/>
      <c r="N1485" s="32"/>
      <c r="O1485">
        <v>2</v>
      </c>
      <c r="P1485" s="58">
        <v>0</v>
      </c>
      <c r="Q1485" s="58">
        <v>1</v>
      </c>
      <c r="R1485" s="58">
        <v>0</v>
      </c>
      <c r="S1485" s="58">
        <v>0</v>
      </c>
      <c r="T1485" s="58">
        <v>0</v>
      </c>
      <c r="U1485" s="58">
        <v>0</v>
      </c>
      <c r="V1485" s="58">
        <v>0</v>
      </c>
      <c r="W1485" s="4">
        <v>1</v>
      </c>
    </row>
    <row r="1486" spans="1:23" x14ac:dyDescent="0.35">
      <c r="A1486">
        <v>1482</v>
      </c>
      <c r="B1486">
        <v>1483</v>
      </c>
      <c r="C1486">
        <v>146.03941409999999</v>
      </c>
      <c r="D1486">
        <v>-17.526903040000001</v>
      </c>
      <c r="F1486" t="str">
        <f>HYPERLINK("D:\Data From Lucan\2024\Johnstone\Frames_for_Analysis\1483_20240610_0003_L_1161.jpg","1483_20240610_0003_L_1161.jpg")</f>
        <v>1483_20240610_0003_L_1161.jpg</v>
      </c>
      <c r="G1486">
        <v>3</v>
      </c>
      <c r="I1486">
        <f t="shared" si="23"/>
        <v>1</v>
      </c>
      <c r="J1486" s="58">
        <v>1</v>
      </c>
      <c r="K1486" s="32"/>
      <c r="L1486" s="32"/>
      <c r="M1486" s="32"/>
      <c r="N1486" s="32"/>
      <c r="O1486">
        <v>2</v>
      </c>
      <c r="P1486" s="58">
        <v>0</v>
      </c>
      <c r="Q1486" s="58">
        <v>1</v>
      </c>
      <c r="R1486" s="58">
        <v>0</v>
      </c>
      <c r="S1486" s="58">
        <v>0</v>
      </c>
      <c r="T1486" s="58">
        <v>0</v>
      </c>
      <c r="U1486" s="58">
        <v>0</v>
      </c>
      <c r="V1486" s="58">
        <v>0</v>
      </c>
      <c r="W1486" s="4">
        <v>1</v>
      </c>
    </row>
    <row r="1487" spans="1:23" x14ac:dyDescent="0.35">
      <c r="A1487">
        <v>1483</v>
      </c>
      <c r="B1487">
        <v>1484</v>
      </c>
      <c r="C1487">
        <v>146.03933230000001</v>
      </c>
      <c r="D1487">
        <v>-17.526856089999999</v>
      </c>
      <c r="F1487" t="str">
        <f>HYPERLINK("D:\Data From Lucan\2024\Johnstone\Frames_for_Analysis\1484_20240610_0003_L_1167.jpg","1484_20240610_0003_L_1167.jpg")</f>
        <v>1484_20240610_0003_L_1167.jpg</v>
      </c>
      <c r="G1487">
        <v>3</v>
      </c>
      <c r="I1487">
        <f t="shared" si="23"/>
        <v>0</v>
      </c>
      <c r="J1487" s="58">
        <v>0</v>
      </c>
      <c r="K1487" s="32"/>
      <c r="L1487" s="32"/>
      <c r="M1487" s="32"/>
      <c r="N1487" s="32"/>
      <c r="O1487">
        <v>3</v>
      </c>
      <c r="P1487" s="58">
        <v>0</v>
      </c>
      <c r="Q1487" s="58">
        <v>1</v>
      </c>
      <c r="R1487" s="58">
        <v>0</v>
      </c>
      <c r="S1487" s="58">
        <v>0</v>
      </c>
      <c r="T1487" s="58">
        <v>0</v>
      </c>
      <c r="U1487" s="58">
        <v>0</v>
      </c>
      <c r="V1487" s="58">
        <v>0</v>
      </c>
      <c r="W1487" s="4">
        <v>2</v>
      </c>
    </row>
    <row r="1488" spans="1:23" x14ac:dyDescent="0.35">
      <c r="A1488">
        <v>1484</v>
      </c>
      <c r="B1488">
        <v>1485</v>
      </c>
      <c r="C1488">
        <v>146.03925050000001</v>
      </c>
      <c r="D1488">
        <v>-17.526809149999998</v>
      </c>
      <c r="F1488" t="str">
        <f>HYPERLINK("D:\Data From Lucan\2024\Johnstone\Frames_for_Analysis\1485_20240610_0003_L_1172.jpg","1485_20240610_0003_L_1172.jpg")</f>
        <v>1485_20240610_0003_L_1172.jpg</v>
      </c>
      <c r="G1488">
        <v>3</v>
      </c>
      <c r="I1488">
        <f t="shared" si="23"/>
        <v>1</v>
      </c>
      <c r="J1488" s="58">
        <v>1</v>
      </c>
      <c r="K1488" s="32"/>
      <c r="L1488" s="32"/>
      <c r="M1488" s="32"/>
      <c r="N1488" s="32"/>
      <c r="O1488">
        <v>2</v>
      </c>
      <c r="P1488" s="58">
        <v>0</v>
      </c>
      <c r="Q1488" s="58">
        <v>1</v>
      </c>
      <c r="R1488" s="58">
        <v>1</v>
      </c>
      <c r="S1488" s="58">
        <v>0</v>
      </c>
      <c r="T1488" s="58">
        <v>0</v>
      </c>
      <c r="U1488" s="58">
        <v>0</v>
      </c>
      <c r="V1488" s="58">
        <v>0</v>
      </c>
      <c r="W1488" s="4">
        <v>1</v>
      </c>
    </row>
    <row r="1489" spans="1:23" x14ac:dyDescent="0.35">
      <c r="A1489">
        <v>1485</v>
      </c>
      <c r="B1489">
        <v>1486</v>
      </c>
      <c r="C1489">
        <v>146.03916570000001</v>
      </c>
      <c r="D1489">
        <v>-17.526767830000001</v>
      </c>
      <c r="F1489" t="str">
        <f>HYPERLINK("D:\Data From Lucan\2024\Johnstone\Frames_for_Analysis\1486_20240610_0003_L_1177.jpg","1486_20240610_0003_L_1177.jpg")</f>
        <v>1486_20240610_0003_L_1177.jpg</v>
      </c>
      <c r="G1489">
        <v>3</v>
      </c>
      <c r="I1489">
        <f t="shared" si="23"/>
        <v>1</v>
      </c>
      <c r="J1489" s="58">
        <v>1</v>
      </c>
      <c r="K1489" s="32"/>
      <c r="L1489" s="32"/>
      <c r="M1489" s="32"/>
      <c r="N1489" s="32"/>
      <c r="O1489">
        <v>2</v>
      </c>
      <c r="P1489" s="58">
        <v>0</v>
      </c>
      <c r="Q1489" s="58">
        <v>1</v>
      </c>
      <c r="R1489" s="58">
        <v>0</v>
      </c>
      <c r="S1489" s="58">
        <v>0</v>
      </c>
      <c r="T1489" s="58">
        <v>0</v>
      </c>
      <c r="U1489" s="58">
        <v>0</v>
      </c>
      <c r="V1489" s="58">
        <v>0</v>
      </c>
      <c r="W1489" s="4">
        <v>1</v>
      </c>
    </row>
    <row r="1490" spans="1:23" x14ac:dyDescent="0.35">
      <c r="A1490">
        <v>1486</v>
      </c>
      <c r="B1490">
        <v>1487</v>
      </c>
      <c r="C1490">
        <v>146.03908089999999</v>
      </c>
      <c r="D1490">
        <v>-17.526726589999999</v>
      </c>
      <c r="F1490" t="str">
        <f>HYPERLINK("D:\Data From Lucan\2024\Johnstone\Frames_for_Analysis\1487_20240610_0003_L_1182.jpg","1487_20240610_0003_L_1182.jpg")</f>
        <v>1487_20240610_0003_L_1182.jpg</v>
      </c>
      <c r="G1490">
        <v>3</v>
      </c>
      <c r="I1490">
        <f t="shared" si="23"/>
        <v>1</v>
      </c>
      <c r="J1490" s="58">
        <v>1</v>
      </c>
      <c r="K1490" s="32"/>
      <c r="L1490" s="32"/>
      <c r="M1490" s="32"/>
      <c r="N1490" s="32"/>
      <c r="O1490">
        <v>2</v>
      </c>
      <c r="P1490" s="58">
        <v>0</v>
      </c>
      <c r="Q1490" s="58">
        <v>0</v>
      </c>
      <c r="R1490" s="58">
        <v>0</v>
      </c>
      <c r="S1490" s="58">
        <v>0</v>
      </c>
      <c r="T1490" s="58">
        <v>0</v>
      </c>
      <c r="U1490" s="58">
        <v>0</v>
      </c>
      <c r="V1490" s="58">
        <v>0</v>
      </c>
      <c r="W1490" s="4">
        <v>1</v>
      </c>
    </row>
    <row r="1491" spans="1:23" x14ac:dyDescent="0.35">
      <c r="A1491">
        <v>1487</v>
      </c>
      <c r="B1491">
        <v>1488</v>
      </c>
      <c r="C1491">
        <v>146.03899609999999</v>
      </c>
      <c r="D1491">
        <v>-17.526685350000001</v>
      </c>
      <c r="F1491" t="str">
        <f>HYPERLINK("D:\Data From Lucan\2024\Johnstone\Frames_for_Analysis\1488_20240610_0003_L_1188.jpg","1488_20240610_0003_L_1188.jpg")</f>
        <v>1488_20240610_0003_L_1188.jpg</v>
      </c>
      <c r="G1491">
        <v>3</v>
      </c>
      <c r="I1491">
        <f t="shared" si="23"/>
        <v>1</v>
      </c>
      <c r="J1491" s="58">
        <v>1</v>
      </c>
      <c r="K1491" s="32"/>
      <c r="L1491" s="32"/>
      <c r="M1491" s="32"/>
      <c r="N1491" s="32"/>
      <c r="O1491">
        <v>2</v>
      </c>
      <c r="P1491" s="58">
        <v>0</v>
      </c>
      <c r="Q1491" s="58">
        <v>0</v>
      </c>
      <c r="R1491" s="58">
        <v>0</v>
      </c>
      <c r="S1491" s="58">
        <v>0</v>
      </c>
      <c r="T1491" s="58">
        <v>0</v>
      </c>
      <c r="U1491" s="58">
        <v>0</v>
      </c>
      <c r="V1491" s="58">
        <v>0</v>
      </c>
      <c r="W1491" s="4">
        <v>1</v>
      </c>
    </row>
    <row r="1492" spans="1:23" x14ac:dyDescent="0.35">
      <c r="A1492">
        <v>1488</v>
      </c>
      <c r="B1492">
        <v>1489</v>
      </c>
      <c r="C1492">
        <v>146.0389113</v>
      </c>
      <c r="D1492">
        <v>-17.526644109999999</v>
      </c>
      <c r="F1492" t="str">
        <f>HYPERLINK("D:\Data From Lucan\2024\Johnstone\Frames_for_Analysis\1489_20240610_0003_L_1194.jpg","1489_20240610_0003_L_1194.jpg")</f>
        <v>1489_20240610_0003_L_1194.jpg</v>
      </c>
      <c r="G1492">
        <v>3</v>
      </c>
      <c r="I1492">
        <f t="shared" si="23"/>
        <v>1</v>
      </c>
      <c r="J1492" s="58">
        <v>1</v>
      </c>
      <c r="K1492" s="32"/>
      <c r="L1492" s="32"/>
      <c r="M1492" s="32"/>
      <c r="N1492" s="32"/>
      <c r="O1492">
        <v>1</v>
      </c>
      <c r="P1492" s="58">
        <v>0</v>
      </c>
      <c r="Q1492" s="58">
        <v>0</v>
      </c>
      <c r="R1492" s="58">
        <v>0</v>
      </c>
      <c r="S1492" s="58">
        <v>0</v>
      </c>
      <c r="T1492" s="58">
        <v>0</v>
      </c>
      <c r="U1492" s="58">
        <v>0</v>
      </c>
      <c r="V1492" s="58">
        <v>0</v>
      </c>
      <c r="W1492" s="4">
        <v>0</v>
      </c>
    </row>
    <row r="1493" spans="1:23" x14ac:dyDescent="0.35">
      <c r="A1493">
        <v>1489</v>
      </c>
      <c r="B1493">
        <v>1490</v>
      </c>
      <c r="C1493">
        <v>146.0388265</v>
      </c>
      <c r="D1493">
        <v>-17.526602870000001</v>
      </c>
      <c r="F1493" t="str">
        <f>HYPERLINK("D:\Data From Lucan\2024\Johnstone\Frames_for_Analysis\1490_20240610_0003_L_1200.jpg","1490_20240610_0003_L_1200.jpg")</f>
        <v>1490_20240610_0003_L_1200.jpg</v>
      </c>
      <c r="G1493">
        <v>3</v>
      </c>
      <c r="I1493">
        <f t="shared" si="23"/>
        <v>1</v>
      </c>
      <c r="J1493" s="58">
        <v>1</v>
      </c>
      <c r="K1493" s="32"/>
      <c r="L1493" s="32"/>
      <c r="M1493" s="32"/>
      <c r="N1493" s="32"/>
      <c r="O1493">
        <v>1</v>
      </c>
      <c r="P1493" s="58">
        <v>0</v>
      </c>
      <c r="Q1493" s="58">
        <v>0</v>
      </c>
      <c r="R1493" s="58">
        <v>0</v>
      </c>
      <c r="S1493" s="58">
        <v>0</v>
      </c>
      <c r="T1493" s="58">
        <v>0</v>
      </c>
      <c r="U1493" s="58">
        <v>0</v>
      </c>
      <c r="V1493" s="58">
        <v>0</v>
      </c>
      <c r="W1493" s="4">
        <v>0</v>
      </c>
    </row>
    <row r="1494" spans="1:23" x14ac:dyDescent="0.35">
      <c r="A1494">
        <v>1490</v>
      </c>
      <c r="B1494">
        <v>1491</v>
      </c>
      <c r="C1494">
        <v>146.0387417</v>
      </c>
      <c r="D1494">
        <v>-17.52656163</v>
      </c>
      <c r="F1494" t="str">
        <f>HYPERLINK("D:\Data From Lucan\2024\Johnstone\Frames_for_Analysis\1491_20240610_0003_L_1202.jpg","1491_20240610_0003_L_1202.jpg")</f>
        <v>1491_20240610_0003_L_1202.jpg</v>
      </c>
      <c r="G1494">
        <v>3</v>
      </c>
      <c r="I1494">
        <f t="shared" si="23"/>
        <v>1</v>
      </c>
      <c r="J1494" s="58">
        <v>1</v>
      </c>
      <c r="K1494" s="32"/>
      <c r="L1494" s="32"/>
      <c r="M1494" s="32"/>
      <c r="N1494" s="32"/>
      <c r="O1494">
        <v>1</v>
      </c>
      <c r="P1494" s="58">
        <v>0</v>
      </c>
      <c r="Q1494" s="58">
        <v>0</v>
      </c>
      <c r="R1494" s="58">
        <v>0</v>
      </c>
      <c r="S1494" s="58">
        <v>0</v>
      </c>
      <c r="T1494" s="58">
        <v>0</v>
      </c>
      <c r="U1494" s="58">
        <v>0</v>
      </c>
      <c r="V1494" s="58">
        <v>0</v>
      </c>
      <c r="W1494" s="4">
        <v>0</v>
      </c>
    </row>
    <row r="1495" spans="1:23" x14ac:dyDescent="0.35">
      <c r="A1495">
        <v>1491</v>
      </c>
      <c r="B1495">
        <v>1492</v>
      </c>
      <c r="C1495">
        <v>146.03865690000001</v>
      </c>
      <c r="D1495">
        <v>-17.526520340000001</v>
      </c>
      <c r="F1495" t="str">
        <f>HYPERLINK("D:\Data From Lucan\2024\Johnstone\Frames_for_Analysis\1492_20240610_0003_L_1211.jpg","1492_20240610_0003_L_1211.jpg")</f>
        <v>1492_20240610_0003_L_1211.jpg</v>
      </c>
      <c r="G1495">
        <v>3</v>
      </c>
      <c r="I1495">
        <f t="shared" si="23"/>
        <v>1</v>
      </c>
      <c r="J1495" s="58">
        <v>1</v>
      </c>
      <c r="K1495" s="32"/>
      <c r="L1495" s="32"/>
      <c r="M1495" s="32"/>
      <c r="N1495" s="32"/>
      <c r="O1495">
        <v>1</v>
      </c>
      <c r="P1495" s="58">
        <v>0</v>
      </c>
      <c r="Q1495" s="58">
        <v>0</v>
      </c>
      <c r="R1495" s="58">
        <v>0</v>
      </c>
      <c r="S1495" s="58">
        <v>1</v>
      </c>
      <c r="T1495" s="58">
        <v>0</v>
      </c>
      <c r="U1495" s="58">
        <v>0</v>
      </c>
      <c r="V1495" s="58">
        <v>0</v>
      </c>
      <c r="W1495" s="4">
        <v>0</v>
      </c>
    </row>
    <row r="1496" spans="1:23" x14ac:dyDescent="0.35">
      <c r="A1496">
        <v>1492</v>
      </c>
      <c r="B1496">
        <v>1493</v>
      </c>
      <c r="C1496">
        <v>146.0385723</v>
      </c>
      <c r="D1496">
        <v>-17.52647868</v>
      </c>
      <c r="F1496" t="str">
        <f>HYPERLINK("D:\Data From Lucan\2024\Johnstone\Frames_for_Analysis\1493_20240610_0003_L_1219.jpg","1493_20240610_0003_L_1219.jpg")</f>
        <v>1493_20240610_0003_L_1219.jpg</v>
      </c>
      <c r="G1496">
        <v>3</v>
      </c>
      <c r="I1496">
        <f t="shared" si="23"/>
        <v>1</v>
      </c>
      <c r="J1496" s="58">
        <v>1</v>
      </c>
      <c r="K1496" s="32"/>
      <c r="L1496" s="32"/>
      <c r="M1496" s="32"/>
      <c r="N1496" s="32"/>
      <c r="O1496">
        <v>1</v>
      </c>
      <c r="P1496" s="58">
        <v>0</v>
      </c>
      <c r="Q1496" s="58">
        <v>0</v>
      </c>
      <c r="R1496" s="58">
        <v>0</v>
      </c>
      <c r="S1496" s="58">
        <v>0</v>
      </c>
      <c r="T1496" s="58">
        <v>0</v>
      </c>
      <c r="U1496" s="58">
        <v>0</v>
      </c>
      <c r="V1496" s="58">
        <v>0</v>
      </c>
      <c r="W1496" s="4">
        <v>0</v>
      </c>
    </row>
    <row r="1497" spans="1:23" x14ac:dyDescent="0.35">
      <c r="A1497">
        <v>1493</v>
      </c>
      <c r="B1497">
        <v>1494</v>
      </c>
      <c r="C1497">
        <v>146.03848769999999</v>
      </c>
      <c r="D1497">
        <v>-17.526437019999999</v>
      </c>
      <c r="F1497" t="str">
        <f>HYPERLINK("D:\Data From Lucan\2024\Johnstone\Frames_for_Analysis\1494_20240610_0003_L_1223.jpg","1494_20240610_0003_L_1223.jpg")</f>
        <v>1494_20240610_0003_L_1223.jpg</v>
      </c>
      <c r="G1497">
        <v>3</v>
      </c>
      <c r="I1497">
        <f t="shared" si="23"/>
        <v>1</v>
      </c>
      <c r="J1497" s="58">
        <v>1</v>
      </c>
      <c r="K1497" s="32"/>
      <c r="L1497" s="32"/>
      <c r="M1497" s="32"/>
      <c r="N1497" s="32"/>
      <c r="O1497">
        <v>1</v>
      </c>
      <c r="P1497" s="58">
        <v>0</v>
      </c>
      <c r="Q1497" s="58">
        <v>0</v>
      </c>
      <c r="R1497" s="58">
        <v>0</v>
      </c>
      <c r="S1497" s="58">
        <v>0</v>
      </c>
      <c r="T1497" s="58">
        <v>0</v>
      </c>
      <c r="U1497" s="58">
        <v>0</v>
      </c>
      <c r="V1497" s="58">
        <v>0</v>
      </c>
      <c r="W1497" s="4">
        <v>0</v>
      </c>
    </row>
    <row r="1498" spans="1:23" x14ac:dyDescent="0.35">
      <c r="A1498">
        <v>1494</v>
      </c>
      <c r="B1498">
        <v>1495</v>
      </c>
      <c r="C1498">
        <v>146.03840310000001</v>
      </c>
      <c r="D1498">
        <v>-17.526395359999999</v>
      </c>
      <c r="F1498" t="str">
        <f>HYPERLINK("D:\Data From Lucan\2024\Johnstone\Frames_for_Analysis\1495_20240610_0003_L_1228.jpg","1495_20240610_0003_L_1228.jpg")</f>
        <v>1495_20240610_0003_L_1228.jpg</v>
      </c>
      <c r="G1498">
        <v>3</v>
      </c>
      <c r="I1498">
        <f t="shared" si="23"/>
        <v>1</v>
      </c>
      <c r="J1498" s="58">
        <v>1</v>
      </c>
      <c r="K1498" s="32"/>
      <c r="L1498" s="32"/>
      <c r="M1498" s="32"/>
      <c r="N1498" s="32"/>
      <c r="O1498">
        <v>1</v>
      </c>
      <c r="P1498" s="58">
        <v>0</v>
      </c>
      <c r="Q1498" s="58">
        <v>0</v>
      </c>
      <c r="R1498" s="58">
        <v>0</v>
      </c>
      <c r="S1498" s="58">
        <v>0</v>
      </c>
      <c r="T1498" s="58">
        <v>0</v>
      </c>
      <c r="U1498" s="58">
        <v>0</v>
      </c>
      <c r="V1498" s="58">
        <v>0</v>
      </c>
      <c r="W1498" s="4">
        <v>0</v>
      </c>
    </row>
    <row r="1499" spans="1:23" x14ac:dyDescent="0.35">
      <c r="A1499">
        <v>1495</v>
      </c>
      <c r="B1499">
        <v>1496</v>
      </c>
      <c r="C1499">
        <v>146.0383185</v>
      </c>
      <c r="D1499">
        <v>-17.526353700000001</v>
      </c>
      <c r="F1499" t="str">
        <f>HYPERLINK("D:\Data From Lucan\2024\Johnstone\Frames_for_Analysis\1496_20240610_0003_L_1232.jpg","1496_20240610_0003_L_1232.jpg")</f>
        <v>1496_20240610_0003_L_1232.jpg</v>
      </c>
      <c r="G1499">
        <v>3</v>
      </c>
      <c r="I1499">
        <f t="shared" si="23"/>
        <v>1</v>
      </c>
      <c r="J1499" s="58">
        <v>1</v>
      </c>
      <c r="K1499" s="32"/>
      <c r="L1499" s="32"/>
      <c r="M1499" s="32"/>
      <c r="N1499" s="32"/>
      <c r="O1499">
        <v>1</v>
      </c>
      <c r="P1499" s="58">
        <v>0</v>
      </c>
      <c r="Q1499" s="58">
        <v>0</v>
      </c>
      <c r="R1499" s="58">
        <v>0</v>
      </c>
      <c r="S1499" s="58">
        <v>0</v>
      </c>
      <c r="T1499" s="58">
        <v>0</v>
      </c>
      <c r="U1499" s="58">
        <v>0</v>
      </c>
      <c r="V1499" s="58">
        <v>0</v>
      </c>
      <c r="W1499" s="4">
        <v>0</v>
      </c>
    </row>
    <row r="1500" spans="1:23" x14ac:dyDescent="0.35">
      <c r="A1500">
        <v>1496</v>
      </c>
      <c r="B1500">
        <v>1497</v>
      </c>
      <c r="C1500">
        <v>146.03823389999999</v>
      </c>
      <c r="D1500">
        <v>-17.526312040000001</v>
      </c>
      <c r="F1500" t="str">
        <f>HYPERLINK("D:\Data From Lucan\2024\Johnstone\Frames_for_Analysis\1497_20240610_0003_L_1237.jpg","1497_20240610_0003_L_1237.jpg")</f>
        <v>1497_20240610_0003_L_1237.jpg</v>
      </c>
      <c r="G1500">
        <v>3</v>
      </c>
      <c r="I1500">
        <f t="shared" si="23"/>
        <v>1</v>
      </c>
      <c r="J1500" s="58">
        <v>1</v>
      </c>
      <c r="K1500" s="32"/>
      <c r="L1500" s="32"/>
      <c r="M1500" s="32"/>
      <c r="N1500" s="32"/>
      <c r="O1500">
        <v>1</v>
      </c>
      <c r="P1500" s="58">
        <v>0</v>
      </c>
      <c r="Q1500" s="58">
        <v>0</v>
      </c>
      <c r="R1500" s="58">
        <v>0</v>
      </c>
      <c r="S1500" s="58">
        <v>0</v>
      </c>
      <c r="T1500" s="58">
        <v>0</v>
      </c>
      <c r="U1500" s="58">
        <v>0</v>
      </c>
      <c r="V1500" s="58">
        <v>0</v>
      </c>
      <c r="W1500" s="4">
        <v>0</v>
      </c>
    </row>
    <row r="1501" spans="1:23" x14ac:dyDescent="0.35">
      <c r="A1501">
        <v>1497</v>
      </c>
      <c r="B1501">
        <v>1498</v>
      </c>
      <c r="C1501">
        <v>146.03814819999999</v>
      </c>
      <c r="D1501">
        <v>-17.526272899999999</v>
      </c>
      <c r="F1501" t="str">
        <f>HYPERLINK("D:\Data From Lucan\2024\Johnstone\Frames_for_Analysis\1498_20240610_0003_L_1241.jpg","1498_20240610_0003_L_1241.jpg")</f>
        <v>1498_20240610_0003_L_1241.jpg</v>
      </c>
      <c r="G1501">
        <v>3</v>
      </c>
      <c r="I1501">
        <f t="shared" si="23"/>
        <v>1</v>
      </c>
      <c r="J1501" s="58">
        <v>1</v>
      </c>
      <c r="K1501" s="32"/>
      <c r="L1501" s="32"/>
      <c r="M1501" s="32"/>
      <c r="N1501" s="32"/>
      <c r="O1501">
        <v>1</v>
      </c>
      <c r="P1501" s="58">
        <v>0</v>
      </c>
      <c r="Q1501" s="58">
        <v>0</v>
      </c>
      <c r="R1501" s="58">
        <v>0</v>
      </c>
      <c r="S1501" s="58">
        <v>0</v>
      </c>
      <c r="T1501" s="58">
        <v>0</v>
      </c>
      <c r="U1501" s="58">
        <v>0</v>
      </c>
      <c r="V1501" s="58">
        <v>0</v>
      </c>
      <c r="W1501" s="4">
        <v>0</v>
      </c>
    </row>
    <row r="1502" spans="1:23" x14ac:dyDescent="0.35">
      <c r="A1502">
        <v>1498</v>
      </c>
      <c r="B1502">
        <v>1499</v>
      </c>
      <c r="C1502">
        <v>146.0380605</v>
      </c>
      <c r="D1502">
        <v>-17.526238110000001</v>
      </c>
      <c r="F1502" t="str">
        <f>HYPERLINK("D:\Data From Lucan\2024\Johnstone\Frames_for_Analysis\1499_20240610_0003_L_1245.jpg","1499_20240610_0003_L_1245.jpg")</f>
        <v>1499_20240610_0003_L_1245.jpg</v>
      </c>
      <c r="G1502">
        <v>3</v>
      </c>
      <c r="I1502">
        <f t="shared" si="23"/>
        <v>1</v>
      </c>
      <c r="J1502" s="58">
        <v>1</v>
      </c>
      <c r="K1502" s="32"/>
      <c r="L1502" s="32"/>
      <c r="M1502" s="32"/>
      <c r="N1502" s="32"/>
      <c r="O1502">
        <v>1</v>
      </c>
      <c r="P1502" s="58">
        <v>0</v>
      </c>
      <c r="Q1502" s="58">
        <v>0</v>
      </c>
      <c r="R1502" s="58">
        <v>0</v>
      </c>
      <c r="S1502" s="58">
        <v>0</v>
      </c>
      <c r="T1502" s="58">
        <v>0</v>
      </c>
      <c r="U1502" s="58">
        <v>0</v>
      </c>
      <c r="V1502" s="58">
        <v>0</v>
      </c>
      <c r="W1502" s="4">
        <v>0</v>
      </c>
    </row>
    <row r="1503" spans="1:23" x14ac:dyDescent="0.35">
      <c r="A1503">
        <v>1499</v>
      </c>
      <c r="B1503">
        <v>1500</v>
      </c>
      <c r="C1503">
        <v>146.0379729</v>
      </c>
      <c r="D1503">
        <v>-17.52620332</v>
      </c>
      <c r="F1503" t="str">
        <f>HYPERLINK("D:\Data From Lucan\2024\Johnstone\Frames_for_Analysis\1500_20240610_0003_L_1251.jpg","1500_20240610_0003_L_1251.jpg")</f>
        <v>1500_20240610_0003_L_1251.jpg</v>
      </c>
      <c r="G1503">
        <v>3</v>
      </c>
      <c r="I1503">
        <f t="shared" si="23"/>
        <v>1</v>
      </c>
      <c r="J1503" s="58">
        <v>1</v>
      </c>
      <c r="K1503" s="32"/>
      <c r="L1503" s="32"/>
      <c r="M1503" s="32"/>
      <c r="N1503" s="32"/>
      <c r="O1503">
        <v>1</v>
      </c>
      <c r="P1503" s="58">
        <v>0</v>
      </c>
      <c r="Q1503" s="58">
        <v>0</v>
      </c>
      <c r="R1503" s="58">
        <v>0</v>
      </c>
      <c r="S1503" s="58">
        <v>0</v>
      </c>
      <c r="T1503" s="58">
        <v>0</v>
      </c>
      <c r="U1503" s="58">
        <v>0</v>
      </c>
      <c r="V1503" s="58">
        <v>0</v>
      </c>
      <c r="W1503" s="4">
        <v>0</v>
      </c>
    </row>
    <row r="1504" spans="1:23" x14ac:dyDescent="0.35">
      <c r="A1504">
        <v>1500</v>
      </c>
      <c r="B1504">
        <v>1501</v>
      </c>
      <c r="C1504">
        <v>146.03788520000001</v>
      </c>
      <c r="D1504">
        <v>-17.52616854</v>
      </c>
      <c r="F1504" t="str">
        <f>HYPERLINK("D:\Data From Lucan\2024\Johnstone\Frames_for_Analysis\1501_20240610_0003_L_1254.jpg","1501_20240610_0003_L_1254.jpg")</f>
        <v>1501_20240610_0003_L_1254.jpg</v>
      </c>
      <c r="G1504">
        <v>3</v>
      </c>
      <c r="I1504">
        <f t="shared" si="23"/>
        <v>1</v>
      </c>
      <c r="J1504" s="58">
        <v>1</v>
      </c>
      <c r="K1504" s="32"/>
      <c r="L1504" s="32"/>
      <c r="M1504" s="32"/>
      <c r="N1504" s="32"/>
      <c r="O1504">
        <v>1</v>
      </c>
      <c r="P1504" s="58">
        <v>0</v>
      </c>
      <c r="Q1504" s="58">
        <v>0</v>
      </c>
      <c r="R1504" s="58">
        <v>0</v>
      </c>
      <c r="S1504" s="58">
        <v>0</v>
      </c>
      <c r="T1504" s="58">
        <v>0</v>
      </c>
      <c r="U1504" s="58">
        <v>0</v>
      </c>
      <c r="V1504" s="58">
        <v>0</v>
      </c>
      <c r="W1504" s="4">
        <v>0</v>
      </c>
    </row>
    <row r="1505" spans="1:23" x14ac:dyDescent="0.35">
      <c r="A1505">
        <v>1501</v>
      </c>
      <c r="B1505">
        <v>1502</v>
      </c>
      <c r="C1505">
        <v>146.03779750000001</v>
      </c>
      <c r="D1505">
        <v>-17.52613375</v>
      </c>
      <c r="F1505" t="str">
        <f>HYPERLINK("D:\Data From Lucan\2024\Johnstone\Frames_for_Analysis\1502_20240610_0003_L_1260.jpg","1502_20240610_0003_L_1260.jpg")</f>
        <v>1502_20240610_0003_L_1260.jpg</v>
      </c>
      <c r="G1505">
        <v>3</v>
      </c>
      <c r="I1505">
        <f t="shared" si="23"/>
        <v>1</v>
      </c>
      <c r="J1505" s="58">
        <v>1</v>
      </c>
      <c r="K1505" s="32"/>
      <c r="L1505" s="32"/>
      <c r="M1505" s="32"/>
      <c r="N1505" s="32"/>
      <c r="O1505">
        <v>1</v>
      </c>
      <c r="P1505" s="58">
        <v>0</v>
      </c>
      <c r="Q1505" s="58">
        <v>0</v>
      </c>
      <c r="R1505" s="58">
        <v>0</v>
      </c>
      <c r="S1505" s="58">
        <v>0</v>
      </c>
      <c r="T1505" s="58">
        <v>0</v>
      </c>
      <c r="U1505" s="58">
        <v>0</v>
      </c>
      <c r="V1505" s="58">
        <v>0</v>
      </c>
      <c r="W1505" s="4">
        <v>0</v>
      </c>
    </row>
    <row r="1506" spans="1:23" x14ac:dyDescent="0.35">
      <c r="A1506">
        <v>1502</v>
      </c>
      <c r="B1506">
        <v>1503</v>
      </c>
      <c r="C1506">
        <v>146.03771080000001</v>
      </c>
      <c r="D1506">
        <v>-17.52609683</v>
      </c>
      <c r="F1506" t="str">
        <f>HYPERLINK("D:\Data From Lucan\2024\Johnstone\Frames_for_Analysis\1503_20240610_0003_L_1263.jpg","1503_20240610_0003_L_1263.jpg")</f>
        <v>1503_20240610_0003_L_1263.jpg</v>
      </c>
      <c r="G1506">
        <v>3</v>
      </c>
      <c r="I1506">
        <f t="shared" si="23"/>
        <v>1</v>
      </c>
      <c r="J1506" s="58">
        <v>1</v>
      </c>
      <c r="K1506" s="32"/>
      <c r="L1506" s="32"/>
      <c r="M1506" s="32"/>
      <c r="N1506" s="32"/>
      <c r="O1506">
        <v>1</v>
      </c>
      <c r="P1506" s="58">
        <v>0</v>
      </c>
      <c r="Q1506" s="58">
        <v>0</v>
      </c>
      <c r="R1506" s="58">
        <v>0</v>
      </c>
      <c r="S1506" s="58">
        <v>0</v>
      </c>
      <c r="T1506" s="58">
        <v>0</v>
      </c>
      <c r="U1506" s="58">
        <v>0</v>
      </c>
      <c r="V1506" s="58">
        <v>0</v>
      </c>
      <c r="W1506" s="4">
        <v>0</v>
      </c>
    </row>
    <row r="1507" spans="1:23" x14ac:dyDescent="0.35">
      <c r="A1507">
        <v>1503</v>
      </c>
      <c r="B1507">
        <v>1504</v>
      </c>
      <c r="C1507">
        <v>146.03762309999999</v>
      </c>
      <c r="D1507">
        <v>-17.526062599999999</v>
      </c>
      <c r="F1507" t="str">
        <f>HYPERLINK("D:\Data From Lucan\2024\Johnstone\Frames_for_Analysis\1504_20240610_0003_L_1268.jpg","1504_20240610_0003_L_1268.jpg")</f>
        <v>1504_20240610_0003_L_1268.jpg</v>
      </c>
      <c r="G1507">
        <v>3</v>
      </c>
      <c r="I1507">
        <f t="shared" si="23"/>
        <v>1</v>
      </c>
      <c r="J1507" s="58">
        <v>1</v>
      </c>
      <c r="K1507" s="32"/>
      <c r="L1507" s="32"/>
      <c r="M1507" s="32"/>
      <c r="N1507" s="32"/>
      <c r="O1507">
        <v>1</v>
      </c>
      <c r="P1507" s="58">
        <v>1</v>
      </c>
      <c r="Q1507" s="58">
        <v>0</v>
      </c>
      <c r="R1507" s="58">
        <v>0</v>
      </c>
      <c r="S1507" s="58">
        <v>0</v>
      </c>
      <c r="T1507" s="58">
        <v>0</v>
      </c>
      <c r="U1507" s="58">
        <v>0</v>
      </c>
      <c r="V1507" s="58">
        <v>0</v>
      </c>
      <c r="W1507" s="4">
        <v>1</v>
      </c>
    </row>
    <row r="1508" spans="1:23" x14ac:dyDescent="0.35">
      <c r="A1508">
        <v>1504</v>
      </c>
      <c r="B1508">
        <v>1505</v>
      </c>
      <c r="C1508">
        <v>146.03753380000001</v>
      </c>
      <c r="D1508">
        <v>-17.52603246</v>
      </c>
      <c r="F1508" t="str">
        <f>HYPERLINK("D:\Data From Lucan\2024\Johnstone\Frames_for_Analysis\1505_20240610_0003_L_1272.jpg","1505_20240610_0003_L_1272.jpg")</f>
        <v>1505_20240610_0003_L_1272.jpg</v>
      </c>
      <c r="G1508">
        <v>3</v>
      </c>
      <c r="I1508">
        <f t="shared" si="23"/>
        <v>1</v>
      </c>
      <c r="J1508" s="58">
        <v>1</v>
      </c>
      <c r="K1508" s="32"/>
      <c r="L1508" s="32"/>
      <c r="M1508" s="32"/>
      <c r="N1508" s="32"/>
      <c r="O1508">
        <v>1</v>
      </c>
      <c r="P1508" s="58">
        <v>0</v>
      </c>
      <c r="Q1508" s="58">
        <v>0</v>
      </c>
      <c r="R1508" s="58">
        <v>0</v>
      </c>
      <c r="S1508" s="58">
        <v>0</v>
      </c>
      <c r="T1508" s="58">
        <v>0</v>
      </c>
      <c r="U1508" s="58">
        <v>0</v>
      </c>
      <c r="V1508" s="58">
        <v>0</v>
      </c>
      <c r="W1508" s="4">
        <v>0</v>
      </c>
    </row>
    <row r="1509" spans="1:23" x14ac:dyDescent="0.35">
      <c r="A1509">
        <v>1505</v>
      </c>
      <c r="B1509">
        <v>1506</v>
      </c>
      <c r="C1509">
        <v>146.0374444</v>
      </c>
      <c r="D1509">
        <v>-17.52600232</v>
      </c>
      <c r="F1509" t="str">
        <f>HYPERLINK("D:\Data From Lucan\2024\Johnstone\Frames_for_Analysis\1506_20240610_0003_L_1277.jpg","1506_20240610_0003_L_1277.jpg")</f>
        <v>1506_20240610_0003_L_1277.jpg</v>
      </c>
      <c r="G1509">
        <v>3</v>
      </c>
      <c r="I1509">
        <f t="shared" si="23"/>
        <v>1</v>
      </c>
      <c r="J1509" s="58">
        <v>1</v>
      </c>
      <c r="K1509" s="32"/>
      <c r="L1509" s="32"/>
      <c r="M1509" s="32"/>
      <c r="N1509" s="32"/>
      <c r="O1509">
        <v>1</v>
      </c>
      <c r="P1509" s="58">
        <v>0</v>
      </c>
      <c r="Q1509" s="58">
        <v>0</v>
      </c>
      <c r="R1509" s="58">
        <v>0</v>
      </c>
      <c r="S1509" s="58">
        <v>0</v>
      </c>
      <c r="T1509" s="58">
        <v>0</v>
      </c>
      <c r="U1509" s="58">
        <v>0</v>
      </c>
      <c r="V1509" s="58">
        <v>0</v>
      </c>
      <c r="W1509" s="4">
        <v>0</v>
      </c>
    </row>
    <row r="1510" spans="1:23" x14ac:dyDescent="0.35">
      <c r="A1510">
        <v>1506</v>
      </c>
      <c r="B1510">
        <v>1507</v>
      </c>
      <c r="C1510">
        <v>146.03735570000001</v>
      </c>
      <c r="D1510">
        <v>-17.525970430000001</v>
      </c>
      <c r="F1510" t="str">
        <f>HYPERLINK("D:\Data From Lucan\2024\Johnstone\Frames_for_Analysis\1507_20240610_0003_L_1281.jpg","1507_20240610_0003_L_1281.jpg")</f>
        <v>1507_20240610_0003_L_1281.jpg</v>
      </c>
      <c r="G1510">
        <v>3</v>
      </c>
      <c r="I1510">
        <f t="shared" si="23"/>
        <v>1</v>
      </c>
      <c r="J1510" s="58">
        <v>1</v>
      </c>
      <c r="K1510" s="32"/>
      <c r="L1510" s="32"/>
      <c r="M1510" s="32"/>
      <c r="N1510" s="32"/>
      <c r="O1510">
        <v>1</v>
      </c>
      <c r="P1510" s="58">
        <v>0</v>
      </c>
      <c r="Q1510" s="58">
        <v>0</v>
      </c>
      <c r="R1510" s="58">
        <v>0</v>
      </c>
      <c r="S1510" s="58">
        <v>0</v>
      </c>
      <c r="T1510" s="58">
        <v>0</v>
      </c>
      <c r="U1510" s="58">
        <v>0</v>
      </c>
      <c r="V1510" s="58">
        <v>0</v>
      </c>
      <c r="W1510" s="4">
        <v>0</v>
      </c>
    </row>
    <row r="1511" spans="1:23" x14ac:dyDescent="0.35">
      <c r="A1511">
        <v>1507</v>
      </c>
      <c r="B1511">
        <v>1508</v>
      </c>
      <c r="C1511">
        <v>146.0372682</v>
      </c>
      <c r="D1511">
        <v>-17.525935230000002</v>
      </c>
      <c r="F1511" t="str">
        <f>HYPERLINK("D:\Data From Lucan\2024\Johnstone\Frames_for_Analysis\1508_20240610_0003_L_1286.jpg","1508_20240610_0003_L_1286.jpg")</f>
        <v>1508_20240610_0003_L_1286.jpg</v>
      </c>
      <c r="G1511">
        <v>3</v>
      </c>
      <c r="I1511">
        <f t="shared" si="23"/>
        <v>1</v>
      </c>
      <c r="J1511" s="58">
        <v>1</v>
      </c>
      <c r="K1511" s="32"/>
      <c r="L1511" s="32"/>
      <c r="M1511" s="32"/>
      <c r="N1511" s="32"/>
      <c r="O1511">
        <v>1</v>
      </c>
      <c r="P1511" s="58">
        <v>0</v>
      </c>
      <c r="Q1511" s="58">
        <v>0</v>
      </c>
      <c r="R1511" s="58">
        <v>0</v>
      </c>
      <c r="S1511" s="58">
        <v>0</v>
      </c>
      <c r="T1511" s="58">
        <v>0</v>
      </c>
      <c r="U1511" s="58">
        <v>0</v>
      </c>
      <c r="V1511" s="58">
        <v>0</v>
      </c>
      <c r="W1511" s="4">
        <v>0</v>
      </c>
    </row>
    <row r="1512" spans="1:23" x14ac:dyDescent="0.35">
      <c r="A1512">
        <v>1508</v>
      </c>
      <c r="B1512">
        <v>1509</v>
      </c>
      <c r="C1512">
        <v>146.03718069999999</v>
      </c>
      <c r="D1512">
        <v>-17.52590004</v>
      </c>
      <c r="F1512" t="str">
        <f>HYPERLINK("D:\Data From Lucan\2024\Johnstone\Frames_for_Analysis\1509_20240610_0003_L_1290.jpg","1509_20240610_0003_L_1290.jpg")</f>
        <v>1509_20240610_0003_L_1290.jpg</v>
      </c>
      <c r="G1512">
        <v>3</v>
      </c>
      <c r="I1512">
        <f t="shared" si="23"/>
        <v>1</v>
      </c>
      <c r="J1512" s="58">
        <v>1</v>
      </c>
      <c r="K1512" s="32"/>
      <c r="L1512" s="32"/>
      <c r="M1512" s="32"/>
      <c r="N1512" s="32"/>
      <c r="O1512">
        <v>1</v>
      </c>
      <c r="P1512" s="58">
        <v>0</v>
      </c>
      <c r="Q1512" s="58">
        <v>0</v>
      </c>
      <c r="R1512" s="58">
        <v>0</v>
      </c>
      <c r="S1512" s="58">
        <v>0</v>
      </c>
      <c r="T1512" s="58">
        <v>0</v>
      </c>
      <c r="U1512" s="58">
        <v>0</v>
      </c>
      <c r="V1512" s="58">
        <v>0</v>
      </c>
      <c r="W1512" s="4">
        <v>0</v>
      </c>
    </row>
    <row r="1513" spans="1:23" x14ac:dyDescent="0.35">
      <c r="A1513">
        <v>1509</v>
      </c>
      <c r="B1513">
        <v>1510</v>
      </c>
      <c r="C1513">
        <v>146.03709330000001</v>
      </c>
      <c r="D1513">
        <v>-17.525864840000001</v>
      </c>
      <c r="F1513" t="str">
        <f>HYPERLINK("D:\Data From Lucan\2024\Johnstone\Frames_for_Analysis\1510_20240610_0003_L_1295.jpg","1510_20240610_0003_L_1295.jpg")</f>
        <v>1510_20240610_0003_L_1295.jpg</v>
      </c>
      <c r="G1513">
        <v>3</v>
      </c>
      <c r="I1513">
        <f t="shared" si="23"/>
        <v>1</v>
      </c>
      <c r="J1513" s="58">
        <v>1</v>
      </c>
      <c r="K1513" s="32"/>
      <c r="L1513" s="32"/>
      <c r="M1513" s="32"/>
      <c r="N1513" s="32"/>
      <c r="O1513">
        <v>1</v>
      </c>
      <c r="P1513" s="58">
        <v>0</v>
      </c>
      <c r="Q1513" s="58">
        <v>0</v>
      </c>
      <c r="R1513" s="58">
        <v>0</v>
      </c>
      <c r="S1513" s="58">
        <v>0</v>
      </c>
      <c r="T1513" s="58">
        <v>0</v>
      </c>
      <c r="U1513" s="58">
        <v>0</v>
      </c>
      <c r="V1513" s="58">
        <v>0</v>
      </c>
      <c r="W1513" s="4">
        <v>0</v>
      </c>
    </row>
    <row r="1514" spans="1:23" x14ac:dyDescent="0.35">
      <c r="A1514">
        <v>1510</v>
      </c>
      <c r="B1514">
        <v>1511</v>
      </c>
      <c r="C1514">
        <v>146.0370058</v>
      </c>
      <c r="D1514">
        <v>-17.525829649999999</v>
      </c>
      <c r="F1514" t="str">
        <f>HYPERLINK("D:\Data From Lucan\2024\Johnstone\Frames_for_Analysis\1511_20240610_0003_L_1299.jpg","1511_20240610_0003_L_1299.jpg")</f>
        <v>1511_20240610_0003_L_1299.jpg</v>
      </c>
      <c r="G1514">
        <v>3</v>
      </c>
      <c r="I1514">
        <f t="shared" si="23"/>
        <v>1</v>
      </c>
      <c r="J1514" s="58">
        <v>1</v>
      </c>
      <c r="K1514" s="32"/>
      <c r="L1514" s="32"/>
      <c r="M1514" s="32"/>
      <c r="N1514" s="32"/>
      <c r="O1514">
        <v>1</v>
      </c>
      <c r="P1514" s="58">
        <v>0</v>
      </c>
      <c r="Q1514" s="58">
        <v>0</v>
      </c>
      <c r="R1514" s="58">
        <v>0</v>
      </c>
      <c r="S1514" s="58">
        <v>0</v>
      </c>
      <c r="T1514" s="58">
        <v>0</v>
      </c>
      <c r="U1514" s="58">
        <v>0</v>
      </c>
      <c r="V1514" s="58">
        <v>0</v>
      </c>
      <c r="W1514" s="4">
        <v>0</v>
      </c>
    </row>
    <row r="1515" spans="1:23" x14ac:dyDescent="0.35">
      <c r="A1515">
        <v>1511</v>
      </c>
      <c r="B1515">
        <v>1512</v>
      </c>
      <c r="C1515">
        <v>146.03691910000001</v>
      </c>
      <c r="D1515">
        <v>-17.5257924</v>
      </c>
      <c r="F1515" t="str">
        <f>HYPERLINK("D:\Data From Lucan\2024\Johnstone\Frames_for_Analysis\1512_20240610_0003_L_1303.jpg","1512_20240610_0003_L_1303.jpg")</f>
        <v>1512_20240610_0003_L_1303.jpg</v>
      </c>
      <c r="G1515">
        <v>3</v>
      </c>
      <c r="I1515">
        <f t="shared" si="23"/>
        <v>1</v>
      </c>
      <c r="J1515" s="58">
        <v>1</v>
      </c>
      <c r="K1515" s="32"/>
      <c r="L1515" s="32"/>
      <c r="M1515" s="32"/>
      <c r="N1515" s="32"/>
      <c r="O1515">
        <v>1</v>
      </c>
      <c r="P1515" s="58">
        <v>0</v>
      </c>
      <c r="Q1515" s="58">
        <v>0</v>
      </c>
      <c r="R1515" s="58">
        <v>0</v>
      </c>
      <c r="S1515" s="58">
        <v>0</v>
      </c>
      <c r="T1515" s="58">
        <v>1</v>
      </c>
      <c r="U1515" s="58">
        <v>0</v>
      </c>
      <c r="V1515" s="58">
        <v>0</v>
      </c>
      <c r="W1515" s="4">
        <v>0</v>
      </c>
    </row>
    <row r="1516" spans="1:23" x14ac:dyDescent="0.35">
      <c r="A1516">
        <v>1512</v>
      </c>
      <c r="B1516">
        <v>1513</v>
      </c>
      <c r="C1516">
        <v>146.03683319999999</v>
      </c>
      <c r="D1516">
        <v>-17.525753680000001</v>
      </c>
      <c r="F1516" t="str">
        <f>HYPERLINK("D:\Data From Lucan\2024\Johnstone\Frames_for_Analysis\1513_20240610_0003_L_1306.jpg","1513_20240610_0003_L_1306.jpg")</f>
        <v>1513_20240610_0003_L_1306.jpg</v>
      </c>
      <c r="G1516">
        <v>3</v>
      </c>
      <c r="I1516">
        <f t="shared" si="23"/>
        <v>1</v>
      </c>
      <c r="J1516" s="58">
        <v>1</v>
      </c>
      <c r="K1516" s="32"/>
      <c r="L1516" s="32"/>
      <c r="M1516" s="32"/>
      <c r="N1516" s="32"/>
      <c r="O1516">
        <v>1</v>
      </c>
      <c r="P1516" s="58">
        <v>0</v>
      </c>
      <c r="Q1516" s="58">
        <v>0</v>
      </c>
      <c r="R1516" s="58">
        <v>0</v>
      </c>
      <c r="S1516" s="58">
        <v>0</v>
      </c>
      <c r="T1516" s="58">
        <v>0</v>
      </c>
      <c r="U1516" s="58">
        <v>0</v>
      </c>
      <c r="V1516" s="58">
        <v>0</v>
      </c>
      <c r="W1516" s="4">
        <v>0</v>
      </c>
    </row>
    <row r="1517" spans="1:23" x14ac:dyDescent="0.35">
      <c r="A1517">
        <v>1513</v>
      </c>
      <c r="B1517">
        <v>1514</v>
      </c>
      <c r="C1517">
        <v>146.03674720000001</v>
      </c>
      <c r="D1517">
        <v>-17.525714959999998</v>
      </c>
      <c r="F1517" t="str">
        <f>HYPERLINK("D:\Data From Lucan\2024\Johnstone\Frames_for_Analysis\1514_20240610_0003_L_1309.jpg","1514_20240610_0003_L_1309.jpg")</f>
        <v>1514_20240610_0003_L_1309.jpg</v>
      </c>
      <c r="G1517">
        <v>3</v>
      </c>
      <c r="I1517">
        <f t="shared" si="23"/>
        <v>1</v>
      </c>
      <c r="J1517" s="58">
        <v>1</v>
      </c>
      <c r="K1517" s="32"/>
      <c r="L1517" s="32"/>
      <c r="M1517" s="32"/>
      <c r="N1517" s="32"/>
      <c r="O1517">
        <v>1</v>
      </c>
      <c r="P1517" s="58">
        <v>0</v>
      </c>
      <c r="Q1517" s="58">
        <v>0</v>
      </c>
      <c r="R1517" s="58">
        <v>0</v>
      </c>
      <c r="S1517" s="58">
        <v>0</v>
      </c>
      <c r="T1517" s="58">
        <v>0</v>
      </c>
      <c r="U1517" s="58">
        <v>0</v>
      </c>
      <c r="V1517" s="58">
        <v>0</v>
      </c>
      <c r="W1517" s="4">
        <v>0</v>
      </c>
    </row>
    <row r="1518" spans="1:23" x14ac:dyDescent="0.35">
      <c r="A1518">
        <v>1514</v>
      </c>
      <c r="B1518">
        <v>1515</v>
      </c>
      <c r="C1518">
        <v>146.0366612</v>
      </c>
      <c r="D1518">
        <v>-17.525676239999999</v>
      </c>
      <c r="F1518" t="str">
        <f>HYPERLINK("D:\Data From Lucan\2024\Johnstone\Frames_for_Analysis\1515_20240610_0003_L_1315.jpg","1515_20240610_0003_L_1315.jpg")</f>
        <v>1515_20240610_0003_L_1315.jpg</v>
      </c>
      <c r="G1518">
        <v>3</v>
      </c>
      <c r="I1518">
        <f t="shared" si="23"/>
        <v>1</v>
      </c>
      <c r="J1518" s="58">
        <v>1</v>
      </c>
      <c r="K1518" s="32"/>
      <c r="L1518" s="32"/>
      <c r="M1518" s="32"/>
      <c r="N1518" s="32"/>
      <c r="O1518">
        <v>1</v>
      </c>
      <c r="P1518" s="58">
        <v>0</v>
      </c>
      <c r="Q1518" s="58">
        <v>0</v>
      </c>
      <c r="R1518" s="58">
        <v>0</v>
      </c>
      <c r="S1518" s="58">
        <v>0</v>
      </c>
      <c r="T1518" s="58">
        <v>0</v>
      </c>
      <c r="U1518" s="58">
        <v>0</v>
      </c>
      <c r="V1518" s="58">
        <v>0</v>
      </c>
      <c r="W1518" s="4">
        <v>0</v>
      </c>
    </row>
    <row r="1519" spans="1:23" x14ac:dyDescent="0.35">
      <c r="A1519">
        <v>1515</v>
      </c>
      <c r="B1519">
        <v>1516</v>
      </c>
      <c r="C1519">
        <v>146.03657519999999</v>
      </c>
      <c r="D1519">
        <v>-17.525637530000001</v>
      </c>
      <c r="F1519" t="str">
        <f>HYPERLINK("D:\Data From Lucan\2024\Johnstone\Frames_for_Analysis\1516_20240610_0003_L_1318.jpg","1516_20240610_0003_L_1318.jpg")</f>
        <v>1516_20240610_0003_L_1318.jpg</v>
      </c>
      <c r="G1519">
        <v>3</v>
      </c>
      <c r="I1519">
        <f t="shared" si="23"/>
        <v>1</v>
      </c>
      <c r="J1519" s="58">
        <v>1</v>
      </c>
      <c r="K1519" s="32"/>
      <c r="L1519" s="32"/>
      <c r="M1519" s="32"/>
      <c r="N1519" s="32"/>
      <c r="O1519">
        <v>1</v>
      </c>
      <c r="P1519" s="58">
        <v>0</v>
      </c>
      <c r="Q1519" s="58">
        <v>0</v>
      </c>
      <c r="R1519" s="58">
        <v>0</v>
      </c>
      <c r="S1519" s="58">
        <v>0</v>
      </c>
      <c r="T1519" s="58">
        <v>0</v>
      </c>
      <c r="U1519" s="58">
        <v>0</v>
      </c>
      <c r="V1519" s="58">
        <v>0</v>
      </c>
      <c r="W1519" s="4">
        <v>0</v>
      </c>
    </row>
    <row r="1520" spans="1:23" x14ac:dyDescent="0.35">
      <c r="A1520">
        <v>1516</v>
      </c>
      <c r="B1520">
        <v>1517</v>
      </c>
      <c r="C1520">
        <v>146.03648920000001</v>
      </c>
      <c r="D1520">
        <v>-17.525598810000002</v>
      </c>
      <c r="F1520" t="str">
        <f>HYPERLINK("D:\Data From Lucan\2024\Johnstone\Frames_for_Analysis\1517_20240610_0003_L_1325.jpg","1517_20240610_0003_L_1325.jpg")</f>
        <v>1517_20240610_0003_L_1325.jpg</v>
      </c>
      <c r="G1520">
        <v>3</v>
      </c>
      <c r="I1520">
        <f t="shared" si="23"/>
        <v>1</v>
      </c>
      <c r="J1520" s="58">
        <v>1</v>
      </c>
      <c r="K1520" s="32"/>
      <c r="L1520" s="32"/>
      <c r="M1520" s="32"/>
      <c r="N1520" s="32"/>
      <c r="O1520">
        <v>1</v>
      </c>
      <c r="P1520" s="58">
        <v>0</v>
      </c>
      <c r="Q1520" s="58">
        <v>0</v>
      </c>
      <c r="R1520" s="58">
        <v>0</v>
      </c>
      <c r="S1520" s="58">
        <v>0</v>
      </c>
      <c r="T1520" s="58">
        <v>0</v>
      </c>
      <c r="U1520" s="58">
        <v>0</v>
      </c>
      <c r="V1520" s="58">
        <v>0</v>
      </c>
      <c r="W1520" s="4">
        <v>0</v>
      </c>
    </row>
    <row r="1521" spans="1:23" x14ac:dyDescent="0.35">
      <c r="A1521">
        <v>1517</v>
      </c>
      <c r="B1521">
        <v>1518</v>
      </c>
      <c r="C1521">
        <v>146.0364045</v>
      </c>
      <c r="D1521">
        <v>-17.52555748</v>
      </c>
      <c r="F1521" t="str">
        <f>HYPERLINK("D:\Data From Lucan\2024\Johnstone\Frames_for_Analysis\1518_20240610_0003_L_1329.jpg","1518_20240610_0003_L_1329.jpg")</f>
        <v>1518_20240610_0003_L_1329.jpg</v>
      </c>
      <c r="G1521">
        <v>3</v>
      </c>
      <c r="I1521">
        <f t="shared" si="23"/>
        <v>1</v>
      </c>
      <c r="J1521" s="58">
        <v>1</v>
      </c>
      <c r="K1521" s="32"/>
      <c r="L1521" s="32"/>
      <c r="M1521" s="32"/>
      <c r="N1521" s="32"/>
      <c r="O1521">
        <v>1</v>
      </c>
      <c r="P1521" s="58">
        <v>0</v>
      </c>
      <c r="Q1521" s="58">
        <v>0</v>
      </c>
      <c r="R1521" s="58">
        <v>0</v>
      </c>
      <c r="S1521" s="58">
        <v>0</v>
      </c>
      <c r="T1521" s="58">
        <v>0</v>
      </c>
      <c r="U1521" s="58">
        <v>0</v>
      </c>
      <c r="V1521" s="58">
        <v>0</v>
      </c>
      <c r="W1521" s="4">
        <v>0</v>
      </c>
    </row>
    <row r="1522" spans="1:23" x14ac:dyDescent="0.35">
      <c r="A1522">
        <v>1518</v>
      </c>
      <c r="B1522">
        <v>1519</v>
      </c>
      <c r="C1522">
        <v>146.03632139999999</v>
      </c>
      <c r="D1522">
        <v>-17.525512930000001</v>
      </c>
      <c r="F1522" t="str">
        <f>HYPERLINK("D:\Data From Lucan\2024\Johnstone\Frames_for_Analysis\1519_20240610_0003_L_1333.jpg","1519_20240610_0003_L_1333.jpg")</f>
        <v>1519_20240610_0003_L_1333.jpg</v>
      </c>
      <c r="G1522">
        <v>3</v>
      </c>
      <c r="I1522">
        <f t="shared" si="23"/>
        <v>1</v>
      </c>
      <c r="J1522" s="58">
        <v>1</v>
      </c>
      <c r="K1522" s="32"/>
      <c r="L1522" s="32"/>
      <c r="M1522" s="32"/>
      <c r="N1522" s="32"/>
      <c r="O1522">
        <v>1</v>
      </c>
      <c r="P1522" s="58">
        <v>0</v>
      </c>
      <c r="Q1522" s="58">
        <v>0</v>
      </c>
      <c r="R1522" s="58">
        <v>0</v>
      </c>
      <c r="S1522" s="58">
        <v>0</v>
      </c>
      <c r="T1522" s="58">
        <v>0</v>
      </c>
      <c r="U1522" s="58">
        <v>0</v>
      </c>
      <c r="V1522" s="58">
        <v>0</v>
      </c>
      <c r="W1522" s="4">
        <v>0</v>
      </c>
    </row>
    <row r="1523" spans="1:23" x14ac:dyDescent="0.35">
      <c r="A1523">
        <v>1519</v>
      </c>
      <c r="B1523">
        <v>1520</v>
      </c>
      <c r="C1523">
        <v>146.03623830000001</v>
      </c>
      <c r="D1523">
        <v>-17.525468369999999</v>
      </c>
      <c r="F1523" t="str">
        <f>HYPERLINK("D:\Data From Lucan\2024\Johnstone\Frames_for_Analysis\1520_20240610_0003_L_1337.jpg","1520_20240610_0003_L_1337.jpg")</f>
        <v>1520_20240610_0003_L_1337.jpg</v>
      </c>
      <c r="G1523">
        <v>3</v>
      </c>
      <c r="I1523">
        <f t="shared" si="23"/>
        <v>1</v>
      </c>
      <c r="J1523" s="58">
        <v>1</v>
      </c>
      <c r="K1523" s="32"/>
      <c r="L1523" s="32"/>
      <c r="M1523" s="32"/>
      <c r="N1523" s="32"/>
      <c r="O1523">
        <v>1</v>
      </c>
      <c r="P1523" s="58">
        <v>0</v>
      </c>
      <c r="Q1523" s="58">
        <v>0</v>
      </c>
      <c r="R1523" s="58">
        <v>0</v>
      </c>
      <c r="S1523" s="58">
        <v>0</v>
      </c>
      <c r="T1523" s="58">
        <v>0</v>
      </c>
      <c r="U1523" s="58">
        <v>0</v>
      </c>
      <c r="V1523" s="58">
        <v>0</v>
      </c>
      <c r="W1523" s="4">
        <v>0</v>
      </c>
    </row>
    <row r="1524" spans="1:23" x14ac:dyDescent="0.35">
      <c r="A1524">
        <v>1520</v>
      </c>
      <c r="B1524">
        <v>1521</v>
      </c>
      <c r="C1524">
        <v>146.0361552</v>
      </c>
      <c r="D1524">
        <v>-17.52542382</v>
      </c>
      <c r="F1524" t="str">
        <f>HYPERLINK("D:\Data From Lucan\2024\Johnstone\Frames_for_Analysis\1521_20240610_0003_L_1341.jpg","1521_20240610_0003_L_1341.jpg")</f>
        <v>1521_20240610_0003_L_1341.jpg</v>
      </c>
      <c r="G1524">
        <v>3</v>
      </c>
      <c r="I1524">
        <f t="shared" si="23"/>
        <v>1</v>
      </c>
      <c r="J1524" s="58">
        <v>1</v>
      </c>
      <c r="K1524" s="32"/>
      <c r="L1524" s="32"/>
      <c r="M1524" s="32"/>
      <c r="N1524" s="32"/>
      <c r="O1524">
        <v>1</v>
      </c>
      <c r="P1524" s="58">
        <v>0</v>
      </c>
      <c r="Q1524" s="58">
        <v>0</v>
      </c>
      <c r="R1524" s="58">
        <v>0</v>
      </c>
      <c r="S1524" s="58">
        <v>0</v>
      </c>
      <c r="T1524" s="58">
        <v>0</v>
      </c>
      <c r="U1524" s="58">
        <v>0</v>
      </c>
      <c r="V1524" s="58">
        <v>0</v>
      </c>
      <c r="W1524" s="4">
        <v>0</v>
      </c>
    </row>
    <row r="1525" spans="1:23" x14ac:dyDescent="0.35">
      <c r="A1525">
        <v>1521</v>
      </c>
      <c r="B1525">
        <v>1522</v>
      </c>
      <c r="C1525">
        <v>146.03607199999999</v>
      </c>
      <c r="D1525">
        <v>-17.525379269999998</v>
      </c>
      <c r="F1525" t="str">
        <f>HYPERLINK("D:\Data From Lucan\2024\Johnstone\Frames_for_Analysis\1522_20240610_0003_L_1345.jpg","1522_20240610_0003_L_1345.jpg")</f>
        <v>1522_20240610_0003_L_1345.jpg</v>
      </c>
      <c r="G1525">
        <v>3</v>
      </c>
      <c r="I1525">
        <f t="shared" si="23"/>
        <v>1</v>
      </c>
      <c r="J1525" s="58">
        <v>1</v>
      </c>
      <c r="K1525" s="32"/>
      <c r="L1525" s="32"/>
      <c r="M1525" s="32"/>
      <c r="N1525" s="32"/>
      <c r="O1525">
        <v>1</v>
      </c>
      <c r="P1525" s="58">
        <v>0</v>
      </c>
      <c r="Q1525" s="58">
        <v>0</v>
      </c>
      <c r="R1525" s="58">
        <v>0</v>
      </c>
      <c r="S1525" s="58">
        <v>0</v>
      </c>
      <c r="T1525" s="58">
        <v>0</v>
      </c>
      <c r="U1525" s="58">
        <v>0</v>
      </c>
      <c r="V1525" s="58">
        <v>0</v>
      </c>
      <c r="W1525" s="4">
        <v>0</v>
      </c>
    </row>
    <row r="1526" spans="1:23" x14ac:dyDescent="0.35">
      <c r="A1526">
        <v>1522</v>
      </c>
      <c r="B1526">
        <v>1523</v>
      </c>
      <c r="C1526">
        <v>146.03598890000001</v>
      </c>
      <c r="D1526">
        <v>-17.525334709999999</v>
      </c>
      <c r="F1526" t="str">
        <f>HYPERLINK("D:\Data From Lucan\2024\Johnstone\Frames_for_Analysis\1523_20240610_0003_L_1349.jpg","1523_20240610_0003_L_1349.jpg")</f>
        <v>1523_20240610_0003_L_1349.jpg</v>
      </c>
      <c r="G1526">
        <v>3</v>
      </c>
      <c r="I1526">
        <f t="shared" si="23"/>
        <v>1</v>
      </c>
      <c r="J1526" s="58">
        <v>1</v>
      </c>
      <c r="K1526" s="32"/>
      <c r="L1526" s="32"/>
      <c r="M1526" s="32"/>
      <c r="N1526" s="32"/>
      <c r="O1526">
        <v>1</v>
      </c>
      <c r="P1526" s="58">
        <v>0</v>
      </c>
      <c r="Q1526" s="58">
        <v>0</v>
      </c>
      <c r="R1526" s="58">
        <v>0</v>
      </c>
      <c r="S1526" s="58">
        <v>0</v>
      </c>
      <c r="T1526" s="58">
        <v>0</v>
      </c>
      <c r="U1526" s="58">
        <v>0</v>
      </c>
      <c r="V1526" s="58">
        <v>0</v>
      </c>
      <c r="W1526" s="4">
        <v>0</v>
      </c>
    </row>
    <row r="1527" spans="1:23" x14ac:dyDescent="0.35">
      <c r="A1527">
        <v>1523</v>
      </c>
      <c r="B1527">
        <v>1524</v>
      </c>
      <c r="C1527">
        <v>146.0359057</v>
      </c>
      <c r="D1527">
        <v>-17.525290340000002</v>
      </c>
      <c r="F1527" t="str">
        <f>HYPERLINK("D:\Data From Lucan\2024\Johnstone\Frames_for_Analysis\1524_20240610_0003_L_1353.jpg","1524_20240610_0003_L_1353.jpg")</f>
        <v>1524_20240610_0003_L_1353.jpg</v>
      </c>
      <c r="G1527">
        <v>3</v>
      </c>
      <c r="I1527">
        <f t="shared" si="23"/>
        <v>1</v>
      </c>
      <c r="J1527" s="58">
        <v>1</v>
      </c>
      <c r="K1527" s="32"/>
      <c r="L1527" s="32"/>
      <c r="M1527" s="32"/>
      <c r="N1527" s="32"/>
      <c r="O1527">
        <v>1</v>
      </c>
      <c r="P1527" s="58">
        <v>0</v>
      </c>
      <c r="Q1527" s="58">
        <v>0</v>
      </c>
      <c r="R1527" s="58">
        <v>0</v>
      </c>
      <c r="S1527" s="58">
        <v>0</v>
      </c>
      <c r="T1527" s="58">
        <v>0</v>
      </c>
      <c r="U1527" s="58">
        <v>0</v>
      </c>
      <c r="V1527" s="58">
        <v>0</v>
      </c>
      <c r="W1527" s="4">
        <v>0</v>
      </c>
    </row>
    <row r="1528" spans="1:23" x14ac:dyDescent="0.35">
      <c r="A1528">
        <v>1524</v>
      </c>
      <c r="B1528">
        <v>1525</v>
      </c>
      <c r="C1528">
        <v>146.03582</v>
      </c>
      <c r="D1528">
        <v>-17.525251069999999</v>
      </c>
      <c r="F1528" t="str">
        <f>HYPERLINK("D:\Data From Lucan\2024\Johnstone\Frames_for_Analysis\1525_20240610_0003_L_1357.jpg","1525_20240610_0003_L_1357.jpg")</f>
        <v>1525_20240610_0003_L_1357.jpg</v>
      </c>
      <c r="G1528">
        <v>3</v>
      </c>
      <c r="I1528">
        <f t="shared" si="23"/>
        <v>1</v>
      </c>
      <c r="J1528" s="58">
        <v>1</v>
      </c>
      <c r="K1528" s="32"/>
      <c r="L1528" s="32"/>
      <c r="M1528" s="32"/>
      <c r="N1528" s="32"/>
      <c r="O1528">
        <v>1</v>
      </c>
      <c r="P1528" s="58">
        <v>0</v>
      </c>
      <c r="Q1528" s="58">
        <v>0</v>
      </c>
      <c r="R1528" s="58">
        <v>0</v>
      </c>
      <c r="S1528" s="58">
        <v>0</v>
      </c>
      <c r="T1528" s="58">
        <v>0</v>
      </c>
      <c r="U1528" s="58">
        <v>0</v>
      </c>
      <c r="V1528" s="58">
        <v>0</v>
      </c>
      <c r="W1528" s="4">
        <v>0</v>
      </c>
    </row>
    <row r="1529" spans="1:23" x14ac:dyDescent="0.35">
      <c r="A1529">
        <v>1525</v>
      </c>
      <c r="B1529">
        <v>1526</v>
      </c>
      <c r="C1529">
        <v>146.03573420000001</v>
      </c>
      <c r="D1529">
        <v>-17.525211800000001</v>
      </c>
      <c r="F1529" t="str">
        <f>HYPERLINK("D:\Data From Lucan\2024\Johnstone\Frames_for_Analysis\1526_20240610_0003_L_1361.jpg","1526_20240610_0003_L_1361.jpg")</f>
        <v>1526_20240610_0003_L_1361.jpg</v>
      </c>
      <c r="G1529">
        <v>3</v>
      </c>
      <c r="I1529">
        <f t="shared" si="23"/>
        <v>1</v>
      </c>
      <c r="J1529" s="58">
        <v>1</v>
      </c>
      <c r="K1529" s="32"/>
      <c r="L1529" s="32"/>
      <c r="M1529" s="32"/>
      <c r="N1529" s="32"/>
      <c r="O1529">
        <v>1</v>
      </c>
      <c r="P1529" s="58">
        <v>0</v>
      </c>
      <c r="Q1529" s="58">
        <v>0</v>
      </c>
      <c r="R1529" s="58">
        <v>0</v>
      </c>
      <c r="S1529" s="58">
        <v>0</v>
      </c>
      <c r="T1529" s="58">
        <v>0</v>
      </c>
      <c r="U1529" s="58">
        <v>0</v>
      </c>
      <c r="V1529" s="58">
        <v>0</v>
      </c>
      <c r="W1529" s="4">
        <v>0</v>
      </c>
    </row>
    <row r="1530" spans="1:23" x14ac:dyDescent="0.35">
      <c r="A1530">
        <v>1526</v>
      </c>
      <c r="B1530">
        <v>1527</v>
      </c>
      <c r="C1530">
        <v>146.03564850000001</v>
      </c>
      <c r="D1530">
        <v>-17.525172529999999</v>
      </c>
      <c r="F1530" t="str">
        <f>HYPERLINK("D:\Data From Lucan\2024\Johnstone\Frames_for_Analysis\1527_20240610_0003_L_1364.jpg","1527_20240610_0003_L_1364.jpg")</f>
        <v>1527_20240610_0003_L_1364.jpg</v>
      </c>
      <c r="G1530">
        <v>3</v>
      </c>
      <c r="I1530">
        <f t="shared" si="23"/>
        <v>1</v>
      </c>
      <c r="J1530" s="58">
        <v>1</v>
      </c>
      <c r="K1530" s="32"/>
      <c r="L1530" s="32"/>
      <c r="M1530" s="32"/>
      <c r="N1530" s="32"/>
      <c r="O1530">
        <v>1</v>
      </c>
      <c r="P1530" s="58">
        <v>0</v>
      </c>
      <c r="Q1530" s="58">
        <v>0</v>
      </c>
      <c r="R1530" s="58">
        <v>0</v>
      </c>
      <c r="S1530" s="58">
        <v>0</v>
      </c>
      <c r="T1530" s="58">
        <v>0</v>
      </c>
      <c r="U1530" s="58">
        <v>0</v>
      </c>
      <c r="V1530" s="58">
        <v>0</v>
      </c>
      <c r="W1530" s="4">
        <v>0</v>
      </c>
    </row>
    <row r="1531" spans="1:23" x14ac:dyDescent="0.35">
      <c r="A1531">
        <v>1527</v>
      </c>
      <c r="B1531">
        <v>1528</v>
      </c>
      <c r="C1531">
        <v>146.03556280000001</v>
      </c>
      <c r="D1531">
        <v>-17.525133270000001</v>
      </c>
      <c r="F1531" t="str">
        <f>HYPERLINK("D:\Data From Lucan\2024\Johnstone\Frames_for_Analysis\1528_20240610_0003_L_1369.jpg","1528_20240610_0003_L_1369.jpg")</f>
        <v>1528_20240610_0003_L_1369.jpg</v>
      </c>
      <c r="G1531">
        <v>3</v>
      </c>
      <c r="I1531">
        <f t="shared" si="23"/>
        <v>1</v>
      </c>
      <c r="J1531" s="58">
        <v>1</v>
      </c>
      <c r="K1531" s="32"/>
      <c r="L1531" s="32"/>
      <c r="M1531" s="32"/>
      <c r="N1531" s="32"/>
      <c r="O1531">
        <v>1</v>
      </c>
      <c r="P1531" s="58">
        <v>0</v>
      </c>
      <c r="Q1531" s="58">
        <v>0</v>
      </c>
      <c r="R1531" s="58">
        <v>0</v>
      </c>
      <c r="S1531" s="58">
        <v>0</v>
      </c>
      <c r="T1531" s="58">
        <v>0</v>
      </c>
      <c r="U1531" s="58">
        <v>0</v>
      </c>
      <c r="V1531" s="58">
        <v>0</v>
      </c>
      <c r="W1531" s="4">
        <v>0</v>
      </c>
    </row>
    <row r="1532" spans="1:23" x14ac:dyDescent="0.35">
      <c r="A1532">
        <v>1528</v>
      </c>
      <c r="B1532">
        <v>1529</v>
      </c>
      <c r="C1532">
        <v>146.03547699999999</v>
      </c>
      <c r="D1532">
        <v>-17.525093999999999</v>
      </c>
      <c r="F1532" t="str">
        <f>HYPERLINK("D:\Data From Lucan\2024\Johnstone\Frames_for_Analysis\1529_20240610_0003_L_1374.jpg","1529_20240610_0003_L_1374.jpg")</f>
        <v>1529_20240610_0003_L_1374.jpg</v>
      </c>
      <c r="G1532">
        <v>3</v>
      </c>
      <c r="I1532">
        <f t="shared" si="23"/>
        <v>1</v>
      </c>
      <c r="J1532" s="58">
        <v>1</v>
      </c>
      <c r="K1532" s="32"/>
      <c r="L1532" s="32"/>
      <c r="M1532" s="32"/>
      <c r="N1532" s="32"/>
      <c r="O1532">
        <v>1</v>
      </c>
      <c r="P1532" s="58">
        <v>0</v>
      </c>
      <c r="Q1532" s="58">
        <v>0</v>
      </c>
      <c r="R1532" s="58">
        <v>0</v>
      </c>
      <c r="S1532" s="58">
        <v>0</v>
      </c>
      <c r="T1532" s="58">
        <v>0</v>
      </c>
      <c r="U1532" s="58">
        <v>0</v>
      </c>
      <c r="V1532" s="58">
        <v>0</v>
      </c>
      <c r="W1532" s="4">
        <v>0</v>
      </c>
    </row>
    <row r="1533" spans="1:23" x14ac:dyDescent="0.35">
      <c r="A1533">
        <v>1529</v>
      </c>
      <c r="B1533">
        <v>1530</v>
      </c>
      <c r="C1533">
        <v>146.03539129999999</v>
      </c>
      <c r="D1533">
        <v>-17.525054730000001</v>
      </c>
      <c r="F1533" t="str">
        <f>HYPERLINK("D:\Data From Lucan\2024\Johnstone\Frames_for_Analysis\1530_20240610_0003_L_1379.jpg","1530_20240610_0003_L_1379.jpg")</f>
        <v>1530_20240610_0003_L_1379.jpg</v>
      </c>
      <c r="G1533">
        <v>3</v>
      </c>
      <c r="I1533">
        <f t="shared" si="23"/>
        <v>1</v>
      </c>
      <c r="J1533" s="58">
        <v>1</v>
      </c>
      <c r="K1533" s="32"/>
      <c r="L1533" s="32"/>
      <c r="M1533" s="32"/>
      <c r="N1533" s="32"/>
      <c r="O1533">
        <v>1</v>
      </c>
      <c r="P1533" s="58">
        <v>0</v>
      </c>
      <c r="Q1533" s="58">
        <v>0</v>
      </c>
      <c r="R1533" s="58">
        <v>0</v>
      </c>
      <c r="S1533" s="58">
        <v>0</v>
      </c>
      <c r="T1533" s="58">
        <v>0</v>
      </c>
      <c r="U1533" s="58">
        <v>0</v>
      </c>
      <c r="V1533" s="58">
        <v>0</v>
      </c>
      <c r="W1533" s="4">
        <v>0</v>
      </c>
    </row>
    <row r="1534" spans="1:23" x14ac:dyDescent="0.35">
      <c r="A1534">
        <v>1530</v>
      </c>
      <c r="B1534">
        <v>1531</v>
      </c>
      <c r="C1534">
        <v>146.03530499999999</v>
      </c>
      <c r="D1534">
        <v>-17.525016669999999</v>
      </c>
      <c r="F1534" t="str">
        <f>HYPERLINK("D:\Data From Lucan\2024\Johnstone\Frames_for_Analysis\1531_20240610_0003_L_1384.jpg","1531_20240610_0003_L_1384.jpg")</f>
        <v>1531_20240610_0003_L_1384.jpg</v>
      </c>
      <c r="G1534">
        <v>3</v>
      </c>
      <c r="I1534">
        <f t="shared" si="23"/>
        <v>1</v>
      </c>
      <c r="J1534" s="58">
        <v>1</v>
      </c>
      <c r="K1534" s="32"/>
      <c r="L1534" s="32"/>
      <c r="M1534" s="32"/>
      <c r="N1534" s="32"/>
      <c r="O1534">
        <v>1</v>
      </c>
      <c r="P1534" s="58">
        <v>0</v>
      </c>
      <c r="Q1534" s="58">
        <v>0</v>
      </c>
      <c r="R1534" s="58">
        <v>0</v>
      </c>
      <c r="S1534" s="58">
        <v>0</v>
      </c>
      <c r="T1534" s="58">
        <v>0</v>
      </c>
      <c r="U1534" s="58">
        <v>0</v>
      </c>
      <c r="V1534" s="58">
        <v>0</v>
      </c>
      <c r="W1534" s="4">
        <v>0</v>
      </c>
    </row>
    <row r="1535" spans="1:23" x14ac:dyDescent="0.35">
      <c r="A1535">
        <v>1531</v>
      </c>
      <c r="B1535">
        <v>1532</v>
      </c>
      <c r="C1535">
        <v>146.03521749999999</v>
      </c>
      <c r="D1535">
        <v>-17.52498147</v>
      </c>
      <c r="F1535" t="str">
        <f>HYPERLINK("D:\Data From Lucan\2024\Johnstone\Frames_for_Analysis\1532_20240610_0003_L_1387.jpg","1532_20240610_0003_L_1387.jpg")</f>
        <v>1532_20240610_0003_L_1387.jpg</v>
      </c>
      <c r="G1535">
        <v>3</v>
      </c>
      <c r="I1535">
        <f t="shared" si="23"/>
        <v>1</v>
      </c>
      <c r="J1535" s="58">
        <v>1</v>
      </c>
      <c r="K1535" s="32"/>
      <c r="L1535" s="32"/>
      <c r="M1535" s="32"/>
      <c r="N1535" s="32"/>
      <c r="O1535">
        <v>1</v>
      </c>
      <c r="P1535" s="58">
        <v>0</v>
      </c>
      <c r="Q1535" s="58">
        <v>0</v>
      </c>
      <c r="R1535" s="58">
        <v>0</v>
      </c>
      <c r="S1535" s="58">
        <v>0</v>
      </c>
      <c r="T1535" s="58">
        <v>0</v>
      </c>
      <c r="U1535" s="58">
        <v>0</v>
      </c>
      <c r="V1535" s="58">
        <v>0</v>
      </c>
      <c r="W1535" s="4">
        <v>0</v>
      </c>
    </row>
    <row r="1536" spans="1:23" x14ac:dyDescent="0.35">
      <c r="A1536">
        <v>1532</v>
      </c>
      <c r="B1536">
        <v>1533</v>
      </c>
      <c r="C1536">
        <v>146.03513000000001</v>
      </c>
      <c r="D1536">
        <v>-17.524946280000002</v>
      </c>
      <c r="F1536" t="str">
        <f>HYPERLINK("D:\Data From Lucan\2024\Johnstone\Frames_for_Analysis\1533_20240610_0003_L_1390.jpg","1533_20240610_0003_L_1390.jpg")</f>
        <v>1533_20240610_0003_L_1390.jpg</v>
      </c>
      <c r="G1536">
        <v>3</v>
      </c>
      <c r="I1536">
        <f t="shared" si="23"/>
        <v>1</v>
      </c>
      <c r="J1536" s="58">
        <v>1</v>
      </c>
      <c r="K1536" s="32"/>
      <c r="L1536" s="32"/>
      <c r="M1536" s="32"/>
      <c r="N1536" s="32"/>
      <c r="O1536">
        <v>1</v>
      </c>
      <c r="P1536" s="58">
        <v>0</v>
      </c>
      <c r="Q1536" s="58">
        <v>0</v>
      </c>
      <c r="R1536" s="58">
        <v>0</v>
      </c>
      <c r="S1536" s="58">
        <v>0</v>
      </c>
      <c r="T1536" s="58">
        <v>0</v>
      </c>
      <c r="U1536" s="58">
        <v>0</v>
      </c>
      <c r="V1536" s="58">
        <v>0</v>
      </c>
      <c r="W1536" s="4">
        <v>0</v>
      </c>
    </row>
    <row r="1537" spans="1:23" x14ac:dyDescent="0.35">
      <c r="A1537">
        <v>1533</v>
      </c>
      <c r="B1537">
        <v>1534</v>
      </c>
      <c r="C1537">
        <v>146.0350426</v>
      </c>
      <c r="D1537">
        <v>-17.524911079999999</v>
      </c>
      <c r="F1537" t="str">
        <f>HYPERLINK("D:\Data From Lucan\2024\Johnstone\Frames_for_Analysis\1534_20240610_0003_L_1397.jpg","1534_20240610_0003_L_1397.jpg")</f>
        <v>1534_20240610_0003_L_1397.jpg</v>
      </c>
      <c r="G1537">
        <v>3</v>
      </c>
      <c r="I1537">
        <f t="shared" si="23"/>
        <v>1</v>
      </c>
      <c r="J1537" s="58">
        <v>1</v>
      </c>
      <c r="K1537" s="32"/>
      <c r="L1537" s="32"/>
      <c r="M1537" s="32"/>
      <c r="N1537" s="32"/>
      <c r="O1537">
        <v>1</v>
      </c>
      <c r="P1537" s="58">
        <v>0</v>
      </c>
      <c r="Q1537" s="58">
        <v>0</v>
      </c>
      <c r="R1537" s="58">
        <v>0</v>
      </c>
      <c r="S1537" s="58">
        <v>0</v>
      </c>
      <c r="T1537" s="58">
        <v>0</v>
      </c>
      <c r="U1537" s="58">
        <v>0</v>
      </c>
      <c r="V1537" s="58">
        <v>0</v>
      </c>
      <c r="W1537" s="4">
        <v>0</v>
      </c>
    </row>
    <row r="1538" spans="1:23" x14ac:dyDescent="0.35">
      <c r="A1538">
        <v>1534</v>
      </c>
      <c r="B1538">
        <v>1535</v>
      </c>
      <c r="C1538">
        <v>146.03495509999999</v>
      </c>
      <c r="D1538">
        <v>-17.524875890000001</v>
      </c>
      <c r="F1538" t="str">
        <f>HYPERLINK("D:\Data From Lucan\2024\Johnstone\Frames_for_Analysis\1535_20240610_0003_L_1400.jpg","1535_20240610_0003_L_1400.jpg")</f>
        <v>1535_20240610_0003_L_1400.jpg</v>
      </c>
      <c r="G1538">
        <v>3</v>
      </c>
      <c r="I1538">
        <f t="shared" si="23"/>
        <v>1</v>
      </c>
      <c r="J1538" s="58">
        <v>1</v>
      </c>
      <c r="K1538" s="32"/>
      <c r="L1538" s="32"/>
      <c r="M1538" s="32"/>
      <c r="N1538" s="32"/>
      <c r="O1538">
        <v>1</v>
      </c>
      <c r="P1538" s="58">
        <v>0</v>
      </c>
      <c r="Q1538" s="58">
        <v>0</v>
      </c>
      <c r="R1538" s="58">
        <v>0</v>
      </c>
      <c r="S1538" s="58">
        <v>0</v>
      </c>
      <c r="T1538" s="58">
        <v>0</v>
      </c>
      <c r="U1538" s="58">
        <v>0</v>
      </c>
      <c r="V1538" s="58">
        <v>0</v>
      </c>
      <c r="W1538" s="4">
        <v>0</v>
      </c>
    </row>
    <row r="1539" spans="1:23" x14ac:dyDescent="0.35">
      <c r="A1539">
        <v>1535</v>
      </c>
      <c r="B1539">
        <v>1536</v>
      </c>
      <c r="C1539">
        <v>146.03486530000001</v>
      </c>
      <c r="D1539">
        <v>-17.52484784</v>
      </c>
      <c r="F1539" t="str">
        <f>HYPERLINK("D:\Data From Lucan\2024\Johnstone\Frames_for_Analysis\1536_20240610_0003_L_1404.jpg","1536_20240610_0003_L_1404.jpg")</f>
        <v>1536_20240610_0003_L_1404.jpg</v>
      </c>
      <c r="G1539">
        <v>4</v>
      </c>
      <c r="I1539">
        <f t="shared" si="23"/>
        <v>1</v>
      </c>
      <c r="J1539" s="58">
        <v>1</v>
      </c>
      <c r="K1539" s="32"/>
      <c r="L1539" s="32"/>
      <c r="M1539" s="32"/>
      <c r="N1539" s="32"/>
      <c r="O1539">
        <v>1</v>
      </c>
      <c r="P1539" s="58">
        <v>0</v>
      </c>
      <c r="Q1539" s="58">
        <v>0</v>
      </c>
      <c r="R1539" s="58">
        <v>0</v>
      </c>
      <c r="S1539" s="58">
        <v>0</v>
      </c>
      <c r="T1539" s="58">
        <v>0</v>
      </c>
      <c r="U1539" s="58">
        <v>0</v>
      </c>
      <c r="V1539" s="58">
        <v>0</v>
      </c>
      <c r="W1539" s="4">
        <v>0</v>
      </c>
    </row>
    <row r="1540" spans="1:23" x14ac:dyDescent="0.35">
      <c r="A1540">
        <v>1536</v>
      </c>
      <c r="B1540">
        <v>1537</v>
      </c>
      <c r="C1540">
        <v>146.03477359999999</v>
      </c>
      <c r="D1540">
        <v>-17.524826050000001</v>
      </c>
      <c r="F1540" t="str">
        <f>HYPERLINK("D:\Data From Lucan\2024\Johnstone\Frames_for_Analysis\1537_20240610_0003_L_1408.jpg","1537_20240610_0003_L_1408.jpg")</f>
        <v>1537_20240610_0003_L_1408.jpg</v>
      </c>
      <c r="G1540">
        <v>4</v>
      </c>
      <c r="I1540">
        <f t="shared" si="23"/>
        <v>1</v>
      </c>
      <c r="J1540" s="58">
        <v>1</v>
      </c>
      <c r="K1540" s="32"/>
      <c r="L1540" s="32"/>
      <c r="M1540" s="32"/>
      <c r="N1540" s="32"/>
      <c r="O1540">
        <v>1</v>
      </c>
      <c r="P1540" s="58">
        <v>0</v>
      </c>
      <c r="Q1540" s="58">
        <v>0</v>
      </c>
      <c r="R1540" s="58">
        <v>0</v>
      </c>
      <c r="S1540" s="58">
        <v>0</v>
      </c>
      <c r="T1540" s="58">
        <v>0</v>
      </c>
      <c r="U1540" s="58">
        <v>0</v>
      </c>
      <c r="V1540" s="58">
        <v>0</v>
      </c>
      <c r="W1540" s="4">
        <v>0</v>
      </c>
    </row>
    <row r="1541" spans="1:23" x14ac:dyDescent="0.35">
      <c r="A1541">
        <v>1537</v>
      </c>
      <c r="B1541">
        <v>1538</v>
      </c>
      <c r="C1541">
        <v>146.03468179999999</v>
      </c>
      <c r="D1541">
        <v>-17.524804270000001</v>
      </c>
      <c r="F1541" t="str">
        <f>HYPERLINK("D:\Data From Lucan\2024\Johnstone\Frames_for_Analysis\1538_20240610_0003_L_1412.jpg","1538_20240610_0003_L_1412.jpg")</f>
        <v>1538_20240610_0003_L_1412.jpg</v>
      </c>
      <c r="G1541">
        <v>4</v>
      </c>
      <c r="I1541">
        <f t="shared" ref="I1541:I1604" si="24">IF(H1541="X","X",IF(J1541="NA","X",IF(J1541="","X",J1541)))</f>
        <v>1</v>
      </c>
      <c r="J1541" s="58">
        <v>1</v>
      </c>
      <c r="K1541" s="32"/>
      <c r="L1541" s="32"/>
      <c r="M1541" s="32"/>
      <c r="N1541" s="32"/>
      <c r="O1541">
        <v>1</v>
      </c>
      <c r="P1541" s="58">
        <v>0</v>
      </c>
      <c r="Q1541" s="58">
        <v>0</v>
      </c>
      <c r="R1541" s="58">
        <v>0</v>
      </c>
      <c r="S1541" s="58">
        <v>0</v>
      </c>
      <c r="T1541" s="58">
        <v>0</v>
      </c>
      <c r="U1541" s="58">
        <v>0</v>
      </c>
      <c r="V1541" s="58">
        <v>0</v>
      </c>
      <c r="W1541" s="4">
        <v>0</v>
      </c>
    </row>
    <row r="1542" spans="1:23" x14ac:dyDescent="0.35">
      <c r="A1542">
        <v>1538</v>
      </c>
      <c r="B1542">
        <v>1539</v>
      </c>
      <c r="C1542">
        <v>146.0345901</v>
      </c>
      <c r="D1542">
        <v>-17.524782479999999</v>
      </c>
      <c r="F1542" t="str">
        <f>HYPERLINK("D:\Data From Lucan\2024\Johnstone\Frames_for_Analysis\1539_20240610_0003_L_1418.jpg","1539_20240610_0003_L_1418.jpg")</f>
        <v>1539_20240610_0003_L_1418.jpg</v>
      </c>
      <c r="G1542">
        <v>4</v>
      </c>
      <c r="I1542">
        <f t="shared" si="24"/>
        <v>1</v>
      </c>
      <c r="J1542" s="58">
        <v>1</v>
      </c>
      <c r="K1542" s="32"/>
      <c r="L1542" s="32"/>
      <c r="M1542" s="32"/>
      <c r="N1542" s="32"/>
      <c r="O1542">
        <v>1</v>
      </c>
      <c r="P1542" s="58">
        <v>0</v>
      </c>
      <c r="Q1542" s="58">
        <v>0</v>
      </c>
      <c r="R1542" s="58">
        <v>0</v>
      </c>
      <c r="S1542" s="58">
        <v>0</v>
      </c>
      <c r="T1542" s="58">
        <v>0</v>
      </c>
      <c r="U1542" s="58">
        <v>0</v>
      </c>
      <c r="V1542" s="58">
        <v>0</v>
      </c>
      <c r="W1542" s="4">
        <v>0</v>
      </c>
    </row>
    <row r="1543" spans="1:23" x14ac:dyDescent="0.35">
      <c r="A1543">
        <v>1539</v>
      </c>
      <c r="B1543">
        <v>1540</v>
      </c>
      <c r="C1543">
        <v>146.0344983</v>
      </c>
      <c r="D1543">
        <v>-17.524760690000001</v>
      </c>
      <c r="F1543" t="str">
        <f>HYPERLINK("D:\Data From Lucan\2024\Johnstone\Frames_for_Analysis\1540_20240610_0003_L_1423.jpg","1540_20240610_0003_L_1423.jpg")</f>
        <v>1540_20240610_0003_L_1423.jpg</v>
      </c>
      <c r="G1543">
        <v>4</v>
      </c>
      <c r="I1543">
        <f t="shared" si="24"/>
        <v>1</v>
      </c>
      <c r="J1543" s="58">
        <v>1</v>
      </c>
      <c r="K1543" s="32"/>
      <c r="L1543" s="32"/>
      <c r="M1543" s="32"/>
      <c r="N1543" s="32"/>
      <c r="O1543">
        <v>1</v>
      </c>
      <c r="P1543" s="58">
        <v>0</v>
      </c>
      <c r="Q1543" s="58">
        <v>0</v>
      </c>
      <c r="R1543" s="58">
        <v>0</v>
      </c>
      <c r="S1543" s="58">
        <v>0</v>
      </c>
      <c r="T1543" s="58">
        <v>0</v>
      </c>
      <c r="U1543" s="58">
        <v>0</v>
      </c>
      <c r="V1543" s="58">
        <v>0</v>
      </c>
      <c r="W1543" s="4">
        <v>0</v>
      </c>
    </row>
    <row r="1544" spans="1:23" x14ac:dyDescent="0.35">
      <c r="A1544">
        <v>1540</v>
      </c>
      <c r="B1544">
        <v>1541</v>
      </c>
      <c r="C1544">
        <v>146.03440649999999</v>
      </c>
      <c r="D1544">
        <v>-17.52473891</v>
      </c>
      <c r="F1544" t="str">
        <f>HYPERLINK("D:\Data From Lucan\2024\Johnstone\Frames_for_Analysis\1541_20240610_0003_L_1427.jpg","1541_20240610_0003_L_1427.jpg")</f>
        <v>1541_20240610_0003_L_1427.jpg</v>
      </c>
      <c r="G1544">
        <v>4</v>
      </c>
      <c r="I1544">
        <v>0</v>
      </c>
      <c r="J1544" s="58">
        <v>2</v>
      </c>
      <c r="K1544" s="32"/>
      <c r="L1544" s="32"/>
      <c r="M1544" s="32"/>
      <c r="N1544" s="32"/>
      <c r="O1544">
        <v>1</v>
      </c>
      <c r="P1544" s="58">
        <v>0</v>
      </c>
      <c r="Q1544" s="58">
        <v>0</v>
      </c>
      <c r="R1544" s="58">
        <v>0</v>
      </c>
      <c r="S1544" s="58">
        <v>0</v>
      </c>
      <c r="T1544" s="58">
        <v>0</v>
      </c>
      <c r="U1544" s="58">
        <v>0</v>
      </c>
      <c r="V1544" s="58">
        <v>1</v>
      </c>
      <c r="W1544" s="4">
        <v>0</v>
      </c>
    </row>
    <row r="1545" spans="1:23" x14ac:dyDescent="0.35">
      <c r="A1545">
        <v>1541</v>
      </c>
      <c r="B1545">
        <v>1542</v>
      </c>
      <c r="C1545">
        <v>146.0343129</v>
      </c>
      <c r="D1545">
        <v>-17.52473822</v>
      </c>
      <c r="F1545" t="str">
        <f>HYPERLINK("D:\Data From Lucan\2024\Johnstone\Frames_for_Analysis\1542_20240610_0003_L_1434.jpg","1542_20240610_0003_L_1434.jpg")</f>
        <v>1542_20240610_0003_L_1434.jpg</v>
      </c>
      <c r="G1545">
        <v>4</v>
      </c>
      <c r="I1545">
        <v>0</v>
      </c>
      <c r="J1545" s="58">
        <v>2</v>
      </c>
      <c r="K1545" s="32"/>
      <c r="L1545" s="32"/>
      <c r="M1545" s="32"/>
      <c r="N1545" s="32"/>
      <c r="O1545">
        <v>1</v>
      </c>
      <c r="P1545" s="58">
        <v>0</v>
      </c>
      <c r="Q1545" s="58">
        <v>0</v>
      </c>
      <c r="R1545" s="58">
        <v>0</v>
      </c>
      <c r="S1545" s="58">
        <v>0</v>
      </c>
      <c r="T1545" s="58">
        <v>0</v>
      </c>
      <c r="U1545" s="58">
        <v>0</v>
      </c>
      <c r="V1545" s="58">
        <v>0</v>
      </c>
      <c r="W1545" s="4">
        <v>0</v>
      </c>
    </row>
    <row r="1546" spans="1:23" x14ac:dyDescent="0.35">
      <c r="A1546">
        <v>1542</v>
      </c>
      <c r="B1546">
        <v>1543</v>
      </c>
      <c r="C1546">
        <v>146.03421879999999</v>
      </c>
      <c r="D1546">
        <v>-17.524743650000001</v>
      </c>
      <c r="F1546" t="str">
        <f>HYPERLINK("D:\Data From Lucan\2024\Johnstone\Frames_for_Analysis\1543_20240610_0003_L_1438.jpg","1543_20240610_0003_L_1438.jpg")</f>
        <v>1543_20240610_0003_L_1438.jpg</v>
      </c>
      <c r="G1546">
        <v>4</v>
      </c>
      <c r="I1546">
        <v>0</v>
      </c>
      <c r="J1546" s="58">
        <v>2</v>
      </c>
      <c r="K1546" s="32"/>
      <c r="L1546" s="32"/>
      <c r="M1546" s="32"/>
      <c r="N1546" s="32"/>
      <c r="O1546">
        <v>1</v>
      </c>
      <c r="P1546" s="58">
        <v>0</v>
      </c>
      <c r="Q1546" s="58">
        <v>0</v>
      </c>
      <c r="R1546" s="58">
        <v>0</v>
      </c>
      <c r="S1546" s="58">
        <v>0</v>
      </c>
      <c r="T1546" s="58">
        <v>0</v>
      </c>
      <c r="U1546" s="58">
        <v>0</v>
      </c>
      <c r="V1546" s="58">
        <v>1</v>
      </c>
      <c r="W1546" s="4">
        <v>0</v>
      </c>
    </row>
    <row r="1547" spans="1:23" x14ac:dyDescent="0.35">
      <c r="A1547">
        <v>1543</v>
      </c>
      <c r="B1547">
        <v>1544</v>
      </c>
      <c r="C1547">
        <v>146.03412499999999</v>
      </c>
      <c r="D1547">
        <v>-17.52475063</v>
      </c>
      <c r="F1547" t="str">
        <f>HYPERLINK("D:\Data From Lucan\2024\Johnstone\Frames_for_Analysis\1544_20240610_0003_L_1442.jpg","1544_20240610_0003_L_1442.jpg")</f>
        <v>1544_20240610_0003_L_1442.jpg</v>
      </c>
      <c r="G1547">
        <v>4</v>
      </c>
      <c r="I1547">
        <v>0</v>
      </c>
      <c r="J1547" s="58">
        <v>2</v>
      </c>
      <c r="K1547" s="32"/>
      <c r="L1547" s="32"/>
      <c r="M1547" s="32"/>
      <c r="N1547" s="32"/>
      <c r="O1547">
        <v>1</v>
      </c>
      <c r="P1547" s="58">
        <v>0</v>
      </c>
      <c r="Q1547" s="58">
        <v>0</v>
      </c>
      <c r="R1547" s="58">
        <v>0</v>
      </c>
      <c r="S1547" s="58">
        <v>0</v>
      </c>
      <c r="T1547" s="58">
        <v>0</v>
      </c>
      <c r="U1547" s="58">
        <v>0</v>
      </c>
      <c r="V1547" s="58">
        <v>1</v>
      </c>
      <c r="W1547" s="4">
        <v>0</v>
      </c>
    </row>
    <row r="1548" spans="1:23" x14ac:dyDescent="0.35">
      <c r="A1548">
        <v>1544</v>
      </c>
      <c r="B1548">
        <v>1545</v>
      </c>
      <c r="C1548">
        <v>146.03403710000001</v>
      </c>
      <c r="D1548">
        <v>-17.52478485</v>
      </c>
      <c r="F1548" t="str">
        <f>HYPERLINK("D:\Data From Lucan\2024\Johnstone\Frames_for_Analysis\1545_20240610_0003_L_1445.jpg","1545_20240610_0003_L_1445.jpg")</f>
        <v>1545_20240610_0003_L_1445.jpg</v>
      </c>
      <c r="G1548">
        <v>4</v>
      </c>
      <c r="I1548">
        <f t="shared" si="24"/>
        <v>1</v>
      </c>
      <c r="J1548" s="58">
        <v>1</v>
      </c>
      <c r="K1548" s="32"/>
      <c r="L1548" s="32"/>
      <c r="M1548" s="32"/>
      <c r="N1548" s="32"/>
      <c r="O1548">
        <v>1</v>
      </c>
      <c r="P1548" s="58">
        <v>0</v>
      </c>
      <c r="Q1548" s="58">
        <v>0</v>
      </c>
      <c r="R1548" s="58">
        <v>0</v>
      </c>
      <c r="S1548" s="58">
        <v>0</v>
      </c>
      <c r="T1548" s="58">
        <v>0</v>
      </c>
      <c r="U1548" s="58">
        <v>0</v>
      </c>
      <c r="V1548" s="58">
        <v>1</v>
      </c>
      <c r="W1548" s="4">
        <v>0</v>
      </c>
    </row>
    <row r="1549" spans="1:23" x14ac:dyDescent="0.35">
      <c r="A1549">
        <v>1545</v>
      </c>
      <c r="B1549">
        <v>1546</v>
      </c>
      <c r="C1549">
        <v>146.0339492</v>
      </c>
      <c r="D1549">
        <v>-17.524819059999999</v>
      </c>
      <c r="F1549" t="str">
        <f>HYPERLINK("D:\Data From Lucan\2024\Johnstone\Frames_for_Analysis\1546_20240610_0003_L_1447.jpg","1546_20240610_0003_L_1447.jpg")</f>
        <v>1546_20240610_0003_L_1447.jpg</v>
      </c>
      <c r="G1549">
        <v>4</v>
      </c>
      <c r="I1549">
        <f t="shared" si="24"/>
        <v>1</v>
      </c>
      <c r="J1549" s="58">
        <v>1</v>
      </c>
      <c r="K1549" s="32"/>
      <c r="L1549" s="32"/>
      <c r="M1549" s="32"/>
      <c r="N1549" s="32"/>
      <c r="O1549" t="s">
        <v>3958</v>
      </c>
      <c r="P1549" s="58">
        <v>0</v>
      </c>
      <c r="Q1549" s="58">
        <v>0</v>
      </c>
      <c r="R1549" s="58">
        <v>0</v>
      </c>
      <c r="S1549" s="58">
        <v>0</v>
      </c>
      <c r="T1549" s="58">
        <v>0</v>
      </c>
      <c r="U1549" s="58">
        <v>0</v>
      </c>
      <c r="V1549" s="58">
        <v>1</v>
      </c>
      <c r="W1549" s="4">
        <v>0</v>
      </c>
    </row>
    <row r="1550" spans="1:23" s="75" customFormat="1" hidden="1" x14ac:dyDescent="0.35">
      <c r="A1550" s="75">
        <v>1546</v>
      </c>
      <c r="B1550" s="75">
        <v>1547</v>
      </c>
      <c r="C1550">
        <v>146.03387240000001</v>
      </c>
      <c r="D1550">
        <v>-17.524873240000002</v>
      </c>
      <c r="F1550" s="75" t="str">
        <f>HYPERLINK("E:\Data From Lucan\2024\Johnstone\Frames_for_Analysis\1547_20240610_0003_L_1450.jpg","1547_20240610_0003_L_1450.jpg")</f>
        <v>1547_20240610_0003_L_1450.jpg</v>
      </c>
      <c r="G1550" s="75">
        <v>101</v>
      </c>
      <c r="I1550">
        <f t="shared" si="24"/>
        <v>1</v>
      </c>
      <c r="J1550" s="75">
        <v>1</v>
      </c>
      <c r="K1550" s="77"/>
      <c r="L1550" s="77"/>
      <c r="M1550" s="77"/>
      <c r="N1550" s="77"/>
      <c r="O1550" s="75" t="s">
        <v>3958</v>
      </c>
      <c r="P1550" s="75">
        <v>0</v>
      </c>
      <c r="Q1550" s="75">
        <v>0</v>
      </c>
      <c r="R1550" s="75">
        <v>0</v>
      </c>
      <c r="S1550" s="75">
        <v>0</v>
      </c>
      <c r="T1550" s="75">
        <v>1</v>
      </c>
      <c r="U1550" s="75">
        <v>0</v>
      </c>
      <c r="V1550" s="75">
        <v>0</v>
      </c>
      <c r="W1550" s="78"/>
    </row>
    <row r="1551" spans="1:23" s="75" customFormat="1" hidden="1" x14ac:dyDescent="0.35">
      <c r="A1551" s="75">
        <v>1547</v>
      </c>
      <c r="B1551" s="75">
        <v>1548</v>
      </c>
      <c r="C1551">
        <v>146.0337969</v>
      </c>
      <c r="D1551">
        <v>-17.524929749999998</v>
      </c>
      <c r="F1551" s="75" t="str">
        <f>HYPERLINK("E:\Data From Lucan\2024\Johnstone\Frames_for_Analysis\1548_20240610_0003_L_1453.jpg","1548_20240610_0003_L_1453.jpg")</f>
        <v>1548_20240610_0003_L_1453.jpg</v>
      </c>
      <c r="G1551" s="75">
        <v>101</v>
      </c>
      <c r="I1551">
        <f t="shared" si="24"/>
        <v>0</v>
      </c>
      <c r="J1551" s="75">
        <v>0</v>
      </c>
      <c r="K1551" s="77"/>
      <c r="L1551" s="77"/>
      <c r="M1551" s="77"/>
      <c r="N1551" s="77"/>
      <c r="O1551" s="75" t="s">
        <v>3958</v>
      </c>
      <c r="P1551" s="75">
        <v>0</v>
      </c>
      <c r="Q1551" s="75">
        <v>0</v>
      </c>
      <c r="R1551" s="75">
        <v>0</v>
      </c>
      <c r="S1551" s="75">
        <v>0</v>
      </c>
      <c r="T1551" s="75">
        <v>0</v>
      </c>
      <c r="U1551" s="75">
        <v>0</v>
      </c>
      <c r="V1551" s="75">
        <v>1</v>
      </c>
      <c r="W1551" s="78"/>
    </row>
    <row r="1552" spans="1:23" s="75" customFormat="1" hidden="1" x14ac:dyDescent="0.35">
      <c r="A1552" s="75">
        <v>1548</v>
      </c>
      <c r="B1552" s="75">
        <v>1549</v>
      </c>
      <c r="C1552">
        <v>146.03372139999999</v>
      </c>
      <c r="D1552">
        <v>-17.524986269999999</v>
      </c>
      <c r="F1552" s="75" t="str">
        <f>HYPERLINK("E:\Data From Lucan\2024\Johnstone\Frames_for_Analysis\1549_20240610_0003_L_1456.jpg","1549_20240610_0003_L_1456.jpg")</f>
        <v>1549_20240610_0003_L_1456.jpg</v>
      </c>
      <c r="G1552" s="75">
        <v>101</v>
      </c>
      <c r="I1552">
        <f t="shared" si="24"/>
        <v>1</v>
      </c>
      <c r="J1552" s="75">
        <v>1</v>
      </c>
      <c r="K1552" s="77"/>
      <c r="L1552" s="77"/>
      <c r="M1552" s="77"/>
      <c r="N1552" s="77"/>
      <c r="O1552" s="75" t="s">
        <v>3958</v>
      </c>
      <c r="P1552" s="75">
        <v>0</v>
      </c>
      <c r="Q1552" s="75">
        <v>0</v>
      </c>
      <c r="R1552" s="75">
        <v>0</v>
      </c>
      <c r="S1552" s="75">
        <v>0</v>
      </c>
      <c r="T1552" s="75">
        <v>0</v>
      </c>
      <c r="U1552" s="75">
        <v>0</v>
      </c>
      <c r="V1552" s="75">
        <v>0</v>
      </c>
      <c r="W1552" s="78"/>
    </row>
    <row r="1553" spans="1:23" s="75" customFormat="1" hidden="1" x14ac:dyDescent="0.35">
      <c r="A1553" s="75">
        <v>1549</v>
      </c>
      <c r="B1553" s="75">
        <v>1550</v>
      </c>
      <c r="C1553">
        <v>146.03364619999999</v>
      </c>
      <c r="D1553">
        <v>-17.525043029999999</v>
      </c>
      <c r="F1553" s="75" t="str">
        <f>HYPERLINK("E:\Data From Lucan\2024\Johnstone\Frames_for_Analysis\1550_20240610_0003_L_1457.jpg","1550_20240610_0003_L_1457.jpg")</f>
        <v>1550_20240610_0003_L_1457.jpg</v>
      </c>
      <c r="G1553" s="75">
        <v>101</v>
      </c>
      <c r="I1553">
        <f t="shared" si="24"/>
        <v>1</v>
      </c>
      <c r="J1553" s="75">
        <v>1</v>
      </c>
      <c r="K1553" s="77"/>
      <c r="L1553" s="77"/>
      <c r="M1553" s="77"/>
      <c r="N1553" s="77"/>
      <c r="O1553" s="75" t="s">
        <v>3958</v>
      </c>
      <c r="P1553" s="75">
        <v>0</v>
      </c>
      <c r="Q1553" s="75">
        <v>0</v>
      </c>
      <c r="R1553" s="75">
        <v>0</v>
      </c>
      <c r="S1553" s="75">
        <v>0</v>
      </c>
      <c r="T1553" s="75">
        <v>0</v>
      </c>
      <c r="U1553" s="75">
        <v>0</v>
      </c>
      <c r="V1553" s="75">
        <v>0</v>
      </c>
      <c r="W1553" s="78"/>
    </row>
    <row r="1554" spans="1:23" s="75" customFormat="1" hidden="1" x14ac:dyDescent="0.35">
      <c r="A1554" s="75">
        <v>1550</v>
      </c>
      <c r="B1554" s="75">
        <v>1551</v>
      </c>
      <c r="C1554">
        <v>146.0335752</v>
      </c>
      <c r="D1554">
        <v>-17.525105100000001</v>
      </c>
      <c r="F1554" s="75" t="str">
        <f>HYPERLINK("E:\Data From Lucan\2024\Johnstone\Frames_for_Analysis\1551_20240610_0003_L_1458.jpg","1551_20240610_0003_L_1458.jpg")</f>
        <v>1551_20240610_0003_L_1458.jpg</v>
      </c>
      <c r="G1554" s="75">
        <v>101</v>
      </c>
      <c r="I1554" t="str">
        <f t="shared" si="24"/>
        <v>X</v>
      </c>
      <c r="J1554" s="75" t="s">
        <v>3958</v>
      </c>
      <c r="K1554" s="77"/>
      <c r="L1554" s="77"/>
      <c r="M1554" s="77"/>
      <c r="N1554" s="77"/>
      <c r="O1554" s="75" t="s">
        <v>3958</v>
      </c>
      <c r="P1554" s="75">
        <v>0</v>
      </c>
      <c r="Q1554" s="75">
        <v>0</v>
      </c>
      <c r="R1554" s="75">
        <v>0</v>
      </c>
      <c r="S1554" s="75">
        <v>0</v>
      </c>
      <c r="T1554" s="75">
        <v>0</v>
      </c>
      <c r="U1554" s="75">
        <v>0</v>
      </c>
      <c r="V1554" s="75">
        <v>0</v>
      </c>
      <c r="W1554" s="78"/>
    </row>
    <row r="1555" spans="1:23" s="75" customFormat="1" hidden="1" x14ac:dyDescent="0.35">
      <c r="A1555" s="75">
        <v>1551</v>
      </c>
      <c r="B1555" s="75">
        <v>1552</v>
      </c>
      <c r="C1555">
        <v>146.03350420000001</v>
      </c>
      <c r="D1555">
        <v>-17.525167159999999</v>
      </c>
      <c r="G1555" s="75">
        <v>101</v>
      </c>
      <c r="H1555" s="75" t="s">
        <v>26</v>
      </c>
      <c r="I1555" t="str">
        <f t="shared" si="24"/>
        <v>X</v>
      </c>
      <c r="K1555" s="77"/>
      <c r="L1555" s="77"/>
      <c r="M1555" s="77"/>
      <c r="N1555" s="77"/>
      <c r="W1555" s="78"/>
    </row>
    <row r="1556" spans="1:23" s="75" customFormat="1" hidden="1" x14ac:dyDescent="0.35">
      <c r="A1556" s="75">
        <v>1552</v>
      </c>
      <c r="B1556" s="75">
        <v>1553</v>
      </c>
      <c r="C1556">
        <v>146.03343319999999</v>
      </c>
      <c r="D1556">
        <v>-17.525229230000001</v>
      </c>
      <c r="F1556" s="75" t="str">
        <f>HYPERLINK("E:\Data From Lucan\2024\Johnstone\Frames_for_Analysis\1553_20240610_0003_L_1460.jpg","1553_20240610_0003_L_1460.jpg")</f>
        <v>1553_20240610_0003_L_1460.jpg</v>
      </c>
      <c r="G1556" s="75">
        <v>101</v>
      </c>
      <c r="I1556" t="str">
        <f t="shared" si="24"/>
        <v>X</v>
      </c>
      <c r="J1556" s="75" t="s">
        <v>3958</v>
      </c>
      <c r="K1556" s="77"/>
      <c r="L1556" s="77"/>
      <c r="M1556" s="77"/>
      <c r="N1556" s="77"/>
      <c r="O1556" s="75" t="s">
        <v>3958</v>
      </c>
      <c r="P1556" s="75">
        <v>0</v>
      </c>
      <c r="Q1556" s="75">
        <v>0</v>
      </c>
      <c r="R1556" s="75">
        <v>0</v>
      </c>
      <c r="S1556" s="75">
        <v>0</v>
      </c>
      <c r="T1556" s="75">
        <v>0</v>
      </c>
      <c r="U1556" s="75">
        <v>0</v>
      </c>
      <c r="V1556" s="75">
        <v>0</v>
      </c>
      <c r="W1556" s="78"/>
    </row>
    <row r="1557" spans="1:23" s="75" customFormat="1" hidden="1" x14ac:dyDescent="0.35">
      <c r="A1557" s="75">
        <v>1553</v>
      </c>
      <c r="B1557" s="75">
        <v>1554</v>
      </c>
      <c r="C1557">
        <v>146.0333622</v>
      </c>
      <c r="D1557">
        <v>-17.525291289999998</v>
      </c>
      <c r="F1557" s="75" t="str">
        <f>HYPERLINK("E:\Data From Lucan\2024\Johnstone\Frames_for_Analysis\1554_20240610_0003_L_1461.jpg","1554_20240610_0003_L_1461.jpg")</f>
        <v>1554_20240610_0003_L_1461.jpg</v>
      </c>
      <c r="G1557" s="75">
        <v>101</v>
      </c>
      <c r="I1557" t="str">
        <f t="shared" si="24"/>
        <v>X</v>
      </c>
      <c r="J1557" s="75" t="s">
        <v>3958</v>
      </c>
      <c r="K1557" s="77"/>
      <c r="L1557" s="77"/>
      <c r="M1557" s="77"/>
      <c r="N1557" s="77"/>
      <c r="O1557" s="75" t="s">
        <v>3958</v>
      </c>
      <c r="P1557" s="75">
        <v>0</v>
      </c>
      <c r="Q1557" s="75">
        <v>0</v>
      </c>
      <c r="R1557" s="75">
        <v>0</v>
      </c>
      <c r="S1557" s="75">
        <v>0</v>
      </c>
      <c r="T1557" s="75">
        <v>0</v>
      </c>
      <c r="U1557" s="75">
        <v>0</v>
      </c>
      <c r="V1557" s="75">
        <v>0</v>
      </c>
      <c r="W1557" s="78"/>
    </row>
    <row r="1558" spans="1:23" s="75" customFormat="1" hidden="1" x14ac:dyDescent="0.35">
      <c r="A1558" s="75">
        <v>1554</v>
      </c>
      <c r="B1558" s="75">
        <v>1555</v>
      </c>
      <c r="C1558">
        <v>146.03329120000001</v>
      </c>
      <c r="D1558">
        <v>-17.52535336</v>
      </c>
      <c r="F1558" s="75" t="str">
        <f>HYPERLINK("E:\Data From Lucan\2024\Johnstone\Frames_for_Analysis\1555_20240610_0003_L_1467.jpg","1555_20240610_0003_L_1467.jpg")</f>
        <v>1555_20240610_0003_L_1467.jpg</v>
      </c>
      <c r="G1558" s="75">
        <v>101</v>
      </c>
      <c r="I1558" t="str">
        <f t="shared" si="24"/>
        <v>X</v>
      </c>
      <c r="J1558" s="75" t="s">
        <v>3958</v>
      </c>
      <c r="K1558" s="77"/>
      <c r="L1558" s="77"/>
      <c r="M1558" s="77"/>
      <c r="N1558" s="77"/>
      <c r="O1558" s="75" t="s">
        <v>3958</v>
      </c>
      <c r="P1558" s="75">
        <v>0</v>
      </c>
      <c r="Q1558" s="75">
        <v>0</v>
      </c>
      <c r="R1558" s="75">
        <v>0</v>
      </c>
      <c r="S1558" s="75">
        <v>0</v>
      </c>
      <c r="T1558" s="75">
        <v>0</v>
      </c>
      <c r="U1558" s="75">
        <v>0</v>
      </c>
      <c r="V1558" s="75">
        <v>0</v>
      </c>
      <c r="W1558" s="78"/>
    </row>
    <row r="1559" spans="1:23" s="75" customFormat="1" hidden="1" x14ac:dyDescent="0.35">
      <c r="A1559" s="75">
        <v>1555</v>
      </c>
      <c r="B1559" s="75">
        <v>1556</v>
      </c>
      <c r="C1559">
        <v>146.03322009999999</v>
      </c>
      <c r="D1559">
        <v>-17.525415420000002</v>
      </c>
      <c r="F1559" s="75" t="str">
        <f>HYPERLINK("E:\Data From Lucan\2024\Johnstone\Frames_for_Analysis\1556_20240610_0003_L_1465.jpg","1556_20240610_0003_L_1465.jpg")</f>
        <v>1556_20240610_0003_L_1465.jpg</v>
      </c>
      <c r="G1559" s="75">
        <v>101</v>
      </c>
      <c r="I1559" t="str">
        <f t="shared" si="24"/>
        <v>X</v>
      </c>
      <c r="J1559" s="75" t="s">
        <v>3958</v>
      </c>
      <c r="K1559" s="77"/>
      <c r="L1559" s="77"/>
      <c r="M1559" s="77"/>
      <c r="N1559" s="77"/>
      <c r="O1559" s="75" t="s">
        <v>3958</v>
      </c>
      <c r="P1559" s="75">
        <v>0</v>
      </c>
      <c r="Q1559" s="75">
        <v>0</v>
      </c>
      <c r="R1559" s="75">
        <v>0</v>
      </c>
      <c r="S1559" s="75">
        <v>0</v>
      </c>
      <c r="T1559" s="75">
        <v>0</v>
      </c>
      <c r="U1559" s="75">
        <v>0</v>
      </c>
      <c r="V1559" s="75">
        <v>0</v>
      </c>
      <c r="W1559" s="78"/>
    </row>
    <row r="1560" spans="1:23" s="75" customFormat="1" hidden="1" x14ac:dyDescent="0.35">
      <c r="A1560" s="75">
        <v>1556</v>
      </c>
      <c r="B1560" s="75">
        <v>1557</v>
      </c>
      <c r="C1560">
        <v>146.03314829999999</v>
      </c>
      <c r="D1560">
        <v>-17.525476319999999</v>
      </c>
      <c r="G1560" s="75">
        <v>101</v>
      </c>
      <c r="H1560" s="75" t="s">
        <v>26</v>
      </c>
      <c r="I1560" t="str">
        <f t="shared" si="24"/>
        <v>X</v>
      </c>
      <c r="K1560" s="77"/>
      <c r="L1560" s="77"/>
      <c r="M1560" s="77"/>
      <c r="N1560" s="77"/>
      <c r="W1560" s="78"/>
    </row>
    <row r="1561" spans="1:23" s="75" customFormat="1" hidden="1" x14ac:dyDescent="0.35">
      <c r="A1561" s="75">
        <v>1557</v>
      </c>
      <c r="B1561" s="75">
        <v>1558</v>
      </c>
      <c r="C1561">
        <v>146.03306929999999</v>
      </c>
      <c r="D1561">
        <v>-17.5255279</v>
      </c>
      <c r="G1561" s="75">
        <v>101</v>
      </c>
      <c r="H1561" s="75" t="s">
        <v>26</v>
      </c>
      <c r="I1561" t="str">
        <f t="shared" si="24"/>
        <v>X</v>
      </c>
      <c r="K1561" s="77"/>
      <c r="L1561" s="77"/>
      <c r="M1561" s="77"/>
      <c r="N1561" s="77"/>
      <c r="W1561" s="78"/>
    </row>
    <row r="1562" spans="1:23" s="75" customFormat="1" hidden="1" x14ac:dyDescent="0.35">
      <c r="A1562" s="75">
        <v>1558</v>
      </c>
      <c r="B1562" s="75">
        <v>1559</v>
      </c>
      <c r="C1562">
        <v>146.03299039999999</v>
      </c>
      <c r="D1562">
        <v>-17.525579489999998</v>
      </c>
      <c r="G1562" s="75">
        <v>101</v>
      </c>
      <c r="H1562" s="75" t="s">
        <v>26</v>
      </c>
      <c r="I1562" t="str">
        <f t="shared" si="24"/>
        <v>X</v>
      </c>
      <c r="K1562" s="77"/>
      <c r="L1562" s="77"/>
      <c r="M1562" s="77"/>
      <c r="N1562" s="77"/>
      <c r="W1562" s="78"/>
    </row>
    <row r="1563" spans="1:23" s="75" customFormat="1" hidden="1" x14ac:dyDescent="0.35">
      <c r="A1563" s="75">
        <v>1559</v>
      </c>
      <c r="B1563" s="75">
        <v>1560</v>
      </c>
      <c r="C1563">
        <v>146.03291490000001</v>
      </c>
      <c r="D1563">
        <v>-17.525635260000001</v>
      </c>
      <c r="G1563" s="75">
        <v>101</v>
      </c>
      <c r="H1563" s="75" t="s">
        <v>26</v>
      </c>
      <c r="I1563" t="str">
        <f t="shared" si="24"/>
        <v>X</v>
      </c>
      <c r="K1563" s="77"/>
      <c r="L1563" s="77"/>
      <c r="M1563" s="77"/>
      <c r="N1563" s="77"/>
      <c r="W1563" s="78"/>
    </row>
    <row r="1564" spans="1:23" s="75" customFormat="1" hidden="1" x14ac:dyDescent="0.35">
      <c r="A1564" s="75">
        <v>1560</v>
      </c>
      <c r="B1564" s="75">
        <v>1561</v>
      </c>
      <c r="C1564">
        <v>146.0328495</v>
      </c>
      <c r="D1564">
        <v>-17.525703159999999</v>
      </c>
      <c r="G1564" s="75">
        <v>101</v>
      </c>
      <c r="H1564" s="75" t="s">
        <v>26</v>
      </c>
      <c r="I1564" t="str">
        <f t="shared" si="24"/>
        <v>X</v>
      </c>
      <c r="K1564" s="77"/>
      <c r="L1564" s="77"/>
      <c r="M1564" s="77"/>
      <c r="N1564" s="77"/>
      <c r="W1564" s="78"/>
    </row>
    <row r="1565" spans="1:23" s="75" customFormat="1" hidden="1" x14ac:dyDescent="0.35">
      <c r="A1565" s="75">
        <v>1561</v>
      </c>
      <c r="B1565" s="75">
        <v>1562</v>
      </c>
      <c r="C1565">
        <v>146.03277979999999</v>
      </c>
      <c r="D1565">
        <v>-17.525766359999999</v>
      </c>
      <c r="F1565" s="75" t="str">
        <f>HYPERLINK("E:\Data From Lucan\2024\Johnstone\Frames_for_Analysis\1562_20240610_0003_L_1469.jpg","1562_20240610_0003_L_1469.jpg")</f>
        <v>1562_20240610_0003_L_1469.jpg</v>
      </c>
      <c r="G1565" s="75">
        <v>101</v>
      </c>
      <c r="H1565" s="75" t="s">
        <v>26</v>
      </c>
      <c r="I1565" t="str">
        <f t="shared" si="24"/>
        <v>X</v>
      </c>
      <c r="J1565" s="75" t="s">
        <v>3958</v>
      </c>
      <c r="K1565" s="77"/>
      <c r="L1565" s="77"/>
      <c r="M1565" s="77"/>
      <c r="N1565" s="77"/>
      <c r="O1565" s="75" t="s">
        <v>3958</v>
      </c>
      <c r="P1565" s="75">
        <v>0</v>
      </c>
      <c r="Q1565" s="75">
        <v>0</v>
      </c>
      <c r="R1565" s="75">
        <v>0</v>
      </c>
      <c r="S1565" s="75">
        <v>0</v>
      </c>
      <c r="T1565" s="75">
        <v>0</v>
      </c>
      <c r="U1565" s="75">
        <v>0</v>
      </c>
      <c r="V1565" s="75">
        <v>0</v>
      </c>
      <c r="W1565" s="78"/>
    </row>
    <row r="1566" spans="1:23" s="75" customFormat="1" hidden="1" x14ac:dyDescent="0.35">
      <c r="A1566" s="75">
        <v>1562</v>
      </c>
      <c r="B1566" s="75">
        <v>1563</v>
      </c>
      <c r="C1566">
        <v>146.03270499999999</v>
      </c>
      <c r="D1566">
        <v>-17.5258237</v>
      </c>
      <c r="G1566" s="75">
        <v>101</v>
      </c>
      <c r="H1566" s="75" t="s">
        <v>26</v>
      </c>
      <c r="I1566" t="str">
        <f t="shared" si="24"/>
        <v>X</v>
      </c>
      <c r="K1566" s="77"/>
      <c r="L1566" s="77"/>
      <c r="M1566" s="77"/>
      <c r="N1566" s="77"/>
      <c r="W1566" s="78"/>
    </row>
    <row r="1567" spans="1:23" s="75" customFormat="1" hidden="1" x14ac:dyDescent="0.35">
      <c r="A1567" s="75">
        <v>1563</v>
      </c>
      <c r="B1567" s="75">
        <v>1564</v>
      </c>
      <c r="C1567">
        <v>146.03263010000001</v>
      </c>
      <c r="D1567">
        <v>-17.525881049999999</v>
      </c>
      <c r="G1567" s="75">
        <v>101</v>
      </c>
      <c r="H1567" s="75" t="s">
        <v>26</v>
      </c>
      <c r="I1567" t="str">
        <f t="shared" si="24"/>
        <v>X</v>
      </c>
      <c r="K1567" s="77"/>
      <c r="L1567" s="77"/>
      <c r="M1567" s="77"/>
      <c r="N1567" s="77"/>
      <c r="W1567" s="78"/>
    </row>
    <row r="1568" spans="1:23" s="75" customFormat="1" hidden="1" x14ac:dyDescent="0.35">
      <c r="A1568" s="75">
        <v>1564</v>
      </c>
      <c r="B1568" s="75">
        <v>1565</v>
      </c>
      <c r="C1568">
        <v>146.03255519999999</v>
      </c>
      <c r="D1568">
        <v>-17.525938400000001</v>
      </c>
      <c r="G1568" s="75">
        <v>101</v>
      </c>
      <c r="H1568" s="75" t="s">
        <v>26</v>
      </c>
      <c r="I1568" t="str">
        <f t="shared" si="24"/>
        <v>X</v>
      </c>
      <c r="K1568" s="77"/>
      <c r="L1568" s="77"/>
      <c r="M1568" s="77"/>
      <c r="N1568" s="77"/>
      <c r="W1568" s="78"/>
    </row>
    <row r="1569" spans="1:23" s="75" customFormat="1" hidden="1" x14ac:dyDescent="0.35">
      <c r="A1569" s="75">
        <v>1565</v>
      </c>
      <c r="B1569" s="75">
        <v>1566</v>
      </c>
      <c r="C1569">
        <v>146.0324804</v>
      </c>
      <c r="D1569">
        <v>-17.525995739999999</v>
      </c>
      <c r="G1569" s="75">
        <v>101</v>
      </c>
      <c r="H1569" s="75" t="s">
        <v>26</v>
      </c>
      <c r="I1569" t="str">
        <f t="shared" si="24"/>
        <v>X</v>
      </c>
      <c r="K1569" s="77"/>
      <c r="L1569" s="77"/>
      <c r="M1569" s="77"/>
      <c r="N1569" s="77"/>
      <c r="W1569" s="78"/>
    </row>
    <row r="1570" spans="1:23" s="75" customFormat="1" hidden="1" x14ac:dyDescent="0.35">
      <c r="A1570" s="75">
        <v>1566</v>
      </c>
      <c r="B1570" s="75">
        <v>1567</v>
      </c>
      <c r="C1570">
        <v>146.03240550000001</v>
      </c>
      <c r="D1570">
        <v>-17.526053090000001</v>
      </c>
      <c r="G1570" s="75">
        <v>101</v>
      </c>
      <c r="H1570" s="75" t="s">
        <v>26</v>
      </c>
      <c r="I1570" t="str">
        <f t="shared" si="24"/>
        <v>X</v>
      </c>
      <c r="K1570" s="77"/>
      <c r="L1570" s="77"/>
      <c r="M1570" s="77"/>
      <c r="N1570" s="77"/>
      <c r="W1570" s="78"/>
    </row>
    <row r="1571" spans="1:23" s="75" customFormat="1" hidden="1" x14ac:dyDescent="0.35">
      <c r="A1571" s="75">
        <v>1567</v>
      </c>
      <c r="B1571" s="75">
        <v>1568</v>
      </c>
      <c r="C1571">
        <v>146.03234520000001</v>
      </c>
      <c r="D1571">
        <v>-17.526124880000001</v>
      </c>
      <c r="G1571" s="75">
        <v>101</v>
      </c>
      <c r="H1571" s="75" t="s">
        <v>26</v>
      </c>
      <c r="I1571" t="str">
        <f t="shared" si="24"/>
        <v>X</v>
      </c>
      <c r="K1571" s="77"/>
      <c r="L1571" s="77"/>
      <c r="M1571" s="77"/>
      <c r="N1571" s="77"/>
      <c r="W1571" s="78"/>
    </row>
    <row r="1572" spans="1:23" s="75" customFormat="1" hidden="1" x14ac:dyDescent="0.35">
      <c r="A1572" s="75">
        <v>1568</v>
      </c>
      <c r="B1572" s="75">
        <v>1569</v>
      </c>
      <c r="C1572">
        <v>146.03228859999999</v>
      </c>
      <c r="D1572">
        <v>-17.52620031</v>
      </c>
      <c r="G1572" s="75">
        <v>101</v>
      </c>
      <c r="H1572" s="75" t="s">
        <v>26</v>
      </c>
      <c r="I1572" t="str">
        <f t="shared" si="24"/>
        <v>X</v>
      </c>
      <c r="K1572" s="77"/>
      <c r="L1572" s="77"/>
      <c r="M1572" s="77"/>
      <c r="N1572" s="77"/>
      <c r="W1572" s="78"/>
    </row>
    <row r="1573" spans="1:23" s="75" customFormat="1" hidden="1" x14ac:dyDescent="0.35">
      <c r="A1573" s="75">
        <v>1569</v>
      </c>
      <c r="B1573" s="75">
        <v>1570</v>
      </c>
      <c r="C1573">
        <v>146.03223199999999</v>
      </c>
      <c r="D1573">
        <v>-17.526275739999999</v>
      </c>
      <c r="G1573" s="75">
        <v>101</v>
      </c>
      <c r="H1573" s="75" t="s">
        <v>26</v>
      </c>
      <c r="I1573" t="str">
        <f t="shared" si="24"/>
        <v>X</v>
      </c>
      <c r="K1573" s="77"/>
      <c r="L1573" s="77"/>
      <c r="M1573" s="77"/>
      <c r="N1573" s="77"/>
      <c r="W1573" s="78"/>
    </row>
    <row r="1574" spans="1:23" s="75" customFormat="1" hidden="1" x14ac:dyDescent="0.35">
      <c r="A1574" s="75">
        <v>1570</v>
      </c>
      <c r="B1574" s="75">
        <v>1571</v>
      </c>
      <c r="C1574">
        <v>146.0321754</v>
      </c>
      <c r="D1574">
        <v>-17.526351170000002</v>
      </c>
      <c r="G1574" s="75">
        <v>101</v>
      </c>
      <c r="H1574" s="75" t="s">
        <v>26</v>
      </c>
      <c r="I1574" t="str">
        <f t="shared" si="24"/>
        <v>X</v>
      </c>
      <c r="K1574" s="77"/>
      <c r="L1574" s="77"/>
      <c r="M1574" s="77"/>
      <c r="N1574" s="77"/>
      <c r="W1574" s="78"/>
    </row>
    <row r="1575" spans="1:23" s="75" customFormat="1" hidden="1" x14ac:dyDescent="0.35">
      <c r="A1575" s="75">
        <v>1571</v>
      </c>
      <c r="B1575" s="75">
        <v>1572</v>
      </c>
      <c r="C1575">
        <v>146.03213400000001</v>
      </c>
      <c r="D1575">
        <v>-17.52643518</v>
      </c>
      <c r="G1575" s="75">
        <v>101</v>
      </c>
      <c r="H1575" s="75" t="s">
        <v>26</v>
      </c>
      <c r="I1575" t="str">
        <f t="shared" si="24"/>
        <v>X</v>
      </c>
      <c r="K1575" s="77"/>
      <c r="L1575" s="77"/>
      <c r="M1575" s="77"/>
      <c r="N1575" s="77"/>
      <c r="W1575" s="78"/>
    </row>
    <row r="1576" spans="1:23" s="75" customFormat="1" hidden="1" x14ac:dyDescent="0.35">
      <c r="A1576" s="75">
        <v>1572</v>
      </c>
      <c r="B1576" s="75">
        <v>1573</v>
      </c>
      <c r="C1576">
        <v>146.0320984</v>
      </c>
      <c r="D1576">
        <v>-17.526522530000001</v>
      </c>
      <c r="G1576" s="75">
        <v>101</v>
      </c>
      <c r="H1576" s="75" t="s">
        <v>26</v>
      </c>
      <c r="I1576" t="str">
        <f t="shared" si="24"/>
        <v>X</v>
      </c>
      <c r="K1576" s="77"/>
      <c r="L1576" s="77"/>
      <c r="M1576" s="77"/>
      <c r="N1576" s="77"/>
      <c r="W1576" s="78"/>
    </row>
    <row r="1577" spans="1:23" s="75" customFormat="1" hidden="1" x14ac:dyDescent="0.35">
      <c r="A1577" s="75">
        <v>1573</v>
      </c>
      <c r="B1577" s="75">
        <v>1574</v>
      </c>
      <c r="C1577">
        <v>146.0320629</v>
      </c>
      <c r="D1577">
        <v>-17.526609879999999</v>
      </c>
      <c r="G1577" s="75">
        <v>101</v>
      </c>
      <c r="H1577" s="75" t="s">
        <v>26</v>
      </c>
      <c r="I1577" t="str">
        <f t="shared" si="24"/>
        <v>X</v>
      </c>
      <c r="K1577" s="77"/>
      <c r="L1577" s="77"/>
      <c r="M1577" s="77"/>
      <c r="N1577" s="77"/>
      <c r="W1577" s="78"/>
    </row>
    <row r="1578" spans="1:23" s="75" customFormat="1" hidden="1" x14ac:dyDescent="0.35">
      <c r="A1578" s="75">
        <v>1574</v>
      </c>
      <c r="B1578" s="75">
        <v>1575</v>
      </c>
      <c r="C1578">
        <v>146.0320274</v>
      </c>
      <c r="D1578">
        <v>-17.52669723</v>
      </c>
      <c r="G1578" s="75">
        <v>101</v>
      </c>
      <c r="H1578" s="75" t="s">
        <v>26</v>
      </c>
      <c r="I1578" t="str">
        <f t="shared" si="24"/>
        <v>X</v>
      </c>
      <c r="K1578" s="77"/>
      <c r="L1578" s="77"/>
      <c r="M1578" s="77"/>
      <c r="N1578" s="77"/>
      <c r="W1578" s="78"/>
    </row>
    <row r="1579" spans="1:23" s="75" customFormat="1" hidden="1" x14ac:dyDescent="0.35">
      <c r="A1579" s="75">
        <v>1575</v>
      </c>
      <c r="B1579" s="75">
        <v>1576</v>
      </c>
      <c r="C1579">
        <v>146.03198979999999</v>
      </c>
      <c r="D1579">
        <v>-17.526783720000001</v>
      </c>
      <c r="G1579" s="75">
        <v>101</v>
      </c>
      <c r="H1579" s="75" t="s">
        <v>26</v>
      </c>
      <c r="I1579" t="str">
        <f t="shared" si="24"/>
        <v>X</v>
      </c>
      <c r="K1579" s="77"/>
      <c r="L1579" s="77"/>
      <c r="M1579" s="77"/>
      <c r="N1579" s="77"/>
      <c r="W1579" s="78"/>
    </row>
    <row r="1580" spans="1:23" s="75" customFormat="1" hidden="1" x14ac:dyDescent="0.35">
      <c r="A1580" s="75">
        <v>1576</v>
      </c>
      <c r="B1580" s="75">
        <v>1577</v>
      </c>
      <c r="C1580">
        <v>146.03195199999999</v>
      </c>
      <c r="D1580">
        <v>-17.526870150000001</v>
      </c>
      <c r="G1580" s="75">
        <v>101</v>
      </c>
      <c r="H1580" s="75" t="s">
        <v>26</v>
      </c>
      <c r="I1580" t="str">
        <f t="shared" si="24"/>
        <v>X</v>
      </c>
      <c r="K1580" s="77"/>
      <c r="L1580" s="77"/>
      <c r="M1580" s="77"/>
      <c r="N1580" s="77"/>
      <c r="W1580" s="78"/>
    </row>
    <row r="1581" spans="1:23" s="75" customFormat="1" hidden="1" x14ac:dyDescent="0.35">
      <c r="A1581" s="75">
        <v>1577</v>
      </c>
      <c r="B1581" s="75">
        <v>1578</v>
      </c>
      <c r="C1581">
        <v>146.03191430000001</v>
      </c>
      <c r="D1581">
        <v>-17.526956569999999</v>
      </c>
      <c r="G1581" s="75">
        <v>101</v>
      </c>
      <c r="H1581" s="75" t="s">
        <v>26</v>
      </c>
      <c r="I1581" t="str">
        <f t="shared" si="24"/>
        <v>X</v>
      </c>
      <c r="K1581" s="77"/>
      <c r="L1581" s="77"/>
      <c r="M1581" s="77"/>
      <c r="N1581" s="77"/>
      <c r="W1581" s="78"/>
    </row>
    <row r="1582" spans="1:23" s="75" customFormat="1" hidden="1" x14ac:dyDescent="0.35">
      <c r="A1582" s="75">
        <v>1578</v>
      </c>
      <c r="B1582" s="75">
        <v>1579</v>
      </c>
      <c r="C1582">
        <v>146.0318766</v>
      </c>
      <c r="D1582">
        <v>-17.527042990000002</v>
      </c>
      <c r="G1582" s="75">
        <v>101</v>
      </c>
      <c r="H1582" s="75" t="s">
        <v>26</v>
      </c>
      <c r="I1582" t="str">
        <f t="shared" si="24"/>
        <v>X</v>
      </c>
      <c r="K1582" s="77"/>
      <c r="L1582" s="77"/>
      <c r="M1582" s="77"/>
      <c r="N1582" s="77"/>
      <c r="W1582" s="78"/>
    </row>
    <row r="1583" spans="1:23" s="75" customFormat="1" hidden="1" x14ac:dyDescent="0.35">
      <c r="A1583" s="75">
        <v>1579</v>
      </c>
      <c r="B1583" s="75">
        <v>1580</v>
      </c>
      <c r="C1583">
        <v>146.0318383</v>
      </c>
      <c r="D1583">
        <v>-17.52712914</v>
      </c>
      <c r="G1583" s="75">
        <v>101</v>
      </c>
      <c r="H1583" s="75" t="s">
        <v>26</v>
      </c>
      <c r="I1583" t="str">
        <f t="shared" si="24"/>
        <v>X</v>
      </c>
      <c r="K1583" s="77"/>
      <c r="L1583" s="77"/>
      <c r="M1583" s="77"/>
      <c r="N1583" s="77"/>
      <c r="W1583" s="78"/>
    </row>
    <row r="1584" spans="1:23" s="75" customFormat="1" hidden="1" x14ac:dyDescent="0.35">
      <c r="A1584" s="75">
        <v>1580</v>
      </c>
      <c r="B1584" s="75">
        <v>1581</v>
      </c>
      <c r="C1584">
        <v>146.0317919</v>
      </c>
      <c r="D1584">
        <v>-17.52721124</v>
      </c>
      <c r="G1584" s="75">
        <v>101</v>
      </c>
      <c r="H1584" s="75" t="s">
        <v>26</v>
      </c>
      <c r="I1584" t="str">
        <f t="shared" si="24"/>
        <v>X</v>
      </c>
      <c r="K1584" s="77"/>
      <c r="L1584" s="77"/>
      <c r="M1584" s="77"/>
      <c r="N1584" s="77"/>
      <c r="W1584" s="78"/>
    </row>
    <row r="1585" spans="1:23" s="75" customFormat="1" hidden="1" x14ac:dyDescent="0.35">
      <c r="A1585" s="75">
        <v>1581</v>
      </c>
      <c r="B1585" s="75">
        <v>1582</v>
      </c>
      <c r="C1585">
        <v>146.0317455</v>
      </c>
      <c r="D1585">
        <v>-17.52729334</v>
      </c>
      <c r="G1585" s="75">
        <v>101</v>
      </c>
      <c r="H1585" s="75" t="s">
        <v>26</v>
      </c>
      <c r="I1585" t="str">
        <f t="shared" si="24"/>
        <v>X</v>
      </c>
      <c r="K1585" s="77"/>
      <c r="L1585" s="77"/>
      <c r="M1585" s="77"/>
      <c r="N1585" s="77"/>
      <c r="W1585" s="78"/>
    </row>
    <row r="1586" spans="1:23" s="75" customFormat="1" hidden="1" x14ac:dyDescent="0.35">
      <c r="A1586" s="75">
        <v>1582</v>
      </c>
      <c r="B1586" s="75">
        <v>1583</v>
      </c>
      <c r="C1586">
        <v>146.0316991</v>
      </c>
      <c r="D1586">
        <v>-17.527375450000001</v>
      </c>
      <c r="G1586" s="75">
        <v>101</v>
      </c>
      <c r="H1586" s="75" t="s">
        <v>26</v>
      </c>
      <c r="I1586" t="str">
        <f t="shared" si="24"/>
        <v>X</v>
      </c>
      <c r="K1586" s="77"/>
      <c r="L1586" s="77"/>
      <c r="M1586" s="77"/>
      <c r="N1586" s="77"/>
      <c r="W1586" s="78"/>
    </row>
    <row r="1587" spans="1:23" s="75" customFormat="1" hidden="1" x14ac:dyDescent="0.35">
      <c r="A1587" s="75">
        <v>1583</v>
      </c>
      <c r="B1587" s="75">
        <v>1584</v>
      </c>
      <c r="C1587">
        <v>146.03169410000001</v>
      </c>
      <c r="D1587">
        <v>-17.52746862</v>
      </c>
      <c r="G1587" s="75">
        <v>101</v>
      </c>
      <c r="H1587" s="75" t="s">
        <v>26</v>
      </c>
      <c r="I1587" t="str">
        <f t="shared" si="24"/>
        <v>X</v>
      </c>
      <c r="K1587" s="77"/>
      <c r="L1587" s="77"/>
      <c r="M1587" s="77"/>
      <c r="N1587" s="77"/>
      <c r="W1587" s="78"/>
    </row>
    <row r="1588" spans="1:23" s="75" customFormat="1" hidden="1" x14ac:dyDescent="0.35">
      <c r="A1588" s="75">
        <v>1584</v>
      </c>
      <c r="B1588" s="75">
        <v>1585</v>
      </c>
      <c r="C1588">
        <v>146.03169320000001</v>
      </c>
      <c r="D1588">
        <v>-17.527562920000001</v>
      </c>
      <c r="G1588" s="75">
        <v>101</v>
      </c>
      <c r="H1588" s="75" t="s">
        <v>26</v>
      </c>
      <c r="I1588" t="str">
        <f t="shared" si="24"/>
        <v>X</v>
      </c>
      <c r="K1588" s="77"/>
      <c r="L1588" s="77"/>
      <c r="M1588" s="77"/>
      <c r="N1588" s="77"/>
      <c r="W1588" s="78"/>
    </row>
    <row r="1589" spans="1:23" s="75" customFormat="1" hidden="1" x14ac:dyDescent="0.35">
      <c r="A1589" s="75">
        <v>1585</v>
      </c>
      <c r="B1589" s="75">
        <v>1586</v>
      </c>
      <c r="C1589">
        <v>146.0316924</v>
      </c>
      <c r="D1589">
        <v>-17.527657219999998</v>
      </c>
      <c r="G1589" s="75">
        <v>101</v>
      </c>
      <c r="H1589" s="75" t="s">
        <v>26</v>
      </c>
      <c r="I1589" t="str">
        <f t="shared" si="24"/>
        <v>X</v>
      </c>
      <c r="K1589" s="77"/>
      <c r="L1589" s="77"/>
      <c r="M1589" s="77"/>
      <c r="N1589" s="77"/>
      <c r="W1589" s="78"/>
    </row>
    <row r="1590" spans="1:23" s="75" customFormat="1" hidden="1" x14ac:dyDescent="0.35">
      <c r="A1590" s="75">
        <v>1586</v>
      </c>
      <c r="B1590" s="75">
        <v>1587</v>
      </c>
      <c r="C1590">
        <v>146.03169159999999</v>
      </c>
      <c r="D1590">
        <v>-17.527751519999999</v>
      </c>
      <c r="G1590" s="75">
        <v>101</v>
      </c>
      <c r="H1590" s="75" t="s">
        <v>26</v>
      </c>
      <c r="I1590" t="str">
        <f t="shared" si="24"/>
        <v>X</v>
      </c>
      <c r="K1590" s="77"/>
      <c r="L1590" s="77"/>
      <c r="M1590" s="77"/>
      <c r="N1590" s="77"/>
      <c r="W1590" s="78"/>
    </row>
    <row r="1591" spans="1:23" s="75" customFormat="1" hidden="1" x14ac:dyDescent="0.35">
      <c r="A1591" s="75">
        <v>1587</v>
      </c>
      <c r="B1591" s="75">
        <v>1588</v>
      </c>
      <c r="C1591">
        <v>146.03169080000001</v>
      </c>
      <c r="D1591">
        <v>-17.52784582</v>
      </c>
      <c r="G1591" s="75">
        <v>101</v>
      </c>
      <c r="H1591" s="75" t="s">
        <v>26</v>
      </c>
      <c r="I1591" t="str">
        <f t="shared" si="24"/>
        <v>X</v>
      </c>
      <c r="K1591" s="77"/>
      <c r="L1591" s="77"/>
      <c r="M1591" s="77"/>
      <c r="N1591" s="77"/>
      <c r="W1591" s="78"/>
    </row>
    <row r="1592" spans="1:23" s="75" customFormat="1" hidden="1" x14ac:dyDescent="0.35">
      <c r="A1592" s="75">
        <v>1588</v>
      </c>
      <c r="B1592" s="75">
        <v>1589</v>
      </c>
      <c r="C1592">
        <v>146.0316866</v>
      </c>
      <c r="D1592">
        <v>-17.527939910000001</v>
      </c>
      <c r="G1592" s="75">
        <v>101</v>
      </c>
      <c r="H1592" s="75" t="s">
        <v>26</v>
      </c>
      <c r="I1592" t="str">
        <f t="shared" si="24"/>
        <v>X</v>
      </c>
      <c r="K1592" s="77"/>
      <c r="L1592" s="77"/>
      <c r="M1592" s="77"/>
      <c r="N1592" s="77"/>
      <c r="W1592" s="78"/>
    </row>
    <row r="1593" spans="1:23" s="75" customFormat="1" hidden="1" x14ac:dyDescent="0.35">
      <c r="A1593" s="75">
        <v>1589</v>
      </c>
      <c r="B1593" s="75">
        <v>1590</v>
      </c>
      <c r="C1593">
        <v>146.03167569999999</v>
      </c>
      <c r="D1593">
        <v>-17.528033579999999</v>
      </c>
      <c r="G1593" s="75">
        <v>101</v>
      </c>
      <c r="H1593" s="75" t="s">
        <v>26</v>
      </c>
      <c r="I1593" t="str">
        <f t="shared" si="24"/>
        <v>X</v>
      </c>
      <c r="K1593" s="77"/>
      <c r="L1593" s="77"/>
      <c r="M1593" s="77"/>
      <c r="N1593" s="77"/>
      <c r="W1593" s="78"/>
    </row>
    <row r="1594" spans="1:23" s="75" customFormat="1" hidden="1" x14ac:dyDescent="0.35">
      <c r="A1594" s="75">
        <v>1590</v>
      </c>
      <c r="B1594" s="75">
        <v>1591</v>
      </c>
      <c r="C1594">
        <v>146.03166479999999</v>
      </c>
      <c r="D1594">
        <v>-17.528127250000001</v>
      </c>
      <c r="G1594" s="75">
        <v>101</v>
      </c>
      <c r="H1594" s="75" t="s">
        <v>26</v>
      </c>
      <c r="I1594" t="str">
        <f t="shared" si="24"/>
        <v>X</v>
      </c>
      <c r="K1594" s="77"/>
      <c r="L1594" s="77"/>
      <c r="M1594" s="77"/>
      <c r="N1594" s="77"/>
      <c r="W1594" s="78"/>
    </row>
    <row r="1595" spans="1:23" s="75" customFormat="1" hidden="1" x14ac:dyDescent="0.35">
      <c r="A1595" s="75">
        <v>1591</v>
      </c>
      <c r="B1595" s="75">
        <v>1592</v>
      </c>
      <c r="C1595">
        <v>146.03165390000001</v>
      </c>
      <c r="D1595">
        <v>-17.528220919999999</v>
      </c>
      <c r="G1595" s="75">
        <v>101</v>
      </c>
      <c r="H1595" s="75" t="s">
        <v>26</v>
      </c>
      <c r="I1595" t="str">
        <f t="shared" si="24"/>
        <v>X</v>
      </c>
      <c r="K1595" s="77"/>
      <c r="L1595" s="77"/>
      <c r="M1595" s="77"/>
      <c r="N1595" s="77"/>
      <c r="W1595" s="78"/>
    </row>
    <row r="1596" spans="1:23" s="75" customFormat="1" hidden="1" x14ac:dyDescent="0.35">
      <c r="A1596" s="75">
        <v>1592</v>
      </c>
      <c r="B1596" s="75">
        <v>1593</v>
      </c>
      <c r="C1596">
        <v>146.0316713</v>
      </c>
      <c r="D1596">
        <v>-17.528312400000001</v>
      </c>
      <c r="G1596" s="75">
        <v>101</v>
      </c>
      <c r="H1596" s="75" t="s">
        <v>26</v>
      </c>
      <c r="I1596" t="str">
        <f t="shared" si="24"/>
        <v>X</v>
      </c>
      <c r="K1596" s="77"/>
      <c r="L1596" s="77"/>
      <c r="M1596" s="77"/>
      <c r="N1596" s="77"/>
      <c r="W1596" s="78"/>
    </row>
    <row r="1597" spans="1:23" s="75" customFormat="1" hidden="1" x14ac:dyDescent="0.35">
      <c r="A1597" s="75">
        <v>1593</v>
      </c>
      <c r="B1597" s="75">
        <v>1594</v>
      </c>
      <c r="C1597">
        <v>146.03169650000001</v>
      </c>
      <c r="D1597">
        <v>-17.52840329</v>
      </c>
      <c r="G1597" s="75">
        <v>101</v>
      </c>
      <c r="H1597" s="75" t="s">
        <v>26</v>
      </c>
      <c r="I1597" t="str">
        <f t="shared" si="24"/>
        <v>X</v>
      </c>
      <c r="K1597" s="77"/>
      <c r="L1597" s="77"/>
      <c r="M1597" s="77"/>
      <c r="N1597" s="77"/>
      <c r="W1597" s="78"/>
    </row>
    <row r="1598" spans="1:23" s="75" customFormat="1" hidden="1" x14ac:dyDescent="0.35">
      <c r="A1598" s="75">
        <v>1594</v>
      </c>
      <c r="B1598" s="75">
        <v>1595</v>
      </c>
      <c r="C1598">
        <v>146.0317216</v>
      </c>
      <c r="D1598">
        <v>-17.528494179999999</v>
      </c>
      <c r="G1598" s="75">
        <v>101</v>
      </c>
      <c r="H1598" s="75" t="s">
        <v>26</v>
      </c>
      <c r="I1598" t="str">
        <f t="shared" si="24"/>
        <v>X</v>
      </c>
      <c r="K1598" s="77"/>
      <c r="L1598" s="77"/>
      <c r="M1598" s="77"/>
      <c r="N1598" s="77"/>
      <c r="W1598" s="78"/>
    </row>
    <row r="1599" spans="1:23" s="75" customFormat="1" hidden="1" x14ac:dyDescent="0.35">
      <c r="A1599" s="75">
        <v>1595</v>
      </c>
      <c r="B1599" s="75">
        <v>1596</v>
      </c>
      <c r="C1599">
        <v>146.03174670000001</v>
      </c>
      <c r="D1599">
        <v>-17.528585069999998</v>
      </c>
      <c r="G1599" s="75">
        <v>101</v>
      </c>
      <c r="H1599" s="75" t="s">
        <v>26</v>
      </c>
      <c r="I1599" t="str">
        <f t="shared" si="24"/>
        <v>X</v>
      </c>
      <c r="K1599" s="77"/>
      <c r="L1599" s="77"/>
      <c r="M1599" s="77"/>
      <c r="N1599" s="77"/>
      <c r="W1599" s="78"/>
    </row>
    <row r="1600" spans="1:23" s="75" customFormat="1" hidden="1" x14ac:dyDescent="0.35">
      <c r="A1600" s="75">
        <v>1596</v>
      </c>
      <c r="B1600" s="75">
        <v>1597</v>
      </c>
      <c r="C1600">
        <v>146.0317719</v>
      </c>
      <c r="D1600">
        <v>-17.528675960000001</v>
      </c>
      <c r="G1600" s="75">
        <v>101</v>
      </c>
      <c r="H1600" s="75" t="s">
        <v>26</v>
      </c>
      <c r="I1600" t="str">
        <f t="shared" si="24"/>
        <v>X</v>
      </c>
      <c r="K1600" s="77"/>
      <c r="L1600" s="77"/>
      <c r="M1600" s="77"/>
      <c r="N1600" s="77"/>
      <c r="W1600" s="78"/>
    </row>
    <row r="1601" spans="1:23" s="75" customFormat="1" hidden="1" x14ac:dyDescent="0.35">
      <c r="A1601" s="75">
        <v>1597</v>
      </c>
      <c r="B1601" s="75">
        <v>1598</v>
      </c>
      <c r="C1601">
        <v>146.03179700000001</v>
      </c>
      <c r="D1601">
        <v>-17.52876685</v>
      </c>
      <c r="G1601" s="75">
        <v>101</v>
      </c>
      <c r="H1601" s="75" t="s">
        <v>26</v>
      </c>
      <c r="I1601" t="str">
        <f t="shared" si="24"/>
        <v>X</v>
      </c>
      <c r="K1601" s="77"/>
      <c r="L1601" s="77"/>
      <c r="M1601" s="77"/>
      <c r="N1601" s="77"/>
      <c r="W1601" s="78"/>
    </row>
    <row r="1602" spans="1:23" s="75" customFormat="1" hidden="1" x14ac:dyDescent="0.35">
      <c r="A1602" s="75">
        <v>1598</v>
      </c>
      <c r="B1602" s="75">
        <v>1599</v>
      </c>
      <c r="C1602">
        <v>146.03182219999999</v>
      </c>
      <c r="D1602">
        <v>-17.528857739999999</v>
      </c>
      <c r="G1602" s="75">
        <v>101</v>
      </c>
      <c r="H1602" s="75" t="s">
        <v>26</v>
      </c>
      <c r="I1602" t="str">
        <f t="shared" si="24"/>
        <v>X</v>
      </c>
      <c r="K1602" s="77"/>
      <c r="L1602" s="77"/>
      <c r="M1602" s="77"/>
      <c r="N1602" s="77"/>
      <c r="W1602" s="78"/>
    </row>
    <row r="1603" spans="1:23" s="75" customFormat="1" hidden="1" x14ac:dyDescent="0.35">
      <c r="A1603" s="75">
        <v>1599</v>
      </c>
      <c r="B1603" s="75">
        <v>1600</v>
      </c>
      <c r="C1603">
        <v>146.0318268</v>
      </c>
      <c r="D1603">
        <v>-17.52895152</v>
      </c>
      <c r="G1603" s="75">
        <v>101</v>
      </c>
      <c r="H1603" s="75" t="s">
        <v>26</v>
      </c>
      <c r="I1603" t="str">
        <f t="shared" si="24"/>
        <v>X</v>
      </c>
      <c r="K1603" s="77"/>
      <c r="L1603" s="77"/>
      <c r="M1603" s="77"/>
      <c r="N1603" s="77"/>
      <c r="W1603" s="78"/>
    </row>
    <row r="1604" spans="1:23" s="75" customFormat="1" hidden="1" x14ac:dyDescent="0.35">
      <c r="A1604" s="75">
        <v>1600</v>
      </c>
      <c r="B1604" s="75">
        <v>1601</v>
      </c>
      <c r="C1604">
        <v>146.03182760000001</v>
      </c>
      <c r="D1604">
        <v>-17.52904582</v>
      </c>
      <c r="G1604" s="75">
        <v>101</v>
      </c>
      <c r="H1604" s="75" t="s">
        <v>26</v>
      </c>
      <c r="I1604" t="str">
        <f t="shared" si="24"/>
        <v>X</v>
      </c>
      <c r="K1604" s="77"/>
      <c r="L1604" s="77"/>
      <c r="M1604" s="77"/>
      <c r="N1604" s="77"/>
      <c r="W1604" s="78"/>
    </row>
    <row r="1605" spans="1:23" s="75" customFormat="1" hidden="1" x14ac:dyDescent="0.35">
      <c r="A1605" s="75">
        <v>1601</v>
      </c>
      <c r="B1605" s="75">
        <v>1602</v>
      </c>
      <c r="C1605">
        <v>146.03182849999999</v>
      </c>
      <c r="D1605">
        <v>-17.529140120000001</v>
      </c>
      <c r="G1605" s="75">
        <v>101</v>
      </c>
      <c r="H1605" s="75" t="s">
        <v>26</v>
      </c>
      <c r="I1605" t="str">
        <f t="shared" ref="I1605:I1668" si="25">IF(H1605="X","X",IF(J1605="NA","X",IF(J1605="","X",J1605)))</f>
        <v>X</v>
      </c>
      <c r="K1605" s="77"/>
      <c r="L1605" s="77"/>
      <c r="M1605" s="77"/>
      <c r="N1605" s="77"/>
      <c r="W1605" s="78"/>
    </row>
    <row r="1606" spans="1:23" s="75" customFormat="1" hidden="1" x14ac:dyDescent="0.35">
      <c r="A1606" s="75">
        <v>1602</v>
      </c>
      <c r="B1606" s="75">
        <v>1603</v>
      </c>
      <c r="C1606">
        <v>146.03182939999999</v>
      </c>
      <c r="D1606">
        <v>-17.529234420000002</v>
      </c>
      <c r="G1606" s="75">
        <v>101</v>
      </c>
      <c r="H1606" s="75" t="s">
        <v>26</v>
      </c>
      <c r="I1606" t="str">
        <f t="shared" si="25"/>
        <v>X</v>
      </c>
      <c r="K1606" s="77"/>
      <c r="L1606" s="77"/>
      <c r="M1606" s="77"/>
      <c r="N1606" s="77"/>
      <c r="W1606" s="78"/>
    </row>
    <row r="1607" spans="1:23" s="75" customFormat="1" hidden="1" x14ac:dyDescent="0.35">
      <c r="A1607" s="75">
        <v>1603</v>
      </c>
      <c r="B1607" s="75">
        <v>1604</v>
      </c>
      <c r="C1607">
        <v>146.0318302</v>
      </c>
      <c r="D1607">
        <v>-17.529328719999999</v>
      </c>
      <c r="G1607" s="75">
        <v>101</v>
      </c>
      <c r="H1607" s="75" t="s">
        <v>26</v>
      </c>
      <c r="I1607" t="str">
        <f t="shared" si="25"/>
        <v>X</v>
      </c>
      <c r="K1607" s="77"/>
      <c r="L1607" s="77"/>
      <c r="M1607" s="77"/>
      <c r="N1607" s="77"/>
      <c r="W1607" s="78"/>
    </row>
    <row r="1608" spans="1:23" s="75" customFormat="1" hidden="1" x14ac:dyDescent="0.35">
      <c r="A1608" s="75">
        <v>1604</v>
      </c>
      <c r="B1608" s="75">
        <v>1605</v>
      </c>
      <c r="C1608">
        <v>146.03183110000001</v>
      </c>
      <c r="D1608">
        <v>-17.529423019999999</v>
      </c>
      <c r="G1608" s="75">
        <v>101</v>
      </c>
      <c r="H1608" s="75" t="s">
        <v>26</v>
      </c>
      <c r="I1608" t="str">
        <f t="shared" si="25"/>
        <v>X</v>
      </c>
      <c r="K1608" s="77"/>
      <c r="L1608" s="77"/>
      <c r="M1608" s="77"/>
      <c r="N1608" s="77"/>
      <c r="W1608" s="78"/>
    </row>
    <row r="1609" spans="1:23" s="75" customFormat="1" hidden="1" x14ac:dyDescent="0.35">
      <c r="A1609" s="75">
        <v>1605</v>
      </c>
      <c r="B1609" s="75">
        <v>1606</v>
      </c>
      <c r="C1609">
        <v>146.03183189999999</v>
      </c>
      <c r="D1609">
        <v>-17.52951732</v>
      </c>
      <c r="G1609" s="75">
        <v>101</v>
      </c>
      <c r="H1609" s="75" t="s">
        <v>26</v>
      </c>
      <c r="I1609" t="str">
        <f t="shared" si="25"/>
        <v>X</v>
      </c>
      <c r="K1609" s="77"/>
      <c r="L1609" s="77"/>
      <c r="M1609" s="77"/>
      <c r="N1609" s="77"/>
      <c r="W1609" s="78"/>
    </row>
    <row r="1610" spans="1:23" s="75" customFormat="1" hidden="1" x14ac:dyDescent="0.35">
      <c r="A1610" s="75">
        <v>1606</v>
      </c>
      <c r="B1610" s="75">
        <v>1607</v>
      </c>
      <c r="C1610">
        <v>146.0318316</v>
      </c>
      <c r="D1610">
        <v>-17.529611620000001</v>
      </c>
      <c r="G1610" s="75">
        <v>101</v>
      </c>
      <c r="H1610" s="75" t="s">
        <v>26</v>
      </c>
      <c r="I1610" t="str">
        <f t="shared" si="25"/>
        <v>X</v>
      </c>
      <c r="K1610" s="77"/>
      <c r="L1610" s="77"/>
      <c r="M1610" s="77"/>
      <c r="N1610" s="77"/>
      <c r="W1610" s="78"/>
    </row>
    <row r="1611" spans="1:23" s="75" customFormat="1" hidden="1" x14ac:dyDescent="0.35">
      <c r="A1611" s="75">
        <v>1607</v>
      </c>
      <c r="B1611" s="75">
        <v>1608</v>
      </c>
      <c r="C1611">
        <v>146.03183079999999</v>
      </c>
      <c r="D1611">
        <v>-17.529705920000001</v>
      </c>
      <c r="G1611" s="75">
        <v>101</v>
      </c>
      <c r="H1611" s="75" t="s">
        <v>26</v>
      </c>
      <c r="I1611" t="str">
        <f t="shared" si="25"/>
        <v>X</v>
      </c>
      <c r="K1611" s="77"/>
      <c r="L1611" s="77"/>
      <c r="M1611" s="77"/>
      <c r="N1611" s="77"/>
      <c r="W1611" s="78"/>
    </row>
    <row r="1612" spans="1:23" s="75" customFormat="1" hidden="1" x14ac:dyDescent="0.35">
      <c r="A1612" s="75">
        <v>1608</v>
      </c>
      <c r="B1612" s="75">
        <v>1609</v>
      </c>
      <c r="C1612">
        <v>146.03183000000001</v>
      </c>
      <c r="D1612">
        <v>-17.529800219999998</v>
      </c>
      <c r="G1612" s="75">
        <v>101</v>
      </c>
      <c r="H1612" s="75" t="s">
        <v>26</v>
      </c>
      <c r="I1612" t="str">
        <f t="shared" si="25"/>
        <v>X</v>
      </c>
      <c r="K1612" s="77"/>
      <c r="L1612" s="77"/>
      <c r="M1612" s="77"/>
      <c r="N1612" s="77"/>
      <c r="W1612" s="78"/>
    </row>
    <row r="1613" spans="1:23" s="75" customFormat="1" hidden="1" x14ac:dyDescent="0.35">
      <c r="A1613" s="75">
        <v>1609</v>
      </c>
      <c r="B1613" s="75">
        <v>1610</v>
      </c>
      <c r="C1613">
        <v>146.03182910000001</v>
      </c>
      <c r="D1613">
        <v>-17.529894519999999</v>
      </c>
      <c r="G1613" s="75">
        <v>101</v>
      </c>
      <c r="H1613" s="75" t="s">
        <v>26</v>
      </c>
      <c r="I1613" t="str">
        <f t="shared" si="25"/>
        <v>X</v>
      </c>
      <c r="K1613" s="77"/>
      <c r="L1613" s="77"/>
      <c r="M1613" s="77"/>
      <c r="N1613" s="77"/>
      <c r="W1613" s="78"/>
    </row>
    <row r="1614" spans="1:23" s="75" customFormat="1" hidden="1" x14ac:dyDescent="0.35">
      <c r="A1614" s="75">
        <v>1610</v>
      </c>
      <c r="B1614" s="75">
        <v>1611</v>
      </c>
      <c r="C1614">
        <v>146.0318283</v>
      </c>
      <c r="D1614">
        <v>-17.52998882</v>
      </c>
      <c r="G1614" s="75">
        <v>101</v>
      </c>
      <c r="H1614" s="75" t="s">
        <v>26</v>
      </c>
      <c r="I1614" t="str">
        <f t="shared" si="25"/>
        <v>X</v>
      </c>
      <c r="K1614" s="77"/>
      <c r="L1614" s="77"/>
      <c r="M1614" s="77"/>
      <c r="N1614" s="77"/>
      <c r="W1614" s="78"/>
    </row>
    <row r="1615" spans="1:23" s="75" customFormat="1" hidden="1" x14ac:dyDescent="0.35">
      <c r="A1615" s="75">
        <v>1611</v>
      </c>
      <c r="B1615" s="75">
        <v>1612</v>
      </c>
      <c r="C1615">
        <v>146.03183000000001</v>
      </c>
      <c r="D1615">
        <v>-17.53008303</v>
      </c>
      <c r="G1615" s="75">
        <v>101</v>
      </c>
      <c r="H1615" s="75" t="s">
        <v>26</v>
      </c>
      <c r="I1615" t="str">
        <f t="shared" si="25"/>
        <v>X</v>
      </c>
      <c r="K1615" s="77"/>
      <c r="L1615" s="77"/>
      <c r="M1615" s="77"/>
      <c r="N1615" s="77"/>
      <c r="W1615" s="78"/>
    </row>
    <row r="1616" spans="1:23" s="75" customFormat="1" hidden="1" x14ac:dyDescent="0.35">
      <c r="A1616" s="75">
        <v>1612</v>
      </c>
      <c r="B1616" s="75">
        <v>1613</v>
      </c>
      <c r="C1616">
        <v>146.0318369</v>
      </c>
      <c r="D1616">
        <v>-17.530177080000001</v>
      </c>
      <c r="G1616" s="75">
        <v>101</v>
      </c>
      <c r="H1616" s="75" t="s">
        <v>26</v>
      </c>
      <c r="I1616" t="str">
        <f t="shared" si="25"/>
        <v>X</v>
      </c>
      <c r="K1616" s="77"/>
      <c r="L1616" s="77"/>
      <c r="M1616" s="77"/>
      <c r="N1616" s="77"/>
      <c r="W1616" s="78"/>
    </row>
    <row r="1617" spans="1:23" s="75" customFormat="1" hidden="1" x14ac:dyDescent="0.35">
      <c r="A1617" s="75">
        <v>1613</v>
      </c>
      <c r="B1617" s="75">
        <v>1614</v>
      </c>
      <c r="C1617">
        <v>146.03184379999999</v>
      </c>
      <c r="D1617">
        <v>-17.53027114</v>
      </c>
      <c r="G1617" s="75">
        <v>101</v>
      </c>
      <c r="H1617" s="75" t="s">
        <v>26</v>
      </c>
      <c r="I1617" t="str">
        <f t="shared" si="25"/>
        <v>X</v>
      </c>
      <c r="K1617" s="77"/>
      <c r="L1617" s="77"/>
      <c r="M1617" s="77"/>
      <c r="N1617" s="77"/>
      <c r="W1617" s="78"/>
    </row>
    <row r="1618" spans="1:23" s="75" customFormat="1" hidden="1" x14ac:dyDescent="0.35">
      <c r="A1618" s="75">
        <v>1614</v>
      </c>
      <c r="B1618" s="75">
        <v>1615</v>
      </c>
      <c r="C1618">
        <v>146.03185070000001</v>
      </c>
      <c r="D1618">
        <v>-17.530365190000001</v>
      </c>
      <c r="G1618" s="75">
        <v>101</v>
      </c>
      <c r="H1618" s="75" t="s">
        <v>26</v>
      </c>
      <c r="I1618" t="str">
        <f t="shared" si="25"/>
        <v>X</v>
      </c>
      <c r="K1618" s="77"/>
      <c r="L1618" s="77"/>
      <c r="M1618" s="77"/>
      <c r="N1618" s="77"/>
      <c r="W1618" s="78"/>
    </row>
    <row r="1619" spans="1:23" s="75" customFormat="1" hidden="1" x14ac:dyDescent="0.35">
      <c r="A1619" s="75">
        <v>1615</v>
      </c>
      <c r="B1619" s="75">
        <v>1616</v>
      </c>
      <c r="C1619">
        <v>146.0318576</v>
      </c>
      <c r="D1619">
        <v>-17.530459239999999</v>
      </c>
      <c r="G1619" s="75">
        <v>101</v>
      </c>
      <c r="H1619" s="75" t="s">
        <v>26</v>
      </c>
      <c r="I1619" t="str">
        <f t="shared" si="25"/>
        <v>X</v>
      </c>
      <c r="K1619" s="77"/>
      <c r="L1619" s="77"/>
      <c r="M1619" s="77"/>
      <c r="N1619" s="77"/>
      <c r="W1619" s="78"/>
    </row>
    <row r="1620" spans="1:23" s="75" customFormat="1" hidden="1" x14ac:dyDescent="0.35">
      <c r="A1620" s="75">
        <v>1616</v>
      </c>
      <c r="B1620" s="75">
        <v>1617</v>
      </c>
      <c r="C1620">
        <v>146.03186819999999</v>
      </c>
      <c r="D1620">
        <v>-17.5305529</v>
      </c>
      <c r="G1620" s="75">
        <v>101</v>
      </c>
      <c r="H1620" s="75" t="s">
        <v>26</v>
      </c>
      <c r="I1620" t="str">
        <f t="shared" si="25"/>
        <v>X</v>
      </c>
      <c r="K1620" s="77"/>
      <c r="L1620" s="77"/>
      <c r="M1620" s="77"/>
      <c r="N1620" s="77"/>
      <c r="W1620" s="78"/>
    </row>
    <row r="1621" spans="1:23" s="75" customFormat="1" hidden="1" x14ac:dyDescent="0.35">
      <c r="A1621" s="75">
        <v>1617</v>
      </c>
      <c r="B1621" s="75">
        <v>1618</v>
      </c>
      <c r="C1621">
        <v>146.031881</v>
      </c>
      <c r="D1621">
        <v>-17.53064633</v>
      </c>
      <c r="G1621" s="75">
        <v>101</v>
      </c>
      <c r="H1621" s="75" t="s">
        <v>26</v>
      </c>
      <c r="I1621" t="str">
        <f t="shared" si="25"/>
        <v>X</v>
      </c>
      <c r="K1621" s="77"/>
      <c r="L1621" s="77"/>
      <c r="M1621" s="77"/>
      <c r="N1621" s="77"/>
      <c r="W1621" s="78"/>
    </row>
    <row r="1622" spans="1:23" s="75" customFormat="1" hidden="1" x14ac:dyDescent="0.35">
      <c r="A1622" s="75">
        <v>1618</v>
      </c>
      <c r="B1622" s="75">
        <v>1619</v>
      </c>
      <c r="C1622">
        <v>146.03189370000001</v>
      </c>
      <c r="D1622">
        <v>-17.53073977</v>
      </c>
      <c r="G1622" s="75">
        <v>101</v>
      </c>
      <c r="H1622" s="75" t="s">
        <v>26</v>
      </c>
      <c r="I1622" t="str">
        <f t="shared" si="25"/>
        <v>X</v>
      </c>
      <c r="K1622" s="77"/>
      <c r="L1622" s="77"/>
      <c r="M1622" s="77"/>
      <c r="N1622" s="77"/>
      <c r="W1622" s="78"/>
    </row>
    <row r="1623" spans="1:23" s="75" customFormat="1" hidden="1" x14ac:dyDescent="0.35">
      <c r="A1623" s="75">
        <v>1619</v>
      </c>
      <c r="B1623" s="75">
        <v>1620</v>
      </c>
      <c r="C1623">
        <v>146.03190649999999</v>
      </c>
      <c r="D1623">
        <v>-17.530833210000001</v>
      </c>
      <c r="G1623" s="75">
        <v>101</v>
      </c>
      <c r="H1623" s="75" t="s">
        <v>26</v>
      </c>
      <c r="I1623" t="str">
        <f t="shared" si="25"/>
        <v>X</v>
      </c>
      <c r="K1623" s="77"/>
      <c r="L1623" s="77"/>
      <c r="M1623" s="77"/>
      <c r="N1623" s="77"/>
      <c r="W1623" s="78"/>
    </row>
    <row r="1624" spans="1:23" s="75" customFormat="1" hidden="1" x14ac:dyDescent="0.35">
      <c r="A1624" s="75">
        <v>1620</v>
      </c>
      <c r="B1624" s="75">
        <v>1621</v>
      </c>
      <c r="C1624">
        <v>146.0319193</v>
      </c>
      <c r="D1624">
        <v>-17.530926640000001</v>
      </c>
      <c r="G1624" s="75">
        <v>101</v>
      </c>
      <c r="H1624" s="75" t="s">
        <v>26</v>
      </c>
      <c r="I1624" t="str">
        <f t="shared" si="25"/>
        <v>X</v>
      </c>
      <c r="K1624" s="77"/>
      <c r="L1624" s="77"/>
      <c r="M1624" s="77"/>
      <c r="N1624" s="77"/>
      <c r="W1624" s="78"/>
    </row>
    <row r="1625" spans="1:23" s="75" customFormat="1" hidden="1" x14ac:dyDescent="0.35">
      <c r="A1625" s="75">
        <v>1621</v>
      </c>
      <c r="B1625" s="75">
        <v>1622</v>
      </c>
      <c r="C1625">
        <v>146.0319298</v>
      </c>
      <c r="D1625">
        <v>-17.531020300000002</v>
      </c>
      <c r="G1625" s="75">
        <v>101</v>
      </c>
      <c r="H1625" s="75" t="s">
        <v>26</v>
      </c>
      <c r="I1625" t="str">
        <f t="shared" si="25"/>
        <v>X</v>
      </c>
      <c r="K1625" s="77"/>
      <c r="L1625" s="77"/>
      <c r="M1625" s="77"/>
      <c r="N1625" s="77"/>
      <c r="W1625" s="78"/>
    </row>
    <row r="1626" spans="1:23" s="75" customFormat="1" hidden="1" x14ac:dyDescent="0.35">
      <c r="A1626" s="75">
        <v>1622</v>
      </c>
      <c r="B1626" s="75">
        <v>1623</v>
      </c>
      <c r="C1626">
        <v>146.03193630000001</v>
      </c>
      <c r="D1626">
        <v>-17.531114389999999</v>
      </c>
      <c r="G1626" s="75">
        <v>101</v>
      </c>
      <c r="H1626" s="75" t="s">
        <v>26</v>
      </c>
      <c r="I1626" t="str">
        <f t="shared" si="25"/>
        <v>X</v>
      </c>
      <c r="K1626" s="77"/>
      <c r="L1626" s="77"/>
      <c r="M1626" s="77"/>
      <c r="N1626" s="77"/>
      <c r="W1626" s="78"/>
    </row>
    <row r="1627" spans="1:23" s="75" customFormat="1" hidden="1" x14ac:dyDescent="0.35">
      <c r="A1627" s="75">
        <v>1623</v>
      </c>
      <c r="B1627" s="75">
        <v>1624</v>
      </c>
      <c r="C1627">
        <v>146.0319427</v>
      </c>
      <c r="D1627">
        <v>-17.531208469999999</v>
      </c>
      <c r="G1627" s="75">
        <v>101</v>
      </c>
      <c r="H1627" s="75" t="s">
        <v>26</v>
      </c>
      <c r="I1627" t="str">
        <f t="shared" si="25"/>
        <v>X</v>
      </c>
      <c r="K1627" s="77"/>
      <c r="L1627" s="77"/>
      <c r="M1627" s="77"/>
      <c r="N1627" s="77"/>
      <c r="W1627" s="78"/>
    </row>
    <row r="1628" spans="1:23" s="75" customFormat="1" hidden="1" x14ac:dyDescent="0.35">
      <c r="A1628" s="75">
        <v>1624</v>
      </c>
      <c r="B1628" s="75">
        <v>1625</v>
      </c>
      <c r="C1628">
        <v>146.03194920000001</v>
      </c>
      <c r="D1628">
        <v>-17.531302549999999</v>
      </c>
      <c r="G1628" s="75">
        <v>101</v>
      </c>
      <c r="H1628" s="75" t="s">
        <v>26</v>
      </c>
      <c r="I1628" t="str">
        <f t="shared" si="25"/>
        <v>X</v>
      </c>
      <c r="K1628" s="77"/>
      <c r="L1628" s="77"/>
      <c r="M1628" s="77"/>
      <c r="N1628" s="77"/>
      <c r="W1628" s="78"/>
    </row>
    <row r="1629" spans="1:23" s="75" customFormat="1" hidden="1" x14ac:dyDescent="0.35">
      <c r="A1629" s="75">
        <v>1625</v>
      </c>
      <c r="B1629" s="75">
        <v>1626</v>
      </c>
      <c r="C1629">
        <v>146.0319556</v>
      </c>
      <c r="D1629">
        <v>-17.53139663</v>
      </c>
      <c r="G1629" s="75">
        <v>101</v>
      </c>
      <c r="H1629" s="75" t="s">
        <v>26</v>
      </c>
      <c r="I1629" t="str">
        <f t="shared" si="25"/>
        <v>X</v>
      </c>
      <c r="K1629" s="77"/>
      <c r="L1629" s="77"/>
      <c r="M1629" s="77"/>
      <c r="N1629" s="77"/>
      <c r="W1629" s="78"/>
    </row>
    <row r="1630" spans="1:23" s="75" customFormat="1" hidden="1" x14ac:dyDescent="0.35">
      <c r="A1630" s="75">
        <v>1626</v>
      </c>
      <c r="B1630" s="75">
        <v>1627</v>
      </c>
      <c r="C1630">
        <v>146.03196209999999</v>
      </c>
      <c r="D1630">
        <v>-17.531490720000001</v>
      </c>
      <c r="G1630" s="75">
        <v>101</v>
      </c>
      <c r="H1630" s="75" t="s">
        <v>26</v>
      </c>
      <c r="I1630" t="str">
        <f t="shared" si="25"/>
        <v>X</v>
      </c>
      <c r="K1630" s="77"/>
      <c r="L1630" s="77"/>
      <c r="M1630" s="77"/>
      <c r="N1630" s="77"/>
      <c r="W1630" s="78"/>
    </row>
    <row r="1631" spans="1:23" s="75" customFormat="1" hidden="1" x14ac:dyDescent="0.35">
      <c r="A1631" s="75">
        <v>1627</v>
      </c>
      <c r="B1631" s="75">
        <v>1628</v>
      </c>
      <c r="C1631">
        <v>146.03190359999999</v>
      </c>
      <c r="D1631">
        <v>-17.531518349999999</v>
      </c>
      <c r="G1631" s="75">
        <v>101</v>
      </c>
      <c r="H1631" s="75" t="s">
        <v>26</v>
      </c>
      <c r="I1631" t="str">
        <f t="shared" si="25"/>
        <v>X</v>
      </c>
      <c r="K1631" s="77"/>
      <c r="L1631" s="77"/>
      <c r="M1631" s="77"/>
      <c r="N1631" s="77"/>
      <c r="W1631" s="78"/>
    </row>
    <row r="1632" spans="1:23" s="75" customFormat="1" hidden="1" x14ac:dyDescent="0.35">
      <c r="A1632" s="75">
        <v>1628</v>
      </c>
      <c r="B1632" s="75">
        <v>1629</v>
      </c>
      <c r="C1632">
        <v>146.0318221</v>
      </c>
      <c r="D1632">
        <v>-17.53156564</v>
      </c>
      <c r="G1632" s="75">
        <v>101</v>
      </c>
      <c r="H1632" s="75" t="s">
        <v>26</v>
      </c>
      <c r="I1632" t="str">
        <f t="shared" si="25"/>
        <v>X</v>
      </c>
      <c r="K1632" s="77"/>
      <c r="L1632" s="77"/>
      <c r="M1632" s="77"/>
      <c r="N1632" s="77"/>
      <c r="W1632" s="78"/>
    </row>
    <row r="1633" spans="1:23" s="75" customFormat="1" hidden="1" x14ac:dyDescent="0.35">
      <c r="A1633" s="75">
        <v>1629</v>
      </c>
      <c r="B1633" s="75">
        <v>1630</v>
      </c>
      <c r="C1633">
        <v>146.03174050000001</v>
      </c>
      <c r="D1633">
        <v>-17.531612930000001</v>
      </c>
      <c r="G1633" s="75">
        <v>101</v>
      </c>
      <c r="H1633" s="75" t="s">
        <v>26</v>
      </c>
      <c r="I1633" t="str">
        <f t="shared" si="25"/>
        <v>X</v>
      </c>
      <c r="K1633" s="77"/>
      <c r="L1633" s="77"/>
      <c r="M1633" s="77"/>
      <c r="N1633" s="77"/>
      <c r="W1633" s="78"/>
    </row>
    <row r="1634" spans="1:23" s="75" customFormat="1" hidden="1" x14ac:dyDescent="0.35">
      <c r="A1634" s="75">
        <v>1630</v>
      </c>
      <c r="B1634" s="75">
        <v>1631</v>
      </c>
      <c r="C1634">
        <v>146.0316589</v>
      </c>
      <c r="D1634">
        <v>-17.531660219999999</v>
      </c>
      <c r="G1634" s="75">
        <v>101</v>
      </c>
      <c r="H1634" s="75" t="s">
        <v>26</v>
      </c>
      <c r="I1634" t="str">
        <f t="shared" si="25"/>
        <v>X</v>
      </c>
      <c r="K1634" s="77"/>
      <c r="L1634" s="77"/>
      <c r="M1634" s="77"/>
      <c r="N1634" s="77"/>
      <c r="W1634" s="78"/>
    </row>
    <row r="1635" spans="1:23" s="75" customFormat="1" hidden="1" x14ac:dyDescent="0.35">
      <c r="A1635" s="75">
        <v>1631</v>
      </c>
      <c r="B1635" s="75">
        <v>1632</v>
      </c>
      <c r="C1635">
        <v>146.0315678</v>
      </c>
      <c r="D1635">
        <v>-17.53167719</v>
      </c>
      <c r="G1635" s="75">
        <v>101</v>
      </c>
      <c r="H1635" s="75" t="s">
        <v>26</v>
      </c>
      <c r="I1635" t="str">
        <f t="shared" si="25"/>
        <v>X</v>
      </c>
      <c r="K1635" s="77"/>
      <c r="L1635" s="77"/>
      <c r="M1635" s="77"/>
      <c r="N1635" s="77"/>
      <c r="W1635" s="78"/>
    </row>
    <row r="1636" spans="1:23" s="75" customFormat="1" hidden="1" x14ac:dyDescent="0.35">
      <c r="A1636" s="75">
        <v>1632</v>
      </c>
      <c r="B1636" s="75">
        <v>1633</v>
      </c>
      <c r="C1636">
        <v>146.03147379999999</v>
      </c>
      <c r="D1636">
        <v>-17.531684930000001</v>
      </c>
      <c r="G1636" s="75">
        <v>101</v>
      </c>
      <c r="H1636" s="75" t="s">
        <v>26</v>
      </c>
      <c r="I1636" t="str">
        <f t="shared" si="25"/>
        <v>X</v>
      </c>
      <c r="K1636" s="77"/>
      <c r="L1636" s="77"/>
      <c r="M1636" s="77"/>
      <c r="N1636" s="77"/>
      <c r="W1636" s="78"/>
    </row>
    <row r="1637" spans="1:23" s="75" customFormat="1" hidden="1" x14ac:dyDescent="0.35">
      <c r="A1637" s="75">
        <v>1633</v>
      </c>
      <c r="B1637" s="75">
        <v>1634</v>
      </c>
      <c r="C1637">
        <v>146.0313798</v>
      </c>
      <c r="D1637">
        <v>-17.531692660000001</v>
      </c>
      <c r="G1637" s="75">
        <v>101</v>
      </c>
      <c r="H1637" s="75" t="s">
        <v>26</v>
      </c>
      <c r="I1637" t="str">
        <f t="shared" si="25"/>
        <v>X</v>
      </c>
      <c r="K1637" s="77"/>
      <c r="L1637" s="77"/>
      <c r="M1637" s="77"/>
      <c r="N1637" s="77"/>
      <c r="W1637" s="78"/>
    </row>
    <row r="1638" spans="1:23" s="75" customFormat="1" hidden="1" x14ac:dyDescent="0.35">
      <c r="A1638" s="75">
        <v>1634</v>
      </c>
      <c r="B1638" s="75">
        <v>1635</v>
      </c>
      <c r="C1638">
        <v>146.03128580000001</v>
      </c>
      <c r="D1638">
        <v>-17.531700399999998</v>
      </c>
      <c r="G1638" s="75">
        <v>101</v>
      </c>
      <c r="H1638" s="75" t="s">
        <v>26</v>
      </c>
      <c r="I1638" t="str">
        <f t="shared" si="25"/>
        <v>X</v>
      </c>
      <c r="K1638" s="77"/>
      <c r="L1638" s="77"/>
      <c r="M1638" s="77"/>
      <c r="N1638" s="77"/>
      <c r="W1638" s="78"/>
    </row>
    <row r="1639" spans="1:23" s="75" customFormat="1" hidden="1" x14ac:dyDescent="0.35">
      <c r="A1639" s="75">
        <v>1635</v>
      </c>
      <c r="B1639" s="75">
        <v>1636</v>
      </c>
      <c r="C1639">
        <v>146.03119179999999</v>
      </c>
      <c r="D1639">
        <v>-17.531708129999998</v>
      </c>
      <c r="G1639" s="75">
        <v>101</v>
      </c>
      <c r="H1639" s="75" t="s">
        <v>26</v>
      </c>
      <c r="I1639" t="str">
        <f t="shared" si="25"/>
        <v>X</v>
      </c>
      <c r="K1639" s="77"/>
      <c r="L1639" s="77"/>
      <c r="M1639" s="77"/>
      <c r="N1639" s="77"/>
      <c r="W1639" s="78"/>
    </row>
    <row r="1640" spans="1:23" s="75" customFormat="1" hidden="1" x14ac:dyDescent="0.35">
      <c r="A1640" s="75">
        <v>1636</v>
      </c>
      <c r="B1640" s="75">
        <v>1637</v>
      </c>
      <c r="C1640">
        <v>146.0310982</v>
      </c>
      <c r="D1640">
        <v>-17.531707359999999</v>
      </c>
      <c r="G1640" s="75">
        <v>101</v>
      </c>
      <c r="H1640" s="75" t="s">
        <v>26</v>
      </c>
      <c r="I1640" t="str">
        <f t="shared" si="25"/>
        <v>X</v>
      </c>
      <c r="K1640" s="77"/>
      <c r="L1640" s="77"/>
      <c r="M1640" s="77"/>
      <c r="N1640" s="77"/>
      <c r="W1640" s="78"/>
    </row>
    <row r="1641" spans="1:23" s="75" customFormat="1" hidden="1" x14ac:dyDescent="0.35">
      <c r="A1641" s="75">
        <v>1637</v>
      </c>
      <c r="B1641" s="75">
        <v>1638</v>
      </c>
      <c r="C1641">
        <v>146.03100520000001</v>
      </c>
      <c r="D1641">
        <v>-17.531691890000001</v>
      </c>
      <c r="G1641" s="75">
        <v>101</v>
      </c>
      <c r="H1641" s="75" t="s">
        <v>26</v>
      </c>
      <c r="I1641" t="str">
        <f t="shared" si="25"/>
        <v>X</v>
      </c>
      <c r="K1641" s="77"/>
      <c r="L1641" s="77"/>
      <c r="M1641" s="77"/>
      <c r="N1641" s="77"/>
      <c r="W1641" s="78"/>
    </row>
    <row r="1642" spans="1:23" s="75" customFormat="1" hidden="1" x14ac:dyDescent="0.35">
      <c r="A1642" s="75">
        <v>1638</v>
      </c>
      <c r="B1642" s="75">
        <v>1639</v>
      </c>
      <c r="C1642">
        <v>146.03091219999999</v>
      </c>
      <c r="D1642">
        <v>-17.531676409999999</v>
      </c>
      <c r="G1642" s="75">
        <v>101</v>
      </c>
      <c r="H1642" s="75" t="s">
        <v>26</v>
      </c>
      <c r="I1642" t="str">
        <f t="shared" si="25"/>
        <v>X</v>
      </c>
      <c r="K1642" s="77"/>
      <c r="L1642" s="77"/>
      <c r="M1642" s="77"/>
      <c r="N1642" s="77"/>
      <c r="W1642" s="78"/>
    </row>
    <row r="1643" spans="1:23" s="75" customFormat="1" hidden="1" x14ac:dyDescent="0.35">
      <c r="A1643" s="75">
        <v>1639</v>
      </c>
      <c r="B1643" s="75">
        <v>1640</v>
      </c>
      <c r="C1643">
        <v>146.0308191</v>
      </c>
      <c r="D1643">
        <v>-17.531660939999998</v>
      </c>
      <c r="G1643" s="75">
        <v>101</v>
      </c>
      <c r="H1643" s="75" t="s">
        <v>26</v>
      </c>
      <c r="I1643" t="str">
        <f t="shared" si="25"/>
        <v>X</v>
      </c>
      <c r="K1643" s="77"/>
      <c r="L1643" s="77"/>
      <c r="M1643" s="77"/>
      <c r="N1643" s="77"/>
      <c r="W1643" s="78"/>
    </row>
    <row r="1644" spans="1:23" s="75" customFormat="1" hidden="1" x14ac:dyDescent="0.35">
      <c r="A1644" s="75">
        <v>1640</v>
      </c>
      <c r="B1644" s="75">
        <v>1641</v>
      </c>
      <c r="C1644">
        <v>146.03072610000001</v>
      </c>
      <c r="D1644">
        <v>-17.531645470000001</v>
      </c>
      <c r="G1644" s="75">
        <v>101</v>
      </c>
      <c r="H1644" s="75" t="s">
        <v>26</v>
      </c>
      <c r="I1644" t="str">
        <f t="shared" si="25"/>
        <v>X</v>
      </c>
      <c r="K1644" s="77"/>
      <c r="L1644" s="77"/>
      <c r="M1644" s="77"/>
      <c r="N1644" s="77"/>
      <c r="W1644" s="78"/>
    </row>
    <row r="1645" spans="1:23" s="75" customFormat="1" hidden="1" x14ac:dyDescent="0.35">
      <c r="A1645" s="75">
        <v>1641</v>
      </c>
      <c r="B1645" s="75">
        <v>1642</v>
      </c>
      <c r="C1645">
        <v>146.03064760000001</v>
      </c>
      <c r="D1645">
        <v>-17.531597519999998</v>
      </c>
      <c r="G1645" s="75">
        <v>101</v>
      </c>
      <c r="H1645" s="75" t="s">
        <v>26</v>
      </c>
      <c r="I1645" t="str">
        <f t="shared" si="25"/>
        <v>X</v>
      </c>
      <c r="K1645" s="77"/>
      <c r="L1645" s="77"/>
      <c r="M1645" s="77"/>
      <c r="N1645" s="77"/>
      <c r="W1645" s="78"/>
    </row>
    <row r="1646" spans="1:23" s="75" customFormat="1" hidden="1" x14ac:dyDescent="0.35">
      <c r="A1646" s="75">
        <v>1642</v>
      </c>
      <c r="B1646" s="75">
        <v>1643</v>
      </c>
      <c r="C1646">
        <v>146.03057419999999</v>
      </c>
      <c r="D1646">
        <v>-17.531538390000001</v>
      </c>
      <c r="G1646" s="75">
        <v>101</v>
      </c>
      <c r="H1646" s="75" t="s">
        <v>26</v>
      </c>
      <c r="I1646" t="str">
        <f t="shared" si="25"/>
        <v>X</v>
      </c>
      <c r="K1646" s="77"/>
      <c r="L1646" s="77"/>
      <c r="M1646" s="77"/>
      <c r="N1646" s="77"/>
      <c r="W1646" s="78"/>
    </row>
    <row r="1647" spans="1:23" s="75" customFormat="1" hidden="1" x14ac:dyDescent="0.35">
      <c r="A1647" s="75">
        <v>1643</v>
      </c>
      <c r="B1647" s="75">
        <v>1644</v>
      </c>
      <c r="C1647">
        <v>146.0305007</v>
      </c>
      <c r="D1647">
        <v>-17.531479269999998</v>
      </c>
      <c r="G1647" s="75">
        <v>101</v>
      </c>
      <c r="H1647" s="75" t="s">
        <v>26</v>
      </c>
      <c r="I1647" t="str">
        <f t="shared" si="25"/>
        <v>X</v>
      </c>
      <c r="K1647" s="77"/>
      <c r="L1647" s="77"/>
      <c r="M1647" s="77"/>
      <c r="N1647" s="77"/>
      <c r="W1647" s="78"/>
    </row>
    <row r="1648" spans="1:23" s="75" customFormat="1" hidden="1" x14ac:dyDescent="0.35">
      <c r="A1648" s="75">
        <v>1644</v>
      </c>
      <c r="B1648" s="75">
        <v>1645</v>
      </c>
      <c r="C1648">
        <v>146.0304567</v>
      </c>
      <c r="D1648">
        <v>-17.531401169999999</v>
      </c>
      <c r="G1648" s="75">
        <v>101</v>
      </c>
      <c r="H1648" s="75" t="s">
        <v>26</v>
      </c>
      <c r="I1648" t="str">
        <f t="shared" si="25"/>
        <v>X</v>
      </c>
      <c r="K1648" s="77"/>
      <c r="L1648" s="77"/>
      <c r="M1648" s="77"/>
      <c r="N1648" s="77"/>
      <c r="W1648" s="78"/>
    </row>
    <row r="1649" spans="1:23" s="75" customFormat="1" hidden="1" x14ac:dyDescent="0.35">
      <c r="A1649" s="75">
        <v>1645</v>
      </c>
      <c r="B1649" s="75">
        <v>1646</v>
      </c>
      <c r="C1649">
        <v>146.0304175</v>
      </c>
      <c r="D1649">
        <v>-17.531315450000001</v>
      </c>
      <c r="G1649" s="75">
        <v>101</v>
      </c>
      <c r="H1649" s="75" t="s">
        <v>26</v>
      </c>
      <c r="I1649" t="str">
        <f t="shared" si="25"/>
        <v>X</v>
      </c>
      <c r="K1649" s="77"/>
      <c r="L1649" s="77"/>
      <c r="M1649" s="77"/>
      <c r="N1649" s="77"/>
      <c r="W1649" s="78"/>
    </row>
    <row r="1650" spans="1:23" s="75" customFormat="1" hidden="1" x14ac:dyDescent="0.35">
      <c r="A1650" s="75">
        <v>1646</v>
      </c>
      <c r="B1650" s="75">
        <v>1647</v>
      </c>
      <c r="C1650">
        <v>146.03037789999999</v>
      </c>
      <c r="D1650">
        <v>-17.531229870000001</v>
      </c>
      <c r="G1650" s="75">
        <v>101</v>
      </c>
      <c r="H1650" s="75" t="s">
        <v>26</v>
      </c>
      <c r="I1650" t="str">
        <f t="shared" si="25"/>
        <v>X</v>
      </c>
      <c r="K1650" s="77"/>
      <c r="L1650" s="77"/>
      <c r="M1650" s="77"/>
      <c r="N1650" s="77"/>
      <c r="W1650" s="78"/>
    </row>
    <row r="1651" spans="1:23" s="75" customFormat="1" hidden="1" x14ac:dyDescent="0.35">
      <c r="A1651" s="75">
        <v>1647</v>
      </c>
      <c r="B1651" s="75">
        <v>1648</v>
      </c>
      <c r="C1651">
        <v>146.03033830000001</v>
      </c>
      <c r="D1651">
        <v>-17.531144279999999</v>
      </c>
      <c r="G1651" s="75">
        <v>101</v>
      </c>
      <c r="H1651" s="75" t="s">
        <v>26</v>
      </c>
      <c r="I1651" t="str">
        <f t="shared" si="25"/>
        <v>X</v>
      </c>
      <c r="K1651" s="77"/>
      <c r="L1651" s="77"/>
      <c r="M1651" s="77"/>
      <c r="N1651" s="77"/>
      <c r="W1651" s="78"/>
    </row>
    <row r="1652" spans="1:23" s="75" customFormat="1" hidden="1" x14ac:dyDescent="0.35">
      <c r="A1652" s="75">
        <v>1648</v>
      </c>
      <c r="B1652" s="75">
        <v>1649</v>
      </c>
      <c r="C1652">
        <v>146.0302882</v>
      </c>
      <c r="D1652">
        <v>-17.531065529999999</v>
      </c>
      <c r="G1652" s="75">
        <v>101</v>
      </c>
      <c r="H1652" s="75" t="s">
        <v>26</v>
      </c>
      <c r="I1652" t="str">
        <f t="shared" si="25"/>
        <v>X</v>
      </c>
      <c r="K1652" s="77"/>
      <c r="L1652" s="77"/>
      <c r="M1652" s="77"/>
      <c r="N1652" s="77"/>
      <c r="W1652" s="78"/>
    </row>
    <row r="1653" spans="1:23" s="75" customFormat="1" hidden="1" x14ac:dyDescent="0.35">
      <c r="A1653" s="75">
        <v>1649</v>
      </c>
      <c r="B1653" s="75">
        <v>1650</v>
      </c>
      <c r="C1653">
        <v>146.03022379999999</v>
      </c>
      <c r="D1653">
        <v>-17.530997790000001</v>
      </c>
      <c r="G1653" s="75">
        <v>101</v>
      </c>
      <c r="H1653" s="75" t="s">
        <v>26</v>
      </c>
      <c r="I1653" t="str">
        <f t="shared" si="25"/>
        <v>X</v>
      </c>
      <c r="K1653" s="77"/>
      <c r="L1653" s="77"/>
      <c r="M1653" s="77"/>
      <c r="N1653" s="77"/>
      <c r="W1653" s="78"/>
    </row>
    <row r="1654" spans="1:23" s="75" customFormat="1" hidden="1" x14ac:dyDescent="0.35">
      <c r="A1654" s="75">
        <v>1650</v>
      </c>
      <c r="B1654" s="75">
        <v>1651</v>
      </c>
      <c r="C1654">
        <v>146.03013670000001</v>
      </c>
      <c r="D1654">
        <v>-17.530961489999999</v>
      </c>
      <c r="G1654" s="75">
        <v>101</v>
      </c>
      <c r="H1654" s="75" t="s">
        <v>26</v>
      </c>
      <c r="I1654" t="str">
        <f t="shared" si="25"/>
        <v>X</v>
      </c>
      <c r="K1654" s="77"/>
      <c r="L1654" s="77"/>
      <c r="M1654" s="77"/>
      <c r="N1654" s="77"/>
      <c r="W1654" s="78"/>
    </row>
    <row r="1655" spans="1:23" s="75" customFormat="1" hidden="1" x14ac:dyDescent="0.35">
      <c r="A1655" s="75">
        <v>1651</v>
      </c>
      <c r="B1655" s="75">
        <v>1652</v>
      </c>
      <c r="C1655">
        <v>146.0300527</v>
      </c>
      <c r="D1655">
        <v>-17.530947789999999</v>
      </c>
      <c r="G1655" s="75">
        <v>101</v>
      </c>
      <c r="H1655" s="75" t="s">
        <v>26</v>
      </c>
      <c r="I1655" t="str">
        <f t="shared" si="25"/>
        <v>X</v>
      </c>
      <c r="K1655" s="77"/>
      <c r="L1655" s="77"/>
      <c r="M1655" s="77"/>
      <c r="N1655" s="77"/>
      <c r="W1655" s="78"/>
    </row>
    <row r="1656" spans="1:23" s="75" customFormat="1" hidden="1" x14ac:dyDescent="0.35">
      <c r="A1656" s="75">
        <v>1652</v>
      </c>
      <c r="B1656" s="75">
        <v>1653</v>
      </c>
      <c r="C1656">
        <v>146.03001309999999</v>
      </c>
      <c r="D1656">
        <v>-17.530862200000001</v>
      </c>
      <c r="G1656" s="75">
        <v>101</v>
      </c>
      <c r="H1656" s="75" t="s">
        <v>26</v>
      </c>
      <c r="I1656" t="str">
        <f t="shared" si="25"/>
        <v>X</v>
      </c>
      <c r="K1656" s="77"/>
      <c r="L1656" s="77"/>
      <c r="M1656" s="77"/>
      <c r="N1656" s="77"/>
      <c r="W1656" s="78"/>
    </row>
    <row r="1657" spans="1:23" s="75" customFormat="1" hidden="1" x14ac:dyDescent="0.35">
      <c r="A1657" s="75">
        <v>1653</v>
      </c>
      <c r="B1657" s="75">
        <v>1654</v>
      </c>
      <c r="C1657">
        <v>146.02997350000001</v>
      </c>
      <c r="D1657">
        <v>-17.530776620000001</v>
      </c>
      <c r="G1657" s="75">
        <v>101</v>
      </c>
      <c r="H1657" s="75" t="s">
        <v>26</v>
      </c>
      <c r="I1657" t="str">
        <f t="shared" si="25"/>
        <v>X</v>
      </c>
      <c r="K1657" s="77"/>
      <c r="L1657" s="77"/>
      <c r="M1657" s="77"/>
      <c r="N1657" s="77"/>
      <c r="W1657" s="78"/>
    </row>
    <row r="1658" spans="1:23" s="75" customFormat="1" hidden="1" x14ac:dyDescent="0.35">
      <c r="A1658" s="75">
        <v>1654</v>
      </c>
      <c r="B1658" s="75">
        <v>1655</v>
      </c>
      <c r="C1658">
        <v>146.0299339</v>
      </c>
      <c r="D1658">
        <v>-17.530691040000001</v>
      </c>
      <c r="G1658" s="75">
        <v>101</v>
      </c>
      <c r="H1658" s="75" t="s">
        <v>26</v>
      </c>
      <c r="I1658" t="str">
        <f t="shared" si="25"/>
        <v>X</v>
      </c>
      <c r="K1658" s="77"/>
      <c r="L1658" s="77"/>
      <c r="M1658" s="77"/>
      <c r="N1658" s="77"/>
      <c r="W1658" s="78"/>
    </row>
    <row r="1659" spans="1:23" s="75" customFormat="1" hidden="1" x14ac:dyDescent="0.35">
      <c r="A1659" s="75">
        <v>1655</v>
      </c>
      <c r="B1659" s="75">
        <v>1656</v>
      </c>
      <c r="C1659">
        <v>146.0298942</v>
      </c>
      <c r="D1659">
        <v>-17.53060546</v>
      </c>
      <c r="G1659" s="75">
        <v>101</v>
      </c>
      <c r="H1659" s="75" t="s">
        <v>26</v>
      </c>
      <c r="I1659" t="str">
        <f t="shared" si="25"/>
        <v>X</v>
      </c>
      <c r="K1659" s="77"/>
      <c r="L1659" s="77"/>
      <c r="M1659" s="77"/>
      <c r="N1659" s="77"/>
      <c r="W1659" s="78"/>
    </row>
    <row r="1660" spans="1:23" s="75" customFormat="1" hidden="1" x14ac:dyDescent="0.35">
      <c r="A1660" s="75">
        <v>1656</v>
      </c>
      <c r="B1660" s="75">
        <v>1657</v>
      </c>
      <c r="C1660">
        <v>146.02985459999999</v>
      </c>
      <c r="D1660">
        <v>-17.53051988</v>
      </c>
      <c r="G1660" s="75">
        <v>101</v>
      </c>
      <c r="H1660" s="75" t="s">
        <v>26</v>
      </c>
      <c r="I1660" t="str">
        <f t="shared" si="25"/>
        <v>X</v>
      </c>
      <c r="K1660" s="77"/>
      <c r="L1660" s="77"/>
      <c r="M1660" s="77"/>
      <c r="N1660" s="77"/>
      <c r="W1660" s="78"/>
    </row>
    <row r="1661" spans="1:23" s="75" customFormat="1" hidden="1" x14ac:dyDescent="0.35">
      <c r="A1661" s="75">
        <v>1657</v>
      </c>
      <c r="B1661" s="75">
        <v>1658</v>
      </c>
      <c r="C1661">
        <v>146.0298564</v>
      </c>
      <c r="D1661">
        <v>-17.530445650000001</v>
      </c>
      <c r="G1661" s="75">
        <v>101</v>
      </c>
      <c r="H1661" s="75" t="s">
        <v>26</v>
      </c>
      <c r="I1661" t="str">
        <f t="shared" si="25"/>
        <v>X</v>
      </c>
      <c r="K1661" s="77"/>
      <c r="L1661" s="77"/>
      <c r="M1661" s="77"/>
      <c r="N1661" s="77"/>
      <c r="W1661" s="78"/>
    </row>
    <row r="1662" spans="1:23" s="75" customFormat="1" hidden="1" x14ac:dyDescent="0.35">
      <c r="A1662" s="75">
        <v>1658</v>
      </c>
      <c r="B1662" s="75">
        <v>1659</v>
      </c>
      <c r="C1662">
        <v>146.0299071</v>
      </c>
      <c r="D1662">
        <v>-17.530366229999998</v>
      </c>
      <c r="G1662" s="75">
        <v>101</v>
      </c>
      <c r="H1662" s="75" t="s">
        <v>26</v>
      </c>
      <c r="I1662" t="str">
        <f t="shared" si="25"/>
        <v>X</v>
      </c>
      <c r="K1662" s="77"/>
      <c r="L1662" s="77"/>
      <c r="M1662" s="77"/>
      <c r="N1662" s="77"/>
      <c r="W1662" s="78"/>
    </row>
    <row r="1663" spans="1:23" s="75" customFormat="1" hidden="1" x14ac:dyDescent="0.35">
      <c r="A1663" s="75">
        <v>1659</v>
      </c>
      <c r="B1663" s="75">
        <v>1660</v>
      </c>
      <c r="C1663">
        <v>146.02995759999999</v>
      </c>
      <c r="D1663">
        <v>-17.5302866</v>
      </c>
      <c r="G1663" s="75">
        <v>101</v>
      </c>
      <c r="H1663" s="75" t="s">
        <v>26</v>
      </c>
      <c r="I1663" t="str">
        <f t="shared" si="25"/>
        <v>X</v>
      </c>
      <c r="K1663" s="77"/>
      <c r="L1663" s="77"/>
      <c r="M1663" s="77"/>
      <c r="N1663" s="77"/>
      <c r="W1663" s="78"/>
    </row>
    <row r="1664" spans="1:23" s="75" customFormat="1" hidden="1" x14ac:dyDescent="0.35">
      <c r="A1664" s="75">
        <v>1660</v>
      </c>
      <c r="B1664" s="75">
        <v>1661</v>
      </c>
      <c r="C1664">
        <v>146.02998779999999</v>
      </c>
      <c r="D1664">
        <v>-17.530199190000001</v>
      </c>
      <c r="G1664" s="75">
        <v>101</v>
      </c>
      <c r="H1664" s="75" t="s">
        <v>26</v>
      </c>
      <c r="I1664" t="str">
        <f t="shared" si="25"/>
        <v>X</v>
      </c>
      <c r="K1664" s="77"/>
      <c r="L1664" s="77"/>
      <c r="M1664" s="77"/>
      <c r="N1664" s="77"/>
      <c r="W1664" s="78"/>
    </row>
    <row r="1665" spans="1:23" s="75" customFormat="1" hidden="1" x14ac:dyDescent="0.35">
      <c r="A1665" s="75">
        <v>1661</v>
      </c>
      <c r="B1665" s="75">
        <v>1662</v>
      </c>
      <c r="C1665">
        <v>146.03000320000001</v>
      </c>
      <c r="D1665">
        <v>-17.530106150000002</v>
      </c>
      <c r="G1665" s="75">
        <v>101</v>
      </c>
      <c r="H1665" s="75" t="s">
        <v>26</v>
      </c>
      <c r="I1665" t="str">
        <f t="shared" si="25"/>
        <v>X</v>
      </c>
      <c r="K1665" s="77"/>
      <c r="L1665" s="77"/>
      <c r="M1665" s="77"/>
      <c r="N1665" s="77"/>
      <c r="W1665" s="78"/>
    </row>
    <row r="1666" spans="1:23" s="75" customFormat="1" hidden="1" x14ac:dyDescent="0.35">
      <c r="A1666" s="75">
        <v>1662</v>
      </c>
      <c r="B1666" s="75">
        <v>1663</v>
      </c>
      <c r="C1666">
        <v>146.03001889999999</v>
      </c>
      <c r="D1666">
        <v>-17.530013180000001</v>
      </c>
      <c r="G1666" s="75">
        <v>101</v>
      </c>
      <c r="H1666" s="75" t="s">
        <v>26</v>
      </c>
      <c r="I1666" t="str">
        <f t="shared" si="25"/>
        <v>X</v>
      </c>
      <c r="K1666" s="77"/>
      <c r="L1666" s="77"/>
      <c r="M1666" s="77"/>
      <c r="N1666" s="77"/>
      <c r="W1666" s="78"/>
    </row>
    <row r="1667" spans="1:23" s="75" customFormat="1" hidden="1" x14ac:dyDescent="0.35">
      <c r="A1667" s="75">
        <v>1663</v>
      </c>
      <c r="B1667" s="75">
        <v>1664</v>
      </c>
      <c r="C1667">
        <v>146.03003749999999</v>
      </c>
      <c r="D1667">
        <v>-17.529920709999999</v>
      </c>
      <c r="G1667" s="75">
        <v>101</v>
      </c>
      <c r="H1667" s="75" t="s">
        <v>26</v>
      </c>
      <c r="I1667" t="str">
        <f t="shared" si="25"/>
        <v>X</v>
      </c>
      <c r="K1667" s="77"/>
      <c r="L1667" s="77"/>
      <c r="M1667" s="77"/>
      <c r="N1667" s="77"/>
      <c r="W1667" s="78"/>
    </row>
    <row r="1668" spans="1:23" s="75" customFormat="1" hidden="1" x14ac:dyDescent="0.35">
      <c r="A1668" s="75">
        <v>1664</v>
      </c>
      <c r="B1668" s="75">
        <v>1665</v>
      </c>
      <c r="C1668">
        <v>146.030056</v>
      </c>
      <c r="D1668">
        <v>-17.529828250000001</v>
      </c>
      <c r="G1668" s="75">
        <v>101</v>
      </c>
      <c r="H1668" s="75" t="s">
        <v>26</v>
      </c>
      <c r="I1668" t="str">
        <f t="shared" si="25"/>
        <v>X</v>
      </c>
      <c r="K1668" s="77"/>
      <c r="L1668" s="77"/>
      <c r="M1668" s="77"/>
      <c r="N1668" s="77"/>
      <c r="W1668" s="78"/>
    </row>
    <row r="1669" spans="1:23" s="75" customFormat="1" hidden="1" x14ac:dyDescent="0.35">
      <c r="A1669" s="75">
        <v>1665</v>
      </c>
      <c r="B1669" s="75">
        <v>1666</v>
      </c>
      <c r="C1669">
        <v>146.03007650000001</v>
      </c>
      <c r="D1669">
        <v>-17.529736230000001</v>
      </c>
      <c r="G1669" s="75">
        <v>101</v>
      </c>
      <c r="H1669" s="75" t="s">
        <v>26</v>
      </c>
      <c r="I1669" t="str">
        <f t="shared" ref="I1669:I1732" si="26">IF(H1669="X","X",IF(J1669="NA","X",IF(J1669="","X",J1669)))</f>
        <v>X</v>
      </c>
      <c r="K1669" s="77"/>
      <c r="L1669" s="77"/>
      <c r="M1669" s="77"/>
      <c r="N1669" s="77"/>
      <c r="W1669" s="78"/>
    </row>
    <row r="1670" spans="1:23" s="75" customFormat="1" hidden="1" x14ac:dyDescent="0.35">
      <c r="A1670" s="75">
        <v>1666</v>
      </c>
      <c r="B1670" s="75">
        <v>1667</v>
      </c>
      <c r="C1670">
        <v>146.03009979999999</v>
      </c>
      <c r="D1670">
        <v>-17.529644860000001</v>
      </c>
      <c r="G1670" s="75">
        <v>101</v>
      </c>
      <c r="H1670" s="75" t="s">
        <v>26</v>
      </c>
      <c r="I1670" t="str">
        <f t="shared" si="26"/>
        <v>X</v>
      </c>
      <c r="K1670" s="77"/>
      <c r="L1670" s="77"/>
      <c r="M1670" s="77"/>
      <c r="N1670" s="77"/>
      <c r="W1670" s="78"/>
    </row>
    <row r="1671" spans="1:23" s="75" customFormat="1" hidden="1" x14ac:dyDescent="0.35">
      <c r="A1671" s="75">
        <v>1667</v>
      </c>
      <c r="B1671" s="75">
        <v>1668</v>
      </c>
      <c r="C1671">
        <v>146.0301231</v>
      </c>
      <c r="D1671">
        <v>-17.529553490000001</v>
      </c>
      <c r="G1671" s="75">
        <v>101</v>
      </c>
      <c r="H1671" s="75" t="s">
        <v>26</v>
      </c>
      <c r="I1671" t="str">
        <f t="shared" si="26"/>
        <v>X</v>
      </c>
      <c r="K1671" s="77"/>
      <c r="L1671" s="77"/>
      <c r="M1671" s="77"/>
      <c r="N1671" s="77"/>
      <c r="W1671" s="78"/>
    </row>
    <row r="1672" spans="1:23" s="75" customFormat="1" hidden="1" x14ac:dyDescent="0.35">
      <c r="A1672" s="75">
        <v>1668</v>
      </c>
      <c r="B1672" s="75">
        <v>1669</v>
      </c>
      <c r="C1672">
        <v>146.0301484</v>
      </c>
      <c r="D1672">
        <v>-17.529462649999999</v>
      </c>
      <c r="G1672" s="75">
        <v>101</v>
      </c>
      <c r="H1672" s="75" t="s">
        <v>26</v>
      </c>
      <c r="I1672" t="str">
        <f t="shared" si="26"/>
        <v>X</v>
      </c>
      <c r="K1672" s="77"/>
      <c r="L1672" s="77"/>
      <c r="M1672" s="77"/>
      <c r="N1672" s="77"/>
      <c r="W1672" s="78"/>
    </row>
    <row r="1673" spans="1:23" s="75" customFormat="1" hidden="1" x14ac:dyDescent="0.35">
      <c r="A1673" s="75">
        <v>1669</v>
      </c>
      <c r="B1673" s="75">
        <v>1670</v>
      </c>
      <c r="C1673">
        <v>146.03017439999999</v>
      </c>
      <c r="D1673">
        <v>-17.529371980000001</v>
      </c>
      <c r="G1673" s="75">
        <v>101</v>
      </c>
      <c r="H1673" s="75" t="s">
        <v>26</v>
      </c>
      <c r="I1673" t="str">
        <f t="shared" si="26"/>
        <v>X</v>
      </c>
      <c r="K1673" s="77"/>
      <c r="L1673" s="77"/>
      <c r="M1673" s="77"/>
      <c r="N1673" s="77"/>
      <c r="W1673" s="78"/>
    </row>
    <row r="1674" spans="1:23" s="75" customFormat="1" hidden="1" x14ac:dyDescent="0.35">
      <c r="A1674" s="75">
        <v>1670</v>
      </c>
      <c r="B1674" s="75">
        <v>1671</v>
      </c>
      <c r="C1674">
        <v>146.03020029999999</v>
      </c>
      <c r="D1674">
        <v>-17.529281309999998</v>
      </c>
      <c r="G1674" s="75">
        <v>101</v>
      </c>
      <c r="H1674" s="75" t="s">
        <v>26</v>
      </c>
      <c r="I1674" t="str">
        <f t="shared" si="26"/>
        <v>X</v>
      </c>
      <c r="K1674" s="77"/>
      <c r="L1674" s="77"/>
      <c r="M1674" s="77"/>
      <c r="N1674" s="77"/>
      <c r="W1674" s="78"/>
    </row>
    <row r="1675" spans="1:23" s="75" customFormat="1" hidden="1" x14ac:dyDescent="0.35">
      <c r="A1675" s="75">
        <v>1671</v>
      </c>
      <c r="B1675" s="75">
        <v>1672</v>
      </c>
      <c r="C1675">
        <v>146.03020849999999</v>
      </c>
      <c r="D1675">
        <v>-17.529187579999999</v>
      </c>
      <c r="G1675" s="75">
        <v>101</v>
      </c>
      <c r="H1675" s="75" t="s">
        <v>26</v>
      </c>
      <c r="I1675" t="str">
        <f t="shared" si="26"/>
        <v>X</v>
      </c>
      <c r="K1675" s="77"/>
      <c r="L1675" s="77"/>
      <c r="M1675" s="77"/>
      <c r="N1675" s="77"/>
      <c r="W1675" s="78"/>
    </row>
    <row r="1676" spans="1:23" s="75" customFormat="1" hidden="1" x14ac:dyDescent="0.35">
      <c r="A1676" s="75">
        <v>1672</v>
      </c>
      <c r="B1676" s="75">
        <v>1673</v>
      </c>
      <c r="C1676">
        <v>146.03021459999999</v>
      </c>
      <c r="D1676">
        <v>-17.529093469999999</v>
      </c>
      <c r="G1676" s="75">
        <v>101</v>
      </c>
      <c r="H1676" s="75" t="s">
        <v>26</v>
      </c>
      <c r="I1676" t="str">
        <f t="shared" si="26"/>
        <v>X</v>
      </c>
      <c r="K1676" s="77"/>
      <c r="L1676" s="77"/>
      <c r="M1676" s="77"/>
      <c r="N1676" s="77"/>
      <c r="W1676" s="78"/>
    </row>
    <row r="1677" spans="1:23" s="75" customFormat="1" hidden="1" x14ac:dyDescent="0.35">
      <c r="A1677" s="75">
        <v>1673</v>
      </c>
      <c r="B1677" s="75">
        <v>1674</v>
      </c>
      <c r="C1677">
        <v>146.03021129999999</v>
      </c>
      <c r="D1677">
        <v>-17.528999540000001</v>
      </c>
      <c r="G1677" s="75">
        <v>101</v>
      </c>
      <c r="H1677" s="75" t="s">
        <v>26</v>
      </c>
      <c r="I1677" t="str">
        <f t="shared" si="26"/>
        <v>X</v>
      </c>
      <c r="K1677" s="77"/>
      <c r="L1677" s="77"/>
      <c r="M1677" s="77"/>
      <c r="N1677" s="77"/>
      <c r="W1677" s="78"/>
    </row>
    <row r="1678" spans="1:23" s="75" customFormat="1" hidden="1" x14ac:dyDescent="0.35">
      <c r="A1678" s="75">
        <v>1674</v>
      </c>
      <c r="B1678" s="75">
        <v>1675</v>
      </c>
      <c r="C1678">
        <v>146.0302016</v>
      </c>
      <c r="D1678">
        <v>-17.528905730000002</v>
      </c>
      <c r="G1678" s="75">
        <v>101</v>
      </c>
      <c r="H1678" s="75" t="s">
        <v>26</v>
      </c>
      <c r="I1678" t="str">
        <f t="shared" si="26"/>
        <v>X</v>
      </c>
      <c r="K1678" s="77"/>
      <c r="L1678" s="77"/>
      <c r="M1678" s="77"/>
      <c r="N1678" s="77"/>
      <c r="W1678" s="78"/>
    </row>
    <row r="1679" spans="1:23" s="75" customFormat="1" hidden="1" x14ac:dyDescent="0.35">
      <c r="A1679" s="75">
        <v>1675</v>
      </c>
      <c r="B1679" s="75">
        <v>1676</v>
      </c>
      <c r="C1679">
        <v>146.030192</v>
      </c>
      <c r="D1679">
        <v>-17.528811910000002</v>
      </c>
      <c r="G1679" s="75">
        <v>101</v>
      </c>
      <c r="H1679" s="75" t="s">
        <v>26</v>
      </c>
      <c r="I1679" t="str">
        <f t="shared" si="26"/>
        <v>X</v>
      </c>
      <c r="K1679" s="77"/>
      <c r="L1679" s="77"/>
      <c r="M1679" s="77"/>
      <c r="N1679" s="77"/>
      <c r="W1679" s="78"/>
    </row>
    <row r="1680" spans="1:23" s="75" customFormat="1" hidden="1" x14ac:dyDescent="0.35">
      <c r="A1680" s="75">
        <v>1676</v>
      </c>
      <c r="B1680" s="75">
        <v>1677</v>
      </c>
      <c r="C1680">
        <v>146.0301833</v>
      </c>
      <c r="D1680">
        <v>-17.528718040000001</v>
      </c>
      <c r="G1680" s="75">
        <v>101</v>
      </c>
      <c r="H1680" s="75" t="s">
        <v>26</v>
      </c>
      <c r="I1680" t="str">
        <f t="shared" si="26"/>
        <v>X</v>
      </c>
      <c r="K1680" s="77"/>
      <c r="L1680" s="77"/>
      <c r="M1680" s="77"/>
      <c r="N1680" s="77"/>
      <c r="W1680" s="78"/>
    </row>
    <row r="1681" spans="1:23" s="75" customFormat="1" hidden="1" x14ac:dyDescent="0.35">
      <c r="A1681" s="75">
        <v>1677</v>
      </c>
      <c r="B1681" s="75">
        <v>1678</v>
      </c>
      <c r="C1681">
        <v>146.03017969999999</v>
      </c>
      <c r="D1681">
        <v>-17.528623799999998</v>
      </c>
      <c r="G1681" s="75">
        <v>101</v>
      </c>
      <c r="H1681" s="75" t="s">
        <v>26</v>
      </c>
      <c r="I1681" t="str">
        <f t="shared" si="26"/>
        <v>X</v>
      </c>
      <c r="K1681" s="77"/>
      <c r="L1681" s="77"/>
      <c r="M1681" s="77"/>
      <c r="N1681" s="77"/>
      <c r="W1681" s="78"/>
    </row>
    <row r="1682" spans="1:23" s="75" customFormat="1" hidden="1" x14ac:dyDescent="0.35">
      <c r="A1682" s="75">
        <v>1678</v>
      </c>
      <c r="B1682" s="75">
        <v>1679</v>
      </c>
      <c r="C1682">
        <v>146.0301762</v>
      </c>
      <c r="D1682">
        <v>-17.52852957</v>
      </c>
      <c r="G1682" s="75">
        <v>101</v>
      </c>
      <c r="H1682" s="75" t="s">
        <v>26</v>
      </c>
      <c r="I1682" t="str">
        <f t="shared" si="26"/>
        <v>X</v>
      </c>
      <c r="K1682" s="77"/>
      <c r="L1682" s="77"/>
      <c r="M1682" s="77"/>
      <c r="N1682" s="77"/>
      <c r="W1682" s="78"/>
    </row>
    <row r="1683" spans="1:23" s="75" customFormat="1" hidden="1" x14ac:dyDescent="0.35">
      <c r="A1683" s="75">
        <v>1679</v>
      </c>
      <c r="B1683" s="75">
        <v>1680</v>
      </c>
      <c r="C1683">
        <v>146.03017209999999</v>
      </c>
      <c r="D1683">
        <v>-17.52843536</v>
      </c>
      <c r="G1683" s="75">
        <v>101</v>
      </c>
      <c r="H1683" s="75" t="s">
        <v>26</v>
      </c>
      <c r="I1683" t="str">
        <f t="shared" si="26"/>
        <v>X</v>
      </c>
      <c r="K1683" s="77"/>
      <c r="L1683" s="77"/>
      <c r="M1683" s="77"/>
      <c r="N1683" s="77"/>
      <c r="W1683" s="78"/>
    </row>
    <row r="1684" spans="1:23" s="75" customFormat="1" hidden="1" x14ac:dyDescent="0.35">
      <c r="A1684" s="75">
        <v>1680</v>
      </c>
      <c r="B1684" s="75">
        <v>1681</v>
      </c>
      <c r="C1684">
        <v>146.0301671</v>
      </c>
      <c r="D1684">
        <v>-17.528341180000002</v>
      </c>
      <c r="G1684" s="75">
        <v>101</v>
      </c>
      <c r="H1684" s="75" t="s">
        <v>26</v>
      </c>
      <c r="I1684" t="str">
        <f t="shared" si="26"/>
        <v>X</v>
      </c>
      <c r="K1684" s="77"/>
      <c r="L1684" s="77"/>
      <c r="M1684" s="77"/>
      <c r="N1684" s="77"/>
      <c r="W1684" s="78"/>
    </row>
    <row r="1685" spans="1:23" s="75" customFormat="1" hidden="1" x14ac:dyDescent="0.35">
      <c r="A1685" s="75">
        <v>1681</v>
      </c>
      <c r="B1685" s="75">
        <v>1682</v>
      </c>
      <c r="C1685">
        <v>146.03016210000001</v>
      </c>
      <c r="D1685">
        <v>-17.528247010000001</v>
      </c>
      <c r="G1685" s="75">
        <v>101</v>
      </c>
      <c r="H1685" s="75" t="s">
        <v>26</v>
      </c>
      <c r="I1685" t="str">
        <f t="shared" si="26"/>
        <v>X</v>
      </c>
      <c r="K1685" s="77"/>
      <c r="L1685" s="77"/>
      <c r="M1685" s="77"/>
      <c r="N1685" s="77"/>
      <c r="W1685" s="78"/>
    </row>
    <row r="1686" spans="1:23" s="75" customFormat="1" hidden="1" x14ac:dyDescent="0.35">
      <c r="A1686" s="75">
        <v>1682</v>
      </c>
      <c r="B1686" s="75">
        <v>1683</v>
      </c>
      <c r="C1686">
        <v>146.0301571</v>
      </c>
      <c r="D1686">
        <v>-17.528152840000001</v>
      </c>
      <c r="G1686" s="75">
        <v>101</v>
      </c>
      <c r="H1686" s="75" t="s">
        <v>26</v>
      </c>
      <c r="I1686" t="str">
        <f t="shared" si="26"/>
        <v>X</v>
      </c>
      <c r="K1686" s="77"/>
      <c r="L1686" s="77"/>
      <c r="M1686" s="77"/>
      <c r="N1686" s="77"/>
      <c r="W1686" s="78"/>
    </row>
    <row r="1687" spans="1:23" s="75" customFormat="1" hidden="1" x14ac:dyDescent="0.35">
      <c r="A1687" s="75">
        <v>1683</v>
      </c>
      <c r="B1687" s="75">
        <v>1684</v>
      </c>
      <c r="C1687">
        <v>146.03015640000001</v>
      </c>
      <c r="D1687">
        <v>-17.528058890000001</v>
      </c>
      <c r="G1687" s="75">
        <v>101</v>
      </c>
      <c r="H1687" s="75" t="s">
        <v>26</v>
      </c>
      <c r="I1687" t="str">
        <f t="shared" si="26"/>
        <v>X</v>
      </c>
      <c r="K1687" s="77"/>
      <c r="L1687" s="77"/>
      <c r="M1687" s="77"/>
      <c r="N1687" s="77"/>
      <c r="W1687" s="78"/>
    </row>
    <row r="1688" spans="1:23" s="75" customFormat="1" hidden="1" x14ac:dyDescent="0.35">
      <c r="A1688" s="75">
        <v>1684</v>
      </c>
      <c r="B1688" s="75">
        <v>1685</v>
      </c>
      <c r="C1688">
        <v>146.03017070000001</v>
      </c>
      <c r="D1688">
        <v>-17.52796567</v>
      </c>
      <c r="G1688" s="75">
        <v>101</v>
      </c>
      <c r="H1688" s="75" t="s">
        <v>26</v>
      </c>
      <c r="I1688" t="str">
        <f t="shared" si="26"/>
        <v>X</v>
      </c>
      <c r="K1688" s="77"/>
      <c r="L1688" s="77"/>
      <c r="M1688" s="77"/>
      <c r="N1688" s="77"/>
      <c r="W1688" s="78"/>
    </row>
    <row r="1689" spans="1:23" s="75" customFormat="1" hidden="1" x14ac:dyDescent="0.35">
      <c r="A1689" s="75">
        <v>1685</v>
      </c>
      <c r="B1689" s="75">
        <v>1686</v>
      </c>
      <c r="C1689">
        <v>146.03018499999999</v>
      </c>
      <c r="D1689">
        <v>-17.52787245</v>
      </c>
      <c r="G1689" s="75">
        <v>101</v>
      </c>
      <c r="H1689" s="75" t="s">
        <v>26</v>
      </c>
      <c r="I1689" t="str">
        <f t="shared" si="26"/>
        <v>X</v>
      </c>
      <c r="K1689" s="77"/>
      <c r="L1689" s="77"/>
      <c r="M1689" s="77"/>
      <c r="N1689" s="77"/>
      <c r="W1689" s="78"/>
    </row>
    <row r="1690" spans="1:23" s="75" customFormat="1" hidden="1" x14ac:dyDescent="0.35">
      <c r="A1690" s="75">
        <v>1686</v>
      </c>
      <c r="B1690" s="75">
        <v>1687</v>
      </c>
      <c r="C1690">
        <v>146.0301992</v>
      </c>
      <c r="D1690">
        <v>-17.52777923</v>
      </c>
      <c r="G1690" s="75">
        <v>101</v>
      </c>
      <c r="H1690" s="75" t="s">
        <v>26</v>
      </c>
      <c r="I1690" t="str">
        <f t="shared" si="26"/>
        <v>X</v>
      </c>
      <c r="K1690" s="77"/>
      <c r="L1690" s="77"/>
      <c r="M1690" s="77"/>
      <c r="N1690" s="77"/>
      <c r="W1690" s="78"/>
    </row>
    <row r="1691" spans="1:23" s="75" customFormat="1" hidden="1" x14ac:dyDescent="0.35">
      <c r="A1691" s="75">
        <v>1687</v>
      </c>
      <c r="B1691" s="75">
        <v>1688</v>
      </c>
      <c r="C1691">
        <v>146.03020459999999</v>
      </c>
      <c r="D1691">
        <v>-17.527685290000001</v>
      </c>
      <c r="G1691" s="75">
        <v>101</v>
      </c>
      <c r="H1691" s="75" t="s">
        <v>26</v>
      </c>
      <c r="I1691" t="str">
        <f t="shared" si="26"/>
        <v>X</v>
      </c>
      <c r="K1691" s="77"/>
      <c r="L1691" s="77"/>
      <c r="M1691" s="77"/>
      <c r="N1691" s="77"/>
      <c r="W1691" s="78"/>
    </row>
    <row r="1692" spans="1:23" s="75" customFormat="1" hidden="1" x14ac:dyDescent="0.35">
      <c r="A1692" s="75">
        <v>1688</v>
      </c>
      <c r="B1692" s="75">
        <v>1689</v>
      </c>
      <c r="C1692">
        <v>146.0302054</v>
      </c>
      <c r="D1692">
        <v>-17.52759099</v>
      </c>
      <c r="G1692" s="75">
        <v>101</v>
      </c>
      <c r="H1692" s="75" t="s">
        <v>26</v>
      </c>
      <c r="I1692" t="str">
        <f t="shared" si="26"/>
        <v>X</v>
      </c>
      <c r="K1692" s="77"/>
      <c r="L1692" s="77"/>
      <c r="M1692" s="77"/>
      <c r="N1692" s="77"/>
      <c r="W1692" s="78"/>
    </row>
    <row r="1693" spans="1:23" s="75" customFormat="1" hidden="1" x14ac:dyDescent="0.35">
      <c r="A1693" s="75">
        <v>1689</v>
      </c>
      <c r="B1693" s="75">
        <v>1690</v>
      </c>
      <c r="C1693">
        <v>146.0302063</v>
      </c>
      <c r="D1693">
        <v>-17.52749669</v>
      </c>
      <c r="G1693" s="75">
        <v>101</v>
      </c>
      <c r="H1693" s="75" t="s">
        <v>26</v>
      </c>
      <c r="I1693" t="str">
        <f t="shared" si="26"/>
        <v>X</v>
      </c>
      <c r="K1693" s="77"/>
      <c r="L1693" s="77"/>
      <c r="M1693" s="77"/>
      <c r="N1693" s="77"/>
      <c r="W1693" s="78"/>
    </row>
    <row r="1694" spans="1:23" s="75" customFormat="1" hidden="1" x14ac:dyDescent="0.35">
      <c r="A1694" s="75">
        <v>1690</v>
      </c>
      <c r="B1694" s="75">
        <v>1691</v>
      </c>
      <c r="C1694">
        <v>146.03020710000001</v>
      </c>
      <c r="D1694">
        <v>-17.527402389999999</v>
      </c>
      <c r="G1694" s="75">
        <v>101</v>
      </c>
      <c r="H1694" s="75" t="s">
        <v>26</v>
      </c>
      <c r="I1694" t="str">
        <f t="shared" si="26"/>
        <v>X</v>
      </c>
      <c r="K1694" s="77"/>
      <c r="L1694" s="77"/>
      <c r="M1694" s="77"/>
      <c r="N1694" s="77"/>
      <c r="W1694" s="78"/>
    </row>
    <row r="1695" spans="1:23" s="75" customFormat="1" hidden="1" x14ac:dyDescent="0.35">
      <c r="A1695" s="75">
        <v>1691</v>
      </c>
      <c r="B1695" s="75">
        <v>1692</v>
      </c>
      <c r="C1695">
        <v>146.03020799999999</v>
      </c>
      <c r="D1695">
        <v>-17.527308089999998</v>
      </c>
      <c r="G1695" s="75">
        <v>101</v>
      </c>
      <c r="H1695" s="75" t="s">
        <v>26</v>
      </c>
      <c r="I1695" t="str">
        <f t="shared" si="26"/>
        <v>X</v>
      </c>
      <c r="K1695" s="77"/>
      <c r="L1695" s="77"/>
      <c r="M1695" s="77"/>
      <c r="N1695" s="77"/>
      <c r="W1695" s="78"/>
    </row>
    <row r="1696" spans="1:23" s="75" customFormat="1" hidden="1" x14ac:dyDescent="0.35">
      <c r="A1696" s="75">
        <v>1692</v>
      </c>
      <c r="B1696" s="75">
        <v>1693</v>
      </c>
      <c r="C1696">
        <v>146.030249</v>
      </c>
      <c r="D1696">
        <v>-17.52722498</v>
      </c>
      <c r="G1696" s="75">
        <v>101</v>
      </c>
      <c r="H1696" s="75" t="s">
        <v>26</v>
      </c>
      <c r="I1696" t="str">
        <f t="shared" si="26"/>
        <v>X</v>
      </c>
      <c r="K1696" s="77"/>
      <c r="L1696" s="77"/>
      <c r="M1696" s="77"/>
      <c r="N1696" s="77"/>
      <c r="W1696" s="78"/>
    </row>
    <row r="1697" spans="1:23" s="75" customFormat="1" hidden="1" x14ac:dyDescent="0.35">
      <c r="A1697" s="75">
        <v>1693</v>
      </c>
      <c r="B1697" s="75">
        <v>1694</v>
      </c>
      <c r="C1697">
        <v>146.03029699999999</v>
      </c>
      <c r="D1697">
        <v>-17.527143819999999</v>
      </c>
      <c r="G1697" s="75">
        <v>101</v>
      </c>
      <c r="H1697" s="75" t="s">
        <v>26</v>
      </c>
      <c r="I1697" t="str">
        <f t="shared" si="26"/>
        <v>X</v>
      </c>
      <c r="K1697" s="77"/>
      <c r="L1697" s="77"/>
      <c r="M1697" s="77"/>
      <c r="N1697" s="77"/>
      <c r="W1697" s="78"/>
    </row>
    <row r="1698" spans="1:23" s="75" customFormat="1" hidden="1" x14ac:dyDescent="0.35">
      <c r="A1698" s="75">
        <v>1694</v>
      </c>
      <c r="B1698" s="75">
        <v>1695</v>
      </c>
      <c r="C1698">
        <v>146.03034830000001</v>
      </c>
      <c r="D1698">
        <v>-17.527064880000001</v>
      </c>
      <c r="G1698" s="75">
        <v>101</v>
      </c>
      <c r="H1698" s="75" t="s">
        <v>26</v>
      </c>
      <c r="I1698" t="str">
        <f t="shared" si="26"/>
        <v>X</v>
      </c>
      <c r="K1698" s="77"/>
      <c r="L1698" s="77"/>
      <c r="M1698" s="77"/>
      <c r="N1698" s="77"/>
      <c r="W1698" s="78"/>
    </row>
    <row r="1699" spans="1:23" s="75" customFormat="1" hidden="1" x14ac:dyDescent="0.35">
      <c r="A1699" s="75">
        <v>1695</v>
      </c>
      <c r="B1699" s="75">
        <v>1696</v>
      </c>
      <c r="C1699">
        <v>146.0304065</v>
      </c>
      <c r="D1699">
        <v>-17.52699067</v>
      </c>
      <c r="G1699" s="75">
        <v>101</v>
      </c>
      <c r="H1699" s="75" t="s">
        <v>26</v>
      </c>
      <c r="I1699" t="str">
        <f t="shared" si="26"/>
        <v>X</v>
      </c>
      <c r="K1699" s="77"/>
      <c r="L1699" s="77"/>
      <c r="M1699" s="77"/>
      <c r="N1699" s="77"/>
      <c r="W1699" s="78"/>
    </row>
    <row r="1700" spans="1:23" s="75" customFormat="1" hidden="1" x14ac:dyDescent="0.35">
      <c r="A1700" s="75">
        <v>1696</v>
      </c>
      <c r="B1700" s="75">
        <v>1697</v>
      </c>
      <c r="C1700">
        <v>146.03046470000001</v>
      </c>
      <c r="D1700">
        <v>-17.52691647</v>
      </c>
      <c r="G1700" s="75">
        <v>101</v>
      </c>
      <c r="H1700" s="75" t="s">
        <v>26</v>
      </c>
      <c r="I1700" t="str">
        <f t="shared" si="26"/>
        <v>X</v>
      </c>
      <c r="K1700" s="77"/>
      <c r="L1700" s="77"/>
      <c r="M1700" s="77"/>
      <c r="N1700" s="77"/>
      <c r="W1700" s="78"/>
    </row>
    <row r="1701" spans="1:23" s="75" customFormat="1" hidden="1" x14ac:dyDescent="0.35">
      <c r="A1701" s="75">
        <v>1697</v>
      </c>
      <c r="B1701" s="75">
        <v>1698</v>
      </c>
      <c r="C1701">
        <v>146.03052289999999</v>
      </c>
      <c r="D1701">
        <v>-17.526842259999999</v>
      </c>
      <c r="G1701" s="75">
        <v>101</v>
      </c>
      <c r="H1701" s="75" t="s">
        <v>26</v>
      </c>
      <c r="I1701" t="str">
        <f t="shared" si="26"/>
        <v>X</v>
      </c>
      <c r="K1701" s="77"/>
      <c r="L1701" s="77"/>
      <c r="M1701" s="77"/>
      <c r="N1701" s="77"/>
      <c r="W1701" s="78"/>
    </row>
    <row r="1702" spans="1:23" s="75" customFormat="1" hidden="1" x14ac:dyDescent="0.35">
      <c r="A1702" s="75">
        <v>1698</v>
      </c>
      <c r="B1702" s="75">
        <v>1699</v>
      </c>
      <c r="C1702">
        <v>146.03057709999999</v>
      </c>
      <c r="D1702">
        <v>-17.526765139999998</v>
      </c>
      <c r="G1702" s="75">
        <v>101</v>
      </c>
      <c r="H1702" s="75" t="s">
        <v>26</v>
      </c>
      <c r="I1702" t="str">
        <f t="shared" si="26"/>
        <v>X</v>
      </c>
      <c r="K1702" s="77"/>
      <c r="L1702" s="77"/>
      <c r="M1702" s="77"/>
      <c r="N1702" s="77"/>
      <c r="W1702" s="78"/>
    </row>
    <row r="1703" spans="1:23" s="75" customFormat="1" hidden="1" x14ac:dyDescent="0.35">
      <c r="A1703" s="75">
        <v>1699</v>
      </c>
      <c r="B1703" s="75">
        <v>1700</v>
      </c>
      <c r="C1703">
        <v>146.0306301</v>
      </c>
      <c r="D1703">
        <v>-17.526687150000001</v>
      </c>
      <c r="G1703" s="75">
        <v>101</v>
      </c>
      <c r="H1703" s="75" t="s">
        <v>26</v>
      </c>
      <c r="I1703" t="str">
        <f t="shared" si="26"/>
        <v>X</v>
      </c>
      <c r="K1703" s="77"/>
      <c r="L1703" s="77"/>
      <c r="M1703" s="77"/>
      <c r="N1703" s="77"/>
      <c r="W1703" s="78"/>
    </row>
    <row r="1704" spans="1:23" s="75" customFormat="1" hidden="1" x14ac:dyDescent="0.35">
      <c r="A1704" s="75">
        <v>1700</v>
      </c>
      <c r="B1704" s="75">
        <v>1701</v>
      </c>
      <c r="C1704">
        <v>146.0306831</v>
      </c>
      <c r="D1704">
        <v>-17.52660916</v>
      </c>
      <c r="G1704" s="75">
        <v>101</v>
      </c>
      <c r="H1704" s="75" t="s">
        <v>26</v>
      </c>
      <c r="I1704" t="str">
        <f t="shared" si="26"/>
        <v>X</v>
      </c>
      <c r="K1704" s="77"/>
      <c r="L1704" s="77"/>
      <c r="M1704" s="77"/>
      <c r="N1704" s="77"/>
      <c r="W1704" s="78"/>
    </row>
    <row r="1705" spans="1:23" s="75" customFormat="1" hidden="1" x14ac:dyDescent="0.35">
      <c r="A1705" s="75">
        <v>1701</v>
      </c>
      <c r="B1705" s="75">
        <v>1702</v>
      </c>
      <c r="C1705">
        <v>146.03073240000001</v>
      </c>
      <c r="D1705">
        <v>-17.526528840000001</v>
      </c>
      <c r="G1705" s="75">
        <v>101</v>
      </c>
      <c r="H1705" s="75" t="s">
        <v>26</v>
      </c>
      <c r="I1705" t="str">
        <f t="shared" si="26"/>
        <v>X</v>
      </c>
      <c r="K1705" s="77"/>
      <c r="L1705" s="77"/>
      <c r="M1705" s="77"/>
      <c r="N1705" s="77"/>
      <c r="W1705" s="78"/>
    </row>
    <row r="1706" spans="1:23" s="75" customFormat="1" hidden="1" x14ac:dyDescent="0.35">
      <c r="A1706" s="75">
        <v>1702</v>
      </c>
      <c r="B1706" s="75">
        <v>1703</v>
      </c>
      <c r="C1706">
        <v>146.03077880000001</v>
      </c>
      <c r="D1706">
        <v>-17.52644673</v>
      </c>
      <c r="G1706" s="75">
        <v>101</v>
      </c>
      <c r="H1706" s="75" t="s">
        <v>26</v>
      </c>
      <c r="I1706" t="str">
        <f t="shared" si="26"/>
        <v>X</v>
      </c>
      <c r="K1706" s="77"/>
      <c r="L1706" s="77"/>
      <c r="M1706" s="77"/>
      <c r="N1706" s="77"/>
      <c r="W1706" s="78"/>
    </row>
    <row r="1707" spans="1:23" s="75" customFormat="1" hidden="1" x14ac:dyDescent="0.35">
      <c r="A1707" s="75">
        <v>1703</v>
      </c>
      <c r="B1707" s="75">
        <v>1704</v>
      </c>
      <c r="C1707">
        <v>146.03082509999999</v>
      </c>
      <c r="D1707">
        <v>-17.526364610000002</v>
      </c>
      <c r="G1707" s="75">
        <v>101</v>
      </c>
      <c r="H1707" s="75" t="s">
        <v>26</v>
      </c>
      <c r="I1707" t="str">
        <f t="shared" si="26"/>
        <v>X</v>
      </c>
      <c r="K1707" s="77"/>
      <c r="L1707" s="77"/>
      <c r="M1707" s="77"/>
      <c r="N1707" s="77"/>
      <c r="W1707" s="78"/>
    </row>
    <row r="1708" spans="1:23" s="75" customFormat="1" hidden="1" x14ac:dyDescent="0.35">
      <c r="A1708" s="75">
        <v>1704</v>
      </c>
      <c r="B1708" s="75">
        <v>1705</v>
      </c>
      <c r="C1708">
        <v>146.03088080000001</v>
      </c>
      <c r="D1708">
        <v>-17.52628983</v>
      </c>
      <c r="G1708" s="75">
        <v>101</v>
      </c>
      <c r="H1708" s="75" t="s">
        <v>26</v>
      </c>
      <c r="I1708" t="str">
        <f t="shared" si="26"/>
        <v>X</v>
      </c>
      <c r="K1708" s="77"/>
      <c r="L1708" s="77"/>
      <c r="M1708" s="77"/>
      <c r="N1708" s="77"/>
      <c r="W1708" s="78"/>
    </row>
    <row r="1709" spans="1:23" s="75" customFormat="1" hidden="1" x14ac:dyDescent="0.35">
      <c r="A1709" s="75">
        <v>1705</v>
      </c>
      <c r="B1709" s="75">
        <v>1706</v>
      </c>
      <c r="C1709">
        <v>146.0309499</v>
      </c>
      <c r="D1709">
        <v>-17.526225629999999</v>
      </c>
      <c r="G1709" s="75">
        <v>101</v>
      </c>
      <c r="H1709" s="75" t="s">
        <v>26</v>
      </c>
      <c r="I1709" t="str">
        <f t="shared" si="26"/>
        <v>X</v>
      </c>
      <c r="K1709" s="77"/>
      <c r="L1709" s="77"/>
      <c r="M1709" s="77"/>
      <c r="N1709" s="77"/>
      <c r="W1709" s="78"/>
    </row>
    <row r="1710" spans="1:23" s="75" customFormat="1" hidden="1" x14ac:dyDescent="0.35">
      <c r="A1710" s="75">
        <v>1706</v>
      </c>
      <c r="B1710" s="75">
        <v>1707</v>
      </c>
      <c r="C1710">
        <v>146.03101899999999</v>
      </c>
      <c r="D1710">
        <v>-17.526161429999998</v>
      </c>
      <c r="G1710" s="75">
        <v>101</v>
      </c>
      <c r="H1710" s="75" t="s">
        <v>26</v>
      </c>
      <c r="I1710" t="str">
        <f t="shared" si="26"/>
        <v>X</v>
      </c>
      <c r="K1710" s="77"/>
      <c r="L1710" s="77"/>
      <c r="M1710" s="77"/>
      <c r="N1710" s="77"/>
      <c r="W1710" s="78"/>
    </row>
    <row r="1711" spans="1:23" s="75" customFormat="1" hidden="1" x14ac:dyDescent="0.35">
      <c r="A1711" s="75">
        <v>1707</v>
      </c>
      <c r="B1711" s="75">
        <v>1708</v>
      </c>
      <c r="C1711">
        <v>146.03108810000001</v>
      </c>
      <c r="D1711">
        <v>-17.526097320000002</v>
      </c>
      <c r="G1711" s="75">
        <v>101</v>
      </c>
      <c r="H1711" s="75" t="s">
        <v>26</v>
      </c>
      <c r="I1711" t="str">
        <f t="shared" si="26"/>
        <v>X</v>
      </c>
      <c r="K1711" s="77"/>
      <c r="L1711" s="77"/>
      <c r="M1711" s="77"/>
      <c r="N1711" s="77"/>
      <c r="W1711" s="78"/>
    </row>
    <row r="1712" spans="1:23" s="75" customFormat="1" hidden="1" x14ac:dyDescent="0.35">
      <c r="A1712" s="75">
        <v>1708</v>
      </c>
      <c r="B1712" s="75">
        <v>1709</v>
      </c>
      <c r="C1712">
        <v>146.0311581</v>
      </c>
      <c r="D1712">
        <v>-17.52603405</v>
      </c>
      <c r="G1712" s="75">
        <v>101</v>
      </c>
      <c r="H1712" s="75" t="s">
        <v>26</v>
      </c>
      <c r="I1712" t="str">
        <f t="shared" si="26"/>
        <v>X</v>
      </c>
      <c r="K1712" s="77"/>
      <c r="L1712" s="77"/>
      <c r="M1712" s="77"/>
      <c r="N1712" s="77"/>
      <c r="W1712" s="78"/>
    </row>
    <row r="1713" spans="1:23" s="75" customFormat="1" hidden="1" x14ac:dyDescent="0.35">
      <c r="A1713" s="75">
        <v>1709</v>
      </c>
      <c r="B1713" s="75">
        <v>1710</v>
      </c>
      <c r="C1713">
        <v>146.031228</v>
      </c>
      <c r="D1713">
        <v>-17.525970789999999</v>
      </c>
      <c r="G1713" s="75">
        <v>101</v>
      </c>
      <c r="H1713" s="75" t="s">
        <v>26</v>
      </c>
      <c r="I1713" t="str">
        <f t="shared" si="26"/>
        <v>X</v>
      </c>
      <c r="K1713" s="77"/>
      <c r="L1713" s="77"/>
      <c r="M1713" s="77"/>
      <c r="N1713" s="77"/>
      <c r="W1713" s="78"/>
    </row>
    <row r="1714" spans="1:23" s="75" customFormat="1" hidden="1" x14ac:dyDescent="0.35">
      <c r="A1714" s="75">
        <v>1710</v>
      </c>
      <c r="B1714" s="75">
        <v>1711</v>
      </c>
      <c r="C1714">
        <v>146.0312979</v>
      </c>
      <c r="D1714">
        <v>-17.525907520000001</v>
      </c>
      <c r="G1714" s="75">
        <v>101</v>
      </c>
      <c r="H1714" s="75" t="s">
        <v>26</v>
      </c>
      <c r="I1714" t="str">
        <f t="shared" si="26"/>
        <v>X</v>
      </c>
      <c r="K1714" s="77"/>
      <c r="L1714" s="77"/>
      <c r="M1714" s="77"/>
      <c r="N1714" s="77"/>
      <c r="W1714" s="78"/>
    </row>
    <row r="1715" spans="1:23" s="75" customFormat="1" hidden="1" x14ac:dyDescent="0.35">
      <c r="A1715" s="75">
        <v>1711</v>
      </c>
      <c r="B1715" s="75">
        <v>1712</v>
      </c>
      <c r="C1715">
        <v>146.03136789999999</v>
      </c>
      <c r="D1715">
        <v>-17.52584426</v>
      </c>
      <c r="G1715" s="75">
        <v>101</v>
      </c>
      <c r="H1715" s="75" t="s">
        <v>26</v>
      </c>
      <c r="I1715" t="str">
        <f t="shared" si="26"/>
        <v>X</v>
      </c>
      <c r="K1715" s="77"/>
      <c r="L1715" s="77"/>
      <c r="M1715" s="77"/>
      <c r="N1715" s="77"/>
      <c r="W1715" s="78"/>
    </row>
    <row r="1716" spans="1:23" s="75" customFormat="1" hidden="1" x14ac:dyDescent="0.35">
      <c r="A1716" s="75">
        <v>1712</v>
      </c>
      <c r="B1716" s="75">
        <v>1713</v>
      </c>
      <c r="C1716">
        <v>146.03143119999999</v>
      </c>
      <c r="D1716">
        <v>-17.525774810000001</v>
      </c>
      <c r="G1716" s="75">
        <v>101</v>
      </c>
      <c r="H1716" s="75" t="s">
        <v>26</v>
      </c>
      <c r="I1716" t="str">
        <f t="shared" si="26"/>
        <v>X</v>
      </c>
      <c r="K1716" s="77"/>
      <c r="L1716" s="77"/>
      <c r="M1716" s="77"/>
      <c r="N1716" s="77"/>
      <c r="W1716" s="78"/>
    </row>
    <row r="1717" spans="1:23" s="75" customFormat="1" hidden="1" x14ac:dyDescent="0.35">
      <c r="A1717" s="75">
        <v>1713</v>
      </c>
      <c r="B1717" s="75">
        <v>1714</v>
      </c>
      <c r="C1717">
        <v>146.0314898</v>
      </c>
      <c r="D1717">
        <v>-17.52570094</v>
      </c>
      <c r="G1717" s="75">
        <v>101</v>
      </c>
      <c r="H1717" s="75" t="s">
        <v>26</v>
      </c>
      <c r="I1717" t="str">
        <f t="shared" si="26"/>
        <v>X</v>
      </c>
      <c r="K1717" s="77"/>
      <c r="L1717" s="77"/>
      <c r="M1717" s="77"/>
      <c r="N1717" s="77"/>
      <c r="W1717" s="78"/>
    </row>
    <row r="1718" spans="1:23" s="75" customFormat="1" hidden="1" x14ac:dyDescent="0.35">
      <c r="A1718" s="75">
        <v>1714</v>
      </c>
      <c r="B1718" s="75">
        <v>1715</v>
      </c>
      <c r="C1718">
        <v>146.03154839999999</v>
      </c>
      <c r="D1718">
        <v>-17.525627069999999</v>
      </c>
      <c r="G1718" s="75">
        <v>101</v>
      </c>
      <c r="H1718" s="75" t="s">
        <v>26</v>
      </c>
      <c r="I1718" t="str">
        <f t="shared" si="26"/>
        <v>X</v>
      </c>
      <c r="K1718" s="77"/>
      <c r="L1718" s="77"/>
      <c r="M1718" s="77"/>
      <c r="N1718" s="77"/>
      <c r="W1718" s="78"/>
    </row>
    <row r="1719" spans="1:23" s="75" customFormat="1" hidden="1" x14ac:dyDescent="0.35">
      <c r="A1719" s="75">
        <v>1715</v>
      </c>
      <c r="B1719" s="75">
        <v>1716</v>
      </c>
      <c r="C1719">
        <v>146.03161650000001</v>
      </c>
      <c r="D1719">
        <v>-17.525562440000002</v>
      </c>
      <c r="G1719" s="75">
        <v>101</v>
      </c>
      <c r="H1719" s="75" t="s">
        <v>26</v>
      </c>
      <c r="I1719" t="str">
        <f t="shared" si="26"/>
        <v>X</v>
      </c>
      <c r="K1719" s="77"/>
      <c r="L1719" s="77"/>
      <c r="M1719" s="77"/>
      <c r="N1719" s="77"/>
      <c r="W1719" s="78"/>
    </row>
    <row r="1720" spans="1:23" s="75" customFormat="1" hidden="1" x14ac:dyDescent="0.35">
      <c r="A1720" s="75">
        <v>1716</v>
      </c>
      <c r="B1720" s="75">
        <v>1717</v>
      </c>
      <c r="C1720">
        <v>146.031689</v>
      </c>
      <c r="D1720">
        <v>-17.52550213</v>
      </c>
      <c r="G1720" s="75">
        <v>101</v>
      </c>
      <c r="H1720" s="75" t="s">
        <v>26</v>
      </c>
      <c r="I1720" t="str">
        <f t="shared" si="26"/>
        <v>X</v>
      </c>
      <c r="K1720" s="77"/>
      <c r="L1720" s="77"/>
      <c r="M1720" s="77"/>
      <c r="N1720" s="77"/>
      <c r="W1720" s="78"/>
    </row>
    <row r="1721" spans="1:23" s="75" customFormat="1" hidden="1" x14ac:dyDescent="0.35">
      <c r="A1721" s="75">
        <v>1717</v>
      </c>
      <c r="B1721" s="75">
        <v>1718</v>
      </c>
      <c r="C1721">
        <v>146.03176149999999</v>
      </c>
      <c r="D1721">
        <v>-17.52544181</v>
      </c>
      <c r="G1721" s="75">
        <v>101</v>
      </c>
      <c r="H1721" s="75" t="s">
        <v>26</v>
      </c>
      <c r="I1721" t="str">
        <f t="shared" si="26"/>
        <v>X</v>
      </c>
      <c r="K1721" s="77"/>
      <c r="L1721" s="77"/>
      <c r="M1721" s="77"/>
      <c r="N1721" s="77"/>
      <c r="W1721" s="78"/>
    </row>
    <row r="1722" spans="1:23" s="75" customFormat="1" hidden="1" x14ac:dyDescent="0.35">
      <c r="A1722" s="75">
        <v>1718</v>
      </c>
      <c r="B1722" s="75">
        <v>1719</v>
      </c>
      <c r="C1722">
        <v>146.03184189999999</v>
      </c>
      <c r="D1722">
        <v>-17.52539488</v>
      </c>
      <c r="G1722" s="75">
        <v>101</v>
      </c>
      <c r="H1722" s="75" t="s">
        <v>26</v>
      </c>
      <c r="I1722" t="str">
        <f t="shared" si="26"/>
        <v>X</v>
      </c>
      <c r="K1722" s="77"/>
      <c r="L1722" s="77"/>
      <c r="M1722" s="77"/>
      <c r="N1722" s="77"/>
      <c r="W1722" s="78"/>
    </row>
    <row r="1723" spans="1:23" s="75" customFormat="1" hidden="1" x14ac:dyDescent="0.35">
      <c r="A1723" s="75">
        <v>1719</v>
      </c>
      <c r="B1723" s="75">
        <v>1720</v>
      </c>
      <c r="C1723">
        <v>146.03192970000001</v>
      </c>
      <c r="D1723">
        <v>-17.525360410000001</v>
      </c>
      <c r="G1723" s="75">
        <v>101</v>
      </c>
      <c r="H1723" s="75" t="s">
        <v>26</v>
      </c>
      <c r="I1723" t="str">
        <f t="shared" si="26"/>
        <v>X</v>
      </c>
      <c r="K1723" s="77"/>
      <c r="L1723" s="77"/>
      <c r="M1723" s="77"/>
      <c r="N1723" s="77"/>
      <c r="W1723" s="78"/>
    </row>
    <row r="1724" spans="1:23" s="75" customFormat="1" hidden="1" x14ac:dyDescent="0.35">
      <c r="A1724" s="75">
        <v>1720</v>
      </c>
      <c r="B1724" s="75">
        <v>1721</v>
      </c>
      <c r="C1724">
        <v>146.03201749999999</v>
      </c>
      <c r="D1724">
        <v>-17.525325930000001</v>
      </c>
      <c r="G1724" s="75">
        <v>101</v>
      </c>
      <c r="H1724" s="75" t="s">
        <v>26</v>
      </c>
      <c r="I1724" t="str">
        <f t="shared" si="26"/>
        <v>X</v>
      </c>
      <c r="K1724" s="77"/>
      <c r="L1724" s="77"/>
      <c r="M1724" s="77"/>
      <c r="N1724" s="77"/>
      <c r="W1724" s="78"/>
    </row>
    <row r="1725" spans="1:23" s="75" customFormat="1" hidden="1" x14ac:dyDescent="0.35">
      <c r="A1725" s="75">
        <v>1721</v>
      </c>
      <c r="B1725" s="75">
        <v>1722</v>
      </c>
      <c r="C1725">
        <v>146.03210519999999</v>
      </c>
      <c r="D1725">
        <v>-17.525291459999998</v>
      </c>
      <c r="G1725" s="75">
        <v>101</v>
      </c>
      <c r="H1725" s="75" t="s">
        <v>26</v>
      </c>
      <c r="I1725" t="str">
        <f t="shared" si="26"/>
        <v>X</v>
      </c>
      <c r="K1725" s="77"/>
      <c r="L1725" s="77"/>
      <c r="M1725" s="77"/>
      <c r="N1725" s="77"/>
      <c r="W1725" s="78"/>
    </row>
    <row r="1726" spans="1:23" s="75" customFormat="1" hidden="1" x14ac:dyDescent="0.35">
      <c r="A1726" s="75">
        <v>1722</v>
      </c>
      <c r="B1726" s="75">
        <v>1723</v>
      </c>
      <c r="C1726">
        <v>146.03219150000001</v>
      </c>
      <c r="D1726">
        <v>-17.525253320000001</v>
      </c>
      <c r="G1726" s="75">
        <v>101</v>
      </c>
      <c r="H1726" s="75" t="s">
        <v>26</v>
      </c>
      <c r="I1726" t="str">
        <f t="shared" si="26"/>
        <v>X</v>
      </c>
      <c r="K1726" s="77"/>
      <c r="L1726" s="77"/>
      <c r="M1726" s="77"/>
      <c r="N1726" s="77"/>
      <c r="W1726" s="78"/>
    </row>
    <row r="1727" spans="1:23" s="75" customFormat="1" hidden="1" x14ac:dyDescent="0.35">
      <c r="A1727" s="75">
        <v>1723</v>
      </c>
      <c r="B1727" s="75">
        <v>1724</v>
      </c>
      <c r="C1727">
        <v>146.03227770000001</v>
      </c>
      <c r="D1727">
        <v>-17.52521501</v>
      </c>
      <c r="G1727" s="75">
        <v>101</v>
      </c>
      <c r="H1727" s="75" t="s">
        <v>26</v>
      </c>
      <c r="I1727" t="str">
        <f t="shared" si="26"/>
        <v>X</v>
      </c>
      <c r="K1727" s="77"/>
      <c r="L1727" s="77"/>
      <c r="M1727" s="77"/>
      <c r="N1727" s="77"/>
      <c r="W1727" s="78"/>
    </row>
    <row r="1728" spans="1:23" s="75" customFormat="1" hidden="1" x14ac:dyDescent="0.35">
      <c r="A1728" s="75">
        <v>1724</v>
      </c>
      <c r="B1728" s="75">
        <v>1725</v>
      </c>
      <c r="C1728">
        <v>146.03236380000001</v>
      </c>
      <c r="D1728">
        <v>-17.525176699999999</v>
      </c>
      <c r="G1728" s="75">
        <v>101</v>
      </c>
      <c r="H1728" s="75" t="s">
        <v>26</v>
      </c>
      <c r="I1728" t="str">
        <f t="shared" si="26"/>
        <v>X</v>
      </c>
      <c r="K1728" s="77"/>
      <c r="L1728" s="77"/>
      <c r="M1728" s="77"/>
      <c r="N1728" s="77"/>
      <c r="W1728" s="78"/>
    </row>
    <row r="1729" spans="1:23" s="75" customFormat="1" hidden="1" x14ac:dyDescent="0.35">
      <c r="A1729" s="75">
        <v>1725</v>
      </c>
      <c r="B1729" s="75">
        <v>1726</v>
      </c>
      <c r="C1729">
        <v>146.032445</v>
      </c>
      <c r="D1729">
        <v>-17.525129069999998</v>
      </c>
      <c r="G1729" s="75">
        <v>101</v>
      </c>
      <c r="H1729" s="75" t="s">
        <v>26</v>
      </c>
      <c r="I1729" t="str">
        <f t="shared" si="26"/>
        <v>X</v>
      </c>
      <c r="K1729" s="77"/>
      <c r="L1729" s="77"/>
      <c r="M1729" s="77"/>
      <c r="N1729" s="77"/>
      <c r="W1729" s="78"/>
    </row>
    <row r="1730" spans="1:23" s="75" customFormat="1" hidden="1" x14ac:dyDescent="0.35">
      <c r="A1730" s="75">
        <v>1726</v>
      </c>
      <c r="B1730" s="75">
        <v>1727</v>
      </c>
      <c r="C1730">
        <v>146.03252430000001</v>
      </c>
      <c r="D1730">
        <v>-17.525078090000001</v>
      </c>
      <c r="G1730" s="75">
        <v>101</v>
      </c>
      <c r="H1730" s="75" t="s">
        <v>26</v>
      </c>
      <c r="I1730" t="str">
        <f t="shared" si="26"/>
        <v>X</v>
      </c>
      <c r="K1730" s="77"/>
      <c r="L1730" s="77"/>
      <c r="M1730" s="77"/>
      <c r="N1730" s="77"/>
      <c r="W1730" s="78"/>
    </row>
    <row r="1731" spans="1:23" s="75" customFormat="1" hidden="1" x14ac:dyDescent="0.35">
      <c r="A1731" s="75">
        <v>1727</v>
      </c>
      <c r="B1731" s="75">
        <v>1728</v>
      </c>
      <c r="C1731">
        <v>146.03260370000001</v>
      </c>
      <c r="D1731">
        <v>-17.525027120000001</v>
      </c>
      <c r="G1731" s="75">
        <v>101</v>
      </c>
      <c r="H1731" s="75" t="s">
        <v>26</v>
      </c>
      <c r="I1731" t="str">
        <f t="shared" si="26"/>
        <v>X</v>
      </c>
      <c r="K1731" s="77"/>
      <c r="L1731" s="77"/>
      <c r="M1731" s="77"/>
      <c r="N1731" s="77"/>
      <c r="W1731" s="78"/>
    </row>
    <row r="1732" spans="1:23" s="75" customFormat="1" hidden="1" x14ac:dyDescent="0.35">
      <c r="A1732" s="75">
        <v>1728</v>
      </c>
      <c r="B1732" s="75">
        <v>1729</v>
      </c>
      <c r="C1732">
        <v>146.03266679999999</v>
      </c>
      <c r="D1732">
        <v>-17.524958829999999</v>
      </c>
      <c r="G1732" s="75">
        <v>101</v>
      </c>
      <c r="H1732" s="75" t="s">
        <v>26</v>
      </c>
      <c r="I1732" t="str">
        <f t="shared" si="26"/>
        <v>X</v>
      </c>
      <c r="K1732" s="77"/>
      <c r="L1732" s="77"/>
      <c r="M1732" s="77"/>
      <c r="N1732" s="77"/>
      <c r="W1732" s="78"/>
    </row>
    <row r="1733" spans="1:23" s="75" customFormat="1" hidden="1" x14ac:dyDescent="0.35">
      <c r="A1733" s="75">
        <v>1729</v>
      </c>
      <c r="B1733" s="75">
        <v>1730</v>
      </c>
      <c r="C1733">
        <v>146.03272269999999</v>
      </c>
      <c r="D1733">
        <v>-17.52488293</v>
      </c>
      <c r="G1733" s="75">
        <v>101</v>
      </c>
      <c r="H1733" s="75" t="s">
        <v>26</v>
      </c>
      <c r="I1733" t="str">
        <f t="shared" ref="I1733:I1796" si="27">IF(H1733="X","X",IF(J1733="NA","X",IF(J1733="","X",J1733)))</f>
        <v>X</v>
      </c>
      <c r="K1733" s="77"/>
      <c r="L1733" s="77"/>
      <c r="M1733" s="77"/>
      <c r="N1733" s="77"/>
      <c r="W1733" s="78"/>
    </row>
    <row r="1734" spans="1:23" s="75" customFormat="1" hidden="1" x14ac:dyDescent="0.35">
      <c r="A1734" s="75">
        <v>1730</v>
      </c>
      <c r="B1734" s="75">
        <v>1731</v>
      </c>
      <c r="C1734">
        <v>146.03277869999999</v>
      </c>
      <c r="D1734">
        <v>-17.524807039999999</v>
      </c>
      <c r="G1734" s="75">
        <v>101</v>
      </c>
      <c r="H1734" s="75" t="s">
        <v>26</v>
      </c>
      <c r="I1734" t="str">
        <f t="shared" si="27"/>
        <v>X</v>
      </c>
      <c r="K1734" s="77"/>
      <c r="L1734" s="77"/>
      <c r="M1734" s="77"/>
      <c r="N1734" s="77"/>
      <c r="W1734" s="78"/>
    </row>
    <row r="1735" spans="1:23" s="75" customFormat="1" hidden="1" x14ac:dyDescent="0.35">
      <c r="A1735" s="75">
        <v>1731</v>
      </c>
      <c r="B1735" s="75">
        <v>1732</v>
      </c>
      <c r="C1735">
        <v>146.03282820000001</v>
      </c>
      <c r="D1735">
        <v>-17.524726820000001</v>
      </c>
      <c r="G1735" s="75">
        <v>101</v>
      </c>
      <c r="H1735" s="75" t="s">
        <v>26</v>
      </c>
      <c r="I1735" t="str">
        <f t="shared" si="27"/>
        <v>X</v>
      </c>
      <c r="K1735" s="77"/>
      <c r="L1735" s="77"/>
      <c r="M1735" s="77"/>
      <c r="N1735" s="77"/>
      <c r="W1735" s="78"/>
    </row>
    <row r="1736" spans="1:23" s="75" customFormat="1" hidden="1" x14ac:dyDescent="0.35">
      <c r="A1736" s="75">
        <v>1732</v>
      </c>
      <c r="B1736" s="75">
        <v>1733</v>
      </c>
      <c r="C1736">
        <v>146.0328767</v>
      </c>
      <c r="D1736">
        <v>-17.524645960000001</v>
      </c>
      <c r="F1736" s="75" t="str">
        <f>HYPERLINK("E:\Data From Lucan\2024\Johnstone\Frames_for_Analysis\1733_20240610_0003_L_1475.jpg","1733_20240610_0003_L_1475.jpg")</f>
        <v>1733_20240610_0003_L_1475.jpg</v>
      </c>
      <c r="G1736" s="75">
        <v>101</v>
      </c>
      <c r="I1736" t="str">
        <f t="shared" si="27"/>
        <v>X</v>
      </c>
      <c r="J1736" s="75" t="s">
        <v>3958</v>
      </c>
      <c r="K1736" s="77"/>
      <c r="L1736" s="77"/>
      <c r="M1736" s="77"/>
      <c r="N1736" s="77"/>
      <c r="O1736" s="75" t="s">
        <v>3958</v>
      </c>
      <c r="P1736" s="75">
        <v>0</v>
      </c>
      <c r="Q1736" s="75">
        <v>0</v>
      </c>
      <c r="R1736" s="75">
        <v>0</v>
      </c>
      <c r="S1736" s="75">
        <v>0</v>
      </c>
      <c r="T1736" s="75">
        <v>0</v>
      </c>
      <c r="U1736" s="75">
        <v>0</v>
      </c>
      <c r="V1736" s="75">
        <v>0</v>
      </c>
      <c r="W1736" s="78"/>
    </row>
    <row r="1737" spans="1:23" s="75" customFormat="1" hidden="1" x14ac:dyDescent="0.35">
      <c r="A1737" s="75">
        <v>1733</v>
      </c>
      <c r="B1737" s="75">
        <v>1734</v>
      </c>
      <c r="C1737">
        <v>146.0329285</v>
      </c>
      <c r="D1737">
        <v>-17.524567319999999</v>
      </c>
      <c r="G1737" s="75">
        <v>101</v>
      </c>
      <c r="H1737" s="75" t="s">
        <v>26</v>
      </c>
      <c r="I1737" t="str">
        <f t="shared" si="27"/>
        <v>X</v>
      </c>
      <c r="K1737" s="77"/>
      <c r="L1737" s="77"/>
      <c r="M1737" s="77"/>
      <c r="N1737" s="77"/>
      <c r="W1737" s="78"/>
    </row>
    <row r="1738" spans="1:23" s="75" customFormat="1" hidden="1" x14ac:dyDescent="0.35">
      <c r="A1738" s="75">
        <v>1734</v>
      </c>
      <c r="B1738" s="75">
        <v>1735</v>
      </c>
      <c r="C1738">
        <v>146.0329868</v>
      </c>
      <c r="D1738">
        <v>-17.524493209999999</v>
      </c>
      <c r="G1738" s="75">
        <v>101</v>
      </c>
      <c r="H1738" s="75" t="s">
        <v>26</v>
      </c>
      <c r="I1738" t="str">
        <f t="shared" si="27"/>
        <v>X</v>
      </c>
      <c r="K1738" s="77"/>
      <c r="L1738" s="77"/>
      <c r="M1738" s="77"/>
      <c r="N1738" s="77"/>
      <c r="W1738" s="78"/>
    </row>
    <row r="1739" spans="1:23" s="75" customFormat="1" x14ac:dyDescent="0.35">
      <c r="A1739" s="75">
        <v>1735</v>
      </c>
      <c r="B1739" s="75">
        <v>1736</v>
      </c>
      <c r="C1739">
        <v>146.03304510000001</v>
      </c>
      <c r="D1739">
        <v>-17.52441911</v>
      </c>
      <c r="G1739">
        <v>4</v>
      </c>
      <c r="H1739" s="75" t="s">
        <v>26</v>
      </c>
      <c r="I1739" t="str">
        <f t="shared" si="27"/>
        <v>X</v>
      </c>
      <c r="K1739" s="77"/>
      <c r="L1739" s="77"/>
      <c r="M1739" s="77"/>
      <c r="N1739" s="77"/>
      <c r="W1739" s="78"/>
    </row>
    <row r="1740" spans="1:23" x14ac:dyDescent="0.35">
      <c r="A1740">
        <v>1736</v>
      </c>
      <c r="B1740">
        <v>1737</v>
      </c>
      <c r="C1740">
        <v>146.03307169999999</v>
      </c>
      <c r="D1740">
        <v>-17.524332600000001</v>
      </c>
      <c r="F1740" t="str">
        <f>HYPERLINK("D:\Data From Lucan\2024\Johnstone\Frames_for_Analysis\1737_20240610_0003_L_1477.jpg","1737_20240610_0003_L_1477.jpg")</f>
        <v>1737_20240610_0003_L_1477.jpg</v>
      </c>
      <c r="G1740">
        <v>4</v>
      </c>
      <c r="I1740">
        <f t="shared" si="27"/>
        <v>1</v>
      </c>
      <c r="J1740" s="58">
        <v>1</v>
      </c>
      <c r="K1740" s="32"/>
      <c r="L1740" s="32"/>
      <c r="M1740" s="32"/>
      <c r="N1740" s="32"/>
      <c r="O1740">
        <v>2</v>
      </c>
      <c r="P1740" s="58">
        <v>1</v>
      </c>
      <c r="Q1740" s="58">
        <v>0</v>
      </c>
      <c r="R1740" s="58">
        <v>0</v>
      </c>
      <c r="S1740" s="58">
        <v>0</v>
      </c>
      <c r="T1740" s="58">
        <v>0</v>
      </c>
      <c r="U1740" s="58">
        <v>0</v>
      </c>
      <c r="V1740" s="58">
        <v>0</v>
      </c>
      <c r="W1740" s="4">
        <v>1</v>
      </c>
    </row>
    <row r="1741" spans="1:23" x14ac:dyDescent="0.35">
      <c r="A1741">
        <v>1737</v>
      </c>
      <c r="B1741">
        <v>1738</v>
      </c>
      <c r="C1741">
        <v>146.03307899999999</v>
      </c>
      <c r="D1741">
        <v>-17.524238579999999</v>
      </c>
      <c r="F1741" t="str">
        <f>HYPERLINK("D:\Data From Lucan\2024\Johnstone\Frames_for_Analysis\1738_20240610_0003_L_1478.jpg","1738_20240610_0003_L_1478.jpg")</f>
        <v>1738_20240610_0003_L_1478.jpg</v>
      </c>
      <c r="G1741">
        <v>4</v>
      </c>
      <c r="I1741">
        <f t="shared" si="27"/>
        <v>1</v>
      </c>
      <c r="J1741" s="58">
        <v>1</v>
      </c>
      <c r="K1741" s="32"/>
      <c r="L1741" s="32"/>
      <c r="M1741" s="32"/>
      <c r="N1741" s="32"/>
      <c r="O1741">
        <v>2</v>
      </c>
      <c r="P1741" s="58">
        <v>1</v>
      </c>
      <c r="Q1741" s="58">
        <v>0</v>
      </c>
      <c r="R1741" s="58">
        <v>0</v>
      </c>
      <c r="S1741" s="58">
        <v>0</v>
      </c>
      <c r="T1741" s="58">
        <v>0</v>
      </c>
      <c r="U1741" s="58">
        <v>0</v>
      </c>
      <c r="V1741" s="58">
        <v>0</v>
      </c>
      <c r="W1741" s="4">
        <v>1</v>
      </c>
    </row>
    <row r="1742" spans="1:23" x14ac:dyDescent="0.35">
      <c r="A1742">
        <v>1738</v>
      </c>
      <c r="B1742">
        <v>1739</v>
      </c>
      <c r="C1742">
        <v>146.03306979999999</v>
      </c>
      <c r="D1742">
        <v>-17.5241449</v>
      </c>
      <c r="F1742" t="str">
        <f>HYPERLINK("D:\Data From Lucan\2024\Johnstone\Frames_for_Analysis\1739_20240610_0003_L_1481.jpg","1739_20240610_0003_L_1481.jpg")</f>
        <v>1739_20240610_0003_L_1481.jpg</v>
      </c>
      <c r="G1742">
        <v>4</v>
      </c>
      <c r="I1742">
        <f t="shared" si="27"/>
        <v>1</v>
      </c>
      <c r="J1742" s="58">
        <v>1</v>
      </c>
      <c r="K1742" s="32"/>
      <c r="L1742" s="32"/>
      <c r="M1742" s="32"/>
      <c r="N1742" s="32"/>
      <c r="O1742">
        <v>2</v>
      </c>
      <c r="P1742" s="58">
        <v>1</v>
      </c>
      <c r="Q1742" s="58">
        <v>0</v>
      </c>
      <c r="R1742" s="58">
        <v>2</v>
      </c>
      <c r="S1742" s="58">
        <v>0</v>
      </c>
      <c r="T1742" s="58">
        <v>0</v>
      </c>
      <c r="U1742" s="58">
        <v>0</v>
      </c>
      <c r="V1742" s="58">
        <v>0</v>
      </c>
      <c r="W1742" s="4">
        <v>1</v>
      </c>
    </row>
    <row r="1743" spans="1:23" x14ac:dyDescent="0.35">
      <c r="A1743">
        <v>1739</v>
      </c>
      <c r="B1743">
        <v>1740</v>
      </c>
      <c r="C1743">
        <v>146.0330586</v>
      </c>
      <c r="D1743">
        <v>-17.52405126</v>
      </c>
      <c r="F1743" t="str">
        <f>HYPERLINK("D:\Data From Lucan\2024\Johnstone\Frames_for_Analysis\1740_20240610_0003_L_1483.jpg","1740_20240610_0003_L_1483.jpg")</f>
        <v>1740_20240610_0003_L_1483.jpg</v>
      </c>
      <c r="G1743">
        <v>4</v>
      </c>
      <c r="I1743">
        <f t="shared" si="27"/>
        <v>1</v>
      </c>
      <c r="J1743" s="58">
        <v>1</v>
      </c>
      <c r="K1743" s="32"/>
      <c r="L1743" s="32"/>
      <c r="M1743" s="32"/>
      <c r="N1743" s="32"/>
      <c r="O1743">
        <v>2</v>
      </c>
      <c r="P1743" s="58">
        <v>1</v>
      </c>
      <c r="Q1743" s="58">
        <v>0</v>
      </c>
      <c r="R1743" s="58">
        <v>0</v>
      </c>
      <c r="S1743" s="58">
        <v>0</v>
      </c>
      <c r="T1743" s="58">
        <v>0</v>
      </c>
      <c r="U1743" s="58">
        <v>0</v>
      </c>
      <c r="V1743" s="58">
        <v>0</v>
      </c>
      <c r="W1743" s="4">
        <v>1</v>
      </c>
    </row>
    <row r="1744" spans="1:23" x14ac:dyDescent="0.35">
      <c r="A1744">
        <v>1740</v>
      </c>
      <c r="B1744">
        <v>1741</v>
      </c>
      <c r="C1744">
        <v>146.0330447</v>
      </c>
      <c r="D1744">
        <v>-17.52395868</v>
      </c>
      <c r="F1744" t="str">
        <f>HYPERLINK("D:\Data From Lucan\2024\Johnstone\Frames_for_Analysis\1741_20240610_0003_L_1489.jpg","1741_20240610_0003_L_1489.jpg")</f>
        <v>1741_20240610_0003_L_1489.jpg</v>
      </c>
      <c r="G1744">
        <v>4</v>
      </c>
      <c r="I1744">
        <f t="shared" si="27"/>
        <v>1</v>
      </c>
      <c r="J1744" s="58">
        <v>1</v>
      </c>
      <c r="K1744" s="32"/>
      <c r="L1744" s="32"/>
      <c r="M1744" s="32"/>
      <c r="N1744" s="32"/>
      <c r="O1744">
        <v>2</v>
      </c>
      <c r="P1744" s="58">
        <v>1</v>
      </c>
      <c r="Q1744" s="58">
        <v>0</v>
      </c>
      <c r="R1744" s="58">
        <v>0</v>
      </c>
      <c r="S1744" s="58">
        <v>0</v>
      </c>
      <c r="T1744" s="58">
        <v>0</v>
      </c>
      <c r="U1744" s="58">
        <v>0</v>
      </c>
      <c r="V1744" s="58">
        <v>0</v>
      </c>
      <c r="W1744" s="4">
        <v>1</v>
      </c>
    </row>
    <row r="1745" spans="1:23" x14ac:dyDescent="0.35">
      <c r="A1745">
        <v>1741</v>
      </c>
      <c r="B1745">
        <v>1742</v>
      </c>
      <c r="C1745">
        <v>146.03299039999999</v>
      </c>
      <c r="D1745">
        <v>-17.523881530000001</v>
      </c>
      <c r="F1745" t="str">
        <f>HYPERLINK("D:\Data From Lucan\2024\Johnstone\Frames_for_Analysis\1742_20240610_0003_L_1495.jpg","1742_20240610_0003_L_1495.jpg")</f>
        <v>1742_20240610_0003_L_1495.jpg</v>
      </c>
      <c r="G1745">
        <v>4</v>
      </c>
      <c r="I1745">
        <f t="shared" si="27"/>
        <v>1</v>
      </c>
      <c r="J1745" s="58">
        <v>1</v>
      </c>
      <c r="K1745" s="32"/>
      <c r="L1745" s="32"/>
      <c r="M1745" s="32"/>
      <c r="N1745" s="32"/>
      <c r="O1745">
        <v>2</v>
      </c>
      <c r="P1745" s="58">
        <v>1</v>
      </c>
      <c r="Q1745" s="58">
        <v>0</v>
      </c>
      <c r="R1745" s="58">
        <v>0</v>
      </c>
      <c r="S1745" s="58">
        <v>0</v>
      </c>
      <c r="T1745" s="58">
        <v>0</v>
      </c>
      <c r="U1745" s="58">
        <v>0</v>
      </c>
      <c r="V1745" s="58">
        <v>0</v>
      </c>
      <c r="W1745" s="4">
        <v>1</v>
      </c>
    </row>
    <row r="1746" spans="1:23" x14ac:dyDescent="0.35">
      <c r="A1746">
        <v>1742</v>
      </c>
      <c r="B1746">
        <v>1743</v>
      </c>
      <c r="C1746">
        <v>146.03293619999999</v>
      </c>
      <c r="D1746">
        <v>-17.523804370000001</v>
      </c>
      <c r="F1746" t="str">
        <f>HYPERLINK("D:\Data From Lucan\2024\Johnstone\Frames_for_Analysis\1743_20240610_0003_L_1499.jpg","1743_20240610_0003_L_1499.jpg")</f>
        <v>1743_20240610_0003_L_1499.jpg</v>
      </c>
      <c r="G1746">
        <v>4</v>
      </c>
      <c r="I1746">
        <f t="shared" si="27"/>
        <v>1</v>
      </c>
      <c r="J1746" s="58">
        <v>1</v>
      </c>
      <c r="K1746" s="32"/>
      <c r="L1746" s="32"/>
      <c r="M1746" s="32"/>
      <c r="N1746" s="32"/>
      <c r="O1746">
        <v>2</v>
      </c>
      <c r="P1746" s="58">
        <v>1</v>
      </c>
      <c r="Q1746" s="58">
        <v>0</v>
      </c>
      <c r="R1746" s="58">
        <v>0</v>
      </c>
      <c r="S1746" s="58">
        <v>0</v>
      </c>
      <c r="T1746" s="58">
        <v>0</v>
      </c>
      <c r="U1746" s="58">
        <v>0</v>
      </c>
      <c r="V1746" s="58">
        <v>0</v>
      </c>
      <c r="W1746" s="4">
        <v>1</v>
      </c>
    </row>
    <row r="1747" spans="1:23" x14ac:dyDescent="0.35">
      <c r="A1747">
        <v>1743</v>
      </c>
      <c r="B1747">
        <v>1744</v>
      </c>
      <c r="C1747">
        <v>146.032882</v>
      </c>
      <c r="D1747">
        <v>-17.523727210000001</v>
      </c>
      <c r="F1747" t="str">
        <f>HYPERLINK("D:\Data From Lucan\2024\Johnstone\Frames_for_Analysis\1744_20240610_0003_L_1505.jpg","1744_20240610_0003_L_1505.jpg")</f>
        <v>1744_20240610_0003_L_1505.jpg</v>
      </c>
      <c r="G1747">
        <v>4</v>
      </c>
      <c r="I1747">
        <f t="shared" si="27"/>
        <v>1</v>
      </c>
      <c r="J1747" s="58">
        <v>1</v>
      </c>
      <c r="K1747" s="32"/>
      <c r="L1747" s="32"/>
      <c r="M1747" s="32"/>
      <c r="N1747" s="32"/>
      <c r="O1747">
        <v>2</v>
      </c>
      <c r="P1747" s="58">
        <v>1</v>
      </c>
      <c r="Q1747" s="58">
        <v>0</v>
      </c>
      <c r="R1747" s="58">
        <v>0</v>
      </c>
      <c r="S1747" s="58">
        <v>0</v>
      </c>
      <c r="T1747" s="58">
        <v>0</v>
      </c>
      <c r="U1747" s="58">
        <v>0</v>
      </c>
      <c r="V1747" s="58">
        <v>0</v>
      </c>
      <c r="W1747" s="4">
        <v>1</v>
      </c>
    </row>
    <row r="1748" spans="1:23" x14ac:dyDescent="0.35">
      <c r="A1748">
        <v>1744</v>
      </c>
      <c r="B1748">
        <v>1745</v>
      </c>
      <c r="C1748">
        <v>146.03283160000001</v>
      </c>
      <c r="D1748">
        <v>-17.523647489999998</v>
      </c>
      <c r="F1748" t="str">
        <f>HYPERLINK("D:\Data From Lucan\2024\Johnstone\Frames_for_Analysis\1745_20240610_0003_L_1509.jpg","1745_20240610_0003_L_1509.jpg")</f>
        <v>1745_20240610_0003_L_1509.jpg</v>
      </c>
      <c r="G1748">
        <v>4</v>
      </c>
      <c r="I1748">
        <f t="shared" si="27"/>
        <v>0</v>
      </c>
      <c r="J1748" s="58">
        <v>0</v>
      </c>
      <c r="K1748" s="32"/>
      <c r="L1748" s="32"/>
      <c r="M1748" s="32"/>
      <c r="N1748" s="32"/>
      <c r="O1748">
        <v>2</v>
      </c>
      <c r="P1748" s="58">
        <v>1</v>
      </c>
      <c r="Q1748" s="58">
        <v>1</v>
      </c>
      <c r="R1748" s="58">
        <v>0</v>
      </c>
      <c r="S1748" s="58">
        <v>0</v>
      </c>
      <c r="T1748" s="58">
        <v>0</v>
      </c>
      <c r="U1748" s="58">
        <v>0</v>
      </c>
      <c r="V1748" s="58">
        <v>0</v>
      </c>
      <c r="W1748" s="4">
        <v>2</v>
      </c>
    </row>
    <row r="1749" spans="1:23" x14ac:dyDescent="0.35">
      <c r="A1749">
        <v>1745</v>
      </c>
      <c r="B1749">
        <v>1746</v>
      </c>
      <c r="C1749">
        <v>146.03278119999999</v>
      </c>
      <c r="D1749">
        <v>-17.52356778</v>
      </c>
      <c r="F1749" t="str">
        <f>HYPERLINK("D:\Data From Lucan\2024\Johnstone\Frames_for_Analysis\1746_20240610_0003_L_1514.jpg","1746_20240610_0003_L_1514.jpg")</f>
        <v>1746_20240610_0003_L_1514.jpg</v>
      </c>
      <c r="G1749">
        <v>4</v>
      </c>
      <c r="I1749">
        <f t="shared" si="27"/>
        <v>0</v>
      </c>
      <c r="J1749" s="58">
        <v>0</v>
      </c>
      <c r="K1749" s="32"/>
      <c r="L1749" s="32"/>
      <c r="M1749" s="32"/>
      <c r="N1749" s="32"/>
      <c r="O1749">
        <v>3</v>
      </c>
      <c r="P1749" s="58">
        <v>1</v>
      </c>
      <c r="Q1749" s="58">
        <v>1</v>
      </c>
      <c r="R1749" s="58">
        <v>0</v>
      </c>
      <c r="S1749" s="58">
        <v>0</v>
      </c>
      <c r="T1749" s="58">
        <v>0</v>
      </c>
      <c r="U1749" s="58">
        <v>0</v>
      </c>
      <c r="V1749" s="58">
        <v>0</v>
      </c>
      <c r="W1749" s="4">
        <v>2</v>
      </c>
    </row>
    <row r="1750" spans="1:23" x14ac:dyDescent="0.35">
      <c r="A1750">
        <v>1746</v>
      </c>
      <c r="B1750">
        <v>1747</v>
      </c>
      <c r="C1750">
        <v>146.0327308</v>
      </c>
      <c r="D1750">
        <v>-17.523488069999999</v>
      </c>
      <c r="F1750" t="str">
        <f>HYPERLINK("D:\Data From Lucan\2024\Johnstone\Frames_for_Analysis\1747_20240610_0003_L_1519.jpg","1747_20240610_0003_L_1519.jpg")</f>
        <v>1747_20240610_0003_L_1519.jpg</v>
      </c>
      <c r="G1750">
        <v>4</v>
      </c>
      <c r="I1750">
        <f t="shared" si="27"/>
        <v>0</v>
      </c>
      <c r="J1750" s="58">
        <v>0</v>
      </c>
      <c r="K1750" s="32"/>
      <c r="L1750" s="32"/>
      <c r="M1750" s="32"/>
      <c r="N1750" s="32"/>
      <c r="O1750">
        <v>3</v>
      </c>
      <c r="P1750" s="58">
        <v>1</v>
      </c>
      <c r="Q1750" s="58">
        <v>1</v>
      </c>
      <c r="R1750" s="58">
        <v>0</v>
      </c>
      <c r="S1750" s="58">
        <v>0</v>
      </c>
      <c r="T1750" s="58">
        <v>0</v>
      </c>
      <c r="U1750" s="58">
        <v>0</v>
      </c>
      <c r="V1750" s="58">
        <v>0</v>
      </c>
      <c r="W1750" s="4">
        <v>2</v>
      </c>
    </row>
    <row r="1751" spans="1:23" x14ac:dyDescent="0.35">
      <c r="A1751">
        <v>1747</v>
      </c>
      <c r="B1751">
        <v>1748</v>
      </c>
      <c r="C1751">
        <v>146.0326804</v>
      </c>
      <c r="D1751">
        <v>-17.52340835</v>
      </c>
      <c r="F1751" t="str">
        <f>HYPERLINK("D:\Data From Lucan\2024\Johnstone\Frames_for_Analysis\1748_20240610_0003_L_1526.jpg","1748_20240610_0003_L_1526.jpg")</f>
        <v>1748_20240610_0003_L_1526.jpg</v>
      </c>
      <c r="G1751">
        <v>4</v>
      </c>
      <c r="I1751">
        <f t="shared" si="27"/>
        <v>0</v>
      </c>
      <c r="J1751" s="58">
        <v>0</v>
      </c>
      <c r="K1751" s="32"/>
      <c r="L1751" s="32"/>
      <c r="M1751" s="32"/>
      <c r="N1751" s="32"/>
      <c r="O1751">
        <v>3</v>
      </c>
      <c r="P1751" s="58">
        <v>1</v>
      </c>
      <c r="Q1751" s="58">
        <v>1</v>
      </c>
      <c r="R1751" s="58">
        <v>0</v>
      </c>
      <c r="S1751" s="58">
        <v>0</v>
      </c>
      <c r="T1751" s="58">
        <v>0</v>
      </c>
      <c r="U1751" s="58">
        <v>0</v>
      </c>
      <c r="V1751" s="58">
        <v>0</v>
      </c>
      <c r="W1751" s="4">
        <v>2</v>
      </c>
    </row>
    <row r="1752" spans="1:23" x14ac:dyDescent="0.35">
      <c r="A1752">
        <v>1748</v>
      </c>
      <c r="B1752">
        <v>1749</v>
      </c>
      <c r="C1752">
        <v>146.03263010000001</v>
      </c>
      <c r="D1752">
        <v>-17.523328639999999</v>
      </c>
      <c r="F1752" t="str">
        <f>HYPERLINK("D:\Data From Lucan\2024\Johnstone\Frames_for_Analysis\1749_20240610_0003_L_1533.jpg","1749_20240610_0003_L_1533.jpg")</f>
        <v>1749_20240610_0003_L_1533.jpg</v>
      </c>
      <c r="G1752">
        <v>4</v>
      </c>
      <c r="I1752">
        <f t="shared" si="27"/>
        <v>0</v>
      </c>
      <c r="J1752" s="58">
        <v>0</v>
      </c>
      <c r="K1752" s="32"/>
      <c r="L1752" s="32"/>
      <c r="M1752" s="32"/>
      <c r="N1752" s="32"/>
      <c r="O1752">
        <v>3</v>
      </c>
      <c r="P1752" s="58">
        <v>1</v>
      </c>
      <c r="Q1752" s="58">
        <v>1</v>
      </c>
      <c r="R1752" s="58">
        <v>0</v>
      </c>
      <c r="S1752" s="58">
        <v>0</v>
      </c>
      <c r="T1752" s="58">
        <v>0</v>
      </c>
      <c r="U1752" s="58">
        <v>0</v>
      </c>
      <c r="V1752" s="58">
        <v>0</v>
      </c>
      <c r="W1752" s="4">
        <v>2</v>
      </c>
    </row>
    <row r="1753" spans="1:23" x14ac:dyDescent="0.35">
      <c r="A1753">
        <v>1749</v>
      </c>
      <c r="B1753">
        <v>1750</v>
      </c>
      <c r="C1753">
        <v>146.03257970000001</v>
      </c>
      <c r="D1753">
        <v>-17.523248930000001</v>
      </c>
      <c r="F1753" t="str">
        <f>HYPERLINK("D:\Data From Lucan\2024\Johnstone\Frames_for_Analysis\1750_20240610_0003_L_1537.jpg","1750_20240610_0003_L_1537.jpg")</f>
        <v>1750_20240610_0003_L_1537.jpg</v>
      </c>
      <c r="G1753">
        <v>4</v>
      </c>
      <c r="I1753">
        <f t="shared" si="27"/>
        <v>0</v>
      </c>
      <c r="J1753" s="58">
        <v>0</v>
      </c>
      <c r="K1753" s="32"/>
      <c r="L1753" s="32"/>
      <c r="M1753" s="32"/>
      <c r="N1753" s="32"/>
      <c r="O1753">
        <v>3</v>
      </c>
      <c r="P1753" s="58">
        <v>1</v>
      </c>
      <c r="Q1753" s="58">
        <v>1</v>
      </c>
      <c r="R1753" s="58">
        <v>0</v>
      </c>
      <c r="S1753" s="58">
        <v>0</v>
      </c>
      <c r="T1753" s="58">
        <v>0</v>
      </c>
      <c r="U1753" s="58">
        <v>0</v>
      </c>
      <c r="V1753" s="58">
        <v>0</v>
      </c>
      <c r="W1753" s="4">
        <v>2</v>
      </c>
    </row>
    <row r="1754" spans="1:23" x14ac:dyDescent="0.35">
      <c r="A1754">
        <v>1750</v>
      </c>
      <c r="B1754">
        <v>1751</v>
      </c>
      <c r="C1754">
        <v>146.03252929999999</v>
      </c>
      <c r="D1754">
        <v>-17.523169209999999</v>
      </c>
      <c r="F1754" t="str">
        <f>HYPERLINK("D:\Data From Lucan\2024\Johnstone\Frames_for_Analysis\1751_20240610_0003_L_1545.jpg","1751_20240610_0003_L_1545.jpg")</f>
        <v>1751_20240610_0003_L_1545.jpg</v>
      </c>
      <c r="G1754">
        <v>4</v>
      </c>
      <c r="I1754">
        <f t="shared" si="27"/>
        <v>0</v>
      </c>
      <c r="J1754" s="58">
        <v>0</v>
      </c>
      <c r="K1754" s="32"/>
      <c r="L1754" s="32"/>
      <c r="M1754" s="32"/>
      <c r="N1754" s="32"/>
      <c r="O1754">
        <v>3</v>
      </c>
      <c r="P1754" s="58">
        <v>1</v>
      </c>
      <c r="Q1754" s="58">
        <v>1</v>
      </c>
      <c r="R1754" s="58">
        <v>0</v>
      </c>
      <c r="S1754" s="58">
        <v>0</v>
      </c>
      <c r="T1754" s="58">
        <v>0</v>
      </c>
      <c r="U1754" s="58">
        <v>0</v>
      </c>
      <c r="V1754" s="58">
        <v>0</v>
      </c>
      <c r="W1754" s="4">
        <v>2</v>
      </c>
    </row>
    <row r="1755" spans="1:23" x14ac:dyDescent="0.35">
      <c r="A1755">
        <v>1751</v>
      </c>
      <c r="B1755">
        <v>1752</v>
      </c>
      <c r="C1755">
        <v>146.032479</v>
      </c>
      <c r="D1755">
        <v>-17.523089469999999</v>
      </c>
      <c r="F1755" t="str">
        <f>HYPERLINK("D:\Data From Lucan\2024\Johnstone\Frames_for_Analysis\1752_20240610_0003_L_1554.jpg","1752_20240610_0003_L_1554.jpg")</f>
        <v>1752_20240610_0003_L_1554.jpg</v>
      </c>
      <c r="G1755">
        <v>4</v>
      </c>
      <c r="I1755">
        <f t="shared" si="27"/>
        <v>0</v>
      </c>
      <c r="J1755" s="58">
        <v>0</v>
      </c>
      <c r="K1755" s="32"/>
      <c r="L1755" s="32"/>
      <c r="M1755" s="32"/>
      <c r="N1755" s="32"/>
      <c r="O1755">
        <v>3</v>
      </c>
      <c r="P1755" s="58">
        <v>1</v>
      </c>
      <c r="Q1755" s="58">
        <v>1</v>
      </c>
      <c r="R1755" s="58">
        <v>0</v>
      </c>
      <c r="S1755" s="58">
        <v>0</v>
      </c>
      <c r="T1755" s="58">
        <v>0</v>
      </c>
      <c r="U1755" s="58">
        <v>0</v>
      </c>
      <c r="V1755" s="58">
        <v>0</v>
      </c>
      <c r="W1755" s="4">
        <v>2</v>
      </c>
    </row>
    <row r="1756" spans="1:23" x14ac:dyDescent="0.35">
      <c r="A1756">
        <v>1752</v>
      </c>
      <c r="B1756">
        <v>1753</v>
      </c>
      <c r="C1756">
        <v>146.03243710000001</v>
      </c>
      <c r="D1756">
        <v>-17.52300494</v>
      </c>
      <c r="F1756" t="str">
        <f>HYPERLINK("D:\Data From Lucan\2024\Johnstone\Frames_for_Analysis\1753_20240610_0003_L_1558.jpg","1753_20240610_0003_L_1558.jpg")</f>
        <v>1753_20240610_0003_L_1558.jpg</v>
      </c>
      <c r="G1756">
        <v>4</v>
      </c>
      <c r="I1756">
        <f t="shared" si="27"/>
        <v>0</v>
      </c>
      <c r="J1756" s="58">
        <v>0</v>
      </c>
      <c r="K1756" s="32"/>
      <c r="L1756" s="32"/>
      <c r="M1756" s="32"/>
      <c r="N1756" s="32"/>
      <c r="O1756">
        <v>3</v>
      </c>
      <c r="P1756" s="58">
        <v>1</v>
      </c>
      <c r="Q1756" s="58">
        <v>1</v>
      </c>
      <c r="R1756" s="58">
        <v>0</v>
      </c>
      <c r="S1756" s="58">
        <v>0</v>
      </c>
      <c r="T1756" s="58">
        <v>0</v>
      </c>
      <c r="U1756" s="58">
        <v>0</v>
      </c>
      <c r="V1756" s="58">
        <v>0</v>
      </c>
      <c r="W1756" s="4">
        <v>2</v>
      </c>
    </row>
    <row r="1757" spans="1:23" x14ac:dyDescent="0.35">
      <c r="A1757">
        <v>1753</v>
      </c>
      <c r="B1757">
        <v>1754</v>
      </c>
      <c r="C1757">
        <v>146.03239529999999</v>
      </c>
      <c r="D1757">
        <v>-17.522920410000001</v>
      </c>
      <c r="F1757" t="str">
        <f>HYPERLINK("D:\Data From Lucan\2024\Johnstone\Frames_for_Analysis\1754_20240610_0003_L_1563.jpg","1754_20240610_0003_L_1563.jpg")</f>
        <v>1754_20240610_0003_L_1563.jpg</v>
      </c>
      <c r="G1757">
        <v>4</v>
      </c>
      <c r="I1757">
        <f t="shared" si="27"/>
        <v>0</v>
      </c>
      <c r="J1757" s="58">
        <v>0</v>
      </c>
      <c r="K1757" s="32"/>
      <c r="L1757" s="32"/>
      <c r="M1757" s="32"/>
      <c r="N1757" s="32"/>
      <c r="O1757">
        <v>3</v>
      </c>
      <c r="P1757" s="58">
        <v>1</v>
      </c>
      <c r="Q1757" s="58">
        <v>1</v>
      </c>
      <c r="R1757" s="58">
        <v>0</v>
      </c>
      <c r="S1757" s="58">
        <v>0</v>
      </c>
      <c r="T1757" s="58">
        <v>0</v>
      </c>
      <c r="U1757" s="58">
        <v>0</v>
      </c>
      <c r="V1757" s="58">
        <v>0</v>
      </c>
      <c r="W1757" s="4">
        <v>2</v>
      </c>
    </row>
    <row r="1758" spans="1:23" x14ac:dyDescent="0.35">
      <c r="A1758">
        <v>1754</v>
      </c>
      <c r="B1758">
        <v>1755</v>
      </c>
      <c r="C1758">
        <v>146.0323535</v>
      </c>
      <c r="D1758">
        <v>-17.52283589</v>
      </c>
      <c r="F1758" t="str">
        <f>HYPERLINK("D:\Data From Lucan\2024\Johnstone\Frames_for_Analysis\1755_20240610_0003_L_1567.jpg","1755_20240610_0003_L_1567.jpg")</f>
        <v>1755_20240610_0003_L_1567.jpg</v>
      </c>
      <c r="G1758">
        <v>4</v>
      </c>
      <c r="I1758">
        <f t="shared" si="27"/>
        <v>0</v>
      </c>
      <c r="J1758" s="58">
        <v>0</v>
      </c>
      <c r="K1758" s="32"/>
      <c r="L1758" s="32"/>
      <c r="M1758" s="32"/>
      <c r="N1758" s="32"/>
      <c r="O1758">
        <v>3</v>
      </c>
      <c r="P1758" s="58">
        <v>1</v>
      </c>
      <c r="Q1758" s="58">
        <v>1</v>
      </c>
      <c r="R1758" s="58">
        <v>0</v>
      </c>
      <c r="S1758" s="58">
        <v>0</v>
      </c>
      <c r="T1758" s="58">
        <v>0</v>
      </c>
      <c r="U1758" s="58">
        <v>0</v>
      </c>
      <c r="V1758" s="58">
        <v>0</v>
      </c>
      <c r="W1758" s="4">
        <v>2</v>
      </c>
    </row>
    <row r="1759" spans="1:23" x14ac:dyDescent="0.35">
      <c r="A1759">
        <v>1755</v>
      </c>
      <c r="B1759">
        <v>1756</v>
      </c>
      <c r="C1759">
        <v>146.03231170000001</v>
      </c>
      <c r="D1759">
        <v>-17.522751360000001</v>
      </c>
      <c r="F1759" t="str">
        <f>HYPERLINK("D:\Data From Lucan\2024\Johnstone\Frames_for_Analysis\1756_20240610_0003_L_1570.jpg","1756_20240610_0003_L_1570.jpg")</f>
        <v>1756_20240610_0003_L_1570.jpg</v>
      </c>
      <c r="G1759">
        <v>4</v>
      </c>
      <c r="I1759">
        <f t="shared" si="27"/>
        <v>0</v>
      </c>
      <c r="J1759" s="58">
        <v>0</v>
      </c>
      <c r="K1759" s="32"/>
      <c r="L1759" s="32"/>
      <c r="M1759" s="32"/>
      <c r="N1759" s="32"/>
      <c r="O1759">
        <v>3</v>
      </c>
      <c r="P1759" s="58">
        <v>1</v>
      </c>
      <c r="Q1759" s="58">
        <v>1</v>
      </c>
      <c r="R1759" s="58">
        <v>0</v>
      </c>
      <c r="S1759" s="58">
        <v>0</v>
      </c>
      <c r="T1759" s="58">
        <v>0</v>
      </c>
      <c r="U1759" s="58">
        <v>0</v>
      </c>
      <c r="V1759" s="58">
        <v>0</v>
      </c>
      <c r="W1759" s="4">
        <v>2</v>
      </c>
    </row>
    <row r="1760" spans="1:23" x14ac:dyDescent="0.35">
      <c r="A1760">
        <v>1756</v>
      </c>
      <c r="B1760">
        <v>1757</v>
      </c>
      <c r="C1760">
        <v>146.03226989999999</v>
      </c>
      <c r="D1760">
        <v>-17.522666829999999</v>
      </c>
      <c r="F1760" t="str">
        <f>HYPERLINK("D:\Data From Lucan\2024\Johnstone\Frames_for_Analysis\1757_20240610_0003_L_1572.jpg","1757_20240610_0003_L_1572.jpg")</f>
        <v>1757_20240610_0003_L_1572.jpg</v>
      </c>
      <c r="G1760">
        <v>4</v>
      </c>
      <c r="I1760">
        <f t="shared" si="27"/>
        <v>0</v>
      </c>
      <c r="J1760" s="58">
        <v>0</v>
      </c>
      <c r="K1760" s="32"/>
      <c r="L1760" s="32"/>
      <c r="M1760" s="32"/>
      <c r="N1760" s="32"/>
      <c r="O1760">
        <v>3</v>
      </c>
      <c r="P1760" s="58">
        <v>1</v>
      </c>
      <c r="Q1760" s="58">
        <v>1</v>
      </c>
      <c r="R1760" s="58">
        <v>0</v>
      </c>
      <c r="S1760" s="58">
        <v>0</v>
      </c>
      <c r="T1760" s="58">
        <v>0</v>
      </c>
      <c r="U1760" s="58">
        <v>0</v>
      </c>
      <c r="V1760" s="58">
        <v>0</v>
      </c>
      <c r="W1760" s="4">
        <v>2</v>
      </c>
    </row>
    <row r="1761" spans="1:23" x14ac:dyDescent="0.35">
      <c r="A1761">
        <v>1757</v>
      </c>
      <c r="B1761">
        <v>1758</v>
      </c>
      <c r="C1761">
        <v>146.0322281</v>
      </c>
      <c r="D1761">
        <v>-17.522582310000001</v>
      </c>
      <c r="F1761" t="str">
        <f>HYPERLINK("D:\Data From Lucan\2024\Johnstone\Frames_for_Analysis\1758_20240610_0003_L_1578.jpg","1758_20240610_0003_L_1578.jpg")</f>
        <v>1758_20240610_0003_L_1578.jpg</v>
      </c>
      <c r="G1761">
        <v>4</v>
      </c>
      <c r="I1761">
        <f t="shared" si="27"/>
        <v>0</v>
      </c>
      <c r="J1761" s="58">
        <v>0</v>
      </c>
      <c r="K1761" s="32"/>
      <c r="L1761" s="32"/>
      <c r="M1761" s="32"/>
      <c r="N1761" s="32"/>
      <c r="O1761">
        <v>3</v>
      </c>
      <c r="P1761" s="58">
        <v>1</v>
      </c>
      <c r="Q1761" s="58">
        <v>1</v>
      </c>
      <c r="R1761" s="58">
        <v>0</v>
      </c>
      <c r="S1761" s="58">
        <v>0</v>
      </c>
      <c r="T1761" s="58">
        <v>0</v>
      </c>
      <c r="U1761" s="58">
        <v>0</v>
      </c>
      <c r="V1761" s="58">
        <v>0</v>
      </c>
      <c r="W1761" s="4">
        <v>2</v>
      </c>
    </row>
    <row r="1762" spans="1:23" x14ac:dyDescent="0.35">
      <c r="A1762">
        <v>1758</v>
      </c>
      <c r="B1762">
        <v>1759</v>
      </c>
      <c r="C1762">
        <v>146.03218630000001</v>
      </c>
      <c r="D1762">
        <v>-17.522497779999998</v>
      </c>
      <c r="F1762" t="str">
        <f>HYPERLINK("D:\Data From Lucan\2024\Johnstone\Frames_for_Analysis\1759_20240610_0003_L_1583.jpg","1759_20240610_0003_L_1583.jpg")</f>
        <v>1759_20240610_0003_L_1583.jpg</v>
      </c>
      <c r="G1762">
        <v>4</v>
      </c>
      <c r="I1762">
        <f t="shared" si="27"/>
        <v>1</v>
      </c>
      <c r="J1762" s="58">
        <v>1</v>
      </c>
      <c r="K1762" s="32"/>
      <c r="L1762" s="32"/>
      <c r="M1762" s="32"/>
      <c r="N1762" s="32"/>
      <c r="O1762">
        <v>2</v>
      </c>
      <c r="P1762" s="58">
        <v>1</v>
      </c>
      <c r="Q1762" s="58">
        <v>1</v>
      </c>
      <c r="R1762" s="58">
        <v>0</v>
      </c>
      <c r="S1762" s="58">
        <v>0</v>
      </c>
      <c r="T1762" s="58">
        <v>0</v>
      </c>
      <c r="U1762" s="58">
        <v>0</v>
      </c>
      <c r="V1762" s="58">
        <v>0</v>
      </c>
      <c r="W1762" s="4">
        <v>2</v>
      </c>
    </row>
    <row r="1763" spans="1:23" x14ac:dyDescent="0.35">
      <c r="A1763">
        <v>1759</v>
      </c>
      <c r="B1763">
        <v>1760</v>
      </c>
      <c r="C1763">
        <v>146.03214439999999</v>
      </c>
      <c r="D1763">
        <v>-17.52241325</v>
      </c>
      <c r="F1763" t="str">
        <f>HYPERLINK("D:\Data From Lucan\2024\Johnstone\Frames_for_Analysis\1760_20240610_0003_L_1587.jpg","1760_20240610_0003_L_1587.jpg")</f>
        <v>1760_20240610_0003_L_1587.jpg</v>
      </c>
      <c r="G1763">
        <v>4</v>
      </c>
      <c r="I1763">
        <f t="shared" si="27"/>
        <v>0</v>
      </c>
      <c r="J1763" s="58">
        <v>0</v>
      </c>
      <c r="K1763" s="32"/>
      <c r="L1763" s="32"/>
      <c r="M1763" s="32"/>
      <c r="N1763" s="32"/>
      <c r="O1763">
        <v>3</v>
      </c>
      <c r="P1763" s="58">
        <v>1</v>
      </c>
      <c r="Q1763" s="58">
        <v>1</v>
      </c>
      <c r="R1763" s="58">
        <v>0</v>
      </c>
      <c r="S1763" s="58">
        <v>0</v>
      </c>
      <c r="T1763" s="58">
        <v>0</v>
      </c>
      <c r="U1763" s="58">
        <v>0</v>
      </c>
      <c r="V1763" s="58">
        <v>0</v>
      </c>
      <c r="W1763" s="4">
        <v>2</v>
      </c>
    </row>
    <row r="1764" spans="1:23" x14ac:dyDescent="0.35">
      <c r="A1764">
        <v>1760</v>
      </c>
      <c r="B1764">
        <v>1761</v>
      </c>
      <c r="C1764">
        <v>146.0321026</v>
      </c>
      <c r="D1764">
        <v>-17.522328730000002</v>
      </c>
      <c r="F1764" t="str">
        <f>HYPERLINK("D:\Data From Lucan\2024\Johnstone\Frames_for_Analysis\1761_20240610_0003_L_1593.jpg","1761_20240610_0003_L_1593.jpg")</f>
        <v>1761_20240610_0003_L_1593.jpg</v>
      </c>
      <c r="G1764">
        <v>4</v>
      </c>
      <c r="I1764">
        <f t="shared" si="27"/>
        <v>1</v>
      </c>
      <c r="J1764" s="58">
        <v>1</v>
      </c>
      <c r="K1764" s="32"/>
      <c r="L1764" s="32"/>
      <c r="M1764" s="32"/>
      <c r="N1764" s="32"/>
      <c r="O1764">
        <v>3</v>
      </c>
      <c r="P1764" s="58">
        <v>1</v>
      </c>
      <c r="Q1764" s="58">
        <v>1</v>
      </c>
      <c r="R1764" s="58">
        <v>0</v>
      </c>
      <c r="S1764" s="58">
        <v>0</v>
      </c>
      <c r="T1764" s="58">
        <v>0</v>
      </c>
      <c r="U1764" s="58">
        <v>0</v>
      </c>
      <c r="V1764" s="58">
        <v>0</v>
      </c>
      <c r="W1764" s="4">
        <v>2</v>
      </c>
    </row>
    <row r="1765" spans="1:23" x14ac:dyDescent="0.35">
      <c r="A1765">
        <v>1761</v>
      </c>
      <c r="B1765">
        <v>1762</v>
      </c>
      <c r="C1765">
        <v>146.03206080000001</v>
      </c>
      <c r="D1765">
        <v>-17.522244199999999</v>
      </c>
      <c r="F1765" t="str">
        <f>HYPERLINK("D:\Data From Lucan\2024\Johnstone\Frames_for_Analysis\1762_20240610_0003_L_1597.jpg","1762_20240610_0003_L_1597.jpg")</f>
        <v>1762_20240610_0003_L_1597.jpg</v>
      </c>
      <c r="G1765">
        <v>4</v>
      </c>
      <c r="I1765">
        <f t="shared" si="27"/>
        <v>0</v>
      </c>
      <c r="J1765" s="58">
        <v>0</v>
      </c>
      <c r="K1765" s="32"/>
      <c r="L1765" s="32"/>
      <c r="M1765" s="32"/>
      <c r="N1765" s="32"/>
      <c r="O1765">
        <v>3</v>
      </c>
      <c r="P1765" s="58">
        <v>1</v>
      </c>
      <c r="Q1765" s="58">
        <v>1</v>
      </c>
      <c r="R1765" s="58">
        <v>0</v>
      </c>
      <c r="S1765" s="58">
        <v>0</v>
      </c>
      <c r="T1765" s="58">
        <v>0</v>
      </c>
      <c r="U1765" s="58">
        <v>0</v>
      </c>
      <c r="V1765" s="58">
        <v>0</v>
      </c>
      <c r="W1765" s="4">
        <v>2</v>
      </c>
    </row>
    <row r="1766" spans="1:23" x14ac:dyDescent="0.35">
      <c r="A1766">
        <v>1762</v>
      </c>
      <c r="B1766">
        <v>1763</v>
      </c>
      <c r="C1766">
        <v>146.03201899999999</v>
      </c>
      <c r="D1766">
        <v>-17.522159680000001</v>
      </c>
      <c r="F1766" t="str">
        <f>HYPERLINK("D:\Data From Lucan\2024\Johnstone\Frames_for_Analysis\1763_20240610_0003_L_1599.jpg","1763_20240610_0003_L_1599.jpg")</f>
        <v>1763_20240610_0003_L_1599.jpg</v>
      </c>
      <c r="G1766">
        <v>4</v>
      </c>
      <c r="I1766">
        <f t="shared" si="27"/>
        <v>0</v>
      </c>
      <c r="J1766" s="58">
        <v>0</v>
      </c>
      <c r="K1766" s="32"/>
      <c r="L1766" s="32"/>
      <c r="M1766" s="32"/>
      <c r="N1766" s="32"/>
      <c r="O1766">
        <v>3</v>
      </c>
      <c r="P1766" s="58">
        <v>1</v>
      </c>
      <c r="Q1766" s="58">
        <v>1</v>
      </c>
      <c r="R1766" s="58">
        <v>0</v>
      </c>
      <c r="S1766" s="58">
        <v>0</v>
      </c>
      <c r="T1766" s="58">
        <v>0</v>
      </c>
      <c r="U1766" s="58">
        <v>0</v>
      </c>
      <c r="V1766" s="58">
        <v>0</v>
      </c>
      <c r="W1766" s="4">
        <v>2</v>
      </c>
    </row>
    <row r="1767" spans="1:23" x14ac:dyDescent="0.35">
      <c r="A1767">
        <v>1763</v>
      </c>
      <c r="B1767">
        <v>1764</v>
      </c>
      <c r="C1767">
        <v>146.03198520000001</v>
      </c>
      <c r="D1767">
        <v>-17.52207224</v>
      </c>
      <c r="F1767" t="str">
        <f>HYPERLINK("D:\Data From Lucan\2024\Johnstone\Frames_for_Analysis\1764_20240610_0003_L_1605.jpg","1764_20240610_0003_L_1605.jpg")</f>
        <v>1764_20240610_0003_L_1605.jpg</v>
      </c>
      <c r="G1767">
        <v>4</v>
      </c>
      <c r="I1767">
        <f t="shared" si="27"/>
        <v>0</v>
      </c>
      <c r="J1767" s="58">
        <v>0</v>
      </c>
      <c r="K1767" s="32"/>
      <c r="L1767" s="32"/>
      <c r="M1767" s="32"/>
      <c r="N1767" s="32"/>
      <c r="O1767">
        <v>3</v>
      </c>
      <c r="P1767" s="58">
        <v>1</v>
      </c>
      <c r="Q1767" s="58">
        <v>1</v>
      </c>
      <c r="R1767" s="58">
        <v>0</v>
      </c>
      <c r="S1767" s="58">
        <v>0</v>
      </c>
      <c r="T1767" s="58">
        <v>0</v>
      </c>
      <c r="U1767" s="58">
        <v>0</v>
      </c>
      <c r="V1767" s="58">
        <v>0</v>
      </c>
      <c r="W1767" s="4">
        <v>2</v>
      </c>
    </row>
    <row r="1768" spans="1:23" x14ac:dyDescent="0.35">
      <c r="A1768">
        <v>1764</v>
      </c>
      <c r="B1768">
        <v>1765</v>
      </c>
      <c r="C1768">
        <v>146.03196260000001</v>
      </c>
      <c r="D1768">
        <v>-17.521980660000001</v>
      </c>
      <c r="F1768" t="str">
        <f>HYPERLINK("D:\Data From Lucan\2024\Johnstone\Frames_for_Analysis\1765_20240610_0003_L_1608.jpg","1765_20240610_0003_L_1608.jpg")</f>
        <v>1765_20240610_0003_L_1608.jpg</v>
      </c>
      <c r="G1768">
        <v>4</v>
      </c>
      <c r="I1768">
        <f t="shared" si="27"/>
        <v>0</v>
      </c>
      <c r="J1768" s="58">
        <v>0</v>
      </c>
      <c r="K1768" s="32"/>
      <c r="L1768" s="32"/>
      <c r="M1768" s="32"/>
      <c r="N1768" s="32"/>
      <c r="O1768">
        <v>3</v>
      </c>
      <c r="P1768" s="58">
        <v>1</v>
      </c>
      <c r="Q1768" s="58">
        <v>1</v>
      </c>
      <c r="R1768" s="58">
        <v>0</v>
      </c>
      <c r="S1768" s="58">
        <v>0</v>
      </c>
      <c r="T1768" s="58">
        <v>0</v>
      </c>
      <c r="U1768" s="58">
        <v>0</v>
      </c>
      <c r="V1768" s="58">
        <v>0</v>
      </c>
      <c r="W1768" s="4">
        <v>2</v>
      </c>
    </row>
    <row r="1769" spans="1:23" x14ac:dyDescent="0.35">
      <c r="A1769">
        <v>1765</v>
      </c>
      <c r="B1769">
        <v>1766</v>
      </c>
      <c r="C1769">
        <v>146.03194010000001</v>
      </c>
      <c r="D1769">
        <v>-17.521889089999998</v>
      </c>
      <c r="F1769" t="str">
        <f>HYPERLINK("D:\Data From Lucan\2024\Johnstone\Frames_for_Analysis\1766_20240610_0003_L_1614.jpg","1766_20240610_0003_L_1614.jpg")</f>
        <v>1766_20240610_0003_L_1614.jpg</v>
      </c>
      <c r="G1769">
        <v>4</v>
      </c>
      <c r="I1769">
        <f t="shared" si="27"/>
        <v>0</v>
      </c>
      <c r="J1769" s="58">
        <v>0</v>
      </c>
      <c r="K1769" s="32"/>
      <c r="L1769" s="32"/>
      <c r="M1769" s="32"/>
      <c r="N1769" s="32"/>
      <c r="O1769">
        <v>3</v>
      </c>
      <c r="P1769" s="58">
        <v>1</v>
      </c>
      <c r="Q1769" s="58">
        <v>1</v>
      </c>
      <c r="R1769" s="58">
        <v>0</v>
      </c>
      <c r="S1769" s="58">
        <v>0</v>
      </c>
      <c r="T1769" s="58">
        <v>0</v>
      </c>
      <c r="U1769" s="58">
        <v>0</v>
      </c>
      <c r="V1769" s="58">
        <v>0</v>
      </c>
      <c r="W1769" s="4">
        <v>2</v>
      </c>
    </row>
    <row r="1770" spans="1:23" x14ac:dyDescent="0.35">
      <c r="A1770">
        <v>1766</v>
      </c>
      <c r="B1770">
        <v>1767</v>
      </c>
      <c r="C1770">
        <v>146.03191760000001</v>
      </c>
      <c r="D1770">
        <v>-17.521797509999999</v>
      </c>
      <c r="F1770" t="str">
        <f>HYPERLINK("D:\Data From Lucan\2024\Johnstone\Frames_for_Analysis\1767_20240610_0003_L_1621.jpg","1767_20240610_0003_L_1621.jpg")</f>
        <v>1767_20240610_0003_L_1621.jpg</v>
      </c>
      <c r="G1770">
        <v>4</v>
      </c>
      <c r="I1770">
        <f t="shared" si="27"/>
        <v>0</v>
      </c>
      <c r="J1770" s="58">
        <v>0</v>
      </c>
      <c r="K1770" s="32"/>
      <c r="L1770" s="32"/>
      <c r="M1770" s="32"/>
      <c r="N1770" s="32"/>
      <c r="O1770">
        <v>3</v>
      </c>
      <c r="P1770" s="58">
        <v>1</v>
      </c>
      <c r="Q1770" s="58">
        <v>1</v>
      </c>
      <c r="R1770" s="58">
        <v>0</v>
      </c>
      <c r="S1770" s="58">
        <v>0</v>
      </c>
      <c r="T1770" s="58">
        <v>0</v>
      </c>
      <c r="U1770" s="58">
        <v>0</v>
      </c>
      <c r="V1770" s="58">
        <v>0</v>
      </c>
      <c r="W1770" s="4">
        <v>2</v>
      </c>
    </row>
    <row r="1771" spans="1:23" x14ac:dyDescent="0.35">
      <c r="A1771">
        <v>1767</v>
      </c>
      <c r="B1771">
        <v>1768</v>
      </c>
      <c r="C1771">
        <v>146.03189510000001</v>
      </c>
      <c r="D1771">
        <v>-17.52170594</v>
      </c>
      <c r="F1771" t="str">
        <f>HYPERLINK("D:\Data From Lucan\2024\Johnstone\Frames_for_Analysis\1768_20240610_0003_L_1623.jpg","1768_20240610_0003_L_1623.jpg")</f>
        <v>1768_20240610_0003_L_1623.jpg</v>
      </c>
      <c r="G1771">
        <v>4</v>
      </c>
      <c r="I1771">
        <f t="shared" si="27"/>
        <v>0</v>
      </c>
      <c r="J1771" s="58">
        <v>0</v>
      </c>
      <c r="K1771" s="32"/>
      <c r="L1771" s="32"/>
      <c r="M1771" s="32"/>
      <c r="N1771" s="32"/>
      <c r="O1771">
        <v>3</v>
      </c>
      <c r="P1771" s="58">
        <v>1</v>
      </c>
      <c r="Q1771" s="58">
        <v>1</v>
      </c>
      <c r="R1771" s="58">
        <v>0</v>
      </c>
      <c r="S1771" s="58">
        <v>0</v>
      </c>
      <c r="T1771" s="58">
        <v>0</v>
      </c>
      <c r="U1771" s="58">
        <v>0</v>
      </c>
      <c r="V1771" s="58">
        <v>0</v>
      </c>
      <c r="W1771" s="4">
        <v>2</v>
      </c>
    </row>
    <row r="1772" spans="1:23" x14ac:dyDescent="0.35">
      <c r="A1772">
        <v>1768</v>
      </c>
      <c r="B1772">
        <v>1769</v>
      </c>
      <c r="C1772">
        <v>146.03187249999999</v>
      </c>
      <c r="D1772">
        <v>-17.521614370000002</v>
      </c>
      <c r="F1772" t="str">
        <f>HYPERLINK("D:\Data From Lucan\2024\Johnstone\Frames_for_Analysis\1769_20240610_0003_L_1627.jpg","1769_20240610_0003_L_1627.jpg")</f>
        <v>1769_20240610_0003_L_1627.jpg</v>
      </c>
      <c r="G1772">
        <v>4</v>
      </c>
      <c r="I1772">
        <f t="shared" si="27"/>
        <v>0</v>
      </c>
      <c r="J1772" s="58">
        <v>0</v>
      </c>
      <c r="K1772" s="32"/>
      <c r="L1772" s="32"/>
      <c r="M1772" s="32"/>
      <c r="N1772" s="32"/>
      <c r="O1772">
        <v>3</v>
      </c>
      <c r="P1772" s="58">
        <v>1</v>
      </c>
      <c r="Q1772" s="58">
        <v>1</v>
      </c>
      <c r="R1772" s="58">
        <v>0</v>
      </c>
      <c r="S1772" s="58">
        <v>0</v>
      </c>
      <c r="T1772" s="58">
        <v>0</v>
      </c>
      <c r="U1772" s="58">
        <v>0</v>
      </c>
      <c r="V1772" s="58">
        <v>0</v>
      </c>
      <c r="W1772" s="4">
        <v>2</v>
      </c>
    </row>
    <row r="1773" spans="1:23" x14ac:dyDescent="0.35">
      <c r="A1773">
        <v>1769</v>
      </c>
      <c r="B1773">
        <v>1770</v>
      </c>
      <c r="C1773">
        <v>146.03184999999999</v>
      </c>
      <c r="D1773">
        <v>-17.521522789999999</v>
      </c>
      <c r="F1773" t="str">
        <f>HYPERLINK("D:\Data From Lucan\2024\Johnstone\Frames_for_Analysis\1770_20240610_0003_L_1633.jpg","1770_20240610_0003_L_1633.jpg")</f>
        <v>1770_20240610_0003_L_1633.jpg</v>
      </c>
      <c r="G1773">
        <v>4</v>
      </c>
      <c r="I1773">
        <f t="shared" si="27"/>
        <v>0</v>
      </c>
      <c r="J1773" s="58">
        <v>0</v>
      </c>
      <c r="K1773" s="32"/>
      <c r="L1773" s="32"/>
      <c r="M1773" s="32"/>
      <c r="N1773" s="32"/>
      <c r="O1773">
        <v>3</v>
      </c>
      <c r="P1773" s="58">
        <v>1</v>
      </c>
      <c r="Q1773" s="58">
        <v>1</v>
      </c>
      <c r="R1773" s="58">
        <v>0</v>
      </c>
      <c r="S1773" s="58">
        <v>0</v>
      </c>
      <c r="T1773" s="58">
        <v>0</v>
      </c>
      <c r="U1773" s="58">
        <v>0</v>
      </c>
      <c r="V1773" s="58">
        <v>0</v>
      </c>
      <c r="W1773" s="4">
        <v>2</v>
      </c>
    </row>
    <row r="1774" spans="1:23" x14ac:dyDescent="0.35">
      <c r="A1774">
        <v>1770</v>
      </c>
      <c r="B1774">
        <v>1771</v>
      </c>
      <c r="C1774">
        <v>146.03182179999999</v>
      </c>
      <c r="D1774">
        <v>-17.521432919999999</v>
      </c>
      <c r="F1774" t="str">
        <f>HYPERLINK("D:\Data From Lucan\2024\Johnstone\Frames_for_Analysis\1771_20240610_0003_L_1639.jpg","1771_20240610_0003_L_1639.jpg")</f>
        <v>1771_20240610_0003_L_1639.jpg</v>
      </c>
      <c r="G1774">
        <v>4</v>
      </c>
      <c r="I1774">
        <v>0</v>
      </c>
      <c r="J1774" s="58">
        <v>2</v>
      </c>
      <c r="K1774" s="32"/>
      <c r="L1774" s="32"/>
      <c r="M1774" s="32"/>
      <c r="N1774" s="32"/>
      <c r="O1774">
        <v>1</v>
      </c>
      <c r="P1774" s="58">
        <v>1</v>
      </c>
      <c r="Q1774" s="58">
        <v>1</v>
      </c>
      <c r="R1774" s="58">
        <v>0</v>
      </c>
      <c r="S1774" s="58">
        <v>0</v>
      </c>
      <c r="T1774" s="58">
        <v>0</v>
      </c>
      <c r="U1774" s="58">
        <v>0</v>
      </c>
      <c r="V1774" s="58">
        <v>0</v>
      </c>
      <c r="W1774" s="4">
        <v>1</v>
      </c>
    </row>
    <row r="1775" spans="1:23" x14ac:dyDescent="0.35">
      <c r="A1775">
        <v>1771</v>
      </c>
      <c r="B1775">
        <v>1772</v>
      </c>
      <c r="C1775">
        <v>146.03179030000001</v>
      </c>
      <c r="D1775">
        <v>-17.521344020000001</v>
      </c>
      <c r="F1775" t="str">
        <f>HYPERLINK("D:\Data From Lucan\2024\Johnstone\Frames_for_Analysis\1772_20240610_0003_L_1644.jpg","1772_20240610_0003_L_1644.jpg")</f>
        <v>1772_20240610_0003_L_1644.jpg</v>
      </c>
      <c r="G1775">
        <v>4</v>
      </c>
      <c r="I1775">
        <v>0</v>
      </c>
      <c r="J1775" s="58">
        <v>2</v>
      </c>
      <c r="K1775" s="32"/>
      <c r="L1775" s="32"/>
      <c r="M1775" s="32"/>
      <c r="N1775" s="32"/>
      <c r="O1775">
        <v>1</v>
      </c>
      <c r="P1775" s="58">
        <v>0</v>
      </c>
      <c r="Q1775" s="58">
        <v>0</v>
      </c>
      <c r="R1775" s="58">
        <v>0</v>
      </c>
      <c r="S1775" s="58">
        <v>0</v>
      </c>
      <c r="T1775" s="58">
        <v>0</v>
      </c>
      <c r="U1775" s="58">
        <v>0</v>
      </c>
      <c r="V1775" s="58">
        <v>0</v>
      </c>
      <c r="W1775" s="4">
        <v>0</v>
      </c>
    </row>
    <row r="1776" spans="1:23" x14ac:dyDescent="0.35">
      <c r="A1776">
        <v>1772</v>
      </c>
      <c r="B1776">
        <v>1773</v>
      </c>
      <c r="C1776">
        <v>146.0317589</v>
      </c>
      <c r="D1776">
        <v>-17.521255119999999</v>
      </c>
      <c r="F1776" t="str">
        <f>HYPERLINK("D:\Data From Lucan\2024\Johnstone\Frames_for_Analysis\1773_20240610_0003_L_1648.jpg","1773_20240610_0003_L_1648.jpg")</f>
        <v>1773_20240610_0003_L_1648.jpg</v>
      </c>
      <c r="G1776">
        <v>4</v>
      </c>
      <c r="I1776">
        <v>0</v>
      </c>
      <c r="J1776" s="58">
        <v>2</v>
      </c>
      <c r="K1776" s="32"/>
      <c r="L1776" s="32"/>
      <c r="M1776" s="32"/>
      <c r="N1776" s="32"/>
      <c r="O1776">
        <v>1</v>
      </c>
      <c r="P1776" s="58">
        <v>0</v>
      </c>
      <c r="Q1776" s="58">
        <v>0</v>
      </c>
      <c r="R1776" s="58">
        <v>0</v>
      </c>
      <c r="S1776" s="58">
        <v>0</v>
      </c>
      <c r="T1776" s="58">
        <v>0</v>
      </c>
      <c r="U1776" s="58">
        <v>0</v>
      </c>
      <c r="V1776" s="58">
        <v>0</v>
      </c>
      <c r="W1776" s="4">
        <v>0</v>
      </c>
    </row>
    <row r="1777" spans="1:23" x14ac:dyDescent="0.35">
      <c r="A1777">
        <v>1773</v>
      </c>
      <c r="B1777">
        <v>1774</v>
      </c>
      <c r="C1777">
        <v>146.03172739999999</v>
      </c>
      <c r="D1777">
        <v>-17.521166210000001</v>
      </c>
      <c r="F1777" t="str">
        <f>HYPERLINK("D:\Data From Lucan\2024\Johnstone\Frames_for_Analysis\1774_20240610_0003_L_1655.jpg","1774_20240610_0003_L_1655.jpg")</f>
        <v>1774_20240610_0003_L_1655.jpg</v>
      </c>
      <c r="G1777">
        <v>4</v>
      </c>
      <c r="I1777">
        <v>0</v>
      </c>
      <c r="J1777" s="58">
        <v>2</v>
      </c>
      <c r="K1777" s="32"/>
      <c r="L1777" s="32"/>
      <c r="M1777" s="32"/>
      <c r="N1777" s="32"/>
      <c r="O1777">
        <v>1</v>
      </c>
      <c r="P1777" s="58">
        <v>0</v>
      </c>
      <c r="Q1777" s="58">
        <v>0</v>
      </c>
      <c r="R1777" s="58">
        <v>0</v>
      </c>
      <c r="S1777" s="58">
        <v>0</v>
      </c>
      <c r="T1777" s="58">
        <v>0</v>
      </c>
      <c r="U1777" s="58">
        <v>0</v>
      </c>
      <c r="V1777" s="58">
        <v>0</v>
      </c>
      <c r="W1777" s="4">
        <v>0</v>
      </c>
    </row>
    <row r="1778" spans="1:23" x14ac:dyDescent="0.35">
      <c r="A1778">
        <v>1774</v>
      </c>
      <c r="B1778">
        <v>1775</v>
      </c>
      <c r="C1778">
        <v>146.03169600000001</v>
      </c>
      <c r="D1778">
        <v>-17.521077309999999</v>
      </c>
      <c r="F1778" t="str">
        <f>HYPERLINK("D:\Data From Lucan\2024\Johnstone\Frames_for_Analysis\1775_20240610_0003_L_1659.jpg","1775_20240610_0003_L_1659.jpg")</f>
        <v>1775_20240610_0003_L_1659.jpg</v>
      </c>
      <c r="G1778">
        <v>4</v>
      </c>
      <c r="I1778">
        <v>0</v>
      </c>
      <c r="J1778" s="58">
        <v>2</v>
      </c>
      <c r="K1778" s="32"/>
      <c r="L1778" s="32"/>
      <c r="M1778" s="32"/>
      <c r="N1778" s="32"/>
      <c r="O1778">
        <v>1</v>
      </c>
      <c r="P1778" s="58">
        <v>0</v>
      </c>
      <c r="Q1778" s="58">
        <v>0</v>
      </c>
      <c r="R1778" s="58">
        <v>0</v>
      </c>
      <c r="S1778" s="58">
        <v>0</v>
      </c>
      <c r="T1778" s="58">
        <v>0</v>
      </c>
      <c r="U1778" s="58">
        <v>0</v>
      </c>
      <c r="V1778" s="58">
        <v>0</v>
      </c>
      <c r="W1778" s="4">
        <v>0</v>
      </c>
    </row>
    <row r="1779" spans="1:23" x14ac:dyDescent="0.35">
      <c r="A1779">
        <v>1775</v>
      </c>
      <c r="B1779">
        <v>1776</v>
      </c>
      <c r="C1779">
        <v>146.03166450000001</v>
      </c>
      <c r="D1779">
        <v>-17.520988410000001</v>
      </c>
      <c r="F1779" t="str">
        <f>HYPERLINK("D:\Data From Lucan\2024\Johnstone\Frames_for_Analysis\1776_20240610_0003_L_1663.jpg","1776_20240610_0003_L_1663.jpg")</f>
        <v>1776_20240610_0003_L_1663.jpg</v>
      </c>
      <c r="G1779">
        <v>4</v>
      </c>
      <c r="I1779">
        <f t="shared" si="27"/>
        <v>1</v>
      </c>
      <c r="J1779" s="58">
        <v>1</v>
      </c>
      <c r="K1779" s="32"/>
      <c r="L1779" s="32"/>
      <c r="M1779" s="32"/>
      <c r="N1779" s="32"/>
      <c r="O1779">
        <v>1</v>
      </c>
      <c r="P1779" s="58">
        <v>0</v>
      </c>
      <c r="Q1779" s="58">
        <v>0</v>
      </c>
      <c r="R1779" s="58">
        <v>0</v>
      </c>
      <c r="S1779" s="58">
        <v>0</v>
      </c>
      <c r="T1779" s="58">
        <v>0</v>
      </c>
      <c r="U1779" s="58">
        <v>0</v>
      </c>
      <c r="V1779" s="58">
        <v>0</v>
      </c>
      <c r="W1779" s="4">
        <v>0</v>
      </c>
    </row>
    <row r="1780" spans="1:23" x14ac:dyDescent="0.35">
      <c r="A1780">
        <v>1776</v>
      </c>
      <c r="B1780">
        <v>1777</v>
      </c>
      <c r="C1780">
        <v>146.03163309999999</v>
      </c>
      <c r="D1780">
        <v>-17.520899499999999</v>
      </c>
      <c r="F1780" t="str">
        <f>HYPERLINK("D:\Data From Lucan\2024\Johnstone\Frames_for_Analysis\1777_20240610_0003_L_1667.jpg","1777_20240610_0003_L_1667.jpg")</f>
        <v>1777_20240610_0003_L_1667.jpg</v>
      </c>
      <c r="G1780">
        <v>4</v>
      </c>
      <c r="I1780">
        <v>0</v>
      </c>
      <c r="J1780" s="58">
        <v>2</v>
      </c>
      <c r="K1780" s="32"/>
      <c r="L1780" s="32"/>
      <c r="M1780" s="32"/>
      <c r="N1780" s="32"/>
      <c r="O1780">
        <v>1</v>
      </c>
      <c r="P1780" s="58">
        <v>0</v>
      </c>
      <c r="Q1780" s="58">
        <v>0</v>
      </c>
      <c r="R1780" s="58">
        <v>0</v>
      </c>
      <c r="S1780" s="58">
        <v>0</v>
      </c>
      <c r="T1780" s="58">
        <v>0</v>
      </c>
      <c r="U1780" s="58">
        <v>0</v>
      </c>
      <c r="V1780" s="58">
        <v>0</v>
      </c>
      <c r="W1780" s="4">
        <v>0</v>
      </c>
    </row>
    <row r="1781" spans="1:23" x14ac:dyDescent="0.35">
      <c r="A1781">
        <v>1777</v>
      </c>
      <c r="B1781">
        <v>1778</v>
      </c>
      <c r="C1781">
        <v>146.03159779999999</v>
      </c>
      <c r="D1781">
        <v>-17.52081205</v>
      </c>
      <c r="F1781" t="str">
        <f>HYPERLINK("D:\Data From Lucan\2024\Johnstone\Frames_for_Analysis\1778_20240610_0003_L_1671.jpg","1778_20240610_0003_L_1671.jpg")</f>
        <v>1778_20240610_0003_L_1671.jpg</v>
      </c>
      <c r="G1781">
        <v>4</v>
      </c>
      <c r="I1781">
        <f t="shared" si="27"/>
        <v>1</v>
      </c>
      <c r="J1781" s="58">
        <v>1</v>
      </c>
      <c r="K1781" s="32"/>
      <c r="L1781" s="32"/>
      <c r="M1781" s="32"/>
      <c r="N1781" s="32"/>
      <c r="O1781">
        <v>1</v>
      </c>
      <c r="P1781" s="58">
        <v>0</v>
      </c>
      <c r="Q1781" s="58">
        <v>0</v>
      </c>
      <c r="R1781" s="58">
        <v>2</v>
      </c>
      <c r="S1781" s="58">
        <v>0</v>
      </c>
      <c r="T1781" s="58">
        <v>0</v>
      </c>
      <c r="U1781" s="58">
        <v>0</v>
      </c>
      <c r="V1781" s="58">
        <v>0</v>
      </c>
      <c r="W1781" s="4">
        <v>0</v>
      </c>
    </row>
    <row r="1782" spans="1:23" x14ac:dyDescent="0.35">
      <c r="A1782">
        <v>1778</v>
      </c>
      <c r="B1782">
        <v>1779</v>
      </c>
      <c r="C1782">
        <v>146.03156190000001</v>
      </c>
      <c r="D1782">
        <v>-17.520724869999999</v>
      </c>
      <c r="F1782" t="str">
        <f>HYPERLINK("D:\Data From Lucan\2024\Johnstone\Frames_for_Analysis\1779_20240610_0003_L_1676.jpg","1779_20240610_0003_L_1676.jpg")</f>
        <v>1779_20240610_0003_L_1676.jpg</v>
      </c>
      <c r="G1782">
        <v>4</v>
      </c>
      <c r="I1782">
        <v>0</v>
      </c>
      <c r="J1782" s="58">
        <v>2</v>
      </c>
      <c r="K1782" s="32"/>
      <c r="L1782" s="32"/>
      <c r="M1782" s="32"/>
      <c r="N1782" s="32"/>
      <c r="O1782">
        <v>1</v>
      </c>
      <c r="P1782" s="58">
        <v>0</v>
      </c>
      <c r="Q1782" s="58">
        <v>0</v>
      </c>
      <c r="R1782" s="58">
        <v>0</v>
      </c>
      <c r="S1782" s="58">
        <v>0</v>
      </c>
      <c r="T1782" s="58">
        <v>0</v>
      </c>
      <c r="U1782" s="58">
        <v>0</v>
      </c>
      <c r="V1782" s="58">
        <v>0</v>
      </c>
      <c r="W1782" s="4">
        <v>0</v>
      </c>
    </row>
    <row r="1783" spans="1:23" x14ac:dyDescent="0.35">
      <c r="A1783">
        <v>1779</v>
      </c>
      <c r="B1783">
        <v>1780</v>
      </c>
      <c r="C1783">
        <v>146.03152589999999</v>
      </c>
      <c r="D1783">
        <v>-17.520637700000002</v>
      </c>
      <c r="F1783" t="str">
        <f>HYPERLINK("D:\Data From Lucan\2024\Johnstone\Frames_for_Analysis\1780_20240610_0003_L_1680.jpg","1780_20240610_0003_L_1680.jpg")</f>
        <v>1780_20240610_0003_L_1680.jpg</v>
      </c>
      <c r="G1783">
        <v>4</v>
      </c>
      <c r="I1783">
        <v>0</v>
      </c>
      <c r="J1783" s="58">
        <v>2</v>
      </c>
      <c r="K1783" s="32"/>
      <c r="L1783" s="32"/>
      <c r="M1783" s="32"/>
      <c r="N1783" s="32"/>
      <c r="O1783">
        <v>1</v>
      </c>
      <c r="P1783" s="58">
        <v>0</v>
      </c>
      <c r="Q1783" s="58">
        <v>0</v>
      </c>
      <c r="R1783" s="58">
        <v>2</v>
      </c>
      <c r="S1783" s="58">
        <v>0</v>
      </c>
      <c r="T1783" s="58">
        <v>0</v>
      </c>
      <c r="U1783" s="58">
        <v>0</v>
      </c>
      <c r="V1783" s="58">
        <v>0</v>
      </c>
      <c r="W1783" s="4">
        <v>0</v>
      </c>
    </row>
    <row r="1784" spans="1:23" x14ac:dyDescent="0.35">
      <c r="A1784">
        <v>1780</v>
      </c>
      <c r="B1784">
        <v>1781</v>
      </c>
      <c r="C1784">
        <v>146.0314899</v>
      </c>
      <c r="D1784">
        <v>-17.52055052</v>
      </c>
      <c r="F1784" t="str">
        <f>HYPERLINK("D:\Data From Lucan\2024\Johnstone\Frames_for_Analysis\1781_20240610_0003_L_1685.jpg","1781_20240610_0003_L_1685.jpg")</f>
        <v>1781_20240610_0003_L_1685.jpg</v>
      </c>
      <c r="G1784">
        <v>4</v>
      </c>
      <c r="I1784">
        <f t="shared" si="27"/>
        <v>1</v>
      </c>
      <c r="J1784" s="58">
        <v>1</v>
      </c>
      <c r="K1784" s="32"/>
      <c r="L1784" s="32"/>
      <c r="M1784" s="32"/>
      <c r="N1784" s="32"/>
      <c r="O1784">
        <v>1</v>
      </c>
      <c r="P1784" s="58">
        <v>0</v>
      </c>
      <c r="Q1784" s="58">
        <v>0</v>
      </c>
      <c r="R1784" s="58">
        <v>0</v>
      </c>
      <c r="S1784" s="58">
        <v>0</v>
      </c>
      <c r="T1784" s="58">
        <v>0</v>
      </c>
      <c r="U1784" s="58">
        <v>0</v>
      </c>
      <c r="V1784" s="58">
        <v>0</v>
      </c>
      <c r="W1784" s="4">
        <v>0</v>
      </c>
    </row>
    <row r="1785" spans="1:23" x14ac:dyDescent="0.35">
      <c r="A1785">
        <v>1781</v>
      </c>
      <c r="B1785">
        <v>1782</v>
      </c>
      <c r="C1785">
        <v>146.031454</v>
      </c>
      <c r="D1785">
        <v>-17.52046335</v>
      </c>
      <c r="F1785" t="str">
        <f>HYPERLINK("D:\Data From Lucan\2024\Johnstone\Frames_for_Analysis\1782_20240610_0003_L_1688.jpg","1782_20240610_0003_L_1688.jpg")</f>
        <v>1782_20240610_0003_L_1688.jpg</v>
      </c>
      <c r="G1785">
        <v>4</v>
      </c>
      <c r="I1785">
        <f t="shared" si="27"/>
        <v>1</v>
      </c>
      <c r="J1785" s="58">
        <v>1</v>
      </c>
      <c r="K1785" s="32"/>
      <c r="L1785" s="32"/>
      <c r="M1785" s="32"/>
      <c r="N1785" s="32"/>
      <c r="O1785">
        <v>1</v>
      </c>
      <c r="P1785" s="58">
        <v>0</v>
      </c>
      <c r="Q1785" s="58">
        <v>0</v>
      </c>
      <c r="R1785" s="58">
        <v>0</v>
      </c>
      <c r="S1785" s="58">
        <v>0</v>
      </c>
      <c r="T1785" s="58">
        <v>0</v>
      </c>
      <c r="U1785" s="58">
        <v>0</v>
      </c>
      <c r="V1785" s="58">
        <v>0</v>
      </c>
      <c r="W1785" s="4">
        <v>0</v>
      </c>
    </row>
    <row r="1786" spans="1:23" x14ac:dyDescent="0.35">
      <c r="A1786">
        <v>1782</v>
      </c>
      <c r="B1786">
        <v>1783</v>
      </c>
      <c r="C1786">
        <v>146.031418</v>
      </c>
      <c r="D1786">
        <v>-17.520376169999999</v>
      </c>
      <c r="F1786" t="str">
        <f>HYPERLINK("D:\Data From Lucan\2024\Johnstone\Frames_for_Analysis\1783_20240610_0003_L_1694.jpg","1783_20240610_0003_L_1694.jpg")</f>
        <v>1783_20240610_0003_L_1694.jpg</v>
      </c>
      <c r="G1786">
        <v>4</v>
      </c>
      <c r="I1786">
        <f t="shared" si="27"/>
        <v>1</v>
      </c>
      <c r="J1786" s="58">
        <v>1</v>
      </c>
      <c r="K1786" s="32"/>
      <c r="L1786" s="32"/>
      <c r="M1786" s="32"/>
      <c r="N1786" s="32"/>
      <c r="O1786">
        <v>1</v>
      </c>
      <c r="P1786" s="58">
        <v>0</v>
      </c>
      <c r="Q1786" s="58">
        <v>0</v>
      </c>
      <c r="R1786" s="58">
        <v>0</v>
      </c>
      <c r="S1786" s="58">
        <v>0</v>
      </c>
      <c r="T1786" s="58">
        <v>0</v>
      </c>
      <c r="U1786" s="58">
        <v>0</v>
      </c>
      <c r="V1786" s="58">
        <v>0</v>
      </c>
      <c r="W1786" s="4">
        <v>0</v>
      </c>
    </row>
    <row r="1787" spans="1:23" x14ac:dyDescent="0.35">
      <c r="A1787">
        <v>1783</v>
      </c>
      <c r="B1787">
        <v>1784</v>
      </c>
      <c r="C1787">
        <v>146.03138200000001</v>
      </c>
      <c r="D1787">
        <v>-17.520288999999998</v>
      </c>
      <c r="F1787" t="str">
        <f>HYPERLINK("D:\Data From Lucan\2024\Johnstone\Frames_for_Analysis\1784_20240610_0003_L_1700.jpg","1784_20240610_0003_L_1700.jpg")</f>
        <v>1784_20240610_0003_L_1700.jpg</v>
      </c>
      <c r="G1787">
        <v>4</v>
      </c>
      <c r="I1787">
        <f t="shared" si="27"/>
        <v>1</v>
      </c>
      <c r="J1787" s="58">
        <v>1</v>
      </c>
      <c r="K1787" s="32"/>
      <c r="L1787" s="32"/>
      <c r="M1787" s="32"/>
      <c r="N1787" s="32"/>
      <c r="O1787">
        <v>1</v>
      </c>
      <c r="P1787" s="58">
        <v>0</v>
      </c>
      <c r="Q1787" s="58">
        <v>0</v>
      </c>
      <c r="R1787" s="58">
        <v>2</v>
      </c>
      <c r="S1787" s="58">
        <v>0</v>
      </c>
      <c r="T1787" s="58">
        <v>0</v>
      </c>
      <c r="U1787" s="58">
        <v>0</v>
      </c>
      <c r="V1787" s="58">
        <v>0</v>
      </c>
      <c r="W1787" s="4">
        <v>0</v>
      </c>
    </row>
    <row r="1788" spans="1:23" x14ac:dyDescent="0.35">
      <c r="A1788">
        <v>1784</v>
      </c>
      <c r="B1788">
        <v>1785</v>
      </c>
      <c r="C1788">
        <v>146.0313668</v>
      </c>
      <c r="D1788">
        <v>-17.520196030000001</v>
      </c>
      <c r="F1788" t="str">
        <f>HYPERLINK("D:\Data From Lucan\2024\Johnstone\Frames_for_Analysis\1785_20240610_0003_L_1706.jpg","1785_20240610_0003_L_1706.jpg")</f>
        <v>1785_20240610_0003_L_1706.jpg</v>
      </c>
      <c r="G1788">
        <v>4</v>
      </c>
      <c r="I1788">
        <f t="shared" si="27"/>
        <v>1</v>
      </c>
      <c r="J1788" s="58">
        <v>1</v>
      </c>
      <c r="K1788" s="32"/>
      <c r="L1788" s="32"/>
      <c r="M1788" s="32"/>
      <c r="N1788" s="32"/>
      <c r="O1788">
        <v>1</v>
      </c>
      <c r="P1788" s="58">
        <v>0</v>
      </c>
      <c r="Q1788" s="58">
        <v>0</v>
      </c>
      <c r="R1788" s="58">
        <v>0</v>
      </c>
      <c r="S1788" s="58">
        <v>0</v>
      </c>
      <c r="T1788" s="58">
        <v>0</v>
      </c>
      <c r="U1788" s="58">
        <v>0</v>
      </c>
      <c r="V1788" s="58">
        <v>0</v>
      </c>
      <c r="W1788" s="4">
        <v>0</v>
      </c>
    </row>
    <row r="1789" spans="1:23" x14ac:dyDescent="0.35">
      <c r="A1789">
        <v>1785</v>
      </c>
      <c r="B1789">
        <v>1786</v>
      </c>
      <c r="C1789">
        <v>146.03135259999999</v>
      </c>
      <c r="D1789">
        <v>-17.520102810000001</v>
      </c>
      <c r="F1789" t="str">
        <f>HYPERLINK("D:\Data From Lucan\2024\Johnstone\Frames_for_Analysis\1786_20240610_0003_L_1710.jpg","1786_20240610_0003_L_1710.jpg")</f>
        <v>1786_20240610_0003_L_1710.jpg</v>
      </c>
      <c r="G1789">
        <v>4</v>
      </c>
      <c r="I1789">
        <f t="shared" si="27"/>
        <v>1</v>
      </c>
      <c r="J1789" s="58">
        <v>1</v>
      </c>
      <c r="K1789" s="32"/>
      <c r="L1789" s="32"/>
      <c r="M1789" s="32"/>
      <c r="N1789" s="32"/>
      <c r="O1789">
        <v>1</v>
      </c>
      <c r="P1789" s="58">
        <v>0</v>
      </c>
      <c r="Q1789" s="58">
        <v>0</v>
      </c>
      <c r="R1789" s="58">
        <v>0</v>
      </c>
      <c r="S1789" s="58">
        <v>0</v>
      </c>
      <c r="T1789" s="58">
        <v>0</v>
      </c>
      <c r="U1789" s="58">
        <v>0</v>
      </c>
      <c r="V1789" s="58">
        <v>0</v>
      </c>
      <c r="W1789" s="4">
        <v>0</v>
      </c>
    </row>
    <row r="1790" spans="1:23" x14ac:dyDescent="0.35">
      <c r="A1790">
        <v>1786</v>
      </c>
      <c r="B1790">
        <v>1787</v>
      </c>
      <c r="C1790">
        <v>146.03133829999999</v>
      </c>
      <c r="D1790">
        <v>-17.520009600000002</v>
      </c>
      <c r="F1790" t="str">
        <f>HYPERLINK("D:\Data From Lucan\2024\Johnstone\Frames_for_Analysis\1787_20240610_0003_L_1714.jpg","1787_20240610_0003_L_1714.jpg")</f>
        <v>1787_20240610_0003_L_1714.jpg</v>
      </c>
      <c r="G1790">
        <v>4</v>
      </c>
      <c r="I1790">
        <f t="shared" si="27"/>
        <v>1</v>
      </c>
      <c r="J1790" s="58">
        <v>1</v>
      </c>
      <c r="K1790" s="32"/>
      <c r="L1790" s="32"/>
      <c r="M1790" s="32"/>
      <c r="N1790" s="32"/>
      <c r="O1790">
        <v>1</v>
      </c>
      <c r="P1790" s="58">
        <v>0</v>
      </c>
      <c r="Q1790" s="58">
        <v>0</v>
      </c>
      <c r="R1790" s="58">
        <v>0</v>
      </c>
      <c r="S1790" s="58">
        <v>0</v>
      </c>
      <c r="T1790" s="58">
        <v>0</v>
      </c>
      <c r="U1790" s="58">
        <v>0</v>
      </c>
      <c r="V1790" s="58">
        <v>0</v>
      </c>
      <c r="W1790" s="4">
        <v>0</v>
      </c>
    </row>
    <row r="1791" spans="1:23" x14ac:dyDescent="0.35">
      <c r="A1791">
        <v>1787</v>
      </c>
      <c r="B1791">
        <v>1788</v>
      </c>
      <c r="C1791">
        <v>146.03132400000001</v>
      </c>
      <c r="D1791">
        <v>-17.519916380000002</v>
      </c>
      <c r="F1791" t="str">
        <f>HYPERLINK("D:\Data From Lucan\2024\Johnstone\Frames_for_Analysis\1788_20240610_0003_L_1719.jpg","1788_20240610_0003_L_1719.jpg")</f>
        <v>1788_20240610_0003_L_1719.jpg</v>
      </c>
      <c r="G1791">
        <v>4</v>
      </c>
      <c r="I1791">
        <f t="shared" si="27"/>
        <v>1</v>
      </c>
      <c r="J1791" s="58">
        <v>1</v>
      </c>
      <c r="K1791" s="32"/>
      <c r="L1791" s="32"/>
      <c r="M1791" s="32"/>
      <c r="N1791" s="32"/>
      <c r="O1791">
        <v>1</v>
      </c>
      <c r="P1791" s="58">
        <v>0</v>
      </c>
      <c r="Q1791" s="58">
        <v>0</v>
      </c>
      <c r="R1791" s="58">
        <v>0</v>
      </c>
      <c r="S1791" s="58">
        <v>0</v>
      </c>
      <c r="T1791" s="58">
        <v>0</v>
      </c>
      <c r="U1791" s="58">
        <v>0</v>
      </c>
      <c r="V1791" s="58">
        <v>0</v>
      </c>
      <c r="W1791" s="4">
        <v>0</v>
      </c>
    </row>
    <row r="1792" spans="1:23" x14ac:dyDescent="0.35">
      <c r="A1792">
        <v>1788</v>
      </c>
      <c r="B1792">
        <v>1789</v>
      </c>
      <c r="C1792">
        <v>146.03130970000001</v>
      </c>
      <c r="D1792">
        <v>-17.519823160000001</v>
      </c>
      <c r="F1792" t="str">
        <f>HYPERLINK("D:\Data From Lucan\2024\Johnstone\Frames_for_Analysis\1789_20240610_0003_L_1723.jpg","1789_20240610_0003_L_1723.jpg")</f>
        <v>1789_20240610_0003_L_1723.jpg</v>
      </c>
      <c r="G1792">
        <v>4</v>
      </c>
      <c r="I1792">
        <f t="shared" si="27"/>
        <v>1</v>
      </c>
      <c r="J1792" s="58">
        <v>1</v>
      </c>
      <c r="K1792" s="32"/>
      <c r="L1792" s="32"/>
      <c r="M1792" s="32"/>
      <c r="N1792" s="32"/>
      <c r="O1792">
        <v>1</v>
      </c>
      <c r="P1792" s="58">
        <v>0</v>
      </c>
      <c r="Q1792" s="58">
        <v>0</v>
      </c>
      <c r="R1792" s="58">
        <v>0</v>
      </c>
      <c r="S1792" s="58">
        <v>0</v>
      </c>
      <c r="T1792" s="58">
        <v>0</v>
      </c>
      <c r="U1792" s="58">
        <v>0</v>
      </c>
      <c r="V1792" s="58">
        <v>0</v>
      </c>
      <c r="W1792" s="4">
        <v>0</v>
      </c>
    </row>
    <row r="1793" spans="1:23" x14ac:dyDescent="0.35">
      <c r="A1793">
        <v>1789</v>
      </c>
      <c r="B1793">
        <v>1790</v>
      </c>
      <c r="C1793">
        <v>146.03129680000001</v>
      </c>
      <c r="D1793">
        <v>-17.519729760000001</v>
      </c>
      <c r="F1793" t="str">
        <f>HYPERLINK("D:\Data From Lucan\2024\Johnstone\Frames_for_Analysis\1790_20240610_0003_L_1727.jpg","1790_20240610_0003_L_1727.jpg")</f>
        <v>1790_20240610_0003_L_1727.jpg</v>
      </c>
      <c r="G1793">
        <v>4</v>
      </c>
      <c r="I1793">
        <f t="shared" si="27"/>
        <v>1</v>
      </c>
      <c r="J1793" s="58">
        <v>1</v>
      </c>
      <c r="K1793" s="32"/>
      <c r="L1793" s="32"/>
      <c r="M1793" s="32"/>
      <c r="N1793" s="32"/>
      <c r="O1793">
        <v>1</v>
      </c>
      <c r="P1793" s="58">
        <v>0</v>
      </c>
      <c r="Q1793" s="58">
        <v>0</v>
      </c>
      <c r="R1793" s="58">
        <v>0</v>
      </c>
      <c r="S1793" s="58">
        <v>0</v>
      </c>
      <c r="T1793" s="58">
        <v>0</v>
      </c>
      <c r="U1793" s="58">
        <v>0</v>
      </c>
      <c r="V1793" s="58">
        <v>0</v>
      </c>
      <c r="W1793" s="4">
        <v>0</v>
      </c>
    </row>
    <row r="1794" spans="1:23" x14ac:dyDescent="0.35">
      <c r="A1794">
        <v>1790</v>
      </c>
      <c r="B1794">
        <v>1791</v>
      </c>
      <c r="C1794">
        <v>146.0312844</v>
      </c>
      <c r="D1794">
        <v>-17.519636269999999</v>
      </c>
      <c r="F1794" t="str">
        <f>HYPERLINK("D:\Data From Lucan\2024\Johnstone\Frames_for_Analysis\1791_20240610_0003_L_1733.jpg","1791_20240610_0003_L_1733.jpg")</f>
        <v>1791_20240610_0003_L_1733.jpg</v>
      </c>
      <c r="G1794">
        <v>4</v>
      </c>
      <c r="I1794">
        <v>0</v>
      </c>
      <c r="J1794" s="58">
        <v>2</v>
      </c>
      <c r="K1794" s="32"/>
      <c r="L1794" s="32"/>
      <c r="M1794" s="32"/>
      <c r="N1794" s="32"/>
      <c r="O1794">
        <v>1</v>
      </c>
      <c r="P1794" s="58">
        <v>0</v>
      </c>
      <c r="Q1794" s="58">
        <v>0</v>
      </c>
      <c r="R1794" s="58">
        <v>0</v>
      </c>
      <c r="S1794" s="58">
        <v>0</v>
      </c>
      <c r="T1794" s="58">
        <v>0</v>
      </c>
      <c r="U1794" s="58">
        <v>0</v>
      </c>
      <c r="V1794" s="58">
        <v>0</v>
      </c>
      <c r="W1794" s="4">
        <v>0</v>
      </c>
    </row>
    <row r="1795" spans="1:23" x14ac:dyDescent="0.35">
      <c r="A1795">
        <v>1791</v>
      </c>
      <c r="B1795">
        <v>1792</v>
      </c>
      <c r="C1795">
        <v>146.031272</v>
      </c>
      <c r="D1795">
        <v>-17.519542779999998</v>
      </c>
      <c r="F1795" t="str">
        <f>HYPERLINK("D:\Data From Lucan\2024\Johnstone\Frames_for_Analysis\1792_20240610_0003_L_1736.jpg","1792_20240610_0003_L_1736.jpg")</f>
        <v>1792_20240610_0003_L_1736.jpg</v>
      </c>
      <c r="G1795">
        <v>4</v>
      </c>
      <c r="I1795">
        <f t="shared" si="27"/>
        <v>1</v>
      </c>
      <c r="J1795" s="58">
        <v>1</v>
      </c>
      <c r="K1795" s="32"/>
      <c r="L1795" s="32"/>
      <c r="M1795" s="32"/>
      <c r="N1795" s="32"/>
      <c r="O1795">
        <v>1</v>
      </c>
      <c r="P1795" s="58">
        <v>0</v>
      </c>
      <c r="Q1795" s="58">
        <v>0</v>
      </c>
      <c r="R1795" s="58">
        <v>0</v>
      </c>
      <c r="S1795" s="58">
        <v>0</v>
      </c>
      <c r="T1795" s="58">
        <v>0</v>
      </c>
      <c r="U1795" s="58">
        <v>0</v>
      </c>
      <c r="V1795" s="58">
        <v>0</v>
      </c>
      <c r="W1795" s="4">
        <v>0</v>
      </c>
    </row>
    <row r="1796" spans="1:23" x14ac:dyDescent="0.35">
      <c r="A1796">
        <v>1792</v>
      </c>
      <c r="B1796">
        <v>1793</v>
      </c>
      <c r="C1796">
        <v>146.03125969999999</v>
      </c>
      <c r="D1796">
        <v>-17.519449290000001</v>
      </c>
      <c r="F1796" t="str">
        <f>HYPERLINK("D:\Data From Lucan\2024\Johnstone\Frames_for_Analysis\1793_20240610_0003_L_1742.jpg","1793_20240610_0003_L_1742.jpg")</f>
        <v>1793_20240610_0003_L_1742.jpg</v>
      </c>
      <c r="G1796">
        <v>4</v>
      </c>
      <c r="I1796">
        <v>0</v>
      </c>
      <c r="J1796" s="58">
        <v>2</v>
      </c>
      <c r="K1796" s="32"/>
      <c r="L1796" s="32"/>
      <c r="M1796" s="32"/>
      <c r="N1796" s="32"/>
      <c r="O1796">
        <v>1</v>
      </c>
      <c r="P1796" s="58">
        <v>0</v>
      </c>
      <c r="Q1796" s="58">
        <v>0</v>
      </c>
      <c r="R1796" s="58">
        <v>0</v>
      </c>
      <c r="S1796" s="58">
        <v>0</v>
      </c>
      <c r="T1796" s="58">
        <v>0</v>
      </c>
      <c r="U1796" s="58">
        <v>0</v>
      </c>
      <c r="V1796" s="58">
        <v>0</v>
      </c>
      <c r="W1796" s="4">
        <v>0</v>
      </c>
    </row>
    <row r="1797" spans="1:23" x14ac:dyDescent="0.35">
      <c r="A1797">
        <v>1793</v>
      </c>
      <c r="B1797">
        <v>1794</v>
      </c>
      <c r="C1797">
        <v>146.03124729999999</v>
      </c>
      <c r="D1797">
        <v>-17.51935581</v>
      </c>
      <c r="F1797" t="str">
        <f>HYPERLINK("D:\Data From Lucan\2024\Johnstone\Frames_for_Analysis\1794_20240610_0003_L_1747.jpg","1794_20240610_0003_L_1747.jpg")</f>
        <v>1794_20240610_0003_L_1747.jpg</v>
      </c>
      <c r="G1797">
        <v>4</v>
      </c>
      <c r="I1797">
        <v>0</v>
      </c>
      <c r="J1797" s="58">
        <v>2</v>
      </c>
      <c r="K1797" s="32"/>
      <c r="L1797" s="32"/>
      <c r="M1797" s="32"/>
      <c r="N1797" s="32"/>
      <c r="O1797">
        <v>1</v>
      </c>
      <c r="P1797" s="58">
        <v>0</v>
      </c>
      <c r="Q1797" s="58">
        <v>0</v>
      </c>
      <c r="R1797" s="58">
        <v>0</v>
      </c>
      <c r="S1797" s="58">
        <v>0</v>
      </c>
      <c r="T1797" s="58">
        <v>0</v>
      </c>
      <c r="U1797" s="58">
        <v>0</v>
      </c>
      <c r="V1797" s="58">
        <v>0</v>
      </c>
      <c r="W1797" s="4">
        <v>0</v>
      </c>
    </row>
    <row r="1798" spans="1:23" x14ac:dyDescent="0.35">
      <c r="A1798">
        <v>1794</v>
      </c>
      <c r="B1798">
        <v>1795</v>
      </c>
      <c r="C1798">
        <v>146.03123489999999</v>
      </c>
      <c r="D1798">
        <v>-17.519262319999999</v>
      </c>
      <c r="F1798" t="str">
        <f>HYPERLINK("D:\Data From Lucan\2024\Johnstone\Frames_for_Analysis\1795_20240610_0003_L_1751.jpg","1795_20240610_0003_L_1751.jpg")</f>
        <v>1795_20240610_0003_L_1751.jpg</v>
      </c>
      <c r="G1798">
        <v>4</v>
      </c>
      <c r="I1798">
        <f t="shared" ref="I1797:I1860" si="28">IF(H1798="X","X",IF(J1798="NA","X",IF(J1798="","X",J1798)))</f>
        <v>1</v>
      </c>
      <c r="J1798" s="58">
        <v>1</v>
      </c>
      <c r="K1798" s="32"/>
      <c r="L1798" s="32"/>
      <c r="M1798" s="32"/>
      <c r="N1798" s="32"/>
      <c r="O1798">
        <v>1</v>
      </c>
      <c r="P1798" s="58">
        <v>0</v>
      </c>
      <c r="Q1798" s="58">
        <v>0</v>
      </c>
      <c r="R1798" s="58">
        <v>2</v>
      </c>
      <c r="S1798" s="58">
        <v>0</v>
      </c>
      <c r="T1798" s="58">
        <v>0</v>
      </c>
      <c r="U1798" s="58">
        <v>0</v>
      </c>
      <c r="V1798" s="58">
        <v>0</v>
      </c>
      <c r="W1798" s="4">
        <v>0</v>
      </c>
    </row>
    <row r="1799" spans="1:23" x14ac:dyDescent="0.35">
      <c r="A1799">
        <v>1795</v>
      </c>
      <c r="B1799">
        <v>1796</v>
      </c>
      <c r="C1799">
        <v>146.0312188</v>
      </c>
      <c r="D1799">
        <v>-17.51916945</v>
      </c>
      <c r="F1799" t="str">
        <f>HYPERLINK("D:\Data From Lucan\2024\Johnstone\Frames_for_Analysis\1796_20240610_0003_L_1755.jpg","1796_20240610_0003_L_1755.jpg")</f>
        <v>1796_20240610_0003_L_1755.jpg</v>
      </c>
      <c r="G1799">
        <v>4</v>
      </c>
      <c r="I1799">
        <v>0</v>
      </c>
      <c r="J1799" s="58">
        <v>2</v>
      </c>
      <c r="K1799" s="32"/>
      <c r="L1799" s="32"/>
      <c r="M1799" s="32"/>
      <c r="N1799" s="32"/>
      <c r="O1799">
        <v>1</v>
      </c>
      <c r="P1799" s="58">
        <v>0</v>
      </c>
      <c r="Q1799" s="58">
        <v>0</v>
      </c>
      <c r="R1799" s="58">
        <v>0</v>
      </c>
      <c r="S1799" s="58">
        <v>0</v>
      </c>
      <c r="T1799" s="58">
        <v>0</v>
      </c>
      <c r="U1799" s="58">
        <v>0</v>
      </c>
      <c r="V1799" s="58">
        <v>0</v>
      </c>
      <c r="W1799" s="4">
        <v>0</v>
      </c>
    </row>
    <row r="1800" spans="1:23" x14ac:dyDescent="0.35">
      <c r="A1800">
        <v>1796</v>
      </c>
      <c r="B1800">
        <v>1797</v>
      </c>
      <c r="C1800">
        <v>146.03120039999999</v>
      </c>
      <c r="D1800">
        <v>-17.51907696</v>
      </c>
      <c r="F1800" t="str">
        <f>HYPERLINK("D:\Data From Lucan\2024\Johnstone\Frames_for_Analysis\1797_20240610_0003_L_1759.jpg","1797_20240610_0003_L_1759.jpg")</f>
        <v>1797_20240610_0003_L_1759.jpg</v>
      </c>
      <c r="G1800">
        <v>4</v>
      </c>
      <c r="I1800">
        <v>0</v>
      </c>
      <c r="J1800" s="58">
        <v>2</v>
      </c>
      <c r="K1800" s="32"/>
      <c r="L1800" s="32"/>
      <c r="M1800" s="32"/>
      <c r="N1800" s="32"/>
      <c r="O1800">
        <v>1</v>
      </c>
      <c r="P1800" s="58">
        <v>0</v>
      </c>
      <c r="Q1800" s="58">
        <v>0</v>
      </c>
      <c r="R1800" s="58">
        <v>0</v>
      </c>
      <c r="S1800" s="58">
        <v>0</v>
      </c>
      <c r="T1800" s="58">
        <v>0</v>
      </c>
      <c r="U1800" s="58">
        <v>0</v>
      </c>
      <c r="V1800" s="58">
        <v>0</v>
      </c>
      <c r="W1800" s="4">
        <v>0</v>
      </c>
    </row>
    <row r="1801" spans="1:23" x14ac:dyDescent="0.35">
      <c r="A1801">
        <v>1797</v>
      </c>
      <c r="B1801">
        <v>1798</v>
      </c>
      <c r="C1801">
        <v>146.03118190000001</v>
      </c>
      <c r="D1801">
        <v>-17.51898448</v>
      </c>
      <c r="F1801" t="str">
        <f>HYPERLINK("D:\Data From Lucan\2024\Johnstone\Frames_for_Analysis\1798_20240610_0003_L_1762.jpg","1798_20240610_0003_L_1762.jpg")</f>
        <v>1798_20240610_0003_L_1762.jpg</v>
      </c>
      <c r="G1801">
        <v>4</v>
      </c>
      <c r="I1801">
        <v>0</v>
      </c>
      <c r="J1801" s="58">
        <v>2</v>
      </c>
      <c r="K1801" s="32"/>
      <c r="L1801" s="32"/>
      <c r="M1801" s="32"/>
      <c r="N1801" s="32"/>
      <c r="O1801">
        <v>1</v>
      </c>
      <c r="P1801" s="58">
        <v>0</v>
      </c>
      <c r="Q1801" s="58">
        <v>0</v>
      </c>
      <c r="R1801" s="58">
        <v>0</v>
      </c>
      <c r="S1801" s="58">
        <v>0</v>
      </c>
      <c r="T1801" s="58">
        <v>0</v>
      </c>
      <c r="U1801" s="58">
        <v>0</v>
      </c>
      <c r="V1801" s="58">
        <v>0</v>
      </c>
      <c r="W1801" s="4">
        <v>0</v>
      </c>
    </row>
    <row r="1802" spans="1:23" x14ac:dyDescent="0.35">
      <c r="A1802">
        <v>1798</v>
      </c>
      <c r="B1802">
        <v>1799</v>
      </c>
      <c r="C1802">
        <v>146.0311566</v>
      </c>
      <c r="D1802">
        <v>-17.518894100000001</v>
      </c>
      <c r="F1802" t="str">
        <f>HYPERLINK("D:\Data From Lucan\2024\Johnstone\Frames_for_Analysis\1799_20240610_0003_L_1765.jpg","1799_20240610_0003_L_1765.jpg")</f>
        <v>1799_20240610_0003_L_1765.jpg</v>
      </c>
      <c r="G1802">
        <v>4</v>
      </c>
      <c r="I1802">
        <v>0</v>
      </c>
      <c r="J1802" s="58">
        <v>2</v>
      </c>
      <c r="K1802" s="32"/>
      <c r="L1802" s="32"/>
      <c r="M1802" s="32"/>
      <c r="N1802" s="32"/>
      <c r="O1802">
        <v>1</v>
      </c>
      <c r="P1802" s="58">
        <v>0</v>
      </c>
      <c r="Q1802" s="58">
        <v>0</v>
      </c>
      <c r="R1802" s="58">
        <v>0</v>
      </c>
      <c r="S1802" s="58">
        <v>0</v>
      </c>
      <c r="T1802" s="58">
        <v>0</v>
      </c>
      <c r="U1802" s="58">
        <v>0</v>
      </c>
      <c r="V1802" s="58">
        <v>0</v>
      </c>
      <c r="W1802" s="4">
        <v>0</v>
      </c>
    </row>
    <row r="1803" spans="1:23" x14ac:dyDescent="0.35">
      <c r="A1803">
        <v>1799</v>
      </c>
      <c r="B1803">
        <v>1800</v>
      </c>
      <c r="C1803">
        <v>146.0311202</v>
      </c>
      <c r="D1803">
        <v>-17.518807110000001</v>
      </c>
      <c r="F1803" t="str">
        <f>HYPERLINK("D:\Data From Lucan\2024\Johnstone\Frames_for_Analysis\1800_20240610_0003_L_1769.jpg","1800_20240610_0003_L_1769.jpg")</f>
        <v>1800_20240610_0003_L_1769.jpg</v>
      </c>
      <c r="G1803">
        <v>4</v>
      </c>
      <c r="I1803">
        <f t="shared" si="28"/>
        <v>0</v>
      </c>
      <c r="J1803" s="58">
        <v>0</v>
      </c>
      <c r="K1803" s="32"/>
      <c r="L1803" s="32"/>
      <c r="M1803" s="32"/>
      <c r="N1803" s="32"/>
      <c r="O1803">
        <v>1</v>
      </c>
      <c r="P1803" s="58">
        <v>1</v>
      </c>
      <c r="Q1803" s="58">
        <v>0</v>
      </c>
      <c r="R1803" s="58">
        <v>0</v>
      </c>
      <c r="S1803" s="58">
        <v>0</v>
      </c>
      <c r="T1803" s="58">
        <v>0</v>
      </c>
      <c r="U1803" s="58">
        <v>0</v>
      </c>
      <c r="V1803" s="58">
        <v>0</v>
      </c>
      <c r="W1803" s="4">
        <v>2</v>
      </c>
    </row>
    <row r="1804" spans="1:23" x14ac:dyDescent="0.35">
      <c r="A1804">
        <v>1800</v>
      </c>
      <c r="B1804">
        <v>1801</v>
      </c>
      <c r="C1804">
        <v>146.0310838</v>
      </c>
      <c r="D1804">
        <v>-17.51872011</v>
      </c>
      <c r="F1804" t="str">
        <f>HYPERLINK("D:\Data From Lucan\2024\Johnstone\Frames_for_Analysis\1801_20240610_0003_L_1772.jpg","1801_20240610_0003_L_1772.jpg")</f>
        <v>1801_20240610_0003_L_1772.jpg</v>
      </c>
      <c r="G1804">
        <v>4</v>
      </c>
      <c r="I1804">
        <f t="shared" si="28"/>
        <v>0</v>
      </c>
      <c r="J1804" s="58">
        <v>0</v>
      </c>
      <c r="K1804" s="32"/>
      <c r="L1804" s="32"/>
      <c r="M1804" s="32"/>
      <c r="N1804" s="32"/>
      <c r="O1804">
        <v>2</v>
      </c>
      <c r="P1804" s="58">
        <v>0</v>
      </c>
      <c r="Q1804" s="58">
        <v>0</v>
      </c>
      <c r="R1804" s="58">
        <v>0</v>
      </c>
      <c r="S1804" s="58">
        <v>0</v>
      </c>
      <c r="T1804" s="58">
        <v>0</v>
      </c>
      <c r="U1804" s="58">
        <v>0</v>
      </c>
      <c r="V1804" s="58">
        <v>0</v>
      </c>
      <c r="W1804" s="4">
        <v>1</v>
      </c>
    </row>
    <row r="1805" spans="1:23" x14ac:dyDescent="0.35">
      <c r="A1805">
        <v>1801</v>
      </c>
      <c r="B1805">
        <v>1802</v>
      </c>
      <c r="C1805">
        <v>146.03104740000001</v>
      </c>
      <c r="D1805">
        <v>-17.518633120000001</v>
      </c>
      <c r="F1805" t="str">
        <f>HYPERLINK("D:\Data From Lucan\2024\Johnstone\Frames_for_Analysis\1802_20240610_0003_L_1776.jpg","1802_20240610_0003_L_1776.jpg")</f>
        <v>1802_20240610_0003_L_1776.jpg</v>
      </c>
      <c r="G1805">
        <v>4</v>
      </c>
      <c r="I1805">
        <f t="shared" si="28"/>
        <v>1</v>
      </c>
      <c r="J1805" s="58">
        <v>1</v>
      </c>
      <c r="K1805" s="32"/>
      <c r="L1805" s="32"/>
      <c r="M1805" s="32"/>
      <c r="N1805" s="32"/>
      <c r="O1805">
        <v>2</v>
      </c>
      <c r="P1805" s="58">
        <v>0</v>
      </c>
      <c r="Q1805" s="58">
        <v>0</v>
      </c>
      <c r="R1805" s="58">
        <v>0</v>
      </c>
      <c r="S1805" s="58">
        <v>0</v>
      </c>
      <c r="T1805" s="58">
        <v>0</v>
      </c>
      <c r="U1805" s="58">
        <v>0</v>
      </c>
      <c r="V1805" s="58">
        <v>0</v>
      </c>
      <c r="W1805" s="4">
        <v>1</v>
      </c>
    </row>
    <row r="1806" spans="1:23" x14ac:dyDescent="0.35">
      <c r="A1806">
        <v>1802</v>
      </c>
      <c r="B1806">
        <v>1803</v>
      </c>
      <c r="C1806">
        <v>146.03101100000001</v>
      </c>
      <c r="D1806">
        <v>-17.51854612</v>
      </c>
      <c r="F1806" t="str">
        <f>HYPERLINK("D:\Data From Lucan\2024\Johnstone\Frames_for_Analysis\1803_20240610_0003_L_1779.jpg","1803_20240610_0003_L_1779.jpg")</f>
        <v>1803_20240610_0003_L_1779.jpg</v>
      </c>
      <c r="G1806">
        <v>4</v>
      </c>
      <c r="I1806">
        <f t="shared" si="28"/>
        <v>1</v>
      </c>
      <c r="J1806" s="58">
        <v>1</v>
      </c>
      <c r="K1806" s="32"/>
      <c r="L1806" s="32"/>
      <c r="M1806" s="32"/>
      <c r="N1806" s="32"/>
      <c r="O1806">
        <v>1</v>
      </c>
      <c r="P1806" s="58">
        <v>0</v>
      </c>
      <c r="Q1806" s="58">
        <v>0</v>
      </c>
      <c r="R1806" s="58">
        <v>0</v>
      </c>
      <c r="S1806" s="58">
        <v>0</v>
      </c>
      <c r="T1806" s="58">
        <v>0</v>
      </c>
      <c r="U1806" s="58">
        <v>0</v>
      </c>
      <c r="V1806" s="58">
        <v>0</v>
      </c>
      <c r="W1806" s="4">
        <v>1</v>
      </c>
    </row>
    <row r="1807" spans="1:23" x14ac:dyDescent="0.35">
      <c r="A1807">
        <v>1803</v>
      </c>
      <c r="B1807">
        <v>1804</v>
      </c>
      <c r="C1807">
        <v>146.03097299999999</v>
      </c>
      <c r="D1807">
        <v>-17.518459870000001</v>
      </c>
      <c r="F1807" t="str">
        <f>HYPERLINK("D:\Data From Lucan\2024\Johnstone\Frames_for_Analysis\1804_20240610_0003_L_1783.jpg","1804_20240610_0003_L_1783.jpg")</f>
        <v>1804_20240610_0003_L_1783.jpg</v>
      </c>
      <c r="G1807">
        <v>4</v>
      </c>
      <c r="I1807">
        <f t="shared" si="28"/>
        <v>1</v>
      </c>
      <c r="J1807" s="58">
        <v>1</v>
      </c>
      <c r="K1807" s="32"/>
      <c r="L1807" s="32"/>
      <c r="M1807" s="32"/>
      <c r="N1807" s="32"/>
      <c r="O1807">
        <v>1</v>
      </c>
      <c r="P1807" s="58">
        <v>0</v>
      </c>
      <c r="Q1807" s="58">
        <v>0</v>
      </c>
      <c r="R1807" s="58">
        <v>0</v>
      </c>
      <c r="S1807" s="58">
        <v>0</v>
      </c>
      <c r="T1807" s="58">
        <v>0</v>
      </c>
      <c r="U1807" s="58">
        <v>0</v>
      </c>
      <c r="V1807" s="58">
        <v>0</v>
      </c>
      <c r="W1807" s="4">
        <v>1</v>
      </c>
    </row>
    <row r="1808" spans="1:23" x14ac:dyDescent="0.35">
      <c r="A1808">
        <v>1804</v>
      </c>
      <c r="B1808">
        <v>1805</v>
      </c>
      <c r="C1808">
        <v>146.03093240000001</v>
      </c>
      <c r="D1808">
        <v>-17.51837471</v>
      </c>
      <c r="F1808" t="str">
        <f>HYPERLINK("D:\Data From Lucan\2024\Johnstone\Frames_for_Analysis\1805_20240610_0003_L_1786.jpg","1805_20240610_0003_L_1786.jpg")</f>
        <v>1805_20240610_0003_L_1786.jpg</v>
      </c>
      <c r="G1808">
        <v>4</v>
      </c>
      <c r="I1808">
        <f t="shared" si="28"/>
        <v>1</v>
      </c>
      <c r="J1808" s="58">
        <v>1</v>
      </c>
      <c r="K1808" s="32"/>
      <c r="L1808" s="32"/>
      <c r="M1808" s="32"/>
      <c r="N1808" s="32"/>
      <c r="O1808">
        <v>1</v>
      </c>
      <c r="P1808" s="58">
        <v>0</v>
      </c>
      <c r="Q1808" s="58">
        <v>0</v>
      </c>
      <c r="R1808" s="58">
        <v>0</v>
      </c>
      <c r="S1808" s="58">
        <v>0</v>
      </c>
      <c r="T1808" s="58">
        <v>0</v>
      </c>
      <c r="U1808" s="58">
        <v>0</v>
      </c>
      <c r="V1808" s="58">
        <v>0</v>
      </c>
      <c r="W1808" s="4">
        <v>1</v>
      </c>
    </row>
    <row r="1809" spans="1:23" x14ac:dyDescent="0.35">
      <c r="A1809">
        <v>1805</v>
      </c>
      <c r="B1809">
        <v>1806</v>
      </c>
      <c r="C1809">
        <v>146.0308919</v>
      </c>
      <c r="D1809">
        <v>-17.518289549999999</v>
      </c>
      <c r="F1809" t="str">
        <f>HYPERLINK("D:\Data From Lucan\2024\Johnstone\Frames_for_Analysis\1806_20240610_0003_L_1789.jpg","1806_20240610_0003_L_1789.jpg")</f>
        <v>1806_20240610_0003_L_1789.jpg</v>
      </c>
      <c r="G1809">
        <v>4</v>
      </c>
      <c r="I1809">
        <f t="shared" si="28"/>
        <v>1</v>
      </c>
      <c r="J1809" s="58">
        <v>1</v>
      </c>
      <c r="K1809" s="32"/>
      <c r="L1809" s="32"/>
      <c r="M1809" s="32"/>
      <c r="N1809" s="32"/>
      <c r="O1809">
        <v>1</v>
      </c>
      <c r="P1809" s="58">
        <v>0</v>
      </c>
      <c r="Q1809" s="58">
        <v>0</v>
      </c>
      <c r="R1809" s="58">
        <v>0</v>
      </c>
      <c r="S1809" s="58">
        <v>0</v>
      </c>
      <c r="T1809" s="58">
        <v>0</v>
      </c>
      <c r="U1809" s="58">
        <v>0</v>
      </c>
      <c r="V1809" s="58">
        <v>0</v>
      </c>
      <c r="W1809" s="4">
        <v>0</v>
      </c>
    </row>
    <row r="1810" spans="1:23" x14ac:dyDescent="0.35">
      <c r="A1810">
        <v>1806</v>
      </c>
      <c r="B1810">
        <v>1807</v>
      </c>
      <c r="C1810">
        <v>146.03085139999999</v>
      </c>
      <c r="D1810">
        <v>-17.518204399999998</v>
      </c>
      <c r="F1810" t="str">
        <f>HYPERLINK("D:\Data From Lucan\2024\Johnstone\Frames_for_Analysis\1807_20240610_0003_L_1793.jpg","1807_20240610_0003_L_1793.jpg")</f>
        <v>1807_20240610_0003_L_1793.jpg</v>
      </c>
      <c r="G1810">
        <v>4</v>
      </c>
      <c r="I1810">
        <v>0</v>
      </c>
      <c r="J1810" s="58">
        <v>2</v>
      </c>
      <c r="K1810" s="32"/>
      <c r="L1810" s="32"/>
      <c r="M1810" s="32"/>
      <c r="N1810" s="32"/>
      <c r="O1810">
        <v>1</v>
      </c>
      <c r="P1810" s="58">
        <v>0</v>
      </c>
      <c r="Q1810" s="58">
        <v>0</v>
      </c>
      <c r="R1810" s="58">
        <v>0</v>
      </c>
      <c r="S1810" s="58">
        <v>0</v>
      </c>
      <c r="T1810" s="58">
        <v>0</v>
      </c>
      <c r="U1810" s="58">
        <v>0</v>
      </c>
      <c r="V1810" s="58">
        <v>0</v>
      </c>
      <c r="W1810" s="4">
        <v>0</v>
      </c>
    </row>
    <row r="1811" spans="1:23" x14ac:dyDescent="0.35">
      <c r="A1811">
        <v>1807</v>
      </c>
      <c r="B1811">
        <v>1808</v>
      </c>
      <c r="C1811">
        <v>146.0308091</v>
      </c>
      <c r="D1811">
        <v>-17.518120230000001</v>
      </c>
      <c r="F1811" t="str">
        <f>HYPERLINK("D:\Data From Lucan\2024\Johnstone\Frames_for_Analysis\1808_20240610_0003_L_1796.jpg","1808_20240610_0003_L_1796.jpg")</f>
        <v>1808_20240610_0003_L_1796.jpg</v>
      </c>
      <c r="G1811">
        <v>4</v>
      </c>
      <c r="I1811">
        <v>0</v>
      </c>
      <c r="J1811" s="58">
        <v>2</v>
      </c>
      <c r="K1811" s="32"/>
      <c r="L1811" s="32"/>
      <c r="M1811" s="32"/>
      <c r="N1811" s="32"/>
      <c r="O1811">
        <v>1</v>
      </c>
      <c r="P1811" s="58">
        <v>0</v>
      </c>
      <c r="Q1811" s="58">
        <v>0</v>
      </c>
      <c r="R1811" s="58">
        <v>0</v>
      </c>
      <c r="S1811" s="58">
        <v>0</v>
      </c>
      <c r="T1811" s="58">
        <v>0</v>
      </c>
      <c r="U1811" s="58">
        <v>0</v>
      </c>
      <c r="V1811" s="58">
        <v>0</v>
      </c>
      <c r="W1811" s="4">
        <v>0</v>
      </c>
    </row>
    <row r="1812" spans="1:23" x14ac:dyDescent="0.35">
      <c r="A1812">
        <v>1808</v>
      </c>
      <c r="B1812">
        <v>1809</v>
      </c>
      <c r="C1812">
        <v>146.03075899999999</v>
      </c>
      <c r="D1812">
        <v>-17.518040339999999</v>
      </c>
      <c r="F1812" t="str">
        <f>HYPERLINK("D:\Data From Lucan\2024\Johnstone\Frames_for_Analysis\1809_20240610_0003_L_1799.jpg","1809_20240610_0003_L_1799.jpg")</f>
        <v>1809_20240610_0003_L_1799.jpg</v>
      </c>
      <c r="G1812">
        <v>4</v>
      </c>
      <c r="I1812">
        <f t="shared" si="28"/>
        <v>1</v>
      </c>
      <c r="J1812" s="58">
        <v>1</v>
      </c>
      <c r="K1812" s="32"/>
      <c r="L1812" s="32"/>
      <c r="M1812" s="32"/>
      <c r="N1812" s="32"/>
      <c r="O1812">
        <v>1</v>
      </c>
      <c r="P1812" s="58">
        <v>0</v>
      </c>
      <c r="Q1812" s="58">
        <v>0</v>
      </c>
      <c r="R1812" s="58">
        <v>0</v>
      </c>
      <c r="S1812" s="58">
        <v>0</v>
      </c>
      <c r="T1812" s="58">
        <v>0</v>
      </c>
      <c r="U1812" s="58">
        <v>0</v>
      </c>
      <c r="V1812" s="58">
        <v>0</v>
      </c>
      <c r="W1812" s="4">
        <v>0</v>
      </c>
    </row>
    <row r="1813" spans="1:23" x14ac:dyDescent="0.35">
      <c r="A1813">
        <v>1809</v>
      </c>
      <c r="B1813">
        <v>1810</v>
      </c>
      <c r="C1813">
        <v>146.0306908</v>
      </c>
      <c r="D1813">
        <v>-17.517977890000001</v>
      </c>
      <c r="F1813" t="str">
        <f>HYPERLINK("D:\Data From Lucan\2024\Johnstone\Frames_for_Analysis\1810_20240610_0003_L_1802.jpg","1810_20240610_0003_L_1802.jpg")</f>
        <v>1810_20240610_0003_L_1802.jpg</v>
      </c>
      <c r="G1813">
        <v>4</v>
      </c>
      <c r="I1813">
        <f t="shared" si="28"/>
        <v>1</v>
      </c>
      <c r="J1813" s="58">
        <v>1</v>
      </c>
      <c r="K1813" s="32"/>
      <c r="L1813" s="32"/>
      <c r="M1813" s="32"/>
      <c r="N1813" s="32"/>
      <c r="O1813">
        <v>1</v>
      </c>
      <c r="P1813" s="58">
        <v>0</v>
      </c>
      <c r="Q1813" s="58">
        <v>0</v>
      </c>
      <c r="R1813" s="58">
        <v>0</v>
      </c>
      <c r="S1813" s="58">
        <v>0</v>
      </c>
      <c r="T1813" s="58">
        <v>0</v>
      </c>
      <c r="U1813" s="58">
        <v>0</v>
      </c>
      <c r="V1813" s="58">
        <v>0</v>
      </c>
      <c r="W1813" s="4">
        <v>0</v>
      </c>
    </row>
    <row r="1814" spans="1:23" x14ac:dyDescent="0.35">
      <c r="A1814">
        <v>1810</v>
      </c>
      <c r="B1814">
        <v>1811</v>
      </c>
      <c r="C1814">
        <v>146.03061270000001</v>
      </c>
      <c r="D1814">
        <v>-17.517925080000001</v>
      </c>
      <c r="F1814" t="str">
        <f>HYPERLINK("D:\Data From Lucan\2024\Johnstone\Frames_for_Analysis\1811_20240610_0003_L_1805.jpg","1811_20240610_0003_L_1805.jpg")</f>
        <v>1811_20240610_0003_L_1805.jpg</v>
      </c>
      <c r="G1814">
        <v>4</v>
      </c>
      <c r="I1814">
        <v>0</v>
      </c>
      <c r="J1814" s="58">
        <v>2</v>
      </c>
      <c r="K1814" s="32"/>
      <c r="L1814" s="32"/>
      <c r="M1814" s="32"/>
      <c r="N1814" s="32"/>
      <c r="O1814">
        <v>1</v>
      </c>
      <c r="P1814" s="58">
        <v>0</v>
      </c>
      <c r="Q1814" s="58">
        <v>0</v>
      </c>
      <c r="R1814" s="58">
        <v>0</v>
      </c>
      <c r="S1814" s="58">
        <v>0</v>
      </c>
      <c r="T1814" s="58">
        <v>0</v>
      </c>
      <c r="U1814" s="58">
        <v>0</v>
      </c>
      <c r="V1814" s="58">
        <v>0</v>
      </c>
      <c r="W1814" s="4">
        <v>0</v>
      </c>
    </row>
    <row r="1815" spans="1:23" x14ac:dyDescent="0.35">
      <c r="A1815">
        <v>1811</v>
      </c>
      <c r="B1815">
        <v>1812</v>
      </c>
      <c r="C1815">
        <v>146.0305324</v>
      </c>
      <c r="D1815">
        <v>-17.51787603</v>
      </c>
      <c r="F1815" t="str">
        <f>HYPERLINK("D:\Data From Lucan\2024\Johnstone\Frames_for_Analysis\1812_20240610_0003_L_1807.jpg","1812_20240610_0003_L_1807.jpg")</f>
        <v>1812_20240610_0003_L_1807.jpg</v>
      </c>
      <c r="G1815">
        <v>4</v>
      </c>
      <c r="I1815">
        <f t="shared" si="28"/>
        <v>1</v>
      </c>
      <c r="J1815" s="58">
        <v>1</v>
      </c>
      <c r="K1815" s="32"/>
      <c r="L1815" s="32"/>
      <c r="M1815" s="32"/>
      <c r="N1815" s="32"/>
      <c r="O1815">
        <v>1</v>
      </c>
      <c r="P1815" s="58">
        <v>0</v>
      </c>
      <c r="Q1815" s="58">
        <v>0</v>
      </c>
      <c r="R1815" s="58">
        <v>0</v>
      </c>
      <c r="S1815" s="58">
        <v>0</v>
      </c>
      <c r="T1815" s="58">
        <v>0</v>
      </c>
      <c r="U1815" s="58">
        <v>0</v>
      </c>
      <c r="V1815" s="58">
        <v>0</v>
      </c>
      <c r="W1815" s="4">
        <v>0</v>
      </c>
    </row>
    <row r="1816" spans="1:23" x14ac:dyDescent="0.35">
      <c r="A1816">
        <v>1812</v>
      </c>
      <c r="B1816">
        <v>1813</v>
      </c>
      <c r="C1816">
        <v>146.0304472</v>
      </c>
      <c r="D1816">
        <v>-17.51783571</v>
      </c>
      <c r="F1816" t="str">
        <f>HYPERLINK("D:\Data From Lucan\2024\Johnstone\Frames_for_Analysis\1813_20240610_0003_L_1810.jpg","1813_20240610_0003_L_1810.jpg")</f>
        <v>1813_20240610_0003_L_1810.jpg</v>
      </c>
      <c r="G1816">
        <v>4</v>
      </c>
      <c r="I1816">
        <f t="shared" si="28"/>
        <v>1</v>
      </c>
      <c r="J1816" s="58">
        <v>1</v>
      </c>
      <c r="K1816" s="32"/>
      <c r="L1816" s="32"/>
      <c r="M1816" s="32"/>
      <c r="N1816" s="32"/>
      <c r="O1816">
        <v>1</v>
      </c>
      <c r="P1816" s="58">
        <v>0</v>
      </c>
      <c r="Q1816" s="58">
        <v>0</v>
      </c>
      <c r="R1816" s="58">
        <v>0</v>
      </c>
      <c r="S1816" s="58">
        <v>0</v>
      </c>
      <c r="T1816" s="58">
        <v>0</v>
      </c>
      <c r="U1816" s="58">
        <v>0</v>
      </c>
      <c r="V1816" s="58">
        <v>0</v>
      </c>
      <c r="W1816" s="4">
        <v>0</v>
      </c>
    </row>
    <row r="1817" spans="1:23" x14ac:dyDescent="0.35">
      <c r="A1817">
        <v>1813</v>
      </c>
      <c r="B1817">
        <v>1814</v>
      </c>
      <c r="C1817">
        <v>146.0303619</v>
      </c>
      <c r="D1817">
        <v>-17.517795400000001</v>
      </c>
      <c r="F1817" t="str">
        <f>HYPERLINK("D:\Data From Lucan\2024\Johnstone\Frames_for_Analysis\1814_20240610_0003_L_1812.jpg","1814_20240610_0003_L_1812.jpg")</f>
        <v>1814_20240610_0003_L_1812.jpg</v>
      </c>
      <c r="G1817">
        <v>4</v>
      </c>
      <c r="I1817">
        <v>0</v>
      </c>
      <c r="J1817" s="58">
        <v>2</v>
      </c>
      <c r="K1817" s="32"/>
      <c r="L1817" s="32"/>
      <c r="M1817" s="32"/>
      <c r="N1817" s="32"/>
      <c r="O1817">
        <v>1</v>
      </c>
      <c r="P1817" s="58">
        <v>0</v>
      </c>
      <c r="Q1817" s="58">
        <v>0</v>
      </c>
      <c r="R1817" s="58">
        <v>0</v>
      </c>
      <c r="S1817" s="58">
        <v>0</v>
      </c>
      <c r="T1817" s="58">
        <v>0</v>
      </c>
      <c r="U1817" s="58">
        <v>0</v>
      </c>
      <c r="V1817" s="58">
        <v>0</v>
      </c>
      <c r="W1817" s="4">
        <v>0</v>
      </c>
    </row>
    <row r="1818" spans="1:23" x14ac:dyDescent="0.35">
      <c r="A1818">
        <v>1814</v>
      </c>
      <c r="B1818">
        <v>1815</v>
      </c>
      <c r="C1818">
        <v>146.03028430000001</v>
      </c>
      <c r="D1818">
        <v>-17.517742070000001</v>
      </c>
      <c r="F1818" t="str">
        <f>HYPERLINK("D:\Data From Lucan\2024\Johnstone\Frames_for_Analysis\1815_20240610_0003_L_1816.jpg","1815_20240610_0003_L_1816.jpg")</f>
        <v>1815_20240610_0003_L_1816.jpg</v>
      </c>
      <c r="G1818">
        <v>4</v>
      </c>
      <c r="I1818">
        <f t="shared" si="28"/>
        <v>1</v>
      </c>
      <c r="J1818" s="58">
        <v>1</v>
      </c>
      <c r="K1818" s="32"/>
      <c r="L1818" s="32"/>
      <c r="M1818" s="32"/>
      <c r="N1818" s="32"/>
      <c r="O1818">
        <v>1</v>
      </c>
      <c r="P1818" s="58">
        <v>0</v>
      </c>
      <c r="Q1818" s="58">
        <v>0</v>
      </c>
      <c r="R1818" s="58">
        <v>2</v>
      </c>
      <c r="S1818" s="58">
        <v>0</v>
      </c>
      <c r="T1818" s="58">
        <v>0</v>
      </c>
      <c r="U1818" s="58">
        <v>0</v>
      </c>
      <c r="V1818" s="58">
        <v>0</v>
      </c>
      <c r="W1818" s="4">
        <v>0</v>
      </c>
    </row>
    <row r="1819" spans="1:23" x14ac:dyDescent="0.35">
      <c r="A1819">
        <v>1815</v>
      </c>
      <c r="B1819">
        <v>1816</v>
      </c>
      <c r="C1819">
        <v>146.03021480000001</v>
      </c>
      <c r="D1819">
        <v>-17.517680859999999</v>
      </c>
      <c r="F1819" t="str">
        <f>HYPERLINK("D:\Data From Lucan\2024\Johnstone\Frames_for_Analysis\1816_20240610_0003_L_1818.jpg","1816_20240610_0003_L_1818.jpg")</f>
        <v>1816_20240610_0003_L_1818.jpg</v>
      </c>
      <c r="G1819">
        <v>4</v>
      </c>
      <c r="I1819">
        <f t="shared" si="28"/>
        <v>1</v>
      </c>
      <c r="J1819" s="58">
        <v>1</v>
      </c>
      <c r="K1819" s="32"/>
      <c r="L1819" s="32"/>
      <c r="M1819" s="32"/>
      <c r="N1819" s="32"/>
      <c r="O1819">
        <v>1</v>
      </c>
      <c r="P1819" s="58">
        <v>0</v>
      </c>
      <c r="Q1819" s="58">
        <v>0</v>
      </c>
      <c r="R1819" s="58">
        <v>0</v>
      </c>
      <c r="S1819" s="58">
        <v>0</v>
      </c>
      <c r="T1819" s="58">
        <v>0</v>
      </c>
      <c r="U1819" s="58">
        <v>0</v>
      </c>
      <c r="V1819" s="58">
        <v>0</v>
      </c>
      <c r="W1819" s="4">
        <v>0</v>
      </c>
    </row>
    <row r="1820" spans="1:23" x14ac:dyDescent="0.35">
      <c r="A1820">
        <v>1816</v>
      </c>
      <c r="B1820">
        <v>1817</v>
      </c>
      <c r="C1820">
        <v>146.03016940000001</v>
      </c>
      <c r="D1820">
        <v>-17.517598190000001</v>
      </c>
      <c r="F1820" t="str">
        <f>HYPERLINK("D:\Data From Lucan\2024\Johnstone\Frames_for_Analysis\1817_20240610_0003_L_1822.jpg","1817_20240610_0003_L_1822.jpg")</f>
        <v>1817_20240610_0003_L_1822.jpg</v>
      </c>
      <c r="G1820">
        <v>4</v>
      </c>
      <c r="I1820">
        <f t="shared" si="28"/>
        <v>1</v>
      </c>
      <c r="J1820" s="58">
        <v>1</v>
      </c>
      <c r="K1820" s="32"/>
      <c r="L1820" s="32"/>
      <c r="M1820" s="32"/>
      <c r="N1820" s="32"/>
      <c r="O1820">
        <v>1</v>
      </c>
      <c r="P1820" s="58">
        <v>0</v>
      </c>
      <c r="Q1820" s="58">
        <v>0</v>
      </c>
      <c r="R1820" s="58">
        <v>3</v>
      </c>
      <c r="S1820" s="58">
        <v>0</v>
      </c>
      <c r="T1820" s="58">
        <v>0</v>
      </c>
      <c r="U1820" s="58">
        <v>0</v>
      </c>
      <c r="V1820" s="58">
        <v>0</v>
      </c>
      <c r="W1820" s="4">
        <v>0</v>
      </c>
    </row>
    <row r="1821" spans="1:23" x14ac:dyDescent="0.35">
      <c r="A1821">
        <v>1817</v>
      </c>
      <c r="B1821">
        <v>1818</v>
      </c>
      <c r="C1821">
        <v>146.0301278</v>
      </c>
      <c r="D1821">
        <v>-17.517513810000001</v>
      </c>
      <c r="F1821" t="str">
        <f>HYPERLINK("D:\Data From Lucan\2024\Johnstone\Frames_for_Analysis\1818_20240610_0003_L_1825.jpg","1818_20240610_0003_L_1825.jpg")</f>
        <v>1818_20240610_0003_L_1825.jpg</v>
      </c>
      <c r="G1821">
        <v>4</v>
      </c>
      <c r="I1821">
        <f t="shared" si="28"/>
        <v>1</v>
      </c>
      <c r="J1821" s="58">
        <v>1</v>
      </c>
      <c r="K1821" s="32"/>
      <c r="L1821" s="32"/>
      <c r="M1821" s="32"/>
      <c r="N1821" s="32"/>
      <c r="O1821">
        <v>1</v>
      </c>
      <c r="P1821" s="58">
        <v>0</v>
      </c>
      <c r="Q1821" s="58">
        <v>0</v>
      </c>
      <c r="R1821" s="58">
        <v>0</v>
      </c>
      <c r="S1821" s="58">
        <v>0</v>
      </c>
      <c r="T1821" s="58">
        <v>0</v>
      </c>
      <c r="U1821" s="58">
        <v>0</v>
      </c>
      <c r="V1821" s="58">
        <v>0</v>
      </c>
      <c r="W1821" s="4">
        <v>0</v>
      </c>
    </row>
    <row r="1822" spans="1:23" x14ac:dyDescent="0.35">
      <c r="A1822">
        <v>1818</v>
      </c>
      <c r="B1822">
        <v>1819</v>
      </c>
      <c r="C1822">
        <v>146.03009599999999</v>
      </c>
      <c r="D1822">
        <v>-17.51742505</v>
      </c>
      <c r="F1822" t="str">
        <f>HYPERLINK("D:\Data From Lucan\2024\Johnstone\Frames_for_Analysis\1819_20240610_0003_L_1828.jpg","1819_20240610_0003_L_1828.jpg")</f>
        <v>1819_20240610_0003_L_1828.jpg</v>
      </c>
      <c r="G1822">
        <v>4</v>
      </c>
      <c r="I1822">
        <f t="shared" si="28"/>
        <v>1</v>
      </c>
      <c r="J1822" s="58">
        <v>1</v>
      </c>
      <c r="K1822" s="32"/>
      <c r="L1822" s="32"/>
      <c r="M1822" s="32"/>
      <c r="N1822" s="32"/>
      <c r="O1822">
        <v>1</v>
      </c>
      <c r="P1822" s="58">
        <v>0</v>
      </c>
      <c r="Q1822" s="58">
        <v>0</v>
      </c>
      <c r="R1822" s="58">
        <v>0</v>
      </c>
      <c r="S1822" s="58">
        <v>0</v>
      </c>
      <c r="T1822" s="58">
        <v>0</v>
      </c>
      <c r="U1822" s="58">
        <v>0</v>
      </c>
      <c r="V1822" s="58">
        <v>0</v>
      </c>
      <c r="W1822" s="4">
        <v>0</v>
      </c>
    </row>
    <row r="1823" spans="1:23" x14ac:dyDescent="0.35">
      <c r="A1823">
        <v>1819</v>
      </c>
      <c r="B1823">
        <v>1820</v>
      </c>
      <c r="C1823">
        <v>146.0300641</v>
      </c>
      <c r="D1823">
        <v>-17.517336279999999</v>
      </c>
      <c r="F1823" t="str">
        <f>HYPERLINK("D:\Data From Lucan\2024\Johnstone\Frames_for_Analysis\1820_20240610_0003_L_1832.jpg","1820_20240610_0003_L_1832.jpg")</f>
        <v>1820_20240610_0003_L_1832.jpg</v>
      </c>
      <c r="G1823">
        <v>4</v>
      </c>
      <c r="I1823">
        <v>0</v>
      </c>
      <c r="J1823" s="58">
        <v>2</v>
      </c>
      <c r="K1823" s="32"/>
      <c r="L1823" s="32"/>
      <c r="M1823" s="32"/>
      <c r="N1823" s="32"/>
      <c r="O1823">
        <v>1</v>
      </c>
      <c r="P1823" s="58">
        <v>0</v>
      </c>
      <c r="Q1823" s="58">
        <v>0</v>
      </c>
      <c r="R1823" s="58">
        <v>0</v>
      </c>
      <c r="S1823" s="58">
        <v>0</v>
      </c>
      <c r="T1823" s="58">
        <v>0</v>
      </c>
      <c r="U1823" s="58">
        <v>0</v>
      </c>
      <c r="V1823" s="58">
        <v>0</v>
      </c>
      <c r="W1823" s="4">
        <v>0</v>
      </c>
    </row>
    <row r="1824" spans="1:23" x14ac:dyDescent="0.35">
      <c r="A1824">
        <v>1820</v>
      </c>
      <c r="B1824">
        <v>1821</v>
      </c>
      <c r="C1824">
        <v>146.03005250000001</v>
      </c>
      <c r="D1824">
        <v>-17.51724304</v>
      </c>
      <c r="F1824" t="str">
        <f>HYPERLINK("D:\Data From Lucan\2024\Johnstone\Frames_for_Analysis\1821_20240610_0003_L_1834.jpg","1821_20240610_0003_L_1834.jpg")</f>
        <v>1821_20240610_0003_L_1834.jpg</v>
      </c>
      <c r="G1824">
        <v>4</v>
      </c>
      <c r="I1824">
        <f t="shared" si="28"/>
        <v>1</v>
      </c>
      <c r="J1824" s="58">
        <v>1</v>
      </c>
      <c r="K1824" s="32"/>
      <c r="L1824" s="32"/>
      <c r="M1824" s="32"/>
      <c r="N1824" s="32"/>
      <c r="O1824">
        <v>1</v>
      </c>
      <c r="P1824" s="58">
        <v>0</v>
      </c>
      <c r="Q1824" s="58">
        <v>0</v>
      </c>
      <c r="R1824" s="58">
        <v>2</v>
      </c>
      <c r="S1824" s="58">
        <v>0</v>
      </c>
      <c r="T1824" s="58">
        <v>0</v>
      </c>
      <c r="U1824" s="58">
        <v>0</v>
      </c>
      <c r="V1824" s="58">
        <v>0</v>
      </c>
      <c r="W1824" s="4">
        <v>0</v>
      </c>
    </row>
    <row r="1825" spans="1:23" x14ac:dyDescent="0.35">
      <c r="A1825">
        <v>1821</v>
      </c>
      <c r="B1825">
        <v>1822</v>
      </c>
      <c r="C1825">
        <v>146.03004390000001</v>
      </c>
      <c r="D1825">
        <v>-17.51714913</v>
      </c>
      <c r="F1825" t="str">
        <f>HYPERLINK("D:\Data From Lucan\2024\Johnstone\Frames_for_Analysis\1822_20240610_0003_L_1836.jpg","1822_20240610_0003_L_1836.jpg")</f>
        <v>1822_20240610_0003_L_1836.jpg</v>
      </c>
      <c r="G1825">
        <v>4</v>
      </c>
      <c r="I1825">
        <f t="shared" si="28"/>
        <v>1</v>
      </c>
      <c r="J1825" s="58">
        <v>1</v>
      </c>
      <c r="K1825" s="32"/>
      <c r="L1825" s="32"/>
      <c r="M1825" s="32"/>
      <c r="N1825" s="32"/>
      <c r="O1825">
        <v>1</v>
      </c>
      <c r="P1825" s="58">
        <v>0</v>
      </c>
      <c r="Q1825" s="58">
        <v>0</v>
      </c>
      <c r="R1825" s="58">
        <v>0</v>
      </c>
      <c r="S1825" s="58">
        <v>0</v>
      </c>
      <c r="T1825" s="58">
        <v>0</v>
      </c>
      <c r="U1825" s="58">
        <v>0</v>
      </c>
      <c r="V1825" s="58">
        <v>0</v>
      </c>
      <c r="W1825" s="4">
        <v>0</v>
      </c>
    </row>
    <row r="1826" spans="1:23" x14ac:dyDescent="0.35">
      <c r="A1826">
        <v>1822</v>
      </c>
      <c r="B1826">
        <v>1823</v>
      </c>
      <c r="C1826">
        <v>146.03003340000001</v>
      </c>
      <c r="D1826">
        <v>-17.517055429999999</v>
      </c>
      <c r="F1826" t="str">
        <f>HYPERLINK("D:\Data From Lucan\2024\Johnstone\Frames_for_Analysis\1823_20240610_0003_L_1838.jpg","1823_20240610_0003_L_1838.jpg")</f>
        <v>1823_20240610_0003_L_1838.jpg</v>
      </c>
      <c r="G1826">
        <v>4</v>
      </c>
      <c r="I1826">
        <f t="shared" si="28"/>
        <v>1</v>
      </c>
      <c r="J1826" s="58">
        <v>1</v>
      </c>
      <c r="K1826" s="32"/>
      <c r="L1826" s="32"/>
      <c r="M1826" s="32"/>
      <c r="N1826" s="32"/>
      <c r="O1826">
        <v>1</v>
      </c>
      <c r="P1826" s="58">
        <v>0</v>
      </c>
      <c r="Q1826" s="58">
        <v>0</v>
      </c>
      <c r="R1826" s="58">
        <v>0</v>
      </c>
      <c r="S1826" s="58">
        <v>0</v>
      </c>
      <c r="T1826" s="58">
        <v>0</v>
      </c>
      <c r="U1826" s="58">
        <v>0</v>
      </c>
      <c r="V1826" s="58">
        <v>0</v>
      </c>
      <c r="W1826" s="4">
        <v>0</v>
      </c>
    </row>
    <row r="1827" spans="1:23" x14ac:dyDescent="0.35">
      <c r="A1827">
        <v>1823</v>
      </c>
      <c r="B1827">
        <v>1824</v>
      </c>
      <c r="C1827">
        <v>146.03002050000001</v>
      </c>
      <c r="D1827">
        <v>-17.516962020000001</v>
      </c>
      <c r="F1827" t="str">
        <f>HYPERLINK("D:\Data From Lucan\2024\Johnstone\Frames_for_Analysis\1824_20240610_0003_L_1840.jpg","1824_20240610_0003_L_1840.jpg")</f>
        <v>1824_20240610_0003_L_1840.jpg</v>
      </c>
      <c r="G1827">
        <v>4</v>
      </c>
      <c r="I1827">
        <v>0</v>
      </c>
      <c r="J1827" s="58">
        <v>2</v>
      </c>
      <c r="K1827" s="32"/>
      <c r="L1827" s="32"/>
      <c r="M1827" s="32"/>
      <c r="N1827" s="32"/>
      <c r="O1827">
        <v>1</v>
      </c>
      <c r="P1827" s="58">
        <v>0</v>
      </c>
      <c r="Q1827" s="58">
        <v>0</v>
      </c>
      <c r="R1827" s="58">
        <v>0</v>
      </c>
      <c r="S1827" s="58">
        <v>0</v>
      </c>
      <c r="T1827" s="58">
        <v>0</v>
      </c>
      <c r="U1827" s="58">
        <v>0</v>
      </c>
      <c r="V1827" s="58">
        <v>0</v>
      </c>
      <c r="W1827" s="4">
        <v>0</v>
      </c>
    </row>
    <row r="1828" spans="1:23" x14ac:dyDescent="0.35">
      <c r="A1828">
        <v>1824</v>
      </c>
      <c r="B1828">
        <v>1825</v>
      </c>
      <c r="C1828">
        <v>146.03000750000001</v>
      </c>
      <c r="D1828">
        <v>-17.51686861</v>
      </c>
      <c r="F1828" t="str">
        <f>HYPERLINK("D:\Data From Lucan\2024\Johnstone\Frames_for_Analysis\1825_20240610_0003_L_1843.jpg","1825_20240610_0003_L_1843.jpg")</f>
        <v>1825_20240610_0003_L_1843.jpg</v>
      </c>
      <c r="G1828">
        <v>4</v>
      </c>
      <c r="I1828">
        <v>0</v>
      </c>
      <c r="J1828" s="58">
        <v>2</v>
      </c>
      <c r="K1828" s="32"/>
      <c r="L1828" s="32"/>
      <c r="M1828" s="32"/>
      <c r="N1828" s="32"/>
      <c r="O1828">
        <v>1</v>
      </c>
      <c r="P1828" s="58">
        <v>0</v>
      </c>
      <c r="Q1828" s="58">
        <v>0</v>
      </c>
      <c r="R1828" s="58">
        <v>0</v>
      </c>
      <c r="S1828" s="58">
        <v>0</v>
      </c>
      <c r="T1828" s="58">
        <v>0</v>
      </c>
      <c r="U1828" s="58">
        <v>0</v>
      </c>
      <c r="V1828" s="58">
        <v>0</v>
      </c>
      <c r="W1828" s="4">
        <v>0</v>
      </c>
    </row>
    <row r="1829" spans="1:23" x14ac:dyDescent="0.35">
      <c r="A1829">
        <v>1825</v>
      </c>
      <c r="B1829">
        <v>1826</v>
      </c>
      <c r="C1829">
        <v>146.02999460000001</v>
      </c>
      <c r="D1829">
        <v>-17.516775200000001</v>
      </c>
      <c r="F1829" t="str">
        <f>HYPERLINK("D:\Data From Lucan\2024\Johnstone\Frames_for_Analysis\1826_20240610_0003_L_1845.jpg","1826_20240610_0003_L_1845.jpg")</f>
        <v>1826_20240610_0003_L_1845.jpg</v>
      </c>
      <c r="G1829">
        <v>4</v>
      </c>
      <c r="I1829">
        <v>0</v>
      </c>
      <c r="J1829" s="58">
        <v>2</v>
      </c>
      <c r="K1829" s="32"/>
      <c r="L1829" s="32"/>
      <c r="M1829" s="32"/>
      <c r="N1829" s="32"/>
      <c r="O1829">
        <v>1</v>
      </c>
      <c r="P1829" s="58">
        <v>0</v>
      </c>
      <c r="Q1829" s="58">
        <v>0</v>
      </c>
      <c r="R1829" s="58">
        <v>0</v>
      </c>
      <c r="S1829" s="58">
        <v>0</v>
      </c>
      <c r="T1829" s="58">
        <v>0</v>
      </c>
      <c r="U1829" s="58">
        <v>0</v>
      </c>
      <c r="V1829" s="58">
        <v>0</v>
      </c>
      <c r="W1829" s="4">
        <v>0</v>
      </c>
    </row>
    <row r="1830" spans="1:23" x14ac:dyDescent="0.35">
      <c r="A1830">
        <v>1826</v>
      </c>
      <c r="B1830">
        <v>1827</v>
      </c>
      <c r="C1830">
        <v>146.02998160000001</v>
      </c>
      <c r="D1830">
        <v>-17.51668179</v>
      </c>
      <c r="F1830" t="str">
        <f>HYPERLINK("D:\Data From Lucan\2024\Johnstone\Frames_for_Analysis\1827_20240610_0003_L_1847.jpg","1827_20240610_0003_L_1847.jpg")</f>
        <v>1827_20240610_0003_L_1847.jpg</v>
      </c>
      <c r="G1830">
        <v>4</v>
      </c>
      <c r="I1830">
        <f t="shared" si="28"/>
        <v>0</v>
      </c>
      <c r="J1830" s="58">
        <v>0</v>
      </c>
      <c r="K1830" s="32"/>
      <c r="L1830" s="32"/>
      <c r="M1830" s="32"/>
      <c r="N1830" s="32"/>
      <c r="O1830">
        <v>3</v>
      </c>
      <c r="P1830" s="58">
        <v>0</v>
      </c>
      <c r="Q1830" s="58">
        <v>0</v>
      </c>
      <c r="R1830" s="58">
        <v>0</v>
      </c>
      <c r="S1830" s="58">
        <v>0</v>
      </c>
      <c r="T1830" s="58">
        <v>0</v>
      </c>
      <c r="U1830" s="58">
        <v>0</v>
      </c>
      <c r="V1830" s="58">
        <v>0</v>
      </c>
      <c r="W1830" s="4">
        <v>2</v>
      </c>
    </row>
    <row r="1831" spans="1:23" x14ac:dyDescent="0.35">
      <c r="A1831">
        <v>1827</v>
      </c>
      <c r="B1831">
        <v>1828</v>
      </c>
      <c r="C1831">
        <v>146.02996959999999</v>
      </c>
      <c r="D1831">
        <v>-17.516588370000001</v>
      </c>
      <c r="F1831" t="str">
        <f>HYPERLINK("D:\Data From Lucan\2024\Johnstone\Frames_for_Analysis\1828_20240610_0003_L_1849.jpg","1828_20240610_0003_L_1849.jpg")</f>
        <v>1828_20240610_0003_L_1849.jpg</v>
      </c>
      <c r="G1831">
        <v>4</v>
      </c>
      <c r="I1831">
        <f t="shared" si="28"/>
        <v>0</v>
      </c>
      <c r="J1831" s="58">
        <v>0</v>
      </c>
      <c r="K1831" s="32"/>
      <c r="L1831" s="32"/>
      <c r="M1831" s="32"/>
      <c r="N1831" s="32"/>
      <c r="O1831">
        <v>3</v>
      </c>
      <c r="P1831" s="58">
        <v>0</v>
      </c>
      <c r="Q1831" s="58">
        <v>1</v>
      </c>
      <c r="R1831" s="58">
        <v>0</v>
      </c>
      <c r="S1831" s="58">
        <v>0</v>
      </c>
      <c r="T1831" s="58">
        <v>0</v>
      </c>
      <c r="U1831" s="58">
        <v>0</v>
      </c>
      <c r="V1831" s="58">
        <v>0</v>
      </c>
      <c r="W1831" s="4">
        <v>2</v>
      </c>
    </row>
    <row r="1832" spans="1:23" x14ac:dyDescent="0.35">
      <c r="A1832">
        <v>1828</v>
      </c>
      <c r="B1832">
        <v>1829</v>
      </c>
      <c r="C1832">
        <v>146.02997869999999</v>
      </c>
      <c r="D1832">
        <v>-17.5164945</v>
      </c>
      <c r="F1832" t="str">
        <f>HYPERLINK("D:\Data From Lucan\2024\Johnstone\Frames_for_Analysis\1829_20240610_0003_L_1851.jpg","1829_20240610_0003_L_1851.jpg")</f>
        <v>1829_20240610_0003_L_1851.jpg</v>
      </c>
      <c r="G1832">
        <v>4</v>
      </c>
      <c r="I1832">
        <v>0</v>
      </c>
      <c r="J1832" s="58">
        <v>2</v>
      </c>
      <c r="K1832" s="32"/>
      <c r="L1832" s="32"/>
      <c r="M1832" s="32"/>
      <c r="N1832" s="32"/>
      <c r="O1832">
        <v>2</v>
      </c>
      <c r="P1832" s="58">
        <v>0</v>
      </c>
      <c r="Q1832" s="58">
        <v>0</v>
      </c>
      <c r="R1832" s="58">
        <v>0</v>
      </c>
      <c r="S1832" s="58">
        <v>0</v>
      </c>
      <c r="T1832" s="58">
        <v>0</v>
      </c>
      <c r="U1832" s="58">
        <v>0</v>
      </c>
      <c r="V1832" s="58">
        <v>0</v>
      </c>
      <c r="W1832" s="4">
        <v>0</v>
      </c>
    </row>
    <row r="1833" spans="1:23" x14ac:dyDescent="0.35">
      <c r="A1833">
        <v>1829</v>
      </c>
      <c r="B1833">
        <v>1830</v>
      </c>
      <c r="C1833">
        <v>146.02998779999999</v>
      </c>
      <c r="D1833">
        <v>-17.516400640000001</v>
      </c>
      <c r="F1833" t="str">
        <f>HYPERLINK("D:\Data From Lucan\2024\Johnstone\Frames_for_Analysis\1830_20240610_0003_L_1853.jpg","1830_20240610_0003_L_1853.jpg")</f>
        <v>1830_20240610_0003_L_1853.jpg</v>
      </c>
      <c r="G1833">
        <v>4</v>
      </c>
      <c r="I1833">
        <f t="shared" si="28"/>
        <v>1</v>
      </c>
      <c r="J1833" s="58">
        <v>1</v>
      </c>
      <c r="K1833" s="32"/>
      <c r="L1833" s="32"/>
      <c r="M1833" s="32"/>
      <c r="N1833" s="32"/>
      <c r="O1833">
        <v>2</v>
      </c>
      <c r="P1833" s="58">
        <v>0</v>
      </c>
      <c r="Q1833" s="58">
        <v>0</v>
      </c>
      <c r="R1833" s="58">
        <v>0</v>
      </c>
      <c r="S1833" s="58">
        <v>0</v>
      </c>
      <c r="T1833" s="58">
        <v>0</v>
      </c>
      <c r="U1833" s="58">
        <v>0</v>
      </c>
      <c r="V1833" s="58">
        <v>0</v>
      </c>
      <c r="W1833" s="4">
        <v>0</v>
      </c>
    </row>
    <row r="1834" spans="1:23" x14ac:dyDescent="0.35">
      <c r="A1834">
        <v>1830</v>
      </c>
      <c r="B1834">
        <v>1831</v>
      </c>
      <c r="C1834">
        <v>146.02999689999999</v>
      </c>
      <c r="D1834">
        <v>-17.51630677</v>
      </c>
      <c r="F1834" t="str">
        <f>HYPERLINK("D:\Data From Lucan\2024\Johnstone\Frames_for_Analysis\1831_20240610_0003_L_1856.jpg","1831_20240610_0003_L_1856.jpg")</f>
        <v>1831_20240610_0003_L_1856.jpg</v>
      </c>
      <c r="G1834">
        <v>4</v>
      </c>
      <c r="I1834">
        <f t="shared" si="28"/>
        <v>1</v>
      </c>
      <c r="J1834" s="58">
        <v>1</v>
      </c>
      <c r="K1834" s="32"/>
      <c r="L1834" s="32"/>
      <c r="M1834" s="32"/>
      <c r="N1834" s="32"/>
      <c r="O1834">
        <v>3</v>
      </c>
      <c r="P1834" s="58">
        <v>1</v>
      </c>
      <c r="Q1834" s="58">
        <v>1</v>
      </c>
      <c r="R1834" s="58">
        <v>0</v>
      </c>
      <c r="S1834" s="58">
        <v>0</v>
      </c>
      <c r="T1834" s="58">
        <v>0</v>
      </c>
      <c r="U1834" s="58">
        <v>0</v>
      </c>
      <c r="V1834" s="58">
        <v>0</v>
      </c>
      <c r="W1834" s="4">
        <v>2</v>
      </c>
    </row>
    <row r="1835" spans="1:23" x14ac:dyDescent="0.35">
      <c r="A1835">
        <v>1831</v>
      </c>
      <c r="B1835">
        <v>1832</v>
      </c>
      <c r="C1835">
        <v>146.0300149</v>
      </c>
      <c r="D1835">
        <v>-17.516214309999999</v>
      </c>
      <c r="F1835" t="str">
        <f>HYPERLINK("D:\Data From Lucan\2024\Johnstone\Frames_for_Analysis\1832_20240610_0003_L_1859.jpg","1832_20240610_0003_L_1859.jpg")</f>
        <v>1832_20240610_0003_L_1859.jpg</v>
      </c>
      <c r="G1835">
        <v>4</v>
      </c>
      <c r="I1835">
        <f t="shared" si="28"/>
        <v>0</v>
      </c>
      <c r="J1835" s="58">
        <v>0</v>
      </c>
      <c r="K1835" s="32"/>
      <c r="L1835" s="32"/>
      <c r="M1835" s="32"/>
      <c r="N1835" s="32"/>
      <c r="O1835">
        <v>3</v>
      </c>
      <c r="P1835" s="58">
        <v>0</v>
      </c>
      <c r="Q1835" s="58">
        <v>1</v>
      </c>
      <c r="R1835" s="58">
        <v>0</v>
      </c>
      <c r="S1835" s="58">
        <v>0</v>
      </c>
      <c r="T1835" s="58">
        <v>0</v>
      </c>
      <c r="U1835" s="58">
        <v>0</v>
      </c>
      <c r="V1835" s="58">
        <v>0</v>
      </c>
      <c r="W1835" s="4">
        <v>2</v>
      </c>
    </row>
    <row r="1836" spans="1:23" x14ac:dyDescent="0.35">
      <c r="A1836">
        <v>1832</v>
      </c>
      <c r="B1836">
        <v>1833</v>
      </c>
      <c r="C1836">
        <v>146.03003509999999</v>
      </c>
      <c r="D1836">
        <v>-17.516122200000002</v>
      </c>
      <c r="F1836" t="str">
        <f>HYPERLINK("D:\Data From Lucan\2024\Johnstone\Frames_for_Analysis\1833_20240610_0003_L_1861.jpg","1833_20240610_0003_L_1861.jpg")</f>
        <v>1833_20240610_0003_L_1861.jpg</v>
      </c>
      <c r="G1836">
        <v>4</v>
      </c>
      <c r="I1836">
        <f t="shared" si="28"/>
        <v>0</v>
      </c>
      <c r="J1836" s="58">
        <v>0</v>
      </c>
      <c r="K1836" s="32"/>
      <c r="L1836" s="32"/>
      <c r="M1836" s="32"/>
      <c r="N1836" s="32"/>
      <c r="O1836">
        <v>3</v>
      </c>
      <c r="P1836" s="58">
        <v>0</v>
      </c>
      <c r="Q1836" s="58">
        <v>1</v>
      </c>
      <c r="R1836" s="58">
        <v>0</v>
      </c>
      <c r="S1836" s="58">
        <v>0</v>
      </c>
      <c r="T1836" s="58">
        <v>0</v>
      </c>
      <c r="U1836" s="58">
        <v>0</v>
      </c>
      <c r="V1836" s="58">
        <v>0</v>
      </c>
      <c r="W1836" s="4">
        <v>2</v>
      </c>
    </row>
    <row r="1837" spans="1:23" x14ac:dyDescent="0.35">
      <c r="A1837">
        <v>1833</v>
      </c>
      <c r="B1837">
        <v>1834</v>
      </c>
      <c r="C1837">
        <v>146.03005529999999</v>
      </c>
      <c r="D1837">
        <v>-17.51603008</v>
      </c>
      <c r="F1837" t="str">
        <f>HYPERLINK("D:\Data From Lucan\2024\Johnstone\Frames_for_Analysis\1834_20240610_0003_L_1864.jpg","1834_20240610_0003_L_1864.jpg")</f>
        <v>1834_20240610_0003_L_1864.jpg</v>
      </c>
      <c r="G1837">
        <v>4</v>
      </c>
      <c r="I1837">
        <v>0</v>
      </c>
      <c r="J1837" s="58">
        <v>2</v>
      </c>
      <c r="K1837" s="32"/>
      <c r="L1837" s="32"/>
      <c r="M1837" s="32"/>
      <c r="N1837" s="32"/>
      <c r="O1837">
        <v>2</v>
      </c>
      <c r="P1837" s="58">
        <v>0</v>
      </c>
      <c r="Q1837" s="58">
        <v>0</v>
      </c>
      <c r="R1837" s="58">
        <v>0</v>
      </c>
      <c r="S1837" s="58">
        <v>0</v>
      </c>
      <c r="T1837" s="58">
        <v>0</v>
      </c>
      <c r="U1837" s="58">
        <v>0</v>
      </c>
      <c r="V1837" s="58">
        <v>0</v>
      </c>
      <c r="W1837" s="4">
        <v>1</v>
      </c>
    </row>
    <row r="1838" spans="1:23" x14ac:dyDescent="0.35">
      <c r="A1838">
        <v>1834</v>
      </c>
      <c r="B1838">
        <v>1835</v>
      </c>
      <c r="C1838">
        <v>146.03007550000001</v>
      </c>
      <c r="D1838">
        <v>-17.51593797</v>
      </c>
      <c r="F1838" t="str">
        <f>HYPERLINK("D:\Data From Lucan\2024\Johnstone\Frames_for_Analysis\1835_20240610_0003_L_1867.jpg","1835_20240610_0003_L_1867.jpg")</f>
        <v>1835_20240610_0003_L_1867.jpg</v>
      </c>
      <c r="G1838">
        <v>4</v>
      </c>
      <c r="I1838">
        <v>0</v>
      </c>
      <c r="J1838" s="58">
        <v>2</v>
      </c>
      <c r="K1838" s="32"/>
      <c r="L1838" s="32"/>
      <c r="M1838" s="32"/>
      <c r="N1838" s="32"/>
      <c r="O1838">
        <v>2</v>
      </c>
      <c r="P1838" s="58">
        <v>0</v>
      </c>
      <c r="Q1838" s="58">
        <v>0</v>
      </c>
      <c r="R1838" s="58">
        <v>0</v>
      </c>
      <c r="S1838" s="58">
        <v>0</v>
      </c>
      <c r="T1838" s="58">
        <v>0</v>
      </c>
      <c r="U1838" s="58">
        <v>0</v>
      </c>
      <c r="V1838" s="58">
        <v>0</v>
      </c>
      <c r="W1838" s="4">
        <v>1</v>
      </c>
    </row>
    <row r="1839" spans="1:23" x14ac:dyDescent="0.35">
      <c r="A1839">
        <v>1835</v>
      </c>
      <c r="B1839">
        <v>1836</v>
      </c>
      <c r="C1839">
        <v>146.03009890000001</v>
      </c>
      <c r="D1839">
        <v>-17.515846790000001</v>
      </c>
      <c r="F1839" t="str">
        <f>HYPERLINK("D:\Data From Lucan\2024\Johnstone\Frames_for_Analysis\1836_20240610_0003_L_1870.jpg","1836_20240610_0003_L_1870.jpg")</f>
        <v>1836_20240610_0003_L_1870.jpg</v>
      </c>
      <c r="G1839">
        <v>4</v>
      </c>
      <c r="I1839">
        <f t="shared" si="28"/>
        <v>1</v>
      </c>
      <c r="J1839" s="58">
        <v>1</v>
      </c>
      <c r="K1839" s="32"/>
      <c r="L1839" s="32"/>
      <c r="M1839" s="32"/>
      <c r="N1839" s="32"/>
      <c r="O1839">
        <v>2</v>
      </c>
      <c r="P1839" s="58">
        <v>0</v>
      </c>
      <c r="Q1839" s="58">
        <v>0</v>
      </c>
      <c r="R1839" s="58">
        <v>1</v>
      </c>
      <c r="S1839" s="58">
        <v>0</v>
      </c>
      <c r="T1839" s="58">
        <v>0</v>
      </c>
      <c r="U1839" s="58">
        <v>0</v>
      </c>
      <c r="V1839" s="58">
        <v>0</v>
      </c>
      <c r="W1839" s="4">
        <v>1</v>
      </c>
    </row>
    <row r="1840" spans="1:23" x14ac:dyDescent="0.35">
      <c r="A1840">
        <v>1836</v>
      </c>
      <c r="B1840">
        <v>1837</v>
      </c>
      <c r="C1840">
        <v>146.0301307</v>
      </c>
      <c r="D1840">
        <v>-17.515757990000001</v>
      </c>
      <c r="F1840" t="str">
        <f>HYPERLINK("D:\Data From Lucan\2024\Johnstone\Frames_for_Analysis\1837_20240610_0003_L_1873.jpg","1837_20240610_0003_L_1873.jpg")</f>
        <v>1837_20240610_0003_L_1873.jpg</v>
      </c>
      <c r="G1840">
        <v>4</v>
      </c>
      <c r="I1840">
        <f t="shared" si="28"/>
        <v>1</v>
      </c>
      <c r="J1840" s="58">
        <v>1</v>
      </c>
      <c r="K1840" s="32"/>
      <c r="L1840" s="32"/>
      <c r="M1840" s="32"/>
      <c r="N1840" s="32"/>
      <c r="O1840">
        <v>2</v>
      </c>
      <c r="P1840" s="58">
        <v>0</v>
      </c>
      <c r="Q1840" s="58">
        <v>0</v>
      </c>
      <c r="R1840" s="58">
        <v>0</v>
      </c>
      <c r="S1840" s="58">
        <v>0</v>
      </c>
      <c r="T1840" s="58">
        <v>0</v>
      </c>
      <c r="U1840" s="58">
        <v>0</v>
      </c>
      <c r="V1840" s="58">
        <v>0</v>
      </c>
      <c r="W1840" s="4">
        <v>1</v>
      </c>
    </row>
    <row r="1841" spans="1:23" x14ac:dyDescent="0.35">
      <c r="A1841">
        <v>1837</v>
      </c>
      <c r="B1841">
        <v>1838</v>
      </c>
      <c r="C1841">
        <v>146.03016239999999</v>
      </c>
      <c r="D1841">
        <v>-17.515669190000001</v>
      </c>
      <c r="F1841" t="str">
        <f>HYPERLINK("D:\Data From Lucan\2024\Johnstone\Frames_for_Analysis\1838_20240610_0003_L_1876.jpg","1838_20240610_0003_L_1876.jpg")</f>
        <v>1838_20240610_0003_L_1876.jpg</v>
      </c>
      <c r="G1841">
        <v>4</v>
      </c>
      <c r="I1841">
        <f t="shared" si="28"/>
        <v>1</v>
      </c>
      <c r="J1841" s="58">
        <v>1</v>
      </c>
      <c r="K1841" s="32"/>
      <c r="L1841" s="32"/>
      <c r="M1841" s="32"/>
      <c r="N1841" s="32"/>
      <c r="O1841">
        <v>2</v>
      </c>
      <c r="P1841" s="58">
        <v>0</v>
      </c>
      <c r="Q1841" s="58">
        <v>0</v>
      </c>
      <c r="R1841" s="58">
        <v>0</v>
      </c>
      <c r="S1841" s="58">
        <v>0</v>
      </c>
      <c r="T1841" s="58">
        <v>0</v>
      </c>
      <c r="U1841" s="58">
        <v>0</v>
      </c>
      <c r="V1841" s="58">
        <v>0</v>
      </c>
      <c r="W1841" s="4">
        <v>1</v>
      </c>
    </row>
    <row r="1842" spans="1:23" x14ac:dyDescent="0.35">
      <c r="A1842">
        <v>1838</v>
      </c>
      <c r="B1842">
        <v>1839</v>
      </c>
      <c r="C1842">
        <v>146.03019420000001</v>
      </c>
      <c r="D1842">
        <v>-17.51558039</v>
      </c>
      <c r="F1842" t="str">
        <f>HYPERLINK("D:\Data From Lucan\2024\Johnstone\Frames_for_Analysis\1839_20240610_0003_L_1879.jpg","1839_20240610_0003_L_1879.jpg")</f>
        <v>1839_20240610_0003_L_1879.jpg</v>
      </c>
      <c r="G1842">
        <v>4</v>
      </c>
      <c r="I1842">
        <v>0</v>
      </c>
      <c r="J1842" s="58">
        <v>2</v>
      </c>
      <c r="K1842" s="32"/>
      <c r="L1842" s="32"/>
      <c r="M1842" s="32"/>
      <c r="N1842" s="32"/>
      <c r="O1842">
        <v>2</v>
      </c>
      <c r="P1842" s="58">
        <v>0</v>
      </c>
      <c r="Q1842" s="58">
        <v>0</v>
      </c>
      <c r="R1842" s="58">
        <v>0</v>
      </c>
      <c r="S1842" s="58">
        <v>0</v>
      </c>
      <c r="T1842" s="58">
        <v>0</v>
      </c>
      <c r="U1842" s="58">
        <v>0</v>
      </c>
      <c r="V1842" s="58">
        <v>0</v>
      </c>
      <c r="W1842" s="4">
        <v>0</v>
      </c>
    </row>
    <row r="1843" spans="1:23" x14ac:dyDescent="0.35">
      <c r="A1843">
        <v>1839</v>
      </c>
      <c r="B1843">
        <v>1840</v>
      </c>
      <c r="C1843">
        <v>146.0302259</v>
      </c>
      <c r="D1843">
        <v>-17.51549159</v>
      </c>
      <c r="F1843" t="str">
        <f>HYPERLINK("D:\Data From Lucan\2024\Johnstone\Frames_for_Analysis\1840_20240610_0003_L_1881.jpg","1840_20240610_0003_L_1881.jpg")</f>
        <v>1840_20240610_0003_L_1881.jpg</v>
      </c>
      <c r="G1843">
        <v>4</v>
      </c>
      <c r="I1843">
        <v>0</v>
      </c>
      <c r="J1843" s="58">
        <v>2</v>
      </c>
      <c r="K1843" s="32"/>
      <c r="L1843" s="32"/>
      <c r="M1843" s="32"/>
      <c r="N1843" s="32"/>
      <c r="O1843">
        <v>2</v>
      </c>
      <c r="P1843" s="58">
        <v>0</v>
      </c>
      <c r="Q1843" s="58">
        <v>0</v>
      </c>
      <c r="R1843" s="58">
        <v>0</v>
      </c>
      <c r="S1843" s="58">
        <v>0</v>
      </c>
      <c r="T1843" s="58">
        <v>0</v>
      </c>
      <c r="U1843" s="58">
        <v>0</v>
      </c>
      <c r="V1843" s="58">
        <v>0</v>
      </c>
      <c r="W1843" s="4">
        <v>0</v>
      </c>
    </row>
    <row r="1844" spans="1:23" x14ac:dyDescent="0.35">
      <c r="A1844">
        <v>1840</v>
      </c>
      <c r="B1844">
        <v>1841</v>
      </c>
      <c r="C1844">
        <v>146.03026180000001</v>
      </c>
      <c r="D1844">
        <v>-17.515404650000001</v>
      </c>
      <c r="F1844" t="str">
        <f>HYPERLINK("D:\Data From Lucan\2024\Johnstone\Frames_for_Analysis\1841_20240610_0003_L_1884.jpg","1841_20240610_0003_L_1884.jpg")</f>
        <v>1841_20240610_0003_L_1884.jpg</v>
      </c>
      <c r="G1844">
        <v>4</v>
      </c>
      <c r="I1844">
        <v>0</v>
      </c>
      <c r="J1844" s="58">
        <v>2</v>
      </c>
      <c r="K1844" s="32"/>
      <c r="L1844" s="32"/>
      <c r="M1844" s="32"/>
      <c r="N1844" s="32"/>
      <c r="O1844">
        <v>2</v>
      </c>
      <c r="P1844" s="58">
        <v>0</v>
      </c>
      <c r="Q1844" s="58">
        <v>0</v>
      </c>
      <c r="R1844" s="58">
        <v>0</v>
      </c>
      <c r="S1844" s="58">
        <v>0</v>
      </c>
      <c r="T1844" s="58">
        <v>0</v>
      </c>
      <c r="U1844" s="58">
        <v>0</v>
      </c>
      <c r="V1844" s="58">
        <v>0</v>
      </c>
      <c r="W1844" s="4">
        <v>0</v>
      </c>
    </row>
    <row r="1845" spans="1:23" x14ac:dyDescent="0.35">
      <c r="A1845">
        <v>1841</v>
      </c>
      <c r="B1845">
        <v>1842</v>
      </c>
      <c r="C1845">
        <v>146.0303074</v>
      </c>
      <c r="D1845">
        <v>-17.515322080000001</v>
      </c>
      <c r="F1845" t="str">
        <f>HYPERLINK("D:\Data From Lucan\2024\Johnstone\Frames_for_Analysis\1842_20240610_0003_L_1887.jpg","1842_20240610_0003_L_1887.jpg")</f>
        <v>1842_20240610_0003_L_1887.jpg</v>
      </c>
      <c r="G1845">
        <v>4</v>
      </c>
      <c r="I1845">
        <f t="shared" si="28"/>
        <v>1</v>
      </c>
      <c r="J1845" s="58">
        <v>1</v>
      </c>
      <c r="K1845" s="32"/>
      <c r="L1845" s="32"/>
      <c r="M1845" s="32"/>
      <c r="N1845" s="32"/>
      <c r="O1845">
        <v>2</v>
      </c>
      <c r="P1845" s="58">
        <v>0</v>
      </c>
      <c r="Q1845" s="58">
        <v>0</v>
      </c>
      <c r="R1845" s="58">
        <v>0</v>
      </c>
      <c r="S1845" s="58">
        <v>0</v>
      </c>
      <c r="T1845" s="58">
        <v>0</v>
      </c>
      <c r="U1845" s="58">
        <v>0</v>
      </c>
      <c r="V1845" s="58">
        <v>0</v>
      </c>
      <c r="W1845" s="4">
        <v>0</v>
      </c>
    </row>
    <row r="1846" spans="1:23" x14ac:dyDescent="0.35">
      <c r="A1846">
        <v>1842</v>
      </c>
      <c r="B1846">
        <v>1843</v>
      </c>
      <c r="C1846">
        <v>146.0303529</v>
      </c>
      <c r="D1846">
        <v>-17.5152395</v>
      </c>
      <c r="F1846" t="str">
        <f>HYPERLINK("D:\Data From Lucan\2024\Johnstone\Frames_for_Analysis\1843_20240610_0003_L_1890.jpg","1843_20240610_0003_L_1890.jpg")</f>
        <v>1843_20240610_0003_L_1890.jpg</v>
      </c>
      <c r="G1846">
        <v>4</v>
      </c>
      <c r="I1846">
        <f t="shared" si="28"/>
        <v>1</v>
      </c>
      <c r="J1846" s="58">
        <v>1</v>
      </c>
      <c r="K1846" s="32"/>
      <c r="L1846" s="32"/>
      <c r="M1846" s="32"/>
      <c r="N1846" s="32"/>
      <c r="O1846">
        <v>2</v>
      </c>
      <c r="P1846" s="58">
        <v>0</v>
      </c>
      <c r="Q1846" s="58">
        <v>1</v>
      </c>
      <c r="R1846" s="58">
        <v>0</v>
      </c>
      <c r="S1846" s="58">
        <v>0</v>
      </c>
      <c r="T1846" s="58">
        <v>0</v>
      </c>
      <c r="U1846" s="58">
        <v>0</v>
      </c>
      <c r="V1846" s="58">
        <v>0</v>
      </c>
      <c r="W1846" s="4">
        <v>0</v>
      </c>
    </row>
    <row r="1847" spans="1:23" x14ac:dyDescent="0.35">
      <c r="A1847">
        <v>1843</v>
      </c>
      <c r="B1847">
        <v>1844</v>
      </c>
      <c r="C1847">
        <v>146.0303969</v>
      </c>
      <c r="D1847">
        <v>-17.515156099999999</v>
      </c>
      <c r="F1847" t="str">
        <f>HYPERLINK("D:\Data From Lucan\2024\Johnstone\Frames_for_Analysis\1844_20240610_0003_L_1893.jpg","1844_20240610_0003_L_1893.jpg")</f>
        <v>1844_20240610_0003_L_1893.jpg</v>
      </c>
      <c r="G1847">
        <v>4</v>
      </c>
      <c r="I1847">
        <f t="shared" si="28"/>
        <v>1</v>
      </c>
      <c r="J1847" s="58">
        <v>1</v>
      </c>
      <c r="K1847" s="32"/>
      <c r="L1847" s="32"/>
      <c r="M1847" s="32"/>
      <c r="N1847" s="32"/>
      <c r="O1847">
        <v>2</v>
      </c>
      <c r="P1847" s="58">
        <v>0</v>
      </c>
      <c r="Q1847" s="58">
        <v>0</v>
      </c>
      <c r="R1847" s="58">
        <v>0</v>
      </c>
      <c r="S1847" s="58">
        <v>0</v>
      </c>
      <c r="T1847" s="58">
        <v>0</v>
      </c>
      <c r="U1847" s="58">
        <v>0</v>
      </c>
      <c r="V1847" s="58">
        <v>0</v>
      </c>
      <c r="W1847" s="4">
        <v>0</v>
      </c>
    </row>
    <row r="1848" spans="1:23" x14ac:dyDescent="0.35">
      <c r="A1848">
        <v>1844</v>
      </c>
      <c r="B1848">
        <v>1845</v>
      </c>
      <c r="C1848">
        <v>146.030439</v>
      </c>
      <c r="D1848">
        <v>-17.515071720000002</v>
      </c>
      <c r="F1848" t="str">
        <f>HYPERLINK("D:\Data From Lucan\2024\Johnstone\Frames_for_Analysis\1845_20240610_0003_L_1896.jpg","1845_20240610_0003_L_1896.jpg")</f>
        <v>1845_20240610_0003_L_1896.jpg</v>
      </c>
      <c r="G1848">
        <v>4</v>
      </c>
      <c r="I1848">
        <f t="shared" si="28"/>
        <v>1</v>
      </c>
      <c r="J1848" s="58">
        <v>1</v>
      </c>
      <c r="K1848" s="32"/>
      <c r="L1848" s="32"/>
      <c r="M1848" s="32"/>
      <c r="N1848" s="32"/>
      <c r="O1848">
        <v>2</v>
      </c>
      <c r="P1848" s="58">
        <v>0</v>
      </c>
      <c r="Q1848" s="58">
        <v>0</v>
      </c>
      <c r="R1848" s="58">
        <v>0</v>
      </c>
      <c r="S1848" s="58">
        <v>0</v>
      </c>
      <c r="T1848" s="58">
        <v>0</v>
      </c>
      <c r="U1848" s="58">
        <v>0</v>
      </c>
      <c r="V1848" s="58">
        <v>0</v>
      </c>
      <c r="W1848" s="4">
        <v>0</v>
      </c>
    </row>
    <row r="1849" spans="1:23" x14ac:dyDescent="0.35">
      <c r="A1849">
        <v>1845</v>
      </c>
      <c r="B1849">
        <v>1846</v>
      </c>
      <c r="C1849">
        <v>146.0304811</v>
      </c>
      <c r="D1849">
        <v>-17.514987349999998</v>
      </c>
      <c r="F1849" t="str">
        <f>HYPERLINK("D:\Data From Lucan\2024\Johnstone\Frames_for_Analysis\1846_20240610_0003_L_1899.jpg","1846_20240610_0003_L_1899.jpg")</f>
        <v>1846_20240610_0003_L_1899.jpg</v>
      </c>
      <c r="G1849">
        <v>4</v>
      </c>
      <c r="I1849">
        <v>0</v>
      </c>
      <c r="J1849" s="58">
        <v>2</v>
      </c>
      <c r="K1849" s="32"/>
      <c r="L1849" s="32"/>
      <c r="M1849" s="32"/>
      <c r="N1849" s="32"/>
      <c r="O1849">
        <v>2</v>
      </c>
      <c r="P1849" s="58">
        <v>0</v>
      </c>
      <c r="Q1849" s="58">
        <v>0</v>
      </c>
      <c r="R1849" s="58">
        <v>0</v>
      </c>
      <c r="S1849" s="58">
        <v>0</v>
      </c>
      <c r="T1849" s="58">
        <v>0</v>
      </c>
      <c r="U1849" s="58">
        <v>0</v>
      </c>
      <c r="V1849" s="58">
        <v>0</v>
      </c>
      <c r="W1849" s="4">
        <v>0</v>
      </c>
    </row>
    <row r="1850" spans="1:23" x14ac:dyDescent="0.35">
      <c r="A1850">
        <v>1846</v>
      </c>
      <c r="B1850">
        <v>1847</v>
      </c>
      <c r="C1850">
        <v>146.0305232</v>
      </c>
      <c r="D1850">
        <v>-17.514902970000001</v>
      </c>
      <c r="F1850" t="str">
        <f>HYPERLINK("D:\Data From Lucan\2024\Johnstone\Frames_for_Analysis\1847_20240610_0003_L_1902.jpg","1847_20240610_0003_L_1902.jpg")</f>
        <v>1847_20240610_0003_L_1902.jpg</v>
      </c>
      <c r="G1850">
        <v>4</v>
      </c>
      <c r="I1850">
        <f t="shared" si="28"/>
        <v>1</v>
      </c>
      <c r="J1850" s="58">
        <v>1</v>
      </c>
      <c r="K1850" s="32"/>
      <c r="L1850" s="32"/>
      <c r="M1850" s="32"/>
      <c r="N1850" s="32"/>
      <c r="O1850">
        <v>2</v>
      </c>
      <c r="P1850" s="58">
        <v>0</v>
      </c>
      <c r="Q1850" s="58">
        <v>0</v>
      </c>
      <c r="R1850" s="58">
        <v>0</v>
      </c>
      <c r="S1850" s="58">
        <v>0</v>
      </c>
      <c r="T1850" s="58">
        <v>0</v>
      </c>
      <c r="U1850" s="58">
        <v>0</v>
      </c>
      <c r="V1850" s="58">
        <v>0</v>
      </c>
      <c r="W1850" s="4">
        <v>0</v>
      </c>
    </row>
    <row r="1851" spans="1:23" x14ac:dyDescent="0.35">
      <c r="A1851">
        <v>1847</v>
      </c>
      <c r="B1851">
        <v>1848</v>
      </c>
      <c r="C1851">
        <v>146.03057469999999</v>
      </c>
      <c r="D1851">
        <v>-17.514823979999999</v>
      </c>
      <c r="F1851" t="str">
        <f>HYPERLINK("D:\Data From Lucan\2024\Johnstone\Frames_for_Analysis\1848_20240610_0003_L_1905.jpg","1848_20240610_0003_L_1905.jpg")</f>
        <v>1848_20240610_0003_L_1905.jpg</v>
      </c>
      <c r="G1851">
        <v>4</v>
      </c>
      <c r="I1851">
        <v>0</v>
      </c>
      <c r="J1851" s="58">
        <v>2</v>
      </c>
      <c r="K1851" s="32"/>
      <c r="L1851" s="32"/>
      <c r="M1851" s="32"/>
      <c r="N1851" s="32"/>
      <c r="O1851">
        <v>2</v>
      </c>
      <c r="P1851" s="58">
        <v>0</v>
      </c>
      <c r="Q1851" s="58">
        <v>0</v>
      </c>
      <c r="R1851" s="58">
        <v>0</v>
      </c>
      <c r="S1851" s="58">
        <v>0</v>
      </c>
      <c r="T1851" s="58">
        <v>0</v>
      </c>
      <c r="U1851" s="58">
        <v>0</v>
      </c>
      <c r="V1851" s="58">
        <v>0</v>
      </c>
      <c r="W1851" s="4">
        <v>0</v>
      </c>
    </row>
    <row r="1852" spans="1:23" x14ac:dyDescent="0.35">
      <c r="A1852">
        <v>1848</v>
      </c>
      <c r="B1852">
        <v>1849</v>
      </c>
      <c r="C1852">
        <v>146.03062660000001</v>
      </c>
      <c r="D1852">
        <v>-17.514745210000001</v>
      </c>
      <c r="F1852" t="str">
        <f>HYPERLINK("D:\Data From Lucan\2024\Johnstone\Frames_for_Analysis\1849_20240610_0003_L_1908.jpg","1849_20240610_0003_L_1908.jpg")</f>
        <v>1849_20240610_0003_L_1908.jpg</v>
      </c>
      <c r="G1852">
        <v>4</v>
      </c>
      <c r="I1852">
        <v>0</v>
      </c>
      <c r="J1852" s="58">
        <v>2</v>
      </c>
      <c r="K1852" s="32"/>
      <c r="L1852" s="32"/>
      <c r="M1852" s="32"/>
      <c r="N1852" s="32"/>
      <c r="O1852">
        <v>2</v>
      </c>
      <c r="P1852" s="58">
        <v>0</v>
      </c>
      <c r="Q1852" s="58">
        <v>0</v>
      </c>
      <c r="R1852" s="58">
        <v>0</v>
      </c>
      <c r="S1852" s="58">
        <v>0</v>
      </c>
      <c r="T1852" s="58">
        <v>0</v>
      </c>
      <c r="U1852" s="58">
        <v>0</v>
      </c>
      <c r="V1852" s="58">
        <v>0</v>
      </c>
      <c r="W1852" s="4">
        <v>0</v>
      </c>
    </row>
    <row r="1853" spans="1:23" x14ac:dyDescent="0.35">
      <c r="A1853">
        <v>1849</v>
      </c>
      <c r="B1853">
        <v>1850</v>
      </c>
      <c r="C1853">
        <v>146.03068500000001</v>
      </c>
      <c r="D1853">
        <v>-17.514671209999999</v>
      </c>
      <c r="F1853" t="str">
        <f>HYPERLINK("D:\Data From Lucan\2024\Johnstone\Frames_for_Analysis\1850_20240610_0003_L_1911.jpg","1850_20240610_0003_L_1911.jpg")</f>
        <v>1850_20240610_0003_L_1911.jpg</v>
      </c>
      <c r="G1853">
        <v>4</v>
      </c>
      <c r="I1853">
        <v>0</v>
      </c>
      <c r="J1853" s="58">
        <v>2</v>
      </c>
      <c r="K1853" s="32"/>
      <c r="L1853" s="32"/>
      <c r="M1853" s="32"/>
      <c r="N1853" s="32"/>
      <c r="O1853">
        <v>2</v>
      </c>
      <c r="P1853" s="58">
        <v>0</v>
      </c>
      <c r="Q1853" s="58">
        <v>0</v>
      </c>
      <c r="R1853" s="58">
        <v>0</v>
      </c>
      <c r="S1853" s="58">
        <v>0</v>
      </c>
      <c r="T1853" s="58">
        <v>0</v>
      </c>
      <c r="U1853" s="58">
        <v>0</v>
      </c>
      <c r="V1853" s="58">
        <v>0</v>
      </c>
      <c r="W1853" s="4">
        <v>0</v>
      </c>
    </row>
    <row r="1854" spans="1:23" x14ac:dyDescent="0.35">
      <c r="A1854">
        <v>1850</v>
      </c>
      <c r="B1854">
        <v>1851</v>
      </c>
      <c r="C1854">
        <v>146.0307435</v>
      </c>
      <c r="D1854">
        <v>-17.514597210000002</v>
      </c>
      <c r="F1854" t="str">
        <f>HYPERLINK("D:\Data From Lucan\2024\Johnstone\Frames_for_Analysis\1851_20240610_0003_L_1914.jpg","1851_20240610_0003_L_1914.jpg")</f>
        <v>1851_20240610_0003_L_1914.jpg</v>
      </c>
      <c r="G1854">
        <v>4</v>
      </c>
      <c r="I1854">
        <v>0</v>
      </c>
      <c r="J1854" s="58">
        <v>2</v>
      </c>
      <c r="K1854" s="32"/>
      <c r="L1854" s="32"/>
      <c r="M1854" s="32"/>
      <c r="N1854" s="32"/>
      <c r="O1854">
        <v>2</v>
      </c>
      <c r="P1854" s="58">
        <v>0</v>
      </c>
      <c r="Q1854" s="58">
        <v>0</v>
      </c>
      <c r="R1854" s="58">
        <v>0</v>
      </c>
      <c r="S1854" s="58">
        <v>0</v>
      </c>
      <c r="T1854" s="58">
        <v>0</v>
      </c>
      <c r="U1854" s="58">
        <v>0</v>
      </c>
      <c r="V1854" s="58">
        <v>0</v>
      </c>
      <c r="W1854" s="4">
        <v>0</v>
      </c>
    </row>
    <row r="1855" spans="1:23" x14ac:dyDescent="0.35">
      <c r="A1855">
        <v>1851</v>
      </c>
      <c r="B1855">
        <v>1852</v>
      </c>
      <c r="C1855">
        <v>146.0308019</v>
      </c>
      <c r="D1855">
        <v>-17.514523220000001</v>
      </c>
      <c r="F1855" t="str">
        <f>HYPERLINK("D:\Data From Lucan\2024\Johnstone\Frames_for_Analysis\1852_20240610_0003_L_1917.jpg","1852_20240610_0003_L_1917.jpg")</f>
        <v>1852_20240610_0003_L_1917.jpg</v>
      </c>
      <c r="G1855">
        <v>4</v>
      </c>
      <c r="I1855">
        <v>0</v>
      </c>
      <c r="J1855" s="58">
        <v>2</v>
      </c>
      <c r="K1855" s="32"/>
      <c r="L1855" s="32"/>
      <c r="M1855" s="32"/>
      <c r="N1855" s="32"/>
      <c r="O1855">
        <v>2</v>
      </c>
      <c r="P1855" s="58">
        <v>0</v>
      </c>
      <c r="Q1855" s="58">
        <v>0</v>
      </c>
      <c r="R1855" s="58">
        <v>0</v>
      </c>
      <c r="S1855" s="58">
        <v>0</v>
      </c>
      <c r="T1855" s="58">
        <v>0</v>
      </c>
      <c r="U1855" s="58">
        <v>0</v>
      </c>
      <c r="V1855" s="58">
        <v>0</v>
      </c>
      <c r="W1855" s="4">
        <v>0</v>
      </c>
    </row>
    <row r="1856" spans="1:23" x14ac:dyDescent="0.35">
      <c r="A1856">
        <v>1852</v>
      </c>
      <c r="B1856">
        <v>1853</v>
      </c>
      <c r="C1856">
        <v>146.03086039999999</v>
      </c>
      <c r="D1856">
        <v>-17.514449219999999</v>
      </c>
      <c r="F1856" t="str">
        <f>HYPERLINK("D:\Data From Lucan\2024\Johnstone\Frames_for_Analysis\1853_20240610_0003_L_1920.jpg","1853_20240610_0003_L_1920.jpg")</f>
        <v>1853_20240610_0003_L_1920.jpg</v>
      </c>
      <c r="G1856">
        <v>4</v>
      </c>
      <c r="I1856">
        <f t="shared" si="28"/>
        <v>1</v>
      </c>
      <c r="J1856" s="58">
        <v>1</v>
      </c>
      <c r="K1856" s="32"/>
      <c r="L1856" s="32"/>
      <c r="M1856" s="32"/>
      <c r="N1856" s="32"/>
      <c r="O1856">
        <v>2</v>
      </c>
      <c r="P1856" s="58">
        <v>0</v>
      </c>
      <c r="Q1856" s="58">
        <v>0</v>
      </c>
      <c r="R1856" s="58">
        <v>0</v>
      </c>
      <c r="S1856" s="58">
        <v>0</v>
      </c>
      <c r="T1856" s="58">
        <v>0</v>
      </c>
      <c r="U1856" s="58">
        <v>0</v>
      </c>
      <c r="V1856" s="58">
        <v>0</v>
      </c>
      <c r="W1856" s="4">
        <v>0</v>
      </c>
    </row>
    <row r="1857" spans="1:23" x14ac:dyDescent="0.35">
      <c r="A1857">
        <v>1853</v>
      </c>
      <c r="B1857">
        <v>1854</v>
      </c>
      <c r="C1857">
        <v>146.03091610000001</v>
      </c>
      <c r="D1857">
        <v>-17.514373540000001</v>
      </c>
      <c r="F1857" t="str">
        <f>HYPERLINK("D:\Data From Lucan\2024\Johnstone\Frames_for_Analysis\1854_20240610_0003_L_1923.jpg","1854_20240610_0003_L_1923.jpg")</f>
        <v>1854_20240610_0003_L_1923.jpg</v>
      </c>
      <c r="G1857">
        <v>4</v>
      </c>
      <c r="I1857">
        <v>0</v>
      </c>
      <c r="J1857" s="58">
        <v>2</v>
      </c>
      <c r="K1857" s="32"/>
      <c r="L1857" s="32"/>
      <c r="M1857" s="32"/>
      <c r="N1857" s="32"/>
      <c r="O1857">
        <v>2</v>
      </c>
      <c r="P1857" s="58">
        <v>0</v>
      </c>
      <c r="Q1857" s="58">
        <v>0</v>
      </c>
      <c r="R1857" s="58">
        <v>0</v>
      </c>
      <c r="S1857" s="58">
        <v>0</v>
      </c>
      <c r="T1857" s="58">
        <v>0</v>
      </c>
      <c r="U1857" s="58">
        <v>0</v>
      </c>
      <c r="V1857" s="58">
        <v>0</v>
      </c>
      <c r="W1857" s="4">
        <v>0</v>
      </c>
    </row>
    <row r="1858" spans="1:23" x14ac:dyDescent="0.35">
      <c r="A1858">
        <v>1854</v>
      </c>
      <c r="B1858">
        <v>1855</v>
      </c>
      <c r="C1858">
        <v>146.03095450000001</v>
      </c>
      <c r="D1858">
        <v>-17.514287419999999</v>
      </c>
      <c r="F1858" t="str">
        <f>HYPERLINK("D:\Data From Lucan\2024\Johnstone\Frames_for_Analysis\1855_20240610_0003_L_1925.jpg","1855_20240610_0003_L_1925.jpg")</f>
        <v>1855_20240610_0003_L_1925.jpg</v>
      </c>
      <c r="G1858">
        <v>4</v>
      </c>
      <c r="I1858">
        <f t="shared" si="28"/>
        <v>1</v>
      </c>
      <c r="J1858" s="58">
        <v>1</v>
      </c>
      <c r="K1858" s="32"/>
      <c r="L1858" s="32"/>
      <c r="M1858" s="32"/>
      <c r="N1858" s="32"/>
      <c r="O1858">
        <v>2</v>
      </c>
      <c r="P1858" s="58">
        <v>0</v>
      </c>
      <c r="Q1858" s="58">
        <v>0</v>
      </c>
      <c r="R1858" s="58">
        <v>0</v>
      </c>
      <c r="S1858" s="58">
        <v>0</v>
      </c>
      <c r="T1858" s="58">
        <v>0</v>
      </c>
      <c r="U1858" s="58">
        <v>0</v>
      </c>
      <c r="V1858" s="58">
        <v>0</v>
      </c>
      <c r="W1858" s="4">
        <v>0</v>
      </c>
    </row>
    <row r="1859" spans="1:23" x14ac:dyDescent="0.35">
      <c r="A1859">
        <v>1855</v>
      </c>
      <c r="B1859">
        <v>1856</v>
      </c>
      <c r="C1859">
        <v>146.0309929</v>
      </c>
      <c r="D1859">
        <v>-17.514201310000001</v>
      </c>
      <c r="F1859" t="str">
        <f>HYPERLINK("D:\Data From Lucan\2024\Johnstone\Frames_for_Analysis\1856_20240610_0003_L_1928.jpg","1856_20240610_0003_L_1928.jpg")</f>
        <v>1856_20240610_0003_L_1928.jpg</v>
      </c>
      <c r="G1859">
        <v>4</v>
      </c>
      <c r="I1859">
        <f t="shared" si="28"/>
        <v>1</v>
      </c>
      <c r="J1859" s="58">
        <v>1</v>
      </c>
      <c r="K1859" s="32"/>
      <c r="L1859" s="32"/>
      <c r="M1859" s="32"/>
      <c r="N1859" s="32"/>
      <c r="O1859">
        <v>2</v>
      </c>
      <c r="P1859" s="58">
        <v>0</v>
      </c>
      <c r="Q1859" s="58">
        <v>0</v>
      </c>
      <c r="R1859" s="58">
        <v>0</v>
      </c>
      <c r="S1859" s="58">
        <v>0</v>
      </c>
      <c r="T1859" s="58">
        <v>0</v>
      </c>
      <c r="U1859" s="58">
        <v>0</v>
      </c>
      <c r="V1859" s="58">
        <v>0</v>
      </c>
      <c r="W1859" s="4">
        <v>0</v>
      </c>
    </row>
    <row r="1860" spans="1:23" x14ac:dyDescent="0.35">
      <c r="A1860">
        <v>1856</v>
      </c>
      <c r="B1860">
        <v>1857</v>
      </c>
      <c r="C1860">
        <v>146.03103609999999</v>
      </c>
      <c r="D1860">
        <v>-17.514117760000001</v>
      </c>
      <c r="F1860" t="str">
        <f>HYPERLINK("D:\Data From Lucan\2024\Johnstone\Frames_for_Analysis\1857_20240610_0003_L_1931.jpg","1857_20240610_0003_L_1931.jpg")</f>
        <v>1857_20240610_0003_L_1931.jpg</v>
      </c>
      <c r="G1860">
        <v>4</v>
      </c>
      <c r="I1860">
        <f t="shared" si="28"/>
        <v>1</v>
      </c>
      <c r="J1860" s="58">
        <v>1</v>
      </c>
      <c r="K1860" s="32"/>
      <c r="L1860" s="32"/>
      <c r="M1860" s="32"/>
      <c r="N1860" s="32"/>
      <c r="O1860">
        <v>2</v>
      </c>
      <c r="P1860" s="58">
        <v>0</v>
      </c>
      <c r="Q1860" s="58">
        <v>0</v>
      </c>
      <c r="R1860" s="58">
        <v>0</v>
      </c>
      <c r="S1860" s="58">
        <v>0</v>
      </c>
      <c r="T1860" s="58">
        <v>0</v>
      </c>
      <c r="U1860" s="58">
        <v>0</v>
      </c>
      <c r="V1860" s="58">
        <v>0</v>
      </c>
      <c r="W1860" s="4">
        <v>0</v>
      </c>
    </row>
    <row r="1861" spans="1:23" x14ac:dyDescent="0.35">
      <c r="A1861">
        <v>1857</v>
      </c>
      <c r="B1861">
        <v>1858</v>
      </c>
      <c r="C1861">
        <v>146.03108779999999</v>
      </c>
      <c r="D1861">
        <v>-17.514038899999999</v>
      </c>
      <c r="F1861" t="str">
        <f>HYPERLINK("D:\Data From Lucan\2024\Johnstone\Frames_for_Analysis\1858_20240610_0003_L_1934.jpg","1858_20240610_0003_L_1934.jpg")</f>
        <v>1858_20240610_0003_L_1934.jpg</v>
      </c>
      <c r="G1861">
        <v>4</v>
      </c>
      <c r="I1861">
        <f t="shared" ref="I1861:I1924" si="29">IF(H1861="X","X",IF(J1861="NA","X",IF(J1861="","X",J1861)))</f>
        <v>1</v>
      </c>
      <c r="J1861" s="58">
        <v>1</v>
      </c>
      <c r="K1861" s="32"/>
      <c r="L1861" s="32"/>
      <c r="M1861" s="32"/>
      <c r="N1861" s="32"/>
      <c r="O1861">
        <v>2</v>
      </c>
      <c r="P1861" s="58">
        <v>0</v>
      </c>
      <c r="Q1861" s="58">
        <v>0</v>
      </c>
      <c r="R1861" s="58">
        <v>0</v>
      </c>
      <c r="S1861" s="58">
        <v>0</v>
      </c>
      <c r="T1861" s="58">
        <v>0</v>
      </c>
      <c r="U1861" s="58">
        <v>0</v>
      </c>
      <c r="V1861" s="58">
        <v>0</v>
      </c>
      <c r="W1861" s="4">
        <v>0</v>
      </c>
    </row>
    <row r="1862" spans="1:23" x14ac:dyDescent="0.35">
      <c r="A1862">
        <v>1858</v>
      </c>
      <c r="B1862">
        <v>1859</v>
      </c>
      <c r="C1862">
        <v>146.03113949999999</v>
      </c>
      <c r="D1862">
        <v>-17.513960040000001</v>
      </c>
      <c r="F1862" t="str">
        <f>HYPERLINK("D:\Data From Lucan\2024\Johnstone\Frames_for_Analysis\1859_20240610_0003_L_1937.jpg","1859_20240610_0003_L_1937.jpg")</f>
        <v>1859_20240610_0003_L_1937.jpg</v>
      </c>
      <c r="G1862">
        <v>4</v>
      </c>
      <c r="I1862">
        <f t="shared" si="29"/>
        <v>1</v>
      </c>
      <c r="J1862" s="58">
        <v>1</v>
      </c>
      <c r="K1862" s="32"/>
      <c r="L1862" s="32"/>
      <c r="M1862" s="32"/>
      <c r="N1862" s="32"/>
      <c r="O1862">
        <v>2</v>
      </c>
      <c r="P1862" s="58">
        <v>0</v>
      </c>
      <c r="Q1862" s="58">
        <v>0</v>
      </c>
      <c r="R1862" s="58">
        <v>0</v>
      </c>
      <c r="S1862" s="58">
        <v>0</v>
      </c>
      <c r="T1862" s="58">
        <v>0</v>
      </c>
      <c r="U1862" s="58">
        <v>0</v>
      </c>
      <c r="V1862" s="58">
        <v>0</v>
      </c>
      <c r="W1862" s="4">
        <v>0</v>
      </c>
    </row>
    <row r="1863" spans="1:23" x14ac:dyDescent="0.35">
      <c r="A1863">
        <v>1859</v>
      </c>
      <c r="B1863">
        <v>1860</v>
      </c>
      <c r="C1863">
        <v>146.03119409999999</v>
      </c>
      <c r="D1863">
        <v>-17.513883329999999</v>
      </c>
      <c r="F1863" t="str">
        <f>HYPERLINK("D:\Data From Lucan\2024\Johnstone\Frames_for_Analysis\1860_20240610_0003_L_1940.jpg","1860_20240610_0003_L_1940.jpg")</f>
        <v>1860_20240610_0003_L_1940.jpg</v>
      </c>
      <c r="G1863">
        <v>4</v>
      </c>
      <c r="I1863">
        <f t="shared" si="29"/>
        <v>1</v>
      </c>
      <c r="J1863" s="58">
        <v>1</v>
      </c>
      <c r="K1863" s="32"/>
      <c r="L1863" s="32"/>
      <c r="M1863" s="32"/>
      <c r="N1863" s="32"/>
      <c r="O1863">
        <v>2</v>
      </c>
      <c r="P1863" s="58">
        <v>0</v>
      </c>
      <c r="Q1863" s="58">
        <v>0</v>
      </c>
      <c r="R1863" s="58">
        <v>0</v>
      </c>
      <c r="S1863" s="58">
        <v>0</v>
      </c>
      <c r="T1863" s="58">
        <v>0</v>
      </c>
      <c r="U1863" s="58">
        <v>0</v>
      </c>
      <c r="V1863" s="58">
        <v>0</v>
      </c>
      <c r="W1863" s="4">
        <v>0</v>
      </c>
    </row>
    <row r="1864" spans="1:23" x14ac:dyDescent="0.35">
      <c r="A1864">
        <v>1860</v>
      </c>
      <c r="B1864">
        <v>1861</v>
      </c>
      <c r="C1864">
        <v>146.03125489999999</v>
      </c>
      <c r="D1864">
        <v>-17.51381129</v>
      </c>
      <c r="F1864" t="str">
        <f>HYPERLINK("D:\Data From Lucan\2024\Johnstone\Frames_for_Analysis\1861_20240610_0003_L_1943.jpg","1861_20240610_0003_L_1943.jpg")</f>
        <v>1861_20240610_0003_L_1943.jpg</v>
      </c>
      <c r="G1864">
        <v>4</v>
      </c>
      <c r="I1864">
        <f t="shared" si="29"/>
        <v>1</v>
      </c>
      <c r="J1864" s="58">
        <v>1</v>
      </c>
      <c r="K1864" s="32"/>
      <c r="L1864" s="32"/>
      <c r="M1864" s="32"/>
      <c r="N1864" s="32"/>
      <c r="O1864">
        <v>2</v>
      </c>
      <c r="P1864" s="58">
        <v>0</v>
      </c>
      <c r="Q1864" s="58">
        <v>0</v>
      </c>
      <c r="R1864" s="58">
        <v>0</v>
      </c>
      <c r="S1864" s="58">
        <v>0</v>
      </c>
      <c r="T1864" s="58">
        <v>0</v>
      </c>
      <c r="U1864" s="58">
        <v>0</v>
      </c>
      <c r="V1864" s="58">
        <v>0</v>
      </c>
      <c r="W1864" s="4">
        <v>0</v>
      </c>
    </row>
    <row r="1865" spans="1:23" x14ac:dyDescent="0.35">
      <c r="A1865">
        <v>1861</v>
      </c>
      <c r="B1865">
        <v>1862</v>
      </c>
      <c r="C1865">
        <v>146.03131579999999</v>
      </c>
      <c r="D1865">
        <v>-17.51373925</v>
      </c>
      <c r="F1865" t="str">
        <f>HYPERLINK("D:\Data From Lucan\2024\Johnstone\Frames_for_Analysis\1862_20240610_0003_L_1946.jpg","1862_20240610_0003_L_1946.jpg")</f>
        <v>1862_20240610_0003_L_1946.jpg</v>
      </c>
      <c r="G1865">
        <v>4</v>
      </c>
      <c r="I1865">
        <f t="shared" si="29"/>
        <v>1</v>
      </c>
      <c r="J1865" s="58">
        <v>1</v>
      </c>
      <c r="K1865" s="32"/>
      <c r="L1865" s="32"/>
      <c r="M1865" s="32"/>
      <c r="N1865" s="32"/>
      <c r="O1865">
        <v>2</v>
      </c>
      <c r="P1865" s="58">
        <v>0</v>
      </c>
      <c r="Q1865" s="58">
        <v>0</v>
      </c>
      <c r="R1865" s="58">
        <v>0</v>
      </c>
      <c r="S1865" s="58">
        <v>0</v>
      </c>
      <c r="T1865" s="58">
        <v>0</v>
      </c>
      <c r="U1865" s="58">
        <v>0</v>
      </c>
      <c r="V1865" s="58">
        <v>0</v>
      </c>
      <c r="W1865" s="4">
        <v>0</v>
      </c>
    </row>
    <row r="1866" spans="1:23" x14ac:dyDescent="0.35">
      <c r="A1866">
        <v>1862</v>
      </c>
      <c r="B1866">
        <v>1863</v>
      </c>
      <c r="C1866">
        <v>146.03137670000001</v>
      </c>
      <c r="D1866">
        <v>-17.5136672</v>
      </c>
      <c r="F1866" t="str">
        <f>HYPERLINK("D:\Data From Lucan\2024\Johnstone\Frames_for_Analysis\1863_20240610_0003_L_1949.jpg","1863_20240610_0003_L_1949.jpg")</f>
        <v>1863_20240610_0003_L_1949.jpg</v>
      </c>
      <c r="G1866">
        <v>4</v>
      </c>
      <c r="I1866">
        <f t="shared" si="29"/>
        <v>0</v>
      </c>
      <c r="J1866" s="58">
        <v>0</v>
      </c>
      <c r="K1866" s="32"/>
      <c r="L1866" s="32"/>
      <c r="M1866" s="32"/>
      <c r="N1866" s="32"/>
      <c r="O1866">
        <v>2</v>
      </c>
      <c r="P1866" s="58">
        <v>0</v>
      </c>
      <c r="Q1866" s="58">
        <v>0</v>
      </c>
      <c r="R1866" s="58">
        <v>2</v>
      </c>
      <c r="S1866" s="58">
        <v>0</v>
      </c>
      <c r="T1866" s="58">
        <v>0</v>
      </c>
      <c r="U1866" s="58">
        <v>0</v>
      </c>
      <c r="V1866" s="58">
        <v>0</v>
      </c>
      <c r="W1866" s="4">
        <v>0</v>
      </c>
    </row>
    <row r="1867" spans="1:23" x14ac:dyDescent="0.35">
      <c r="A1867">
        <v>1863</v>
      </c>
      <c r="B1867">
        <v>1864</v>
      </c>
      <c r="C1867">
        <v>146.03143750000001</v>
      </c>
      <c r="D1867">
        <v>-17.513595160000001</v>
      </c>
      <c r="F1867" t="str">
        <f>HYPERLINK("D:\Data From Lucan\2024\Johnstone\Frames_for_Analysis\1864_20240610_0003_L_1953.jpg","1864_20240610_0003_L_1953.jpg")</f>
        <v>1864_20240610_0003_L_1953.jpg</v>
      </c>
      <c r="G1867">
        <v>4</v>
      </c>
      <c r="I1867">
        <f t="shared" si="29"/>
        <v>1</v>
      </c>
      <c r="J1867" s="58">
        <v>1</v>
      </c>
      <c r="K1867" s="32"/>
      <c r="L1867" s="32"/>
      <c r="M1867" s="32"/>
      <c r="N1867" s="32"/>
      <c r="O1867">
        <v>2</v>
      </c>
      <c r="P1867" s="58">
        <v>0</v>
      </c>
      <c r="Q1867" s="58">
        <v>0</v>
      </c>
      <c r="R1867" s="58">
        <v>2</v>
      </c>
      <c r="S1867" s="58">
        <v>0</v>
      </c>
      <c r="T1867" s="58">
        <v>0</v>
      </c>
      <c r="U1867" s="58">
        <v>0</v>
      </c>
      <c r="V1867" s="58">
        <v>0</v>
      </c>
      <c r="W1867" s="4">
        <v>0</v>
      </c>
    </row>
    <row r="1868" spans="1:23" x14ac:dyDescent="0.35">
      <c r="A1868">
        <v>1864</v>
      </c>
      <c r="B1868">
        <v>1865</v>
      </c>
      <c r="C1868">
        <v>146.0314984</v>
      </c>
      <c r="D1868">
        <v>-17.513523119999999</v>
      </c>
      <c r="F1868" t="str">
        <f>HYPERLINK("D:\Data From Lucan\2024\Johnstone\Frames_for_Analysis\1865_20240610_0003_L_1955.jpg","1865_20240610_0003_L_1955.jpg")</f>
        <v>1865_20240610_0003_L_1955.jpg</v>
      </c>
      <c r="G1868">
        <v>4</v>
      </c>
      <c r="I1868">
        <f t="shared" si="29"/>
        <v>1</v>
      </c>
      <c r="J1868" s="58">
        <v>1</v>
      </c>
      <c r="K1868" s="32"/>
      <c r="L1868" s="32"/>
      <c r="M1868" s="32"/>
      <c r="N1868" s="32"/>
      <c r="O1868">
        <v>2</v>
      </c>
      <c r="P1868" s="58">
        <v>0</v>
      </c>
      <c r="Q1868" s="58">
        <v>0</v>
      </c>
      <c r="R1868" s="58">
        <v>0</v>
      </c>
      <c r="S1868" s="58">
        <v>0</v>
      </c>
      <c r="T1868" s="58">
        <v>0</v>
      </c>
      <c r="U1868" s="58">
        <v>0</v>
      </c>
      <c r="V1868" s="58">
        <v>0</v>
      </c>
      <c r="W1868" s="4">
        <v>0</v>
      </c>
    </row>
    <row r="1869" spans="1:23" x14ac:dyDescent="0.35">
      <c r="A1869">
        <v>1865</v>
      </c>
      <c r="B1869">
        <v>1866</v>
      </c>
      <c r="C1869">
        <v>146.0315592</v>
      </c>
      <c r="D1869">
        <v>-17.513451079999999</v>
      </c>
      <c r="F1869" t="str">
        <f>HYPERLINK("D:\Data From Lucan\2024\Johnstone\Frames_for_Analysis\1866_20240610_0003_L_1959.jpg","1866_20240610_0003_L_1959.jpg")</f>
        <v>1866_20240610_0003_L_1959.jpg</v>
      </c>
      <c r="G1869">
        <v>4</v>
      </c>
      <c r="I1869">
        <f t="shared" si="29"/>
        <v>1</v>
      </c>
      <c r="J1869" s="58">
        <v>1</v>
      </c>
      <c r="K1869" s="32"/>
      <c r="L1869" s="32"/>
      <c r="M1869" s="32"/>
      <c r="N1869" s="32"/>
      <c r="O1869">
        <v>2</v>
      </c>
      <c r="P1869" s="58">
        <v>0</v>
      </c>
      <c r="Q1869" s="58">
        <v>0</v>
      </c>
      <c r="R1869" s="58">
        <v>0</v>
      </c>
      <c r="S1869" s="58">
        <v>0</v>
      </c>
      <c r="T1869" s="58">
        <v>0</v>
      </c>
      <c r="U1869" s="58">
        <v>0</v>
      </c>
      <c r="V1869" s="58">
        <v>0</v>
      </c>
      <c r="W1869" s="4">
        <v>0</v>
      </c>
    </row>
    <row r="1870" spans="1:23" x14ac:dyDescent="0.35">
      <c r="A1870">
        <v>1866</v>
      </c>
      <c r="B1870">
        <v>1867</v>
      </c>
      <c r="C1870">
        <v>146.03161919999999</v>
      </c>
      <c r="D1870">
        <v>-17.513378360000001</v>
      </c>
      <c r="F1870" t="str">
        <f>HYPERLINK("D:\Data From Lucan\2024\Johnstone\Frames_for_Analysis\1867_20240610_0003_L_1962.jpg","1867_20240610_0003_L_1962.jpg")</f>
        <v>1867_20240610_0003_L_1962.jpg</v>
      </c>
      <c r="G1870">
        <v>4</v>
      </c>
      <c r="I1870">
        <f t="shared" si="29"/>
        <v>1</v>
      </c>
      <c r="J1870" s="58">
        <v>1</v>
      </c>
      <c r="K1870" s="32"/>
      <c r="L1870" s="32"/>
      <c r="M1870" s="32"/>
      <c r="N1870" s="32"/>
      <c r="O1870">
        <v>2</v>
      </c>
      <c r="P1870" s="58">
        <v>0</v>
      </c>
      <c r="Q1870" s="58">
        <v>0</v>
      </c>
      <c r="R1870" s="58">
        <v>0</v>
      </c>
      <c r="S1870" s="58">
        <v>0</v>
      </c>
      <c r="T1870" s="58">
        <v>0</v>
      </c>
      <c r="U1870" s="58">
        <v>0</v>
      </c>
      <c r="V1870" s="58">
        <v>0</v>
      </c>
      <c r="W1870" s="4">
        <v>0</v>
      </c>
    </row>
    <row r="1871" spans="1:23" x14ac:dyDescent="0.35">
      <c r="A1871">
        <v>1867</v>
      </c>
      <c r="B1871">
        <v>1868</v>
      </c>
      <c r="C1871">
        <v>146.03167629999999</v>
      </c>
      <c r="D1871">
        <v>-17.513303279999999</v>
      </c>
      <c r="F1871" t="str">
        <f>HYPERLINK("D:\Data From Lucan\2024\Johnstone\Frames_for_Analysis\1868_20240610_0003_L_1965.jpg","1868_20240610_0003_L_1965.jpg")</f>
        <v>1868_20240610_0003_L_1965.jpg</v>
      </c>
      <c r="G1871">
        <v>4</v>
      </c>
      <c r="I1871">
        <f t="shared" si="29"/>
        <v>0</v>
      </c>
      <c r="J1871" s="58">
        <v>0</v>
      </c>
      <c r="K1871" s="32"/>
      <c r="L1871" s="32"/>
      <c r="M1871" s="32"/>
      <c r="N1871" s="32"/>
      <c r="O1871">
        <v>2</v>
      </c>
      <c r="P1871" s="58">
        <v>0</v>
      </c>
      <c r="Q1871" s="58">
        <v>0</v>
      </c>
      <c r="R1871" s="58">
        <v>0</v>
      </c>
      <c r="S1871" s="58">
        <v>0</v>
      </c>
      <c r="T1871" s="58">
        <v>0</v>
      </c>
      <c r="U1871" s="58">
        <v>0</v>
      </c>
      <c r="V1871" s="58">
        <v>0</v>
      </c>
      <c r="W1871" s="4">
        <v>0</v>
      </c>
    </row>
    <row r="1872" spans="1:23" x14ac:dyDescent="0.35">
      <c r="A1872">
        <v>1868</v>
      </c>
      <c r="B1872">
        <v>1869</v>
      </c>
      <c r="C1872">
        <v>146.03173340000001</v>
      </c>
      <c r="D1872">
        <v>-17.513228210000001</v>
      </c>
      <c r="F1872" t="str">
        <f>HYPERLINK("D:\Data From Lucan\2024\Johnstone\Frames_for_Analysis\1869_20240610_0003_L_1968.jpg","1869_20240610_0003_L_1968.jpg")</f>
        <v>1869_20240610_0003_L_1968.jpg</v>
      </c>
      <c r="G1872">
        <v>4</v>
      </c>
      <c r="I1872">
        <f t="shared" si="29"/>
        <v>0</v>
      </c>
      <c r="J1872" s="58">
        <v>0</v>
      </c>
      <c r="K1872" s="32"/>
      <c r="L1872" s="32"/>
      <c r="M1872" s="32"/>
      <c r="N1872" s="32"/>
      <c r="O1872">
        <v>2</v>
      </c>
      <c r="P1872" s="58">
        <v>0</v>
      </c>
      <c r="Q1872" s="58">
        <v>0</v>
      </c>
      <c r="R1872" s="58">
        <v>0</v>
      </c>
      <c r="S1872" s="58">
        <v>0</v>
      </c>
      <c r="T1872" s="58">
        <v>0</v>
      </c>
      <c r="U1872" s="58">
        <v>0</v>
      </c>
      <c r="V1872" s="58">
        <v>0</v>
      </c>
      <c r="W1872" s="4">
        <v>0</v>
      </c>
    </row>
    <row r="1873" spans="1:23" x14ac:dyDescent="0.35">
      <c r="A1873">
        <v>1869</v>
      </c>
      <c r="B1873">
        <v>1870</v>
      </c>
      <c r="C1873">
        <v>146.03179040000001</v>
      </c>
      <c r="D1873">
        <v>-17.51315314</v>
      </c>
      <c r="F1873" t="str">
        <f>HYPERLINK("D:\Data From Lucan\2024\Johnstone\Frames_for_Analysis\1870_20240610_0003_L_1970.jpg","1870_20240610_0003_L_1970.jpg")</f>
        <v>1870_20240610_0003_L_1970.jpg</v>
      </c>
      <c r="G1873">
        <v>4</v>
      </c>
      <c r="I1873">
        <f t="shared" si="29"/>
        <v>1</v>
      </c>
      <c r="J1873" s="58">
        <v>1</v>
      </c>
      <c r="K1873" s="32"/>
      <c r="L1873" s="32"/>
      <c r="M1873" s="32"/>
      <c r="N1873" s="32"/>
      <c r="O1873">
        <v>2</v>
      </c>
      <c r="P1873" s="58">
        <v>0</v>
      </c>
      <c r="Q1873" s="58">
        <v>0</v>
      </c>
      <c r="R1873" s="58">
        <v>0</v>
      </c>
      <c r="S1873" s="58">
        <v>0</v>
      </c>
      <c r="T1873" s="58">
        <v>0</v>
      </c>
      <c r="U1873" s="58">
        <v>0</v>
      </c>
      <c r="V1873" s="58">
        <v>0</v>
      </c>
      <c r="W1873" s="4">
        <v>0</v>
      </c>
    </row>
    <row r="1874" spans="1:23" x14ac:dyDescent="0.35">
      <c r="A1874">
        <v>1870</v>
      </c>
      <c r="B1874">
        <v>1871</v>
      </c>
      <c r="C1874">
        <v>146.0318475</v>
      </c>
      <c r="D1874">
        <v>-17.513078060000002</v>
      </c>
      <c r="F1874" t="str">
        <f>HYPERLINK("D:\Data From Lucan\2024\Johnstone\Frames_for_Analysis\1871_20240610_0003_L_1974.jpg","1871_20240610_0003_L_1974.jpg")</f>
        <v>1871_20240610_0003_L_1974.jpg</v>
      </c>
      <c r="G1874">
        <v>4</v>
      </c>
      <c r="I1874">
        <f t="shared" si="29"/>
        <v>1</v>
      </c>
      <c r="J1874" s="58">
        <v>1</v>
      </c>
      <c r="K1874" s="32"/>
      <c r="L1874" s="32"/>
      <c r="M1874" s="32"/>
      <c r="N1874" s="32"/>
      <c r="O1874">
        <v>2</v>
      </c>
      <c r="P1874" s="58">
        <v>0</v>
      </c>
      <c r="Q1874" s="58">
        <v>0</v>
      </c>
      <c r="R1874" s="58">
        <v>2</v>
      </c>
      <c r="S1874" s="58">
        <v>0</v>
      </c>
      <c r="T1874" s="58">
        <v>0</v>
      </c>
      <c r="U1874" s="58">
        <v>0</v>
      </c>
      <c r="V1874" s="58">
        <v>0</v>
      </c>
      <c r="W1874" s="4">
        <v>0</v>
      </c>
    </row>
    <row r="1875" spans="1:23" x14ac:dyDescent="0.35">
      <c r="A1875">
        <v>1871</v>
      </c>
      <c r="B1875">
        <v>1872</v>
      </c>
      <c r="C1875">
        <v>146.03190459999999</v>
      </c>
      <c r="D1875">
        <v>-17.51300299</v>
      </c>
      <c r="F1875" t="str">
        <f>HYPERLINK("D:\Data From Lucan\2024\Johnstone\Frames_for_Analysis\1872_20240610_0003_L_1976.jpg","1872_20240610_0003_L_1976.jpg")</f>
        <v>1872_20240610_0003_L_1976.jpg</v>
      </c>
      <c r="G1875">
        <v>4</v>
      </c>
      <c r="I1875">
        <f t="shared" si="29"/>
        <v>1</v>
      </c>
      <c r="J1875" s="58">
        <v>1</v>
      </c>
      <c r="K1875" s="32"/>
      <c r="L1875" s="32"/>
      <c r="M1875" s="32"/>
      <c r="N1875" s="32"/>
      <c r="O1875">
        <v>2</v>
      </c>
      <c r="P1875" s="58">
        <v>0</v>
      </c>
      <c r="Q1875" s="58">
        <v>0</v>
      </c>
      <c r="R1875" s="58">
        <v>2</v>
      </c>
      <c r="S1875" s="58">
        <v>0</v>
      </c>
      <c r="T1875" s="58">
        <v>0</v>
      </c>
      <c r="U1875" s="58">
        <v>0</v>
      </c>
      <c r="V1875" s="58">
        <v>0</v>
      </c>
      <c r="W1875" s="4">
        <v>0</v>
      </c>
    </row>
    <row r="1876" spans="1:23" x14ac:dyDescent="0.35">
      <c r="A1876">
        <v>1872</v>
      </c>
      <c r="B1876">
        <v>1873</v>
      </c>
      <c r="C1876">
        <v>146.03196159999999</v>
      </c>
      <c r="D1876">
        <v>-17.512927919999999</v>
      </c>
      <c r="F1876" t="str">
        <f>HYPERLINK("D:\Data From Lucan\2024\Johnstone\Frames_for_Analysis\1873_20240610_0003_L_1979.jpg","1873_20240610_0003_L_1979.jpg")</f>
        <v>1873_20240610_0003_L_1979.jpg</v>
      </c>
      <c r="G1876">
        <v>4</v>
      </c>
      <c r="I1876">
        <f t="shared" si="29"/>
        <v>1</v>
      </c>
      <c r="J1876" s="58">
        <v>1</v>
      </c>
      <c r="K1876" s="32"/>
      <c r="L1876" s="32"/>
      <c r="M1876" s="32"/>
      <c r="N1876" s="32"/>
      <c r="O1876">
        <v>2</v>
      </c>
      <c r="P1876" s="58">
        <v>0</v>
      </c>
      <c r="Q1876" s="58">
        <v>0</v>
      </c>
      <c r="R1876" s="58">
        <v>2</v>
      </c>
      <c r="S1876" s="58">
        <v>0</v>
      </c>
      <c r="T1876" s="58">
        <v>0</v>
      </c>
      <c r="U1876" s="58">
        <v>0</v>
      </c>
      <c r="V1876" s="58">
        <v>0</v>
      </c>
      <c r="W1876" s="4">
        <v>0</v>
      </c>
    </row>
    <row r="1877" spans="1:23" x14ac:dyDescent="0.35">
      <c r="A1877">
        <v>1873</v>
      </c>
      <c r="B1877">
        <v>1874</v>
      </c>
      <c r="C1877">
        <v>146.0320189</v>
      </c>
      <c r="D1877">
        <v>-17.512853010000001</v>
      </c>
      <c r="F1877" t="str">
        <f>HYPERLINK("D:\Data From Lucan\2024\Johnstone\Frames_for_Analysis\1874_20240610_0003_L_1983.jpg","1874_20240610_0003_L_1983.jpg")</f>
        <v>1874_20240610_0003_L_1983.jpg</v>
      </c>
      <c r="G1877">
        <v>4</v>
      </c>
      <c r="I1877">
        <f t="shared" si="29"/>
        <v>1</v>
      </c>
      <c r="J1877" s="58">
        <v>1</v>
      </c>
      <c r="K1877" s="32"/>
      <c r="L1877" s="32"/>
      <c r="M1877" s="32"/>
      <c r="N1877" s="32"/>
      <c r="O1877">
        <v>2</v>
      </c>
      <c r="P1877" s="58">
        <v>0</v>
      </c>
      <c r="Q1877" s="58">
        <v>0</v>
      </c>
      <c r="R1877" s="58">
        <v>0</v>
      </c>
      <c r="S1877" s="58">
        <v>0</v>
      </c>
      <c r="T1877" s="58">
        <v>0</v>
      </c>
      <c r="U1877" s="58">
        <v>0</v>
      </c>
      <c r="V1877" s="58">
        <v>0</v>
      </c>
      <c r="W1877" s="4">
        <v>0</v>
      </c>
    </row>
    <row r="1878" spans="1:23" x14ac:dyDescent="0.35">
      <c r="A1878">
        <v>1874</v>
      </c>
      <c r="B1878">
        <v>1875</v>
      </c>
      <c r="C1878">
        <v>146.0320767</v>
      </c>
      <c r="D1878">
        <v>-17.512778440000002</v>
      </c>
      <c r="F1878" t="str">
        <f>HYPERLINK("D:\Data From Lucan\2024\Johnstone\Frames_for_Analysis\1875_20240610_0003_L_1986.jpg","1875_20240610_0003_L_1986.jpg")</f>
        <v>1875_20240610_0003_L_1986.jpg</v>
      </c>
      <c r="G1878">
        <v>4</v>
      </c>
      <c r="I1878">
        <f t="shared" si="29"/>
        <v>1</v>
      </c>
      <c r="J1878" s="58">
        <v>1</v>
      </c>
      <c r="K1878" s="32"/>
      <c r="L1878" s="32"/>
      <c r="M1878" s="32"/>
      <c r="N1878" s="32"/>
      <c r="O1878">
        <v>2</v>
      </c>
      <c r="P1878" s="58">
        <v>0</v>
      </c>
      <c r="Q1878" s="58">
        <v>0</v>
      </c>
      <c r="R1878" s="58">
        <v>0</v>
      </c>
      <c r="S1878" s="58">
        <v>0</v>
      </c>
      <c r="T1878" s="58">
        <v>0</v>
      </c>
      <c r="U1878" s="58">
        <v>0</v>
      </c>
      <c r="V1878" s="58">
        <v>0</v>
      </c>
      <c r="W1878" s="4">
        <v>0</v>
      </c>
    </row>
    <row r="1879" spans="1:23" x14ac:dyDescent="0.35">
      <c r="A1879">
        <v>1875</v>
      </c>
      <c r="B1879">
        <v>1876</v>
      </c>
      <c r="C1879">
        <v>146.03213439999999</v>
      </c>
      <c r="D1879">
        <v>-17.512703859999998</v>
      </c>
      <c r="F1879" t="str">
        <f>HYPERLINK("D:\Data From Lucan\2024\Johnstone\Frames_for_Analysis\1876_20240610_0003_L_1990.jpg","1876_20240610_0003_L_1990.jpg")</f>
        <v>1876_20240610_0003_L_1990.jpg</v>
      </c>
      <c r="G1879">
        <v>4</v>
      </c>
      <c r="I1879">
        <f t="shared" si="29"/>
        <v>1</v>
      </c>
      <c r="J1879" s="58">
        <v>1</v>
      </c>
      <c r="K1879" s="32"/>
      <c r="L1879" s="32"/>
      <c r="M1879" s="32"/>
      <c r="N1879" s="32"/>
      <c r="O1879">
        <v>2</v>
      </c>
      <c r="P1879" s="58">
        <v>0</v>
      </c>
      <c r="Q1879" s="58">
        <v>0</v>
      </c>
      <c r="R1879" s="58">
        <v>0</v>
      </c>
      <c r="S1879" s="58">
        <v>0</v>
      </c>
      <c r="T1879" s="58">
        <v>0</v>
      </c>
      <c r="U1879" s="58">
        <v>0</v>
      </c>
      <c r="V1879" s="58">
        <v>0</v>
      </c>
      <c r="W1879" s="4">
        <v>0</v>
      </c>
    </row>
    <row r="1880" spans="1:23" x14ac:dyDescent="0.35">
      <c r="A1880">
        <v>1876</v>
      </c>
      <c r="B1880">
        <v>1877</v>
      </c>
      <c r="C1880">
        <v>146.0321921</v>
      </c>
      <c r="D1880">
        <v>-17.512629279999999</v>
      </c>
      <c r="F1880" t="str">
        <f>HYPERLINK("D:\Data From Lucan\2024\Johnstone\Frames_for_Analysis\1877_20240610_0003_L_1992.jpg","1877_20240610_0003_L_1992.jpg")</f>
        <v>1877_20240610_0003_L_1992.jpg</v>
      </c>
      <c r="G1880">
        <v>4</v>
      </c>
      <c r="I1880">
        <f t="shared" si="29"/>
        <v>1</v>
      </c>
      <c r="J1880" s="58">
        <v>1</v>
      </c>
      <c r="K1880" s="32"/>
      <c r="L1880" s="32"/>
      <c r="M1880" s="32"/>
      <c r="N1880" s="32"/>
      <c r="O1880">
        <v>2</v>
      </c>
      <c r="P1880" s="58">
        <v>0</v>
      </c>
      <c r="Q1880" s="58">
        <v>0</v>
      </c>
      <c r="R1880" s="58">
        <v>0</v>
      </c>
      <c r="S1880" s="58">
        <v>0</v>
      </c>
      <c r="T1880" s="58">
        <v>0</v>
      </c>
      <c r="U1880" s="58">
        <v>0</v>
      </c>
      <c r="V1880" s="58">
        <v>0</v>
      </c>
      <c r="W1880" s="4">
        <v>0</v>
      </c>
    </row>
    <row r="1881" spans="1:23" x14ac:dyDescent="0.35">
      <c r="A1881">
        <v>1877</v>
      </c>
      <c r="B1881">
        <v>1878</v>
      </c>
      <c r="C1881">
        <v>146.03224979999999</v>
      </c>
      <c r="D1881">
        <v>-17.512554699999999</v>
      </c>
      <c r="F1881" t="str">
        <f>HYPERLINK("D:\Data From Lucan\2024\Johnstone\Frames_for_Analysis\1878_20240610_0003_L_1997.jpg","1878_20240610_0003_L_1997.jpg")</f>
        <v>1878_20240610_0003_L_1997.jpg</v>
      </c>
      <c r="G1881">
        <v>4</v>
      </c>
      <c r="I1881">
        <v>0</v>
      </c>
      <c r="J1881" s="58">
        <v>2</v>
      </c>
      <c r="K1881" s="32"/>
      <c r="L1881" s="32"/>
      <c r="M1881" s="32"/>
      <c r="N1881" s="32"/>
      <c r="O1881">
        <v>2</v>
      </c>
      <c r="P1881" s="58">
        <v>0</v>
      </c>
      <c r="Q1881" s="58">
        <v>0</v>
      </c>
      <c r="R1881" s="58">
        <v>2</v>
      </c>
      <c r="S1881" s="58">
        <v>0</v>
      </c>
      <c r="T1881" s="58">
        <v>0</v>
      </c>
      <c r="U1881" s="58">
        <v>0</v>
      </c>
      <c r="V1881" s="58">
        <v>0</v>
      </c>
      <c r="W1881" s="4">
        <v>0</v>
      </c>
    </row>
    <row r="1882" spans="1:23" x14ac:dyDescent="0.35">
      <c r="A1882">
        <v>1878</v>
      </c>
      <c r="B1882">
        <v>1879</v>
      </c>
      <c r="C1882">
        <v>146.0323075</v>
      </c>
      <c r="D1882">
        <v>-17.512480119999999</v>
      </c>
      <c r="F1882" t="str">
        <f>HYPERLINK("D:\Data From Lucan\2024\Johnstone\Frames_for_Analysis\1879_20240610_0003_L_2001.jpg","1879_20240610_0003_L_2001.jpg")</f>
        <v>1879_20240610_0003_L_2001.jpg</v>
      </c>
      <c r="G1882">
        <v>4</v>
      </c>
      <c r="I1882">
        <f t="shared" si="29"/>
        <v>0</v>
      </c>
      <c r="J1882" s="58">
        <v>0</v>
      </c>
      <c r="K1882" s="32"/>
      <c r="L1882" s="32"/>
      <c r="M1882" s="32"/>
      <c r="N1882" s="32"/>
      <c r="O1882">
        <v>2</v>
      </c>
      <c r="P1882" s="58">
        <v>0</v>
      </c>
      <c r="Q1882" s="58">
        <v>0</v>
      </c>
      <c r="R1882" s="58">
        <v>0</v>
      </c>
      <c r="S1882" s="58">
        <v>0</v>
      </c>
      <c r="T1882" s="58">
        <v>0</v>
      </c>
      <c r="U1882" s="58">
        <v>0</v>
      </c>
      <c r="V1882" s="58">
        <v>0</v>
      </c>
      <c r="W1882" s="4">
        <v>0</v>
      </c>
    </row>
    <row r="1883" spans="1:23" x14ac:dyDescent="0.35">
      <c r="A1883">
        <v>1879</v>
      </c>
      <c r="B1883">
        <v>1880</v>
      </c>
      <c r="C1883">
        <v>146.03236519999999</v>
      </c>
      <c r="D1883">
        <v>-17.51240554</v>
      </c>
      <c r="F1883" t="str">
        <f>HYPERLINK("D:\Data From Lucan\2024\Johnstone\Frames_for_Analysis\1880_20240610_0003_L_2003.jpg","1880_20240610_0003_L_2003.jpg")</f>
        <v>1880_20240610_0003_L_2003.jpg</v>
      </c>
      <c r="G1883">
        <v>4</v>
      </c>
      <c r="I1883">
        <f t="shared" si="29"/>
        <v>0</v>
      </c>
      <c r="J1883" s="58">
        <v>0</v>
      </c>
      <c r="K1883" s="32"/>
      <c r="L1883" s="32"/>
      <c r="M1883" s="32"/>
      <c r="N1883" s="32"/>
      <c r="O1883">
        <v>2</v>
      </c>
      <c r="P1883" s="58">
        <v>0</v>
      </c>
      <c r="Q1883" s="58">
        <v>0</v>
      </c>
      <c r="R1883" s="58">
        <v>0</v>
      </c>
      <c r="S1883" s="58">
        <v>0</v>
      </c>
      <c r="T1883" s="58">
        <v>0</v>
      </c>
      <c r="U1883" s="58">
        <v>0</v>
      </c>
      <c r="V1883" s="58">
        <v>0</v>
      </c>
      <c r="W1883" s="4">
        <v>0</v>
      </c>
    </row>
    <row r="1884" spans="1:23" x14ac:dyDescent="0.35">
      <c r="A1884">
        <v>1880</v>
      </c>
      <c r="B1884">
        <v>1881</v>
      </c>
      <c r="C1884">
        <v>146.0324238</v>
      </c>
      <c r="D1884">
        <v>-17.512331660000001</v>
      </c>
      <c r="F1884" t="str">
        <f>HYPERLINK("D:\Data From Lucan\2024\Johnstone\Frames_for_Analysis\1881_20240610_0003_L_2007.jpg","1881_20240610_0003_L_2007.jpg")</f>
        <v>1881_20240610_0003_L_2007.jpg</v>
      </c>
      <c r="G1884">
        <v>4</v>
      </c>
      <c r="I1884">
        <f t="shared" si="29"/>
        <v>1</v>
      </c>
      <c r="J1884" s="58">
        <v>1</v>
      </c>
      <c r="K1884" s="32"/>
      <c r="L1884" s="32"/>
      <c r="M1884" s="32"/>
      <c r="N1884" s="32"/>
      <c r="O1884">
        <v>2</v>
      </c>
      <c r="P1884" s="58">
        <v>0</v>
      </c>
      <c r="Q1884" s="58">
        <v>0</v>
      </c>
      <c r="R1884" s="58">
        <v>0</v>
      </c>
      <c r="S1884" s="58">
        <v>0</v>
      </c>
      <c r="T1884" s="58">
        <v>0</v>
      </c>
      <c r="U1884" s="58">
        <v>0</v>
      </c>
      <c r="V1884" s="58">
        <v>0</v>
      </c>
      <c r="W1884" s="4">
        <v>0</v>
      </c>
    </row>
    <row r="1885" spans="1:23" x14ac:dyDescent="0.35">
      <c r="A1885">
        <v>1881</v>
      </c>
      <c r="B1885">
        <v>1882</v>
      </c>
      <c r="C1885">
        <v>146.03248400000001</v>
      </c>
      <c r="D1885">
        <v>-17.51225904</v>
      </c>
      <c r="F1885" t="str">
        <f>HYPERLINK("D:\Data From Lucan\2024\Johnstone\Frames_for_Analysis\1882_20240610_0003_L_2011.jpg","1882_20240610_0003_L_2011.jpg")</f>
        <v>1882_20240610_0003_L_2011.jpg</v>
      </c>
      <c r="G1885">
        <v>4</v>
      </c>
      <c r="I1885">
        <f t="shared" si="29"/>
        <v>1</v>
      </c>
      <c r="J1885" s="58">
        <v>1</v>
      </c>
      <c r="K1885" s="32"/>
      <c r="L1885" s="32"/>
      <c r="M1885" s="32"/>
      <c r="N1885" s="32"/>
      <c r="O1885">
        <v>2</v>
      </c>
      <c r="P1885" s="58">
        <v>0</v>
      </c>
      <c r="Q1885" s="58">
        <v>0</v>
      </c>
      <c r="R1885" s="58">
        <v>0</v>
      </c>
      <c r="S1885" s="58">
        <v>0</v>
      </c>
      <c r="T1885" s="58">
        <v>0</v>
      </c>
      <c r="U1885" s="58">
        <v>0</v>
      </c>
      <c r="V1885" s="58">
        <v>1</v>
      </c>
      <c r="W1885" s="4">
        <v>0</v>
      </c>
    </row>
    <row r="1886" spans="1:23" x14ac:dyDescent="0.35">
      <c r="A1886">
        <v>1882</v>
      </c>
      <c r="B1886">
        <v>1883</v>
      </c>
      <c r="C1886">
        <v>146.03254419999999</v>
      </c>
      <c r="D1886">
        <v>-17.51218643</v>
      </c>
      <c r="F1886" t="str">
        <f>HYPERLINK("D:\Data From Lucan\2024\Johnstone\Frames_for_Analysis\1883_20240610_0003_L_2014.jpg","1883_20240610_0003_L_2014.jpg")</f>
        <v>1883_20240610_0003_L_2014.jpg</v>
      </c>
      <c r="G1886">
        <v>4</v>
      </c>
      <c r="I1886">
        <f t="shared" si="29"/>
        <v>1</v>
      </c>
      <c r="J1886" s="58">
        <v>1</v>
      </c>
      <c r="K1886" s="32"/>
      <c r="L1886" s="32"/>
      <c r="M1886" s="32"/>
      <c r="N1886" s="32"/>
      <c r="O1886">
        <v>1</v>
      </c>
      <c r="P1886" s="58">
        <v>0</v>
      </c>
      <c r="Q1886" s="58">
        <v>0</v>
      </c>
      <c r="R1886" s="58">
        <v>0</v>
      </c>
      <c r="S1886" s="58">
        <v>0</v>
      </c>
      <c r="T1886" s="58">
        <v>0</v>
      </c>
      <c r="U1886" s="58">
        <v>0</v>
      </c>
      <c r="V1886" s="58">
        <v>0</v>
      </c>
      <c r="W1886" s="4">
        <v>0</v>
      </c>
    </row>
    <row r="1887" spans="1:23" x14ac:dyDescent="0.35">
      <c r="A1887">
        <v>1883</v>
      </c>
      <c r="B1887">
        <v>1884</v>
      </c>
      <c r="C1887">
        <v>146.0326043</v>
      </c>
      <c r="D1887">
        <v>-17.512113809999999</v>
      </c>
      <c r="F1887" t="str">
        <f>HYPERLINK("D:\Data From Lucan\2024\Johnstone\Frames_for_Analysis\1884_20240610_0003_L_2017.jpg","1884_20240610_0003_L_2017.jpg")</f>
        <v>1884_20240610_0003_L_2017.jpg</v>
      </c>
      <c r="G1887">
        <v>4</v>
      </c>
      <c r="I1887">
        <f t="shared" si="29"/>
        <v>1</v>
      </c>
      <c r="J1887" s="58">
        <v>1</v>
      </c>
      <c r="K1887" s="32"/>
      <c r="L1887" s="32"/>
      <c r="M1887" s="32"/>
      <c r="N1887" s="32"/>
      <c r="O1887">
        <v>1</v>
      </c>
      <c r="P1887" s="58">
        <v>0</v>
      </c>
      <c r="Q1887" s="58">
        <v>0</v>
      </c>
      <c r="R1887" s="58">
        <v>0</v>
      </c>
      <c r="S1887" s="58">
        <v>0</v>
      </c>
      <c r="T1887" s="58">
        <v>0</v>
      </c>
      <c r="U1887" s="58">
        <v>0</v>
      </c>
      <c r="V1887" s="58">
        <v>0</v>
      </c>
      <c r="W1887" s="4">
        <v>0</v>
      </c>
    </row>
    <row r="1888" spans="1:23" x14ac:dyDescent="0.35">
      <c r="A1888">
        <v>1884</v>
      </c>
      <c r="B1888">
        <v>1885</v>
      </c>
      <c r="C1888">
        <v>146.03266450000001</v>
      </c>
      <c r="D1888">
        <v>-17.512041199999999</v>
      </c>
      <c r="F1888" t="str">
        <f>HYPERLINK("D:\Data From Lucan\2024\Johnstone\Frames_for_Analysis\1885_20240610_0003_L_2020.jpg","1885_20240610_0003_L_2020.jpg")</f>
        <v>1885_20240610_0003_L_2020.jpg</v>
      </c>
      <c r="G1888">
        <v>4</v>
      </c>
      <c r="I1888">
        <f t="shared" si="29"/>
        <v>1</v>
      </c>
      <c r="J1888" s="58">
        <v>1</v>
      </c>
      <c r="K1888" s="32"/>
      <c r="L1888" s="32"/>
      <c r="M1888" s="32"/>
      <c r="N1888" s="32"/>
      <c r="O1888">
        <v>1</v>
      </c>
      <c r="P1888" s="58">
        <v>0</v>
      </c>
      <c r="Q1888" s="58">
        <v>0</v>
      </c>
      <c r="R1888" s="58">
        <v>0</v>
      </c>
      <c r="S1888" s="58">
        <v>0</v>
      </c>
      <c r="T1888" s="58">
        <v>0</v>
      </c>
      <c r="U1888" s="58">
        <v>0</v>
      </c>
      <c r="V1888" s="58">
        <v>0</v>
      </c>
      <c r="W1888" s="4">
        <v>0</v>
      </c>
    </row>
    <row r="1889" spans="1:23" x14ac:dyDescent="0.35">
      <c r="A1889">
        <v>1885</v>
      </c>
      <c r="B1889">
        <v>1886</v>
      </c>
      <c r="C1889">
        <v>146.03272469999999</v>
      </c>
      <c r="D1889">
        <v>-17.511968580000001</v>
      </c>
      <c r="F1889" t="str">
        <f>HYPERLINK("D:\Data From Lucan\2024\Johnstone\Frames_for_Analysis\1886_20240610_0003_L_2024.jpg","1886_20240610_0003_L_2024.jpg")</f>
        <v>1886_20240610_0003_L_2024.jpg</v>
      </c>
      <c r="G1889">
        <v>4</v>
      </c>
      <c r="I1889">
        <f t="shared" si="29"/>
        <v>1</v>
      </c>
      <c r="J1889" s="58">
        <v>1</v>
      </c>
      <c r="K1889" s="32"/>
      <c r="L1889" s="32"/>
      <c r="M1889" s="32"/>
      <c r="N1889" s="32"/>
      <c r="O1889">
        <v>1</v>
      </c>
      <c r="P1889" s="58">
        <v>0</v>
      </c>
      <c r="Q1889" s="58">
        <v>0</v>
      </c>
      <c r="R1889" s="58">
        <v>0</v>
      </c>
      <c r="S1889" s="58">
        <v>0</v>
      </c>
      <c r="T1889" s="58">
        <v>0</v>
      </c>
      <c r="U1889" s="58">
        <v>0</v>
      </c>
      <c r="V1889" s="58">
        <v>0</v>
      </c>
      <c r="W1889" s="4">
        <v>0</v>
      </c>
    </row>
    <row r="1890" spans="1:23" x14ac:dyDescent="0.35">
      <c r="A1890">
        <v>1886</v>
      </c>
      <c r="B1890">
        <v>1887</v>
      </c>
      <c r="C1890">
        <v>146.0327848</v>
      </c>
      <c r="D1890">
        <v>-17.511895970000001</v>
      </c>
      <c r="F1890" t="str">
        <f>HYPERLINK("D:\Data From Lucan\2024\Johnstone\Frames_for_Analysis\1887_20240610_0003_L_2026.jpg","1887_20240610_0003_L_2026.jpg")</f>
        <v>1887_20240610_0003_L_2026.jpg</v>
      </c>
      <c r="G1890">
        <v>4</v>
      </c>
      <c r="I1890">
        <v>0</v>
      </c>
      <c r="J1890" s="58">
        <v>2</v>
      </c>
      <c r="K1890" s="32"/>
      <c r="L1890" s="32"/>
      <c r="M1890" s="32"/>
      <c r="N1890" s="32"/>
      <c r="O1890">
        <v>1</v>
      </c>
      <c r="P1890" s="58">
        <v>0</v>
      </c>
      <c r="Q1890" s="58">
        <v>0</v>
      </c>
      <c r="R1890" s="58">
        <v>0</v>
      </c>
      <c r="S1890" s="58">
        <v>0</v>
      </c>
      <c r="T1890" s="58">
        <v>0</v>
      </c>
      <c r="U1890" s="58">
        <v>0</v>
      </c>
      <c r="V1890" s="58">
        <v>0</v>
      </c>
      <c r="W1890" s="4">
        <v>0</v>
      </c>
    </row>
    <row r="1891" spans="1:23" x14ac:dyDescent="0.35">
      <c r="A1891">
        <v>1887</v>
      </c>
      <c r="B1891">
        <v>1888</v>
      </c>
      <c r="C1891">
        <v>146.03284500000001</v>
      </c>
      <c r="D1891">
        <v>-17.51182335</v>
      </c>
      <c r="F1891" t="str">
        <f>HYPERLINK("D:\Data From Lucan\2024\Johnstone\Frames_for_Analysis\1888_20240610_0003_L_2029.jpg","1888_20240610_0003_L_2029.jpg")</f>
        <v>1888_20240610_0003_L_2029.jpg</v>
      </c>
      <c r="G1891">
        <v>4</v>
      </c>
      <c r="I1891">
        <f t="shared" si="29"/>
        <v>1</v>
      </c>
      <c r="J1891" s="58">
        <v>1</v>
      </c>
      <c r="K1891" s="32"/>
      <c r="L1891" s="32"/>
      <c r="M1891" s="32"/>
      <c r="N1891" s="32"/>
      <c r="O1891">
        <v>1</v>
      </c>
      <c r="P1891" s="58">
        <v>0</v>
      </c>
      <c r="Q1891" s="58">
        <v>0</v>
      </c>
      <c r="R1891" s="58">
        <v>0</v>
      </c>
      <c r="S1891" s="58">
        <v>0</v>
      </c>
      <c r="T1891" s="58">
        <v>0</v>
      </c>
      <c r="U1891" s="58">
        <v>0</v>
      </c>
      <c r="V1891" s="58">
        <v>0</v>
      </c>
      <c r="W1891" s="4">
        <v>0</v>
      </c>
    </row>
    <row r="1892" spans="1:23" x14ac:dyDescent="0.35">
      <c r="A1892">
        <v>1888</v>
      </c>
      <c r="B1892">
        <v>1889</v>
      </c>
      <c r="C1892">
        <v>146.03290519999999</v>
      </c>
      <c r="D1892">
        <v>-17.51175074</v>
      </c>
      <c r="F1892" t="str">
        <f>HYPERLINK("D:\Data From Lucan\2024\Johnstone\Frames_for_Analysis\1889_20240610_0003_L_2032.jpg","1889_20240610_0003_L_2032.jpg")</f>
        <v>1889_20240610_0003_L_2032.jpg</v>
      </c>
      <c r="G1892">
        <v>4</v>
      </c>
      <c r="I1892">
        <v>0</v>
      </c>
      <c r="J1892" s="58">
        <v>2</v>
      </c>
      <c r="K1892" s="32"/>
      <c r="L1892" s="32"/>
      <c r="M1892" s="32"/>
      <c r="N1892" s="32"/>
      <c r="O1892">
        <v>1</v>
      </c>
      <c r="P1892" s="58">
        <v>0</v>
      </c>
      <c r="Q1892" s="58">
        <v>0</v>
      </c>
      <c r="R1892" s="58">
        <v>0</v>
      </c>
      <c r="S1892" s="58">
        <v>0</v>
      </c>
      <c r="T1892" s="58">
        <v>0</v>
      </c>
      <c r="U1892" s="58">
        <v>0</v>
      </c>
      <c r="V1892" s="58">
        <v>0</v>
      </c>
      <c r="W1892" s="4">
        <v>0</v>
      </c>
    </row>
    <row r="1893" spans="1:23" x14ac:dyDescent="0.35">
      <c r="A1893">
        <v>1889</v>
      </c>
      <c r="B1893">
        <v>1890</v>
      </c>
      <c r="C1893">
        <v>146.0329653</v>
      </c>
      <c r="D1893">
        <v>-17.511678119999999</v>
      </c>
      <c r="F1893" t="str">
        <f>HYPERLINK("D:\Data From Lucan\2024\Johnstone\Frames_for_Analysis\1890_20240610_0003_L_2035.jpg","1890_20240610_0003_L_2035.jpg")</f>
        <v>1890_20240610_0003_L_2035.jpg</v>
      </c>
      <c r="G1893">
        <v>4</v>
      </c>
      <c r="I1893">
        <f t="shared" si="29"/>
        <v>1</v>
      </c>
      <c r="J1893" s="58">
        <v>1</v>
      </c>
      <c r="K1893" s="32"/>
      <c r="L1893" s="32"/>
      <c r="M1893" s="32"/>
      <c r="N1893" s="32"/>
      <c r="O1893">
        <v>1</v>
      </c>
      <c r="P1893" s="58">
        <v>0</v>
      </c>
      <c r="Q1893" s="58">
        <v>0</v>
      </c>
      <c r="R1893" s="58">
        <v>0</v>
      </c>
      <c r="S1893" s="58">
        <v>0</v>
      </c>
      <c r="T1893" s="58">
        <v>0</v>
      </c>
      <c r="U1893" s="58">
        <v>0</v>
      </c>
      <c r="V1893" s="58">
        <v>0</v>
      </c>
      <c r="W1893" s="4">
        <v>0</v>
      </c>
    </row>
    <row r="1894" spans="1:23" x14ac:dyDescent="0.35">
      <c r="A1894">
        <v>1890</v>
      </c>
      <c r="B1894">
        <v>1891</v>
      </c>
      <c r="C1894">
        <v>146.03302590000001</v>
      </c>
      <c r="D1894">
        <v>-17.511605809999999</v>
      </c>
      <c r="F1894" t="str">
        <f>HYPERLINK("D:\Data From Lucan\2024\Johnstone\Frames_for_Analysis\1891_20240610_0003_L_2038.jpg","1891_20240610_0003_L_2038.jpg")</f>
        <v>1891_20240610_0003_L_2038.jpg</v>
      </c>
      <c r="G1894">
        <v>4</v>
      </c>
      <c r="I1894">
        <f t="shared" si="29"/>
        <v>1</v>
      </c>
      <c r="J1894" s="58">
        <v>1</v>
      </c>
      <c r="K1894" s="32"/>
      <c r="L1894" s="32"/>
      <c r="M1894" s="32"/>
      <c r="N1894" s="32"/>
      <c r="O1894">
        <v>1</v>
      </c>
      <c r="P1894" s="58">
        <v>0</v>
      </c>
      <c r="Q1894" s="58">
        <v>0</v>
      </c>
      <c r="R1894" s="58">
        <v>0</v>
      </c>
      <c r="S1894" s="58">
        <v>0</v>
      </c>
      <c r="T1894" s="58">
        <v>0</v>
      </c>
      <c r="U1894" s="58">
        <v>0</v>
      </c>
      <c r="V1894" s="58">
        <v>0</v>
      </c>
      <c r="W1894" s="4">
        <v>0</v>
      </c>
    </row>
    <row r="1895" spans="1:23" x14ac:dyDescent="0.35">
      <c r="A1895">
        <v>1891</v>
      </c>
      <c r="B1895">
        <v>1892</v>
      </c>
      <c r="C1895">
        <v>146.03308699999999</v>
      </c>
      <c r="D1895">
        <v>-17.511533979999999</v>
      </c>
      <c r="F1895" t="str">
        <f>HYPERLINK("D:\Data From Lucan\2024\Johnstone\Frames_for_Analysis\1892_20240610_0003_L_2040.jpg","1892_20240610_0003_L_2040.jpg")</f>
        <v>1892_20240610_0003_L_2040.jpg</v>
      </c>
      <c r="G1895">
        <v>4</v>
      </c>
      <c r="I1895">
        <f t="shared" si="29"/>
        <v>1</v>
      </c>
      <c r="J1895" s="58">
        <v>1</v>
      </c>
      <c r="K1895" s="32"/>
      <c r="L1895" s="32"/>
      <c r="M1895" s="32"/>
      <c r="N1895" s="32"/>
      <c r="O1895">
        <v>1</v>
      </c>
      <c r="P1895" s="58">
        <v>0</v>
      </c>
      <c r="Q1895" s="58">
        <v>0</v>
      </c>
      <c r="R1895" s="58">
        <v>0</v>
      </c>
      <c r="S1895" s="58">
        <v>0</v>
      </c>
      <c r="T1895" s="58">
        <v>0</v>
      </c>
      <c r="U1895" s="58">
        <v>0</v>
      </c>
      <c r="V1895" s="58">
        <v>0</v>
      </c>
      <c r="W1895" s="4">
        <v>0</v>
      </c>
    </row>
    <row r="1896" spans="1:23" x14ac:dyDescent="0.35">
      <c r="A1896">
        <v>1892</v>
      </c>
      <c r="B1896">
        <v>1893</v>
      </c>
      <c r="C1896">
        <v>146.03314810000001</v>
      </c>
      <c r="D1896">
        <v>-17.511462139999999</v>
      </c>
      <c r="F1896" t="str">
        <f>HYPERLINK("D:\Data From Lucan\2024\Johnstone\Frames_for_Analysis\1893_20240610_0003_L_2044.jpg","1893_20240610_0003_L_2044.jpg")</f>
        <v>1893_20240610_0003_L_2044.jpg</v>
      </c>
      <c r="G1896">
        <v>4</v>
      </c>
      <c r="I1896">
        <f t="shared" si="29"/>
        <v>1</v>
      </c>
      <c r="J1896" s="58">
        <v>1</v>
      </c>
      <c r="K1896" s="32"/>
      <c r="L1896" s="32"/>
      <c r="M1896" s="32"/>
      <c r="N1896" s="32"/>
      <c r="O1896">
        <v>1</v>
      </c>
      <c r="P1896" s="58">
        <v>0</v>
      </c>
      <c r="Q1896" s="58">
        <v>0</v>
      </c>
      <c r="R1896" s="58">
        <v>0</v>
      </c>
      <c r="S1896" s="58">
        <v>0</v>
      </c>
      <c r="T1896" s="58">
        <v>0</v>
      </c>
      <c r="U1896" s="58">
        <v>0</v>
      </c>
      <c r="V1896" s="58">
        <v>0</v>
      </c>
      <c r="W1896" s="4">
        <v>0</v>
      </c>
    </row>
    <row r="1897" spans="1:23" x14ac:dyDescent="0.35">
      <c r="A1897">
        <v>1893</v>
      </c>
      <c r="B1897">
        <v>1894</v>
      </c>
      <c r="C1897">
        <v>146.03320919999999</v>
      </c>
      <c r="D1897">
        <v>-17.511390309999999</v>
      </c>
      <c r="F1897" t="str">
        <f>HYPERLINK("D:\Data From Lucan\2024\Johnstone\Frames_for_Analysis\1894_20240610_0003_L_2047.jpg","1894_20240610_0003_L_2047.jpg")</f>
        <v>1894_20240610_0003_L_2047.jpg</v>
      </c>
      <c r="G1897">
        <v>4</v>
      </c>
      <c r="I1897">
        <f t="shared" si="29"/>
        <v>1</v>
      </c>
      <c r="J1897" s="58">
        <v>1</v>
      </c>
      <c r="K1897" s="32"/>
      <c r="L1897" s="32"/>
      <c r="M1897" s="32"/>
      <c r="N1897" s="32"/>
      <c r="O1897">
        <v>1</v>
      </c>
      <c r="P1897" s="58">
        <v>0</v>
      </c>
      <c r="Q1897" s="58">
        <v>0</v>
      </c>
      <c r="R1897" s="58">
        <v>0</v>
      </c>
      <c r="S1897" s="58">
        <v>0</v>
      </c>
      <c r="T1897" s="58">
        <v>0</v>
      </c>
      <c r="U1897" s="58">
        <v>0</v>
      </c>
      <c r="V1897" s="58">
        <v>0</v>
      </c>
      <c r="W1897" s="4">
        <v>0</v>
      </c>
    </row>
    <row r="1898" spans="1:23" x14ac:dyDescent="0.35">
      <c r="A1898">
        <v>1894</v>
      </c>
      <c r="B1898">
        <v>1895</v>
      </c>
      <c r="C1898">
        <v>146.0332703</v>
      </c>
      <c r="D1898">
        <v>-17.511318469999999</v>
      </c>
      <c r="F1898" t="str">
        <f>HYPERLINK("D:\Data From Lucan\2024\Johnstone\Frames_for_Analysis\1895_20240610_0003_L_2050.jpg","1895_20240610_0003_L_2050.jpg")</f>
        <v>1895_20240610_0003_L_2050.jpg</v>
      </c>
      <c r="G1898">
        <v>4</v>
      </c>
      <c r="I1898">
        <f t="shared" si="29"/>
        <v>1</v>
      </c>
      <c r="J1898" s="58">
        <v>1</v>
      </c>
      <c r="K1898" s="32"/>
      <c r="L1898" s="32"/>
      <c r="M1898" s="32"/>
      <c r="N1898" s="32"/>
      <c r="O1898">
        <v>1</v>
      </c>
      <c r="P1898" s="58">
        <v>0</v>
      </c>
      <c r="Q1898" s="58">
        <v>0</v>
      </c>
      <c r="R1898" s="58">
        <v>0</v>
      </c>
      <c r="S1898" s="58">
        <v>0</v>
      </c>
      <c r="T1898" s="58">
        <v>0</v>
      </c>
      <c r="U1898" s="58">
        <v>0</v>
      </c>
      <c r="V1898" s="58">
        <v>0</v>
      </c>
      <c r="W1898" s="4">
        <v>0</v>
      </c>
    </row>
    <row r="1899" spans="1:23" x14ac:dyDescent="0.35">
      <c r="A1899">
        <v>1895</v>
      </c>
      <c r="B1899">
        <v>1896</v>
      </c>
      <c r="C1899">
        <v>146.03333140000001</v>
      </c>
      <c r="D1899">
        <v>-17.51124664</v>
      </c>
      <c r="F1899" t="str">
        <f>HYPERLINK("D:\Data From Lucan\2024\Johnstone\Frames_for_Analysis\1896_20240610_0003_L_2053.jpg","1896_20240610_0003_L_2053.jpg")</f>
        <v>1896_20240610_0003_L_2053.jpg</v>
      </c>
      <c r="G1899">
        <v>4</v>
      </c>
      <c r="I1899">
        <f t="shared" si="29"/>
        <v>1</v>
      </c>
      <c r="J1899" s="58">
        <v>1</v>
      </c>
      <c r="K1899" s="32"/>
      <c r="L1899" s="32"/>
      <c r="M1899" s="32"/>
      <c r="N1899" s="32"/>
      <c r="O1899">
        <v>1</v>
      </c>
      <c r="P1899" s="58">
        <v>0</v>
      </c>
      <c r="Q1899" s="58">
        <v>0</v>
      </c>
      <c r="R1899" s="58">
        <v>0</v>
      </c>
      <c r="S1899" s="58">
        <v>0</v>
      </c>
      <c r="T1899" s="58">
        <v>0</v>
      </c>
      <c r="U1899" s="58">
        <v>0</v>
      </c>
      <c r="V1899" s="58">
        <v>0</v>
      </c>
      <c r="W1899" s="4">
        <v>0</v>
      </c>
    </row>
    <row r="1900" spans="1:23" x14ac:dyDescent="0.35">
      <c r="A1900">
        <v>1896</v>
      </c>
      <c r="B1900">
        <v>1897</v>
      </c>
      <c r="C1900">
        <v>146.03339249999999</v>
      </c>
      <c r="D1900">
        <v>-17.51117481</v>
      </c>
      <c r="F1900" t="str">
        <f>HYPERLINK("D:\Data From Lucan\2024\Johnstone\Frames_for_Analysis\1897_20240610_0003_L_2056.jpg","1897_20240610_0003_L_2056.jpg")</f>
        <v>1897_20240610_0003_L_2056.jpg</v>
      </c>
      <c r="G1900">
        <v>4</v>
      </c>
      <c r="I1900">
        <f t="shared" si="29"/>
        <v>1</v>
      </c>
      <c r="J1900" s="58">
        <v>1</v>
      </c>
      <c r="K1900" s="32"/>
      <c r="L1900" s="32"/>
      <c r="M1900" s="32"/>
      <c r="N1900" s="32"/>
      <c r="O1900">
        <v>1</v>
      </c>
      <c r="P1900" s="58">
        <v>0</v>
      </c>
      <c r="Q1900" s="58">
        <v>0</v>
      </c>
      <c r="R1900" s="58">
        <v>0</v>
      </c>
      <c r="S1900" s="58">
        <v>0</v>
      </c>
      <c r="T1900" s="58">
        <v>0</v>
      </c>
      <c r="U1900" s="58">
        <v>0</v>
      </c>
      <c r="V1900" s="58">
        <v>0</v>
      </c>
      <c r="W1900" s="4">
        <v>0</v>
      </c>
    </row>
    <row r="1901" spans="1:23" x14ac:dyDescent="0.35">
      <c r="A1901">
        <v>1897</v>
      </c>
      <c r="B1901">
        <v>1898</v>
      </c>
      <c r="C1901">
        <v>146.0334536</v>
      </c>
      <c r="D1901">
        <v>-17.51110297</v>
      </c>
      <c r="F1901" t="str">
        <f>HYPERLINK("D:\Data From Lucan\2024\Johnstone\Frames_for_Analysis\1898_20240610_0003_L_2059.jpg","1898_20240610_0003_L_2059.jpg")</f>
        <v>1898_20240610_0003_L_2059.jpg</v>
      </c>
      <c r="G1901">
        <v>4</v>
      </c>
      <c r="I1901">
        <f t="shared" si="29"/>
        <v>1</v>
      </c>
      <c r="J1901" s="58">
        <v>1</v>
      </c>
      <c r="K1901" s="32"/>
      <c r="L1901" s="32"/>
      <c r="M1901" s="32"/>
      <c r="N1901" s="32"/>
      <c r="O1901">
        <v>1</v>
      </c>
      <c r="P1901" s="58">
        <v>0</v>
      </c>
      <c r="Q1901" s="58">
        <v>0</v>
      </c>
      <c r="R1901" s="58">
        <v>0</v>
      </c>
      <c r="S1901" s="58">
        <v>0</v>
      </c>
      <c r="T1901" s="58">
        <v>0</v>
      </c>
      <c r="U1901" s="58">
        <v>0</v>
      </c>
      <c r="V1901" s="58">
        <v>0</v>
      </c>
      <c r="W1901" s="4">
        <v>0</v>
      </c>
    </row>
    <row r="1902" spans="1:23" x14ac:dyDescent="0.35">
      <c r="A1902">
        <v>1898</v>
      </c>
      <c r="B1902">
        <v>1899</v>
      </c>
      <c r="C1902">
        <v>146.03351470000001</v>
      </c>
      <c r="D1902">
        <v>-17.51103114</v>
      </c>
      <c r="F1902" t="str">
        <f>HYPERLINK("D:\Data From Lucan\2024\Johnstone\Frames_for_Analysis\1899_20240610_0003_L_2063.jpg","1899_20240610_0003_L_2063.jpg")</f>
        <v>1899_20240610_0003_L_2063.jpg</v>
      </c>
      <c r="G1902">
        <v>4</v>
      </c>
      <c r="I1902">
        <f t="shared" si="29"/>
        <v>1</v>
      </c>
      <c r="J1902" s="58">
        <v>1</v>
      </c>
      <c r="K1902" s="32"/>
      <c r="L1902" s="32"/>
      <c r="M1902" s="32"/>
      <c r="N1902" s="32"/>
      <c r="O1902">
        <v>1</v>
      </c>
      <c r="P1902" s="58">
        <v>0</v>
      </c>
      <c r="Q1902" s="58">
        <v>0</v>
      </c>
      <c r="R1902" s="58">
        <v>0</v>
      </c>
      <c r="S1902" s="58">
        <v>0</v>
      </c>
      <c r="T1902" s="58">
        <v>0</v>
      </c>
      <c r="U1902" s="58">
        <v>0</v>
      </c>
      <c r="V1902" s="58">
        <v>0</v>
      </c>
      <c r="W1902" s="4">
        <v>0</v>
      </c>
    </row>
    <row r="1903" spans="1:23" x14ac:dyDescent="0.35">
      <c r="A1903">
        <v>1899</v>
      </c>
      <c r="B1903">
        <v>1900</v>
      </c>
      <c r="C1903">
        <v>146.03357579999999</v>
      </c>
      <c r="D1903">
        <v>-17.51095931</v>
      </c>
      <c r="F1903" t="str">
        <f>HYPERLINK("D:\Data From Lucan\2024\Johnstone\Frames_for_Analysis\1900_20240610_0003_L_2066.jpg","1900_20240610_0003_L_2066.jpg")</f>
        <v>1900_20240610_0003_L_2066.jpg</v>
      </c>
      <c r="G1903">
        <v>4</v>
      </c>
      <c r="I1903">
        <f t="shared" si="29"/>
        <v>1</v>
      </c>
      <c r="J1903" s="58">
        <v>1</v>
      </c>
      <c r="K1903" s="32"/>
      <c r="L1903" s="32"/>
      <c r="M1903" s="32"/>
      <c r="N1903" s="32"/>
      <c r="O1903">
        <v>1</v>
      </c>
      <c r="P1903" s="58">
        <v>0</v>
      </c>
      <c r="Q1903" s="58">
        <v>0</v>
      </c>
      <c r="R1903" s="58">
        <v>0</v>
      </c>
      <c r="S1903" s="58">
        <v>0</v>
      </c>
      <c r="T1903" s="58">
        <v>0</v>
      </c>
      <c r="U1903" s="58">
        <v>0</v>
      </c>
      <c r="V1903" s="58">
        <v>0</v>
      </c>
      <c r="W1903" s="4">
        <v>0</v>
      </c>
    </row>
    <row r="1904" spans="1:23" x14ac:dyDescent="0.35">
      <c r="A1904">
        <v>1900</v>
      </c>
      <c r="B1904">
        <v>1901</v>
      </c>
      <c r="C1904">
        <v>146.0336369</v>
      </c>
      <c r="D1904">
        <v>-17.51088747</v>
      </c>
      <c r="F1904" t="str">
        <f>HYPERLINK("D:\Data From Lucan\2024\Johnstone\Frames_for_Analysis\1901_20240610_0003_L_2070.jpg","1901_20240610_0003_L_2070.jpg")</f>
        <v>1901_20240610_0003_L_2070.jpg</v>
      </c>
      <c r="G1904">
        <v>4</v>
      </c>
      <c r="I1904">
        <f t="shared" si="29"/>
        <v>1</v>
      </c>
      <c r="J1904" s="58">
        <v>1</v>
      </c>
      <c r="K1904" s="32"/>
      <c r="L1904" s="32"/>
      <c r="M1904" s="32"/>
      <c r="N1904" s="32"/>
      <c r="O1904">
        <v>1</v>
      </c>
      <c r="P1904" s="58">
        <v>0</v>
      </c>
      <c r="Q1904" s="58">
        <v>0</v>
      </c>
      <c r="R1904" s="58">
        <v>0</v>
      </c>
      <c r="S1904" s="58">
        <v>0</v>
      </c>
      <c r="T1904" s="58">
        <v>0</v>
      </c>
      <c r="U1904" s="58">
        <v>0</v>
      </c>
      <c r="V1904" s="58">
        <v>0</v>
      </c>
      <c r="W1904" s="4">
        <v>0</v>
      </c>
    </row>
    <row r="1905" spans="1:23" x14ac:dyDescent="0.35">
      <c r="A1905">
        <v>1901</v>
      </c>
      <c r="B1905">
        <v>1902</v>
      </c>
      <c r="C1905">
        <v>146.03369799999999</v>
      </c>
      <c r="D1905">
        <v>-17.510815640000001</v>
      </c>
      <c r="F1905" t="str">
        <f>HYPERLINK("D:\Data From Lucan\2024\Johnstone\Frames_for_Analysis\1902_20240610_0003_L_2073.jpg","1902_20240610_0003_L_2073.jpg")</f>
        <v>1902_20240610_0003_L_2073.jpg</v>
      </c>
      <c r="G1905">
        <v>4</v>
      </c>
      <c r="I1905">
        <f t="shared" si="29"/>
        <v>1</v>
      </c>
      <c r="J1905" s="58">
        <v>1</v>
      </c>
      <c r="K1905" s="32"/>
      <c r="L1905" s="32"/>
      <c r="M1905" s="32"/>
      <c r="N1905" s="32"/>
      <c r="O1905">
        <v>1</v>
      </c>
      <c r="P1905" s="58">
        <v>0</v>
      </c>
      <c r="Q1905" s="58">
        <v>0</v>
      </c>
      <c r="R1905" s="58">
        <v>0</v>
      </c>
      <c r="S1905" s="58">
        <v>0</v>
      </c>
      <c r="T1905" s="58">
        <v>0</v>
      </c>
      <c r="U1905" s="58">
        <v>0</v>
      </c>
      <c r="V1905" s="58">
        <v>0</v>
      </c>
      <c r="W1905" s="4">
        <v>0</v>
      </c>
    </row>
    <row r="1906" spans="1:23" x14ac:dyDescent="0.35">
      <c r="A1906">
        <v>1902</v>
      </c>
      <c r="B1906">
        <v>1903</v>
      </c>
      <c r="C1906">
        <v>146.03375339999999</v>
      </c>
      <c r="D1906">
        <v>-17.510739430000001</v>
      </c>
      <c r="F1906" t="str">
        <f>HYPERLINK("D:\Data From Lucan\2024\Johnstone\Frames_for_Analysis\1903_20240610_0003_L_2077.jpg","1903_20240610_0003_L_2077.jpg")</f>
        <v>1903_20240610_0003_L_2077.jpg</v>
      </c>
      <c r="G1906">
        <v>4</v>
      </c>
      <c r="I1906">
        <f t="shared" si="29"/>
        <v>0</v>
      </c>
      <c r="J1906" s="58">
        <v>0</v>
      </c>
      <c r="K1906" s="32"/>
      <c r="L1906" s="32"/>
      <c r="M1906" s="32"/>
      <c r="N1906" s="32"/>
      <c r="O1906">
        <v>1</v>
      </c>
      <c r="P1906" s="58">
        <v>0</v>
      </c>
      <c r="Q1906" s="58">
        <v>0</v>
      </c>
      <c r="R1906" s="58">
        <v>0</v>
      </c>
      <c r="S1906" s="58">
        <v>0</v>
      </c>
      <c r="T1906" s="58">
        <v>0</v>
      </c>
      <c r="U1906" s="58">
        <v>0</v>
      </c>
      <c r="V1906" s="58">
        <v>0</v>
      </c>
      <c r="W1906" s="4">
        <v>0</v>
      </c>
    </row>
    <row r="1907" spans="1:23" x14ac:dyDescent="0.35">
      <c r="A1907">
        <v>1903</v>
      </c>
      <c r="B1907">
        <v>1904</v>
      </c>
      <c r="C1907">
        <v>146.03380780000001</v>
      </c>
      <c r="D1907">
        <v>-17.510662369999999</v>
      </c>
      <c r="F1907" t="str">
        <f>HYPERLINK("D:\Data From Lucan\2024\Johnstone\Frames_for_Analysis\1904_20240610_0003_L_2080.jpg","1904_20240610_0003_L_2080.jpg")</f>
        <v>1904_20240610_0003_L_2080.jpg</v>
      </c>
      <c r="G1907">
        <v>4</v>
      </c>
      <c r="I1907">
        <f t="shared" si="29"/>
        <v>0</v>
      </c>
      <c r="J1907" s="58">
        <v>0</v>
      </c>
      <c r="K1907" s="32"/>
      <c r="L1907" s="32"/>
      <c r="M1907" s="32"/>
      <c r="N1907" s="32"/>
      <c r="O1907">
        <v>1</v>
      </c>
      <c r="P1907" s="58">
        <v>0</v>
      </c>
      <c r="Q1907" s="58">
        <v>0</v>
      </c>
      <c r="R1907" s="58">
        <v>0</v>
      </c>
      <c r="S1907" s="58">
        <v>0</v>
      </c>
      <c r="T1907" s="58">
        <v>0</v>
      </c>
      <c r="U1907" s="58">
        <v>0</v>
      </c>
      <c r="V1907" s="58">
        <v>0</v>
      </c>
      <c r="W1907" s="4">
        <v>0</v>
      </c>
    </row>
    <row r="1908" spans="1:23" x14ac:dyDescent="0.35">
      <c r="A1908">
        <v>1904</v>
      </c>
      <c r="B1908">
        <v>1905</v>
      </c>
      <c r="C1908">
        <v>146.03386209999999</v>
      </c>
      <c r="D1908">
        <v>-17.51058531</v>
      </c>
      <c r="F1908" t="str">
        <f>HYPERLINK("D:\Data From Lucan\2024\Johnstone\Frames_for_Analysis\1905_20240610_0003_L_2084.jpg","1905_20240610_0003_L_2084.jpg")</f>
        <v>1905_20240610_0003_L_2084.jpg</v>
      </c>
      <c r="G1908">
        <v>4</v>
      </c>
      <c r="I1908">
        <v>0</v>
      </c>
      <c r="J1908" s="58">
        <v>2</v>
      </c>
      <c r="K1908" s="32"/>
      <c r="L1908" s="32"/>
      <c r="M1908" s="32"/>
      <c r="N1908" s="32"/>
      <c r="O1908">
        <v>1</v>
      </c>
      <c r="P1908" s="58">
        <v>0</v>
      </c>
      <c r="Q1908" s="58">
        <v>0</v>
      </c>
      <c r="R1908" s="58">
        <v>0</v>
      </c>
      <c r="S1908" s="58">
        <v>0</v>
      </c>
      <c r="T1908" s="58">
        <v>0</v>
      </c>
      <c r="U1908" s="58">
        <v>0</v>
      </c>
      <c r="V1908" s="58">
        <v>0</v>
      </c>
      <c r="W1908" s="4">
        <v>0</v>
      </c>
    </row>
    <row r="1909" spans="1:23" x14ac:dyDescent="0.35">
      <c r="A1909">
        <v>1905</v>
      </c>
      <c r="B1909">
        <v>1906</v>
      </c>
      <c r="C1909">
        <v>146.0339165</v>
      </c>
      <c r="D1909">
        <v>-17.510508250000001</v>
      </c>
      <c r="F1909" t="str">
        <f>HYPERLINK("D:\Data From Lucan\2024\Johnstone\Frames_for_Analysis\1906_20240610_0003_L_2088.jpg","1906_20240610_0003_L_2088.jpg")</f>
        <v>1906_20240610_0003_L_2088.jpg</v>
      </c>
      <c r="G1909">
        <v>4</v>
      </c>
      <c r="I1909">
        <v>0</v>
      </c>
      <c r="J1909" s="58">
        <v>2</v>
      </c>
      <c r="K1909" s="32"/>
      <c r="L1909" s="32"/>
      <c r="M1909" s="32"/>
      <c r="N1909" s="32"/>
      <c r="O1909">
        <v>1</v>
      </c>
      <c r="P1909" s="58">
        <v>0</v>
      </c>
      <c r="Q1909" s="58">
        <v>0</v>
      </c>
      <c r="R1909" s="58">
        <v>0</v>
      </c>
      <c r="S1909" s="58">
        <v>0</v>
      </c>
      <c r="T1909" s="58">
        <v>0</v>
      </c>
      <c r="U1909" s="58">
        <v>0</v>
      </c>
      <c r="V1909" s="58">
        <v>1</v>
      </c>
      <c r="W1909" s="4">
        <v>0</v>
      </c>
    </row>
    <row r="1910" spans="1:23" s="75" customFormat="1" hidden="1" x14ac:dyDescent="0.35">
      <c r="A1910" s="75">
        <v>1906</v>
      </c>
      <c r="B1910" s="75">
        <v>1907</v>
      </c>
      <c r="C1910">
        <v>146.03397079999999</v>
      </c>
      <c r="D1910">
        <v>-17.510431180000001</v>
      </c>
      <c r="F1910" s="75" t="str">
        <f>HYPERLINK("E:\Data From Lucan\2024\Johnstone\Frames_for_Analysis\1907_20240610_0003_L_2092.jpg","1907_20240610_0003_L_2092.jpg")</f>
        <v>1907_20240610_0003_L_2092.jpg</v>
      </c>
      <c r="G1910" s="75">
        <v>5</v>
      </c>
      <c r="I1910">
        <f t="shared" si="29"/>
        <v>0</v>
      </c>
      <c r="J1910" s="75">
        <v>0</v>
      </c>
      <c r="K1910" s="77"/>
      <c r="L1910" s="77"/>
      <c r="M1910" s="77"/>
      <c r="N1910" s="77"/>
      <c r="O1910" s="75">
        <v>2</v>
      </c>
      <c r="P1910" s="75">
        <v>0</v>
      </c>
      <c r="Q1910" s="75">
        <v>0</v>
      </c>
      <c r="R1910" s="75">
        <v>0</v>
      </c>
      <c r="S1910" s="75">
        <v>0</v>
      </c>
      <c r="T1910" s="75">
        <v>0</v>
      </c>
      <c r="U1910" s="75">
        <v>0</v>
      </c>
      <c r="V1910" s="75">
        <v>1</v>
      </c>
      <c r="W1910" s="78">
        <v>1</v>
      </c>
    </row>
    <row r="1911" spans="1:23" s="75" customFormat="1" hidden="1" x14ac:dyDescent="0.35">
      <c r="A1911" s="75">
        <v>1907</v>
      </c>
      <c r="B1911" s="75">
        <v>1908</v>
      </c>
      <c r="C1911">
        <v>146.0340252</v>
      </c>
      <c r="D1911">
        <v>-17.510354119999999</v>
      </c>
      <c r="F1911" s="75" t="str">
        <f>HYPERLINK("E:\Data From Lucan\2024\Johnstone\Frames_for_Analysis\1908_20240610_0003_L_2095.jpg","1908_20240610_0003_L_2095.jpg")</f>
        <v>1908_20240610_0003_L_2095.jpg</v>
      </c>
      <c r="G1911" s="75">
        <v>5</v>
      </c>
      <c r="I1911">
        <f t="shared" si="29"/>
        <v>0</v>
      </c>
      <c r="J1911" s="75">
        <v>0</v>
      </c>
      <c r="K1911" s="77"/>
      <c r="L1911" s="77"/>
      <c r="M1911" s="77"/>
      <c r="N1911" s="77"/>
      <c r="O1911" s="75">
        <v>2</v>
      </c>
      <c r="P1911" s="75">
        <v>0</v>
      </c>
      <c r="Q1911" s="75">
        <v>0</v>
      </c>
      <c r="R1911" s="75">
        <v>0</v>
      </c>
      <c r="S1911" s="75">
        <v>0</v>
      </c>
      <c r="T1911" s="75">
        <v>0</v>
      </c>
      <c r="U1911" s="75">
        <v>0</v>
      </c>
      <c r="V1911" s="75">
        <v>1</v>
      </c>
      <c r="W1911" s="78">
        <v>1</v>
      </c>
    </row>
    <row r="1912" spans="1:23" s="75" customFormat="1" hidden="1" x14ac:dyDescent="0.35">
      <c r="A1912" s="75">
        <v>1908</v>
      </c>
      <c r="B1912" s="75">
        <v>1909</v>
      </c>
      <c r="C1912">
        <v>146.03407949999999</v>
      </c>
      <c r="D1912">
        <v>-17.51027706</v>
      </c>
      <c r="F1912" s="75" t="str">
        <f>HYPERLINK("E:\Data From Lucan\2024\Johnstone\Frames_for_Analysis\1909_20240610_0003_L_2098.jpg","1909_20240610_0003_L_2098.jpg")</f>
        <v>1909_20240610_0003_L_2098.jpg</v>
      </c>
      <c r="G1912" s="75">
        <v>5</v>
      </c>
      <c r="I1912">
        <f t="shared" si="29"/>
        <v>1</v>
      </c>
      <c r="J1912" s="75">
        <v>1</v>
      </c>
      <c r="K1912" s="77"/>
      <c r="L1912" s="77"/>
      <c r="M1912" s="77"/>
      <c r="N1912" s="77"/>
      <c r="O1912" s="75">
        <v>2</v>
      </c>
      <c r="P1912" s="75">
        <v>0</v>
      </c>
      <c r="Q1912" s="75">
        <v>0</v>
      </c>
      <c r="R1912" s="75">
        <v>0</v>
      </c>
      <c r="S1912" s="75">
        <v>0</v>
      </c>
      <c r="T1912" s="75">
        <v>0</v>
      </c>
      <c r="U1912" s="75">
        <v>0</v>
      </c>
      <c r="V1912" s="75">
        <v>1</v>
      </c>
      <c r="W1912" s="78">
        <v>1</v>
      </c>
    </row>
    <row r="1913" spans="1:23" s="75" customFormat="1" hidden="1" x14ac:dyDescent="0.35">
      <c r="A1913" s="75">
        <v>1909</v>
      </c>
      <c r="B1913" s="75">
        <v>1910</v>
      </c>
      <c r="C1913">
        <v>146.0341339</v>
      </c>
      <c r="D1913">
        <v>-17.510200000000001</v>
      </c>
      <c r="F1913" s="75" t="str">
        <f>HYPERLINK("E:\Data From Lucan\2024\Johnstone\Frames_for_Analysis\1910_20240610_0003_L_2102.jpg","1910_20240610_0003_L_2102.jpg")</f>
        <v>1910_20240610_0003_L_2102.jpg</v>
      </c>
      <c r="G1913" s="75">
        <v>5</v>
      </c>
      <c r="I1913">
        <f t="shared" si="29"/>
        <v>0</v>
      </c>
      <c r="J1913" s="75">
        <v>0</v>
      </c>
      <c r="K1913" s="77"/>
      <c r="L1913" s="77"/>
      <c r="M1913" s="77"/>
      <c r="N1913" s="77"/>
      <c r="O1913" s="75">
        <v>2</v>
      </c>
      <c r="P1913" s="75">
        <v>0</v>
      </c>
      <c r="Q1913" s="75">
        <v>0</v>
      </c>
      <c r="R1913" s="75">
        <v>0</v>
      </c>
      <c r="S1913" s="75">
        <v>0</v>
      </c>
      <c r="T1913" s="75">
        <v>0</v>
      </c>
      <c r="U1913" s="75">
        <v>0</v>
      </c>
      <c r="V1913" s="75">
        <v>1</v>
      </c>
      <c r="W1913" s="78">
        <v>1</v>
      </c>
    </row>
    <row r="1914" spans="1:23" s="75" customFormat="1" hidden="1" x14ac:dyDescent="0.35">
      <c r="A1914" s="75">
        <v>1910</v>
      </c>
      <c r="B1914" s="75">
        <v>1911</v>
      </c>
      <c r="C1914">
        <v>146.03418550000001</v>
      </c>
      <c r="D1914">
        <v>-17.510121160000001</v>
      </c>
      <c r="F1914" s="75" t="str">
        <f>HYPERLINK("E:\Data From Lucan\2024\Johnstone\Frames_for_Analysis\1911_20240610_0003_L_2105.jpg","1911_20240610_0003_L_2105.jpg")</f>
        <v>1911_20240610_0003_L_2105.jpg</v>
      </c>
      <c r="G1914" s="75">
        <v>5</v>
      </c>
      <c r="I1914">
        <f t="shared" si="29"/>
        <v>0</v>
      </c>
      <c r="J1914" s="75">
        <v>0</v>
      </c>
      <c r="K1914" s="77"/>
      <c r="L1914" s="77"/>
      <c r="M1914" s="77"/>
      <c r="N1914" s="77"/>
      <c r="O1914" s="75">
        <v>2</v>
      </c>
      <c r="P1914" s="75">
        <v>0</v>
      </c>
      <c r="Q1914" s="75">
        <v>0</v>
      </c>
      <c r="R1914" s="75">
        <v>0</v>
      </c>
      <c r="S1914" s="75">
        <v>0</v>
      </c>
      <c r="T1914" s="75">
        <v>0</v>
      </c>
      <c r="U1914" s="75">
        <v>0</v>
      </c>
      <c r="V1914" s="75">
        <v>1</v>
      </c>
      <c r="W1914" s="78">
        <v>1</v>
      </c>
    </row>
    <row r="1915" spans="1:23" s="75" customFormat="1" hidden="1" x14ac:dyDescent="0.35">
      <c r="A1915" s="75">
        <v>1911</v>
      </c>
      <c r="B1915" s="75">
        <v>1912</v>
      </c>
      <c r="C1915">
        <v>146.03423419999999</v>
      </c>
      <c r="D1915">
        <v>-17.51004039</v>
      </c>
      <c r="F1915" s="75" t="str">
        <f>HYPERLINK("E:\Data From Lucan\2024\Johnstone\Frames_for_Analysis\1912_20240610_0003_L_2108.jpg","1912_20240610_0003_L_2108.jpg")</f>
        <v>1912_20240610_0003_L_2108.jpg</v>
      </c>
      <c r="G1915" s="75">
        <v>5</v>
      </c>
      <c r="I1915">
        <f t="shared" si="29"/>
        <v>0</v>
      </c>
      <c r="J1915" s="75">
        <v>0</v>
      </c>
      <c r="K1915" s="77"/>
      <c r="L1915" s="77"/>
      <c r="M1915" s="77"/>
      <c r="N1915" s="77"/>
      <c r="O1915" s="75">
        <v>2</v>
      </c>
      <c r="P1915" s="75">
        <v>0</v>
      </c>
      <c r="Q1915" s="75">
        <v>0</v>
      </c>
      <c r="R1915" s="75">
        <v>0</v>
      </c>
      <c r="S1915" s="75">
        <v>0</v>
      </c>
      <c r="T1915" s="75">
        <v>0</v>
      </c>
      <c r="U1915" s="75">
        <v>0</v>
      </c>
      <c r="V1915" s="75">
        <v>1</v>
      </c>
      <c r="W1915" s="78">
        <v>1</v>
      </c>
    </row>
    <row r="1916" spans="1:23" s="75" customFormat="1" hidden="1" x14ac:dyDescent="0.35">
      <c r="A1916" s="75">
        <v>1912</v>
      </c>
      <c r="B1916" s="75">
        <v>1913</v>
      </c>
      <c r="C1916">
        <v>146.03428289999999</v>
      </c>
      <c r="D1916">
        <v>-17.50995962</v>
      </c>
      <c r="F1916" s="75" t="str">
        <f>HYPERLINK("E:\Data From Lucan\2024\Johnstone\Frames_for_Analysis\1913_20240610_0003_L_2111.jpg","1913_20240610_0003_L_2111.jpg")</f>
        <v>1913_20240610_0003_L_2111.jpg</v>
      </c>
      <c r="G1916" s="75">
        <v>5</v>
      </c>
      <c r="I1916">
        <f t="shared" si="29"/>
        <v>0</v>
      </c>
      <c r="J1916" s="75">
        <v>0</v>
      </c>
      <c r="K1916" s="77"/>
      <c r="L1916" s="77"/>
      <c r="M1916" s="77"/>
      <c r="N1916" s="77"/>
      <c r="O1916" s="75">
        <v>1</v>
      </c>
      <c r="P1916" s="75">
        <v>0</v>
      </c>
      <c r="Q1916" s="75">
        <v>0</v>
      </c>
      <c r="R1916" s="75">
        <v>0</v>
      </c>
      <c r="S1916" s="75">
        <v>0</v>
      </c>
      <c r="T1916" s="75">
        <v>0</v>
      </c>
      <c r="U1916" s="75">
        <v>0</v>
      </c>
      <c r="V1916" s="75">
        <v>0</v>
      </c>
      <c r="W1916" s="78">
        <v>0</v>
      </c>
    </row>
    <row r="1917" spans="1:23" s="75" customFormat="1" hidden="1" x14ac:dyDescent="0.35">
      <c r="A1917" s="75">
        <v>1913</v>
      </c>
      <c r="B1917" s="75">
        <v>1914</v>
      </c>
      <c r="C1917">
        <v>146.0343316</v>
      </c>
      <c r="D1917">
        <v>-17.509878839999999</v>
      </c>
      <c r="F1917" s="75" t="str">
        <f>HYPERLINK("E:\Data From Lucan\2024\Johnstone\Frames_for_Analysis\1914_20240610_0003_L_2114.jpg","1914_20240610_0003_L_2114.jpg")</f>
        <v>1914_20240610_0003_L_2114.jpg</v>
      </c>
      <c r="G1917" s="75">
        <v>5</v>
      </c>
      <c r="I1917">
        <f t="shared" si="29"/>
        <v>0</v>
      </c>
      <c r="J1917" s="75">
        <v>0</v>
      </c>
      <c r="K1917" s="77"/>
      <c r="L1917" s="77"/>
      <c r="M1917" s="77"/>
      <c r="N1917" s="77"/>
      <c r="O1917" s="75">
        <v>1</v>
      </c>
      <c r="P1917" s="75">
        <v>0</v>
      </c>
      <c r="Q1917" s="75">
        <v>0</v>
      </c>
      <c r="R1917" s="75">
        <v>0</v>
      </c>
      <c r="S1917" s="75">
        <v>0</v>
      </c>
      <c r="T1917" s="75">
        <v>0</v>
      </c>
      <c r="U1917" s="75">
        <v>0</v>
      </c>
      <c r="V1917" s="75">
        <v>0</v>
      </c>
      <c r="W1917" s="78">
        <v>0</v>
      </c>
    </row>
    <row r="1918" spans="1:23" s="75" customFormat="1" hidden="1" x14ac:dyDescent="0.35">
      <c r="A1918" s="75">
        <v>1914</v>
      </c>
      <c r="B1918" s="75">
        <v>1915</v>
      </c>
      <c r="C1918">
        <v>146.03438019999999</v>
      </c>
      <c r="D1918">
        <v>-17.509798069999999</v>
      </c>
      <c r="F1918" s="75" t="str">
        <f>HYPERLINK("E:\Data From Lucan\2024\Johnstone\Frames_for_Analysis\1915_20240610_0003_L_2118.jpg","1915_20240610_0003_L_2118.jpg")</f>
        <v>1915_20240610_0003_L_2118.jpg</v>
      </c>
      <c r="G1918" s="75">
        <v>5</v>
      </c>
      <c r="I1918">
        <f t="shared" si="29"/>
        <v>1</v>
      </c>
      <c r="J1918" s="75">
        <v>1</v>
      </c>
      <c r="K1918" s="77"/>
      <c r="L1918" s="77"/>
      <c r="M1918" s="77"/>
      <c r="N1918" s="77"/>
      <c r="O1918" s="75">
        <v>1</v>
      </c>
      <c r="P1918" s="75">
        <v>0</v>
      </c>
      <c r="Q1918" s="75">
        <v>0</v>
      </c>
      <c r="R1918" s="75">
        <v>0</v>
      </c>
      <c r="S1918" s="75">
        <v>0</v>
      </c>
      <c r="T1918" s="75">
        <v>0</v>
      </c>
      <c r="U1918" s="75">
        <v>0</v>
      </c>
      <c r="V1918" s="75">
        <v>0</v>
      </c>
      <c r="W1918" s="78">
        <v>0</v>
      </c>
    </row>
    <row r="1919" spans="1:23" s="75" customFormat="1" hidden="1" x14ac:dyDescent="0.35">
      <c r="A1919" s="75">
        <v>1915</v>
      </c>
      <c r="B1919" s="75">
        <v>1916</v>
      </c>
      <c r="C1919">
        <v>146.03442889999999</v>
      </c>
      <c r="D1919">
        <v>-17.509717299999998</v>
      </c>
      <c r="F1919" s="75" t="str">
        <f>HYPERLINK("E:\Data From Lucan\2024\Johnstone\Frames_for_Analysis\1916_20240610_0003_L_2121.jpg","1916_20240610_0003_L_2121.jpg")</f>
        <v>1916_20240610_0003_L_2121.jpg</v>
      </c>
      <c r="G1919" s="75">
        <v>5</v>
      </c>
      <c r="I1919">
        <f t="shared" si="29"/>
        <v>1</v>
      </c>
      <c r="J1919" s="75">
        <v>1</v>
      </c>
      <c r="K1919" s="77"/>
      <c r="L1919" s="77"/>
      <c r="M1919" s="77"/>
      <c r="N1919" s="77"/>
      <c r="O1919" s="75">
        <v>1</v>
      </c>
      <c r="P1919" s="75">
        <v>0</v>
      </c>
      <c r="Q1919" s="75">
        <v>0</v>
      </c>
      <c r="R1919" s="75">
        <v>0</v>
      </c>
      <c r="S1919" s="75">
        <v>0</v>
      </c>
      <c r="T1919" s="75">
        <v>0</v>
      </c>
      <c r="U1919" s="75">
        <v>0</v>
      </c>
      <c r="V1919" s="75">
        <v>0</v>
      </c>
      <c r="W1919" s="78">
        <v>0</v>
      </c>
    </row>
    <row r="1920" spans="1:23" s="75" customFormat="1" hidden="1" x14ac:dyDescent="0.35">
      <c r="A1920" s="75">
        <v>1916</v>
      </c>
      <c r="B1920" s="75">
        <v>1917</v>
      </c>
      <c r="C1920">
        <v>146.0344776</v>
      </c>
      <c r="D1920">
        <v>-17.509636530000002</v>
      </c>
      <c r="F1920" s="75" t="str">
        <f>HYPERLINK("E:\Data From Lucan\2024\Johnstone\Frames_for_Analysis\1917_20240610_0003_L_2124.jpg","1917_20240610_0003_L_2124.jpg")</f>
        <v>1917_20240610_0003_L_2124.jpg</v>
      </c>
      <c r="G1920" s="75">
        <v>5</v>
      </c>
      <c r="I1920">
        <f t="shared" si="29"/>
        <v>1</v>
      </c>
      <c r="J1920" s="75">
        <v>1</v>
      </c>
      <c r="K1920" s="77"/>
      <c r="L1920" s="77"/>
      <c r="M1920" s="77"/>
      <c r="N1920" s="77"/>
      <c r="O1920" s="75">
        <v>1</v>
      </c>
      <c r="P1920" s="75">
        <v>0</v>
      </c>
      <c r="Q1920" s="75">
        <v>0</v>
      </c>
      <c r="R1920" s="75">
        <v>0</v>
      </c>
      <c r="S1920" s="75">
        <v>0</v>
      </c>
      <c r="T1920" s="75">
        <v>0</v>
      </c>
      <c r="U1920" s="75">
        <v>0</v>
      </c>
      <c r="V1920" s="75">
        <v>0</v>
      </c>
      <c r="W1920" s="78">
        <v>0</v>
      </c>
    </row>
    <row r="1921" spans="1:23" s="75" customFormat="1" hidden="1" x14ac:dyDescent="0.35">
      <c r="A1921" s="75">
        <v>1917</v>
      </c>
      <c r="B1921" s="75">
        <v>1918</v>
      </c>
      <c r="C1921">
        <v>146.03452709999999</v>
      </c>
      <c r="D1921">
        <v>-17.509556289999999</v>
      </c>
      <c r="F1921" s="75" t="str">
        <f>HYPERLINK("E:\Data From Lucan\2024\Johnstone\Frames_for_Analysis\1918_20240610_0003_L_2127.jpg","1918_20240610_0003_L_2127.jpg")</f>
        <v>1918_20240610_0003_L_2127.jpg</v>
      </c>
      <c r="G1921" s="75">
        <v>5</v>
      </c>
      <c r="I1921">
        <f t="shared" si="29"/>
        <v>1</v>
      </c>
      <c r="J1921" s="75">
        <v>1</v>
      </c>
      <c r="K1921" s="77"/>
      <c r="L1921" s="77"/>
      <c r="M1921" s="77"/>
      <c r="N1921" s="77"/>
      <c r="O1921" s="75">
        <v>1</v>
      </c>
      <c r="P1921" s="75">
        <v>0</v>
      </c>
      <c r="Q1921" s="75">
        <v>0</v>
      </c>
      <c r="R1921" s="75">
        <v>0</v>
      </c>
      <c r="S1921" s="75">
        <v>0</v>
      </c>
      <c r="T1921" s="75">
        <v>0</v>
      </c>
      <c r="U1921" s="75">
        <v>0</v>
      </c>
      <c r="V1921" s="75">
        <v>0</v>
      </c>
      <c r="W1921" s="78">
        <v>0</v>
      </c>
    </row>
    <row r="1922" spans="1:23" s="75" customFormat="1" hidden="1" x14ac:dyDescent="0.35">
      <c r="A1922" s="75">
        <v>1918</v>
      </c>
      <c r="B1922" s="75">
        <v>1919</v>
      </c>
      <c r="C1922">
        <v>146.03457739999999</v>
      </c>
      <c r="D1922">
        <v>-17.509476490000001</v>
      </c>
      <c r="F1922" s="75" t="str">
        <f>HYPERLINK("E:\Data From Lucan\2024\Johnstone\Frames_for_Analysis\1919_20240610_0003_L_2130.jpg","1919_20240610_0003_L_2130.jpg")</f>
        <v>1919_20240610_0003_L_2130.jpg</v>
      </c>
      <c r="G1922" s="75">
        <v>5</v>
      </c>
      <c r="I1922">
        <f t="shared" si="29"/>
        <v>1</v>
      </c>
      <c r="J1922" s="75">
        <v>1</v>
      </c>
      <c r="K1922" s="77"/>
      <c r="L1922" s="77"/>
      <c r="M1922" s="77"/>
      <c r="N1922" s="77"/>
      <c r="O1922" s="75">
        <v>1</v>
      </c>
      <c r="P1922" s="75">
        <v>0</v>
      </c>
      <c r="Q1922" s="75">
        <v>0</v>
      </c>
      <c r="R1922" s="75">
        <v>0</v>
      </c>
      <c r="S1922" s="75">
        <v>0</v>
      </c>
      <c r="T1922" s="75">
        <v>0</v>
      </c>
      <c r="U1922" s="75">
        <v>0</v>
      </c>
      <c r="V1922" s="75">
        <v>0</v>
      </c>
      <c r="W1922" s="78">
        <v>0</v>
      </c>
    </row>
    <row r="1923" spans="1:23" s="75" customFormat="1" hidden="1" x14ac:dyDescent="0.35">
      <c r="A1923" s="75">
        <v>1919</v>
      </c>
      <c r="B1923" s="75">
        <v>1920</v>
      </c>
      <c r="C1923">
        <v>146.03462759999999</v>
      </c>
      <c r="D1923">
        <v>-17.509396679999998</v>
      </c>
      <c r="F1923" s="75" t="str">
        <f>HYPERLINK("E:\Data From Lucan\2024\Johnstone\Frames_for_Analysis\1920_20240610_0003_L_2134.jpg","1920_20240610_0003_L_2134.jpg")</f>
        <v>1920_20240610_0003_L_2134.jpg</v>
      </c>
      <c r="G1923" s="75">
        <v>5</v>
      </c>
      <c r="I1923">
        <f t="shared" si="29"/>
        <v>0</v>
      </c>
      <c r="J1923" s="75">
        <v>0</v>
      </c>
      <c r="K1923" s="77"/>
      <c r="L1923" s="77"/>
      <c r="M1923" s="77"/>
      <c r="N1923" s="77"/>
      <c r="O1923" s="75">
        <v>1</v>
      </c>
      <c r="P1923" s="75">
        <v>0</v>
      </c>
      <c r="Q1923" s="75">
        <v>0</v>
      </c>
      <c r="R1923" s="75">
        <v>0</v>
      </c>
      <c r="S1923" s="75">
        <v>0</v>
      </c>
      <c r="T1923" s="75">
        <v>0</v>
      </c>
      <c r="U1923" s="75">
        <v>0</v>
      </c>
      <c r="V1923" s="75">
        <v>0</v>
      </c>
      <c r="W1923" s="78">
        <v>0</v>
      </c>
    </row>
    <row r="1924" spans="1:23" s="75" customFormat="1" hidden="1" x14ac:dyDescent="0.35">
      <c r="A1924" s="75">
        <v>1920</v>
      </c>
      <c r="B1924" s="75">
        <v>1921</v>
      </c>
      <c r="C1924">
        <v>146.03467789999999</v>
      </c>
      <c r="D1924">
        <v>-17.50931688</v>
      </c>
      <c r="F1924" s="75" t="str">
        <f>HYPERLINK("E:\Data From Lucan\2024\Johnstone\Frames_for_Analysis\1921_20240610_0003_L_2137.jpg","1921_20240610_0003_L_2137.jpg")</f>
        <v>1921_20240610_0003_L_2137.jpg</v>
      </c>
      <c r="G1924" s="75">
        <v>5</v>
      </c>
      <c r="I1924">
        <f t="shared" si="29"/>
        <v>1</v>
      </c>
      <c r="J1924" s="75">
        <v>1</v>
      </c>
      <c r="K1924" s="77"/>
      <c r="L1924" s="77"/>
      <c r="M1924" s="77"/>
      <c r="N1924" s="77"/>
      <c r="O1924" s="75">
        <v>1</v>
      </c>
      <c r="P1924" s="75">
        <v>0</v>
      </c>
      <c r="Q1924" s="75">
        <v>0</v>
      </c>
      <c r="R1924" s="75">
        <v>0</v>
      </c>
      <c r="S1924" s="75">
        <v>0</v>
      </c>
      <c r="T1924" s="75">
        <v>0</v>
      </c>
      <c r="U1924" s="75">
        <v>0</v>
      </c>
      <c r="V1924" s="75">
        <v>0</v>
      </c>
      <c r="W1924" s="78">
        <v>0</v>
      </c>
    </row>
    <row r="1925" spans="1:23" s="75" customFormat="1" hidden="1" x14ac:dyDescent="0.35">
      <c r="A1925" s="75">
        <v>1921</v>
      </c>
      <c r="B1925" s="75">
        <v>1922</v>
      </c>
      <c r="C1925">
        <v>146.0347281</v>
      </c>
      <c r="D1925">
        <v>-17.509237079999998</v>
      </c>
      <c r="F1925" s="75" t="str">
        <f>HYPERLINK("E:\Data From Lucan\2024\Johnstone\Frames_for_Analysis\1922_20240610_0003_L_2140.jpg","1922_20240610_0003_L_2140.jpg")</f>
        <v>1922_20240610_0003_L_2140.jpg</v>
      </c>
      <c r="G1925" s="75">
        <v>5</v>
      </c>
      <c r="I1925">
        <f t="shared" ref="I1925:I1988" si="30">IF(H1925="X","X",IF(J1925="NA","X",IF(J1925="","X",J1925)))</f>
        <v>1</v>
      </c>
      <c r="J1925" s="75">
        <v>1</v>
      </c>
      <c r="K1925" s="77"/>
      <c r="L1925" s="77"/>
      <c r="M1925" s="77"/>
      <c r="N1925" s="77"/>
      <c r="O1925" s="75">
        <v>1</v>
      </c>
      <c r="P1925" s="75">
        <v>0</v>
      </c>
      <c r="Q1925" s="75">
        <v>0</v>
      </c>
      <c r="R1925" s="75">
        <v>0</v>
      </c>
      <c r="S1925" s="75">
        <v>0</v>
      </c>
      <c r="T1925" s="75">
        <v>0</v>
      </c>
      <c r="U1925" s="75">
        <v>0</v>
      </c>
      <c r="V1925" s="75">
        <v>0</v>
      </c>
      <c r="W1925" s="78">
        <v>0</v>
      </c>
    </row>
    <row r="1926" spans="1:23" s="75" customFormat="1" hidden="1" x14ac:dyDescent="0.35">
      <c r="A1926" s="75">
        <v>1922</v>
      </c>
      <c r="B1926" s="75">
        <v>1923</v>
      </c>
      <c r="C1926">
        <v>146.0347783</v>
      </c>
      <c r="D1926">
        <v>-17.509157269999999</v>
      </c>
      <c r="F1926" s="75" t="str">
        <f>HYPERLINK("E:\Data From Lucan\2024\Johnstone\Frames_for_Analysis\1923_20240610_0003_L_2144.jpg","1923_20240610_0003_L_2144.jpg")</f>
        <v>1923_20240610_0003_L_2144.jpg</v>
      </c>
      <c r="G1926" s="75">
        <v>5</v>
      </c>
      <c r="I1926">
        <f t="shared" si="30"/>
        <v>1</v>
      </c>
      <c r="J1926" s="75">
        <v>1</v>
      </c>
      <c r="K1926" s="77"/>
      <c r="L1926" s="77"/>
      <c r="M1926" s="77"/>
      <c r="N1926" s="77"/>
      <c r="O1926" s="75">
        <v>1</v>
      </c>
      <c r="P1926" s="75">
        <v>0</v>
      </c>
      <c r="Q1926" s="75">
        <v>0</v>
      </c>
      <c r="R1926" s="75">
        <v>0</v>
      </c>
      <c r="S1926" s="75">
        <v>0</v>
      </c>
      <c r="T1926" s="75">
        <v>0</v>
      </c>
      <c r="U1926" s="75">
        <v>0</v>
      </c>
      <c r="V1926" s="75">
        <v>0</v>
      </c>
      <c r="W1926" s="78">
        <v>0</v>
      </c>
    </row>
    <row r="1927" spans="1:23" s="75" customFormat="1" hidden="1" x14ac:dyDescent="0.35">
      <c r="A1927" s="75">
        <v>1923</v>
      </c>
      <c r="B1927" s="75">
        <v>1924</v>
      </c>
      <c r="C1927">
        <v>146.0348286</v>
      </c>
      <c r="D1927">
        <v>-17.509077470000001</v>
      </c>
      <c r="F1927" s="75" t="str">
        <f>HYPERLINK("E:\Data From Lucan\2024\Johnstone\Frames_for_Analysis\1924_20240610_0003_L_2146.jpg","1924_20240610_0003_L_2146.jpg")</f>
        <v>1924_20240610_0003_L_2146.jpg</v>
      </c>
      <c r="G1927" s="75">
        <v>5</v>
      </c>
      <c r="I1927">
        <f t="shared" si="30"/>
        <v>1</v>
      </c>
      <c r="J1927" s="75">
        <v>1</v>
      </c>
      <c r="K1927" s="77"/>
      <c r="L1927" s="77"/>
      <c r="M1927" s="77"/>
      <c r="N1927" s="77"/>
      <c r="O1927" s="75">
        <v>1</v>
      </c>
      <c r="P1927" s="75">
        <v>0</v>
      </c>
      <c r="Q1927" s="75">
        <v>0</v>
      </c>
      <c r="R1927" s="75">
        <v>0</v>
      </c>
      <c r="S1927" s="75">
        <v>0</v>
      </c>
      <c r="T1927" s="75">
        <v>0</v>
      </c>
      <c r="U1927" s="75">
        <v>0</v>
      </c>
      <c r="V1927" s="75">
        <v>0</v>
      </c>
      <c r="W1927" s="78">
        <v>0</v>
      </c>
    </row>
    <row r="1928" spans="1:23" s="75" customFormat="1" hidden="1" x14ac:dyDescent="0.35">
      <c r="A1928" s="75">
        <v>1924</v>
      </c>
      <c r="B1928" s="75">
        <v>1925</v>
      </c>
      <c r="C1928">
        <v>146.0348788</v>
      </c>
      <c r="D1928">
        <v>-17.508997669999999</v>
      </c>
      <c r="F1928" s="75" t="str">
        <f>HYPERLINK("E:\Data From Lucan\2024\Johnstone\Frames_for_Analysis\1925_20240610_0003_L_2150.jpg","1925_20240610_0003_L_2150.jpg")</f>
        <v>1925_20240610_0003_L_2150.jpg</v>
      </c>
      <c r="G1928" s="75">
        <v>5</v>
      </c>
      <c r="I1928">
        <f t="shared" si="30"/>
        <v>1</v>
      </c>
      <c r="J1928" s="75">
        <v>1</v>
      </c>
      <c r="K1928" s="77"/>
      <c r="L1928" s="77"/>
      <c r="M1928" s="77"/>
      <c r="N1928" s="77"/>
      <c r="O1928" s="75">
        <v>1</v>
      </c>
      <c r="P1928" s="75">
        <v>0</v>
      </c>
      <c r="Q1928" s="75">
        <v>0</v>
      </c>
      <c r="R1928" s="75">
        <v>0</v>
      </c>
      <c r="S1928" s="75">
        <v>0</v>
      </c>
      <c r="T1928" s="75">
        <v>0</v>
      </c>
      <c r="U1928" s="75">
        <v>0</v>
      </c>
      <c r="V1928" s="75">
        <v>0</v>
      </c>
      <c r="W1928" s="78">
        <v>0</v>
      </c>
    </row>
    <row r="1929" spans="1:23" s="75" customFormat="1" hidden="1" x14ac:dyDescent="0.35">
      <c r="A1929" s="75">
        <v>1925</v>
      </c>
      <c r="B1929" s="75">
        <v>1926</v>
      </c>
      <c r="C1929">
        <v>146.0349291</v>
      </c>
      <c r="D1929">
        <v>-17.50891786</v>
      </c>
      <c r="F1929" s="75" t="str">
        <f>HYPERLINK("E:\Data From Lucan\2024\Johnstone\Frames_for_Analysis\1926_20240610_0003_L_2154.jpg","1926_20240610_0003_L_2154.jpg")</f>
        <v>1926_20240610_0003_L_2154.jpg</v>
      </c>
      <c r="G1929" s="75">
        <v>5</v>
      </c>
      <c r="I1929">
        <f t="shared" si="30"/>
        <v>1</v>
      </c>
      <c r="J1929" s="75">
        <v>1</v>
      </c>
      <c r="K1929" s="77"/>
      <c r="L1929" s="77"/>
      <c r="M1929" s="77"/>
      <c r="N1929" s="77"/>
      <c r="O1929" s="75">
        <v>1</v>
      </c>
      <c r="P1929" s="75">
        <v>0</v>
      </c>
      <c r="Q1929" s="75">
        <v>0</v>
      </c>
      <c r="R1929" s="75">
        <v>0</v>
      </c>
      <c r="S1929" s="75">
        <v>0</v>
      </c>
      <c r="T1929" s="75">
        <v>0</v>
      </c>
      <c r="U1929" s="75">
        <v>0</v>
      </c>
      <c r="V1929" s="75">
        <v>0</v>
      </c>
      <c r="W1929" s="78">
        <v>0</v>
      </c>
    </row>
    <row r="1930" spans="1:23" s="75" customFormat="1" hidden="1" x14ac:dyDescent="0.35">
      <c r="A1930" s="75">
        <v>1926</v>
      </c>
      <c r="B1930" s="75">
        <v>1927</v>
      </c>
      <c r="C1930">
        <v>146.0349793</v>
      </c>
      <c r="D1930">
        <v>-17.508838059999999</v>
      </c>
      <c r="F1930" s="75" t="str">
        <f>HYPERLINK("E:\Data From Lucan\2024\Johnstone\Frames_for_Analysis\1927_20240610_0003_L_2157.jpg","1927_20240610_0003_L_2157.jpg")</f>
        <v>1927_20240610_0003_L_2157.jpg</v>
      </c>
      <c r="G1930" s="75">
        <v>5</v>
      </c>
      <c r="I1930">
        <f t="shared" si="30"/>
        <v>1</v>
      </c>
      <c r="J1930" s="75">
        <v>1</v>
      </c>
      <c r="K1930" s="77"/>
      <c r="L1930" s="77"/>
      <c r="M1930" s="77"/>
      <c r="N1930" s="77"/>
      <c r="O1930" s="75">
        <v>1</v>
      </c>
      <c r="P1930" s="75">
        <v>0</v>
      </c>
      <c r="Q1930" s="75">
        <v>0</v>
      </c>
      <c r="R1930" s="75">
        <v>0</v>
      </c>
      <c r="S1930" s="75">
        <v>0</v>
      </c>
      <c r="T1930" s="75">
        <v>0</v>
      </c>
      <c r="U1930" s="75">
        <v>0</v>
      </c>
      <c r="V1930" s="75">
        <v>0</v>
      </c>
      <c r="W1930" s="78">
        <v>0</v>
      </c>
    </row>
    <row r="1931" spans="1:23" s="75" customFormat="1" hidden="1" x14ac:dyDescent="0.35">
      <c r="A1931" s="75">
        <v>1927</v>
      </c>
      <c r="B1931" s="75">
        <v>1928</v>
      </c>
      <c r="C1931">
        <v>146.0350239</v>
      </c>
      <c r="D1931">
        <v>-17.50875499</v>
      </c>
      <c r="F1931" s="75" t="str">
        <f>HYPERLINK("E:\Data From Lucan\2024\Johnstone\Frames_for_Analysis\1928_20240610_0003_L_2159.jpg","1928_20240610_0003_L_2159.jpg")</f>
        <v>1928_20240610_0003_L_2159.jpg</v>
      </c>
      <c r="G1931" s="75">
        <v>5</v>
      </c>
      <c r="I1931">
        <f t="shared" si="30"/>
        <v>1</v>
      </c>
      <c r="J1931" s="75">
        <v>1</v>
      </c>
      <c r="K1931" s="77"/>
      <c r="L1931" s="77"/>
      <c r="M1931" s="77"/>
      <c r="N1931" s="77"/>
      <c r="O1931" s="75">
        <v>1</v>
      </c>
      <c r="P1931" s="75">
        <v>0</v>
      </c>
      <c r="Q1931" s="75">
        <v>0</v>
      </c>
      <c r="R1931" s="75">
        <v>0</v>
      </c>
      <c r="S1931" s="75">
        <v>0</v>
      </c>
      <c r="T1931" s="75">
        <v>0</v>
      </c>
      <c r="U1931" s="75">
        <v>0</v>
      </c>
      <c r="V1931" s="75">
        <v>0</v>
      </c>
      <c r="W1931" s="78">
        <v>0</v>
      </c>
    </row>
    <row r="1932" spans="1:23" s="75" customFormat="1" hidden="1" x14ac:dyDescent="0.35">
      <c r="A1932" s="75">
        <v>1928</v>
      </c>
      <c r="B1932" s="75">
        <v>1929</v>
      </c>
      <c r="C1932">
        <v>146.03506820000001</v>
      </c>
      <c r="D1932">
        <v>-17.50867173</v>
      </c>
      <c r="F1932" s="75" t="str">
        <f>HYPERLINK("E:\Data From Lucan\2024\Johnstone\Frames_for_Analysis\1929_20240610_0003_L_2165.jpg","1929_20240610_0003_L_2165.jpg")</f>
        <v>1929_20240610_0003_L_2165.jpg</v>
      </c>
      <c r="G1932" s="75">
        <v>5</v>
      </c>
      <c r="I1932">
        <f t="shared" si="30"/>
        <v>1</v>
      </c>
      <c r="J1932" s="75">
        <v>1</v>
      </c>
      <c r="K1932" s="77"/>
      <c r="L1932" s="77"/>
      <c r="M1932" s="77"/>
      <c r="N1932" s="77"/>
      <c r="O1932" s="75">
        <v>1</v>
      </c>
      <c r="P1932" s="75">
        <v>0</v>
      </c>
      <c r="Q1932" s="75">
        <v>0</v>
      </c>
      <c r="R1932" s="75">
        <v>0</v>
      </c>
      <c r="S1932" s="75">
        <v>0</v>
      </c>
      <c r="T1932" s="75">
        <v>0</v>
      </c>
      <c r="U1932" s="75">
        <v>0</v>
      </c>
      <c r="V1932" s="75">
        <v>0</v>
      </c>
      <c r="W1932" s="78">
        <v>0</v>
      </c>
    </row>
    <row r="1933" spans="1:23" s="75" customFormat="1" hidden="1" x14ac:dyDescent="0.35">
      <c r="A1933" s="75">
        <v>1929</v>
      </c>
      <c r="B1933" s="75">
        <v>1930</v>
      </c>
      <c r="C1933">
        <v>146.0351125</v>
      </c>
      <c r="D1933">
        <v>-17.508588459999999</v>
      </c>
      <c r="F1933" s="75" t="str">
        <f>HYPERLINK("E:\Data From Lucan\2024\Johnstone\Frames_for_Analysis\1930_20240610_0003_L_2169.jpg","1930_20240610_0003_L_2169.jpg")</f>
        <v>1930_20240610_0003_L_2169.jpg</v>
      </c>
      <c r="G1933" s="75">
        <v>5</v>
      </c>
      <c r="I1933">
        <f t="shared" si="30"/>
        <v>1</v>
      </c>
      <c r="J1933" s="75">
        <v>1</v>
      </c>
      <c r="K1933" s="77"/>
      <c r="L1933" s="77"/>
      <c r="M1933" s="77"/>
      <c r="N1933" s="77"/>
      <c r="O1933" s="75">
        <v>1</v>
      </c>
      <c r="P1933" s="75">
        <v>0</v>
      </c>
      <c r="Q1933" s="75">
        <v>0</v>
      </c>
      <c r="R1933" s="75">
        <v>0</v>
      </c>
      <c r="S1933" s="75">
        <v>0</v>
      </c>
      <c r="T1933" s="75">
        <v>0</v>
      </c>
      <c r="U1933" s="75">
        <v>0</v>
      </c>
      <c r="V1933" s="75">
        <v>0</v>
      </c>
      <c r="W1933" s="78">
        <v>0</v>
      </c>
    </row>
    <row r="1934" spans="1:23" s="75" customFormat="1" hidden="1" x14ac:dyDescent="0.35">
      <c r="A1934" s="75">
        <v>1930</v>
      </c>
      <c r="B1934" s="75">
        <v>1931</v>
      </c>
      <c r="C1934">
        <v>146.03515680000001</v>
      </c>
      <c r="D1934">
        <v>-17.508505199999998</v>
      </c>
      <c r="F1934" s="75" t="str">
        <f>HYPERLINK("E:\Data From Lucan\2024\Johnstone\Frames_for_Analysis\1931_20240610_0003_L_2170.jpg","1931_20240610_0003_L_2170.jpg")</f>
        <v>1931_20240610_0003_L_2170.jpg</v>
      </c>
      <c r="G1934" s="75">
        <v>5</v>
      </c>
      <c r="I1934">
        <f t="shared" si="30"/>
        <v>1</v>
      </c>
      <c r="J1934" s="75">
        <v>1</v>
      </c>
      <c r="K1934" s="77"/>
      <c r="L1934" s="77"/>
      <c r="M1934" s="77"/>
      <c r="N1934" s="77"/>
      <c r="O1934" s="75">
        <v>1</v>
      </c>
      <c r="P1934" s="75">
        <v>0</v>
      </c>
      <c r="Q1934" s="75">
        <v>0</v>
      </c>
      <c r="R1934" s="75">
        <v>0</v>
      </c>
      <c r="S1934" s="75">
        <v>0</v>
      </c>
      <c r="T1934" s="75">
        <v>0</v>
      </c>
      <c r="U1934" s="75">
        <v>0</v>
      </c>
      <c r="V1934" s="75">
        <v>0</v>
      </c>
      <c r="W1934" s="78">
        <v>0</v>
      </c>
    </row>
    <row r="1935" spans="1:23" s="75" customFormat="1" hidden="1" x14ac:dyDescent="0.35">
      <c r="A1935" s="75">
        <v>1931</v>
      </c>
      <c r="B1935" s="75">
        <v>1932</v>
      </c>
      <c r="C1935">
        <v>146.035201</v>
      </c>
      <c r="D1935">
        <v>-17.508421930000001</v>
      </c>
      <c r="F1935" s="75" t="str">
        <f>HYPERLINK("E:\Data From Lucan\2024\Johnstone\Frames_for_Analysis\1932_20240610_0003_L_2174.jpg","1932_20240610_0003_L_2174.jpg")</f>
        <v>1932_20240610_0003_L_2174.jpg</v>
      </c>
      <c r="G1935" s="75">
        <v>5</v>
      </c>
      <c r="I1935">
        <f t="shared" si="30"/>
        <v>1</v>
      </c>
      <c r="J1935" s="75">
        <v>1</v>
      </c>
      <c r="K1935" s="77"/>
      <c r="L1935" s="77"/>
      <c r="M1935" s="77"/>
      <c r="N1935" s="77"/>
      <c r="O1935" s="75">
        <v>1</v>
      </c>
      <c r="P1935" s="75">
        <v>0</v>
      </c>
      <c r="Q1935" s="75">
        <v>0</v>
      </c>
      <c r="R1935" s="75">
        <v>0</v>
      </c>
      <c r="S1935" s="75">
        <v>0</v>
      </c>
      <c r="T1935" s="75">
        <v>0</v>
      </c>
      <c r="U1935" s="75">
        <v>0</v>
      </c>
      <c r="V1935" s="75">
        <v>0</v>
      </c>
      <c r="W1935" s="78">
        <v>0</v>
      </c>
    </row>
    <row r="1936" spans="1:23" s="75" customFormat="1" hidden="1" x14ac:dyDescent="0.35">
      <c r="A1936" s="75">
        <v>1932</v>
      </c>
      <c r="B1936" s="75">
        <v>1933</v>
      </c>
      <c r="C1936">
        <v>146.03524530000001</v>
      </c>
      <c r="D1936">
        <v>-17.508338670000001</v>
      </c>
      <c r="F1936" s="75" t="str">
        <f>HYPERLINK("E:\Data From Lucan\2024\Johnstone\Frames_for_Analysis\1933_20240610_0003_L_2177.jpg","1933_20240610_0003_L_2177.jpg")</f>
        <v>1933_20240610_0003_L_2177.jpg</v>
      </c>
      <c r="G1936" s="75">
        <v>5</v>
      </c>
      <c r="I1936">
        <f t="shared" si="30"/>
        <v>1</v>
      </c>
      <c r="J1936" s="75">
        <v>1</v>
      </c>
      <c r="K1936" s="77"/>
      <c r="L1936" s="77"/>
      <c r="M1936" s="77"/>
      <c r="N1936" s="77"/>
      <c r="O1936" s="75">
        <v>1</v>
      </c>
      <c r="P1936" s="75">
        <v>0</v>
      </c>
      <c r="Q1936" s="75">
        <v>0</v>
      </c>
      <c r="R1936" s="75">
        <v>0</v>
      </c>
      <c r="S1936" s="75">
        <v>0</v>
      </c>
      <c r="T1936" s="75">
        <v>0</v>
      </c>
      <c r="U1936" s="75">
        <v>0</v>
      </c>
      <c r="V1936" s="75">
        <v>0</v>
      </c>
      <c r="W1936" s="78">
        <v>0</v>
      </c>
    </row>
    <row r="1937" spans="1:23" s="75" customFormat="1" hidden="1" x14ac:dyDescent="0.35">
      <c r="A1937" s="75">
        <v>1933</v>
      </c>
      <c r="B1937" s="75">
        <v>1934</v>
      </c>
      <c r="C1937">
        <v>146.0352896</v>
      </c>
      <c r="D1937">
        <v>-17.508255399999999</v>
      </c>
      <c r="F1937" s="75" t="str">
        <f>HYPERLINK("E:\Data From Lucan\2024\Johnstone\Frames_for_Analysis\1934_20240610_0003_L_2180.jpg","1934_20240610_0003_L_2180.jpg")</f>
        <v>1934_20240610_0003_L_2180.jpg</v>
      </c>
      <c r="G1937" s="75">
        <v>5</v>
      </c>
      <c r="I1937">
        <f t="shared" si="30"/>
        <v>1</v>
      </c>
      <c r="J1937" s="75">
        <v>1</v>
      </c>
      <c r="K1937" s="77"/>
      <c r="L1937" s="77"/>
      <c r="M1937" s="77"/>
      <c r="N1937" s="77"/>
      <c r="O1937" s="75">
        <v>1</v>
      </c>
      <c r="P1937" s="75">
        <v>0</v>
      </c>
      <c r="Q1937" s="75">
        <v>0</v>
      </c>
      <c r="R1937" s="75">
        <v>0</v>
      </c>
      <c r="S1937" s="75">
        <v>0</v>
      </c>
      <c r="T1937" s="75">
        <v>0</v>
      </c>
      <c r="U1937" s="75">
        <v>0</v>
      </c>
      <c r="V1937" s="75">
        <v>0</v>
      </c>
      <c r="W1937" s="78">
        <v>0</v>
      </c>
    </row>
    <row r="1938" spans="1:23" s="75" customFormat="1" hidden="1" x14ac:dyDescent="0.35">
      <c r="A1938" s="75">
        <v>1934</v>
      </c>
      <c r="B1938" s="75">
        <v>1935</v>
      </c>
      <c r="C1938">
        <v>146.03533379999999</v>
      </c>
      <c r="D1938">
        <v>-17.508172129999998</v>
      </c>
      <c r="F1938" s="75" t="str">
        <f>HYPERLINK("E:\Data From Lucan\2024\Johnstone\Frames_for_Analysis\1935_20240610_0003_L_2183.jpg","1935_20240610_0003_L_2183.jpg")</f>
        <v>1935_20240610_0003_L_2183.jpg</v>
      </c>
      <c r="G1938" s="75">
        <v>5</v>
      </c>
      <c r="I1938">
        <f t="shared" si="30"/>
        <v>0</v>
      </c>
      <c r="J1938" s="75">
        <v>0</v>
      </c>
      <c r="K1938" s="77"/>
      <c r="L1938" s="77"/>
      <c r="M1938" s="77"/>
      <c r="N1938" s="77"/>
      <c r="O1938" s="75">
        <v>1</v>
      </c>
      <c r="P1938" s="75">
        <v>0</v>
      </c>
      <c r="Q1938" s="75">
        <v>0</v>
      </c>
      <c r="R1938" s="75">
        <v>0</v>
      </c>
      <c r="S1938" s="75">
        <v>0</v>
      </c>
      <c r="T1938" s="75">
        <v>0</v>
      </c>
      <c r="U1938" s="75">
        <v>0</v>
      </c>
      <c r="V1938" s="75">
        <v>0</v>
      </c>
      <c r="W1938" s="78">
        <v>0</v>
      </c>
    </row>
    <row r="1939" spans="1:23" s="75" customFormat="1" hidden="1" x14ac:dyDescent="0.35">
      <c r="A1939" s="75">
        <v>1935</v>
      </c>
      <c r="B1939" s="75">
        <v>1936</v>
      </c>
      <c r="C1939">
        <v>146.0353806</v>
      </c>
      <c r="D1939">
        <v>-17.508090289999998</v>
      </c>
      <c r="F1939" s="75" t="str">
        <f>HYPERLINK("E:\Data From Lucan\2024\Johnstone\Frames_for_Analysis\1936_20240610_0003_L_2186.jpg","1936_20240610_0003_L_2186.jpg")</f>
        <v>1936_20240610_0003_L_2186.jpg</v>
      </c>
      <c r="G1939" s="75">
        <v>5</v>
      </c>
      <c r="I1939">
        <f t="shared" si="30"/>
        <v>0</v>
      </c>
      <c r="J1939" s="75">
        <v>0</v>
      </c>
      <c r="K1939" s="77"/>
      <c r="L1939" s="77"/>
      <c r="M1939" s="77"/>
      <c r="N1939" s="77"/>
      <c r="O1939" s="75">
        <v>1</v>
      </c>
      <c r="P1939" s="75">
        <v>0</v>
      </c>
      <c r="Q1939" s="75">
        <v>0</v>
      </c>
      <c r="R1939" s="75">
        <v>0</v>
      </c>
      <c r="S1939" s="75">
        <v>0</v>
      </c>
      <c r="T1939" s="75">
        <v>0</v>
      </c>
      <c r="U1939" s="75">
        <v>0</v>
      </c>
      <c r="V1939" s="75">
        <v>0</v>
      </c>
      <c r="W1939" s="78">
        <v>0</v>
      </c>
    </row>
    <row r="1940" spans="1:23" s="75" customFormat="1" hidden="1" x14ac:dyDescent="0.35">
      <c r="A1940" s="75">
        <v>1936</v>
      </c>
      <c r="B1940" s="75">
        <v>1937</v>
      </c>
      <c r="C1940">
        <v>146.0354294</v>
      </c>
      <c r="D1940">
        <v>-17.508009569999999</v>
      </c>
      <c r="F1940" s="75" t="str">
        <f>HYPERLINK("E:\Data From Lucan\2024\Johnstone\Frames_for_Analysis\1937_20240610_0003_L_2189.jpg","1937_20240610_0003_L_2189.jpg")</f>
        <v>1937_20240610_0003_L_2189.jpg</v>
      </c>
      <c r="G1940" s="75">
        <v>5</v>
      </c>
      <c r="I1940">
        <f t="shared" si="30"/>
        <v>0</v>
      </c>
      <c r="J1940" s="75">
        <v>0</v>
      </c>
      <c r="K1940" s="77"/>
      <c r="L1940" s="77"/>
      <c r="M1940" s="77"/>
      <c r="N1940" s="77"/>
      <c r="O1940" s="75">
        <v>1</v>
      </c>
      <c r="P1940" s="75">
        <v>0</v>
      </c>
      <c r="Q1940" s="75">
        <v>0</v>
      </c>
      <c r="R1940" s="75">
        <v>0</v>
      </c>
      <c r="S1940" s="75">
        <v>0</v>
      </c>
      <c r="T1940" s="75">
        <v>0</v>
      </c>
      <c r="U1940" s="75">
        <v>0</v>
      </c>
      <c r="V1940" s="75">
        <v>0</v>
      </c>
      <c r="W1940" s="78">
        <v>0</v>
      </c>
    </row>
    <row r="1941" spans="1:23" s="75" customFormat="1" hidden="1" x14ac:dyDescent="0.35">
      <c r="A1941" s="75">
        <v>1937</v>
      </c>
      <c r="B1941" s="75">
        <v>1938</v>
      </c>
      <c r="C1941">
        <v>146.03547810000001</v>
      </c>
      <c r="D1941">
        <v>-17.507928840000002</v>
      </c>
      <c r="F1941" s="75" t="str">
        <f>HYPERLINK("E:\Data From Lucan\2024\Johnstone\Frames_for_Analysis\1938_20240610_0003_L_2192.jpg","1938_20240610_0003_L_2192.jpg")</f>
        <v>1938_20240610_0003_L_2192.jpg</v>
      </c>
      <c r="G1941" s="75">
        <v>5</v>
      </c>
      <c r="I1941">
        <f t="shared" si="30"/>
        <v>1</v>
      </c>
      <c r="J1941" s="75">
        <v>1</v>
      </c>
      <c r="K1941" s="77"/>
      <c r="L1941" s="77"/>
      <c r="M1941" s="77"/>
      <c r="N1941" s="77"/>
      <c r="O1941" s="75">
        <v>1</v>
      </c>
      <c r="P1941" s="75">
        <v>0</v>
      </c>
      <c r="Q1941" s="75">
        <v>0</v>
      </c>
      <c r="R1941" s="75">
        <v>0</v>
      </c>
      <c r="S1941" s="75">
        <v>0</v>
      </c>
      <c r="T1941" s="75">
        <v>0</v>
      </c>
      <c r="U1941" s="75">
        <v>0</v>
      </c>
      <c r="V1941" s="75">
        <v>0</v>
      </c>
      <c r="W1941" s="78">
        <v>0</v>
      </c>
    </row>
    <row r="1942" spans="1:23" s="75" customFormat="1" hidden="1" x14ac:dyDescent="0.35">
      <c r="A1942" s="75">
        <v>1938</v>
      </c>
      <c r="B1942" s="75">
        <v>1939</v>
      </c>
      <c r="C1942">
        <v>146.03552690000001</v>
      </c>
      <c r="D1942">
        <v>-17.507848119999998</v>
      </c>
      <c r="F1942" s="75" t="str">
        <f>HYPERLINK("E:\Data From Lucan\2024\Johnstone\Frames_for_Analysis\1939_20240610_0003_L_2196.jpg","1939_20240610_0003_L_2196.jpg")</f>
        <v>1939_20240610_0003_L_2196.jpg</v>
      </c>
      <c r="G1942" s="75">
        <v>5</v>
      </c>
      <c r="I1942">
        <f t="shared" si="30"/>
        <v>1</v>
      </c>
      <c r="J1942" s="75">
        <v>1</v>
      </c>
      <c r="K1942" s="77"/>
      <c r="L1942" s="77"/>
      <c r="M1942" s="77"/>
      <c r="N1942" s="77"/>
      <c r="O1942" s="75">
        <v>1</v>
      </c>
      <c r="P1942" s="75">
        <v>0</v>
      </c>
      <c r="Q1942" s="75">
        <v>0</v>
      </c>
      <c r="R1942" s="75">
        <v>0</v>
      </c>
      <c r="S1942" s="75">
        <v>0</v>
      </c>
      <c r="T1942" s="75">
        <v>0</v>
      </c>
      <c r="U1942" s="75">
        <v>0</v>
      </c>
      <c r="V1942" s="75">
        <v>0</v>
      </c>
      <c r="W1942" s="78">
        <v>0</v>
      </c>
    </row>
    <row r="1943" spans="1:23" s="75" customFormat="1" hidden="1" x14ac:dyDescent="0.35">
      <c r="A1943" s="75">
        <v>1939</v>
      </c>
      <c r="B1943" s="75">
        <v>1940</v>
      </c>
      <c r="C1943">
        <v>146.03557559999999</v>
      </c>
      <c r="D1943">
        <v>-17.507767390000001</v>
      </c>
      <c r="F1943" s="75" t="str">
        <f>HYPERLINK("E:\Data From Lucan\2024\Johnstone\Frames_for_Analysis\1940_20240610_0003_L_2200.jpg","1940_20240610_0003_L_2200.jpg")</f>
        <v>1940_20240610_0003_L_2200.jpg</v>
      </c>
      <c r="G1943" s="75">
        <v>5</v>
      </c>
      <c r="I1943">
        <f t="shared" si="30"/>
        <v>0</v>
      </c>
      <c r="J1943" s="75">
        <v>0</v>
      </c>
      <c r="K1943" s="77"/>
      <c r="L1943" s="77"/>
      <c r="M1943" s="77"/>
      <c r="N1943" s="77"/>
      <c r="O1943" s="75">
        <v>1</v>
      </c>
      <c r="P1943" s="75">
        <v>0</v>
      </c>
      <c r="Q1943" s="75">
        <v>0</v>
      </c>
      <c r="R1943" s="75">
        <v>0</v>
      </c>
      <c r="S1943" s="75">
        <v>0</v>
      </c>
      <c r="T1943" s="75">
        <v>0</v>
      </c>
      <c r="U1943" s="75">
        <v>0</v>
      </c>
      <c r="V1943" s="75">
        <v>0</v>
      </c>
      <c r="W1943" s="78">
        <v>0</v>
      </c>
    </row>
    <row r="1944" spans="1:23" s="75" customFormat="1" hidden="1" x14ac:dyDescent="0.35">
      <c r="A1944" s="75">
        <v>1940</v>
      </c>
      <c r="B1944" s="75">
        <v>1941</v>
      </c>
      <c r="C1944">
        <v>146.03562439999999</v>
      </c>
      <c r="D1944">
        <v>-17.507686669999998</v>
      </c>
      <c r="F1944" s="75" t="str">
        <f>HYPERLINK("E:\Data From Lucan\2024\Johnstone\Frames_for_Analysis\1941_20240610_0003_L_2204.jpg","1941_20240610_0003_L_2204.jpg")</f>
        <v>1941_20240610_0003_L_2204.jpg</v>
      </c>
      <c r="G1944" s="75">
        <v>5</v>
      </c>
      <c r="I1944">
        <f t="shared" si="30"/>
        <v>1</v>
      </c>
      <c r="J1944" s="75">
        <v>1</v>
      </c>
      <c r="K1944" s="77"/>
      <c r="L1944" s="77"/>
      <c r="M1944" s="77"/>
      <c r="N1944" s="77"/>
      <c r="O1944" s="75">
        <v>1</v>
      </c>
      <c r="P1944" s="75">
        <v>0</v>
      </c>
      <c r="Q1944" s="75">
        <v>0</v>
      </c>
      <c r="R1944" s="75">
        <v>0</v>
      </c>
      <c r="S1944" s="75">
        <v>0</v>
      </c>
      <c r="T1944" s="75">
        <v>0</v>
      </c>
      <c r="U1944" s="75">
        <v>0</v>
      </c>
      <c r="V1944" s="75">
        <v>0</v>
      </c>
      <c r="W1944" s="78">
        <v>0</v>
      </c>
    </row>
    <row r="1945" spans="1:23" s="75" customFormat="1" hidden="1" x14ac:dyDescent="0.35">
      <c r="A1945" s="75">
        <v>1941</v>
      </c>
      <c r="B1945" s="75">
        <v>1942</v>
      </c>
      <c r="C1945">
        <v>146.0356731</v>
      </c>
      <c r="D1945">
        <v>-17.507605949999999</v>
      </c>
      <c r="F1945" s="75" t="str">
        <f>HYPERLINK("E:\Data From Lucan\2024\Johnstone\Frames_for_Analysis\1942_20240610_0003_L_2206.jpg","1942_20240610_0003_L_2206.jpg")</f>
        <v>1942_20240610_0003_L_2206.jpg</v>
      </c>
      <c r="G1945" s="75">
        <v>5</v>
      </c>
      <c r="I1945">
        <f t="shared" si="30"/>
        <v>1</v>
      </c>
      <c r="J1945" s="75">
        <v>1</v>
      </c>
      <c r="K1945" s="77"/>
      <c r="L1945" s="77"/>
      <c r="M1945" s="77"/>
      <c r="N1945" s="77"/>
      <c r="O1945" s="75">
        <v>1</v>
      </c>
      <c r="P1945" s="75">
        <v>0</v>
      </c>
      <c r="Q1945" s="75">
        <v>0</v>
      </c>
      <c r="R1945" s="75">
        <v>0</v>
      </c>
      <c r="S1945" s="75">
        <v>0</v>
      </c>
      <c r="T1945" s="75">
        <v>0</v>
      </c>
      <c r="U1945" s="75">
        <v>0</v>
      </c>
      <c r="V1945" s="75">
        <v>0</v>
      </c>
      <c r="W1945" s="78">
        <v>0</v>
      </c>
    </row>
    <row r="1946" spans="1:23" s="75" customFormat="1" hidden="1" x14ac:dyDescent="0.35">
      <c r="A1946" s="75">
        <v>1942</v>
      </c>
      <c r="B1946" s="75">
        <v>1943</v>
      </c>
      <c r="C1946">
        <v>146.0357218</v>
      </c>
      <c r="D1946">
        <v>-17.507525189999999</v>
      </c>
      <c r="F1946" s="75" t="str">
        <f>HYPERLINK("E:\Data From Lucan\2024\Johnstone\Frames_for_Analysis\1943_20240610_0003_L_2209.jpg","1943_20240610_0003_L_2209.jpg")</f>
        <v>1943_20240610_0003_L_2209.jpg</v>
      </c>
      <c r="G1946" s="75">
        <v>5</v>
      </c>
      <c r="I1946">
        <f t="shared" si="30"/>
        <v>0</v>
      </c>
      <c r="J1946" s="75">
        <v>0</v>
      </c>
      <c r="K1946" s="77"/>
      <c r="L1946" s="77"/>
      <c r="M1946" s="77"/>
      <c r="N1946" s="77"/>
      <c r="O1946" s="75">
        <v>1</v>
      </c>
      <c r="P1946" s="75">
        <v>0</v>
      </c>
      <c r="Q1946" s="75">
        <v>0</v>
      </c>
      <c r="R1946" s="75">
        <v>0</v>
      </c>
      <c r="S1946" s="75">
        <v>0</v>
      </c>
      <c r="T1946" s="75">
        <v>0</v>
      </c>
      <c r="U1946" s="75">
        <v>0</v>
      </c>
      <c r="V1946" s="75">
        <v>0</v>
      </c>
      <c r="W1946" s="78">
        <v>0</v>
      </c>
    </row>
    <row r="1947" spans="1:23" s="75" customFormat="1" hidden="1" x14ac:dyDescent="0.35">
      <c r="A1947" s="75">
        <v>1943</v>
      </c>
      <c r="B1947" s="75">
        <v>1944</v>
      </c>
      <c r="C1947">
        <v>146.03577039999999</v>
      </c>
      <c r="D1947">
        <v>-17.50744435</v>
      </c>
      <c r="F1947" s="75" t="str">
        <f>HYPERLINK("E:\Data From Lucan\2024\Johnstone\Frames_for_Analysis\1944_20240610_0003_L_2214.jpg","1944_20240610_0003_L_2214.jpg")</f>
        <v>1944_20240610_0003_L_2214.jpg</v>
      </c>
      <c r="G1947" s="75">
        <v>5</v>
      </c>
      <c r="I1947">
        <f t="shared" si="30"/>
        <v>0</v>
      </c>
      <c r="J1947" s="75">
        <v>0</v>
      </c>
      <c r="K1947" s="77"/>
      <c r="L1947" s="77"/>
      <c r="M1947" s="77"/>
      <c r="N1947" s="77"/>
      <c r="O1947" s="75">
        <v>1</v>
      </c>
      <c r="P1947" s="75">
        <v>0</v>
      </c>
      <c r="Q1947" s="75">
        <v>0</v>
      </c>
      <c r="R1947" s="75">
        <v>0</v>
      </c>
      <c r="S1947" s="75">
        <v>0</v>
      </c>
      <c r="T1947" s="75">
        <v>0</v>
      </c>
      <c r="U1947" s="75">
        <v>0</v>
      </c>
      <c r="V1947" s="75">
        <v>0</v>
      </c>
      <c r="W1947" s="78">
        <v>0</v>
      </c>
    </row>
    <row r="1948" spans="1:23" s="75" customFormat="1" hidden="1" x14ac:dyDescent="0.35">
      <c r="A1948" s="75">
        <v>1944</v>
      </c>
      <c r="B1948" s="75">
        <v>1945</v>
      </c>
      <c r="C1948">
        <v>146.035819</v>
      </c>
      <c r="D1948">
        <v>-17.507363519999998</v>
      </c>
      <c r="F1948" s="75" t="str">
        <f>HYPERLINK("E:\Data From Lucan\2024\Johnstone\Frames_for_Analysis\1945_20240610_0003_L_2217.jpg","1945_20240610_0003_L_2217.jpg")</f>
        <v>1945_20240610_0003_L_2217.jpg</v>
      </c>
      <c r="G1948" s="75">
        <v>5</v>
      </c>
      <c r="I1948">
        <f t="shared" si="30"/>
        <v>0</v>
      </c>
      <c r="J1948" s="75">
        <v>0</v>
      </c>
      <c r="K1948" s="77"/>
      <c r="L1948" s="77"/>
      <c r="M1948" s="77"/>
      <c r="N1948" s="77"/>
      <c r="O1948" s="75">
        <v>1</v>
      </c>
      <c r="P1948" s="75">
        <v>0</v>
      </c>
      <c r="Q1948" s="75">
        <v>0</v>
      </c>
      <c r="R1948" s="75">
        <v>0</v>
      </c>
      <c r="S1948" s="75">
        <v>0</v>
      </c>
      <c r="T1948" s="75">
        <v>0</v>
      </c>
      <c r="U1948" s="75">
        <v>0</v>
      </c>
      <c r="V1948" s="75">
        <v>1</v>
      </c>
      <c r="W1948" s="78">
        <v>0</v>
      </c>
    </row>
    <row r="1949" spans="1:23" s="75" customFormat="1" hidden="1" x14ac:dyDescent="0.35">
      <c r="A1949" s="75">
        <v>1945</v>
      </c>
      <c r="B1949" s="75">
        <v>1946</v>
      </c>
      <c r="C1949">
        <v>146.03586749999999</v>
      </c>
      <c r="D1949">
        <v>-17.507282679999999</v>
      </c>
      <c r="F1949" s="75" t="str">
        <f>HYPERLINK("E:\Data From Lucan\2024\Johnstone\Frames_for_Analysis\1946_20240610_0003_L_2221.jpg","1946_20240610_0003_L_2221.jpg")</f>
        <v>1946_20240610_0003_L_2221.jpg</v>
      </c>
      <c r="G1949" s="75">
        <v>5</v>
      </c>
      <c r="I1949">
        <f t="shared" si="30"/>
        <v>0</v>
      </c>
      <c r="J1949" s="75">
        <v>0</v>
      </c>
      <c r="K1949" s="77"/>
      <c r="L1949" s="77"/>
      <c r="M1949" s="77"/>
      <c r="N1949" s="77"/>
      <c r="O1949" s="75">
        <v>1</v>
      </c>
      <c r="P1949" s="75">
        <v>0</v>
      </c>
      <c r="Q1949" s="75">
        <v>0</v>
      </c>
      <c r="R1949" s="75">
        <v>0</v>
      </c>
      <c r="S1949" s="75">
        <v>0</v>
      </c>
      <c r="T1949" s="75">
        <v>0</v>
      </c>
      <c r="U1949" s="75">
        <v>0</v>
      </c>
      <c r="V1949" s="75">
        <v>1</v>
      </c>
      <c r="W1949" s="78">
        <v>0</v>
      </c>
    </row>
    <row r="1950" spans="1:23" s="75" customFormat="1" hidden="1" x14ac:dyDescent="0.35">
      <c r="A1950" s="75">
        <v>1946</v>
      </c>
      <c r="B1950" s="75">
        <v>1947</v>
      </c>
      <c r="C1950">
        <v>146.03591610000001</v>
      </c>
      <c r="D1950">
        <v>-17.50720184</v>
      </c>
      <c r="F1950" s="75" t="str">
        <f>HYPERLINK("E:\Data From Lucan\2024\Johnstone\Frames_for_Analysis\1947_20240610_0003_L_2225.jpg","1947_20240610_0003_L_2225.jpg")</f>
        <v>1947_20240610_0003_L_2225.jpg</v>
      </c>
      <c r="G1950" s="75">
        <v>5</v>
      </c>
      <c r="I1950">
        <f t="shared" si="30"/>
        <v>1</v>
      </c>
      <c r="J1950" s="75">
        <v>1</v>
      </c>
      <c r="K1950" s="77"/>
      <c r="L1950" s="77"/>
      <c r="M1950" s="77"/>
      <c r="N1950" s="77"/>
      <c r="O1950" s="75">
        <v>1</v>
      </c>
      <c r="P1950" s="75">
        <v>0</v>
      </c>
      <c r="Q1950" s="75">
        <v>0</v>
      </c>
      <c r="R1950" s="75">
        <v>0</v>
      </c>
      <c r="S1950" s="75">
        <v>0</v>
      </c>
      <c r="T1950" s="75">
        <v>0</v>
      </c>
      <c r="U1950" s="75">
        <v>0</v>
      </c>
      <c r="V1950" s="75">
        <v>0</v>
      </c>
      <c r="W1950" s="78">
        <v>0</v>
      </c>
    </row>
    <row r="1951" spans="1:23" s="75" customFormat="1" hidden="1" x14ac:dyDescent="0.35">
      <c r="A1951" s="75">
        <v>1947</v>
      </c>
      <c r="B1951" s="75">
        <v>1948</v>
      </c>
      <c r="C1951">
        <v>146.03596469999999</v>
      </c>
      <c r="D1951">
        <v>-17.507121009999999</v>
      </c>
      <c r="F1951" s="75" t="str">
        <f>HYPERLINK("E:\Data From Lucan\2024\Johnstone\Frames_for_Analysis\1948_20240610_0003_L_2228.jpg","1948_20240610_0003_L_2228.jpg")</f>
        <v>1948_20240610_0003_L_2228.jpg</v>
      </c>
      <c r="G1951" s="75">
        <v>5</v>
      </c>
      <c r="I1951">
        <f t="shared" si="30"/>
        <v>1</v>
      </c>
      <c r="J1951" s="75">
        <v>1</v>
      </c>
      <c r="K1951" s="77"/>
      <c r="L1951" s="77"/>
      <c r="M1951" s="77"/>
      <c r="N1951" s="77"/>
      <c r="O1951" s="75">
        <v>1</v>
      </c>
      <c r="P1951" s="75">
        <v>0</v>
      </c>
      <c r="Q1951" s="75">
        <v>0</v>
      </c>
      <c r="R1951" s="75">
        <v>0</v>
      </c>
      <c r="S1951" s="75">
        <v>0</v>
      </c>
      <c r="T1951" s="75">
        <v>0</v>
      </c>
      <c r="U1951" s="75">
        <v>0</v>
      </c>
      <c r="V1951" s="75">
        <v>0</v>
      </c>
      <c r="W1951" s="78">
        <v>0</v>
      </c>
    </row>
    <row r="1952" spans="1:23" s="75" customFormat="1" hidden="1" x14ac:dyDescent="0.35">
      <c r="A1952" s="75">
        <v>1948</v>
      </c>
      <c r="B1952" s="75">
        <v>1949</v>
      </c>
      <c r="C1952">
        <v>146.03600700000001</v>
      </c>
      <c r="D1952">
        <v>-17.507036920000001</v>
      </c>
      <c r="F1952" s="75" t="str">
        <f>HYPERLINK("E:\Data From Lucan\2024\Johnstone\Frames_for_Analysis\1949_20240610_0003_L_2231.jpg","1949_20240610_0003_L_2231.jpg")</f>
        <v>1949_20240610_0003_L_2231.jpg</v>
      </c>
      <c r="G1952" s="75">
        <v>5</v>
      </c>
      <c r="I1952">
        <f t="shared" si="30"/>
        <v>1</v>
      </c>
      <c r="J1952" s="75">
        <v>1</v>
      </c>
      <c r="K1952" s="77"/>
      <c r="L1952" s="77"/>
      <c r="M1952" s="77"/>
      <c r="N1952" s="77"/>
      <c r="O1952" s="75">
        <v>1</v>
      </c>
      <c r="P1952" s="75">
        <v>0</v>
      </c>
      <c r="Q1952" s="75">
        <v>0</v>
      </c>
      <c r="R1952" s="75">
        <v>0</v>
      </c>
      <c r="S1952" s="75">
        <v>0</v>
      </c>
      <c r="T1952" s="75">
        <v>0</v>
      </c>
      <c r="U1952" s="75">
        <v>0</v>
      </c>
      <c r="V1952" s="75">
        <v>0</v>
      </c>
      <c r="W1952" s="78">
        <v>0</v>
      </c>
    </row>
    <row r="1953" spans="1:23" s="75" customFormat="1" hidden="1" x14ac:dyDescent="0.35">
      <c r="A1953" s="75">
        <v>1949</v>
      </c>
      <c r="B1953" s="75">
        <v>1950</v>
      </c>
      <c r="C1953">
        <v>146.03604580000001</v>
      </c>
      <c r="D1953">
        <v>-17.50695095</v>
      </c>
      <c r="F1953" s="75" t="str">
        <f>HYPERLINK("E:\Data From Lucan\2024\Johnstone\Frames_for_Analysis\1950_20240610_0003_L_2233.jpg","1950_20240610_0003_L_2233.jpg")</f>
        <v>1950_20240610_0003_L_2233.jpg</v>
      </c>
      <c r="G1953" s="75">
        <v>5</v>
      </c>
      <c r="I1953">
        <f t="shared" si="30"/>
        <v>1</v>
      </c>
      <c r="J1953" s="75">
        <v>1</v>
      </c>
      <c r="K1953" s="77"/>
      <c r="L1953" s="77"/>
      <c r="M1953" s="77"/>
      <c r="N1953" s="77"/>
      <c r="O1953" s="75">
        <v>1</v>
      </c>
      <c r="P1953" s="75">
        <v>0</v>
      </c>
      <c r="Q1953" s="75">
        <v>0</v>
      </c>
      <c r="R1953" s="75">
        <v>0</v>
      </c>
      <c r="S1953" s="75">
        <v>0</v>
      </c>
      <c r="T1953" s="75">
        <v>0</v>
      </c>
      <c r="U1953" s="75">
        <v>0</v>
      </c>
      <c r="V1953" s="75">
        <v>0</v>
      </c>
      <c r="W1953" s="78">
        <v>0</v>
      </c>
    </row>
    <row r="1954" spans="1:23" s="75" customFormat="1" hidden="1" x14ac:dyDescent="0.35">
      <c r="A1954" s="75">
        <v>1950</v>
      </c>
      <c r="B1954" s="75">
        <v>1951</v>
      </c>
      <c r="C1954">
        <v>146.03608460000001</v>
      </c>
      <c r="D1954">
        <v>-17.50686499</v>
      </c>
      <c r="F1954" s="75" t="str">
        <f>HYPERLINK("E:\Data From Lucan\2024\Johnstone\Frames_for_Analysis\1951_20240610_0003_L_2238.jpg","1951_20240610_0003_L_2238.jpg")</f>
        <v>1951_20240610_0003_L_2238.jpg</v>
      </c>
      <c r="G1954" s="75">
        <v>5</v>
      </c>
      <c r="I1954">
        <f t="shared" si="30"/>
        <v>1</v>
      </c>
      <c r="J1954" s="75">
        <v>1</v>
      </c>
      <c r="K1954" s="77"/>
      <c r="L1954" s="77"/>
      <c r="M1954" s="77"/>
      <c r="N1954" s="77"/>
      <c r="O1954" s="75">
        <v>1</v>
      </c>
      <c r="P1954" s="75">
        <v>0</v>
      </c>
      <c r="Q1954" s="75">
        <v>0</v>
      </c>
      <c r="R1954" s="75">
        <v>0</v>
      </c>
      <c r="S1954" s="75">
        <v>0</v>
      </c>
      <c r="T1954" s="75">
        <v>0</v>
      </c>
      <c r="U1954" s="75">
        <v>0</v>
      </c>
      <c r="V1954" s="75">
        <v>0</v>
      </c>
      <c r="W1954" s="78">
        <v>0</v>
      </c>
    </row>
    <row r="1955" spans="1:23" s="75" customFormat="1" hidden="1" x14ac:dyDescent="0.35">
      <c r="A1955" s="75">
        <v>1951</v>
      </c>
      <c r="B1955" s="75">
        <v>1952</v>
      </c>
      <c r="C1955">
        <v>146.03612330000001</v>
      </c>
      <c r="D1955">
        <v>-17.506779030000001</v>
      </c>
      <c r="F1955" s="75" t="str">
        <f>HYPERLINK("E:\Data From Lucan\2024\Johnstone\Frames_for_Analysis\1952_20240610_0003_L_2241.jpg","1952_20240610_0003_L_2241.jpg")</f>
        <v>1952_20240610_0003_L_2241.jpg</v>
      </c>
      <c r="G1955" s="75">
        <v>5</v>
      </c>
      <c r="I1955">
        <f t="shared" si="30"/>
        <v>1</v>
      </c>
      <c r="J1955" s="75">
        <v>1</v>
      </c>
      <c r="K1955" s="77"/>
      <c r="L1955" s="77"/>
      <c r="M1955" s="77"/>
      <c r="N1955" s="77"/>
      <c r="O1955" s="75">
        <v>1</v>
      </c>
      <c r="P1955" s="75">
        <v>0</v>
      </c>
      <c r="Q1955" s="75">
        <v>0</v>
      </c>
      <c r="R1955" s="75">
        <v>0</v>
      </c>
      <c r="S1955" s="75">
        <v>0</v>
      </c>
      <c r="T1955" s="75">
        <v>0</v>
      </c>
      <c r="U1955" s="75">
        <v>0</v>
      </c>
      <c r="V1955" s="75">
        <v>0</v>
      </c>
      <c r="W1955" s="78">
        <v>0</v>
      </c>
    </row>
    <row r="1956" spans="1:23" s="75" customFormat="1" hidden="1" x14ac:dyDescent="0.35">
      <c r="A1956" s="75">
        <v>1952</v>
      </c>
      <c r="B1956" s="75">
        <v>1953</v>
      </c>
      <c r="C1956">
        <v>146.03616210000001</v>
      </c>
      <c r="D1956">
        <v>-17.506693070000001</v>
      </c>
      <c r="F1956" s="75" t="str">
        <f>HYPERLINK("E:\Data From Lucan\2024\Johnstone\Frames_for_Analysis\1953_20240610_0003_L_2243.jpg","1953_20240610_0003_L_2243.jpg")</f>
        <v>1953_20240610_0003_L_2243.jpg</v>
      </c>
      <c r="G1956" s="75">
        <v>5</v>
      </c>
      <c r="I1956">
        <f t="shared" si="30"/>
        <v>0</v>
      </c>
      <c r="J1956" s="75">
        <v>0</v>
      </c>
      <c r="K1956" s="77"/>
      <c r="L1956" s="77"/>
      <c r="M1956" s="77"/>
      <c r="N1956" s="77"/>
      <c r="O1956" s="75">
        <v>1</v>
      </c>
      <c r="P1956" s="75">
        <v>0</v>
      </c>
      <c r="Q1956" s="75">
        <v>0</v>
      </c>
      <c r="R1956" s="75">
        <v>0</v>
      </c>
      <c r="S1956" s="75">
        <v>0</v>
      </c>
      <c r="T1956" s="75">
        <v>0</v>
      </c>
      <c r="U1956" s="75">
        <v>0</v>
      </c>
      <c r="V1956" s="75">
        <v>1</v>
      </c>
      <c r="W1956" s="78">
        <v>0</v>
      </c>
    </row>
    <row r="1957" spans="1:23" s="75" customFormat="1" hidden="1" x14ac:dyDescent="0.35">
      <c r="A1957" s="75">
        <v>1953</v>
      </c>
      <c r="B1957" s="75">
        <v>1954</v>
      </c>
      <c r="C1957">
        <v>146.0361959</v>
      </c>
      <c r="D1957">
        <v>-17.506605159999999</v>
      </c>
      <c r="F1957" s="75" t="str">
        <f>HYPERLINK("E:\Data From Lucan\2024\Johnstone\Frames_for_Analysis\1954_20240610_0003_L_2246.jpg","1954_20240610_0003_L_2246.jpg")</f>
        <v>1954_20240610_0003_L_2246.jpg</v>
      </c>
      <c r="G1957" s="75">
        <v>5</v>
      </c>
      <c r="I1957">
        <f t="shared" si="30"/>
        <v>0</v>
      </c>
      <c r="J1957" s="75">
        <v>0</v>
      </c>
      <c r="K1957" s="77"/>
      <c r="L1957" s="77"/>
      <c r="M1957" s="77"/>
      <c r="N1957" s="77"/>
      <c r="O1957" s="75">
        <v>1</v>
      </c>
      <c r="P1957" s="75">
        <v>0</v>
      </c>
      <c r="Q1957" s="75">
        <v>0</v>
      </c>
      <c r="R1957" s="75">
        <v>0</v>
      </c>
      <c r="S1957" s="75">
        <v>0</v>
      </c>
      <c r="T1957" s="75">
        <v>0</v>
      </c>
      <c r="U1957" s="75">
        <v>0</v>
      </c>
      <c r="V1957" s="75">
        <v>1</v>
      </c>
      <c r="W1957" s="78">
        <v>0</v>
      </c>
    </row>
    <row r="1958" spans="1:23" s="75" customFormat="1" hidden="1" x14ac:dyDescent="0.35">
      <c r="A1958" s="75">
        <v>1954</v>
      </c>
      <c r="B1958" s="75">
        <v>1955</v>
      </c>
      <c r="C1958">
        <v>146.03622809999999</v>
      </c>
      <c r="D1958">
        <v>-17.506516609999998</v>
      </c>
      <c r="F1958" s="75" t="str">
        <f>HYPERLINK("E:\Data From Lucan\2024\Johnstone\Frames_for_Analysis\1955_20240610_0003_L_2250.jpg","1955_20240610_0003_L_2250.jpg")</f>
        <v>1955_20240610_0003_L_2250.jpg</v>
      </c>
      <c r="G1958" s="75">
        <v>5</v>
      </c>
      <c r="I1958">
        <f t="shared" si="30"/>
        <v>0</v>
      </c>
      <c r="J1958" s="75">
        <v>0</v>
      </c>
      <c r="K1958" s="77"/>
      <c r="L1958" s="77"/>
      <c r="M1958" s="77"/>
      <c r="N1958" s="77"/>
      <c r="O1958" s="75">
        <v>1</v>
      </c>
      <c r="P1958" s="75">
        <v>0</v>
      </c>
      <c r="Q1958" s="75">
        <v>0</v>
      </c>
      <c r="R1958" s="75">
        <v>0</v>
      </c>
      <c r="S1958" s="75">
        <v>0</v>
      </c>
      <c r="T1958" s="75">
        <v>0</v>
      </c>
      <c r="U1958" s="75">
        <v>0</v>
      </c>
      <c r="V1958" s="75">
        <v>0</v>
      </c>
      <c r="W1958" s="78">
        <v>0</v>
      </c>
    </row>
    <row r="1959" spans="1:23" s="75" customFormat="1" hidden="1" x14ac:dyDescent="0.35">
      <c r="A1959" s="75">
        <v>1955</v>
      </c>
      <c r="B1959" s="75">
        <v>1956</v>
      </c>
      <c r="C1959">
        <v>146.0362672</v>
      </c>
      <c r="D1959">
        <v>-17.5064308</v>
      </c>
      <c r="F1959" s="75" t="str">
        <f>HYPERLINK("E:\Data From Lucan\2024\Johnstone\Frames_for_Analysis\1956_20240610_0003_L_2252.jpg","1956_20240610_0003_L_2252.jpg")</f>
        <v>1956_20240610_0003_L_2252.jpg</v>
      </c>
      <c r="G1959" s="75">
        <v>5</v>
      </c>
      <c r="I1959">
        <f t="shared" si="30"/>
        <v>1</v>
      </c>
      <c r="J1959" s="75">
        <v>1</v>
      </c>
      <c r="K1959" s="77"/>
      <c r="L1959" s="77"/>
      <c r="M1959" s="77"/>
      <c r="N1959" s="77"/>
      <c r="O1959" s="75">
        <v>1</v>
      </c>
      <c r="P1959" s="75">
        <v>0</v>
      </c>
      <c r="Q1959" s="75">
        <v>0</v>
      </c>
      <c r="R1959" s="75">
        <v>0</v>
      </c>
      <c r="S1959" s="75">
        <v>0</v>
      </c>
      <c r="T1959" s="75">
        <v>0</v>
      </c>
      <c r="U1959" s="75">
        <v>0</v>
      </c>
      <c r="V1959" s="75">
        <v>0</v>
      </c>
      <c r="W1959" s="78">
        <v>0</v>
      </c>
    </row>
    <row r="1960" spans="1:23" s="75" customFormat="1" hidden="1" x14ac:dyDescent="0.35">
      <c r="A1960" s="75">
        <v>1956</v>
      </c>
      <c r="B1960" s="75">
        <v>1957</v>
      </c>
      <c r="C1960">
        <v>146.03630630000001</v>
      </c>
      <c r="D1960">
        <v>-17.506344989999999</v>
      </c>
      <c r="F1960" s="75" t="str">
        <f>HYPERLINK("E:\Data From Lucan\2024\Johnstone\Frames_for_Analysis\1957_20240610_0003_L_2256.jpg","1957_20240610_0003_L_2256.jpg")</f>
        <v>1957_20240610_0003_L_2256.jpg</v>
      </c>
      <c r="G1960" s="75">
        <v>5</v>
      </c>
      <c r="I1960">
        <f t="shared" si="30"/>
        <v>1</v>
      </c>
      <c r="J1960" s="75">
        <v>1</v>
      </c>
      <c r="K1960" s="77"/>
      <c r="L1960" s="77"/>
      <c r="M1960" s="77"/>
      <c r="N1960" s="77"/>
      <c r="O1960" s="75">
        <v>1</v>
      </c>
      <c r="P1960" s="75">
        <v>0</v>
      </c>
      <c r="Q1960" s="75">
        <v>0</v>
      </c>
      <c r="R1960" s="75">
        <v>0</v>
      </c>
      <c r="S1960" s="75">
        <v>0</v>
      </c>
      <c r="T1960" s="75">
        <v>0</v>
      </c>
      <c r="U1960" s="75">
        <v>0</v>
      </c>
      <c r="V1960" s="75">
        <v>0</v>
      </c>
      <c r="W1960" s="78">
        <v>0</v>
      </c>
    </row>
    <row r="1961" spans="1:23" s="75" customFormat="1" hidden="1" x14ac:dyDescent="0.35">
      <c r="A1961" s="75">
        <v>1957</v>
      </c>
      <c r="B1961" s="75">
        <v>1958</v>
      </c>
      <c r="C1961">
        <v>146.03634539999999</v>
      </c>
      <c r="D1961">
        <v>-17.506259180000001</v>
      </c>
      <c r="F1961" s="75" t="str">
        <f>HYPERLINK("E:\Data From Lucan\2024\Johnstone\Frames_for_Analysis\1958_20240610_0003_L_2259.jpg","1958_20240610_0003_L_2259.jpg")</f>
        <v>1958_20240610_0003_L_2259.jpg</v>
      </c>
      <c r="G1961" s="75">
        <v>5</v>
      </c>
      <c r="I1961">
        <f t="shared" si="30"/>
        <v>1</v>
      </c>
      <c r="J1961" s="75">
        <v>1</v>
      </c>
      <c r="K1961" s="77"/>
      <c r="L1961" s="77"/>
      <c r="M1961" s="77"/>
      <c r="N1961" s="77"/>
      <c r="O1961" s="75">
        <v>1</v>
      </c>
      <c r="P1961" s="75">
        <v>0</v>
      </c>
      <c r="Q1961" s="75">
        <v>0</v>
      </c>
      <c r="R1961" s="75">
        <v>0</v>
      </c>
      <c r="S1961" s="75">
        <v>0</v>
      </c>
      <c r="T1961" s="75">
        <v>0</v>
      </c>
      <c r="U1961" s="75">
        <v>0</v>
      </c>
      <c r="V1961" s="75">
        <v>0</v>
      </c>
      <c r="W1961" s="78">
        <v>0</v>
      </c>
    </row>
    <row r="1962" spans="1:23" s="75" customFormat="1" hidden="1" x14ac:dyDescent="0.35">
      <c r="A1962" s="75">
        <v>1958</v>
      </c>
      <c r="B1962" s="75">
        <v>1959</v>
      </c>
      <c r="C1962">
        <v>146.0363845</v>
      </c>
      <c r="D1962">
        <v>-17.506173369999999</v>
      </c>
      <c r="F1962" s="75" t="str">
        <f>HYPERLINK("E:\Data From Lucan\2024\Johnstone\Frames_for_Analysis\1959_20240610_0003_L_2263.jpg","1959_20240610_0003_L_2263.jpg")</f>
        <v>1959_20240610_0003_L_2263.jpg</v>
      </c>
      <c r="G1962" s="75">
        <v>5</v>
      </c>
      <c r="I1962">
        <f t="shared" si="30"/>
        <v>1</v>
      </c>
      <c r="J1962" s="75">
        <v>1</v>
      </c>
      <c r="K1962" s="77"/>
      <c r="L1962" s="77"/>
      <c r="M1962" s="77"/>
      <c r="N1962" s="77"/>
      <c r="O1962" s="75">
        <v>1</v>
      </c>
      <c r="P1962" s="75">
        <v>0</v>
      </c>
      <c r="Q1962" s="75">
        <v>0</v>
      </c>
      <c r="R1962" s="75">
        <v>0</v>
      </c>
      <c r="S1962" s="75">
        <v>0</v>
      </c>
      <c r="T1962" s="75">
        <v>0</v>
      </c>
      <c r="U1962" s="75">
        <v>0</v>
      </c>
      <c r="V1962" s="75">
        <v>0</v>
      </c>
      <c r="W1962" s="78">
        <v>0</v>
      </c>
    </row>
    <row r="1963" spans="1:23" s="75" customFormat="1" hidden="1" x14ac:dyDescent="0.35">
      <c r="A1963" s="75">
        <v>1959</v>
      </c>
      <c r="B1963" s="75">
        <v>1960</v>
      </c>
      <c r="C1963">
        <v>146.03642360000001</v>
      </c>
      <c r="D1963">
        <v>-17.506087560000001</v>
      </c>
      <c r="F1963" s="75" t="str">
        <f>HYPERLINK("E:\Data From Lucan\2024\Johnstone\Frames_for_Analysis\1960_20240610_0003_L_2265.jpg","1960_20240610_0003_L_2265.jpg")</f>
        <v>1960_20240610_0003_L_2265.jpg</v>
      </c>
      <c r="G1963" s="75">
        <v>5</v>
      </c>
      <c r="I1963">
        <f t="shared" si="30"/>
        <v>1</v>
      </c>
      <c r="J1963" s="75">
        <v>1</v>
      </c>
      <c r="K1963" s="77"/>
      <c r="L1963" s="77"/>
      <c r="M1963" s="77"/>
      <c r="N1963" s="77"/>
      <c r="O1963" s="75">
        <v>1</v>
      </c>
      <c r="P1963" s="75">
        <v>0</v>
      </c>
      <c r="Q1963" s="75">
        <v>0</v>
      </c>
      <c r="R1963" s="75">
        <v>0</v>
      </c>
      <c r="S1963" s="75">
        <v>0</v>
      </c>
      <c r="T1963" s="75">
        <v>0</v>
      </c>
      <c r="U1963" s="75">
        <v>0</v>
      </c>
      <c r="V1963" s="75">
        <v>0</v>
      </c>
      <c r="W1963" s="78">
        <v>0</v>
      </c>
    </row>
    <row r="1964" spans="1:23" s="75" customFormat="1" hidden="1" x14ac:dyDescent="0.35">
      <c r="A1964" s="75">
        <v>1960</v>
      </c>
      <c r="B1964" s="75">
        <v>1961</v>
      </c>
      <c r="C1964">
        <v>146.0364524</v>
      </c>
      <c r="D1964">
        <v>-17.505997990000001</v>
      </c>
      <c r="F1964" s="75" t="str">
        <f>HYPERLINK("E:\Data From Lucan\2024\Johnstone\Frames_for_Analysis\1961_20240610_0003_L_2270.jpg","1961_20240610_0003_L_2270.jpg")</f>
        <v>1961_20240610_0003_L_2270.jpg</v>
      </c>
      <c r="G1964" s="75">
        <v>5</v>
      </c>
      <c r="I1964">
        <f t="shared" si="30"/>
        <v>0</v>
      </c>
      <c r="J1964" s="75">
        <v>0</v>
      </c>
      <c r="K1964" s="77"/>
      <c r="L1964" s="77"/>
      <c r="M1964" s="77"/>
      <c r="N1964" s="77"/>
      <c r="O1964" s="75">
        <v>1</v>
      </c>
      <c r="P1964" s="75">
        <v>0</v>
      </c>
      <c r="Q1964" s="75">
        <v>0</v>
      </c>
      <c r="R1964" s="75">
        <v>0</v>
      </c>
      <c r="S1964" s="75">
        <v>0</v>
      </c>
      <c r="T1964" s="75">
        <v>0</v>
      </c>
      <c r="U1964" s="75">
        <v>0</v>
      </c>
      <c r="V1964" s="75">
        <v>0</v>
      </c>
      <c r="W1964" s="78">
        <v>0</v>
      </c>
    </row>
    <row r="1965" spans="1:23" s="75" customFormat="1" hidden="1" x14ac:dyDescent="0.35">
      <c r="A1965" s="75">
        <v>1961</v>
      </c>
      <c r="B1965" s="75">
        <v>1962</v>
      </c>
      <c r="C1965">
        <v>146.03647760000001</v>
      </c>
      <c r="D1965">
        <v>-17.505907109999999</v>
      </c>
      <c r="F1965" s="75" t="str">
        <f>HYPERLINK("E:\Data From Lucan\2024\Johnstone\Frames_for_Analysis\1962_20240610_0003_L_2273.jpg","1962_20240610_0003_L_2273.jpg")</f>
        <v>1962_20240610_0003_L_2273.jpg</v>
      </c>
      <c r="G1965" s="75">
        <v>5</v>
      </c>
      <c r="I1965">
        <f t="shared" si="30"/>
        <v>0</v>
      </c>
      <c r="J1965" s="75">
        <v>0</v>
      </c>
      <c r="K1965" s="77"/>
      <c r="L1965" s="77"/>
      <c r="M1965" s="77"/>
      <c r="N1965" s="77"/>
      <c r="O1965" s="75">
        <v>1</v>
      </c>
      <c r="P1965" s="75">
        <v>0</v>
      </c>
      <c r="Q1965" s="75">
        <v>0</v>
      </c>
      <c r="R1965" s="75">
        <v>0</v>
      </c>
      <c r="S1965" s="75">
        <v>0</v>
      </c>
      <c r="T1965" s="75">
        <v>0</v>
      </c>
      <c r="U1965" s="75">
        <v>0</v>
      </c>
      <c r="V1965" s="75">
        <v>0</v>
      </c>
      <c r="W1965" s="78">
        <v>0</v>
      </c>
    </row>
    <row r="1966" spans="1:23" s="75" customFormat="1" hidden="1" x14ac:dyDescent="0.35">
      <c r="A1966" s="75">
        <v>1962</v>
      </c>
      <c r="B1966" s="75">
        <v>1963</v>
      </c>
      <c r="C1966">
        <v>146.0365027</v>
      </c>
      <c r="D1966">
        <v>-17.50581622</v>
      </c>
      <c r="F1966" s="75" t="str">
        <f>HYPERLINK("E:\Data From Lucan\2024\Johnstone\Frames_for_Analysis\1963_20240610_0003_L_2278.jpg","1963_20240610_0003_L_2278.jpg")</f>
        <v>1963_20240610_0003_L_2278.jpg</v>
      </c>
      <c r="G1966" s="75">
        <v>5</v>
      </c>
      <c r="I1966">
        <f t="shared" si="30"/>
        <v>1</v>
      </c>
      <c r="J1966" s="75">
        <v>1</v>
      </c>
      <c r="K1966" s="77"/>
      <c r="L1966" s="77"/>
      <c r="M1966" s="77"/>
      <c r="N1966" s="77"/>
      <c r="O1966" s="75">
        <v>1</v>
      </c>
      <c r="P1966" s="75">
        <v>0</v>
      </c>
      <c r="Q1966" s="75">
        <v>0</v>
      </c>
      <c r="R1966" s="75">
        <v>0</v>
      </c>
      <c r="S1966" s="75">
        <v>0</v>
      </c>
      <c r="T1966" s="75">
        <v>0</v>
      </c>
      <c r="U1966" s="75">
        <v>0</v>
      </c>
      <c r="V1966" s="75">
        <v>0</v>
      </c>
      <c r="W1966" s="78">
        <v>0</v>
      </c>
    </row>
    <row r="1967" spans="1:23" s="75" customFormat="1" hidden="1" x14ac:dyDescent="0.35">
      <c r="A1967" s="75">
        <v>1963</v>
      </c>
      <c r="B1967" s="75">
        <v>1964</v>
      </c>
      <c r="C1967">
        <v>146.03652790000001</v>
      </c>
      <c r="D1967">
        <v>-17.505725340000001</v>
      </c>
      <c r="F1967" s="75" t="str">
        <f>HYPERLINK("E:\Data From Lucan\2024\Johnstone\Frames_for_Analysis\1964_20240610_0003_L_2282.jpg","1964_20240610_0003_L_2282.jpg")</f>
        <v>1964_20240610_0003_L_2282.jpg</v>
      </c>
      <c r="G1967" s="75">
        <v>5</v>
      </c>
      <c r="I1967">
        <f t="shared" si="30"/>
        <v>1</v>
      </c>
      <c r="J1967" s="75">
        <v>1</v>
      </c>
      <c r="K1967" s="77"/>
      <c r="L1967" s="77"/>
      <c r="M1967" s="77"/>
      <c r="N1967" s="77"/>
      <c r="O1967" s="75">
        <v>1</v>
      </c>
      <c r="P1967" s="75">
        <v>0</v>
      </c>
      <c r="Q1967" s="75">
        <v>0</v>
      </c>
      <c r="R1967" s="75">
        <v>0</v>
      </c>
      <c r="S1967" s="75">
        <v>0</v>
      </c>
      <c r="T1967" s="75">
        <v>0</v>
      </c>
      <c r="U1967" s="75">
        <v>0</v>
      </c>
      <c r="V1967" s="75">
        <v>0</v>
      </c>
      <c r="W1967" s="78">
        <v>0</v>
      </c>
    </row>
    <row r="1968" spans="1:23" s="75" customFormat="1" hidden="1" x14ac:dyDescent="0.35">
      <c r="A1968" s="75">
        <v>1964</v>
      </c>
      <c r="B1968" s="75">
        <v>1965</v>
      </c>
      <c r="C1968">
        <v>146.03655309999999</v>
      </c>
      <c r="D1968">
        <v>-17.505634449999999</v>
      </c>
      <c r="F1968" s="75" t="str">
        <f>HYPERLINK("E:\Data From Lucan\2024\Johnstone\Frames_for_Analysis\1965_20240610_0003_L_2287.jpg","1965_20240610_0003_L_2287.jpg")</f>
        <v>1965_20240610_0003_L_2287.jpg</v>
      </c>
      <c r="G1968" s="75">
        <v>5</v>
      </c>
      <c r="I1968">
        <f t="shared" si="30"/>
        <v>1</v>
      </c>
      <c r="J1968" s="75">
        <v>1</v>
      </c>
      <c r="K1968" s="77"/>
      <c r="L1968" s="77"/>
      <c r="M1968" s="77"/>
      <c r="N1968" s="77"/>
      <c r="O1968" s="75">
        <v>1</v>
      </c>
      <c r="P1968" s="75">
        <v>0</v>
      </c>
      <c r="Q1968" s="75">
        <v>0</v>
      </c>
      <c r="R1968" s="75">
        <v>0</v>
      </c>
      <c r="S1968" s="75">
        <v>0</v>
      </c>
      <c r="T1968" s="75">
        <v>0</v>
      </c>
      <c r="U1968" s="75">
        <v>0</v>
      </c>
      <c r="V1968" s="75">
        <v>0</v>
      </c>
      <c r="W1968" s="78">
        <v>0</v>
      </c>
    </row>
    <row r="1969" spans="1:23" s="75" customFormat="1" hidden="1" x14ac:dyDescent="0.35">
      <c r="A1969" s="75">
        <v>1965</v>
      </c>
      <c r="B1969" s="75">
        <v>1966</v>
      </c>
      <c r="C1969">
        <v>146.03657820000001</v>
      </c>
      <c r="D1969">
        <v>-17.50554357</v>
      </c>
      <c r="F1969" s="75" t="str">
        <f>HYPERLINK("E:\Data From Lucan\2024\Johnstone\Frames_for_Analysis\1966_20240610_0003_L_2289.jpg","1966_20240610_0003_L_2289.jpg")</f>
        <v>1966_20240610_0003_L_2289.jpg</v>
      </c>
      <c r="G1969" s="75">
        <v>5</v>
      </c>
      <c r="I1969">
        <f t="shared" si="30"/>
        <v>1</v>
      </c>
      <c r="J1969" s="75">
        <v>1</v>
      </c>
      <c r="K1969" s="77"/>
      <c r="L1969" s="77"/>
      <c r="M1969" s="77"/>
      <c r="N1969" s="77"/>
      <c r="O1969" s="75">
        <v>1</v>
      </c>
      <c r="P1969" s="75">
        <v>0</v>
      </c>
      <c r="Q1969" s="75">
        <v>0</v>
      </c>
      <c r="R1969" s="75">
        <v>0</v>
      </c>
      <c r="S1969" s="75">
        <v>0</v>
      </c>
      <c r="T1969" s="75">
        <v>0</v>
      </c>
      <c r="U1969" s="75">
        <v>0</v>
      </c>
      <c r="V1969" s="75">
        <v>0</v>
      </c>
      <c r="W1969" s="78">
        <v>0</v>
      </c>
    </row>
    <row r="1970" spans="1:23" s="75" customFormat="1" hidden="1" x14ac:dyDescent="0.35">
      <c r="A1970" s="75">
        <v>1966</v>
      </c>
      <c r="B1970" s="75">
        <v>1967</v>
      </c>
      <c r="C1970">
        <v>146.03660339999999</v>
      </c>
      <c r="D1970">
        <v>-17.505452689999998</v>
      </c>
      <c r="F1970" s="75" t="str">
        <f>HYPERLINK("E:\Data From Lucan\2024\Johnstone\Frames_for_Analysis\1967_20240610_0003_L_2292.jpg","1967_20240610_0003_L_2292.jpg")</f>
        <v>1967_20240610_0003_L_2292.jpg</v>
      </c>
      <c r="G1970" s="75">
        <v>5</v>
      </c>
      <c r="I1970">
        <f t="shared" si="30"/>
        <v>1</v>
      </c>
      <c r="J1970" s="75">
        <v>1</v>
      </c>
      <c r="K1970" s="77"/>
      <c r="L1970" s="77"/>
      <c r="M1970" s="77"/>
      <c r="N1970" s="77"/>
      <c r="O1970" s="75">
        <v>1</v>
      </c>
      <c r="P1970" s="75">
        <v>0</v>
      </c>
      <c r="Q1970" s="75">
        <v>0</v>
      </c>
      <c r="R1970" s="75">
        <v>0</v>
      </c>
      <c r="S1970" s="75">
        <v>0</v>
      </c>
      <c r="T1970" s="75">
        <v>0</v>
      </c>
      <c r="U1970" s="75">
        <v>0</v>
      </c>
      <c r="V1970" s="75">
        <v>0</v>
      </c>
      <c r="W1970" s="78">
        <v>0</v>
      </c>
    </row>
    <row r="1971" spans="1:23" s="75" customFormat="1" hidden="1" x14ac:dyDescent="0.35">
      <c r="A1971" s="75">
        <v>1967</v>
      </c>
      <c r="B1971" s="75">
        <v>1968</v>
      </c>
      <c r="C1971">
        <v>146.0366286</v>
      </c>
      <c r="D1971">
        <v>-17.505361799999999</v>
      </c>
      <c r="F1971" s="75" t="str">
        <f>HYPERLINK("E:\Data From Lucan\2024\Johnstone\Frames_for_Analysis\1968_20240610_0003_L_2296.jpg","1968_20240610_0003_L_2296.jpg")</f>
        <v>1968_20240610_0003_L_2296.jpg</v>
      </c>
      <c r="G1971" s="75">
        <v>5</v>
      </c>
      <c r="I1971">
        <f t="shared" si="30"/>
        <v>0</v>
      </c>
      <c r="J1971" s="75">
        <v>0</v>
      </c>
      <c r="K1971" s="77"/>
      <c r="L1971" s="77"/>
      <c r="M1971" s="77"/>
      <c r="N1971" s="77"/>
      <c r="O1971" s="75">
        <v>2</v>
      </c>
      <c r="P1971" s="75">
        <v>0</v>
      </c>
      <c r="Q1971" s="75">
        <v>0</v>
      </c>
      <c r="R1971" s="75">
        <v>0</v>
      </c>
      <c r="S1971" s="75">
        <v>0</v>
      </c>
      <c r="T1971" s="75">
        <v>0</v>
      </c>
      <c r="U1971" s="75">
        <v>0</v>
      </c>
      <c r="V1971" s="75">
        <v>0</v>
      </c>
      <c r="W1971" s="78">
        <v>1</v>
      </c>
    </row>
    <row r="1972" spans="1:23" s="75" customFormat="1" hidden="1" x14ac:dyDescent="0.35">
      <c r="A1972" s="75">
        <v>1968</v>
      </c>
      <c r="B1972" s="75">
        <v>1969</v>
      </c>
      <c r="C1972">
        <v>146.03665219999999</v>
      </c>
      <c r="D1972">
        <v>-17.50527057</v>
      </c>
      <c r="F1972" s="75" t="str">
        <f>HYPERLINK("E:\Data From Lucan\2024\Johnstone\Frames_for_Analysis\1969_20240610_0003_L_2301.jpg","1969_20240610_0003_L_2301.jpg")</f>
        <v>1969_20240610_0003_L_2301.jpg</v>
      </c>
      <c r="G1972" s="75">
        <v>5</v>
      </c>
      <c r="I1972">
        <f t="shared" si="30"/>
        <v>1</v>
      </c>
      <c r="J1972" s="75">
        <v>1</v>
      </c>
      <c r="K1972" s="77"/>
      <c r="L1972" s="77"/>
      <c r="M1972" s="77"/>
      <c r="N1972" s="77"/>
      <c r="O1972" s="75">
        <v>1</v>
      </c>
      <c r="P1972" s="75">
        <v>0</v>
      </c>
      <c r="Q1972" s="75">
        <v>0</v>
      </c>
      <c r="R1972" s="75">
        <v>0</v>
      </c>
      <c r="S1972" s="75">
        <v>0</v>
      </c>
      <c r="T1972" s="75">
        <v>0</v>
      </c>
      <c r="U1972" s="75">
        <v>0</v>
      </c>
      <c r="V1972" s="75">
        <v>0</v>
      </c>
      <c r="W1972" s="78">
        <v>0</v>
      </c>
    </row>
    <row r="1973" spans="1:23" s="75" customFormat="1" hidden="1" x14ac:dyDescent="0.35">
      <c r="A1973" s="75">
        <v>1969</v>
      </c>
      <c r="B1973" s="75">
        <v>1970</v>
      </c>
      <c r="C1973">
        <v>146.0366684</v>
      </c>
      <c r="D1973">
        <v>-17.505177679999999</v>
      </c>
      <c r="F1973" s="75" t="str">
        <f>HYPERLINK("E:\Data From Lucan\2024\Johnstone\Frames_for_Analysis\1970_20240610_0003_L_2304.jpg","1970_20240610_0003_L_2304.jpg")</f>
        <v>1970_20240610_0003_L_2304.jpg</v>
      </c>
      <c r="G1973" s="75">
        <v>5</v>
      </c>
      <c r="I1973">
        <f t="shared" si="30"/>
        <v>1</v>
      </c>
      <c r="J1973" s="75">
        <v>1</v>
      </c>
      <c r="K1973" s="77"/>
      <c r="L1973" s="77"/>
      <c r="M1973" s="77"/>
      <c r="N1973" s="77"/>
      <c r="O1973" s="75">
        <v>1</v>
      </c>
      <c r="P1973" s="75">
        <v>0</v>
      </c>
      <c r="Q1973" s="75">
        <v>0</v>
      </c>
      <c r="R1973" s="75">
        <v>0</v>
      </c>
      <c r="S1973" s="75">
        <v>0</v>
      </c>
      <c r="T1973" s="75">
        <v>0</v>
      </c>
      <c r="U1973" s="75">
        <v>0</v>
      </c>
      <c r="V1973" s="75">
        <v>0</v>
      </c>
      <c r="W1973" s="78">
        <v>0</v>
      </c>
    </row>
    <row r="1974" spans="1:23" s="75" customFormat="1" hidden="1" x14ac:dyDescent="0.35">
      <c r="A1974" s="75">
        <v>1970</v>
      </c>
      <c r="B1974" s="75">
        <v>1971</v>
      </c>
      <c r="C1974">
        <v>146.0366847</v>
      </c>
      <c r="D1974">
        <v>-17.505084780000001</v>
      </c>
      <c r="F1974" s="75" t="str">
        <f>HYPERLINK("E:\Data From Lucan\2024\Johnstone\Frames_for_Analysis\1971_20240610_0003_L_2308.jpg","1971_20240610_0003_L_2308.jpg")</f>
        <v>1971_20240610_0003_L_2308.jpg</v>
      </c>
      <c r="G1974" s="75">
        <v>5</v>
      </c>
      <c r="I1974">
        <f t="shared" si="30"/>
        <v>1</v>
      </c>
      <c r="J1974" s="75">
        <v>1</v>
      </c>
      <c r="K1974" s="77"/>
      <c r="L1974" s="77"/>
      <c r="M1974" s="77"/>
      <c r="N1974" s="77"/>
      <c r="O1974" s="75">
        <v>1</v>
      </c>
      <c r="P1974" s="75">
        <v>0</v>
      </c>
      <c r="Q1974" s="75">
        <v>0</v>
      </c>
      <c r="R1974" s="75">
        <v>0</v>
      </c>
      <c r="S1974" s="75">
        <v>0</v>
      </c>
      <c r="T1974" s="75">
        <v>0</v>
      </c>
      <c r="U1974" s="75">
        <v>0</v>
      </c>
      <c r="V1974" s="75">
        <v>0</v>
      </c>
      <c r="W1974" s="78">
        <v>0</v>
      </c>
    </row>
    <row r="1975" spans="1:23" s="75" customFormat="1" hidden="1" x14ac:dyDescent="0.35">
      <c r="A1975" s="75">
        <v>1971</v>
      </c>
      <c r="B1975" s="75">
        <v>1972</v>
      </c>
      <c r="C1975">
        <v>146.0367009</v>
      </c>
      <c r="D1975">
        <v>-17.504991889999999</v>
      </c>
      <c r="F1975" s="75" t="str">
        <f>HYPERLINK("E:\Data From Lucan\2024\Johnstone\Frames_for_Analysis\1972_20240610_0003_L_2311.jpg","1972_20240610_0003_L_2311.jpg")</f>
        <v>1972_20240610_0003_L_2311.jpg</v>
      </c>
      <c r="G1975" s="75">
        <v>5</v>
      </c>
      <c r="I1975">
        <f t="shared" si="30"/>
        <v>1</v>
      </c>
      <c r="J1975" s="75">
        <v>1</v>
      </c>
      <c r="K1975" s="77"/>
      <c r="L1975" s="77"/>
      <c r="M1975" s="77"/>
      <c r="N1975" s="77"/>
      <c r="O1975" s="75">
        <v>1</v>
      </c>
      <c r="P1975" s="75">
        <v>0</v>
      </c>
      <c r="Q1975" s="75">
        <v>0</v>
      </c>
      <c r="R1975" s="75">
        <v>0</v>
      </c>
      <c r="S1975" s="75">
        <v>0</v>
      </c>
      <c r="T1975" s="75">
        <v>0</v>
      </c>
      <c r="U1975" s="75">
        <v>0</v>
      </c>
      <c r="V1975" s="75">
        <v>0</v>
      </c>
      <c r="W1975" s="78">
        <v>0</v>
      </c>
    </row>
    <row r="1976" spans="1:23" s="75" customFormat="1" hidden="1" x14ac:dyDescent="0.35">
      <c r="A1976" s="75">
        <v>1972</v>
      </c>
      <c r="B1976" s="75">
        <v>1973</v>
      </c>
      <c r="C1976">
        <v>146.0367171</v>
      </c>
      <c r="D1976">
        <v>-17.504898990000001</v>
      </c>
      <c r="F1976" s="75" t="str">
        <f>HYPERLINK("E:\Data From Lucan\2024\Johnstone\Frames_for_Analysis\1973_20240610_0003_L_2315.jpg","1973_20240610_0003_L_2315.jpg")</f>
        <v>1973_20240610_0003_L_2315.jpg</v>
      </c>
      <c r="G1976" s="75">
        <v>5</v>
      </c>
      <c r="I1976">
        <f t="shared" si="30"/>
        <v>1</v>
      </c>
      <c r="J1976" s="75">
        <v>1</v>
      </c>
      <c r="K1976" s="77"/>
      <c r="L1976" s="77"/>
      <c r="M1976" s="77"/>
      <c r="N1976" s="77"/>
      <c r="O1976" s="75">
        <v>1</v>
      </c>
      <c r="P1976" s="75">
        <v>0</v>
      </c>
      <c r="Q1976" s="75">
        <v>0</v>
      </c>
      <c r="R1976" s="75">
        <v>0</v>
      </c>
      <c r="S1976" s="75">
        <v>0</v>
      </c>
      <c r="T1976" s="75">
        <v>0</v>
      </c>
      <c r="U1976" s="75">
        <v>0</v>
      </c>
      <c r="V1976" s="75">
        <v>0</v>
      </c>
      <c r="W1976" s="78">
        <v>0</v>
      </c>
    </row>
    <row r="1977" spans="1:23" s="75" customFormat="1" hidden="1" x14ac:dyDescent="0.35">
      <c r="A1977" s="75">
        <v>1973</v>
      </c>
      <c r="B1977" s="75">
        <v>1974</v>
      </c>
      <c r="C1977">
        <v>146.0367334</v>
      </c>
      <c r="D1977">
        <v>-17.5048061</v>
      </c>
      <c r="F1977" s="75" t="str">
        <f>HYPERLINK("E:\Data From Lucan\2024\Johnstone\Frames_for_Analysis\1974_20240610_0003_L_2318.jpg","1974_20240610_0003_L_2318.jpg")</f>
        <v>1974_20240610_0003_L_2318.jpg</v>
      </c>
      <c r="G1977" s="75">
        <v>5</v>
      </c>
      <c r="I1977">
        <f t="shared" si="30"/>
        <v>1</v>
      </c>
      <c r="J1977" s="75">
        <v>1</v>
      </c>
      <c r="K1977" s="77"/>
      <c r="L1977" s="77"/>
      <c r="M1977" s="77"/>
      <c r="N1977" s="77"/>
      <c r="O1977" s="75">
        <v>1</v>
      </c>
      <c r="P1977" s="75">
        <v>0</v>
      </c>
      <c r="Q1977" s="75">
        <v>0</v>
      </c>
      <c r="R1977" s="75">
        <v>0</v>
      </c>
      <c r="S1977" s="75">
        <v>0</v>
      </c>
      <c r="T1977" s="75">
        <v>0</v>
      </c>
      <c r="U1977" s="75">
        <v>0</v>
      </c>
      <c r="V1977" s="75">
        <v>0</v>
      </c>
      <c r="W1977" s="78">
        <v>0</v>
      </c>
    </row>
    <row r="1978" spans="1:23" s="75" customFormat="1" hidden="1" x14ac:dyDescent="0.35">
      <c r="A1978" s="75">
        <v>1974</v>
      </c>
      <c r="B1978" s="75">
        <v>1975</v>
      </c>
      <c r="C1978">
        <v>146.03674960000001</v>
      </c>
      <c r="D1978">
        <v>-17.504713200000001</v>
      </c>
      <c r="F1978" s="75" t="str">
        <f>HYPERLINK("E:\Data From Lucan\2024\Johnstone\Frames_for_Analysis\1975_20240610_0003_L_2323.jpg","1975_20240610_0003_L_2323.jpg")</f>
        <v>1975_20240610_0003_L_2323.jpg</v>
      </c>
      <c r="G1978" s="75">
        <v>5</v>
      </c>
      <c r="I1978">
        <f t="shared" si="30"/>
        <v>1</v>
      </c>
      <c r="J1978" s="75">
        <v>1</v>
      </c>
      <c r="K1978" s="77"/>
      <c r="L1978" s="77"/>
      <c r="M1978" s="77"/>
      <c r="N1978" s="77"/>
      <c r="O1978" s="75">
        <v>1</v>
      </c>
      <c r="P1978" s="75">
        <v>0</v>
      </c>
      <c r="Q1978" s="75">
        <v>0</v>
      </c>
      <c r="R1978" s="75">
        <v>0</v>
      </c>
      <c r="S1978" s="75">
        <v>0</v>
      </c>
      <c r="T1978" s="75">
        <v>0</v>
      </c>
      <c r="U1978" s="75">
        <v>0</v>
      </c>
      <c r="V1978" s="75">
        <v>0</v>
      </c>
      <c r="W1978" s="78">
        <v>0</v>
      </c>
    </row>
    <row r="1979" spans="1:23" s="75" customFormat="1" hidden="1" x14ac:dyDescent="0.35">
      <c r="A1979" s="75">
        <v>1975</v>
      </c>
      <c r="B1979" s="75">
        <v>1976</v>
      </c>
      <c r="C1979">
        <v>146.03676580000001</v>
      </c>
      <c r="D1979">
        <v>-17.504620299999999</v>
      </c>
      <c r="F1979" s="75" t="str">
        <f>HYPERLINK("E:\Data From Lucan\2024\Johnstone\Frames_for_Analysis\1976_20240610_0003_L_2327.jpg","1976_20240610_0003_L_2327.jpg")</f>
        <v>1976_20240610_0003_L_2327.jpg</v>
      </c>
      <c r="G1979" s="75">
        <v>5</v>
      </c>
      <c r="I1979">
        <f t="shared" si="30"/>
        <v>1</v>
      </c>
      <c r="J1979" s="75">
        <v>1</v>
      </c>
      <c r="K1979" s="77"/>
      <c r="L1979" s="77"/>
      <c r="M1979" s="77"/>
      <c r="N1979" s="77"/>
      <c r="O1979" s="75">
        <v>1</v>
      </c>
      <c r="P1979" s="75">
        <v>0</v>
      </c>
      <c r="Q1979" s="75">
        <v>0</v>
      </c>
      <c r="R1979" s="75">
        <v>0</v>
      </c>
      <c r="S1979" s="75">
        <v>0</v>
      </c>
      <c r="T1979" s="75">
        <v>0</v>
      </c>
      <c r="U1979" s="75">
        <v>0</v>
      </c>
      <c r="V1979" s="75">
        <v>1</v>
      </c>
      <c r="W1979" s="78">
        <v>0</v>
      </c>
    </row>
    <row r="1980" spans="1:23" s="75" customFormat="1" hidden="1" x14ac:dyDescent="0.35">
      <c r="A1980" s="75">
        <v>1976</v>
      </c>
      <c r="B1980" s="75">
        <v>1977</v>
      </c>
      <c r="C1980">
        <v>146.03678210000001</v>
      </c>
      <c r="D1980">
        <v>-17.504527410000001</v>
      </c>
      <c r="F1980" s="75" t="str">
        <f>HYPERLINK("E:\Data From Lucan\2024\Johnstone\Frames_for_Analysis\1977_20240610_0003_L_2330.jpg","1977_20240610_0003_L_2330.jpg")</f>
        <v>1977_20240610_0003_L_2330.jpg</v>
      </c>
      <c r="G1980" s="75">
        <v>5</v>
      </c>
      <c r="I1980">
        <f t="shared" si="30"/>
        <v>1</v>
      </c>
      <c r="J1980" s="75">
        <v>1</v>
      </c>
      <c r="K1980" s="77"/>
      <c r="L1980" s="77"/>
      <c r="M1980" s="77"/>
      <c r="N1980" s="77"/>
      <c r="O1980" s="75">
        <v>1</v>
      </c>
      <c r="P1980" s="75">
        <v>0</v>
      </c>
      <c r="Q1980" s="75">
        <v>0</v>
      </c>
      <c r="R1980" s="75">
        <v>0</v>
      </c>
      <c r="S1980" s="75">
        <v>0</v>
      </c>
      <c r="T1980" s="75">
        <v>0</v>
      </c>
      <c r="U1980" s="75">
        <v>0</v>
      </c>
      <c r="V1980" s="75">
        <v>0</v>
      </c>
      <c r="W1980" s="78">
        <v>0</v>
      </c>
    </row>
    <row r="1981" spans="1:23" s="75" customFormat="1" hidden="1" x14ac:dyDescent="0.35">
      <c r="A1981" s="75">
        <v>1977</v>
      </c>
      <c r="B1981" s="75">
        <v>1978</v>
      </c>
      <c r="C1981">
        <v>146.03679829999999</v>
      </c>
      <c r="D1981">
        <v>-17.504434509999999</v>
      </c>
      <c r="F1981" s="75" t="str">
        <f>HYPERLINK("E:\Data From Lucan\2024\Johnstone\Frames_for_Analysis\1978_20240610_0003_L_2338.jpg","1978_20240610_0003_L_2338.jpg")</f>
        <v>1978_20240610_0003_L_2338.jpg</v>
      </c>
      <c r="G1981" s="75">
        <v>5</v>
      </c>
      <c r="I1981">
        <f t="shared" si="30"/>
        <v>1</v>
      </c>
      <c r="J1981" s="75">
        <v>1</v>
      </c>
      <c r="K1981" s="77"/>
      <c r="L1981" s="77"/>
      <c r="M1981" s="77"/>
      <c r="N1981" s="77"/>
      <c r="O1981" s="75">
        <v>1</v>
      </c>
      <c r="P1981" s="75">
        <v>0</v>
      </c>
      <c r="Q1981" s="75">
        <v>0</v>
      </c>
      <c r="R1981" s="75">
        <v>0</v>
      </c>
      <c r="S1981" s="75">
        <v>0</v>
      </c>
      <c r="T1981" s="75">
        <v>0</v>
      </c>
      <c r="U1981" s="75">
        <v>0</v>
      </c>
      <c r="V1981" s="75">
        <v>0</v>
      </c>
      <c r="W1981" s="78">
        <v>0</v>
      </c>
    </row>
    <row r="1982" spans="1:23" s="75" customFormat="1" hidden="1" x14ac:dyDescent="0.35">
      <c r="A1982" s="75">
        <v>1978</v>
      </c>
      <c r="B1982" s="75">
        <v>1979</v>
      </c>
      <c r="C1982">
        <v>146.03679500000001</v>
      </c>
      <c r="D1982">
        <v>-17.50434031</v>
      </c>
      <c r="F1982" s="75" t="str">
        <f>HYPERLINK("E:\Data From Lucan\2024\Johnstone\Frames_for_Analysis\1979_20240610_0003_L_2340.jpg","1979_20240610_0003_L_2340.jpg")</f>
        <v>1979_20240610_0003_L_2340.jpg</v>
      </c>
      <c r="G1982" s="75">
        <v>5</v>
      </c>
      <c r="I1982">
        <f t="shared" si="30"/>
        <v>1</v>
      </c>
      <c r="J1982" s="75">
        <v>1</v>
      </c>
      <c r="K1982" s="77"/>
      <c r="L1982" s="77"/>
      <c r="M1982" s="77"/>
      <c r="N1982" s="77"/>
      <c r="O1982" s="75">
        <v>1</v>
      </c>
      <c r="P1982" s="75">
        <v>0</v>
      </c>
      <c r="Q1982" s="75">
        <v>0</v>
      </c>
      <c r="R1982" s="75">
        <v>0</v>
      </c>
      <c r="S1982" s="75">
        <v>0</v>
      </c>
      <c r="T1982" s="75">
        <v>0</v>
      </c>
      <c r="U1982" s="75">
        <v>0</v>
      </c>
      <c r="V1982" s="75">
        <v>0</v>
      </c>
      <c r="W1982" s="78">
        <v>0</v>
      </c>
    </row>
    <row r="1983" spans="1:23" s="75" customFormat="1" hidden="1" x14ac:dyDescent="0.35">
      <c r="A1983" s="75">
        <v>1979</v>
      </c>
      <c r="B1983" s="75">
        <v>1980</v>
      </c>
      <c r="C1983">
        <v>146.0367913</v>
      </c>
      <c r="D1983">
        <v>-17.504246080000001</v>
      </c>
      <c r="F1983" s="75" t="str">
        <f>HYPERLINK("E:\Data From Lucan\2024\Johnstone\Frames_for_Analysis\1980_20240610_0003_L_2343.jpg","1980_20240610_0003_L_2343.jpg")</f>
        <v>1980_20240610_0003_L_2343.jpg</v>
      </c>
      <c r="G1983" s="75">
        <v>5</v>
      </c>
      <c r="I1983">
        <f t="shared" si="30"/>
        <v>1</v>
      </c>
      <c r="J1983" s="75">
        <v>1</v>
      </c>
      <c r="K1983" s="77"/>
      <c r="L1983" s="77"/>
      <c r="M1983" s="77"/>
      <c r="N1983" s="77"/>
      <c r="O1983" s="75">
        <v>1</v>
      </c>
      <c r="P1983" s="75">
        <v>0</v>
      </c>
      <c r="Q1983" s="75">
        <v>0</v>
      </c>
      <c r="R1983" s="75">
        <v>0</v>
      </c>
      <c r="S1983" s="75">
        <v>0</v>
      </c>
      <c r="T1983" s="75">
        <v>0</v>
      </c>
      <c r="U1983" s="75">
        <v>0</v>
      </c>
      <c r="V1983" s="75">
        <v>0</v>
      </c>
      <c r="W1983" s="78">
        <v>0</v>
      </c>
    </row>
    <row r="1984" spans="1:23" s="75" customFormat="1" hidden="1" x14ac:dyDescent="0.35">
      <c r="A1984" s="75">
        <v>1980</v>
      </c>
      <c r="B1984" s="75">
        <v>1981</v>
      </c>
      <c r="C1984">
        <v>146.0367876</v>
      </c>
      <c r="D1984">
        <v>-17.50415185</v>
      </c>
      <c r="F1984" s="75" t="str">
        <f>HYPERLINK("E:\Data From Lucan\2024\Johnstone\Frames_for_Analysis\1981_20240610_0003_L_2347.jpg","1981_20240610_0003_L_2347.jpg")</f>
        <v>1981_20240610_0003_L_2347.jpg</v>
      </c>
      <c r="G1984" s="75">
        <v>5</v>
      </c>
      <c r="I1984">
        <f t="shared" si="30"/>
        <v>1</v>
      </c>
      <c r="J1984" s="75">
        <v>1</v>
      </c>
      <c r="K1984" s="77"/>
      <c r="L1984" s="77"/>
      <c r="M1984" s="77"/>
      <c r="N1984" s="77"/>
      <c r="O1984" s="75">
        <v>1</v>
      </c>
      <c r="P1984" s="75">
        <v>0</v>
      </c>
      <c r="Q1984" s="75">
        <v>0</v>
      </c>
      <c r="R1984" s="75">
        <v>0</v>
      </c>
      <c r="S1984" s="75">
        <v>0</v>
      </c>
      <c r="T1984" s="75">
        <v>0</v>
      </c>
      <c r="U1984" s="75">
        <v>0</v>
      </c>
      <c r="V1984" s="75">
        <v>0</v>
      </c>
      <c r="W1984" s="78">
        <v>0</v>
      </c>
    </row>
    <row r="1985" spans="1:23" s="75" customFormat="1" hidden="1" x14ac:dyDescent="0.35">
      <c r="A1985" s="75">
        <v>1981</v>
      </c>
      <c r="B1985" s="75">
        <v>1982</v>
      </c>
      <c r="C1985">
        <v>146.03678389999999</v>
      </c>
      <c r="D1985">
        <v>-17.504057620000001</v>
      </c>
      <c r="F1985" s="75" t="str">
        <f>HYPERLINK("E:\Data From Lucan\2024\Johnstone\Frames_for_Analysis\1982_20240610_0003_L_2351.jpg","1982_20240610_0003_L_2351.jpg")</f>
        <v>1982_20240610_0003_L_2351.jpg</v>
      </c>
      <c r="G1985" s="75">
        <v>5</v>
      </c>
      <c r="I1985">
        <f t="shared" si="30"/>
        <v>1</v>
      </c>
      <c r="J1985" s="75">
        <v>1</v>
      </c>
      <c r="K1985" s="77"/>
      <c r="L1985" s="77"/>
      <c r="M1985" s="77"/>
      <c r="N1985" s="77"/>
      <c r="O1985" s="75">
        <v>1</v>
      </c>
      <c r="P1985" s="75">
        <v>0</v>
      </c>
      <c r="Q1985" s="75">
        <v>0</v>
      </c>
      <c r="R1985" s="75">
        <v>0</v>
      </c>
      <c r="S1985" s="75">
        <v>0</v>
      </c>
      <c r="T1985" s="75">
        <v>0</v>
      </c>
      <c r="U1985" s="75">
        <v>0</v>
      </c>
      <c r="V1985" s="75">
        <v>0</v>
      </c>
      <c r="W1985" s="78">
        <v>0</v>
      </c>
    </row>
    <row r="1986" spans="1:23" s="75" customFormat="1" hidden="1" x14ac:dyDescent="0.35">
      <c r="A1986" s="75">
        <v>1982</v>
      </c>
      <c r="B1986" s="75">
        <v>1983</v>
      </c>
      <c r="C1986">
        <v>146.03678020000001</v>
      </c>
      <c r="D1986">
        <v>-17.503963389999999</v>
      </c>
      <c r="F1986" s="75" t="str">
        <f>HYPERLINK("E:\Data From Lucan\2024\Johnstone\Frames_for_Analysis\1983_20240610_0003_L_2355.jpg","1983_20240610_0003_L_2355.jpg")</f>
        <v>1983_20240610_0003_L_2355.jpg</v>
      </c>
      <c r="G1986" s="75">
        <v>5</v>
      </c>
      <c r="I1986">
        <f t="shared" si="30"/>
        <v>1</v>
      </c>
      <c r="J1986" s="75">
        <v>1</v>
      </c>
      <c r="K1986" s="77"/>
      <c r="L1986" s="77"/>
      <c r="M1986" s="77"/>
      <c r="N1986" s="77"/>
      <c r="O1986" s="75">
        <v>1</v>
      </c>
      <c r="P1986" s="75">
        <v>0</v>
      </c>
      <c r="Q1986" s="75">
        <v>0</v>
      </c>
      <c r="R1986" s="75">
        <v>0</v>
      </c>
      <c r="S1986" s="75">
        <v>0</v>
      </c>
      <c r="T1986" s="75">
        <v>0</v>
      </c>
      <c r="U1986" s="75">
        <v>0</v>
      </c>
      <c r="V1986" s="75">
        <v>0</v>
      </c>
      <c r="W1986" s="78">
        <v>0</v>
      </c>
    </row>
    <row r="1987" spans="1:23" s="75" customFormat="1" hidden="1" x14ac:dyDescent="0.35">
      <c r="A1987" s="75">
        <v>1983</v>
      </c>
      <c r="B1987" s="75">
        <v>1984</v>
      </c>
      <c r="C1987">
        <v>146.0367765</v>
      </c>
      <c r="D1987">
        <v>-17.503869160000001</v>
      </c>
      <c r="F1987" s="75" t="str">
        <f>HYPERLINK("E:\Data From Lucan\2024\Johnstone\Frames_for_Analysis\1984_20240610_0003_L_2358.jpg","1984_20240610_0003_L_2358.jpg")</f>
        <v>1984_20240610_0003_L_2358.jpg</v>
      </c>
      <c r="G1987" s="75">
        <v>5</v>
      </c>
      <c r="I1987">
        <f t="shared" si="30"/>
        <v>1</v>
      </c>
      <c r="J1987" s="75">
        <v>1</v>
      </c>
      <c r="K1987" s="77"/>
      <c r="L1987" s="77"/>
      <c r="M1987" s="77"/>
      <c r="N1987" s="77"/>
      <c r="O1987" s="75">
        <v>1</v>
      </c>
      <c r="P1987" s="75">
        <v>0</v>
      </c>
      <c r="Q1987" s="75">
        <v>0</v>
      </c>
      <c r="R1987" s="75">
        <v>0</v>
      </c>
      <c r="S1987" s="75">
        <v>0</v>
      </c>
      <c r="T1987" s="75">
        <v>0</v>
      </c>
      <c r="U1987" s="75">
        <v>0</v>
      </c>
      <c r="V1987" s="75">
        <v>0</v>
      </c>
      <c r="W1987" s="78">
        <v>0</v>
      </c>
    </row>
    <row r="1988" spans="1:23" s="75" customFormat="1" hidden="1" x14ac:dyDescent="0.35">
      <c r="A1988" s="75">
        <v>1984</v>
      </c>
      <c r="B1988" s="75">
        <v>1985</v>
      </c>
      <c r="C1988">
        <v>146.03677279999999</v>
      </c>
      <c r="D1988">
        <v>-17.503774929999999</v>
      </c>
      <c r="F1988" s="75" t="str">
        <f>HYPERLINK("E:\Data From Lucan\2024\Johnstone\Frames_for_Analysis\1985_20240610_0003_L_2361.jpg","1985_20240610_0003_L_2361.jpg")</f>
        <v>1985_20240610_0003_L_2361.jpg</v>
      </c>
      <c r="G1988" s="75">
        <v>5</v>
      </c>
      <c r="I1988">
        <f t="shared" si="30"/>
        <v>1</v>
      </c>
      <c r="J1988" s="75">
        <v>1</v>
      </c>
      <c r="K1988" s="77"/>
      <c r="L1988" s="77"/>
      <c r="M1988" s="77"/>
      <c r="N1988" s="77"/>
      <c r="O1988" s="75">
        <v>1</v>
      </c>
      <c r="P1988" s="75">
        <v>0</v>
      </c>
      <c r="Q1988" s="75">
        <v>0</v>
      </c>
      <c r="R1988" s="75">
        <v>0</v>
      </c>
      <c r="S1988" s="75">
        <v>0</v>
      </c>
      <c r="T1988" s="75">
        <v>0</v>
      </c>
      <c r="U1988" s="75">
        <v>0</v>
      </c>
      <c r="V1988" s="75">
        <v>0</v>
      </c>
      <c r="W1988" s="78">
        <v>0</v>
      </c>
    </row>
    <row r="1989" spans="1:23" s="75" customFormat="1" hidden="1" x14ac:dyDescent="0.35">
      <c r="A1989" s="75">
        <v>1985</v>
      </c>
      <c r="B1989" s="75">
        <v>1986</v>
      </c>
      <c r="C1989">
        <v>146.03676849999999</v>
      </c>
      <c r="D1989">
        <v>-17.503680750000001</v>
      </c>
      <c r="F1989" s="75" t="str">
        <f>HYPERLINK("E:\Data From Lucan\2024\Johnstone\Frames_for_Analysis\1986_20240610_0003_L_2364.jpg","1986_20240610_0003_L_2364.jpg")</f>
        <v>1986_20240610_0003_L_2364.jpg</v>
      </c>
      <c r="G1989" s="75">
        <v>5</v>
      </c>
      <c r="I1989">
        <f t="shared" ref="I1989:I2052" si="31">IF(H1989="X","X",IF(J1989="NA","X",IF(J1989="","X",J1989)))</f>
        <v>1</v>
      </c>
      <c r="J1989" s="75">
        <v>1</v>
      </c>
      <c r="K1989" s="77"/>
      <c r="L1989" s="77"/>
      <c r="M1989" s="77"/>
      <c r="N1989" s="77"/>
      <c r="O1989" s="75">
        <v>1</v>
      </c>
      <c r="P1989" s="75">
        <v>0</v>
      </c>
      <c r="Q1989" s="75">
        <v>0</v>
      </c>
      <c r="R1989" s="75">
        <v>0</v>
      </c>
      <c r="S1989" s="75">
        <v>0</v>
      </c>
      <c r="T1989" s="75">
        <v>0</v>
      </c>
      <c r="U1989" s="75">
        <v>0</v>
      </c>
      <c r="V1989" s="75">
        <v>0</v>
      </c>
      <c r="W1989" s="78">
        <v>0</v>
      </c>
    </row>
    <row r="1990" spans="1:23" s="75" customFormat="1" hidden="1" x14ac:dyDescent="0.35">
      <c r="A1990" s="75">
        <v>1986</v>
      </c>
      <c r="B1990" s="75">
        <v>1987</v>
      </c>
      <c r="C1990">
        <v>146.0367521</v>
      </c>
      <c r="D1990">
        <v>-17.503587899999999</v>
      </c>
      <c r="F1990" s="75" t="str">
        <f>HYPERLINK("E:\Data From Lucan\2024\Johnstone\Frames_for_Analysis\1987_20240610_0003_L_2368.jpg","1987_20240610_0003_L_2368.jpg")</f>
        <v>1987_20240610_0003_L_2368.jpg</v>
      </c>
      <c r="G1990" s="75">
        <v>5</v>
      </c>
      <c r="I1990">
        <f t="shared" si="31"/>
        <v>1</v>
      </c>
      <c r="J1990" s="75">
        <v>1</v>
      </c>
      <c r="K1990" s="77"/>
      <c r="L1990" s="77"/>
      <c r="M1990" s="77"/>
      <c r="N1990" s="77"/>
      <c r="O1990" s="75">
        <v>1</v>
      </c>
      <c r="P1990" s="75">
        <v>0</v>
      </c>
      <c r="Q1990" s="75">
        <v>0</v>
      </c>
      <c r="R1990" s="75">
        <v>0</v>
      </c>
      <c r="S1990" s="75">
        <v>0</v>
      </c>
      <c r="T1990" s="75">
        <v>0</v>
      </c>
      <c r="U1990" s="75">
        <v>0</v>
      </c>
      <c r="V1990" s="75">
        <v>0</v>
      </c>
      <c r="W1990" s="78">
        <v>0</v>
      </c>
    </row>
    <row r="1991" spans="1:23" s="75" customFormat="1" hidden="1" x14ac:dyDescent="0.35">
      <c r="A1991" s="75">
        <v>1987</v>
      </c>
      <c r="B1991" s="75">
        <v>1988</v>
      </c>
      <c r="C1991">
        <v>146.03673559999999</v>
      </c>
      <c r="D1991">
        <v>-17.503495040000001</v>
      </c>
      <c r="F1991" s="75" t="str">
        <f>HYPERLINK("E:\Data From Lucan\2024\Johnstone\Frames_for_Analysis\1988_20240610_0003_L_2371.jpg","1988_20240610_0003_L_2371.jpg")</f>
        <v>1988_20240610_0003_L_2371.jpg</v>
      </c>
      <c r="G1991" s="75">
        <v>5</v>
      </c>
      <c r="I1991">
        <f t="shared" si="31"/>
        <v>1</v>
      </c>
      <c r="J1991" s="75">
        <v>1</v>
      </c>
      <c r="K1991" s="77"/>
      <c r="L1991" s="77"/>
      <c r="M1991" s="77"/>
      <c r="N1991" s="77"/>
      <c r="O1991" s="75">
        <v>1</v>
      </c>
      <c r="P1991" s="75">
        <v>0</v>
      </c>
      <c r="Q1991" s="75">
        <v>0</v>
      </c>
      <c r="R1991" s="75">
        <v>0</v>
      </c>
      <c r="S1991" s="75">
        <v>0</v>
      </c>
      <c r="T1991" s="75">
        <v>0</v>
      </c>
      <c r="U1991" s="75">
        <v>0</v>
      </c>
      <c r="V1991" s="75">
        <v>0</v>
      </c>
      <c r="W1991" s="78">
        <v>0</v>
      </c>
    </row>
    <row r="1992" spans="1:23" s="75" customFormat="1" hidden="1" x14ac:dyDescent="0.35">
      <c r="A1992" s="75">
        <v>1988</v>
      </c>
      <c r="B1992" s="75">
        <v>1989</v>
      </c>
      <c r="C1992">
        <v>146.03671919999999</v>
      </c>
      <c r="D1992">
        <v>-17.503402179999998</v>
      </c>
      <c r="F1992" s="75" t="str">
        <f>HYPERLINK("E:\Data From Lucan\2024\Johnstone\Frames_for_Analysis\1989_20240610_0003_L_2375.jpg","1989_20240610_0003_L_2375.jpg")</f>
        <v>1989_20240610_0003_L_2375.jpg</v>
      </c>
      <c r="G1992" s="75">
        <v>5</v>
      </c>
      <c r="I1992">
        <f t="shared" si="31"/>
        <v>1</v>
      </c>
      <c r="J1992" s="75">
        <v>1</v>
      </c>
      <c r="K1992" s="77"/>
      <c r="L1992" s="77"/>
      <c r="M1992" s="77"/>
      <c r="N1992" s="77"/>
      <c r="O1992" s="75">
        <v>1</v>
      </c>
      <c r="P1992" s="75">
        <v>0</v>
      </c>
      <c r="Q1992" s="75">
        <v>0</v>
      </c>
      <c r="R1992" s="75">
        <v>0</v>
      </c>
      <c r="S1992" s="75">
        <v>0</v>
      </c>
      <c r="T1992" s="75">
        <v>0</v>
      </c>
      <c r="U1992" s="75">
        <v>0</v>
      </c>
      <c r="V1992" s="75">
        <v>0</v>
      </c>
      <c r="W1992" s="78">
        <v>0</v>
      </c>
    </row>
    <row r="1993" spans="1:23" s="75" customFormat="1" hidden="1" x14ac:dyDescent="0.35">
      <c r="A1993" s="75">
        <v>1989</v>
      </c>
      <c r="B1993" s="75">
        <v>1990</v>
      </c>
      <c r="C1993">
        <v>146.03670270000001</v>
      </c>
      <c r="D1993">
        <v>-17.50330933</v>
      </c>
      <c r="F1993" s="75" t="str">
        <f>HYPERLINK("E:\Data From Lucan\2024\Johnstone\Frames_for_Analysis\1990_20240610_0003_L_2378.jpg","1990_20240610_0003_L_2378.jpg")</f>
        <v>1990_20240610_0003_L_2378.jpg</v>
      </c>
      <c r="G1993" s="75">
        <v>5</v>
      </c>
      <c r="I1993">
        <f t="shared" si="31"/>
        <v>1</v>
      </c>
      <c r="J1993" s="75">
        <v>1</v>
      </c>
      <c r="K1993" s="77"/>
      <c r="L1993" s="77"/>
      <c r="M1993" s="77"/>
      <c r="N1993" s="77"/>
      <c r="O1993" s="75">
        <v>1</v>
      </c>
      <c r="P1993" s="75">
        <v>0</v>
      </c>
      <c r="Q1993" s="75">
        <v>0</v>
      </c>
      <c r="R1993" s="75">
        <v>0</v>
      </c>
      <c r="S1993" s="75">
        <v>0</v>
      </c>
      <c r="T1993" s="75">
        <v>0</v>
      </c>
      <c r="U1993" s="75">
        <v>0</v>
      </c>
      <c r="V1993" s="75">
        <v>0</v>
      </c>
      <c r="W1993" s="78">
        <v>0</v>
      </c>
    </row>
    <row r="1994" spans="1:23" s="75" customFormat="1" hidden="1" x14ac:dyDescent="0.35">
      <c r="A1994" s="75">
        <v>1990</v>
      </c>
      <c r="B1994" s="75">
        <v>1991</v>
      </c>
      <c r="C1994">
        <v>146.03668630000001</v>
      </c>
      <c r="D1994">
        <v>-17.503216470000002</v>
      </c>
      <c r="F1994" s="75" t="str">
        <f>HYPERLINK("E:\Data From Lucan\2024\Johnstone\Frames_for_Analysis\1991_20240610_0003_L_2381.jpg","1991_20240610_0003_L_2381.jpg")</f>
        <v>1991_20240610_0003_L_2381.jpg</v>
      </c>
      <c r="G1994" s="75">
        <v>5</v>
      </c>
      <c r="I1994">
        <f t="shared" si="31"/>
        <v>1</v>
      </c>
      <c r="J1994" s="75">
        <v>1</v>
      </c>
      <c r="K1994" s="77"/>
      <c r="L1994" s="77"/>
      <c r="M1994" s="77"/>
      <c r="N1994" s="77"/>
      <c r="O1994" s="75">
        <v>1</v>
      </c>
      <c r="P1994" s="75">
        <v>0</v>
      </c>
      <c r="Q1994" s="75">
        <v>0</v>
      </c>
      <c r="R1994" s="75">
        <v>0</v>
      </c>
      <c r="S1994" s="75">
        <v>0</v>
      </c>
      <c r="T1994" s="75">
        <v>0</v>
      </c>
      <c r="U1994" s="75">
        <v>0</v>
      </c>
      <c r="V1994" s="75">
        <v>0</v>
      </c>
      <c r="W1994" s="78">
        <v>0</v>
      </c>
    </row>
    <row r="1995" spans="1:23" s="75" customFormat="1" hidden="1" x14ac:dyDescent="0.35">
      <c r="A1995" s="75">
        <v>1991</v>
      </c>
      <c r="B1995" s="75">
        <v>1992</v>
      </c>
      <c r="C1995">
        <v>146.0366698</v>
      </c>
      <c r="D1995">
        <v>-17.503123609999999</v>
      </c>
      <c r="F1995" s="75" t="str">
        <f>HYPERLINK("E:\Data From Lucan\2024\Johnstone\Frames_for_Analysis\1992_20240610_0003_L_2389.jpg","1992_20240610_0003_L_2389.jpg")</f>
        <v>1992_20240610_0003_L_2389.jpg</v>
      </c>
      <c r="G1995" s="75">
        <v>5</v>
      </c>
      <c r="I1995">
        <f t="shared" si="31"/>
        <v>1</v>
      </c>
      <c r="J1995" s="75">
        <v>1</v>
      </c>
      <c r="K1995" s="77"/>
      <c r="L1995" s="77"/>
      <c r="M1995" s="77"/>
      <c r="N1995" s="77"/>
      <c r="O1995" s="75">
        <v>1</v>
      </c>
      <c r="P1995" s="75">
        <v>0</v>
      </c>
      <c r="Q1995" s="75">
        <v>0</v>
      </c>
      <c r="R1995" s="75">
        <v>0</v>
      </c>
      <c r="S1995" s="75">
        <v>0</v>
      </c>
      <c r="T1995" s="75">
        <v>0</v>
      </c>
      <c r="U1995" s="75">
        <v>0</v>
      </c>
      <c r="V1995" s="75">
        <v>0</v>
      </c>
      <c r="W1995" s="78">
        <v>0</v>
      </c>
    </row>
    <row r="1996" spans="1:23" s="75" customFormat="1" hidden="1" x14ac:dyDescent="0.35">
      <c r="A1996" s="75">
        <v>1992</v>
      </c>
      <c r="B1996" s="75">
        <v>1993</v>
      </c>
      <c r="C1996">
        <v>146.03665330000001</v>
      </c>
      <c r="D1996">
        <v>-17.503030760000001</v>
      </c>
      <c r="F1996" s="75" t="str">
        <f>HYPERLINK("E:\Data From Lucan\2024\Johnstone\Frames_for_Analysis\1993_20240610_0003_L_2386.jpg","1993_20240610_0003_L_2386.jpg")</f>
        <v>1993_20240610_0003_L_2386.jpg</v>
      </c>
      <c r="G1996" s="75">
        <v>5</v>
      </c>
      <c r="I1996">
        <f t="shared" si="31"/>
        <v>1</v>
      </c>
      <c r="J1996" s="75">
        <v>1</v>
      </c>
      <c r="K1996" s="77"/>
      <c r="L1996" s="77"/>
      <c r="M1996" s="77"/>
      <c r="N1996" s="77"/>
      <c r="O1996" s="75">
        <v>1</v>
      </c>
      <c r="P1996" s="75">
        <v>0</v>
      </c>
      <c r="Q1996" s="75">
        <v>0</v>
      </c>
      <c r="R1996" s="75">
        <v>0</v>
      </c>
      <c r="S1996" s="75">
        <v>0</v>
      </c>
      <c r="T1996" s="75">
        <v>0</v>
      </c>
      <c r="U1996" s="75">
        <v>0</v>
      </c>
      <c r="V1996" s="75">
        <v>0</v>
      </c>
      <c r="W1996" s="78">
        <v>0</v>
      </c>
    </row>
    <row r="1997" spans="1:23" s="75" customFormat="1" hidden="1" x14ac:dyDescent="0.35">
      <c r="A1997" s="75">
        <v>1993</v>
      </c>
      <c r="B1997" s="75">
        <v>1994</v>
      </c>
      <c r="C1997">
        <v>146.03663689999999</v>
      </c>
      <c r="D1997">
        <v>-17.502937899999999</v>
      </c>
      <c r="F1997" s="75" t="str">
        <f>HYPERLINK("E:\Data From Lucan\2024\Johnstone\Frames_for_Analysis\1994_20240610_0003_L_2391.jpg","1994_20240610_0003_L_2391.jpg")</f>
        <v>1994_20240610_0003_L_2391.jpg</v>
      </c>
      <c r="G1997" s="75">
        <v>5</v>
      </c>
      <c r="I1997">
        <f t="shared" si="31"/>
        <v>1</v>
      </c>
      <c r="J1997" s="75">
        <v>1</v>
      </c>
      <c r="K1997" s="77"/>
      <c r="L1997" s="77"/>
      <c r="M1997" s="77"/>
      <c r="N1997" s="77"/>
      <c r="O1997" s="75">
        <v>1</v>
      </c>
      <c r="P1997" s="75">
        <v>0</v>
      </c>
      <c r="Q1997" s="75">
        <v>0</v>
      </c>
      <c r="R1997" s="75">
        <v>0</v>
      </c>
      <c r="S1997" s="75">
        <v>0</v>
      </c>
      <c r="T1997" s="75">
        <v>0</v>
      </c>
      <c r="U1997" s="75">
        <v>0</v>
      </c>
      <c r="V1997" s="75">
        <v>0</v>
      </c>
      <c r="W1997" s="78">
        <v>0</v>
      </c>
    </row>
    <row r="1998" spans="1:23" s="75" customFormat="1" hidden="1" x14ac:dyDescent="0.35">
      <c r="A1998" s="75">
        <v>1994</v>
      </c>
      <c r="B1998" s="75">
        <v>1995</v>
      </c>
      <c r="C1998">
        <v>146.0366204</v>
      </c>
      <c r="D1998">
        <v>-17.50284504</v>
      </c>
      <c r="F1998" s="75" t="str">
        <f>HYPERLINK("E:\Data From Lucan\2024\Johnstone\Frames_for_Analysis\1995_20240610_0003_L_2394.jpg","1995_20240610_0003_L_2394.jpg")</f>
        <v>1995_20240610_0003_L_2394.jpg</v>
      </c>
      <c r="G1998" s="75">
        <v>5</v>
      </c>
      <c r="I1998">
        <f t="shared" si="31"/>
        <v>1</v>
      </c>
      <c r="J1998" s="75">
        <v>1</v>
      </c>
      <c r="K1998" s="77"/>
      <c r="L1998" s="77"/>
      <c r="M1998" s="77"/>
      <c r="N1998" s="77"/>
      <c r="O1998" s="75">
        <v>1</v>
      </c>
      <c r="P1998" s="75">
        <v>0</v>
      </c>
      <c r="Q1998" s="75">
        <v>0</v>
      </c>
      <c r="R1998" s="75">
        <v>0</v>
      </c>
      <c r="S1998" s="75">
        <v>0</v>
      </c>
      <c r="T1998" s="75">
        <v>0</v>
      </c>
      <c r="U1998" s="75">
        <v>0</v>
      </c>
      <c r="V1998" s="75">
        <v>0</v>
      </c>
      <c r="W1998" s="78">
        <v>0</v>
      </c>
    </row>
    <row r="1999" spans="1:23" s="75" customFormat="1" hidden="1" x14ac:dyDescent="0.35">
      <c r="A1999" s="75">
        <v>1995</v>
      </c>
      <c r="B1999" s="75">
        <v>1996</v>
      </c>
      <c r="C1999">
        <v>146.03660400000001</v>
      </c>
      <c r="D1999">
        <v>-17.502752189999999</v>
      </c>
      <c r="F1999" s="75" t="str">
        <f>HYPERLINK("E:\Data From Lucan\2024\Johnstone\Frames_for_Analysis\1996_20240610_0003_L_2398.jpg","1996_20240610_0003_L_2398.jpg")</f>
        <v>1996_20240610_0003_L_2398.jpg</v>
      </c>
      <c r="G1999" s="75">
        <v>5</v>
      </c>
      <c r="I1999">
        <f t="shared" si="31"/>
        <v>1</v>
      </c>
      <c r="J1999" s="75">
        <v>1</v>
      </c>
      <c r="K1999" s="77"/>
      <c r="L1999" s="77"/>
      <c r="M1999" s="77"/>
      <c r="N1999" s="77"/>
      <c r="O1999" s="75">
        <v>1</v>
      </c>
      <c r="P1999" s="75">
        <v>0</v>
      </c>
      <c r="Q1999" s="75">
        <v>0</v>
      </c>
      <c r="R1999" s="75">
        <v>0</v>
      </c>
      <c r="S1999" s="75">
        <v>0</v>
      </c>
      <c r="T1999" s="75">
        <v>0</v>
      </c>
      <c r="U1999" s="75">
        <v>0</v>
      </c>
      <c r="V1999" s="75">
        <v>0</v>
      </c>
      <c r="W1999" s="78">
        <v>0</v>
      </c>
    </row>
    <row r="2000" spans="1:23" s="75" customFormat="1" hidden="1" x14ac:dyDescent="0.35">
      <c r="A2000" s="75">
        <v>1996</v>
      </c>
      <c r="B2000" s="75">
        <v>1997</v>
      </c>
      <c r="C2000">
        <v>146.0365875</v>
      </c>
      <c r="D2000">
        <v>-17.50265933</v>
      </c>
      <c r="F2000" s="75" t="str">
        <f>HYPERLINK("E:\Data From Lucan\2024\Johnstone\Frames_for_Analysis\1997_20240610_0003_L_2401.jpg","1997_20240610_0003_L_2401.jpg")</f>
        <v>1997_20240610_0003_L_2401.jpg</v>
      </c>
      <c r="G2000" s="75">
        <v>5</v>
      </c>
      <c r="I2000">
        <f t="shared" si="31"/>
        <v>1</v>
      </c>
      <c r="J2000" s="75">
        <v>1</v>
      </c>
      <c r="K2000" s="77"/>
      <c r="L2000" s="77"/>
      <c r="M2000" s="77"/>
      <c r="N2000" s="77"/>
      <c r="O2000" s="75">
        <v>1</v>
      </c>
      <c r="P2000" s="75">
        <v>0</v>
      </c>
      <c r="Q2000" s="75">
        <v>0</v>
      </c>
      <c r="R2000" s="75">
        <v>0</v>
      </c>
      <c r="S2000" s="75">
        <v>0</v>
      </c>
      <c r="T2000" s="75">
        <v>0</v>
      </c>
      <c r="U2000" s="75">
        <v>0</v>
      </c>
      <c r="V2000" s="75">
        <v>0</v>
      </c>
      <c r="W2000" s="78">
        <v>0</v>
      </c>
    </row>
    <row r="2001" spans="1:23" s="75" customFormat="1" hidden="1" x14ac:dyDescent="0.35">
      <c r="A2001" s="75">
        <v>1997</v>
      </c>
      <c r="B2001" s="75">
        <v>1998</v>
      </c>
      <c r="C2001">
        <v>146.0365721</v>
      </c>
      <c r="D2001">
        <v>-17.502566290000001</v>
      </c>
      <c r="F2001" s="75" t="str">
        <f>HYPERLINK("E:\Data From Lucan\2024\Johnstone\Frames_for_Analysis\1998_20240610_0003_L_2404.jpg","1998_20240610_0003_L_2404.jpg")</f>
        <v>1998_20240610_0003_L_2404.jpg</v>
      </c>
      <c r="G2001" s="75">
        <v>5</v>
      </c>
      <c r="I2001">
        <f t="shared" si="31"/>
        <v>1</v>
      </c>
      <c r="J2001" s="75">
        <v>1</v>
      </c>
      <c r="K2001" s="77"/>
      <c r="L2001" s="77"/>
      <c r="M2001" s="77"/>
      <c r="N2001" s="77"/>
      <c r="O2001" s="75">
        <v>1</v>
      </c>
      <c r="P2001" s="75">
        <v>0</v>
      </c>
      <c r="Q2001" s="75">
        <v>0</v>
      </c>
      <c r="R2001" s="75">
        <v>0</v>
      </c>
      <c r="S2001" s="75">
        <v>0</v>
      </c>
      <c r="T2001" s="75">
        <v>0</v>
      </c>
      <c r="U2001" s="75">
        <v>0</v>
      </c>
      <c r="V2001" s="75">
        <v>0</v>
      </c>
      <c r="W2001" s="78">
        <v>0</v>
      </c>
    </row>
    <row r="2002" spans="1:23" s="75" customFormat="1" hidden="1" x14ac:dyDescent="0.35">
      <c r="A2002" s="75">
        <v>1998</v>
      </c>
      <c r="B2002" s="75">
        <v>1999</v>
      </c>
      <c r="C2002">
        <v>146.03655689999999</v>
      </c>
      <c r="D2002">
        <v>-17.502473219999999</v>
      </c>
      <c r="F2002" s="75" t="str">
        <f>HYPERLINK("E:\Data From Lucan\2024\Johnstone\Frames_for_Analysis\1999_20240610_0003_L_2408.jpg","1999_20240610_0003_L_2408.jpg")</f>
        <v>1999_20240610_0003_L_2408.jpg</v>
      </c>
      <c r="G2002" s="75">
        <v>5</v>
      </c>
      <c r="I2002">
        <f t="shared" si="31"/>
        <v>1</v>
      </c>
      <c r="J2002" s="75">
        <v>1</v>
      </c>
      <c r="K2002" s="77"/>
      <c r="L2002" s="77"/>
      <c r="M2002" s="77"/>
      <c r="N2002" s="77"/>
      <c r="O2002" s="75">
        <v>1</v>
      </c>
      <c r="P2002" s="75">
        <v>0</v>
      </c>
      <c r="Q2002" s="75">
        <v>0</v>
      </c>
      <c r="R2002" s="75">
        <v>0</v>
      </c>
      <c r="S2002" s="75">
        <v>0</v>
      </c>
      <c r="T2002" s="75">
        <v>0</v>
      </c>
      <c r="U2002" s="75">
        <v>0</v>
      </c>
      <c r="V2002" s="75">
        <v>0</v>
      </c>
      <c r="W2002" s="78">
        <v>0</v>
      </c>
    </row>
    <row r="2003" spans="1:23" s="75" customFormat="1" hidden="1" x14ac:dyDescent="0.35">
      <c r="A2003" s="75">
        <v>1999</v>
      </c>
      <c r="B2003" s="75">
        <v>2000</v>
      </c>
      <c r="C2003">
        <v>146.03654169999999</v>
      </c>
      <c r="D2003">
        <v>-17.502380160000001</v>
      </c>
      <c r="F2003" s="75" t="str">
        <f>HYPERLINK("E:\Data From Lucan\2024\Johnstone\Frames_for_Analysis\2000_20240610_0003_L_2413.jpg","2000_20240610_0003_L_2413.jpg")</f>
        <v>2000_20240610_0003_L_2413.jpg</v>
      </c>
      <c r="G2003" s="75">
        <v>5</v>
      </c>
      <c r="I2003">
        <f t="shared" si="31"/>
        <v>1</v>
      </c>
      <c r="J2003" s="75">
        <v>1</v>
      </c>
      <c r="K2003" s="77"/>
      <c r="L2003" s="77"/>
      <c r="M2003" s="77"/>
      <c r="N2003" s="77"/>
      <c r="O2003" s="75">
        <v>1</v>
      </c>
      <c r="P2003" s="75">
        <v>0</v>
      </c>
      <c r="Q2003" s="75">
        <v>0</v>
      </c>
      <c r="R2003" s="75">
        <v>0</v>
      </c>
      <c r="S2003" s="75">
        <v>0</v>
      </c>
      <c r="T2003" s="75">
        <v>0</v>
      </c>
      <c r="U2003" s="75">
        <v>0</v>
      </c>
      <c r="V2003" s="75">
        <v>0</v>
      </c>
      <c r="W2003" s="78">
        <v>0</v>
      </c>
    </row>
    <row r="2004" spans="1:23" s="75" customFormat="1" hidden="1" x14ac:dyDescent="0.35">
      <c r="A2004" s="75">
        <v>2000</v>
      </c>
      <c r="B2004" s="75">
        <v>2001</v>
      </c>
      <c r="C2004">
        <v>146.03652650000001</v>
      </c>
      <c r="D2004">
        <v>-17.502287089999999</v>
      </c>
      <c r="F2004" s="75" t="str">
        <f>HYPERLINK("E:\Data From Lucan\2024\Johnstone\Frames_for_Analysis\2001_20240610_0003_L_2415.jpg","2001_20240610_0003_L_2415.jpg")</f>
        <v>2001_20240610_0003_L_2415.jpg</v>
      </c>
      <c r="G2004" s="75">
        <v>5</v>
      </c>
      <c r="I2004">
        <f t="shared" si="31"/>
        <v>1</v>
      </c>
      <c r="J2004" s="75">
        <v>1</v>
      </c>
      <c r="K2004" s="77"/>
      <c r="L2004" s="77"/>
      <c r="M2004" s="77"/>
      <c r="N2004" s="77"/>
      <c r="O2004" s="75">
        <v>1</v>
      </c>
      <c r="P2004" s="75">
        <v>0</v>
      </c>
      <c r="Q2004" s="75">
        <v>0</v>
      </c>
      <c r="R2004" s="75">
        <v>0</v>
      </c>
      <c r="S2004" s="75">
        <v>0</v>
      </c>
      <c r="T2004" s="75">
        <v>0</v>
      </c>
      <c r="U2004" s="75">
        <v>0</v>
      </c>
      <c r="V2004" s="75">
        <v>0</v>
      </c>
      <c r="W2004" s="78">
        <v>0</v>
      </c>
    </row>
    <row r="2005" spans="1:23" s="75" customFormat="1" hidden="1" x14ac:dyDescent="0.35">
      <c r="A2005" s="75">
        <v>2001</v>
      </c>
      <c r="B2005" s="75">
        <v>2002</v>
      </c>
      <c r="C2005">
        <v>146.03651120000001</v>
      </c>
      <c r="D2005">
        <v>-17.502194020000001</v>
      </c>
      <c r="F2005" s="75" t="str">
        <f>HYPERLINK("E:\Data From Lucan\2024\Johnstone\Frames_for_Analysis\2002_20240610_0003_L_2416.jpg","2002_20240610_0003_L_2416.jpg")</f>
        <v>2002_20240610_0003_L_2416.jpg</v>
      </c>
      <c r="G2005" s="75">
        <v>5</v>
      </c>
      <c r="I2005">
        <f t="shared" si="31"/>
        <v>1</v>
      </c>
      <c r="J2005" s="75">
        <v>1</v>
      </c>
      <c r="K2005" s="77"/>
      <c r="L2005" s="77"/>
      <c r="M2005" s="77"/>
      <c r="N2005" s="77"/>
      <c r="O2005" s="75">
        <v>1</v>
      </c>
      <c r="P2005" s="75">
        <v>0</v>
      </c>
      <c r="Q2005" s="75">
        <v>0</v>
      </c>
      <c r="R2005" s="75">
        <v>0</v>
      </c>
      <c r="S2005" s="75">
        <v>0</v>
      </c>
      <c r="T2005" s="75">
        <v>0</v>
      </c>
      <c r="U2005" s="75">
        <v>0</v>
      </c>
      <c r="V2005" s="75">
        <v>0</v>
      </c>
      <c r="W2005" s="78">
        <v>0</v>
      </c>
    </row>
    <row r="2006" spans="1:23" s="75" customFormat="1" hidden="1" x14ac:dyDescent="0.35">
      <c r="A2006" s="75">
        <v>2002</v>
      </c>
      <c r="B2006" s="75">
        <v>2003</v>
      </c>
      <c r="C2006">
        <v>146.036496</v>
      </c>
      <c r="D2006">
        <v>-17.50210096</v>
      </c>
      <c r="F2006" s="75" t="str">
        <f>HYPERLINK("E:\Data From Lucan\2024\Johnstone\Frames_for_Analysis\2003_20240610_0003_L_2420.jpg","2003_20240610_0003_L_2420.jpg")</f>
        <v>2003_20240610_0003_L_2420.jpg</v>
      </c>
      <c r="G2006" s="75">
        <v>5</v>
      </c>
      <c r="I2006">
        <f t="shared" si="31"/>
        <v>0</v>
      </c>
      <c r="J2006" s="75">
        <v>0</v>
      </c>
      <c r="K2006" s="77"/>
      <c r="L2006" s="77"/>
      <c r="M2006" s="77"/>
      <c r="N2006" s="77"/>
      <c r="O2006" s="75">
        <v>1</v>
      </c>
      <c r="P2006" s="75">
        <v>0</v>
      </c>
      <c r="Q2006" s="75">
        <v>0</v>
      </c>
      <c r="R2006" s="75">
        <v>0</v>
      </c>
      <c r="S2006" s="75">
        <v>0</v>
      </c>
      <c r="T2006" s="75">
        <v>0</v>
      </c>
      <c r="U2006" s="75">
        <v>0</v>
      </c>
      <c r="V2006" s="75">
        <v>0</v>
      </c>
      <c r="W2006" s="78">
        <v>0</v>
      </c>
    </row>
    <row r="2007" spans="1:23" s="75" customFormat="1" hidden="1" x14ac:dyDescent="0.35">
      <c r="A2007" s="75">
        <v>2003</v>
      </c>
      <c r="B2007" s="75">
        <v>2004</v>
      </c>
      <c r="C2007">
        <v>146.03648079999999</v>
      </c>
      <c r="D2007">
        <v>-17.502007890000002</v>
      </c>
      <c r="F2007" s="75" t="str">
        <f>HYPERLINK("E:\Data From Lucan\2024\Johnstone\Frames_for_Analysis\2004_20240610_0003_L_2424.jpg","2004_20240610_0003_L_2424.jpg")</f>
        <v>2004_20240610_0003_L_2424.jpg</v>
      </c>
      <c r="G2007" s="75">
        <v>5</v>
      </c>
      <c r="I2007">
        <f t="shared" si="31"/>
        <v>1</v>
      </c>
      <c r="J2007" s="75">
        <v>1</v>
      </c>
      <c r="K2007" s="77"/>
      <c r="L2007" s="77"/>
      <c r="M2007" s="77"/>
      <c r="N2007" s="77"/>
      <c r="O2007" s="75">
        <v>1</v>
      </c>
      <c r="P2007" s="75">
        <v>0</v>
      </c>
      <c r="Q2007" s="75">
        <v>0</v>
      </c>
      <c r="R2007" s="75">
        <v>0</v>
      </c>
      <c r="S2007" s="75">
        <v>0</v>
      </c>
      <c r="T2007" s="75">
        <v>0</v>
      </c>
      <c r="U2007" s="75">
        <v>0</v>
      </c>
      <c r="V2007" s="75">
        <v>0</v>
      </c>
      <c r="W2007" s="78">
        <v>0</v>
      </c>
    </row>
    <row r="2008" spans="1:23" s="75" customFormat="1" hidden="1" x14ac:dyDescent="0.35">
      <c r="A2008" s="75">
        <v>2004</v>
      </c>
      <c r="B2008" s="75">
        <v>2005</v>
      </c>
      <c r="C2008">
        <v>146.03646560000001</v>
      </c>
      <c r="D2008">
        <v>-17.50191483</v>
      </c>
      <c r="F2008" s="75" t="str">
        <f>HYPERLINK("E:\Data From Lucan\2024\Johnstone\Frames_for_Analysis\2005_20240610_0003_L_2428.jpg","2005_20240610_0003_L_2428.jpg")</f>
        <v>2005_20240610_0003_L_2428.jpg</v>
      </c>
      <c r="G2008" s="75">
        <v>5</v>
      </c>
      <c r="I2008">
        <f t="shared" si="31"/>
        <v>1</v>
      </c>
      <c r="J2008" s="75">
        <v>1</v>
      </c>
      <c r="K2008" s="77"/>
      <c r="L2008" s="77"/>
      <c r="M2008" s="77"/>
      <c r="N2008" s="77"/>
      <c r="O2008" s="75">
        <v>1</v>
      </c>
      <c r="P2008" s="75">
        <v>0</v>
      </c>
      <c r="Q2008" s="75">
        <v>0</v>
      </c>
      <c r="R2008" s="75">
        <v>0</v>
      </c>
      <c r="S2008" s="75">
        <v>0</v>
      </c>
      <c r="T2008" s="75">
        <v>0</v>
      </c>
      <c r="U2008" s="75">
        <v>0</v>
      </c>
      <c r="V2008" s="75">
        <v>0</v>
      </c>
      <c r="W2008" s="78">
        <v>0</v>
      </c>
    </row>
    <row r="2009" spans="1:23" s="75" customFormat="1" hidden="1" x14ac:dyDescent="0.35">
      <c r="A2009" s="75">
        <v>2005</v>
      </c>
      <c r="B2009" s="75">
        <v>2006</v>
      </c>
      <c r="C2009">
        <v>146.03645030000001</v>
      </c>
      <c r="D2009">
        <v>-17.501821759999999</v>
      </c>
      <c r="F2009" s="75" t="str">
        <f>HYPERLINK("E:\Data From Lucan\2024\Johnstone\Frames_for_Analysis\2006_20240610_0003_L_2432.jpg","2006_20240610_0003_L_2432.jpg")</f>
        <v>2006_20240610_0003_L_2432.jpg</v>
      </c>
      <c r="G2009" s="75">
        <v>5</v>
      </c>
      <c r="I2009">
        <f t="shared" si="31"/>
        <v>1</v>
      </c>
      <c r="J2009" s="75">
        <v>1</v>
      </c>
      <c r="K2009" s="77"/>
      <c r="L2009" s="77"/>
      <c r="M2009" s="77"/>
      <c r="N2009" s="77"/>
      <c r="O2009" s="75">
        <v>1</v>
      </c>
      <c r="P2009" s="75">
        <v>0</v>
      </c>
      <c r="Q2009" s="75">
        <v>0</v>
      </c>
      <c r="R2009" s="75">
        <v>0</v>
      </c>
      <c r="S2009" s="75">
        <v>0</v>
      </c>
      <c r="T2009" s="75">
        <v>0</v>
      </c>
      <c r="U2009" s="75">
        <v>0</v>
      </c>
      <c r="V2009" s="75">
        <v>0</v>
      </c>
      <c r="W2009" s="78">
        <v>0</v>
      </c>
    </row>
    <row r="2010" spans="1:23" s="75" customFormat="1" hidden="1" x14ac:dyDescent="0.35">
      <c r="A2010" s="75">
        <v>2006</v>
      </c>
      <c r="B2010" s="75">
        <v>2007</v>
      </c>
      <c r="C2010">
        <v>146.03643510000001</v>
      </c>
      <c r="D2010">
        <v>-17.50172869</v>
      </c>
      <c r="F2010" s="75" t="str">
        <f>HYPERLINK("E:\Data From Lucan\2024\Johnstone\Frames_for_Analysis\2007_20240610_0003_L_2436.jpg","2007_20240610_0003_L_2436.jpg")</f>
        <v>2007_20240610_0003_L_2436.jpg</v>
      </c>
      <c r="G2010" s="75">
        <v>5</v>
      </c>
      <c r="I2010">
        <f t="shared" si="31"/>
        <v>1</v>
      </c>
      <c r="J2010" s="75">
        <v>1</v>
      </c>
      <c r="K2010" s="77"/>
      <c r="L2010" s="77"/>
      <c r="M2010" s="77"/>
      <c r="N2010" s="77"/>
      <c r="O2010" s="75">
        <v>1</v>
      </c>
      <c r="P2010" s="75">
        <v>0</v>
      </c>
      <c r="Q2010" s="75">
        <v>0</v>
      </c>
      <c r="R2010" s="75">
        <v>0</v>
      </c>
      <c r="S2010" s="75">
        <v>0</v>
      </c>
      <c r="T2010" s="75">
        <v>0</v>
      </c>
      <c r="U2010" s="75">
        <v>0</v>
      </c>
      <c r="V2010" s="75">
        <v>0</v>
      </c>
      <c r="W2010" s="78">
        <v>0</v>
      </c>
    </row>
    <row r="2011" spans="1:23" s="75" customFormat="1" hidden="1" x14ac:dyDescent="0.35">
      <c r="A2011" s="75">
        <v>2007</v>
      </c>
      <c r="B2011" s="75">
        <v>2008</v>
      </c>
      <c r="C2011">
        <v>146.0364199</v>
      </c>
      <c r="D2011">
        <v>-17.501635629999999</v>
      </c>
      <c r="F2011" s="75" t="str">
        <f>HYPERLINK("E:\Data From Lucan\2024\Johnstone\Frames_for_Analysis\2008_20240610_0003_L_2439.jpg","2008_20240610_0003_L_2439.jpg")</f>
        <v>2008_20240610_0003_L_2439.jpg</v>
      </c>
      <c r="G2011" s="75">
        <v>5</v>
      </c>
      <c r="I2011">
        <f t="shared" si="31"/>
        <v>1</v>
      </c>
      <c r="J2011" s="75">
        <v>1</v>
      </c>
      <c r="K2011" s="77"/>
      <c r="L2011" s="77"/>
      <c r="M2011" s="77"/>
      <c r="N2011" s="77"/>
      <c r="O2011" s="75">
        <v>1</v>
      </c>
      <c r="P2011" s="75">
        <v>0</v>
      </c>
      <c r="Q2011" s="75">
        <v>0</v>
      </c>
      <c r="R2011" s="75">
        <v>0</v>
      </c>
      <c r="S2011" s="75">
        <v>0</v>
      </c>
      <c r="T2011" s="75">
        <v>0</v>
      </c>
      <c r="U2011" s="75">
        <v>0</v>
      </c>
      <c r="V2011" s="75">
        <v>0</v>
      </c>
      <c r="W2011" s="78">
        <v>0</v>
      </c>
    </row>
    <row r="2012" spans="1:23" s="75" customFormat="1" hidden="1" x14ac:dyDescent="0.35">
      <c r="A2012" s="75">
        <v>2008</v>
      </c>
      <c r="B2012" s="75">
        <v>2009</v>
      </c>
      <c r="C2012">
        <v>146.03640469999999</v>
      </c>
      <c r="D2012">
        <v>-17.501542560000001</v>
      </c>
      <c r="F2012" s="75" t="str">
        <f>HYPERLINK("E:\Data From Lucan\2024\Johnstone\Frames_for_Analysis\2009_20240610_0003_L_2442.jpg","2009_20240610_0003_L_2442.jpg")</f>
        <v>2009_20240610_0003_L_2442.jpg</v>
      </c>
      <c r="G2012" s="75">
        <v>5</v>
      </c>
      <c r="I2012">
        <f t="shared" si="31"/>
        <v>1</v>
      </c>
      <c r="J2012" s="75">
        <v>1</v>
      </c>
      <c r="K2012" s="77"/>
      <c r="L2012" s="77"/>
      <c r="M2012" s="77"/>
      <c r="N2012" s="77"/>
      <c r="O2012" s="75">
        <v>1</v>
      </c>
      <c r="P2012" s="75">
        <v>0</v>
      </c>
      <c r="Q2012" s="75">
        <v>0</v>
      </c>
      <c r="R2012" s="75">
        <v>0</v>
      </c>
      <c r="S2012" s="75">
        <v>0</v>
      </c>
      <c r="T2012" s="75">
        <v>0</v>
      </c>
      <c r="U2012" s="75">
        <v>0</v>
      </c>
      <c r="V2012" s="75">
        <v>0</v>
      </c>
      <c r="W2012" s="78">
        <v>0</v>
      </c>
    </row>
    <row r="2013" spans="1:23" s="75" customFormat="1" hidden="1" x14ac:dyDescent="0.35">
      <c r="A2013" s="75">
        <v>2009</v>
      </c>
      <c r="B2013" s="75">
        <v>2010</v>
      </c>
      <c r="C2013">
        <v>146.03638889999999</v>
      </c>
      <c r="D2013">
        <v>-17.50144959</v>
      </c>
      <c r="F2013" s="75" t="str">
        <f>HYPERLINK("E:\Data From Lucan\2024\Johnstone\Frames_for_Analysis\2010_20240610_0003_L_2446.jpg","2010_20240610_0003_L_2446.jpg")</f>
        <v>2010_20240610_0003_L_2446.jpg</v>
      </c>
      <c r="G2013" s="75">
        <v>5</v>
      </c>
      <c r="I2013">
        <f t="shared" si="31"/>
        <v>0</v>
      </c>
      <c r="J2013" s="75">
        <v>0</v>
      </c>
      <c r="K2013" s="77"/>
      <c r="L2013" s="77"/>
      <c r="M2013" s="77"/>
      <c r="N2013" s="77"/>
      <c r="O2013" s="75">
        <v>2</v>
      </c>
      <c r="P2013" s="75">
        <v>0</v>
      </c>
      <c r="Q2013" s="75">
        <v>0</v>
      </c>
      <c r="R2013" s="75">
        <v>0</v>
      </c>
      <c r="S2013" s="75">
        <v>0</v>
      </c>
      <c r="T2013" s="75">
        <v>0</v>
      </c>
      <c r="U2013" s="75">
        <v>0</v>
      </c>
      <c r="V2013" s="75">
        <v>0</v>
      </c>
      <c r="W2013" s="78">
        <v>1</v>
      </c>
    </row>
    <row r="2014" spans="1:23" s="75" customFormat="1" hidden="1" x14ac:dyDescent="0.35">
      <c r="A2014" s="75">
        <v>2010</v>
      </c>
      <c r="B2014" s="75">
        <v>2011</v>
      </c>
      <c r="C2014">
        <v>146.03636940000001</v>
      </c>
      <c r="D2014">
        <v>-17.501357339999998</v>
      </c>
      <c r="F2014" s="75" t="str">
        <f>HYPERLINK("E:\Data From Lucan\2024\Johnstone\Frames_for_Analysis\2011_20240610_0003_L_2449.jpg","2011_20240610_0003_L_2449.jpg")</f>
        <v>2011_20240610_0003_L_2449.jpg</v>
      </c>
      <c r="G2014" s="75">
        <v>5</v>
      </c>
      <c r="I2014">
        <f t="shared" si="31"/>
        <v>0</v>
      </c>
      <c r="J2014" s="75">
        <v>0</v>
      </c>
      <c r="K2014" s="77"/>
      <c r="L2014" s="77"/>
      <c r="M2014" s="77"/>
      <c r="N2014" s="77"/>
      <c r="O2014" s="75">
        <v>2</v>
      </c>
      <c r="P2014" s="75">
        <v>0</v>
      </c>
      <c r="Q2014" s="75">
        <v>0</v>
      </c>
      <c r="R2014" s="75">
        <v>0</v>
      </c>
      <c r="S2014" s="75">
        <v>0</v>
      </c>
      <c r="T2014" s="75">
        <v>0</v>
      </c>
      <c r="U2014" s="75">
        <v>0</v>
      </c>
      <c r="V2014" s="75">
        <v>0</v>
      </c>
      <c r="W2014" s="78">
        <v>1</v>
      </c>
    </row>
    <row r="2015" spans="1:23" s="75" customFormat="1" hidden="1" x14ac:dyDescent="0.35">
      <c r="A2015" s="75">
        <v>2011</v>
      </c>
      <c r="B2015" s="75">
        <v>2012</v>
      </c>
      <c r="C2015">
        <v>146.03634980000001</v>
      </c>
      <c r="D2015">
        <v>-17.50126508</v>
      </c>
      <c r="F2015" s="75" t="str">
        <f>HYPERLINK("E:\Data From Lucan\2024\Johnstone\Frames_for_Analysis\2012_20240610_0003_L_2452.jpg","2012_20240610_0003_L_2452.jpg")</f>
        <v>2012_20240610_0003_L_2452.jpg</v>
      </c>
      <c r="G2015" s="75">
        <v>5</v>
      </c>
      <c r="I2015">
        <f t="shared" si="31"/>
        <v>1</v>
      </c>
      <c r="J2015" s="75">
        <v>1</v>
      </c>
      <c r="K2015" s="77"/>
      <c r="L2015" s="77"/>
      <c r="M2015" s="77"/>
      <c r="N2015" s="77"/>
      <c r="O2015" s="75">
        <v>1</v>
      </c>
      <c r="P2015" s="75">
        <v>0</v>
      </c>
      <c r="Q2015" s="75">
        <v>0</v>
      </c>
      <c r="R2015" s="75">
        <v>0</v>
      </c>
      <c r="S2015" s="75">
        <v>0</v>
      </c>
      <c r="T2015" s="75">
        <v>0</v>
      </c>
      <c r="U2015" s="75">
        <v>0</v>
      </c>
      <c r="V2015" s="75">
        <v>0</v>
      </c>
      <c r="W2015" s="78">
        <v>0</v>
      </c>
    </row>
    <row r="2016" spans="1:23" s="75" customFormat="1" hidden="1" x14ac:dyDescent="0.35">
      <c r="A2016" s="75">
        <v>2012</v>
      </c>
      <c r="B2016" s="75">
        <v>2013</v>
      </c>
      <c r="C2016">
        <v>146.03633020000001</v>
      </c>
      <c r="D2016">
        <v>-17.501172830000002</v>
      </c>
      <c r="F2016" s="75" t="str">
        <f>HYPERLINK("E:\Data From Lucan\2024\Johnstone\Frames_for_Analysis\2013_20240610_0003_L_2455.jpg","2013_20240610_0003_L_2455.jpg")</f>
        <v>2013_20240610_0003_L_2455.jpg</v>
      </c>
      <c r="G2016" s="75">
        <v>5</v>
      </c>
      <c r="I2016">
        <f t="shared" si="31"/>
        <v>0</v>
      </c>
      <c r="J2016" s="75">
        <v>0</v>
      </c>
      <c r="K2016" s="77"/>
      <c r="L2016" s="77"/>
      <c r="M2016" s="77"/>
      <c r="N2016" s="77"/>
      <c r="O2016" s="75">
        <v>1</v>
      </c>
      <c r="P2016" s="75">
        <v>0</v>
      </c>
      <c r="Q2016" s="75">
        <v>0</v>
      </c>
      <c r="R2016" s="75">
        <v>0</v>
      </c>
      <c r="S2016" s="75">
        <v>0</v>
      </c>
      <c r="T2016" s="75">
        <v>0</v>
      </c>
      <c r="U2016" s="75">
        <v>0</v>
      </c>
      <c r="V2016" s="75">
        <v>0</v>
      </c>
      <c r="W2016" s="78">
        <v>0</v>
      </c>
    </row>
    <row r="2017" spans="1:23" s="75" customFormat="1" hidden="1" x14ac:dyDescent="0.35">
      <c r="A2017" s="75">
        <v>2013</v>
      </c>
      <c r="B2017" s="75">
        <v>2014</v>
      </c>
      <c r="C2017">
        <v>146.0363107</v>
      </c>
      <c r="D2017">
        <v>-17.50108058</v>
      </c>
      <c r="F2017" s="75" t="str">
        <f>HYPERLINK("E:\Data From Lucan\2024\Johnstone\Frames_for_Analysis\2014_20240610_0003_L_2458.jpg","2014_20240610_0003_L_2458.jpg")</f>
        <v>2014_20240610_0003_L_2458.jpg</v>
      </c>
      <c r="G2017" s="75">
        <v>5</v>
      </c>
      <c r="I2017">
        <f t="shared" si="31"/>
        <v>0</v>
      </c>
      <c r="J2017" s="75">
        <v>0</v>
      </c>
      <c r="K2017" s="77"/>
      <c r="L2017" s="77"/>
      <c r="M2017" s="77"/>
      <c r="N2017" s="77"/>
      <c r="O2017" s="75">
        <v>1</v>
      </c>
      <c r="P2017" s="75">
        <v>0</v>
      </c>
      <c r="Q2017" s="75">
        <v>0</v>
      </c>
      <c r="R2017" s="75">
        <v>0</v>
      </c>
      <c r="S2017" s="75">
        <v>0</v>
      </c>
      <c r="T2017" s="75">
        <v>0</v>
      </c>
      <c r="U2017" s="75">
        <v>0</v>
      </c>
      <c r="V2017" s="75">
        <v>0</v>
      </c>
      <c r="W2017" s="78">
        <v>0</v>
      </c>
    </row>
    <row r="2018" spans="1:23" s="75" customFormat="1" hidden="1" x14ac:dyDescent="0.35">
      <c r="A2018" s="75">
        <v>2014</v>
      </c>
      <c r="B2018" s="75">
        <v>2015</v>
      </c>
      <c r="C2018">
        <v>146.0362911</v>
      </c>
      <c r="D2018">
        <v>-17.500988329999998</v>
      </c>
      <c r="F2018" s="75" t="str">
        <f>HYPERLINK("E:\Data From Lucan\2024\Johnstone\Frames_for_Analysis\2015_20240610_0003_L_2461.jpg","2015_20240610_0003_L_2461.jpg")</f>
        <v>2015_20240610_0003_L_2461.jpg</v>
      </c>
      <c r="G2018" s="75">
        <v>5</v>
      </c>
      <c r="I2018">
        <f t="shared" si="31"/>
        <v>1</v>
      </c>
      <c r="J2018" s="75">
        <v>1</v>
      </c>
      <c r="K2018" s="77"/>
      <c r="L2018" s="77"/>
      <c r="M2018" s="77"/>
      <c r="N2018" s="77"/>
      <c r="O2018" s="75">
        <v>1</v>
      </c>
      <c r="P2018" s="75">
        <v>0</v>
      </c>
      <c r="Q2018" s="75">
        <v>0</v>
      </c>
      <c r="R2018" s="75">
        <v>0</v>
      </c>
      <c r="S2018" s="75">
        <v>0</v>
      </c>
      <c r="T2018" s="75">
        <v>0</v>
      </c>
      <c r="U2018" s="75">
        <v>0</v>
      </c>
      <c r="V2018" s="75">
        <v>0</v>
      </c>
      <c r="W2018" s="78">
        <v>0</v>
      </c>
    </row>
    <row r="2019" spans="1:23" s="75" customFormat="1" hidden="1" x14ac:dyDescent="0.35">
      <c r="A2019" s="75">
        <v>2015</v>
      </c>
      <c r="B2019" s="75">
        <v>2016</v>
      </c>
      <c r="C2019">
        <v>146.0362715</v>
      </c>
      <c r="D2019">
        <v>-17.50089608</v>
      </c>
      <c r="F2019" s="75" t="str">
        <f>HYPERLINK("E:\Data From Lucan\2024\Johnstone\Frames_for_Analysis\2016_20240610_0003_L_2465.jpg","2016_20240610_0003_L_2465.jpg")</f>
        <v>2016_20240610_0003_L_2465.jpg</v>
      </c>
      <c r="G2019" s="75">
        <v>5</v>
      </c>
      <c r="I2019">
        <f t="shared" si="31"/>
        <v>1</v>
      </c>
      <c r="J2019" s="75">
        <v>1</v>
      </c>
      <c r="K2019" s="77"/>
      <c r="L2019" s="77"/>
      <c r="M2019" s="77"/>
      <c r="N2019" s="77"/>
      <c r="O2019" s="75">
        <v>1</v>
      </c>
      <c r="P2019" s="75">
        <v>0</v>
      </c>
      <c r="Q2019" s="75">
        <v>0</v>
      </c>
      <c r="R2019" s="75">
        <v>0</v>
      </c>
      <c r="S2019" s="75">
        <v>0</v>
      </c>
      <c r="T2019" s="75">
        <v>0</v>
      </c>
      <c r="U2019" s="75">
        <v>0</v>
      </c>
      <c r="V2019" s="75">
        <v>0</v>
      </c>
      <c r="W2019" s="78">
        <v>0</v>
      </c>
    </row>
    <row r="2020" spans="1:23" s="75" customFormat="1" hidden="1" x14ac:dyDescent="0.35">
      <c r="A2020" s="75">
        <v>2016</v>
      </c>
      <c r="B2020" s="75">
        <v>2017</v>
      </c>
      <c r="C2020">
        <v>146.03625199999999</v>
      </c>
      <c r="D2020">
        <v>-17.500803829999999</v>
      </c>
      <c r="F2020" s="75" t="str">
        <f>HYPERLINK("E:\Data From Lucan\2024\Johnstone\Frames_for_Analysis\2017_20240610_0003_L_2468.jpg","2017_20240610_0003_L_2468.jpg")</f>
        <v>2017_20240610_0003_L_2468.jpg</v>
      </c>
      <c r="G2020" s="75">
        <v>5</v>
      </c>
      <c r="I2020">
        <f t="shared" si="31"/>
        <v>1</v>
      </c>
      <c r="J2020" s="75">
        <v>1</v>
      </c>
      <c r="K2020" s="77"/>
      <c r="L2020" s="77"/>
      <c r="M2020" s="77"/>
      <c r="N2020" s="77"/>
      <c r="O2020" s="75">
        <v>1</v>
      </c>
      <c r="P2020" s="75">
        <v>0</v>
      </c>
      <c r="Q2020" s="75">
        <v>0</v>
      </c>
      <c r="R2020" s="75">
        <v>0</v>
      </c>
      <c r="S2020" s="75">
        <v>0</v>
      </c>
      <c r="T2020" s="75">
        <v>0</v>
      </c>
      <c r="U2020" s="75">
        <v>0</v>
      </c>
      <c r="V2020" s="75">
        <v>0</v>
      </c>
      <c r="W2020" s="78">
        <v>0</v>
      </c>
    </row>
    <row r="2021" spans="1:23" s="75" customFormat="1" hidden="1" x14ac:dyDescent="0.35">
      <c r="A2021" s="75">
        <v>2017</v>
      </c>
      <c r="B2021" s="75">
        <v>2018</v>
      </c>
      <c r="C2021">
        <v>146.03623239999999</v>
      </c>
      <c r="D2021">
        <v>-17.500711580000001</v>
      </c>
      <c r="F2021" s="75" t="str">
        <f>HYPERLINK("E:\Data From Lucan\2024\Johnstone\Frames_for_Analysis\2018_20240610_0003_L_2471.jpg","2018_20240610_0003_L_2471.jpg")</f>
        <v>2018_20240610_0003_L_2471.jpg</v>
      </c>
      <c r="G2021" s="75">
        <v>5</v>
      </c>
      <c r="I2021">
        <f t="shared" si="31"/>
        <v>1</v>
      </c>
      <c r="J2021" s="75">
        <v>1</v>
      </c>
      <c r="K2021" s="77"/>
      <c r="L2021" s="77"/>
      <c r="M2021" s="77"/>
      <c r="N2021" s="77"/>
      <c r="O2021" s="75">
        <v>1</v>
      </c>
      <c r="P2021" s="75">
        <v>0</v>
      </c>
      <c r="Q2021" s="75">
        <v>0</v>
      </c>
      <c r="R2021" s="75">
        <v>0</v>
      </c>
      <c r="S2021" s="75">
        <v>0</v>
      </c>
      <c r="T2021" s="75">
        <v>0</v>
      </c>
      <c r="U2021" s="75">
        <v>0</v>
      </c>
      <c r="V2021" s="75">
        <v>0</v>
      </c>
      <c r="W2021" s="78">
        <v>0</v>
      </c>
    </row>
    <row r="2022" spans="1:23" s="75" customFormat="1" hidden="1" x14ac:dyDescent="0.35">
      <c r="A2022" s="75">
        <v>2018</v>
      </c>
      <c r="B2022" s="75">
        <v>2019</v>
      </c>
      <c r="C2022">
        <v>146.03621279999999</v>
      </c>
      <c r="D2022">
        <v>-17.500619319999998</v>
      </c>
      <c r="F2022" s="75" t="str">
        <f>HYPERLINK("E:\Data From Lucan\2024\Johnstone\Frames_for_Analysis\2019_20240610_0003_L_2474.jpg","2019_20240610_0003_L_2474.jpg")</f>
        <v>2019_20240610_0003_L_2474.jpg</v>
      </c>
      <c r="G2022" s="75">
        <v>5</v>
      </c>
      <c r="I2022">
        <f t="shared" si="31"/>
        <v>1</v>
      </c>
      <c r="J2022" s="75">
        <v>1</v>
      </c>
      <c r="K2022" s="77"/>
      <c r="L2022" s="77"/>
      <c r="M2022" s="77"/>
      <c r="N2022" s="77"/>
      <c r="O2022" s="75">
        <v>1</v>
      </c>
      <c r="P2022" s="75">
        <v>0</v>
      </c>
      <c r="Q2022" s="75">
        <v>0</v>
      </c>
      <c r="R2022" s="75">
        <v>0</v>
      </c>
      <c r="S2022" s="75">
        <v>0</v>
      </c>
      <c r="T2022" s="75">
        <v>0</v>
      </c>
      <c r="U2022" s="75">
        <v>0</v>
      </c>
      <c r="V2022" s="75">
        <v>0</v>
      </c>
      <c r="W2022" s="78">
        <v>0</v>
      </c>
    </row>
    <row r="2023" spans="1:23" s="75" customFormat="1" hidden="1" x14ac:dyDescent="0.35">
      <c r="A2023" s="75">
        <v>2019</v>
      </c>
      <c r="B2023" s="75">
        <v>2020</v>
      </c>
      <c r="C2023">
        <v>146.03619330000001</v>
      </c>
      <c r="D2023">
        <v>-17.50052707</v>
      </c>
      <c r="F2023" s="75" t="str">
        <f>HYPERLINK("E:\Data From Lucan\2024\Johnstone\Frames_for_Analysis\2020_20240610_0003_L_2477.jpg","2020_20240610_0003_L_2477.jpg")</f>
        <v>2020_20240610_0003_L_2477.jpg</v>
      </c>
      <c r="G2023" s="75">
        <v>5</v>
      </c>
      <c r="I2023">
        <f t="shared" si="31"/>
        <v>1</v>
      </c>
      <c r="J2023" s="75">
        <v>1</v>
      </c>
      <c r="K2023" s="77"/>
      <c r="L2023" s="77"/>
      <c r="M2023" s="77"/>
      <c r="N2023" s="77"/>
      <c r="O2023" s="75">
        <v>1</v>
      </c>
      <c r="P2023" s="75">
        <v>0</v>
      </c>
      <c r="Q2023" s="75">
        <v>0</v>
      </c>
      <c r="R2023" s="75">
        <v>0</v>
      </c>
      <c r="S2023" s="75">
        <v>0</v>
      </c>
      <c r="T2023" s="75">
        <v>0</v>
      </c>
      <c r="U2023" s="75">
        <v>0</v>
      </c>
      <c r="V2023" s="75">
        <v>0</v>
      </c>
      <c r="W2023" s="78">
        <v>0</v>
      </c>
    </row>
    <row r="2024" spans="1:23" s="75" customFormat="1" hidden="1" x14ac:dyDescent="0.35">
      <c r="A2024" s="75">
        <v>2020</v>
      </c>
      <c r="B2024" s="75">
        <v>2021</v>
      </c>
      <c r="C2024">
        <v>146.03616840000001</v>
      </c>
      <c r="D2024">
        <v>-17.50043625</v>
      </c>
      <c r="F2024" s="75" t="str">
        <f>HYPERLINK("E:\Data From Lucan\2024\Johnstone\Frames_for_Analysis\2021_20240610_0003_L_2480.jpg","2021_20240610_0003_L_2480.jpg")</f>
        <v>2021_20240610_0003_L_2480.jpg</v>
      </c>
      <c r="G2024" s="75">
        <v>5</v>
      </c>
      <c r="I2024">
        <f t="shared" si="31"/>
        <v>1</v>
      </c>
      <c r="J2024" s="75">
        <v>1</v>
      </c>
      <c r="K2024" s="77"/>
      <c r="L2024" s="77"/>
      <c r="M2024" s="77"/>
      <c r="N2024" s="77"/>
      <c r="O2024" s="75">
        <v>1</v>
      </c>
      <c r="P2024" s="75">
        <v>0</v>
      </c>
      <c r="Q2024" s="75">
        <v>0</v>
      </c>
      <c r="R2024" s="75">
        <v>0</v>
      </c>
      <c r="S2024" s="75">
        <v>0</v>
      </c>
      <c r="T2024" s="75">
        <v>0</v>
      </c>
      <c r="U2024" s="75">
        <v>0</v>
      </c>
      <c r="V2024" s="75">
        <v>0</v>
      </c>
      <c r="W2024" s="78">
        <v>0</v>
      </c>
    </row>
    <row r="2025" spans="1:23" s="75" customFormat="1" hidden="1" x14ac:dyDescent="0.35">
      <c r="A2025" s="75">
        <v>2021</v>
      </c>
      <c r="B2025" s="75">
        <v>2022</v>
      </c>
      <c r="C2025">
        <v>146.0361394</v>
      </c>
      <c r="D2025">
        <v>-17.500346520000001</v>
      </c>
      <c r="F2025" s="75" t="str">
        <f>HYPERLINK("E:\Data From Lucan\2024\Johnstone\Frames_for_Analysis\2022_20240610_0003_L_2483.jpg","2022_20240610_0003_L_2483.jpg")</f>
        <v>2022_20240610_0003_L_2483.jpg</v>
      </c>
      <c r="G2025" s="75">
        <v>5</v>
      </c>
      <c r="I2025">
        <f t="shared" si="31"/>
        <v>0</v>
      </c>
      <c r="J2025" s="75">
        <v>0</v>
      </c>
      <c r="K2025" s="77"/>
      <c r="L2025" s="77"/>
      <c r="M2025" s="77"/>
      <c r="N2025" s="77"/>
      <c r="O2025" s="75">
        <v>1</v>
      </c>
      <c r="P2025" s="75">
        <v>0</v>
      </c>
      <c r="Q2025" s="75">
        <v>0</v>
      </c>
      <c r="R2025" s="75">
        <v>0</v>
      </c>
      <c r="S2025" s="75">
        <v>0</v>
      </c>
      <c r="T2025" s="75">
        <v>0</v>
      </c>
      <c r="U2025" s="75">
        <v>0</v>
      </c>
      <c r="V2025" s="75">
        <v>0</v>
      </c>
      <c r="W2025" s="78">
        <v>0</v>
      </c>
    </row>
    <row r="2026" spans="1:23" s="75" customFormat="1" hidden="1" x14ac:dyDescent="0.35">
      <c r="A2026" s="75">
        <v>2022</v>
      </c>
      <c r="B2026" s="75">
        <v>2023</v>
      </c>
      <c r="C2026">
        <v>146.03611029999999</v>
      </c>
      <c r="D2026">
        <v>-17.500256790000002</v>
      </c>
      <c r="F2026" s="75" t="str">
        <f>HYPERLINK("E:\Data From Lucan\2024\Johnstone\Frames_for_Analysis\2023_20240610_0003_L_2486.jpg","2023_20240610_0003_L_2486.jpg")</f>
        <v>2023_20240610_0003_L_2486.jpg</v>
      </c>
      <c r="G2026" s="75">
        <v>5</v>
      </c>
      <c r="I2026">
        <f t="shared" si="31"/>
        <v>1</v>
      </c>
      <c r="J2026" s="75">
        <v>1</v>
      </c>
      <c r="K2026" s="77"/>
      <c r="L2026" s="77"/>
      <c r="M2026" s="77"/>
      <c r="N2026" s="77"/>
      <c r="O2026" s="75">
        <v>1</v>
      </c>
      <c r="P2026" s="75">
        <v>0</v>
      </c>
      <c r="Q2026" s="75">
        <v>0</v>
      </c>
      <c r="R2026" s="75">
        <v>0</v>
      </c>
      <c r="S2026" s="75">
        <v>0</v>
      </c>
      <c r="T2026" s="75">
        <v>0</v>
      </c>
      <c r="U2026" s="75">
        <v>0</v>
      </c>
      <c r="V2026" s="75">
        <v>0</v>
      </c>
      <c r="W2026" s="78">
        <v>0</v>
      </c>
    </row>
    <row r="2027" spans="1:23" s="75" customFormat="1" hidden="1" x14ac:dyDescent="0.35">
      <c r="A2027" s="75">
        <v>2023</v>
      </c>
      <c r="B2027" s="75">
        <v>2024</v>
      </c>
      <c r="C2027">
        <v>146.03608130000001</v>
      </c>
      <c r="D2027">
        <v>-17.500167059999999</v>
      </c>
      <c r="F2027" s="75" t="str">
        <f>HYPERLINK("E:\Data From Lucan\2024\Johnstone\Frames_for_Analysis\2024_20240610_0003_L_2490.jpg","2024_20240610_0003_L_2490.jpg")</f>
        <v>2024_20240610_0003_L_2490.jpg</v>
      </c>
      <c r="G2027" s="75">
        <v>5</v>
      </c>
      <c r="I2027">
        <f t="shared" si="31"/>
        <v>1</v>
      </c>
      <c r="J2027" s="75">
        <v>1</v>
      </c>
      <c r="K2027" s="77"/>
      <c r="L2027" s="77"/>
      <c r="M2027" s="77"/>
      <c r="N2027" s="77"/>
      <c r="O2027" s="75">
        <v>1</v>
      </c>
      <c r="P2027" s="75">
        <v>0</v>
      </c>
      <c r="Q2027" s="75">
        <v>0</v>
      </c>
      <c r="R2027" s="75">
        <v>0</v>
      </c>
      <c r="S2027" s="75">
        <v>0</v>
      </c>
      <c r="T2027" s="75">
        <v>0</v>
      </c>
      <c r="U2027" s="75">
        <v>0</v>
      </c>
      <c r="V2027" s="75">
        <v>0</v>
      </c>
      <c r="W2027" s="78">
        <v>0</v>
      </c>
    </row>
    <row r="2028" spans="1:23" s="75" customFormat="1" hidden="1" x14ac:dyDescent="0.35">
      <c r="A2028" s="75">
        <v>2024</v>
      </c>
      <c r="B2028" s="75">
        <v>2025</v>
      </c>
      <c r="C2028">
        <v>146.03605229999999</v>
      </c>
      <c r="D2028">
        <v>-17.50007733</v>
      </c>
      <c r="F2028" s="75" t="str">
        <f>HYPERLINK("E:\Data From Lucan\2024\Johnstone\Frames_for_Analysis\2025_20240610_0003_L_2493.jpg","2025_20240610_0003_L_2493.jpg")</f>
        <v>2025_20240610_0003_L_2493.jpg</v>
      </c>
      <c r="G2028" s="75">
        <v>5</v>
      </c>
      <c r="I2028">
        <f t="shared" si="31"/>
        <v>1</v>
      </c>
      <c r="J2028" s="75">
        <v>1</v>
      </c>
      <c r="K2028" s="77"/>
      <c r="L2028" s="77"/>
      <c r="M2028" s="77"/>
      <c r="N2028" s="77"/>
      <c r="O2028" s="75">
        <v>1</v>
      </c>
      <c r="P2028" s="75">
        <v>0</v>
      </c>
      <c r="Q2028" s="75">
        <v>0</v>
      </c>
      <c r="R2028" s="75">
        <v>0</v>
      </c>
      <c r="S2028" s="75">
        <v>0</v>
      </c>
      <c r="T2028" s="75">
        <v>0</v>
      </c>
      <c r="U2028" s="75">
        <v>0</v>
      </c>
      <c r="V2028" s="75">
        <v>0</v>
      </c>
      <c r="W2028" s="78">
        <v>0</v>
      </c>
    </row>
    <row r="2029" spans="1:23" s="75" customFormat="1" hidden="1" x14ac:dyDescent="0.35">
      <c r="A2029" s="75">
        <v>2025</v>
      </c>
      <c r="B2029" s="75">
        <v>2026</v>
      </c>
      <c r="C2029">
        <v>146.03602330000001</v>
      </c>
      <c r="D2029">
        <v>-17.499987600000001</v>
      </c>
      <c r="F2029" s="75" t="str">
        <f>HYPERLINK("E:\Data From Lucan\2024\Johnstone\Frames_for_Analysis\2026_20240610_0003_L_2497.jpg","2026_20240610_0003_L_2497.jpg")</f>
        <v>2026_20240610_0003_L_2497.jpg</v>
      </c>
      <c r="G2029" s="75">
        <v>5</v>
      </c>
      <c r="I2029">
        <f t="shared" si="31"/>
        <v>1</v>
      </c>
      <c r="J2029" s="75">
        <v>1</v>
      </c>
      <c r="K2029" s="77"/>
      <c r="L2029" s="77"/>
      <c r="M2029" s="77"/>
      <c r="N2029" s="77"/>
      <c r="O2029" s="75">
        <v>1</v>
      </c>
      <c r="P2029" s="75">
        <v>0</v>
      </c>
      <c r="Q2029" s="75">
        <v>0</v>
      </c>
      <c r="R2029" s="75">
        <v>0</v>
      </c>
      <c r="S2029" s="75">
        <v>0</v>
      </c>
      <c r="T2029" s="75">
        <v>0</v>
      </c>
      <c r="U2029" s="75">
        <v>0</v>
      </c>
      <c r="V2029" s="75">
        <v>0</v>
      </c>
      <c r="W2029" s="78">
        <v>0</v>
      </c>
    </row>
    <row r="2030" spans="1:23" s="75" customFormat="1" hidden="1" x14ac:dyDescent="0.35">
      <c r="A2030" s="75">
        <v>2026</v>
      </c>
      <c r="B2030" s="75">
        <v>2027</v>
      </c>
      <c r="C2030">
        <v>146.0359943</v>
      </c>
      <c r="D2030">
        <v>-17.499897870000002</v>
      </c>
      <c r="F2030" s="75" t="str">
        <f>HYPERLINK("E:\Data From Lucan\2024\Johnstone\Frames_for_Analysis\2027_20240610_0003_L_2500.jpg","2027_20240610_0003_L_2500.jpg")</f>
        <v>2027_20240610_0003_L_2500.jpg</v>
      </c>
      <c r="G2030" s="75">
        <v>5</v>
      </c>
      <c r="I2030">
        <f t="shared" si="31"/>
        <v>1</v>
      </c>
      <c r="J2030" s="75">
        <v>1</v>
      </c>
      <c r="K2030" s="77"/>
      <c r="L2030" s="77"/>
      <c r="M2030" s="77"/>
      <c r="N2030" s="77"/>
      <c r="O2030" s="75">
        <v>1</v>
      </c>
      <c r="P2030" s="75">
        <v>0</v>
      </c>
      <c r="Q2030" s="75">
        <v>0</v>
      </c>
      <c r="R2030" s="75">
        <v>0</v>
      </c>
      <c r="S2030" s="75">
        <v>0</v>
      </c>
      <c r="T2030" s="75">
        <v>0</v>
      </c>
      <c r="U2030" s="75">
        <v>0</v>
      </c>
      <c r="V2030" s="75">
        <v>0</v>
      </c>
      <c r="W2030" s="78">
        <v>0</v>
      </c>
    </row>
    <row r="2031" spans="1:23" s="75" customFormat="1" hidden="1" x14ac:dyDescent="0.35">
      <c r="A2031" s="75">
        <v>2027</v>
      </c>
      <c r="B2031" s="75">
        <v>2028</v>
      </c>
      <c r="C2031">
        <v>146.03596529999999</v>
      </c>
      <c r="D2031">
        <v>-17.499808139999999</v>
      </c>
      <c r="F2031" s="75" t="str">
        <f>HYPERLINK("E:\Data From Lucan\2024\Johnstone\Frames_for_Analysis\2028_20240610_0003_L_2504.jpg","2028_20240610_0003_L_2504.jpg")</f>
        <v>2028_20240610_0003_L_2504.jpg</v>
      </c>
      <c r="G2031" s="75">
        <v>5</v>
      </c>
      <c r="I2031">
        <f t="shared" si="31"/>
        <v>1</v>
      </c>
      <c r="J2031" s="75">
        <v>1</v>
      </c>
      <c r="K2031" s="77"/>
      <c r="L2031" s="77"/>
      <c r="M2031" s="77"/>
      <c r="N2031" s="77"/>
      <c r="O2031" s="75">
        <v>1</v>
      </c>
      <c r="P2031" s="75">
        <v>0</v>
      </c>
      <c r="Q2031" s="75">
        <v>0</v>
      </c>
      <c r="R2031" s="75">
        <v>0</v>
      </c>
      <c r="S2031" s="75">
        <v>0</v>
      </c>
      <c r="T2031" s="75">
        <v>0</v>
      </c>
      <c r="U2031" s="75">
        <v>0</v>
      </c>
      <c r="V2031" s="75">
        <v>0</v>
      </c>
      <c r="W2031" s="78">
        <v>0</v>
      </c>
    </row>
    <row r="2032" spans="1:23" s="75" customFormat="1" hidden="1" x14ac:dyDescent="0.35">
      <c r="A2032" s="75">
        <v>2028</v>
      </c>
      <c r="B2032" s="75">
        <v>2029</v>
      </c>
      <c r="C2032">
        <v>146.0359363</v>
      </c>
      <c r="D2032">
        <v>-17.49971841</v>
      </c>
      <c r="F2032" s="75" t="str">
        <f>HYPERLINK("E:\Data From Lucan\2024\Johnstone\Frames_for_Analysis\2029_20240610_0003_L_2507.jpg","2029_20240610_0003_L_2507.jpg")</f>
        <v>2029_20240610_0003_L_2507.jpg</v>
      </c>
      <c r="G2032" s="75">
        <v>5</v>
      </c>
      <c r="I2032">
        <f t="shared" si="31"/>
        <v>1</v>
      </c>
      <c r="J2032" s="75">
        <v>1</v>
      </c>
      <c r="K2032" s="77"/>
      <c r="L2032" s="77"/>
      <c r="M2032" s="77"/>
      <c r="N2032" s="77"/>
      <c r="O2032" s="75">
        <v>1</v>
      </c>
      <c r="P2032" s="75">
        <v>0</v>
      </c>
      <c r="Q2032" s="75">
        <v>0</v>
      </c>
      <c r="R2032" s="75">
        <v>0</v>
      </c>
      <c r="S2032" s="75">
        <v>0</v>
      </c>
      <c r="T2032" s="75">
        <v>0</v>
      </c>
      <c r="U2032" s="75">
        <v>0</v>
      </c>
      <c r="V2032" s="75">
        <v>0</v>
      </c>
      <c r="W2032" s="78">
        <v>0</v>
      </c>
    </row>
    <row r="2033" spans="1:23" s="75" customFormat="1" hidden="1" x14ac:dyDescent="0.35">
      <c r="A2033" s="75">
        <v>2029</v>
      </c>
      <c r="B2033" s="75">
        <v>2030</v>
      </c>
      <c r="C2033">
        <v>146.03590689999999</v>
      </c>
      <c r="D2033">
        <v>-17.499628789999999</v>
      </c>
      <c r="F2033" s="75" t="str">
        <f>HYPERLINK("E:\Data From Lucan\2024\Johnstone\Frames_for_Analysis\2030_20240610_0003_L_2510.jpg","2030_20240610_0003_L_2510.jpg")</f>
        <v>2030_20240610_0003_L_2510.jpg</v>
      </c>
      <c r="G2033" s="75">
        <v>5</v>
      </c>
      <c r="I2033">
        <f t="shared" si="31"/>
        <v>1</v>
      </c>
      <c r="J2033" s="75">
        <v>1</v>
      </c>
      <c r="K2033" s="77"/>
      <c r="L2033" s="77"/>
      <c r="M2033" s="77"/>
      <c r="N2033" s="77"/>
      <c r="O2033" s="75">
        <v>1</v>
      </c>
      <c r="P2033" s="75">
        <v>0</v>
      </c>
      <c r="Q2033" s="75">
        <v>0</v>
      </c>
      <c r="R2033" s="75">
        <v>0</v>
      </c>
      <c r="S2033" s="75">
        <v>0</v>
      </c>
      <c r="T2033" s="75">
        <v>0</v>
      </c>
      <c r="U2033" s="75">
        <v>0</v>
      </c>
      <c r="V2033" s="75">
        <v>0</v>
      </c>
      <c r="W2033" s="78">
        <v>0</v>
      </c>
    </row>
    <row r="2034" spans="1:23" s="75" customFormat="1" hidden="1" x14ac:dyDescent="0.35">
      <c r="A2034" s="75">
        <v>2030</v>
      </c>
      <c r="B2034" s="75">
        <v>2031</v>
      </c>
      <c r="C2034">
        <v>146.03587719999999</v>
      </c>
      <c r="D2034">
        <v>-17.499539299999999</v>
      </c>
      <c r="F2034" s="75" t="str">
        <f>HYPERLINK("E:\Data From Lucan\2024\Johnstone\Frames_for_Analysis\2031_20240610_0003_L_2513.jpg","2031_20240610_0003_L_2513.jpg")</f>
        <v>2031_20240610_0003_L_2513.jpg</v>
      </c>
      <c r="G2034" s="75">
        <v>5</v>
      </c>
      <c r="I2034">
        <f t="shared" si="31"/>
        <v>0</v>
      </c>
      <c r="J2034" s="75">
        <v>0</v>
      </c>
      <c r="K2034" s="77"/>
      <c r="L2034" s="77"/>
      <c r="M2034" s="77"/>
      <c r="N2034" s="77"/>
      <c r="O2034" s="75">
        <v>1</v>
      </c>
      <c r="P2034" s="75">
        <v>0</v>
      </c>
      <c r="Q2034" s="75">
        <v>0</v>
      </c>
      <c r="R2034" s="75">
        <v>0</v>
      </c>
      <c r="S2034" s="75">
        <v>0</v>
      </c>
      <c r="T2034" s="75">
        <v>0</v>
      </c>
      <c r="U2034" s="75">
        <v>0</v>
      </c>
      <c r="V2034" s="75">
        <v>0</v>
      </c>
      <c r="W2034" s="78">
        <v>0</v>
      </c>
    </row>
    <row r="2035" spans="1:23" s="75" customFormat="1" hidden="1" x14ac:dyDescent="0.35">
      <c r="A2035" s="75">
        <v>2031</v>
      </c>
      <c r="B2035" s="75">
        <v>2032</v>
      </c>
      <c r="C2035">
        <v>146.03584739999999</v>
      </c>
      <c r="D2035">
        <v>-17.499449800000001</v>
      </c>
      <c r="F2035" s="75" t="str">
        <f>HYPERLINK("E:\Data From Lucan\2024\Johnstone\Frames_for_Analysis\2032_20240610_0003_L_2516.jpg","2032_20240610_0003_L_2516.jpg")</f>
        <v>2032_20240610_0003_L_2516.jpg</v>
      </c>
      <c r="G2035" s="75">
        <v>5</v>
      </c>
      <c r="I2035">
        <f t="shared" si="31"/>
        <v>1</v>
      </c>
      <c r="J2035" s="75">
        <v>1</v>
      </c>
      <c r="K2035" s="77"/>
      <c r="L2035" s="77"/>
      <c r="M2035" s="77"/>
      <c r="N2035" s="77"/>
      <c r="O2035" s="75">
        <v>1</v>
      </c>
      <c r="P2035" s="75">
        <v>0</v>
      </c>
      <c r="Q2035" s="75">
        <v>0</v>
      </c>
      <c r="R2035" s="75">
        <v>0</v>
      </c>
      <c r="S2035" s="75">
        <v>0</v>
      </c>
      <c r="T2035" s="75">
        <v>0</v>
      </c>
      <c r="U2035" s="75">
        <v>0</v>
      </c>
      <c r="V2035" s="75">
        <v>0</v>
      </c>
      <c r="W2035" s="78">
        <v>0</v>
      </c>
    </row>
    <row r="2036" spans="1:23" s="75" customFormat="1" hidden="1" x14ac:dyDescent="0.35">
      <c r="A2036" s="75">
        <v>2032</v>
      </c>
      <c r="B2036" s="75">
        <v>2033</v>
      </c>
      <c r="C2036">
        <v>146.0358177</v>
      </c>
      <c r="D2036">
        <v>-17.49936031</v>
      </c>
      <c r="F2036" s="75" t="str">
        <f>HYPERLINK("E:\Data From Lucan\2024\Johnstone\Frames_for_Analysis\2033_20240610_0003_L_2520.jpg","2033_20240610_0003_L_2520.jpg")</f>
        <v>2033_20240610_0003_L_2520.jpg</v>
      </c>
      <c r="G2036" s="75">
        <v>5</v>
      </c>
      <c r="I2036">
        <f t="shared" si="31"/>
        <v>1</v>
      </c>
      <c r="J2036" s="75">
        <v>1</v>
      </c>
      <c r="K2036" s="77"/>
      <c r="L2036" s="77"/>
      <c r="M2036" s="77"/>
      <c r="N2036" s="77"/>
      <c r="O2036" s="75">
        <v>1</v>
      </c>
      <c r="P2036" s="75">
        <v>0</v>
      </c>
      <c r="Q2036" s="75">
        <v>0</v>
      </c>
      <c r="R2036" s="75">
        <v>0</v>
      </c>
      <c r="S2036" s="75">
        <v>0</v>
      </c>
      <c r="T2036" s="75">
        <v>0</v>
      </c>
      <c r="U2036" s="75">
        <v>0</v>
      </c>
      <c r="V2036" s="75">
        <v>0</v>
      </c>
      <c r="W2036" s="78">
        <v>0</v>
      </c>
    </row>
    <row r="2037" spans="1:23" s="75" customFormat="1" hidden="1" x14ac:dyDescent="0.35">
      <c r="A2037" s="75">
        <v>2033</v>
      </c>
      <c r="B2037" s="75">
        <v>2034</v>
      </c>
      <c r="C2037">
        <v>146.035788</v>
      </c>
      <c r="D2037">
        <v>-17.499270809999999</v>
      </c>
      <c r="F2037" s="75" t="str">
        <f>HYPERLINK("E:\Data From Lucan\2024\Johnstone\Frames_for_Analysis\2034_20240610_0003_L_2523.jpg","2034_20240610_0003_L_2523.jpg")</f>
        <v>2034_20240610_0003_L_2523.jpg</v>
      </c>
      <c r="G2037" s="75">
        <v>5</v>
      </c>
      <c r="I2037">
        <f t="shared" si="31"/>
        <v>1</v>
      </c>
      <c r="J2037" s="75">
        <v>1</v>
      </c>
      <c r="K2037" s="77"/>
      <c r="L2037" s="77"/>
      <c r="M2037" s="77"/>
      <c r="N2037" s="77"/>
      <c r="O2037" s="75">
        <v>1</v>
      </c>
      <c r="P2037" s="75">
        <v>0</v>
      </c>
      <c r="Q2037" s="75">
        <v>0</v>
      </c>
      <c r="R2037" s="75">
        <v>0</v>
      </c>
      <c r="S2037" s="75">
        <v>0</v>
      </c>
      <c r="T2037" s="75">
        <v>0</v>
      </c>
      <c r="U2037" s="75">
        <v>0</v>
      </c>
      <c r="V2037" s="75">
        <v>0</v>
      </c>
      <c r="W2037" s="78">
        <v>0</v>
      </c>
    </row>
    <row r="2038" spans="1:23" s="75" customFormat="1" hidden="1" x14ac:dyDescent="0.35">
      <c r="A2038" s="75">
        <v>2034</v>
      </c>
      <c r="B2038" s="75">
        <v>2035</v>
      </c>
      <c r="C2038">
        <v>146.0357583</v>
      </c>
      <c r="D2038">
        <v>-17.499181320000002</v>
      </c>
      <c r="F2038" s="75" t="str">
        <f>HYPERLINK("E:\Data From Lucan\2024\Johnstone\Frames_for_Analysis\2035_20240610_0003_L_2527.jpg","2035_20240610_0003_L_2527.jpg")</f>
        <v>2035_20240610_0003_L_2527.jpg</v>
      </c>
      <c r="G2038" s="75">
        <v>5</v>
      </c>
      <c r="I2038">
        <f t="shared" si="31"/>
        <v>1</v>
      </c>
      <c r="J2038" s="75">
        <v>1</v>
      </c>
      <c r="K2038" s="77"/>
      <c r="L2038" s="77"/>
      <c r="M2038" s="77"/>
      <c r="N2038" s="77"/>
      <c r="O2038" s="75">
        <v>1</v>
      </c>
      <c r="P2038" s="75">
        <v>0</v>
      </c>
      <c r="Q2038" s="75">
        <v>0</v>
      </c>
      <c r="R2038" s="75">
        <v>0</v>
      </c>
      <c r="S2038" s="75">
        <v>0</v>
      </c>
      <c r="T2038" s="75">
        <v>0</v>
      </c>
      <c r="U2038" s="75">
        <v>0</v>
      </c>
      <c r="V2038" s="75">
        <v>0</v>
      </c>
      <c r="W2038" s="78">
        <v>0</v>
      </c>
    </row>
    <row r="2039" spans="1:23" s="75" customFormat="1" hidden="1" x14ac:dyDescent="0.35">
      <c r="A2039" s="75">
        <v>2035</v>
      </c>
      <c r="B2039" s="75">
        <v>2036</v>
      </c>
      <c r="C2039">
        <v>146.0357285</v>
      </c>
      <c r="D2039">
        <v>-17.49909182</v>
      </c>
      <c r="F2039" s="75" t="str">
        <f>HYPERLINK("E:\Data From Lucan\2024\Johnstone\Frames_for_Analysis\2036_20240610_0003_L_2530.jpg","2036_20240610_0003_L_2530.jpg")</f>
        <v>2036_20240610_0003_L_2530.jpg</v>
      </c>
      <c r="G2039" s="75">
        <v>5</v>
      </c>
      <c r="I2039">
        <f t="shared" si="31"/>
        <v>1</v>
      </c>
      <c r="J2039" s="75">
        <v>1</v>
      </c>
      <c r="K2039" s="77"/>
      <c r="L2039" s="77"/>
      <c r="M2039" s="77"/>
      <c r="N2039" s="77"/>
      <c r="O2039" s="75">
        <v>1</v>
      </c>
      <c r="P2039" s="75">
        <v>0</v>
      </c>
      <c r="Q2039" s="75">
        <v>0</v>
      </c>
      <c r="R2039" s="75">
        <v>0</v>
      </c>
      <c r="S2039" s="75">
        <v>0</v>
      </c>
      <c r="T2039" s="75">
        <v>0</v>
      </c>
      <c r="U2039" s="75">
        <v>0</v>
      </c>
      <c r="V2039" s="75">
        <v>0</v>
      </c>
      <c r="W2039" s="78">
        <v>0</v>
      </c>
    </row>
    <row r="2040" spans="1:23" s="75" customFormat="1" hidden="1" x14ac:dyDescent="0.35">
      <c r="A2040" s="75">
        <v>2036</v>
      </c>
      <c r="B2040" s="75">
        <v>2037</v>
      </c>
      <c r="C2040">
        <v>146.03569880000001</v>
      </c>
      <c r="D2040">
        <v>-17.49900233</v>
      </c>
      <c r="F2040" s="75" t="str">
        <f>HYPERLINK("E:\Data From Lucan\2024\Johnstone\Frames_for_Analysis\2037_20240610_0003_L_2534.jpg","2037_20240610_0003_L_2534.jpg")</f>
        <v>2037_20240610_0003_L_2534.jpg</v>
      </c>
      <c r="G2040" s="75">
        <v>5</v>
      </c>
      <c r="I2040">
        <f t="shared" si="31"/>
        <v>1</v>
      </c>
      <c r="J2040" s="75">
        <v>1</v>
      </c>
      <c r="K2040" s="77"/>
      <c r="L2040" s="77"/>
      <c r="M2040" s="77"/>
      <c r="N2040" s="77"/>
      <c r="O2040" s="75">
        <v>1</v>
      </c>
      <c r="P2040" s="75">
        <v>0</v>
      </c>
      <c r="Q2040" s="75">
        <v>0</v>
      </c>
      <c r="R2040" s="75">
        <v>0</v>
      </c>
      <c r="S2040" s="75">
        <v>0</v>
      </c>
      <c r="T2040" s="75">
        <v>0</v>
      </c>
      <c r="U2040" s="75">
        <v>0</v>
      </c>
      <c r="V2040" s="75">
        <v>0</v>
      </c>
      <c r="W2040" s="78">
        <v>0</v>
      </c>
    </row>
    <row r="2041" spans="1:23" s="75" customFormat="1" hidden="1" x14ac:dyDescent="0.35">
      <c r="A2041" s="75">
        <v>2037</v>
      </c>
      <c r="B2041" s="75">
        <v>2038</v>
      </c>
      <c r="C2041">
        <v>146.03566910000001</v>
      </c>
      <c r="D2041">
        <v>-17.498912829999998</v>
      </c>
      <c r="F2041" s="75" t="str">
        <f>HYPERLINK("E:\Data From Lucan\2024\Johnstone\Frames_for_Analysis\2038_20240610_0003_L_2539.jpg","2038_20240610_0003_L_2539.jpg")</f>
        <v>2038_20240610_0003_L_2539.jpg</v>
      </c>
      <c r="G2041" s="75">
        <v>5</v>
      </c>
      <c r="I2041">
        <f t="shared" si="31"/>
        <v>1</v>
      </c>
      <c r="J2041" s="75">
        <v>1</v>
      </c>
      <c r="K2041" s="77"/>
      <c r="L2041" s="77"/>
      <c r="M2041" s="77"/>
      <c r="N2041" s="77"/>
      <c r="O2041" s="75">
        <v>1</v>
      </c>
      <c r="P2041" s="75">
        <v>0</v>
      </c>
      <c r="Q2041" s="75">
        <v>0</v>
      </c>
      <c r="R2041" s="75">
        <v>0</v>
      </c>
      <c r="S2041" s="75">
        <v>0</v>
      </c>
      <c r="T2041" s="75">
        <v>0</v>
      </c>
      <c r="U2041" s="75">
        <v>0</v>
      </c>
      <c r="V2041" s="75">
        <v>0</v>
      </c>
      <c r="W2041" s="78">
        <v>0</v>
      </c>
    </row>
    <row r="2042" spans="1:23" s="75" customFormat="1" hidden="1" x14ac:dyDescent="0.35">
      <c r="A2042" s="75">
        <v>2038</v>
      </c>
      <c r="B2042" s="75">
        <v>2039</v>
      </c>
      <c r="C2042">
        <v>146.0356371</v>
      </c>
      <c r="D2042">
        <v>-17.498824119999998</v>
      </c>
      <c r="F2042" s="75" t="str">
        <f>HYPERLINK("E:\Data From Lucan\2024\Johnstone\Frames_for_Analysis\2039_20240610_0003_L_2543.jpg","2039_20240610_0003_L_2543.jpg")</f>
        <v>2039_20240610_0003_L_2543.jpg</v>
      </c>
      <c r="G2042" s="75">
        <v>5</v>
      </c>
      <c r="I2042">
        <f t="shared" si="31"/>
        <v>1</v>
      </c>
      <c r="J2042" s="75">
        <v>1</v>
      </c>
      <c r="K2042" s="77"/>
      <c r="L2042" s="77"/>
      <c r="M2042" s="77"/>
      <c r="N2042" s="77"/>
      <c r="O2042" s="75">
        <v>1</v>
      </c>
      <c r="P2042" s="75">
        <v>0</v>
      </c>
      <c r="Q2042" s="75">
        <v>0</v>
      </c>
      <c r="R2042" s="75">
        <v>0</v>
      </c>
      <c r="S2042" s="75">
        <v>0</v>
      </c>
      <c r="T2042" s="75">
        <v>0</v>
      </c>
      <c r="U2042" s="75">
        <v>0</v>
      </c>
      <c r="V2042" s="75">
        <v>0</v>
      </c>
      <c r="W2042" s="78">
        <v>0</v>
      </c>
    </row>
    <row r="2043" spans="1:23" s="75" customFormat="1" hidden="1" x14ac:dyDescent="0.35">
      <c r="A2043" s="75">
        <v>2039</v>
      </c>
      <c r="B2043" s="75">
        <v>2040</v>
      </c>
      <c r="C2043">
        <v>146.03560400000001</v>
      </c>
      <c r="D2043">
        <v>-17.498735830000001</v>
      </c>
      <c r="F2043" s="75" t="str">
        <f>HYPERLINK("E:\Data From Lucan\2024\Johnstone\Frames_for_Analysis\2040_20240610_0003_L_2546.jpg","2040_20240610_0003_L_2546.jpg")</f>
        <v>2040_20240610_0003_L_2546.jpg</v>
      </c>
      <c r="G2043" s="75">
        <v>5</v>
      </c>
      <c r="I2043">
        <f t="shared" si="31"/>
        <v>1</v>
      </c>
      <c r="J2043" s="75">
        <v>1</v>
      </c>
      <c r="K2043" s="77"/>
      <c r="L2043" s="77"/>
      <c r="M2043" s="77"/>
      <c r="N2043" s="77"/>
      <c r="O2043" s="75">
        <v>1</v>
      </c>
      <c r="P2043" s="75">
        <v>0</v>
      </c>
      <c r="Q2043" s="75">
        <v>0</v>
      </c>
      <c r="R2043" s="75">
        <v>0</v>
      </c>
      <c r="S2043" s="75">
        <v>0</v>
      </c>
      <c r="T2043" s="75">
        <v>0</v>
      </c>
      <c r="U2043" s="75">
        <v>0</v>
      </c>
      <c r="V2043" s="75">
        <v>0</v>
      </c>
      <c r="W2043" s="78">
        <v>0</v>
      </c>
    </row>
    <row r="2044" spans="1:23" s="75" customFormat="1" hidden="1" x14ac:dyDescent="0.35">
      <c r="A2044" s="75">
        <v>2040</v>
      </c>
      <c r="B2044" s="75">
        <v>2041</v>
      </c>
      <c r="C2044">
        <v>146.03557090000001</v>
      </c>
      <c r="D2044">
        <v>-17.49864754</v>
      </c>
      <c r="F2044" s="75" t="str">
        <f>HYPERLINK("E:\Data From Lucan\2024\Johnstone\Frames_for_Analysis\2041_20240610_0003_L_2549.jpg","2041_20240610_0003_L_2549.jpg")</f>
        <v>2041_20240610_0003_L_2549.jpg</v>
      </c>
      <c r="G2044" s="75">
        <v>5</v>
      </c>
      <c r="I2044">
        <f t="shared" si="31"/>
        <v>0</v>
      </c>
      <c r="J2044" s="75">
        <v>0</v>
      </c>
      <c r="K2044" s="77"/>
      <c r="L2044" s="77"/>
      <c r="M2044" s="77"/>
      <c r="N2044" s="77"/>
      <c r="O2044" s="75">
        <v>1</v>
      </c>
      <c r="P2044" s="75">
        <v>0</v>
      </c>
      <c r="Q2044" s="75">
        <v>0</v>
      </c>
      <c r="R2044" s="75">
        <v>0</v>
      </c>
      <c r="S2044" s="75">
        <v>0</v>
      </c>
      <c r="T2044" s="75">
        <v>0</v>
      </c>
      <c r="U2044" s="75">
        <v>0</v>
      </c>
      <c r="V2044" s="75">
        <v>0</v>
      </c>
      <c r="W2044" s="78">
        <v>0</v>
      </c>
    </row>
    <row r="2045" spans="1:23" s="75" customFormat="1" hidden="1" x14ac:dyDescent="0.35">
      <c r="A2045" s="75">
        <v>2041</v>
      </c>
      <c r="B2045" s="75">
        <v>2042</v>
      </c>
      <c r="C2045">
        <v>146.03553769999999</v>
      </c>
      <c r="D2045">
        <v>-17.49855925</v>
      </c>
      <c r="F2045" s="75" t="str">
        <f>HYPERLINK("E:\Data From Lucan\2024\Johnstone\Frames_for_Analysis\2042_20240610_0003_L_2553.jpg","2042_20240610_0003_L_2553.jpg")</f>
        <v>2042_20240610_0003_L_2553.jpg</v>
      </c>
      <c r="G2045" s="75">
        <v>5</v>
      </c>
      <c r="I2045">
        <f t="shared" si="31"/>
        <v>1</v>
      </c>
      <c r="J2045" s="75">
        <v>1</v>
      </c>
      <c r="K2045" s="77"/>
      <c r="L2045" s="77"/>
      <c r="M2045" s="77"/>
      <c r="N2045" s="77"/>
      <c r="O2045" s="75">
        <v>1</v>
      </c>
      <c r="P2045" s="75">
        <v>0</v>
      </c>
      <c r="Q2045" s="75">
        <v>0</v>
      </c>
      <c r="R2045" s="75">
        <v>0</v>
      </c>
      <c r="S2045" s="75">
        <v>0</v>
      </c>
      <c r="T2045" s="75">
        <v>0</v>
      </c>
      <c r="U2045" s="75">
        <v>0</v>
      </c>
      <c r="V2045" s="75">
        <v>0</v>
      </c>
      <c r="W2045" s="78">
        <v>0</v>
      </c>
    </row>
    <row r="2046" spans="1:23" s="75" customFormat="1" hidden="1" x14ac:dyDescent="0.35">
      <c r="A2046" s="75">
        <v>2042</v>
      </c>
      <c r="B2046" s="75">
        <v>2043</v>
      </c>
      <c r="C2046">
        <v>146.0355046</v>
      </c>
      <c r="D2046">
        <v>-17.498470959999999</v>
      </c>
      <c r="F2046" s="75" t="str">
        <f>HYPERLINK("E:\Data From Lucan\2024\Johnstone\Frames_for_Analysis\2043_20240610_0003_L_2556.jpg","2043_20240610_0003_L_2556.jpg")</f>
        <v>2043_20240610_0003_L_2556.jpg</v>
      </c>
      <c r="G2046" s="75">
        <v>5</v>
      </c>
      <c r="I2046">
        <f t="shared" si="31"/>
        <v>1</v>
      </c>
      <c r="J2046" s="75">
        <v>1</v>
      </c>
      <c r="K2046" s="77"/>
      <c r="L2046" s="77"/>
      <c r="M2046" s="77"/>
      <c r="N2046" s="77"/>
      <c r="O2046" s="75">
        <v>1</v>
      </c>
      <c r="P2046" s="75">
        <v>0</v>
      </c>
      <c r="Q2046" s="75">
        <v>0</v>
      </c>
      <c r="R2046" s="75">
        <v>0</v>
      </c>
      <c r="S2046" s="75">
        <v>0</v>
      </c>
      <c r="T2046" s="75">
        <v>0</v>
      </c>
      <c r="U2046" s="75">
        <v>0</v>
      </c>
      <c r="V2046" s="75">
        <v>0</v>
      </c>
      <c r="W2046" s="78">
        <v>0</v>
      </c>
    </row>
    <row r="2047" spans="1:23" s="75" customFormat="1" hidden="1" x14ac:dyDescent="0.35">
      <c r="A2047" s="75">
        <v>2043</v>
      </c>
      <c r="B2047" s="75">
        <v>2044</v>
      </c>
      <c r="C2047">
        <v>146.0354715</v>
      </c>
      <c r="D2047">
        <v>-17.498382670000002</v>
      </c>
      <c r="F2047" s="75" t="str">
        <f>HYPERLINK("E:\Data From Lucan\2024\Johnstone\Frames_for_Analysis\2044_20240610_0003_L_2559.jpg","2044_20240610_0003_L_2559.jpg")</f>
        <v>2044_20240610_0003_L_2559.jpg</v>
      </c>
      <c r="G2047" s="75">
        <v>5</v>
      </c>
      <c r="I2047">
        <f t="shared" si="31"/>
        <v>1</v>
      </c>
      <c r="J2047" s="75">
        <v>1</v>
      </c>
      <c r="K2047" s="77"/>
      <c r="L2047" s="77"/>
      <c r="M2047" s="77"/>
      <c r="N2047" s="77"/>
      <c r="O2047" s="75">
        <v>1</v>
      </c>
      <c r="P2047" s="75">
        <v>0</v>
      </c>
      <c r="Q2047" s="75">
        <v>0</v>
      </c>
      <c r="R2047" s="75">
        <v>0</v>
      </c>
      <c r="S2047" s="75">
        <v>0</v>
      </c>
      <c r="T2047" s="75">
        <v>0</v>
      </c>
      <c r="U2047" s="75">
        <v>0</v>
      </c>
      <c r="V2047" s="75">
        <v>0</v>
      </c>
      <c r="W2047" s="78">
        <v>0</v>
      </c>
    </row>
    <row r="2048" spans="1:23" s="75" customFormat="1" hidden="1" x14ac:dyDescent="0.35">
      <c r="A2048" s="75">
        <v>2044</v>
      </c>
      <c r="B2048" s="75">
        <v>2045</v>
      </c>
      <c r="C2048">
        <v>146.03543830000001</v>
      </c>
      <c r="D2048">
        <v>-17.498294380000001</v>
      </c>
      <c r="F2048" s="75" t="str">
        <f>HYPERLINK("E:\Data From Lucan\2024\Johnstone\Frames_for_Analysis\2045_20240610_0003_L_2563.jpg","2045_20240610_0003_L_2563.jpg")</f>
        <v>2045_20240610_0003_L_2563.jpg</v>
      </c>
      <c r="G2048" s="75">
        <v>5</v>
      </c>
      <c r="I2048">
        <f t="shared" si="31"/>
        <v>1</v>
      </c>
      <c r="J2048" s="75">
        <v>1</v>
      </c>
      <c r="K2048" s="77"/>
      <c r="L2048" s="77"/>
      <c r="M2048" s="77"/>
      <c r="N2048" s="77"/>
      <c r="O2048" s="75">
        <v>1</v>
      </c>
      <c r="P2048" s="75">
        <v>0</v>
      </c>
      <c r="Q2048" s="75">
        <v>0</v>
      </c>
      <c r="R2048" s="75">
        <v>0</v>
      </c>
      <c r="S2048" s="75">
        <v>0</v>
      </c>
      <c r="T2048" s="75">
        <v>0</v>
      </c>
      <c r="U2048" s="75">
        <v>0</v>
      </c>
      <c r="V2048" s="75">
        <v>0</v>
      </c>
      <c r="W2048" s="78">
        <v>0</v>
      </c>
    </row>
    <row r="2049" spans="1:23" s="75" customFormat="1" hidden="1" x14ac:dyDescent="0.35">
      <c r="A2049" s="75">
        <v>2045</v>
      </c>
      <c r="B2049" s="75">
        <v>2046</v>
      </c>
      <c r="C2049">
        <v>146.03540520000001</v>
      </c>
      <c r="D2049">
        <v>-17.49820609</v>
      </c>
      <c r="F2049" s="75" t="str">
        <f>HYPERLINK("E:\Data From Lucan\2024\Johnstone\Frames_for_Analysis\2046_20240610_0003_L_2566.jpg","2046_20240610_0003_L_2566.jpg")</f>
        <v>2046_20240610_0003_L_2566.jpg</v>
      </c>
      <c r="G2049" s="75">
        <v>5</v>
      </c>
      <c r="I2049">
        <f t="shared" si="31"/>
        <v>1</v>
      </c>
      <c r="J2049" s="75">
        <v>1</v>
      </c>
      <c r="K2049" s="77"/>
      <c r="L2049" s="77"/>
      <c r="M2049" s="77"/>
      <c r="N2049" s="77"/>
      <c r="O2049" s="75">
        <v>1</v>
      </c>
      <c r="P2049" s="75">
        <v>0</v>
      </c>
      <c r="Q2049" s="75">
        <v>0</v>
      </c>
      <c r="R2049" s="75">
        <v>0</v>
      </c>
      <c r="S2049" s="75">
        <v>0</v>
      </c>
      <c r="T2049" s="75">
        <v>0</v>
      </c>
      <c r="U2049" s="75">
        <v>0</v>
      </c>
      <c r="V2049" s="75">
        <v>0</v>
      </c>
      <c r="W2049" s="78">
        <v>0</v>
      </c>
    </row>
    <row r="2050" spans="1:23" s="75" customFormat="1" hidden="1" x14ac:dyDescent="0.35">
      <c r="A2050" s="75">
        <v>2046</v>
      </c>
      <c r="B2050" s="75">
        <v>2047</v>
      </c>
      <c r="C2050">
        <v>146.035372</v>
      </c>
      <c r="D2050">
        <v>-17.498117799999999</v>
      </c>
      <c r="F2050" s="75" t="str">
        <f>HYPERLINK("E:\Data From Lucan\2024\Johnstone\Frames_for_Analysis\2047_20240610_0003_L_2570.jpg","2047_20240610_0003_L_2570.jpg")</f>
        <v>2047_20240610_0003_L_2570.jpg</v>
      </c>
      <c r="G2050" s="75">
        <v>5</v>
      </c>
      <c r="I2050">
        <f t="shared" si="31"/>
        <v>1</v>
      </c>
      <c r="J2050" s="75">
        <v>1</v>
      </c>
      <c r="K2050" s="77"/>
      <c r="L2050" s="77"/>
      <c r="M2050" s="77"/>
      <c r="N2050" s="77"/>
      <c r="O2050" s="75">
        <v>1</v>
      </c>
      <c r="P2050" s="75">
        <v>0</v>
      </c>
      <c r="Q2050" s="75">
        <v>0</v>
      </c>
      <c r="R2050" s="75">
        <v>0</v>
      </c>
      <c r="S2050" s="75">
        <v>0</v>
      </c>
      <c r="T2050" s="75">
        <v>0</v>
      </c>
      <c r="U2050" s="75">
        <v>0</v>
      </c>
      <c r="V2050" s="75">
        <v>0</v>
      </c>
      <c r="W2050" s="78">
        <v>0</v>
      </c>
    </row>
    <row r="2051" spans="1:23" s="75" customFormat="1" hidden="1" x14ac:dyDescent="0.35">
      <c r="A2051" s="75">
        <v>2047</v>
      </c>
      <c r="B2051" s="75">
        <v>2048</v>
      </c>
      <c r="C2051">
        <v>146.0353389</v>
      </c>
      <c r="D2051">
        <v>-17.498029509999999</v>
      </c>
      <c r="F2051" s="75" t="str">
        <f>HYPERLINK("E:\Data From Lucan\2024\Johnstone\Frames_for_Analysis\2048_20240610_0003_L_2573.jpg","2048_20240610_0003_L_2573.jpg")</f>
        <v>2048_20240610_0003_L_2573.jpg</v>
      </c>
      <c r="G2051" s="75">
        <v>5</v>
      </c>
      <c r="I2051">
        <f t="shared" si="31"/>
        <v>1</v>
      </c>
      <c r="J2051" s="75">
        <v>1</v>
      </c>
      <c r="K2051" s="77"/>
      <c r="L2051" s="77"/>
      <c r="M2051" s="77"/>
      <c r="N2051" s="77"/>
      <c r="O2051" s="75">
        <v>1</v>
      </c>
      <c r="P2051" s="75">
        <v>0</v>
      </c>
      <c r="Q2051" s="75">
        <v>0</v>
      </c>
      <c r="R2051" s="75">
        <v>0</v>
      </c>
      <c r="S2051" s="75">
        <v>0</v>
      </c>
      <c r="T2051" s="75">
        <v>0</v>
      </c>
      <c r="U2051" s="75">
        <v>0</v>
      </c>
      <c r="V2051" s="75">
        <v>0</v>
      </c>
      <c r="W2051" s="78">
        <v>0</v>
      </c>
    </row>
    <row r="2052" spans="1:23" s="75" customFormat="1" hidden="1" x14ac:dyDescent="0.35">
      <c r="A2052" s="75">
        <v>2048</v>
      </c>
      <c r="B2052" s="75">
        <v>2049</v>
      </c>
      <c r="C2052">
        <v>146.0352978</v>
      </c>
      <c r="D2052">
        <v>-17.497944799999999</v>
      </c>
      <c r="F2052" s="75" t="str">
        <f>HYPERLINK("E:\Data From Lucan\2024\Johnstone\Frames_for_Analysis\2049_20240610_0003_L_2577.jpg","2049_20240610_0003_L_2577.jpg")</f>
        <v>2049_20240610_0003_L_2577.jpg</v>
      </c>
      <c r="G2052" s="75">
        <v>5</v>
      </c>
      <c r="I2052">
        <f t="shared" si="31"/>
        <v>1</v>
      </c>
      <c r="J2052" s="75">
        <v>1</v>
      </c>
      <c r="K2052" s="77"/>
      <c r="L2052" s="77"/>
      <c r="M2052" s="77"/>
      <c r="N2052" s="77"/>
      <c r="O2052" s="75">
        <v>1</v>
      </c>
      <c r="P2052" s="75">
        <v>0</v>
      </c>
      <c r="Q2052" s="75">
        <v>0</v>
      </c>
      <c r="R2052" s="75">
        <v>0</v>
      </c>
      <c r="S2052" s="75">
        <v>0</v>
      </c>
      <c r="T2052" s="75">
        <v>0</v>
      </c>
      <c r="U2052" s="75">
        <v>0</v>
      </c>
      <c r="V2052" s="75">
        <v>0</v>
      </c>
      <c r="W2052" s="78">
        <v>0</v>
      </c>
    </row>
    <row r="2053" spans="1:23" s="75" customFormat="1" hidden="1" x14ac:dyDescent="0.35">
      <c r="A2053" s="75">
        <v>2049</v>
      </c>
      <c r="B2053" s="75">
        <v>2050</v>
      </c>
      <c r="C2053">
        <v>146.0352536</v>
      </c>
      <c r="D2053">
        <v>-17.497861539999999</v>
      </c>
      <c r="F2053" s="75" t="str">
        <f>HYPERLINK("E:\Data From Lucan\2024\Johnstone\Frames_for_Analysis\2050_20240610_0003_L_2581.jpg","2050_20240610_0003_L_2581.jpg")</f>
        <v>2050_20240610_0003_L_2581.jpg</v>
      </c>
      <c r="G2053" s="75">
        <v>5</v>
      </c>
      <c r="I2053">
        <f t="shared" ref="I2053:I2116" si="32">IF(H2053="X","X",IF(J2053="NA","X",IF(J2053="","X",J2053)))</f>
        <v>1</v>
      </c>
      <c r="J2053" s="75">
        <v>1</v>
      </c>
      <c r="K2053" s="77"/>
      <c r="L2053" s="77"/>
      <c r="M2053" s="77"/>
      <c r="N2053" s="77"/>
      <c r="O2053" s="75">
        <v>1</v>
      </c>
      <c r="P2053" s="75">
        <v>0</v>
      </c>
      <c r="Q2053" s="75">
        <v>0</v>
      </c>
      <c r="R2053" s="75">
        <v>0</v>
      </c>
      <c r="S2053" s="75">
        <v>0</v>
      </c>
      <c r="T2053" s="75">
        <v>0</v>
      </c>
      <c r="U2053" s="75">
        <v>0</v>
      </c>
      <c r="V2053" s="75">
        <v>1</v>
      </c>
      <c r="W2053" s="78">
        <v>0</v>
      </c>
    </row>
    <row r="2054" spans="1:23" s="75" customFormat="1" hidden="1" x14ac:dyDescent="0.35">
      <c r="A2054" s="75">
        <v>2050</v>
      </c>
      <c r="B2054" s="75">
        <v>2051</v>
      </c>
      <c r="C2054">
        <v>146.03520929999999</v>
      </c>
      <c r="D2054">
        <v>-17.497778279999999</v>
      </c>
      <c r="F2054" s="75" t="str">
        <f>HYPERLINK("E:\Data From Lucan\2024\Johnstone\Frames_for_Analysis\2051_20240610_0003_L_2585.jpg","2051_20240610_0003_L_2585.jpg")</f>
        <v>2051_20240610_0003_L_2585.jpg</v>
      </c>
      <c r="G2054" s="75">
        <v>5</v>
      </c>
      <c r="I2054">
        <f t="shared" si="32"/>
        <v>1</v>
      </c>
      <c r="J2054" s="75">
        <v>1</v>
      </c>
      <c r="K2054" s="77"/>
      <c r="L2054" s="77"/>
      <c r="M2054" s="77"/>
      <c r="N2054" s="77"/>
      <c r="O2054" s="75">
        <v>1</v>
      </c>
      <c r="P2054" s="75">
        <v>0</v>
      </c>
      <c r="Q2054" s="75">
        <v>0</v>
      </c>
      <c r="R2054" s="75">
        <v>0</v>
      </c>
      <c r="S2054" s="75">
        <v>0</v>
      </c>
      <c r="T2054" s="75">
        <v>0</v>
      </c>
      <c r="U2054" s="75">
        <v>0</v>
      </c>
      <c r="V2054" s="75">
        <v>1</v>
      </c>
      <c r="W2054" s="78">
        <v>0</v>
      </c>
    </row>
    <row r="2055" spans="1:23" s="75" customFormat="1" hidden="1" x14ac:dyDescent="0.35">
      <c r="A2055" s="75">
        <v>2051</v>
      </c>
      <c r="B2055" s="75">
        <v>2052</v>
      </c>
      <c r="C2055">
        <v>146.03516500000001</v>
      </c>
      <c r="D2055">
        <v>-17.497695010000001</v>
      </c>
      <c r="F2055" s="75" t="str">
        <f>HYPERLINK("E:\Data From Lucan\2024\Johnstone\Frames_for_Analysis\2052_20240610_0003_L_2588.jpg","2052_20240610_0003_L_2588.jpg")</f>
        <v>2052_20240610_0003_L_2588.jpg</v>
      </c>
      <c r="G2055" s="75">
        <v>5</v>
      </c>
      <c r="I2055">
        <f t="shared" si="32"/>
        <v>1</v>
      </c>
      <c r="J2055" s="75">
        <v>1</v>
      </c>
      <c r="K2055" s="77"/>
      <c r="L2055" s="77"/>
      <c r="M2055" s="77"/>
      <c r="N2055" s="77"/>
      <c r="O2055" s="75">
        <v>1</v>
      </c>
      <c r="P2055" s="75">
        <v>0</v>
      </c>
      <c r="Q2055" s="75">
        <v>0</v>
      </c>
      <c r="R2055" s="75">
        <v>0</v>
      </c>
      <c r="S2055" s="75">
        <v>0</v>
      </c>
      <c r="T2055" s="75">
        <v>0</v>
      </c>
      <c r="U2055" s="75">
        <v>0</v>
      </c>
      <c r="V2055" s="75">
        <v>1</v>
      </c>
      <c r="W2055" s="78">
        <v>0</v>
      </c>
    </row>
    <row r="2056" spans="1:23" s="75" customFormat="1" hidden="1" x14ac:dyDescent="0.35">
      <c r="A2056" s="75">
        <v>2052</v>
      </c>
      <c r="B2056" s="75">
        <v>2053</v>
      </c>
      <c r="C2056">
        <v>146.03512069999999</v>
      </c>
      <c r="D2056">
        <v>-17.497611750000001</v>
      </c>
      <c r="F2056" s="75" t="str">
        <f>HYPERLINK("E:\Data From Lucan\2024\Johnstone\Frames_for_Analysis\2053_20240610_0003_L_2591.jpg","2053_20240610_0003_L_2591.jpg")</f>
        <v>2053_20240610_0003_L_2591.jpg</v>
      </c>
      <c r="G2056" s="75">
        <v>5</v>
      </c>
      <c r="I2056">
        <f t="shared" si="32"/>
        <v>1</v>
      </c>
      <c r="J2056" s="75">
        <v>1</v>
      </c>
      <c r="K2056" s="77"/>
      <c r="L2056" s="77"/>
      <c r="M2056" s="77"/>
      <c r="N2056" s="77"/>
      <c r="O2056" s="75">
        <v>1</v>
      </c>
      <c r="P2056" s="75">
        <v>0</v>
      </c>
      <c r="Q2056" s="75">
        <v>0</v>
      </c>
      <c r="R2056" s="75">
        <v>0</v>
      </c>
      <c r="S2056" s="75">
        <v>0</v>
      </c>
      <c r="T2056" s="75">
        <v>0</v>
      </c>
      <c r="U2056" s="75">
        <v>0</v>
      </c>
      <c r="V2056" s="75">
        <v>1</v>
      </c>
      <c r="W2056" s="78">
        <v>0</v>
      </c>
    </row>
    <row r="2057" spans="1:23" s="75" customFormat="1" hidden="1" x14ac:dyDescent="0.35">
      <c r="A2057" s="75">
        <v>2053</v>
      </c>
      <c r="B2057" s="75">
        <v>2054</v>
      </c>
      <c r="C2057">
        <v>146.0350765</v>
      </c>
      <c r="D2057">
        <v>-17.497528490000001</v>
      </c>
      <c r="F2057" s="75" t="str">
        <f>HYPERLINK("E:\Data From Lucan\2024\Johnstone\Frames_for_Analysis\2054_20240610_0003_L_2595.jpg","2054_20240610_0003_L_2595.jpg")</f>
        <v>2054_20240610_0003_L_2595.jpg</v>
      </c>
      <c r="G2057" s="75">
        <v>5</v>
      </c>
      <c r="I2057">
        <f t="shared" si="32"/>
        <v>1</v>
      </c>
      <c r="J2057" s="75">
        <v>1</v>
      </c>
      <c r="K2057" s="77"/>
      <c r="L2057" s="77"/>
      <c r="M2057" s="77"/>
      <c r="N2057" s="77"/>
      <c r="O2057" s="75">
        <v>1</v>
      </c>
      <c r="P2057" s="75">
        <v>0</v>
      </c>
      <c r="Q2057" s="75">
        <v>0</v>
      </c>
      <c r="R2057" s="75">
        <v>0</v>
      </c>
      <c r="S2057" s="75">
        <v>0</v>
      </c>
      <c r="T2057" s="75">
        <v>0</v>
      </c>
      <c r="U2057" s="75">
        <v>0</v>
      </c>
      <c r="V2057" s="75">
        <v>1</v>
      </c>
      <c r="W2057" s="78">
        <v>0</v>
      </c>
    </row>
    <row r="2058" spans="1:23" s="75" customFormat="1" hidden="1" x14ac:dyDescent="0.35">
      <c r="A2058" s="75">
        <v>2054</v>
      </c>
      <c r="B2058" s="75">
        <v>2055</v>
      </c>
      <c r="C2058">
        <v>146.03503219999999</v>
      </c>
      <c r="D2058">
        <v>-17.497445219999999</v>
      </c>
      <c r="F2058" s="75" t="str">
        <f>HYPERLINK("E:\Data From Lucan\2024\Johnstone\Frames_for_Analysis\2055_20240610_0003_L_2599.jpg","2055_20240610_0003_L_2599.jpg")</f>
        <v>2055_20240610_0003_L_2599.jpg</v>
      </c>
      <c r="G2058" s="75">
        <v>5</v>
      </c>
      <c r="I2058">
        <f t="shared" si="32"/>
        <v>1</v>
      </c>
      <c r="J2058" s="75">
        <v>1</v>
      </c>
      <c r="K2058" s="77"/>
      <c r="L2058" s="77"/>
      <c r="M2058" s="77"/>
      <c r="N2058" s="77"/>
      <c r="O2058" s="75">
        <v>1</v>
      </c>
      <c r="P2058" s="75">
        <v>0</v>
      </c>
      <c r="Q2058" s="75">
        <v>0</v>
      </c>
      <c r="R2058" s="75">
        <v>0</v>
      </c>
      <c r="S2058" s="75">
        <v>0</v>
      </c>
      <c r="T2058" s="75">
        <v>0</v>
      </c>
      <c r="U2058" s="75">
        <v>0</v>
      </c>
      <c r="V2058" s="75">
        <v>0</v>
      </c>
      <c r="W2058" s="78">
        <v>0</v>
      </c>
    </row>
    <row r="2059" spans="1:23" s="75" customFormat="1" hidden="1" x14ac:dyDescent="0.35">
      <c r="A2059" s="75">
        <v>2055</v>
      </c>
      <c r="B2059" s="75">
        <v>2056</v>
      </c>
      <c r="C2059">
        <v>146.0349879</v>
      </c>
      <c r="D2059">
        <v>-17.497361959999999</v>
      </c>
      <c r="F2059" s="75" t="str">
        <f>HYPERLINK("E:\Data From Lucan\2024\Johnstone\Frames_for_Analysis\2056_20240610_0003_L_2602.jpg","2056_20240610_0003_L_2602.jpg")</f>
        <v>2056_20240610_0003_L_2602.jpg</v>
      </c>
      <c r="G2059" s="75">
        <v>5</v>
      </c>
      <c r="I2059">
        <f t="shared" si="32"/>
        <v>1</v>
      </c>
      <c r="J2059" s="75">
        <v>1</v>
      </c>
      <c r="K2059" s="77"/>
      <c r="L2059" s="77"/>
      <c r="M2059" s="77"/>
      <c r="N2059" s="77"/>
      <c r="O2059" s="75">
        <v>1</v>
      </c>
      <c r="P2059" s="75">
        <v>0</v>
      </c>
      <c r="Q2059" s="75">
        <v>0</v>
      </c>
      <c r="R2059" s="75">
        <v>0</v>
      </c>
      <c r="S2059" s="75">
        <v>0</v>
      </c>
      <c r="T2059" s="75">
        <v>0</v>
      </c>
      <c r="U2059" s="75">
        <v>0</v>
      </c>
      <c r="V2059" s="75">
        <v>0</v>
      </c>
      <c r="W2059" s="78">
        <v>0</v>
      </c>
    </row>
    <row r="2060" spans="1:23" s="75" customFormat="1" hidden="1" x14ac:dyDescent="0.35">
      <c r="A2060" s="75">
        <v>2056</v>
      </c>
      <c r="B2060" s="75">
        <v>2057</v>
      </c>
      <c r="C2060">
        <v>146.0349387</v>
      </c>
      <c r="D2060">
        <v>-17.497281489999999</v>
      </c>
      <c r="F2060" s="75" t="str">
        <f>HYPERLINK("E:\Data From Lucan\2024\Johnstone\Frames_for_Analysis\2057_20240610_0003_L_2605.jpg","2057_20240610_0003_L_2605.jpg")</f>
        <v>2057_20240610_0003_L_2605.jpg</v>
      </c>
      <c r="G2060" s="75">
        <v>5</v>
      </c>
      <c r="I2060">
        <f t="shared" si="32"/>
        <v>1</v>
      </c>
      <c r="J2060" s="75">
        <v>1</v>
      </c>
      <c r="K2060" s="77"/>
      <c r="L2060" s="77"/>
      <c r="M2060" s="77"/>
      <c r="N2060" s="77"/>
      <c r="O2060" s="75">
        <v>1</v>
      </c>
      <c r="P2060" s="75">
        <v>0</v>
      </c>
      <c r="Q2060" s="75">
        <v>0</v>
      </c>
      <c r="R2060" s="75">
        <v>0</v>
      </c>
      <c r="S2060" s="75">
        <v>0</v>
      </c>
      <c r="T2060" s="75">
        <v>0</v>
      </c>
      <c r="U2060" s="75">
        <v>0</v>
      </c>
      <c r="V2060" s="75">
        <v>0</v>
      </c>
      <c r="W2060" s="78">
        <v>0</v>
      </c>
    </row>
    <row r="2061" spans="1:23" s="75" customFormat="1" hidden="1" x14ac:dyDescent="0.35">
      <c r="A2061" s="75">
        <v>2057</v>
      </c>
      <c r="B2061" s="75">
        <v>2058</v>
      </c>
      <c r="C2061">
        <v>146.03488949999999</v>
      </c>
      <c r="D2061">
        <v>-17.49720104</v>
      </c>
      <c r="F2061" s="75" t="str">
        <f>HYPERLINK("E:\Data From Lucan\2024\Johnstone\Frames_for_Analysis\2058_20240610_0003_L_2608.jpg","2058_20240610_0003_L_2608.jpg")</f>
        <v>2058_20240610_0003_L_2608.jpg</v>
      </c>
      <c r="G2061" s="75">
        <v>5</v>
      </c>
      <c r="I2061">
        <f t="shared" si="32"/>
        <v>0</v>
      </c>
      <c r="J2061" s="75">
        <v>0</v>
      </c>
      <c r="K2061" s="77"/>
      <c r="L2061" s="77"/>
      <c r="M2061" s="77"/>
      <c r="N2061" s="77"/>
      <c r="O2061" s="75">
        <v>1</v>
      </c>
      <c r="P2061" s="75">
        <v>0</v>
      </c>
      <c r="Q2061" s="75">
        <v>0</v>
      </c>
      <c r="R2061" s="75">
        <v>0</v>
      </c>
      <c r="S2061" s="75">
        <v>0</v>
      </c>
      <c r="T2061" s="75">
        <v>0</v>
      </c>
      <c r="U2061" s="75">
        <v>0</v>
      </c>
      <c r="V2061" s="75">
        <v>1</v>
      </c>
      <c r="W2061" s="78">
        <v>0</v>
      </c>
    </row>
    <row r="2062" spans="1:23" s="75" customFormat="1" hidden="1" x14ac:dyDescent="0.35">
      <c r="A2062" s="75">
        <v>2058</v>
      </c>
      <c r="B2062" s="75">
        <v>2059</v>
      </c>
      <c r="C2062">
        <v>146.03484030000001</v>
      </c>
      <c r="D2062">
        <v>-17.497120599999999</v>
      </c>
      <c r="F2062" s="75" t="str">
        <f>HYPERLINK("E:\Data From Lucan\2024\Johnstone\Frames_for_Analysis\2059_20240610_0003_L_2611.jpg","2059_20240610_0003_L_2611.jpg")</f>
        <v>2059_20240610_0003_L_2611.jpg</v>
      </c>
      <c r="G2062" s="75">
        <v>5</v>
      </c>
      <c r="I2062">
        <f t="shared" si="32"/>
        <v>1</v>
      </c>
      <c r="J2062" s="75">
        <v>1</v>
      </c>
      <c r="K2062" s="77"/>
      <c r="L2062" s="77"/>
      <c r="M2062" s="77"/>
      <c r="N2062" s="77"/>
      <c r="O2062" s="75">
        <v>1</v>
      </c>
      <c r="P2062" s="75">
        <v>0</v>
      </c>
      <c r="Q2062" s="75">
        <v>0</v>
      </c>
      <c r="R2062" s="75">
        <v>0</v>
      </c>
      <c r="S2062" s="75">
        <v>0</v>
      </c>
      <c r="T2062" s="75">
        <v>0</v>
      </c>
      <c r="U2062" s="75">
        <v>0</v>
      </c>
      <c r="V2062" s="75">
        <v>1</v>
      </c>
      <c r="W2062" s="78">
        <v>0</v>
      </c>
    </row>
    <row r="2063" spans="1:23" s="75" customFormat="1" hidden="1" x14ac:dyDescent="0.35">
      <c r="A2063" s="75">
        <v>2059</v>
      </c>
      <c r="B2063" s="75">
        <v>2060</v>
      </c>
      <c r="C2063">
        <v>146.03479110000001</v>
      </c>
      <c r="D2063">
        <v>-17.49704015</v>
      </c>
      <c r="F2063" s="75" t="str">
        <f>HYPERLINK("E:\Data From Lucan\2024\Johnstone\Frames_for_Analysis\2060_20240610_0003_L_2615.jpg","2060_20240610_0003_L_2615.jpg")</f>
        <v>2060_20240610_0003_L_2615.jpg</v>
      </c>
      <c r="G2063" s="75">
        <v>5</v>
      </c>
      <c r="I2063">
        <f t="shared" si="32"/>
        <v>1</v>
      </c>
      <c r="J2063" s="75">
        <v>1</v>
      </c>
      <c r="K2063" s="77"/>
      <c r="L2063" s="77"/>
      <c r="M2063" s="77"/>
      <c r="N2063" s="77"/>
      <c r="O2063" s="75">
        <v>1</v>
      </c>
      <c r="P2063" s="75">
        <v>0</v>
      </c>
      <c r="Q2063" s="75">
        <v>0</v>
      </c>
      <c r="R2063" s="75">
        <v>0</v>
      </c>
      <c r="S2063" s="75">
        <v>0</v>
      </c>
      <c r="T2063" s="75">
        <v>0</v>
      </c>
      <c r="U2063" s="75">
        <v>0</v>
      </c>
      <c r="V2063" s="75">
        <v>1</v>
      </c>
      <c r="W2063" s="78">
        <v>0</v>
      </c>
    </row>
    <row r="2064" spans="1:23" s="75" customFormat="1" hidden="1" x14ac:dyDescent="0.35">
      <c r="A2064" s="75">
        <v>2060</v>
      </c>
      <c r="B2064" s="75">
        <v>2061</v>
      </c>
      <c r="C2064">
        <v>146.0347419</v>
      </c>
      <c r="D2064">
        <v>-17.496959700000001</v>
      </c>
      <c r="F2064" s="75" t="str">
        <f>HYPERLINK("E:\Data From Lucan\2024\Johnstone\Frames_for_Analysis\2061_20240610_0003_L_2619.jpg","2061_20240610_0003_L_2619.jpg")</f>
        <v>2061_20240610_0003_L_2619.jpg</v>
      </c>
      <c r="G2064" s="75">
        <v>6</v>
      </c>
      <c r="I2064">
        <f t="shared" si="32"/>
        <v>1</v>
      </c>
      <c r="J2064" s="75">
        <v>1</v>
      </c>
      <c r="K2064" s="77"/>
      <c r="L2064" s="77"/>
      <c r="M2064" s="77"/>
      <c r="N2064" s="77"/>
      <c r="O2064" s="75">
        <v>1</v>
      </c>
      <c r="P2064" s="75">
        <v>0</v>
      </c>
      <c r="Q2064" s="75">
        <v>0</v>
      </c>
      <c r="R2064" s="75">
        <v>0</v>
      </c>
      <c r="S2064" s="75">
        <v>0</v>
      </c>
      <c r="T2064" s="75">
        <v>0</v>
      </c>
      <c r="U2064" s="75">
        <v>0</v>
      </c>
      <c r="V2064" s="75">
        <v>1</v>
      </c>
      <c r="W2064" s="78">
        <v>0</v>
      </c>
    </row>
    <row r="2065" spans="1:23" s="75" customFormat="1" hidden="1" x14ac:dyDescent="0.35">
      <c r="A2065" s="75">
        <v>2061</v>
      </c>
      <c r="B2065" s="75">
        <v>2062</v>
      </c>
      <c r="C2065">
        <v>146.03469269999999</v>
      </c>
      <c r="D2065">
        <v>-17.496879249999999</v>
      </c>
      <c r="F2065" s="75" t="str">
        <f>HYPERLINK("E:\Data From Lucan\2024\Johnstone\Frames_for_Analysis\2062_20240610_0003_L_2622.jpg","2062_20240610_0003_L_2622.jpg")</f>
        <v>2062_20240610_0003_L_2622.jpg</v>
      </c>
      <c r="G2065" s="75">
        <v>6</v>
      </c>
      <c r="I2065">
        <f t="shared" si="32"/>
        <v>0</v>
      </c>
      <c r="J2065" s="75">
        <v>0</v>
      </c>
      <c r="K2065" s="77"/>
      <c r="L2065" s="77"/>
      <c r="M2065" s="77"/>
      <c r="N2065" s="77"/>
      <c r="O2065" s="75">
        <v>1</v>
      </c>
      <c r="P2065" s="75">
        <v>0</v>
      </c>
      <c r="Q2065" s="75">
        <v>0</v>
      </c>
      <c r="R2065" s="75">
        <v>0</v>
      </c>
      <c r="S2065" s="75">
        <v>0</v>
      </c>
      <c r="T2065" s="75">
        <v>0</v>
      </c>
      <c r="U2065" s="75">
        <v>0</v>
      </c>
      <c r="V2065" s="75">
        <v>1</v>
      </c>
      <c r="W2065" s="78">
        <v>0</v>
      </c>
    </row>
    <row r="2066" spans="1:23" s="75" customFormat="1" hidden="1" x14ac:dyDescent="0.35">
      <c r="A2066" s="75">
        <v>2062</v>
      </c>
      <c r="B2066" s="75">
        <v>2063</v>
      </c>
      <c r="C2066">
        <v>146.03464349999999</v>
      </c>
      <c r="D2066">
        <v>-17.496798800000001</v>
      </c>
      <c r="F2066" s="75" t="str">
        <f>HYPERLINK("E:\Data From Lucan\2024\Johnstone\Frames_for_Analysis\2063_20240610_0003_L_2626.jpg","2063_20240610_0003_L_2626.jpg")</f>
        <v>2063_20240610_0003_L_2626.jpg</v>
      </c>
      <c r="G2066" s="75">
        <v>6</v>
      </c>
      <c r="I2066">
        <f t="shared" si="32"/>
        <v>1</v>
      </c>
      <c r="J2066" s="75">
        <v>1</v>
      </c>
      <c r="K2066" s="77"/>
      <c r="L2066" s="77"/>
      <c r="M2066" s="77"/>
      <c r="N2066" s="77"/>
      <c r="O2066" s="75">
        <v>1</v>
      </c>
      <c r="P2066" s="75">
        <v>0</v>
      </c>
      <c r="Q2066" s="75">
        <v>0</v>
      </c>
      <c r="R2066" s="75">
        <v>0</v>
      </c>
      <c r="S2066" s="75">
        <v>0</v>
      </c>
      <c r="T2066" s="75">
        <v>0</v>
      </c>
      <c r="U2066" s="75">
        <v>0</v>
      </c>
      <c r="V2066" s="75">
        <v>0</v>
      </c>
      <c r="W2066" s="78">
        <v>0</v>
      </c>
    </row>
    <row r="2067" spans="1:23" s="75" customFormat="1" hidden="1" x14ac:dyDescent="0.35">
      <c r="A2067" s="75">
        <v>2063</v>
      </c>
      <c r="B2067" s="75">
        <v>2064</v>
      </c>
      <c r="C2067">
        <v>146.03459430000001</v>
      </c>
      <c r="D2067">
        <v>-17.496718349999998</v>
      </c>
      <c r="F2067" s="75" t="str">
        <f>HYPERLINK("E:\Data From Lucan\2024\Johnstone\Frames_for_Analysis\2064_20240610_0003_L_2629.jpg","2064_20240610_0003_L_2629.jpg")</f>
        <v>2064_20240610_0003_L_2629.jpg</v>
      </c>
      <c r="G2067" s="75">
        <v>6</v>
      </c>
      <c r="I2067">
        <f t="shared" si="32"/>
        <v>1</v>
      </c>
      <c r="J2067" s="75">
        <v>1</v>
      </c>
      <c r="K2067" s="77"/>
      <c r="L2067" s="77"/>
      <c r="M2067" s="77"/>
      <c r="N2067" s="77"/>
      <c r="O2067" s="75">
        <v>1</v>
      </c>
      <c r="P2067" s="75">
        <v>0</v>
      </c>
      <c r="Q2067" s="75">
        <v>0</v>
      </c>
      <c r="R2067" s="75">
        <v>0</v>
      </c>
      <c r="S2067" s="75">
        <v>0</v>
      </c>
      <c r="T2067" s="75">
        <v>0</v>
      </c>
      <c r="U2067" s="75">
        <v>0</v>
      </c>
      <c r="V2067" s="75">
        <v>0</v>
      </c>
      <c r="W2067" s="78">
        <v>0</v>
      </c>
    </row>
    <row r="2068" spans="1:23" s="75" customFormat="1" hidden="1" x14ac:dyDescent="0.35">
      <c r="A2068" s="75">
        <v>2064</v>
      </c>
      <c r="B2068" s="75">
        <v>2065</v>
      </c>
      <c r="C2068">
        <v>146.03454410000001</v>
      </c>
      <c r="D2068">
        <v>-17.496638520000001</v>
      </c>
      <c r="F2068" s="75" t="str">
        <f>HYPERLINK("E:\Data From Lucan\2024\Johnstone\Frames_for_Analysis\2065_20240610_0003_L_2632.jpg","2065_20240610_0003_L_2632.jpg")</f>
        <v>2065_20240610_0003_L_2632.jpg</v>
      </c>
      <c r="G2068" s="75">
        <v>6</v>
      </c>
      <c r="I2068">
        <f t="shared" si="32"/>
        <v>1</v>
      </c>
      <c r="J2068" s="75">
        <v>1</v>
      </c>
      <c r="K2068" s="77"/>
      <c r="L2068" s="77"/>
      <c r="M2068" s="77"/>
      <c r="N2068" s="77"/>
      <c r="O2068" s="75">
        <v>1</v>
      </c>
      <c r="P2068" s="75">
        <v>0</v>
      </c>
      <c r="Q2068" s="75">
        <v>0</v>
      </c>
      <c r="R2068" s="75">
        <v>0</v>
      </c>
      <c r="S2068" s="75">
        <v>0</v>
      </c>
      <c r="T2068" s="75">
        <v>0</v>
      </c>
      <c r="U2068" s="75">
        <v>0</v>
      </c>
      <c r="V2068" s="75">
        <v>0</v>
      </c>
      <c r="W2068" s="78">
        <v>0</v>
      </c>
    </row>
    <row r="2069" spans="1:23" s="75" customFormat="1" hidden="1" x14ac:dyDescent="0.35">
      <c r="A2069" s="75">
        <v>2065</v>
      </c>
      <c r="B2069" s="75">
        <v>2066</v>
      </c>
      <c r="C2069">
        <v>146.03449280000001</v>
      </c>
      <c r="D2069">
        <v>-17.496559399999999</v>
      </c>
      <c r="F2069" s="75" t="str">
        <f>HYPERLINK("E:\Data From Lucan\2024\Johnstone\Frames_for_Analysis\2066_20240610_0003_L_2636.jpg","2066_20240610_0003_L_2636.jpg")</f>
        <v>2066_20240610_0003_L_2636.jpg</v>
      </c>
      <c r="G2069" s="75">
        <v>6</v>
      </c>
      <c r="I2069">
        <f t="shared" si="32"/>
        <v>1</v>
      </c>
      <c r="J2069" s="75">
        <v>1</v>
      </c>
      <c r="K2069" s="77"/>
      <c r="L2069" s="77"/>
      <c r="M2069" s="77"/>
      <c r="N2069" s="77"/>
      <c r="O2069" s="75">
        <v>1</v>
      </c>
      <c r="P2069" s="75">
        <v>0</v>
      </c>
      <c r="Q2069" s="75">
        <v>0</v>
      </c>
      <c r="R2069" s="75">
        <v>0</v>
      </c>
      <c r="S2069" s="75">
        <v>0</v>
      </c>
      <c r="T2069" s="75">
        <v>0</v>
      </c>
      <c r="U2069" s="75">
        <v>0</v>
      </c>
      <c r="V2069" s="75">
        <v>0</v>
      </c>
      <c r="W2069" s="78">
        <v>0</v>
      </c>
    </row>
    <row r="2070" spans="1:23" s="75" customFormat="1" hidden="1" x14ac:dyDescent="0.35">
      <c r="A2070" s="75">
        <v>2066</v>
      </c>
      <c r="B2070" s="75">
        <v>2067</v>
      </c>
      <c r="C2070">
        <v>146.03444150000001</v>
      </c>
      <c r="D2070">
        <v>-17.496480269999999</v>
      </c>
      <c r="F2070" s="75" t="str">
        <f>HYPERLINK("E:\Data From Lucan\2024\Johnstone\Frames_for_Analysis\2067_20240610_0003_L_2640.jpg","2067_20240610_0003_L_2640.jpg")</f>
        <v>2067_20240610_0003_L_2640.jpg</v>
      </c>
      <c r="G2070" s="75">
        <v>6</v>
      </c>
      <c r="I2070">
        <f t="shared" si="32"/>
        <v>0</v>
      </c>
      <c r="J2070" s="75">
        <v>0</v>
      </c>
      <c r="K2070" s="77"/>
      <c r="L2070" s="77"/>
      <c r="M2070" s="77"/>
      <c r="N2070" s="77"/>
      <c r="O2070" s="75">
        <v>1</v>
      </c>
      <c r="P2070" s="75">
        <v>0</v>
      </c>
      <c r="Q2070" s="75">
        <v>0</v>
      </c>
      <c r="R2070" s="75">
        <v>0</v>
      </c>
      <c r="S2070" s="75">
        <v>0</v>
      </c>
      <c r="T2070" s="75">
        <v>0</v>
      </c>
      <c r="U2070" s="75">
        <v>0</v>
      </c>
      <c r="V2070" s="75">
        <v>1</v>
      </c>
      <c r="W2070" s="78">
        <v>0</v>
      </c>
    </row>
    <row r="2071" spans="1:23" s="75" customFormat="1" hidden="1" x14ac:dyDescent="0.35">
      <c r="A2071" s="75">
        <v>2067</v>
      </c>
      <c r="B2071" s="75">
        <v>2068</v>
      </c>
      <c r="C2071">
        <v>146.03439019999999</v>
      </c>
      <c r="D2071">
        <v>-17.49640114</v>
      </c>
      <c r="F2071" s="75" t="str">
        <f>HYPERLINK("E:\Data From Lucan\2024\Johnstone\Frames_for_Analysis\2068_20240610_0003_L_2643.jpg","2068_20240610_0003_L_2643.jpg")</f>
        <v>2068_20240610_0003_L_2643.jpg</v>
      </c>
      <c r="G2071" s="75">
        <v>6</v>
      </c>
      <c r="I2071">
        <f t="shared" si="32"/>
        <v>0</v>
      </c>
      <c r="J2071" s="75">
        <v>0</v>
      </c>
      <c r="K2071" s="77"/>
      <c r="L2071" s="77"/>
      <c r="M2071" s="77"/>
      <c r="N2071" s="77"/>
      <c r="O2071" s="75">
        <v>1</v>
      </c>
      <c r="P2071" s="75">
        <v>0</v>
      </c>
      <c r="Q2071" s="75">
        <v>0</v>
      </c>
      <c r="R2071" s="75">
        <v>0</v>
      </c>
      <c r="S2071" s="75">
        <v>0</v>
      </c>
      <c r="T2071" s="75">
        <v>0</v>
      </c>
      <c r="U2071" s="75">
        <v>0</v>
      </c>
      <c r="V2071" s="75">
        <v>1</v>
      </c>
      <c r="W2071" s="78">
        <v>0</v>
      </c>
    </row>
    <row r="2072" spans="1:23" s="75" customFormat="1" hidden="1" x14ac:dyDescent="0.35">
      <c r="A2072" s="75">
        <v>2068</v>
      </c>
      <c r="B2072" s="75">
        <v>2069</v>
      </c>
      <c r="C2072">
        <v>146.03433889999999</v>
      </c>
      <c r="D2072">
        <v>-17.496322020000001</v>
      </c>
      <c r="F2072" s="75" t="str">
        <f>HYPERLINK("E:\Data From Lucan\2024\Johnstone\Frames_for_Analysis\2069_20240610_0003_L_2646.jpg","2069_20240610_0003_L_2646.jpg")</f>
        <v>2069_20240610_0003_L_2646.jpg</v>
      </c>
      <c r="G2072" s="75">
        <v>6</v>
      </c>
      <c r="I2072">
        <f t="shared" si="32"/>
        <v>1</v>
      </c>
      <c r="J2072" s="75">
        <v>1</v>
      </c>
      <c r="K2072" s="77"/>
      <c r="L2072" s="77"/>
      <c r="M2072" s="77"/>
      <c r="N2072" s="77"/>
      <c r="O2072" s="75">
        <v>1</v>
      </c>
      <c r="P2072" s="75">
        <v>0</v>
      </c>
      <c r="Q2072" s="75">
        <v>0</v>
      </c>
      <c r="R2072" s="75">
        <v>0</v>
      </c>
      <c r="S2072" s="75">
        <v>0</v>
      </c>
      <c r="T2072" s="75">
        <v>0</v>
      </c>
      <c r="U2072" s="75">
        <v>0</v>
      </c>
      <c r="V2072" s="75">
        <v>1</v>
      </c>
      <c r="W2072" s="78">
        <v>0</v>
      </c>
    </row>
    <row r="2073" spans="1:23" s="75" customFormat="1" hidden="1" x14ac:dyDescent="0.35">
      <c r="A2073" s="75">
        <v>2069</v>
      </c>
      <c r="B2073" s="75">
        <v>2070</v>
      </c>
      <c r="C2073">
        <v>146.0342876</v>
      </c>
      <c r="D2073">
        <v>-17.496242890000001</v>
      </c>
      <c r="F2073" s="75" t="str">
        <f>HYPERLINK("E:\Data From Lucan\2024\Johnstone\Frames_for_Analysis\2070_20240610_0003_L_2652.jpg","2070_20240610_0003_L_2652.jpg")</f>
        <v>2070_20240610_0003_L_2652.jpg</v>
      </c>
      <c r="G2073" s="75">
        <v>6</v>
      </c>
      <c r="I2073">
        <f t="shared" si="32"/>
        <v>1</v>
      </c>
      <c r="J2073" s="75">
        <v>1</v>
      </c>
      <c r="K2073" s="77"/>
      <c r="L2073" s="77"/>
      <c r="M2073" s="77"/>
      <c r="N2073" s="77"/>
      <c r="O2073" s="75">
        <v>1</v>
      </c>
      <c r="P2073" s="75">
        <v>0</v>
      </c>
      <c r="Q2073" s="75">
        <v>0</v>
      </c>
      <c r="R2073" s="75">
        <v>0</v>
      </c>
      <c r="S2073" s="75">
        <v>0</v>
      </c>
      <c r="T2073" s="75">
        <v>0</v>
      </c>
      <c r="U2073" s="75">
        <v>0</v>
      </c>
      <c r="V2073" s="75">
        <v>1</v>
      </c>
      <c r="W2073" s="78">
        <v>0</v>
      </c>
    </row>
    <row r="2074" spans="1:23" s="75" customFormat="1" hidden="1" x14ac:dyDescent="0.35">
      <c r="A2074" s="75">
        <v>2070</v>
      </c>
      <c r="B2074" s="75">
        <v>2071</v>
      </c>
      <c r="C2074">
        <v>146.0342363</v>
      </c>
      <c r="D2074">
        <v>-17.496163760000002</v>
      </c>
      <c r="F2074" s="75" t="str">
        <f>HYPERLINK("E:\Data From Lucan\2024\Johnstone\Frames_for_Analysis\2071_20240610_0003_L_2655.jpg","2071_20240610_0003_L_2655.jpg")</f>
        <v>2071_20240610_0003_L_2655.jpg</v>
      </c>
      <c r="G2074" s="75">
        <v>6</v>
      </c>
      <c r="I2074">
        <f t="shared" si="32"/>
        <v>1</v>
      </c>
      <c r="J2074" s="75">
        <v>1</v>
      </c>
      <c r="K2074" s="77"/>
      <c r="L2074" s="77"/>
      <c r="M2074" s="77"/>
      <c r="N2074" s="77"/>
      <c r="O2074" s="75">
        <v>1</v>
      </c>
      <c r="P2074" s="75">
        <v>0</v>
      </c>
      <c r="Q2074" s="75">
        <v>0</v>
      </c>
      <c r="R2074" s="75">
        <v>0</v>
      </c>
      <c r="S2074" s="75">
        <v>0</v>
      </c>
      <c r="T2074" s="75">
        <v>0</v>
      </c>
      <c r="U2074" s="75">
        <v>0</v>
      </c>
      <c r="V2074" s="75">
        <v>1</v>
      </c>
      <c r="W2074" s="78">
        <v>0</v>
      </c>
    </row>
    <row r="2075" spans="1:23" s="75" customFormat="1" hidden="1" x14ac:dyDescent="0.35">
      <c r="A2075" s="75">
        <v>2071</v>
      </c>
      <c r="B2075" s="75">
        <v>2072</v>
      </c>
      <c r="C2075">
        <v>146.03418500000001</v>
      </c>
      <c r="D2075">
        <v>-17.496084629999999</v>
      </c>
      <c r="F2075" s="75" t="str">
        <f>HYPERLINK("E:\Data From Lucan\2024\Johnstone\Frames_for_Analysis\2072_20240610_0003_L_2659.jpg","2072_20240610_0003_L_2659.jpg")</f>
        <v>2072_20240610_0003_L_2659.jpg</v>
      </c>
      <c r="G2075" s="75">
        <v>6</v>
      </c>
      <c r="I2075">
        <f t="shared" si="32"/>
        <v>1</v>
      </c>
      <c r="J2075" s="75">
        <v>1</v>
      </c>
      <c r="K2075" s="77"/>
      <c r="L2075" s="77"/>
      <c r="M2075" s="77"/>
      <c r="N2075" s="77"/>
      <c r="O2075" s="75">
        <v>1</v>
      </c>
      <c r="P2075" s="75">
        <v>0</v>
      </c>
      <c r="Q2075" s="75">
        <v>0</v>
      </c>
      <c r="R2075" s="75">
        <v>0</v>
      </c>
      <c r="S2075" s="75">
        <v>0</v>
      </c>
      <c r="T2075" s="75">
        <v>0</v>
      </c>
      <c r="U2075" s="75">
        <v>0</v>
      </c>
      <c r="V2075" s="75">
        <v>1</v>
      </c>
      <c r="W2075" s="78">
        <v>0</v>
      </c>
    </row>
    <row r="2076" spans="1:23" s="75" customFormat="1" hidden="1" x14ac:dyDescent="0.35">
      <c r="A2076" s="75">
        <v>2072</v>
      </c>
      <c r="B2076" s="75">
        <v>2073</v>
      </c>
      <c r="C2076">
        <v>146.03413370000001</v>
      </c>
      <c r="D2076">
        <v>-17.49600551</v>
      </c>
      <c r="F2076" s="75" t="str">
        <f>HYPERLINK("E:\Data From Lucan\2024\Johnstone\Frames_for_Analysis\2073_20240610_0003_L_2661.jpg","2073_20240610_0003_L_2661.jpg")</f>
        <v>2073_20240610_0003_L_2661.jpg</v>
      </c>
      <c r="G2076" s="75">
        <v>6</v>
      </c>
      <c r="I2076">
        <f t="shared" si="32"/>
        <v>1</v>
      </c>
      <c r="J2076" s="75">
        <v>1</v>
      </c>
      <c r="K2076" s="77"/>
      <c r="L2076" s="77"/>
      <c r="M2076" s="77"/>
      <c r="N2076" s="77"/>
      <c r="O2076" s="75">
        <v>1</v>
      </c>
      <c r="P2076" s="75">
        <v>0</v>
      </c>
      <c r="Q2076" s="75">
        <v>0</v>
      </c>
      <c r="R2076" s="75">
        <v>0</v>
      </c>
      <c r="S2076" s="75">
        <v>0</v>
      </c>
      <c r="T2076" s="75">
        <v>0</v>
      </c>
      <c r="U2076" s="75">
        <v>0</v>
      </c>
      <c r="V2076" s="75">
        <v>1</v>
      </c>
      <c r="W2076" s="78">
        <v>0</v>
      </c>
    </row>
    <row r="2077" spans="1:23" s="75" customFormat="1" hidden="1" x14ac:dyDescent="0.35">
      <c r="A2077" s="75">
        <v>2073</v>
      </c>
      <c r="B2077" s="75">
        <v>2074</v>
      </c>
      <c r="C2077">
        <v>146.03408239999999</v>
      </c>
      <c r="D2077">
        <v>-17.49592638</v>
      </c>
      <c r="F2077" s="75" t="str">
        <f>HYPERLINK("E:\Data From Lucan\2024\Johnstone\Frames_for_Analysis\2074_20240610_0003_L_2666.jpg","2074_20240610_0003_L_2666.jpg")</f>
        <v>2074_20240610_0003_L_2666.jpg</v>
      </c>
      <c r="G2077" s="75">
        <v>6</v>
      </c>
      <c r="I2077">
        <f t="shared" si="32"/>
        <v>1</v>
      </c>
      <c r="J2077" s="75">
        <v>1</v>
      </c>
      <c r="K2077" s="77"/>
      <c r="L2077" s="77"/>
      <c r="M2077" s="77"/>
      <c r="N2077" s="77"/>
      <c r="O2077" s="75">
        <v>1</v>
      </c>
      <c r="P2077" s="75">
        <v>0</v>
      </c>
      <c r="Q2077" s="75">
        <v>0</v>
      </c>
      <c r="R2077" s="75">
        <v>0</v>
      </c>
      <c r="S2077" s="75">
        <v>0</v>
      </c>
      <c r="T2077" s="75">
        <v>0</v>
      </c>
      <c r="U2077" s="75">
        <v>0</v>
      </c>
      <c r="V2077" s="75">
        <v>0</v>
      </c>
      <c r="W2077" s="78">
        <v>0</v>
      </c>
    </row>
    <row r="2078" spans="1:23" s="75" customFormat="1" hidden="1" x14ac:dyDescent="0.35">
      <c r="A2078" s="75">
        <v>2074</v>
      </c>
      <c r="B2078" s="75">
        <v>2075</v>
      </c>
      <c r="C2078">
        <v>146.03403109999999</v>
      </c>
      <c r="D2078">
        <v>-17.495847250000001</v>
      </c>
      <c r="F2078" s="75" t="str">
        <f>HYPERLINK("E:\Data From Lucan\2024\Johnstone\Frames_for_Analysis\2075_20240610_0003_L_2670.jpg","2075_20240610_0003_L_2670.jpg")</f>
        <v>2075_20240610_0003_L_2670.jpg</v>
      </c>
      <c r="G2078" s="75">
        <v>6</v>
      </c>
      <c r="I2078">
        <f t="shared" si="32"/>
        <v>1</v>
      </c>
      <c r="J2078" s="75">
        <v>1</v>
      </c>
      <c r="K2078" s="77"/>
      <c r="L2078" s="77"/>
      <c r="M2078" s="77"/>
      <c r="N2078" s="77"/>
      <c r="O2078" s="75">
        <v>1</v>
      </c>
      <c r="P2078" s="75">
        <v>0</v>
      </c>
      <c r="Q2078" s="75">
        <v>0</v>
      </c>
      <c r="R2078" s="75">
        <v>0</v>
      </c>
      <c r="S2078" s="75">
        <v>0</v>
      </c>
      <c r="T2078" s="75">
        <v>0</v>
      </c>
      <c r="U2078" s="75">
        <v>0</v>
      </c>
      <c r="V2078" s="75">
        <v>0</v>
      </c>
      <c r="W2078" s="78">
        <v>0</v>
      </c>
    </row>
    <row r="2079" spans="1:23" s="75" customFormat="1" hidden="1" x14ac:dyDescent="0.35">
      <c r="A2079" s="75">
        <v>2075</v>
      </c>
      <c r="B2079" s="75">
        <v>2076</v>
      </c>
      <c r="C2079">
        <v>146.0339798</v>
      </c>
      <c r="D2079">
        <v>-17.495768120000001</v>
      </c>
      <c r="F2079" s="75" t="str">
        <f>HYPERLINK("E:\Data From Lucan\2024\Johnstone\Frames_for_Analysis\2076_20240610_0003_L_2673.jpg","2076_20240610_0003_L_2673.jpg")</f>
        <v>2076_20240610_0003_L_2673.jpg</v>
      </c>
      <c r="G2079" s="75">
        <v>6</v>
      </c>
      <c r="I2079">
        <f t="shared" si="32"/>
        <v>1</v>
      </c>
      <c r="J2079" s="75">
        <v>1</v>
      </c>
      <c r="K2079" s="77"/>
      <c r="L2079" s="77"/>
      <c r="M2079" s="77"/>
      <c r="N2079" s="77"/>
      <c r="O2079" s="75">
        <v>1</v>
      </c>
      <c r="P2079" s="75">
        <v>0</v>
      </c>
      <c r="Q2079" s="75">
        <v>0</v>
      </c>
      <c r="R2079" s="75">
        <v>0</v>
      </c>
      <c r="S2079" s="75">
        <v>0</v>
      </c>
      <c r="T2079" s="75">
        <v>0</v>
      </c>
      <c r="U2079" s="75">
        <v>0</v>
      </c>
      <c r="V2079" s="75">
        <v>0</v>
      </c>
      <c r="W2079" s="78">
        <v>0</v>
      </c>
    </row>
    <row r="2080" spans="1:23" s="75" customFormat="1" hidden="1" x14ac:dyDescent="0.35">
      <c r="A2080" s="75">
        <v>2076</v>
      </c>
      <c r="B2080" s="75">
        <v>2077</v>
      </c>
      <c r="C2080">
        <v>146.03392790000001</v>
      </c>
      <c r="D2080">
        <v>-17.495689339999998</v>
      </c>
      <c r="F2080" s="75" t="str">
        <f>HYPERLINK("E:\Data From Lucan\2024\Johnstone\Frames_for_Analysis\2077_20240610_0003_L_2676.jpg","2077_20240610_0003_L_2676.jpg")</f>
        <v>2077_20240610_0003_L_2676.jpg</v>
      </c>
      <c r="G2080" s="75">
        <v>6</v>
      </c>
      <c r="I2080">
        <f t="shared" si="32"/>
        <v>1</v>
      </c>
      <c r="J2080" s="75">
        <v>1</v>
      </c>
      <c r="K2080" s="77"/>
      <c r="L2080" s="77"/>
      <c r="M2080" s="77"/>
      <c r="N2080" s="77"/>
      <c r="O2080" s="75">
        <v>1</v>
      </c>
      <c r="P2080" s="75">
        <v>0</v>
      </c>
      <c r="Q2080" s="75">
        <v>0</v>
      </c>
      <c r="R2080" s="75">
        <v>0</v>
      </c>
      <c r="S2080" s="75">
        <v>0</v>
      </c>
      <c r="T2080" s="75">
        <v>0</v>
      </c>
      <c r="U2080" s="75">
        <v>0</v>
      </c>
      <c r="V2080" s="75">
        <v>0</v>
      </c>
      <c r="W2080" s="78">
        <v>0</v>
      </c>
    </row>
    <row r="2081" spans="1:23" s="75" customFormat="1" hidden="1" x14ac:dyDescent="0.35">
      <c r="A2081" s="75">
        <v>2077</v>
      </c>
      <c r="B2081" s="75">
        <v>2078</v>
      </c>
      <c r="C2081">
        <v>146.0338754</v>
      </c>
      <c r="D2081">
        <v>-17.495611029999999</v>
      </c>
      <c r="F2081" s="75" t="str">
        <f>HYPERLINK("E:\Data From Lucan\2024\Johnstone\Frames_for_Analysis\2078_20240610_0003_L_2680.jpg","2078_20240610_0003_L_2680.jpg")</f>
        <v>2078_20240610_0003_L_2680.jpg</v>
      </c>
      <c r="G2081" s="75">
        <v>6</v>
      </c>
      <c r="I2081">
        <f t="shared" si="32"/>
        <v>1</v>
      </c>
      <c r="J2081" s="75">
        <v>1</v>
      </c>
      <c r="K2081" s="77"/>
      <c r="L2081" s="77"/>
      <c r="M2081" s="77"/>
      <c r="N2081" s="77"/>
      <c r="O2081" s="75">
        <v>1</v>
      </c>
      <c r="P2081" s="75">
        <v>0</v>
      </c>
      <c r="Q2081" s="75">
        <v>0</v>
      </c>
      <c r="R2081" s="75">
        <v>0</v>
      </c>
      <c r="S2081" s="75">
        <v>0</v>
      </c>
      <c r="T2081" s="75">
        <v>0</v>
      </c>
      <c r="U2081" s="75">
        <v>0</v>
      </c>
      <c r="V2081" s="75">
        <v>0</v>
      </c>
      <c r="W2081" s="78">
        <v>0</v>
      </c>
    </row>
    <row r="2082" spans="1:23" s="75" customFormat="1" hidden="1" x14ac:dyDescent="0.35">
      <c r="A2082" s="75">
        <v>2078</v>
      </c>
      <c r="B2082" s="75">
        <v>2079</v>
      </c>
      <c r="C2082">
        <v>146.0338228</v>
      </c>
      <c r="D2082">
        <v>-17.495532730000001</v>
      </c>
      <c r="F2082" s="75" t="str">
        <f>HYPERLINK("E:\Data From Lucan\2024\Johnstone\Frames_for_Analysis\2079_20240610_0003_L_2683.jpg","2079_20240610_0003_L_2683.jpg")</f>
        <v>2079_20240610_0003_L_2683.jpg</v>
      </c>
      <c r="G2082" s="75">
        <v>6</v>
      </c>
      <c r="I2082">
        <f t="shared" si="32"/>
        <v>1</v>
      </c>
      <c r="J2082" s="75">
        <v>1</v>
      </c>
      <c r="K2082" s="77"/>
      <c r="L2082" s="77"/>
      <c r="M2082" s="77"/>
      <c r="N2082" s="77"/>
      <c r="O2082" s="75">
        <v>1</v>
      </c>
      <c r="P2082" s="75">
        <v>0</v>
      </c>
      <c r="Q2082" s="75">
        <v>0</v>
      </c>
      <c r="R2082" s="75">
        <v>0</v>
      </c>
      <c r="S2082" s="75">
        <v>0</v>
      </c>
      <c r="T2082" s="75">
        <v>0</v>
      </c>
      <c r="U2082" s="75">
        <v>0</v>
      </c>
      <c r="V2082" s="75">
        <v>0</v>
      </c>
      <c r="W2082" s="78">
        <v>0</v>
      </c>
    </row>
    <row r="2083" spans="1:23" s="75" customFormat="1" hidden="1" x14ac:dyDescent="0.35">
      <c r="A2083" s="75">
        <v>2079</v>
      </c>
      <c r="B2083" s="75">
        <v>2080</v>
      </c>
      <c r="C2083">
        <v>146.03377029999999</v>
      </c>
      <c r="D2083">
        <v>-17.495454420000002</v>
      </c>
      <c r="F2083" s="75" t="str">
        <f>HYPERLINK("E:\Data From Lucan\2024\Johnstone\Frames_for_Analysis\2080_20240610_0003_L_2687.jpg","2080_20240610_0003_L_2687.jpg")</f>
        <v>2080_20240610_0003_L_2687.jpg</v>
      </c>
      <c r="G2083" s="75">
        <v>6</v>
      </c>
      <c r="I2083">
        <f t="shared" si="32"/>
        <v>1</v>
      </c>
      <c r="J2083" s="75">
        <v>1</v>
      </c>
      <c r="K2083" s="77"/>
      <c r="L2083" s="77"/>
      <c r="M2083" s="77"/>
      <c r="N2083" s="77"/>
      <c r="O2083" s="75">
        <v>1</v>
      </c>
      <c r="P2083" s="75">
        <v>0</v>
      </c>
      <c r="Q2083" s="75">
        <v>0</v>
      </c>
      <c r="R2083" s="75">
        <v>0</v>
      </c>
      <c r="S2083" s="75">
        <v>0</v>
      </c>
      <c r="T2083" s="75">
        <v>0</v>
      </c>
      <c r="U2083" s="75">
        <v>0</v>
      </c>
      <c r="V2083" s="75">
        <v>1</v>
      </c>
      <c r="W2083" s="78">
        <v>0</v>
      </c>
    </row>
    <row r="2084" spans="1:23" s="75" customFormat="1" hidden="1" x14ac:dyDescent="0.35">
      <c r="A2084" s="75">
        <v>2080</v>
      </c>
      <c r="B2084" s="75">
        <v>2081</v>
      </c>
      <c r="C2084">
        <v>146.03371770000001</v>
      </c>
      <c r="D2084">
        <v>-17.49537612</v>
      </c>
      <c r="F2084" s="75" t="str">
        <f>HYPERLINK("E:\Data From Lucan\2024\Johnstone\Frames_for_Analysis\2081_20240610_0003_L_2689.jpg","2081_20240610_0003_L_2689.jpg")</f>
        <v>2081_20240610_0003_L_2689.jpg</v>
      </c>
      <c r="G2084" s="75">
        <v>6</v>
      </c>
      <c r="I2084">
        <f t="shared" si="32"/>
        <v>1</v>
      </c>
      <c r="J2084" s="75">
        <v>1</v>
      </c>
      <c r="K2084" s="77"/>
      <c r="L2084" s="77"/>
      <c r="M2084" s="77"/>
      <c r="N2084" s="77"/>
      <c r="O2084" s="75">
        <v>1</v>
      </c>
      <c r="P2084" s="75">
        <v>0</v>
      </c>
      <c r="Q2084" s="75">
        <v>0</v>
      </c>
      <c r="R2084" s="75">
        <v>0</v>
      </c>
      <c r="S2084" s="75">
        <v>0</v>
      </c>
      <c r="T2084" s="75">
        <v>0</v>
      </c>
      <c r="U2084" s="75">
        <v>0</v>
      </c>
      <c r="V2084" s="75">
        <v>1</v>
      </c>
      <c r="W2084" s="78">
        <v>0</v>
      </c>
    </row>
    <row r="2085" spans="1:23" s="75" customFormat="1" hidden="1" x14ac:dyDescent="0.35">
      <c r="A2085" s="75">
        <v>2081</v>
      </c>
      <c r="B2085" s="75">
        <v>2082</v>
      </c>
      <c r="C2085">
        <v>146.0336652</v>
      </c>
      <c r="D2085">
        <v>-17.49529781</v>
      </c>
      <c r="F2085" s="75" t="str">
        <f>HYPERLINK("E:\Data From Lucan\2024\Johnstone\Frames_for_Analysis\2082_20240610_0003_L_2693.jpg","2082_20240610_0003_L_2693.jpg")</f>
        <v>2082_20240610_0003_L_2693.jpg</v>
      </c>
      <c r="G2085" s="75">
        <v>6</v>
      </c>
      <c r="I2085">
        <f t="shared" si="32"/>
        <v>1</v>
      </c>
      <c r="J2085" s="75">
        <v>1</v>
      </c>
      <c r="K2085" s="77"/>
      <c r="L2085" s="77"/>
      <c r="M2085" s="77"/>
      <c r="N2085" s="77"/>
      <c r="O2085" s="75">
        <v>1</v>
      </c>
      <c r="P2085" s="75">
        <v>0</v>
      </c>
      <c r="Q2085" s="75">
        <v>0</v>
      </c>
      <c r="R2085" s="75">
        <v>0</v>
      </c>
      <c r="S2085" s="75">
        <v>0</v>
      </c>
      <c r="T2085" s="75">
        <v>0</v>
      </c>
      <c r="U2085" s="75">
        <v>0</v>
      </c>
      <c r="V2085" s="75">
        <v>0</v>
      </c>
      <c r="W2085" s="78">
        <v>0</v>
      </c>
    </row>
    <row r="2086" spans="1:23" s="75" customFormat="1" hidden="1" x14ac:dyDescent="0.35">
      <c r="A2086" s="75">
        <v>2082</v>
      </c>
      <c r="B2086" s="75">
        <v>2083</v>
      </c>
      <c r="C2086">
        <v>146.0336082</v>
      </c>
      <c r="D2086">
        <v>-17.495222829999999</v>
      </c>
      <c r="F2086" s="75" t="str">
        <f>HYPERLINK("E:\Data From Lucan\2024\Johnstone\Frames_for_Analysis\2083_20240610_0003_L_2696.jpg","2083_20240610_0003_L_2696.jpg")</f>
        <v>2083_20240610_0003_L_2696.jpg</v>
      </c>
      <c r="G2086" s="75">
        <v>6</v>
      </c>
      <c r="I2086">
        <f t="shared" si="32"/>
        <v>1</v>
      </c>
      <c r="J2086" s="75">
        <v>1</v>
      </c>
      <c r="K2086" s="77"/>
      <c r="L2086" s="77"/>
      <c r="M2086" s="77"/>
      <c r="N2086" s="77"/>
      <c r="O2086" s="75">
        <v>1</v>
      </c>
      <c r="P2086" s="75">
        <v>0</v>
      </c>
      <c r="Q2086" s="75">
        <v>0</v>
      </c>
      <c r="R2086" s="75">
        <v>0</v>
      </c>
      <c r="S2086" s="75">
        <v>0</v>
      </c>
      <c r="T2086" s="75">
        <v>0</v>
      </c>
      <c r="U2086" s="75">
        <v>0</v>
      </c>
      <c r="V2086" s="75">
        <v>0</v>
      </c>
      <c r="W2086" s="78">
        <v>0</v>
      </c>
    </row>
    <row r="2087" spans="1:23" s="75" customFormat="1" hidden="1" x14ac:dyDescent="0.35">
      <c r="A2087" s="75">
        <v>2083</v>
      </c>
      <c r="B2087" s="75">
        <v>2084</v>
      </c>
      <c r="C2087">
        <v>146.03354730000001</v>
      </c>
      <c r="D2087">
        <v>-17.495150819999999</v>
      </c>
      <c r="F2087" s="75" t="str">
        <f>HYPERLINK("E:\Data From Lucan\2024\Johnstone\Frames_for_Analysis\2084_20240610_0003_L_2699.jpg","2084_20240610_0003_L_2699.jpg")</f>
        <v>2084_20240610_0003_L_2699.jpg</v>
      </c>
      <c r="G2087" s="75">
        <v>6</v>
      </c>
      <c r="I2087">
        <f t="shared" si="32"/>
        <v>1</v>
      </c>
      <c r="J2087" s="75">
        <v>1</v>
      </c>
      <c r="K2087" s="77"/>
      <c r="L2087" s="77"/>
      <c r="M2087" s="77"/>
      <c r="N2087" s="77"/>
      <c r="O2087" s="75">
        <v>1</v>
      </c>
      <c r="P2087" s="75">
        <v>0</v>
      </c>
      <c r="Q2087" s="75">
        <v>0</v>
      </c>
      <c r="R2087" s="75">
        <v>0</v>
      </c>
      <c r="S2087" s="75">
        <v>0</v>
      </c>
      <c r="T2087" s="75">
        <v>0</v>
      </c>
      <c r="U2087" s="75">
        <v>0</v>
      </c>
      <c r="V2087" s="75">
        <v>0</v>
      </c>
      <c r="W2087" s="78">
        <v>0</v>
      </c>
    </row>
    <row r="2088" spans="1:23" s="75" customFormat="1" hidden="1" x14ac:dyDescent="0.35">
      <c r="A2088" s="75">
        <v>2084</v>
      </c>
      <c r="B2088" s="75">
        <v>2085</v>
      </c>
      <c r="C2088">
        <v>146.03348639999999</v>
      </c>
      <c r="D2088">
        <v>-17.49507882</v>
      </c>
      <c r="F2088" s="75" t="str">
        <f>HYPERLINK("E:\Data From Lucan\2024\Johnstone\Frames_for_Analysis\2085_20240610_0003_L_2702.jpg","2085_20240610_0003_L_2702.jpg")</f>
        <v>2085_20240610_0003_L_2702.jpg</v>
      </c>
      <c r="G2088" s="75">
        <v>6</v>
      </c>
      <c r="I2088">
        <f t="shared" si="32"/>
        <v>0</v>
      </c>
      <c r="J2088" s="75">
        <v>0</v>
      </c>
      <c r="K2088" s="77"/>
      <c r="L2088" s="77"/>
      <c r="M2088" s="77"/>
      <c r="N2088" s="77"/>
      <c r="O2088" s="75">
        <v>1</v>
      </c>
      <c r="P2088" s="75">
        <v>0</v>
      </c>
      <c r="Q2088" s="75">
        <v>0</v>
      </c>
      <c r="R2088" s="75">
        <v>0</v>
      </c>
      <c r="S2088" s="75">
        <v>0</v>
      </c>
      <c r="T2088" s="75">
        <v>0</v>
      </c>
      <c r="U2088" s="75">
        <v>0</v>
      </c>
      <c r="V2088" s="75">
        <v>0</v>
      </c>
      <c r="W2088" s="78">
        <v>0</v>
      </c>
    </row>
    <row r="2089" spans="1:23" s="75" customFormat="1" hidden="1" x14ac:dyDescent="0.35">
      <c r="A2089" s="75">
        <v>2085</v>
      </c>
      <c r="B2089" s="75">
        <v>2086</v>
      </c>
      <c r="C2089">
        <v>146.03342549999999</v>
      </c>
      <c r="D2089">
        <v>-17.49500681</v>
      </c>
      <c r="F2089" s="75" t="str">
        <f>HYPERLINK("E:\Data From Lucan\2024\Johnstone\Frames_for_Analysis\2086_20240610_0003_L_2705.jpg","2086_20240610_0003_L_2705.jpg")</f>
        <v>2086_20240610_0003_L_2705.jpg</v>
      </c>
      <c r="G2089" s="75">
        <v>6</v>
      </c>
      <c r="I2089">
        <f t="shared" si="32"/>
        <v>0</v>
      </c>
      <c r="J2089" s="75">
        <v>0</v>
      </c>
      <c r="K2089" s="77"/>
      <c r="L2089" s="77"/>
      <c r="M2089" s="77"/>
      <c r="N2089" s="77"/>
      <c r="O2089" s="75">
        <v>1</v>
      </c>
      <c r="P2089" s="75">
        <v>0</v>
      </c>
      <c r="Q2089" s="75">
        <v>0</v>
      </c>
      <c r="R2089" s="75">
        <v>0</v>
      </c>
      <c r="S2089" s="75">
        <v>0</v>
      </c>
      <c r="T2089" s="75">
        <v>0</v>
      </c>
      <c r="U2089" s="75">
        <v>0</v>
      </c>
      <c r="V2089" s="75">
        <v>0</v>
      </c>
      <c r="W2089" s="78">
        <v>0</v>
      </c>
    </row>
    <row r="2090" spans="1:23" s="75" customFormat="1" hidden="1" x14ac:dyDescent="0.35">
      <c r="A2090" s="75">
        <v>2086</v>
      </c>
      <c r="B2090" s="75">
        <v>2087</v>
      </c>
      <c r="C2090">
        <v>146.03336469999999</v>
      </c>
      <c r="D2090">
        <v>-17.49493481</v>
      </c>
      <c r="F2090" s="75" t="str">
        <f>HYPERLINK("E:\Data From Lucan\2024\Johnstone\Frames_for_Analysis\2087_20240610_0003_L_2709.jpg","2087_20240610_0003_L_2709.jpg")</f>
        <v>2087_20240610_0003_L_2709.jpg</v>
      </c>
      <c r="G2090" s="75">
        <v>6</v>
      </c>
      <c r="I2090">
        <f t="shared" si="32"/>
        <v>1</v>
      </c>
      <c r="J2090" s="75">
        <v>1</v>
      </c>
      <c r="K2090" s="77"/>
      <c r="L2090" s="77"/>
      <c r="M2090" s="77"/>
      <c r="N2090" s="77"/>
      <c r="O2090" s="75">
        <v>1</v>
      </c>
      <c r="P2090" s="75">
        <v>0</v>
      </c>
      <c r="Q2090" s="75">
        <v>0</v>
      </c>
      <c r="R2090" s="75">
        <v>0</v>
      </c>
      <c r="S2090" s="75">
        <v>0</v>
      </c>
      <c r="T2090" s="75">
        <v>0</v>
      </c>
      <c r="U2090" s="75">
        <v>0</v>
      </c>
      <c r="V2090" s="75">
        <v>0</v>
      </c>
      <c r="W2090" s="78">
        <v>0</v>
      </c>
    </row>
    <row r="2091" spans="1:23" s="75" customFormat="1" hidden="1" x14ac:dyDescent="0.35">
      <c r="A2091" s="75">
        <v>2087</v>
      </c>
      <c r="B2091" s="75">
        <v>2088</v>
      </c>
      <c r="C2091">
        <v>146.0333038</v>
      </c>
      <c r="D2091">
        <v>-17.4948628</v>
      </c>
      <c r="F2091" s="75" t="str">
        <f>HYPERLINK("E:\Data From Lucan\2024\Johnstone\Frames_for_Analysis\2088_20240610_0003_L_2712.jpg","2088_20240610_0003_L_2712.jpg")</f>
        <v>2088_20240610_0003_L_2712.jpg</v>
      </c>
      <c r="G2091" s="75">
        <v>6</v>
      </c>
      <c r="I2091">
        <f t="shared" si="32"/>
        <v>1</v>
      </c>
      <c r="J2091" s="75">
        <v>1</v>
      </c>
      <c r="K2091" s="77"/>
      <c r="L2091" s="77"/>
      <c r="M2091" s="77"/>
      <c r="N2091" s="77"/>
      <c r="O2091" s="75">
        <v>1</v>
      </c>
      <c r="P2091" s="75">
        <v>0</v>
      </c>
      <c r="Q2091" s="75">
        <v>0</v>
      </c>
      <c r="R2091" s="75">
        <v>0</v>
      </c>
      <c r="S2091" s="75">
        <v>0</v>
      </c>
      <c r="T2091" s="75">
        <v>0</v>
      </c>
      <c r="U2091" s="75">
        <v>0</v>
      </c>
      <c r="V2091" s="75">
        <v>1</v>
      </c>
      <c r="W2091" s="78">
        <v>0</v>
      </c>
    </row>
    <row r="2092" spans="1:23" s="75" customFormat="1" hidden="1" x14ac:dyDescent="0.35">
      <c r="A2092" s="75">
        <v>2088</v>
      </c>
      <c r="B2092" s="75">
        <v>2089</v>
      </c>
      <c r="C2092">
        <v>146.0332429</v>
      </c>
      <c r="D2092">
        <v>-17.494790800000001</v>
      </c>
      <c r="F2092" s="75" t="str">
        <f>HYPERLINK("E:\Data From Lucan\2024\Johnstone\Frames_for_Analysis\2089_20240610_0003_L_2715.jpg","2089_20240610_0003_L_2715.jpg")</f>
        <v>2089_20240610_0003_L_2715.jpg</v>
      </c>
      <c r="G2092" s="75">
        <v>6</v>
      </c>
      <c r="I2092">
        <f t="shared" si="32"/>
        <v>0</v>
      </c>
      <c r="J2092" s="75">
        <v>0</v>
      </c>
      <c r="K2092" s="77"/>
      <c r="L2092" s="77"/>
      <c r="M2092" s="77"/>
      <c r="N2092" s="77"/>
      <c r="O2092" s="75">
        <v>1</v>
      </c>
      <c r="P2092" s="75">
        <v>0</v>
      </c>
      <c r="Q2092" s="75">
        <v>0</v>
      </c>
      <c r="R2092" s="75">
        <v>0</v>
      </c>
      <c r="S2092" s="75">
        <v>0</v>
      </c>
      <c r="T2092" s="75">
        <v>0</v>
      </c>
      <c r="U2092" s="75">
        <v>0</v>
      </c>
      <c r="V2092" s="75">
        <v>1</v>
      </c>
      <c r="W2092" s="78">
        <v>0</v>
      </c>
    </row>
    <row r="2093" spans="1:23" s="75" customFormat="1" hidden="1" x14ac:dyDescent="0.35">
      <c r="A2093" s="75">
        <v>2089</v>
      </c>
      <c r="B2093" s="75">
        <v>2090</v>
      </c>
      <c r="C2093">
        <v>146.03318139999999</v>
      </c>
      <c r="D2093">
        <v>-17.494719280000002</v>
      </c>
      <c r="F2093" s="75" t="str">
        <f>HYPERLINK("E:\Data From Lucan\2024\Johnstone\Frames_for_Analysis\2090_20240610_0003_L_2719.jpg","2090_20240610_0003_L_2719.jpg")</f>
        <v>2090_20240610_0003_L_2719.jpg</v>
      </c>
      <c r="G2093" s="75">
        <v>6</v>
      </c>
      <c r="I2093">
        <f t="shared" si="32"/>
        <v>0</v>
      </c>
      <c r="J2093" s="75">
        <v>0</v>
      </c>
      <c r="K2093" s="77"/>
      <c r="L2093" s="77"/>
      <c r="M2093" s="77"/>
      <c r="N2093" s="77"/>
      <c r="O2093" s="75">
        <v>1</v>
      </c>
      <c r="P2093" s="75">
        <v>0</v>
      </c>
      <c r="Q2093" s="75">
        <v>0</v>
      </c>
      <c r="R2093" s="75">
        <v>0</v>
      </c>
      <c r="S2093" s="75">
        <v>0</v>
      </c>
      <c r="T2093" s="75">
        <v>0</v>
      </c>
      <c r="U2093" s="75">
        <v>0</v>
      </c>
      <c r="V2093" s="75">
        <v>1</v>
      </c>
      <c r="W2093" s="78">
        <v>0</v>
      </c>
    </row>
    <row r="2094" spans="1:23" s="75" customFormat="1" hidden="1" x14ac:dyDescent="0.35">
      <c r="A2094" s="75">
        <v>2090</v>
      </c>
      <c r="B2094" s="75">
        <v>2091</v>
      </c>
      <c r="C2094">
        <v>146.0331137</v>
      </c>
      <c r="D2094">
        <v>-17.49465365</v>
      </c>
      <c r="F2094" s="75" t="str">
        <f>HYPERLINK("E:\Data From Lucan\2024\Johnstone\Frames_for_Analysis\2091_20240610_0003_L_2722.jpg","2091_20240610_0003_L_2722.jpg")</f>
        <v>2091_20240610_0003_L_2722.jpg</v>
      </c>
      <c r="G2094" s="75">
        <v>6</v>
      </c>
      <c r="I2094">
        <f t="shared" si="32"/>
        <v>0</v>
      </c>
      <c r="J2094" s="75">
        <v>0</v>
      </c>
      <c r="K2094" s="77"/>
      <c r="L2094" s="77"/>
      <c r="M2094" s="77"/>
      <c r="N2094" s="77"/>
      <c r="O2094" s="75">
        <v>1</v>
      </c>
      <c r="P2094" s="75">
        <v>0</v>
      </c>
      <c r="Q2094" s="75">
        <v>0</v>
      </c>
      <c r="R2094" s="75">
        <v>0</v>
      </c>
      <c r="S2094" s="75">
        <v>0</v>
      </c>
      <c r="T2094" s="75">
        <v>0</v>
      </c>
      <c r="U2094" s="75">
        <v>0</v>
      </c>
      <c r="V2094" s="75">
        <v>1</v>
      </c>
      <c r="W2094" s="78">
        <v>0</v>
      </c>
    </row>
    <row r="2095" spans="1:23" s="75" customFormat="1" hidden="1" x14ac:dyDescent="0.35">
      <c r="A2095" s="75">
        <v>2091</v>
      </c>
      <c r="B2095" s="75">
        <v>2092</v>
      </c>
      <c r="C2095">
        <v>146.03304600000001</v>
      </c>
      <c r="D2095">
        <v>-17.494588010000001</v>
      </c>
      <c r="F2095" s="75" t="str">
        <f>HYPERLINK("E:\Data From Lucan\2024\Johnstone\Frames_for_Analysis\2092_20240610_0003_L_2725.jpg","2092_20240610_0003_L_2725.jpg")</f>
        <v>2092_20240610_0003_L_2725.jpg</v>
      </c>
      <c r="G2095" s="75">
        <v>6</v>
      </c>
      <c r="I2095">
        <f t="shared" si="32"/>
        <v>0</v>
      </c>
      <c r="J2095" s="75">
        <v>0</v>
      </c>
      <c r="K2095" s="77"/>
      <c r="L2095" s="77"/>
      <c r="M2095" s="77"/>
      <c r="N2095" s="77"/>
      <c r="O2095" s="75">
        <v>1</v>
      </c>
      <c r="P2095" s="75">
        <v>0</v>
      </c>
      <c r="Q2095" s="75">
        <v>0</v>
      </c>
      <c r="R2095" s="75">
        <v>0</v>
      </c>
      <c r="S2095" s="75">
        <v>0</v>
      </c>
      <c r="T2095" s="75">
        <v>0</v>
      </c>
      <c r="U2095" s="75">
        <v>0</v>
      </c>
      <c r="V2095" s="75">
        <v>1</v>
      </c>
      <c r="W2095" s="78">
        <v>0</v>
      </c>
    </row>
    <row r="2096" spans="1:23" s="75" customFormat="1" hidden="1" x14ac:dyDescent="0.35">
      <c r="A2096" s="75">
        <v>2092</v>
      </c>
      <c r="B2096" s="75">
        <v>2093</v>
      </c>
      <c r="C2096">
        <v>146.0329783</v>
      </c>
      <c r="D2096">
        <v>-17.494522369999999</v>
      </c>
      <c r="F2096" s="75" t="str">
        <f>HYPERLINK("E:\Data From Lucan\2024\Johnstone\Frames_for_Analysis\2093_20240610_0003_L_2728.jpg","2093_20240610_0003_L_2728.jpg")</f>
        <v>2093_20240610_0003_L_2728.jpg</v>
      </c>
      <c r="G2096" s="75">
        <v>6</v>
      </c>
      <c r="I2096">
        <f t="shared" si="32"/>
        <v>0</v>
      </c>
      <c r="J2096" s="75">
        <v>0</v>
      </c>
      <c r="K2096" s="77"/>
      <c r="L2096" s="77"/>
      <c r="M2096" s="77"/>
      <c r="N2096" s="77"/>
      <c r="O2096" s="75">
        <v>1</v>
      </c>
      <c r="P2096" s="75">
        <v>0</v>
      </c>
      <c r="Q2096" s="75">
        <v>0</v>
      </c>
      <c r="R2096" s="75">
        <v>0</v>
      </c>
      <c r="S2096" s="75">
        <v>0</v>
      </c>
      <c r="T2096" s="75">
        <v>0</v>
      </c>
      <c r="U2096" s="75">
        <v>0</v>
      </c>
      <c r="V2096" s="75">
        <v>1</v>
      </c>
      <c r="W2096" s="78">
        <v>0</v>
      </c>
    </row>
    <row r="2097" spans="1:23" s="75" customFormat="1" hidden="1" x14ac:dyDescent="0.35">
      <c r="A2097" s="75">
        <v>2093</v>
      </c>
      <c r="B2097" s="75">
        <v>2094</v>
      </c>
      <c r="C2097">
        <v>146.03291060000001</v>
      </c>
      <c r="D2097">
        <v>-17.49445673</v>
      </c>
      <c r="F2097" s="75" t="str">
        <f>HYPERLINK("E:\Data From Lucan\2024\Johnstone\Frames_for_Analysis\2094_20240610_0003_L_2732.jpg","2094_20240610_0003_L_2732.jpg")</f>
        <v>2094_20240610_0003_L_2732.jpg</v>
      </c>
      <c r="G2097" s="75">
        <v>6</v>
      </c>
      <c r="I2097">
        <f t="shared" si="32"/>
        <v>0</v>
      </c>
      <c r="J2097" s="75">
        <v>0</v>
      </c>
      <c r="K2097" s="77"/>
      <c r="L2097" s="77"/>
      <c r="M2097" s="77"/>
      <c r="N2097" s="77"/>
      <c r="O2097" s="75">
        <v>1</v>
      </c>
      <c r="P2097" s="75">
        <v>0</v>
      </c>
      <c r="Q2097" s="75">
        <v>0</v>
      </c>
      <c r="R2097" s="75">
        <v>0</v>
      </c>
      <c r="S2097" s="75">
        <v>0</v>
      </c>
      <c r="T2097" s="75">
        <v>0</v>
      </c>
      <c r="U2097" s="75">
        <v>0</v>
      </c>
      <c r="V2097" s="75">
        <v>1</v>
      </c>
      <c r="W2097" s="78">
        <v>0</v>
      </c>
    </row>
    <row r="2098" spans="1:23" s="75" customFormat="1" hidden="1" x14ac:dyDescent="0.35">
      <c r="A2098" s="75">
        <v>2094</v>
      </c>
      <c r="B2098" s="75">
        <v>2095</v>
      </c>
      <c r="C2098">
        <v>146.03284289999999</v>
      </c>
      <c r="D2098">
        <v>-17.494391090000001</v>
      </c>
      <c r="F2098" s="75" t="str">
        <f>HYPERLINK("E:\Data From Lucan\2024\Johnstone\Frames_for_Analysis\2095_20240610_0003_L_2735.jpg","2095_20240610_0003_L_2735.jpg")</f>
        <v>2095_20240610_0003_L_2735.jpg</v>
      </c>
      <c r="G2098" s="75">
        <v>6</v>
      </c>
      <c r="I2098">
        <f t="shared" si="32"/>
        <v>1</v>
      </c>
      <c r="J2098" s="75">
        <v>1</v>
      </c>
      <c r="K2098" s="77"/>
      <c r="L2098" s="77"/>
      <c r="M2098" s="77"/>
      <c r="N2098" s="77"/>
      <c r="O2098" s="75">
        <v>1</v>
      </c>
      <c r="P2098" s="75">
        <v>0</v>
      </c>
      <c r="Q2098" s="75">
        <v>0</v>
      </c>
      <c r="R2098" s="75">
        <v>0</v>
      </c>
      <c r="S2098" s="75">
        <v>0</v>
      </c>
      <c r="T2098" s="75">
        <v>0</v>
      </c>
      <c r="U2098" s="75">
        <v>0</v>
      </c>
      <c r="V2098" s="75">
        <v>1</v>
      </c>
      <c r="W2098" s="78">
        <v>0</v>
      </c>
    </row>
    <row r="2099" spans="1:23" s="75" customFormat="1" hidden="1" x14ac:dyDescent="0.35">
      <c r="A2099" s="75">
        <v>2095</v>
      </c>
      <c r="B2099" s="75">
        <v>2096</v>
      </c>
      <c r="C2099">
        <v>146.0327752</v>
      </c>
      <c r="D2099">
        <v>-17.494325459999999</v>
      </c>
      <c r="F2099" s="75" t="str">
        <f>HYPERLINK("E:\Data From Lucan\2024\Johnstone\Frames_for_Analysis\2096_20240610_0003_L_2738.jpg","2096_20240610_0003_L_2738.jpg")</f>
        <v>2096_20240610_0003_L_2738.jpg</v>
      </c>
      <c r="G2099" s="75">
        <v>6</v>
      </c>
      <c r="I2099">
        <f t="shared" si="32"/>
        <v>1</v>
      </c>
      <c r="J2099" s="75">
        <v>1</v>
      </c>
      <c r="K2099" s="77"/>
      <c r="L2099" s="77"/>
      <c r="M2099" s="77"/>
      <c r="N2099" s="77"/>
      <c r="O2099" s="75">
        <v>1</v>
      </c>
      <c r="P2099" s="75">
        <v>0</v>
      </c>
      <c r="Q2099" s="75">
        <v>0</v>
      </c>
      <c r="R2099" s="75">
        <v>0</v>
      </c>
      <c r="S2099" s="75">
        <v>0</v>
      </c>
      <c r="T2099" s="75">
        <v>0</v>
      </c>
      <c r="U2099" s="75">
        <v>0</v>
      </c>
      <c r="V2099" s="75">
        <v>1</v>
      </c>
      <c r="W2099" s="78">
        <v>0</v>
      </c>
    </row>
    <row r="2100" spans="1:23" s="75" customFormat="1" hidden="1" x14ac:dyDescent="0.35">
      <c r="A2100" s="75">
        <v>2096</v>
      </c>
      <c r="B2100" s="75">
        <v>2097</v>
      </c>
      <c r="C2100">
        <v>146.03270749999999</v>
      </c>
      <c r="D2100">
        <v>-17.49425982</v>
      </c>
      <c r="F2100" s="75" t="str">
        <f>HYPERLINK("E:\Data From Lucan\2024\Johnstone\Frames_for_Analysis\2097_20240610_0003_L_2741.jpg","2097_20240610_0003_L_2741.jpg")</f>
        <v>2097_20240610_0003_L_2741.jpg</v>
      </c>
      <c r="G2100" s="75">
        <v>6</v>
      </c>
      <c r="I2100">
        <f t="shared" si="32"/>
        <v>1</v>
      </c>
      <c r="J2100" s="75">
        <v>1</v>
      </c>
      <c r="K2100" s="77"/>
      <c r="L2100" s="77"/>
      <c r="M2100" s="77"/>
      <c r="N2100" s="77"/>
      <c r="O2100" s="75">
        <v>1</v>
      </c>
      <c r="P2100" s="75">
        <v>0</v>
      </c>
      <c r="Q2100" s="75">
        <v>0</v>
      </c>
      <c r="R2100" s="75">
        <v>0</v>
      </c>
      <c r="S2100" s="75">
        <v>0</v>
      </c>
      <c r="T2100" s="75">
        <v>0</v>
      </c>
      <c r="U2100" s="75">
        <v>0</v>
      </c>
      <c r="V2100" s="75">
        <v>1</v>
      </c>
      <c r="W2100" s="78">
        <v>0</v>
      </c>
    </row>
    <row r="2101" spans="1:23" s="75" customFormat="1" hidden="1" x14ac:dyDescent="0.35">
      <c r="A2101" s="75">
        <v>2097</v>
      </c>
      <c r="B2101" s="75">
        <v>2098</v>
      </c>
      <c r="C2101">
        <v>146.0326379</v>
      </c>
      <c r="D2101">
        <v>-17.494196169999999</v>
      </c>
      <c r="F2101" s="75" t="str">
        <f>HYPERLINK("E:\Data From Lucan\2024\Johnstone\Frames_for_Analysis\2098_20240610_0003_L_2744.jpg","2098_20240610_0003_L_2744.jpg")</f>
        <v>2098_20240610_0003_L_2744.jpg</v>
      </c>
      <c r="G2101" s="75">
        <v>6</v>
      </c>
      <c r="I2101">
        <f t="shared" si="32"/>
        <v>0</v>
      </c>
      <c r="J2101" s="75">
        <v>0</v>
      </c>
      <c r="K2101" s="77"/>
      <c r="L2101" s="77"/>
      <c r="M2101" s="77"/>
      <c r="N2101" s="77"/>
      <c r="O2101" s="75">
        <v>1</v>
      </c>
      <c r="P2101" s="75">
        <v>0</v>
      </c>
      <c r="Q2101" s="75">
        <v>0</v>
      </c>
      <c r="R2101" s="75">
        <v>0</v>
      </c>
      <c r="S2101" s="75">
        <v>0</v>
      </c>
      <c r="T2101" s="75">
        <v>0</v>
      </c>
      <c r="U2101" s="75">
        <v>0</v>
      </c>
      <c r="V2101" s="75">
        <v>1</v>
      </c>
      <c r="W2101" s="78">
        <v>0</v>
      </c>
    </row>
    <row r="2102" spans="1:23" s="75" customFormat="1" hidden="1" x14ac:dyDescent="0.35">
      <c r="A2102" s="75">
        <v>2098</v>
      </c>
      <c r="B2102" s="75">
        <v>2099</v>
      </c>
      <c r="C2102">
        <v>146.032568</v>
      </c>
      <c r="D2102">
        <v>-17.494132789999998</v>
      </c>
      <c r="F2102" s="75" t="str">
        <f>HYPERLINK("E:\Data From Lucan\2024\Johnstone\Frames_for_Analysis\2099_20240610_0003_L_2747.jpg","2099_20240610_0003_L_2747.jpg")</f>
        <v>2099_20240610_0003_L_2747.jpg</v>
      </c>
      <c r="G2102" s="75">
        <v>6</v>
      </c>
      <c r="I2102">
        <f t="shared" si="32"/>
        <v>0</v>
      </c>
      <c r="J2102" s="75">
        <v>0</v>
      </c>
      <c r="K2102" s="77"/>
      <c r="L2102" s="77"/>
      <c r="M2102" s="77"/>
      <c r="N2102" s="77"/>
      <c r="O2102" s="75">
        <v>1</v>
      </c>
      <c r="P2102" s="75">
        <v>0</v>
      </c>
      <c r="Q2102" s="75">
        <v>0</v>
      </c>
      <c r="R2102" s="75">
        <v>0</v>
      </c>
      <c r="S2102" s="75">
        <v>0</v>
      </c>
      <c r="T2102" s="75">
        <v>0</v>
      </c>
      <c r="U2102" s="75">
        <v>0</v>
      </c>
      <c r="V2102" s="75">
        <v>1</v>
      </c>
      <c r="W2102" s="78">
        <v>0</v>
      </c>
    </row>
    <row r="2103" spans="1:23" s="75" customFormat="1" hidden="1" x14ac:dyDescent="0.35">
      <c r="A2103" s="75">
        <v>2099</v>
      </c>
      <c r="B2103" s="75">
        <v>2100</v>
      </c>
      <c r="C2103">
        <v>146.03249819999999</v>
      </c>
      <c r="D2103">
        <v>-17.494069419999999</v>
      </c>
      <c r="F2103" s="75" t="str">
        <f>HYPERLINK("E:\Data From Lucan\2024\Johnstone\Frames_for_Analysis\2100_20240610_0003_L_2750.jpg","2100_20240610_0003_L_2750.jpg")</f>
        <v>2100_20240610_0003_L_2750.jpg</v>
      </c>
      <c r="G2103" s="75">
        <v>6</v>
      </c>
      <c r="I2103">
        <f t="shared" si="32"/>
        <v>0</v>
      </c>
      <c r="J2103" s="75">
        <v>0</v>
      </c>
      <c r="K2103" s="77"/>
      <c r="L2103" s="77"/>
      <c r="M2103" s="77"/>
      <c r="N2103" s="77"/>
      <c r="O2103" s="75">
        <v>1</v>
      </c>
      <c r="P2103" s="75">
        <v>0</v>
      </c>
      <c r="Q2103" s="75">
        <v>0</v>
      </c>
      <c r="R2103" s="75">
        <v>0</v>
      </c>
      <c r="S2103" s="75">
        <v>0</v>
      </c>
      <c r="T2103" s="75">
        <v>0</v>
      </c>
      <c r="U2103" s="75">
        <v>0</v>
      </c>
      <c r="V2103" s="75">
        <v>1</v>
      </c>
      <c r="W2103" s="78">
        <v>0</v>
      </c>
    </row>
    <row r="2104" spans="1:23" s="75" customFormat="1" hidden="1" x14ac:dyDescent="0.35">
      <c r="A2104" s="75">
        <v>2100</v>
      </c>
      <c r="B2104" s="75">
        <v>2101</v>
      </c>
      <c r="C2104">
        <v>146.03242839999999</v>
      </c>
      <c r="D2104">
        <v>-17.494006039999999</v>
      </c>
      <c r="F2104" s="75" t="str">
        <f>HYPERLINK("E:\Data From Lucan\2024\Johnstone\Frames_for_Analysis\2101_20240610_0003_L_2753.jpg","2101_20240610_0003_L_2753.jpg")</f>
        <v>2101_20240610_0003_L_2753.jpg</v>
      </c>
      <c r="G2104" s="75">
        <v>6</v>
      </c>
      <c r="I2104">
        <f t="shared" si="32"/>
        <v>0</v>
      </c>
      <c r="J2104" s="75">
        <v>0</v>
      </c>
      <c r="K2104" s="77"/>
      <c r="L2104" s="77"/>
      <c r="M2104" s="77"/>
      <c r="N2104" s="77"/>
      <c r="O2104" s="75">
        <v>1</v>
      </c>
      <c r="P2104" s="75">
        <v>0</v>
      </c>
      <c r="Q2104" s="75">
        <v>0</v>
      </c>
      <c r="R2104" s="75">
        <v>0</v>
      </c>
      <c r="S2104" s="75">
        <v>0</v>
      </c>
      <c r="T2104" s="75">
        <v>0</v>
      </c>
      <c r="U2104" s="75">
        <v>0</v>
      </c>
      <c r="V2104" s="75">
        <v>1</v>
      </c>
      <c r="W2104" s="78">
        <v>0</v>
      </c>
    </row>
    <row r="2105" spans="1:23" s="75" customFormat="1" hidden="1" x14ac:dyDescent="0.35">
      <c r="A2105" s="75">
        <v>2101</v>
      </c>
      <c r="B2105" s="75">
        <v>2102</v>
      </c>
      <c r="C2105">
        <v>146.03235849999999</v>
      </c>
      <c r="D2105">
        <v>-17.493942669999999</v>
      </c>
      <c r="F2105" s="75" t="str">
        <f>HYPERLINK("E:\Data From Lucan\2024\Johnstone\Frames_for_Analysis\2102_20240610_0003_L_2755.jpg","2102_20240610_0003_L_2755.jpg")</f>
        <v>2102_20240610_0003_L_2755.jpg</v>
      </c>
      <c r="G2105" s="75">
        <v>6</v>
      </c>
      <c r="I2105">
        <f t="shared" si="32"/>
        <v>0</v>
      </c>
      <c r="J2105" s="75">
        <v>0</v>
      </c>
      <c r="K2105" s="77"/>
      <c r="L2105" s="77"/>
      <c r="M2105" s="77"/>
      <c r="N2105" s="77"/>
      <c r="O2105" s="75">
        <v>1</v>
      </c>
      <c r="P2105" s="75">
        <v>0</v>
      </c>
      <c r="Q2105" s="75">
        <v>0</v>
      </c>
      <c r="R2105" s="75">
        <v>0</v>
      </c>
      <c r="S2105" s="75">
        <v>0</v>
      </c>
      <c r="T2105" s="75">
        <v>0</v>
      </c>
      <c r="U2105" s="75">
        <v>0</v>
      </c>
      <c r="V2105" s="75">
        <v>1</v>
      </c>
      <c r="W2105" s="78">
        <v>0</v>
      </c>
    </row>
    <row r="2106" spans="1:23" s="75" customFormat="1" hidden="1" x14ac:dyDescent="0.35">
      <c r="A2106" s="75">
        <v>2102</v>
      </c>
      <c r="B2106" s="75">
        <v>2103</v>
      </c>
      <c r="C2106">
        <v>146.03228870000001</v>
      </c>
      <c r="D2106">
        <v>-17.493879289999999</v>
      </c>
      <c r="F2106" s="75" t="str">
        <f>HYPERLINK("E:\Data From Lucan\2024\Johnstone\Frames_for_Analysis\2103_20240610_0003_L_2758.jpg","2103_20240610_0003_L_2758.jpg")</f>
        <v>2103_20240610_0003_L_2758.jpg</v>
      </c>
      <c r="G2106" s="75">
        <v>6</v>
      </c>
      <c r="I2106">
        <f t="shared" si="32"/>
        <v>1</v>
      </c>
      <c r="J2106" s="75">
        <v>1</v>
      </c>
      <c r="K2106" s="77"/>
      <c r="L2106" s="77"/>
      <c r="M2106" s="77"/>
      <c r="N2106" s="77"/>
      <c r="O2106" s="75">
        <v>1</v>
      </c>
      <c r="P2106" s="75">
        <v>0</v>
      </c>
      <c r="Q2106" s="75">
        <v>0</v>
      </c>
      <c r="R2106" s="75">
        <v>0</v>
      </c>
      <c r="S2106" s="75">
        <v>0</v>
      </c>
      <c r="T2106" s="75">
        <v>0</v>
      </c>
      <c r="U2106" s="75">
        <v>0</v>
      </c>
      <c r="V2106" s="75">
        <v>1</v>
      </c>
      <c r="W2106" s="78">
        <v>0</v>
      </c>
    </row>
    <row r="2107" spans="1:23" s="75" customFormat="1" hidden="1" x14ac:dyDescent="0.35">
      <c r="A2107" s="75">
        <v>2103</v>
      </c>
      <c r="B2107" s="75">
        <v>2104</v>
      </c>
      <c r="C2107">
        <v>146.0322189</v>
      </c>
      <c r="D2107">
        <v>-17.493815909999999</v>
      </c>
      <c r="F2107" s="75" t="str">
        <f>HYPERLINK("E:\Data From Lucan\2024\Johnstone\Frames_for_Analysis\2104_20240610_0003_L_2762.jpg","2104_20240610_0003_L_2762.jpg")</f>
        <v>2104_20240610_0003_L_2762.jpg</v>
      </c>
      <c r="G2107" s="75">
        <v>6</v>
      </c>
      <c r="I2107">
        <f t="shared" si="32"/>
        <v>0</v>
      </c>
      <c r="J2107" s="75">
        <v>0</v>
      </c>
      <c r="K2107" s="77"/>
      <c r="L2107" s="77"/>
      <c r="M2107" s="77"/>
      <c r="N2107" s="77"/>
      <c r="O2107" s="75">
        <v>1</v>
      </c>
      <c r="P2107" s="75">
        <v>0</v>
      </c>
      <c r="Q2107" s="75">
        <v>0</v>
      </c>
      <c r="R2107" s="75">
        <v>0</v>
      </c>
      <c r="S2107" s="75">
        <v>0</v>
      </c>
      <c r="T2107" s="75">
        <v>0</v>
      </c>
      <c r="U2107" s="75">
        <v>0</v>
      </c>
      <c r="V2107" s="75">
        <v>1</v>
      </c>
      <c r="W2107" s="78">
        <v>0</v>
      </c>
    </row>
    <row r="2108" spans="1:23" s="75" customFormat="1" hidden="1" x14ac:dyDescent="0.35">
      <c r="A2108" s="75">
        <v>2104</v>
      </c>
      <c r="B2108" s="75">
        <v>2105</v>
      </c>
      <c r="C2108">
        <v>146.03215080000001</v>
      </c>
      <c r="D2108">
        <v>-17.493750729999999</v>
      </c>
      <c r="F2108" s="75" t="str">
        <f>HYPERLINK("E:\Data From Lucan\2024\Johnstone\Frames_for_Analysis\2105_20240610_0003_L_2765.jpg","2105_20240610_0003_L_2765.jpg")</f>
        <v>2105_20240610_0003_L_2765.jpg</v>
      </c>
      <c r="G2108" s="75">
        <v>6</v>
      </c>
      <c r="I2108">
        <f t="shared" si="32"/>
        <v>0</v>
      </c>
      <c r="J2108" s="75">
        <v>0</v>
      </c>
      <c r="K2108" s="77"/>
      <c r="L2108" s="77"/>
      <c r="M2108" s="77"/>
      <c r="N2108" s="77"/>
      <c r="O2108" s="75">
        <v>1</v>
      </c>
      <c r="P2108" s="75">
        <v>0</v>
      </c>
      <c r="Q2108" s="75">
        <v>0</v>
      </c>
      <c r="R2108" s="75">
        <v>0</v>
      </c>
      <c r="S2108" s="75">
        <v>0</v>
      </c>
      <c r="T2108" s="75">
        <v>0</v>
      </c>
      <c r="U2108" s="75">
        <v>0</v>
      </c>
      <c r="V2108" s="75">
        <v>1</v>
      </c>
      <c r="W2108" s="78">
        <v>0</v>
      </c>
    </row>
    <row r="2109" spans="1:23" s="75" customFormat="1" hidden="1" x14ac:dyDescent="0.35">
      <c r="A2109" s="75">
        <v>2105</v>
      </c>
      <c r="B2109" s="75">
        <v>2106</v>
      </c>
      <c r="C2109">
        <v>146.03208509999999</v>
      </c>
      <c r="D2109">
        <v>-17.493683069999999</v>
      </c>
      <c r="F2109" s="75" t="str">
        <f>HYPERLINK("E:\Data From Lucan\2024\Johnstone\Frames_for_Analysis\2106_20240610_0003_L_2773.jpg","2106_20240610_0003_L_2773.jpg")</f>
        <v>2106_20240610_0003_L_2773.jpg</v>
      </c>
      <c r="G2109" s="75">
        <v>6</v>
      </c>
      <c r="I2109">
        <f t="shared" si="32"/>
        <v>1</v>
      </c>
      <c r="J2109" s="75">
        <v>1</v>
      </c>
      <c r="K2109" s="77"/>
      <c r="L2109" s="77"/>
      <c r="M2109" s="77"/>
      <c r="N2109" s="77"/>
      <c r="O2109" s="75">
        <v>1</v>
      </c>
      <c r="P2109" s="75">
        <v>0</v>
      </c>
      <c r="Q2109" s="75">
        <v>0</v>
      </c>
      <c r="R2109" s="75">
        <v>0</v>
      </c>
      <c r="S2109" s="75">
        <v>0</v>
      </c>
      <c r="T2109" s="75">
        <v>0</v>
      </c>
      <c r="U2109" s="75">
        <v>0</v>
      </c>
      <c r="V2109" s="75">
        <v>1</v>
      </c>
      <c r="W2109" s="78">
        <v>0</v>
      </c>
    </row>
    <row r="2110" spans="1:23" s="75" customFormat="1" hidden="1" x14ac:dyDescent="0.35">
      <c r="A2110" s="75">
        <v>2106</v>
      </c>
      <c r="B2110" s="75">
        <v>2107</v>
      </c>
      <c r="C2110">
        <v>146.0320194</v>
      </c>
      <c r="D2110">
        <v>-17.49361541</v>
      </c>
      <c r="F2110" s="75" t="str">
        <f>HYPERLINK("E:\Data From Lucan\2024\Johnstone\Frames_for_Analysis\2107_20240610_0003_L_2776.jpg","2107_20240610_0003_L_2776.jpg")</f>
        <v>2107_20240610_0003_L_2776.jpg</v>
      </c>
      <c r="G2110" s="75">
        <v>6</v>
      </c>
      <c r="I2110">
        <f t="shared" si="32"/>
        <v>1</v>
      </c>
      <c r="J2110" s="75">
        <v>1</v>
      </c>
      <c r="K2110" s="77"/>
      <c r="L2110" s="77"/>
      <c r="M2110" s="77"/>
      <c r="N2110" s="77"/>
      <c r="O2110" s="75">
        <v>1</v>
      </c>
      <c r="P2110" s="75">
        <v>0</v>
      </c>
      <c r="Q2110" s="75">
        <v>0</v>
      </c>
      <c r="R2110" s="75">
        <v>0</v>
      </c>
      <c r="S2110" s="75">
        <v>0</v>
      </c>
      <c r="T2110" s="75">
        <v>0</v>
      </c>
      <c r="U2110" s="75">
        <v>0</v>
      </c>
      <c r="V2110" s="75">
        <v>1</v>
      </c>
      <c r="W2110" s="78">
        <v>0</v>
      </c>
    </row>
    <row r="2111" spans="1:23" s="75" customFormat="1" hidden="1" x14ac:dyDescent="0.35">
      <c r="A2111" s="75">
        <v>2107</v>
      </c>
      <c r="B2111" s="75">
        <v>2108</v>
      </c>
      <c r="C2111">
        <v>146.0319537</v>
      </c>
      <c r="D2111">
        <v>-17.493547750000001</v>
      </c>
      <c r="F2111" s="75" t="str">
        <f>HYPERLINK("E:\Data From Lucan\2024\Johnstone\Frames_for_Analysis\2108_20240610_0003_L_2780.jpg","2108_20240610_0003_L_2780.jpg")</f>
        <v>2108_20240610_0003_L_2780.jpg</v>
      </c>
      <c r="G2111" s="75">
        <v>6</v>
      </c>
      <c r="I2111">
        <f t="shared" si="32"/>
        <v>1</v>
      </c>
      <c r="J2111" s="75">
        <v>1</v>
      </c>
      <c r="K2111" s="77"/>
      <c r="L2111" s="77"/>
      <c r="M2111" s="77"/>
      <c r="N2111" s="77"/>
      <c r="O2111" s="75">
        <v>1</v>
      </c>
      <c r="P2111" s="75">
        <v>0</v>
      </c>
      <c r="Q2111" s="75">
        <v>0</v>
      </c>
      <c r="R2111" s="75">
        <v>0</v>
      </c>
      <c r="S2111" s="75">
        <v>0</v>
      </c>
      <c r="T2111" s="75">
        <v>0</v>
      </c>
      <c r="U2111" s="75">
        <v>0</v>
      </c>
      <c r="V2111" s="75">
        <v>1</v>
      </c>
      <c r="W2111" s="78">
        <v>0</v>
      </c>
    </row>
    <row r="2112" spans="1:23" s="75" customFormat="1" hidden="1" x14ac:dyDescent="0.35">
      <c r="A2112" s="75">
        <v>2108</v>
      </c>
      <c r="B2112" s="75">
        <v>2109</v>
      </c>
      <c r="C2112">
        <v>146.03188800000001</v>
      </c>
      <c r="D2112">
        <v>-17.493480089999998</v>
      </c>
      <c r="F2112" s="75" t="str">
        <f>HYPERLINK("E:\Data From Lucan\2024\Johnstone\Frames_for_Analysis\2109_20240610_0003_L_2783.jpg","2109_20240610_0003_L_2783.jpg")</f>
        <v>2109_20240610_0003_L_2783.jpg</v>
      </c>
      <c r="G2112" s="75">
        <v>6</v>
      </c>
      <c r="I2112">
        <f t="shared" si="32"/>
        <v>0</v>
      </c>
      <c r="J2112" s="75">
        <v>0</v>
      </c>
      <c r="K2112" s="77"/>
      <c r="L2112" s="77"/>
      <c r="M2112" s="77"/>
      <c r="N2112" s="77"/>
      <c r="O2112" s="75">
        <v>1</v>
      </c>
      <c r="P2112" s="75">
        <v>0</v>
      </c>
      <c r="Q2112" s="75">
        <v>0</v>
      </c>
      <c r="R2112" s="75">
        <v>0</v>
      </c>
      <c r="S2112" s="75">
        <v>0</v>
      </c>
      <c r="T2112" s="75">
        <v>0</v>
      </c>
      <c r="U2112" s="75">
        <v>0</v>
      </c>
      <c r="V2112" s="75">
        <v>1</v>
      </c>
      <c r="W2112" s="78">
        <v>0</v>
      </c>
    </row>
    <row r="2113" spans="1:23" s="75" customFormat="1" hidden="1" x14ac:dyDescent="0.35">
      <c r="A2113" s="75">
        <v>2109</v>
      </c>
      <c r="B2113" s="75">
        <v>2110</v>
      </c>
      <c r="C2113">
        <v>146.03182229999999</v>
      </c>
      <c r="D2113">
        <v>-17.493412429999999</v>
      </c>
      <c r="F2113" s="75" t="str">
        <f>HYPERLINK("E:\Data From Lucan\2024\Johnstone\Frames_for_Analysis\2110_20240610_0003_L_2786.jpg","2110_20240610_0003_L_2786.jpg")</f>
        <v>2110_20240610_0003_L_2786.jpg</v>
      </c>
      <c r="G2113" s="75">
        <v>6</v>
      </c>
      <c r="I2113">
        <f t="shared" si="32"/>
        <v>0</v>
      </c>
      <c r="J2113" s="75">
        <v>0</v>
      </c>
      <c r="K2113" s="77"/>
      <c r="L2113" s="77"/>
      <c r="M2113" s="77"/>
      <c r="N2113" s="77"/>
      <c r="O2113" s="75">
        <v>1</v>
      </c>
      <c r="P2113" s="75">
        <v>0</v>
      </c>
      <c r="Q2113" s="75">
        <v>0</v>
      </c>
      <c r="R2113" s="75">
        <v>0</v>
      </c>
      <c r="S2113" s="75">
        <v>0</v>
      </c>
      <c r="T2113" s="75">
        <v>0</v>
      </c>
      <c r="U2113" s="75">
        <v>0</v>
      </c>
      <c r="V2113" s="75">
        <v>1</v>
      </c>
      <c r="W2113" s="78">
        <v>0</v>
      </c>
    </row>
    <row r="2114" spans="1:23" s="75" customFormat="1" hidden="1" x14ac:dyDescent="0.35">
      <c r="A2114" s="75">
        <v>2110</v>
      </c>
      <c r="B2114" s="75">
        <v>2111</v>
      </c>
      <c r="C2114">
        <v>146.03175669999999</v>
      </c>
      <c r="D2114">
        <v>-17.49334477</v>
      </c>
      <c r="F2114" s="75" t="str">
        <f>HYPERLINK("E:\Data From Lucan\2024\Johnstone\Frames_for_Analysis\2111_20240610_0003_L_2789.jpg","2111_20240610_0003_L_2789.jpg")</f>
        <v>2111_20240610_0003_L_2789.jpg</v>
      </c>
      <c r="G2114" s="75">
        <v>6</v>
      </c>
      <c r="I2114">
        <f t="shared" si="32"/>
        <v>0</v>
      </c>
      <c r="J2114" s="75">
        <v>0</v>
      </c>
      <c r="K2114" s="77"/>
      <c r="L2114" s="77"/>
      <c r="M2114" s="77"/>
      <c r="N2114" s="77"/>
      <c r="O2114" s="75">
        <v>1</v>
      </c>
      <c r="P2114" s="75">
        <v>0</v>
      </c>
      <c r="Q2114" s="75">
        <v>0</v>
      </c>
      <c r="R2114" s="75">
        <v>0</v>
      </c>
      <c r="S2114" s="75">
        <v>0</v>
      </c>
      <c r="T2114" s="75">
        <v>0</v>
      </c>
      <c r="U2114" s="75">
        <v>0</v>
      </c>
      <c r="V2114" s="75">
        <v>1</v>
      </c>
      <c r="W2114" s="78">
        <v>0</v>
      </c>
    </row>
    <row r="2115" spans="1:23" s="75" customFormat="1" hidden="1" x14ac:dyDescent="0.35">
      <c r="A2115" s="75">
        <v>2111</v>
      </c>
      <c r="B2115" s="75">
        <v>2112</v>
      </c>
      <c r="C2115">
        <v>146.031691</v>
      </c>
      <c r="D2115">
        <v>-17.493277110000001</v>
      </c>
      <c r="F2115" s="75" t="str">
        <f>HYPERLINK("E:\Data From Lucan\2024\Johnstone\Frames_for_Analysis\2112_20240610_0003_L_2792.jpg","2112_20240610_0003_L_2792.jpg")</f>
        <v>2112_20240610_0003_L_2792.jpg</v>
      </c>
      <c r="G2115" s="75">
        <v>6</v>
      </c>
      <c r="I2115">
        <f t="shared" si="32"/>
        <v>0</v>
      </c>
      <c r="J2115" s="75">
        <v>0</v>
      </c>
      <c r="K2115" s="77"/>
      <c r="L2115" s="77"/>
      <c r="M2115" s="77"/>
      <c r="N2115" s="77"/>
      <c r="O2115" s="75">
        <v>1</v>
      </c>
      <c r="P2115" s="75">
        <v>0</v>
      </c>
      <c r="Q2115" s="75">
        <v>0</v>
      </c>
      <c r="R2115" s="75">
        <v>0</v>
      </c>
      <c r="S2115" s="75">
        <v>0</v>
      </c>
      <c r="T2115" s="75">
        <v>0</v>
      </c>
      <c r="U2115" s="75">
        <v>0</v>
      </c>
      <c r="V2115" s="75">
        <v>1</v>
      </c>
      <c r="W2115" s="78">
        <v>0</v>
      </c>
    </row>
    <row r="2116" spans="1:23" s="75" customFormat="1" hidden="1" x14ac:dyDescent="0.35">
      <c r="A2116" s="75">
        <v>2112</v>
      </c>
      <c r="B2116" s="75">
        <v>2113</v>
      </c>
      <c r="C2116">
        <v>146.03162990000001</v>
      </c>
      <c r="D2116">
        <v>-17.493205769999999</v>
      </c>
      <c r="F2116" s="75" t="str">
        <f>HYPERLINK("E:\Data From Lucan\2024\Johnstone\Frames_for_Analysis\2113_20240610_0003_L_2795.jpg","2113_20240610_0003_L_2795.jpg")</f>
        <v>2113_20240610_0003_L_2795.jpg</v>
      </c>
      <c r="G2116" s="75">
        <v>6</v>
      </c>
      <c r="I2116">
        <f t="shared" si="32"/>
        <v>1</v>
      </c>
      <c r="J2116" s="75">
        <v>1</v>
      </c>
      <c r="K2116" s="77"/>
      <c r="L2116" s="77"/>
      <c r="M2116" s="77"/>
      <c r="N2116" s="77"/>
      <c r="O2116" s="75">
        <v>1</v>
      </c>
      <c r="P2116" s="75">
        <v>0</v>
      </c>
      <c r="Q2116" s="75">
        <v>0</v>
      </c>
      <c r="R2116" s="75">
        <v>0</v>
      </c>
      <c r="S2116" s="75">
        <v>0</v>
      </c>
      <c r="T2116" s="75">
        <v>0</v>
      </c>
      <c r="U2116" s="75">
        <v>0</v>
      </c>
      <c r="V2116" s="75">
        <v>1</v>
      </c>
      <c r="W2116" s="78">
        <v>0</v>
      </c>
    </row>
    <row r="2117" spans="1:23" s="75" customFormat="1" hidden="1" x14ac:dyDescent="0.35">
      <c r="A2117" s="75">
        <v>2113</v>
      </c>
      <c r="B2117" s="75">
        <v>2114</v>
      </c>
      <c r="C2117">
        <v>146.03157809999999</v>
      </c>
      <c r="D2117">
        <v>-17.493126969999999</v>
      </c>
      <c r="F2117" s="75" t="str">
        <f>HYPERLINK("E:\Data From Lucan\2024\Johnstone\Frames_for_Analysis\2114_20240610_0003_L_2798.jpg","2114_20240610_0003_L_2798.jpg")</f>
        <v>2114_20240610_0003_L_2798.jpg</v>
      </c>
      <c r="G2117" s="75">
        <v>6</v>
      </c>
      <c r="I2117">
        <f t="shared" ref="I2117:I2180" si="33">IF(H2117="X","X",IF(J2117="NA","X",IF(J2117="","X",J2117)))</f>
        <v>0</v>
      </c>
      <c r="J2117" s="75">
        <v>0</v>
      </c>
      <c r="K2117" s="77"/>
      <c r="L2117" s="77"/>
      <c r="M2117" s="77"/>
      <c r="N2117" s="77"/>
      <c r="O2117" s="75">
        <v>1</v>
      </c>
      <c r="P2117" s="75">
        <v>0</v>
      </c>
      <c r="Q2117" s="75">
        <v>0</v>
      </c>
      <c r="R2117" s="75">
        <v>0</v>
      </c>
      <c r="S2117" s="75">
        <v>0</v>
      </c>
      <c r="T2117" s="75">
        <v>0</v>
      </c>
      <c r="U2117" s="75">
        <v>0</v>
      </c>
      <c r="V2117" s="75">
        <v>1</v>
      </c>
      <c r="W2117" s="78">
        <v>0</v>
      </c>
    </row>
    <row r="2118" spans="1:23" s="75" customFormat="1" hidden="1" x14ac:dyDescent="0.35">
      <c r="A2118" s="75">
        <v>2114</v>
      </c>
      <c r="B2118" s="75">
        <v>2115</v>
      </c>
      <c r="C2118">
        <v>146.0315263</v>
      </c>
      <c r="D2118">
        <v>-17.493048160000001</v>
      </c>
      <c r="F2118" s="75" t="str">
        <f>HYPERLINK("E:\Data From Lucan\2024\Johnstone\Frames_for_Analysis\2115_20240610_0003_L_2801.jpg","2115_20240610_0003_L_2801.jpg")</f>
        <v>2115_20240610_0003_L_2801.jpg</v>
      </c>
      <c r="G2118" s="75">
        <v>6</v>
      </c>
      <c r="I2118">
        <f t="shared" si="33"/>
        <v>0</v>
      </c>
      <c r="J2118" s="75">
        <v>0</v>
      </c>
      <c r="K2118" s="77"/>
      <c r="L2118" s="77"/>
      <c r="M2118" s="77"/>
      <c r="N2118" s="77"/>
      <c r="O2118" s="75">
        <v>1</v>
      </c>
      <c r="P2118" s="75">
        <v>0</v>
      </c>
      <c r="Q2118" s="75">
        <v>0</v>
      </c>
      <c r="R2118" s="75">
        <v>0</v>
      </c>
      <c r="S2118" s="75">
        <v>0</v>
      </c>
      <c r="T2118" s="75">
        <v>0</v>
      </c>
      <c r="U2118" s="75">
        <v>0</v>
      </c>
      <c r="V2118" s="75">
        <v>1</v>
      </c>
      <c r="W2118" s="78">
        <v>0</v>
      </c>
    </row>
    <row r="2119" spans="1:23" s="75" customFormat="1" hidden="1" x14ac:dyDescent="0.35">
      <c r="A2119" s="75">
        <v>2115</v>
      </c>
      <c r="B2119" s="75">
        <v>2116</v>
      </c>
      <c r="C2119">
        <v>146.0314745</v>
      </c>
      <c r="D2119">
        <v>-17.49296936</v>
      </c>
      <c r="F2119" s="75" t="str">
        <f>HYPERLINK("E:\Data From Lucan\2024\Johnstone\Frames_for_Analysis\2116_20240610_0003_L_2804.jpg","2116_20240610_0003_L_2804.jpg")</f>
        <v>2116_20240610_0003_L_2804.jpg</v>
      </c>
      <c r="G2119" s="75">
        <v>6</v>
      </c>
      <c r="I2119">
        <f t="shared" si="33"/>
        <v>0</v>
      </c>
      <c r="J2119" s="75">
        <v>0</v>
      </c>
      <c r="K2119" s="77"/>
      <c r="L2119" s="77"/>
      <c r="M2119" s="77"/>
      <c r="N2119" s="77"/>
      <c r="O2119" s="75">
        <v>1</v>
      </c>
      <c r="P2119" s="75">
        <v>0</v>
      </c>
      <c r="Q2119" s="75">
        <v>0</v>
      </c>
      <c r="R2119" s="75">
        <v>0</v>
      </c>
      <c r="S2119" s="75">
        <v>0</v>
      </c>
      <c r="T2119" s="75">
        <v>0</v>
      </c>
      <c r="U2119" s="75">
        <v>0</v>
      </c>
      <c r="V2119" s="75">
        <v>1</v>
      </c>
      <c r="W2119" s="78">
        <v>0</v>
      </c>
    </row>
    <row r="2120" spans="1:23" s="75" customFormat="1" hidden="1" x14ac:dyDescent="0.35">
      <c r="A2120" s="75">
        <v>2116</v>
      </c>
      <c r="B2120" s="75">
        <v>2117</v>
      </c>
      <c r="C2120">
        <v>146.03142260000001</v>
      </c>
      <c r="D2120">
        <v>-17.492890559999999</v>
      </c>
      <c r="F2120" s="75" t="str">
        <f>HYPERLINK("E:\Data From Lucan\2024\Johnstone\Frames_for_Analysis\2117_20240610_0003_L_2806.jpg","2117_20240610_0003_L_2806.jpg")</f>
        <v>2117_20240610_0003_L_2806.jpg</v>
      </c>
      <c r="G2120" s="75">
        <v>6</v>
      </c>
      <c r="I2120">
        <f t="shared" si="33"/>
        <v>0</v>
      </c>
      <c r="J2120" s="75">
        <v>0</v>
      </c>
      <c r="K2120" s="77"/>
      <c r="L2120" s="77"/>
      <c r="M2120" s="77"/>
      <c r="N2120" s="77"/>
      <c r="O2120" s="75">
        <v>1</v>
      </c>
      <c r="P2120" s="75">
        <v>0</v>
      </c>
      <c r="Q2120" s="75">
        <v>0</v>
      </c>
      <c r="R2120" s="75">
        <v>0</v>
      </c>
      <c r="S2120" s="75">
        <v>0</v>
      </c>
      <c r="T2120" s="75">
        <v>0</v>
      </c>
      <c r="U2120" s="75">
        <v>0</v>
      </c>
      <c r="V2120" s="75">
        <v>1</v>
      </c>
      <c r="W2120" s="78">
        <v>0</v>
      </c>
    </row>
    <row r="2121" spans="1:23" s="75" customFormat="1" hidden="1" x14ac:dyDescent="0.35">
      <c r="A2121" s="75">
        <v>2117</v>
      </c>
      <c r="B2121" s="75">
        <v>2118</v>
      </c>
      <c r="C2121">
        <v>146.03137079999999</v>
      </c>
      <c r="D2121">
        <v>-17.492811759999999</v>
      </c>
      <c r="F2121" s="75" t="str">
        <f>HYPERLINK("E:\Data From Lucan\2024\Johnstone\Frames_for_Analysis\2118_20240610_0003_L_2809.jpg","2118_20240610_0003_L_2809.jpg")</f>
        <v>2118_20240610_0003_L_2809.jpg</v>
      </c>
      <c r="G2121" s="75">
        <v>6</v>
      </c>
      <c r="I2121">
        <f t="shared" si="33"/>
        <v>0</v>
      </c>
      <c r="J2121" s="75">
        <v>0</v>
      </c>
      <c r="K2121" s="77"/>
      <c r="L2121" s="77"/>
      <c r="M2121" s="77"/>
      <c r="N2121" s="77"/>
      <c r="O2121" s="75">
        <v>1</v>
      </c>
      <c r="P2121" s="75">
        <v>0</v>
      </c>
      <c r="Q2121" s="75">
        <v>0</v>
      </c>
      <c r="R2121" s="75">
        <v>0</v>
      </c>
      <c r="S2121" s="75">
        <v>0</v>
      </c>
      <c r="T2121" s="75">
        <v>0</v>
      </c>
      <c r="U2121" s="75">
        <v>0</v>
      </c>
      <c r="V2121" s="75">
        <v>1</v>
      </c>
      <c r="W2121" s="78">
        <v>0</v>
      </c>
    </row>
    <row r="2122" spans="1:23" s="75" customFormat="1" hidden="1" x14ac:dyDescent="0.35">
      <c r="A2122" s="75">
        <v>2118</v>
      </c>
      <c r="B2122" s="75">
        <v>2119</v>
      </c>
      <c r="C2122">
        <v>146.031319</v>
      </c>
      <c r="D2122">
        <v>-17.492732960000001</v>
      </c>
      <c r="F2122" s="75" t="str">
        <f>HYPERLINK("E:\Data From Lucan\2024\Johnstone\Frames_for_Analysis\2119_20240610_0003_L_2812.jpg","2119_20240610_0003_L_2812.jpg")</f>
        <v>2119_20240610_0003_L_2812.jpg</v>
      </c>
      <c r="G2122" s="75">
        <v>6</v>
      </c>
      <c r="I2122">
        <f t="shared" si="33"/>
        <v>0</v>
      </c>
      <c r="J2122" s="75">
        <v>0</v>
      </c>
      <c r="K2122" s="77"/>
      <c r="L2122" s="77"/>
      <c r="M2122" s="77"/>
      <c r="N2122" s="77"/>
      <c r="O2122" s="75">
        <v>1</v>
      </c>
      <c r="P2122" s="75">
        <v>0</v>
      </c>
      <c r="Q2122" s="75">
        <v>0</v>
      </c>
      <c r="R2122" s="75">
        <v>0</v>
      </c>
      <c r="S2122" s="75">
        <v>0</v>
      </c>
      <c r="T2122" s="75">
        <v>0</v>
      </c>
      <c r="U2122" s="75">
        <v>0</v>
      </c>
      <c r="V2122" s="75">
        <v>1</v>
      </c>
      <c r="W2122" s="78">
        <v>0</v>
      </c>
    </row>
    <row r="2123" spans="1:23" s="75" customFormat="1" hidden="1" x14ac:dyDescent="0.35">
      <c r="A2123" s="75">
        <v>2119</v>
      </c>
      <c r="B2123" s="75">
        <v>2120</v>
      </c>
      <c r="C2123">
        <v>146.0312672</v>
      </c>
      <c r="D2123">
        <v>-17.49265415</v>
      </c>
      <c r="F2123" s="75" t="str">
        <f>HYPERLINK("E:\Data From Lucan\2024\Johnstone\Frames_for_Analysis\2120_20240610_0003_L_2814.jpg","2120_20240610_0003_L_2814.jpg")</f>
        <v>2120_20240610_0003_L_2814.jpg</v>
      </c>
      <c r="G2123" s="75">
        <v>6</v>
      </c>
      <c r="I2123">
        <f t="shared" si="33"/>
        <v>0</v>
      </c>
      <c r="J2123" s="75">
        <v>0</v>
      </c>
      <c r="K2123" s="77"/>
      <c r="L2123" s="77"/>
      <c r="M2123" s="77"/>
      <c r="N2123" s="77"/>
      <c r="O2123" s="75">
        <v>1</v>
      </c>
      <c r="P2123" s="75">
        <v>0</v>
      </c>
      <c r="Q2123" s="75">
        <v>0</v>
      </c>
      <c r="R2123" s="75">
        <v>0</v>
      </c>
      <c r="S2123" s="75">
        <v>0</v>
      </c>
      <c r="T2123" s="75">
        <v>0</v>
      </c>
      <c r="U2123" s="75">
        <v>0</v>
      </c>
      <c r="V2123" s="75">
        <v>1</v>
      </c>
      <c r="W2123" s="78">
        <v>0</v>
      </c>
    </row>
    <row r="2124" spans="1:23" s="75" customFormat="1" hidden="1" x14ac:dyDescent="0.35">
      <c r="A2124" s="75">
        <v>2120</v>
      </c>
      <c r="B2124" s="75">
        <v>2121</v>
      </c>
      <c r="C2124">
        <v>146.03121830000001</v>
      </c>
      <c r="D2124">
        <v>-17.492573650000001</v>
      </c>
      <c r="F2124" s="75" t="str">
        <f>HYPERLINK("E:\Data From Lucan\2024\Johnstone\Frames_for_Analysis\2121_20240610_0003_L_2817.jpg","2121_20240610_0003_L_2817.jpg")</f>
        <v>2121_20240610_0003_L_2817.jpg</v>
      </c>
      <c r="G2124" s="75">
        <v>6</v>
      </c>
      <c r="I2124">
        <f t="shared" si="33"/>
        <v>1</v>
      </c>
      <c r="J2124" s="75">
        <v>1</v>
      </c>
      <c r="K2124" s="77"/>
      <c r="L2124" s="77"/>
      <c r="M2124" s="77"/>
      <c r="N2124" s="77"/>
      <c r="O2124" s="75">
        <v>1</v>
      </c>
      <c r="P2124" s="75">
        <v>0</v>
      </c>
      <c r="Q2124" s="75">
        <v>0</v>
      </c>
      <c r="R2124" s="75">
        <v>0</v>
      </c>
      <c r="S2124" s="75">
        <v>0</v>
      </c>
      <c r="T2124" s="75">
        <v>0</v>
      </c>
      <c r="U2124" s="75">
        <v>0</v>
      </c>
      <c r="V2124" s="75">
        <v>1</v>
      </c>
      <c r="W2124" s="78">
        <v>0</v>
      </c>
    </row>
    <row r="2125" spans="1:23" s="75" customFormat="1" hidden="1" x14ac:dyDescent="0.35">
      <c r="A2125" s="75">
        <v>2121</v>
      </c>
      <c r="B2125" s="75">
        <v>2122</v>
      </c>
      <c r="C2125">
        <v>146.0311729</v>
      </c>
      <c r="D2125">
        <v>-17.492490979999999</v>
      </c>
      <c r="F2125" s="75" t="str">
        <f>HYPERLINK("E:\Data From Lucan\2024\Johnstone\Frames_for_Analysis\2122_20240610_0003_L_2820.jpg","2122_20240610_0003_L_2820.jpg")</f>
        <v>2122_20240610_0003_L_2820.jpg</v>
      </c>
      <c r="G2125" s="75">
        <v>6</v>
      </c>
      <c r="I2125">
        <f t="shared" si="33"/>
        <v>1</v>
      </c>
      <c r="J2125" s="75">
        <v>1</v>
      </c>
      <c r="K2125" s="77"/>
      <c r="L2125" s="77"/>
      <c r="M2125" s="77"/>
      <c r="N2125" s="77"/>
      <c r="O2125" s="75">
        <v>1</v>
      </c>
      <c r="P2125" s="75">
        <v>0</v>
      </c>
      <c r="Q2125" s="75">
        <v>0</v>
      </c>
      <c r="R2125" s="75">
        <v>0</v>
      </c>
      <c r="S2125" s="75">
        <v>0</v>
      </c>
      <c r="T2125" s="75">
        <v>0</v>
      </c>
      <c r="U2125" s="75">
        <v>0</v>
      </c>
      <c r="V2125" s="75">
        <v>1</v>
      </c>
      <c r="W2125" s="78">
        <v>0</v>
      </c>
    </row>
    <row r="2126" spans="1:23" s="75" customFormat="1" hidden="1" x14ac:dyDescent="0.35">
      <c r="A2126" s="75">
        <v>2122</v>
      </c>
      <c r="B2126" s="75">
        <v>2123</v>
      </c>
      <c r="C2126">
        <v>146.0311275</v>
      </c>
      <c r="D2126">
        <v>-17.492408319999999</v>
      </c>
      <c r="F2126" s="75" t="str">
        <f>HYPERLINK("E:\Data From Lucan\2024\Johnstone\Frames_for_Analysis\2123_20240610_0003_L_2823.jpg","2123_20240610_0003_L_2823.jpg")</f>
        <v>2123_20240610_0003_L_2823.jpg</v>
      </c>
      <c r="G2126" s="75">
        <v>6</v>
      </c>
      <c r="I2126">
        <f t="shared" si="33"/>
        <v>1</v>
      </c>
      <c r="J2126" s="75">
        <v>1</v>
      </c>
      <c r="K2126" s="77"/>
      <c r="L2126" s="77"/>
      <c r="M2126" s="77"/>
      <c r="N2126" s="77"/>
      <c r="O2126" s="75">
        <v>1</v>
      </c>
      <c r="P2126" s="75">
        <v>0</v>
      </c>
      <c r="Q2126" s="75">
        <v>0</v>
      </c>
      <c r="R2126" s="75">
        <v>0</v>
      </c>
      <c r="S2126" s="75">
        <v>0</v>
      </c>
      <c r="T2126" s="75">
        <v>0</v>
      </c>
      <c r="U2126" s="75">
        <v>0</v>
      </c>
      <c r="V2126" s="75">
        <v>1</v>
      </c>
      <c r="W2126" s="78">
        <v>0</v>
      </c>
    </row>
    <row r="2127" spans="1:23" s="75" customFormat="1" hidden="1" x14ac:dyDescent="0.35">
      <c r="A2127" s="75">
        <v>2123</v>
      </c>
      <c r="B2127" s="75">
        <v>2124</v>
      </c>
      <c r="C2127">
        <v>146.03108209999999</v>
      </c>
      <c r="D2127">
        <v>-17.492325650000002</v>
      </c>
      <c r="F2127" s="75" t="str">
        <f>HYPERLINK("E:\Data From Lucan\2024\Johnstone\Frames_for_Analysis\2124_20240610_0003_L_2826.jpg","2124_20240610_0003_L_2826.jpg")</f>
        <v>2124_20240610_0003_L_2826.jpg</v>
      </c>
      <c r="G2127" s="75">
        <v>6</v>
      </c>
      <c r="I2127">
        <f t="shared" si="33"/>
        <v>1</v>
      </c>
      <c r="J2127" s="75">
        <v>1</v>
      </c>
      <c r="K2127" s="77"/>
      <c r="L2127" s="77"/>
      <c r="M2127" s="77"/>
      <c r="N2127" s="77"/>
      <c r="O2127" s="75">
        <v>1</v>
      </c>
      <c r="P2127" s="75">
        <v>0</v>
      </c>
      <c r="Q2127" s="75">
        <v>0</v>
      </c>
      <c r="R2127" s="75">
        <v>0</v>
      </c>
      <c r="S2127" s="75">
        <v>0</v>
      </c>
      <c r="T2127" s="75">
        <v>0</v>
      </c>
      <c r="U2127" s="75">
        <v>0</v>
      </c>
      <c r="V2127" s="75">
        <v>1</v>
      </c>
      <c r="W2127" s="78">
        <v>0</v>
      </c>
    </row>
    <row r="2128" spans="1:23" s="75" customFormat="1" hidden="1" x14ac:dyDescent="0.35">
      <c r="A2128" s="75">
        <v>2124</v>
      </c>
      <c r="B2128" s="75">
        <v>2125</v>
      </c>
      <c r="C2128">
        <v>146.03103669999999</v>
      </c>
      <c r="D2128">
        <v>-17.492242990000001</v>
      </c>
      <c r="F2128" s="75" t="str">
        <f>HYPERLINK("E:\Data From Lucan\2024\Johnstone\Frames_for_Analysis\2125_20240610_0003_L_2829.jpg","2125_20240610_0003_L_2829.jpg")</f>
        <v>2125_20240610_0003_L_2829.jpg</v>
      </c>
      <c r="G2128" s="75">
        <v>6</v>
      </c>
      <c r="I2128">
        <f t="shared" si="33"/>
        <v>0</v>
      </c>
      <c r="J2128" s="75">
        <v>0</v>
      </c>
      <c r="K2128" s="77"/>
      <c r="L2128" s="77"/>
      <c r="M2128" s="77"/>
      <c r="N2128" s="77"/>
      <c r="O2128" s="75">
        <v>1</v>
      </c>
      <c r="P2128" s="75">
        <v>0</v>
      </c>
      <c r="Q2128" s="75">
        <v>0</v>
      </c>
      <c r="R2128" s="75">
        <v>0</v>
      </c>
      <c r="S2128" s="75">
        <v>0</v>
      </c>
      <c r="T2128" s="75">
        <v>0</v>
      </c>
      <c r="U2128" s="75">
        <v>0</v>
      </c>
      <c r="V2128" s="75">
        <v>1</v>
      </c>
      <c r="W2128" s="78">
        <v>0</v>
      </c>
    </row>
    <row r="2129" spans="1:23" s="75" customFormat="1" hidden="1" x14ac:dyDescent="0.35">
      <c r="A2129" s="75">
        <v>2125</v>
      </c>
      <c r="B2129" s="75">
        <v>2126</v>
      </c>
      <c r="C2129">
        <v>146.0309914</v>
      </c>
      <c r="D2129">
        <v>-17.49216032</v>
      </c>
      <c r="F2129" s="75" t="str">
        <f>HYPERLINK("E:\Data From Lucan\2024\Johnstone\Frames_for_Analysis\2126_20240610_0003_L_2832.jpg","2126_20240610_0003_L_2832.jpg")</f>
        <v>2126_20240610_0003_L_2832.jpg</v>
      </c>
      <c r="G2129" s="75">
        <v>6</v>
      </c>
      <c r="I2129">
        <f t="shared" si="33"/>
        <v>0</v>
      </c>
      <c r="J2129" s="75">
        <v>0</v>
      </c>
      <c r="K2129" s="77"/>
      <c r="L2129" s="77"/>
      <c r="M2129" s="77"/>
      <c r="N2129" s="77"/>
      <c r="O2129" s="75">
        <v>1</v>
      </c>
      <c r="P2129" s="75">
        <v>0</v>
      </c>
      <c r="Q2129" s="75">
        <v>0</v>
      </c>
      <c r="R2129" s="75">
        <v>0</v>
      </c>
      <c r="S2129" s="75">
        <v>0</v>
      </c>
      <c r="T2129" s="75">
        <v>0</v>
      </c>
      <c r="U2129" s="75">
        <v>0</v>
      </c>
      <c r="V2129" s="75">
        <v>1</v>
      </c>
      <c r="W2129" s="78">
        <v>0</v>
      </c>
    </row>
    <row r="2130" spans="1:23" s="75" customFormat="1" hidden="1" x14ac:dyDescent="0.35">
      <c r="A2130" s="75">
        <v>2126</v>
      </c>
      <c r="B2130" s="75">
        <v>2127</v>
      </c>
      <c r="C2130">
        <v>146.030946</v>
      </c>
      <c r="D2130">
        <v>-17.49207766</v>
      </c>
      <c r="F2130" s="75" t="str">
        <f>HYPERLINK("E:\Data From Lucan\2024\Johnstone\Frames_for_Analysis\2127_20240610_0003_L_2835.jpg","2127_20240610_0003_L_2835.jpg")</f>
        <v>2127_20240610_0003_L_2835.jpg</v>
      </c>
      <c r="G2130" s="75">
        <v>6</v>
      </c>
      <c r="I2130">
        <f t="shared" si="33"/>
        <v>1</v>
      </c>
      <c r="J2130" s="75">
        <v>1</v>
      </c>
      <c r="K2130" s="77"/>
      <c r="L2130" s="77"/>
      <c r="M2130" s="77"/>
      <c r="N2130" s="77"/>
      <c r="O2130" s="75">
        <v>1</v>
      </c>
      <c r="P2130" s="75">
        <v>0</v>
      </c>
      <c r="Q2130" s="75">
        <v>0</v>
      </c>
      <c r="R2130" s="75">
        <v>0</v>
      </c>
      <c r="S2130" s="75">
        <v>0</v>
      </c>
      <c r="T2130" s="75">
        <v>0</v>
      </c>
      <c r="U2130" s="75">
        <v>0</v>
      </c>
      <c r="V2130" s="75">
        <v>1</v>
      </c>
      <c r="W2130" s="78">
        <v>0</v>
      </c>
    </row>
    <row r="2131" spans="1:23" s="75" customFormat="1" hidden="1" x14ac:dyDescent="0.35">
      <c r="A2131" s="75">
        <v>2127</v>
      </c>
      <c r="B2131" s="75">
        <v>2128</v>
      </c>
      <c r="C2131">
        <v>146.0309006</v>
      </c>
      <c r="D2131">
        <v>-17.491994989999998</v>
      </c>
      <c r="F2131" s="75" t="str">
        <f>HYPERLINK("E:\Data From Lucan\2024\Johnstone\Frames_for_Analysis\2128_20240610_0003_L_2838.jpg","2128_20240610_0003_L_2838.jpg")</f>
        <v>2128_20240610_0003_L_2838.jpg</v>
      </c>
      <c r="G2131" s="75">
        <v>6</v>
      </c>
      <c r="I2131">
        <f t="shared" si="33"/>
        <v>0</v>
      </c>
      <c r="J2131" s="75">
        <v>0</v>
      </c>
      <c r="K2131" s="77"/>
      <c r="L2131" s="77"/>
      <c r="M2131" s="77"/>
      <c r="N2131" s="77"/>
      <c r="O2131" s="75">
        <v>1</v>
      </c>
      <c r="P2131" s="75">
        <v>0</v>
      </c>
      <c r="Q2131" s="75">
        <v>0</v>
      </c>
      <c r="R2131" s="75">
        <v>0</v>
      </c>
      <c r="S2131" s="75">
        <v>0</v>
      </c>
      <c r="T2131" s="75">
        <v>0</v>
      </c>
      <c r="U2131" s="75">
        <v>0</v>
      </c>
      <c r="V2131" s="75">
        <v>1</v>
      </c>
      <c r="W2131" s="78">
        <v>0</v>
      </c>
    </row>
    <row r="2132" spans="1:23" s="75" customFormat="1" hidden="1" x14ac:dyDescent="0.35">
      <c r="A2132" s="75">
        <v>2128</v>
      </c>
      <c r="B2132" s="75">
        <v>2129</v>
      </c>
      <c r="C2132">
        <v>146.03085519999999</v>
      </c>
      <c r="D2132">
        <v>-17.491912330000002</v>
      </c>
      <c r="F2132" s="75" t="str">
        <f>HYPERLINK("E:\Data From Lucan\2024\Johnstone\Frames_for_Analysis\2129_20240610_0003_L_2841.jpg","2129_20240610_0003_L_2841.jpg")</f>
        <v>2129_20240610_0003_L_2841.jpg</v>
      </c>
      <c r="G2132" s="75">
        <v>6</v>
      </c>
      <c r="I2132">
        <f t="shared" si="33"/>
        <v>0</v>
      </c>
      <c r="J2132" s="75">
        <v>0</v>
      </c>
      <c r="K2132" s="77"/>
      <c r="L2132" s="77"/>
      <c r="M2132" s="77"/>
      <c r="N2132" s="77"/>
      <c r="O2132" s="75">
        <v>1</v>
      </c>
      <c r="P2132" s="75">
        <v>0</v>
      </c>
      <c r="Q2132" s="75">
        <v>0</v>
      </c>
      <c r="R2132" s="75">
        <v>0</v>
      </c>
      <c r="S2132" s="75">
        <v>0</v>
      </c>
      <c r="T2132" s="75">
        <v>0</v>
      </c>
      <c r="U2132" s="75">
        <v>0</v>
      </c>
      <c r="V2132" s="75">
        <v>1</v>
      </c>
      <c r="W2132" s="78">
        <v>0</v>
      </c>
    </row>
    <row r="2133" spans="1:23" s="75" customFormat="1" hidden="1" x14ac:dyDescent="0.35">
      <c r="A2133" s="75">
        <v>2129</v>
      </c>
      <c r="B2133" s="75">
        <v>2130</v>
      </c>
      <c r="C2133">
        <v>146.03080979999999</v>
      </c>
      <c r="D2133">
        <v>-17.491829660000001</v>
      </c>
      <c r="F2133" s="75" t="str">
        <f>HYPERLINK("E:\Data From Lucan\2024\Johnstone\Frames_for_Analysis\2130_20240610_0003_L_2845.jpg","2130_20240610_0003_L_2845.jpg")</f>
        <v>2130_20240610_0003_L_2845.jpg</v>
      </c>
      <c r="G2133" s="75">
        <v>6</v>
      </c>
      <c r="I2133">
        <f t="shared" si="33"/>
        <v>0</v>
      </c>
      <c r="J2133" s="75">
        <v>0</v>
      </c>
      <c r="K2133" s="77"/>
      <c r="L2133" s="77"/>
      <c r="M2133" s="77"/>
      <c r="N2133" s="77"/>
      <c r="O2133" s="75">
        <v>1</v>
      </c>
      <c r="P2133" s="75">
        <v>0</v>
      </c>
      <c r="Q2133" s="75">
        <v>0</v>
      </c>
      <c r="R2133" s="75">
        <v>0</v>
      </c>
      <c r="S2133" s="75">
        <v>0</v>
      </c>
      <c r="T2133" s="75">
        <v>0</v>
      </c>
      <c r="U2133" s="75">
        <v>0</v>
      </c>
      <c r="V2133" s="75">
        <v>1</v>
      </c>
      <c r="W2133" s="78">
        <v>0</v>
      </c>
    </row>
    <row r="2134" spans="1:23" s="75" customFormat="1" hidden="1" x14ac:dyDescent="0.35">
      <c r="A2134" s="75">
        <v>2130</v>
      </c>
      <c r="B2134" s="75">
        <v>2131</v>
      </c>
      <c r="C2134">
        <v>146.03076379999999</v>
      </c>
      <c r="D2134">
        <v>-17.491747350000001</v>
      </c>
      <c r="F2134" s="75" t="str">
        <f>HYPERLINK("E:\Data From Lucan\2024\Johnstone\Frames_for_Analysis\2131_20240610_0003_L_2848.jpg","2131_20240610_0003_L_2848.jpg")</f>
        <v>2131_20240610_0003_L_2848.jpg</v>
      </c>
      <c r="G2134" s="75">
        <v>6</v>
      </c>
      <c r="I2134">
        <f t="shared" si="33"/>
        <v>0</v>
      </c>
      <c r="J2134" s="75">
        <v>0</v>
      </c>
      <c r="K2134" s="77"/>
      <c r="L2134" s="77"/>
      <c r="M2134" s="77"/>
      <c r="N2134" s="77"/>
      <c r="O2134" s="75">
        <v>1</v>
      </c>
      <c r="P2134" s="75">
        <v>0</v>
      </c>
      <c r="Q2134" s="75">
        <v>0</v>
      </c>
      <c r="R2134" s="75">
        <v>0</v>
      </c>
      <c r="S2134" s="75">
        <v>0</v>
      </c>
      <c r="T2134" s="75">
        <v>0</v>
      </c>
      <c r="U2134" s="75">
        <v>0</v>
      </c>
      <c r="V2134" s="75">
        <v>1</v>
      </c>
      <c r="W2134" s="78">
        <v>0</v>
      </c>
    </row>
    <row r="2135" spans="1:23" s="75" customFormat="1" hidden="1" x14ac:dyDescent="0.35">
      <c r="A2135" s="75">
        <v>2131</v>
      </c>
      <c r="B2135" s="75">
        <v>2132</v>
      </c>
      <c r="C2135">
        <v>146.03071750000001</v>
      </c>
      <c r="D2135">
        <v>-17.491665179999998</v>
      </c>
      <c r="F2135" s="75" t="str">
        <f>HYPERLINK("E:\Data From Lucan\2024\Johnstone\Frames_for_Analysis\2132_20240610_0003_L_2851.jpg","2132_20240610_0003_L_2851.jpg")</f>
        <v>2132_20240610_0003_L_2851.jpg</v>
      </c>
      <c r="G2135" s="75">
        <v>6</v>
      </c>
      <c r="I2135">
        <f t="shared" si="33"/>
        <v>0</v>
      </c>
      <c r="J2135" s="75">
        <v>0</v>
      </c>
      <c r="K2135" s="77"/>
      <c r="L2135" s="77"/>
      <c r="M2135" s="77"/>
      <c r="N2135" s="77"/>
      <c r="O2135" s="75">
        <v>1</v>
      </c>
      <c r="P2135" s="75">
        <v>0</v>
      </c>
      <c r="Q2135" s="75">
        <v>0</v>
      </c>
      <c r="R2135" s="75">
        <v>0</v>
      </c>
      <c r="S2135" s="75">
        <v>0</v>
      </c>
      <c r="T2135" s="75">
        <v>0</v>
      </c>
      <c r="U2135" s="75">
        <v>0</v>
      </c>
      <c r="V2135" s="75">
        <v>1</v>
      </c>
      <c r="W2135" s="78">
        <v>0</v>
      </c>
    </row>
    <row r="2136" spans="1:23" s="75" customFormat="1" hidden="1" x14ac:dyDescent="0.35">
      <c r="A2136" s="75">
        <v>2132</v>
      </c>
      <c r="B2136" s="75">
        <v>2133</v>
      </c>
      <c r="C2136">
        <v>146.03067129999999</v>
      </c>
      <c r="D2136">
        <v>-17.491582999999999</v>
      </c>
      <c r="F2136" s="75" t="str">
        <f>HYPERLINK("E:\Data From Lucan\2024\Johnstone\Frames_for_Analysis\2133_20240610_0003_L_2854.jpg","2133_20240610_0003_L_2854.jpg")</f>
        <v>2133_20240610_0003_L_2854.jpg</v>
      </c>
      <c r="G2136" s="75">
        <v>6</v>
      </c>
      <c r="I2136">
        <f t="shared" si="33"/>
        <v>0</v>
      </c>
      <c r="J2136" s="75">
        <v>0</v>
      </c>
      <c r="K2136" s="77"/>
      <c r="L2136" s="77"/>
      <c r="M2136" s="77"/>
      <c r="N2136" s="77"/>
      <c r="O2136" s="75">
        <v>1</v>
      </c>
      <c r="P2136" s="75">
        <v>0</v>
      </c>
      <c r="Q2136" s="75">
        <v>0</v>
      </c>
      <c r="R2136" s="75">
        <v>0</v>
      </c>
      <c r="S2136" s="75">
        <v>0</v>
      </c>
      <c r="T2136" s="75">
        <v>0</v>
      </c>
      <c r="U2136" s="75">
        <v>0</v>
      </c>
      <c r="V2136" s="75">
        <v>1</v>
      </c>
      <c r="W2136" s="78">
        <v>0</v>
      </c>
    </row>
    <row r="2137" spans="1:23" s="75" customFormat="1" hidden="1" x14ac:dyDescent="0.35">
      <c r="A2137" s="75">
        <v>2133</v>
      </c>
      <c r="B2137" s="75">
        <v>2134</v>
      </c>
      <c r="C2137">
        <v>146.03062499999999</v>
      </c>
      <c r="D2137">
        <v>-17.49150083</v>
      </c>
      <c r="F2137" s="75" t="str">
        <f>HYPERLINK("E:\Data From Lucan\2024\Johnstone\Frames_for_Analysis\2134_20240610_0003_L_2857.jpg","2134_20240610_0003_L_2857.jpg")</f>
        <v>2134_20240610_0003_L_2857.jpg</v>
      </c>
      <c r="G2137" s="75">
        <v>6</v>
      </c>
      <c r="I2137">
        <f t="shared" si="33"/>
        <v>1</v>
      </c>
      <c r="J2137" s="75">
        <v>1</v>
      </c>
      <c r="K2137" s="77"/>
      <c r="L2137" s="77"/>
      <c r="M2137" s="77"/>
      <c r="N2137" s="77"/>
      <c r="O2137" s="75">
        <v>1</v>
      </c>
      <c r="P2137" s="75">
        <v>0</v>
      </c>
      <c r="Q2137" s="75">
        <v>0</v>
      </c>
      <c r="R2137" s="75">
        <v>0</v>
      </c>
      <c r="S2137" s="75">
        <v>0</v>
      </c>
      <c r="T2137" s="75">
        <v>0</v>
      </c>
      <c r="U2137" s="75">
        <v>0</v>
      </c>
      <c r="V2137" s="75">
        <v>1</v>
      </c>
      <c r="W2137" s="78">
        <v>0</v>
      </c>
    </row>
    <row r="2138" spans="1:23" s="75" customFormat="1" hidden="1" x14ac:dyDescent="0.35">
      <c r="A2138" s="75">
        <v>2134</v>
      </c>
      <c r="B2138" s="75">
        <v>2135</v>
      </c>
      <c r="C2138">
        <v>146.03057870000001</v>
      </c>
      <c r="D2138">
        <v>-17.491418660000001</v>
      </c>
      <c r="F2138" s="75" t="str">
        <f>HYPERLINK("E:\Data From Lucan\2024\Johnstone\Frames_for_Analysis\2135_20240610_0003_L_2860.jpg","2135_20240610_0003_L_2860.jpg")</f>
        <v>2135_20240610_0003_L_2860.jpg</v>
      </c>
      <c r="G2138" s="75">
        <v>6</v>
      </c>
      <c r="I2138">
        <f t="shared" si="33"/>
        <v>1</v>
      </c>
      <c r="J2138" s="75">
        <v>1</v>
      </c>
      <c r="K2138" s="77"/>
      <c r="L2138" s="77"/>
      <c r="M2138" s="77"/>
      <c r="N2138" s="77"/>
      <c r="O2138" s="75">
        <v>1</v>
      </c>
      <c r="P2138" s="75">
        <v>0</v>
      </c>
      <c r="Q2138" s="75">
        <v>0</v>
      </c>
      <c r="R2138" s="75">
        <v>0</v>
      </c>
      <c r="S2138" s="75">
        <v>0</v>
      </c>
      <c r="T2138" s="75">
        <v>0</v>
      </c>
      <c r="U2138" s="75">
        <v>0</v>
      </c>
      <c r="V2138" s="75">
        <v>1</v>
      </c>
      <c r="W2138" s="78">
        <v>0</v>
      </c>
    </row>
    <row r="2139" spans="1:23" s="75" customFormat="1" hidden="1" x14ac:dyDescent="0.35">
      <c r="A2139" s="75">
        <v>2135</v>
      </c>
      <c r="B2139" s="75">
        <v>2136</v>
      </c>
      <c r="C2139">
        <v>146.03053249999999</v>
      </c>
      <c r="D2139">
        <v>-17.491336480000001</v>
      </c>
      <c r="F2139" s="75" t="str">
        <f>HYPERLINK("E:\Data From Lucan\2024\Johnstone\Frames_for_Analysis\2136_20240610_0003_L_2864.jpg","2136_20240610_0003_L_2864.jpg")</f>
        <v>2136_20240610_0003_L_2864.jpg</v>
      </c>
      <c r="G2139" s="75">
        <v>6</v>
      </c>
      <c r="I2139">
        <f t="shared" si="33"/>
        <v>0</v>
      </c>
      <c r="J2139" s="75">
        <v>0</v>
      </c>
      <c r="K2139" s="77"/>
      <c r="L2139" s="77"/>
      <c r="M2139" s="77"/>
      <c r="N2139" s="77"/>
      <c r="O2139" s="75">
        <v>1</v>
      </c>
      <c r="P2139" s="75">
        <v>0</v>
      </c>
      <c r="Q2139" s="75">
        <v>0</v>
      </c>
      <c r="R2139" s="75">
        <v>0</v>
      </c>
      <c r="S2139" s="75">
        <v>0</v>
      </c>
      <c r="T2139" s="75">
        <v>0</v>
      </c>
      <c r="U2139" s="75">
        <v>0</v>
      </c>
      <c r="V2139" s="75">
        <v>1</v>
      </c>
      <c r="W2139" s="78">
        <v>0</v>
      </c>
    </row>
    <row r="2140" spans="1:23" s="75" customFormat="1" hidden="1" x14ac:dyDescent="0.35">
      <c r="A2140" s="75">
        <v>2136</v>
      </c>
      <c r="B2140" s="75">
        <v>2137</v>
      </c>
      <c r="C2140">
        <v>146.03048620000001</v>
      </c>
      <c r="D2140">
        <v>-17.491254309999999</v>
      </c>
      <c r="F2140" s="75" t="str">
        <f>HYPERLINK("E:\Data From Lucan\2024\Johnstone\Frames_for_Analysis\2137_20240610_0003_L_2866.jpg","2137_20240610_0003_L_2866.jpg")</f>
        <v>2137_20240610_0003_L_2866.jpg</v>
      </c>
      <c r="G2140" s="75">
        <v>6</v>
      </c>
      <c r="I2140">
        <f t="shared" si="33"/>
        <v>0</v>
      </c>
      <c r="J2140" s="75">
        <v>0</v>
      </c>
      <c r="K2140" s="77"/>
      <c r="L2140" s="77"/>
      <c r="M2140" s="77"/>
      <c r="N2140" s="77"/>
      <c r="O2140" s="75">
        <v>1</v>
      </c>
      <c r="P2140" s="75">
        <v>0</v>
      </c>
      <c r="Q2140" s="75">
        <v>0</v>
      </c>
      <c r="R2140" s="75">
        <v>0</v>
      </c>
      <c r="S2140" s="75">
        <v>0</v>
      </c>
      <c r="T2140" s="75">
        <v>0</v>
      </c>
      <c r="U2140" s="75">
        <v>0</v>
      </c>
      <c r="V2140" s="75">
        <v>1</v>
      </c>
      <c r="W2140" s="78">
        <v>0</v>
      </c>
    </row>
    <row r="2141" spans="1:23" s="75" customFormat="1" hidden="1" x14ac:dyDescent="0.35">
      <c r="A2141" s="75">
        <v>2137</v>
      </c>
      <c r="B2141" s="75">
        <v>2138</v>
      </c>
      <c r="C2141">
        <v>146.0304399</v>
      </c>
      <c r="D2141">
        <v>-17.491172129999999</v>
      </c>
      <c r="F2141" s="75" t="str">
        <f>HYPERLINK("E:\Data From Lucan\2024\Johnstone\Frames_for_Analysis\2138_20240610_0003_L_2869.jpg","2138_20240610_0003_L_2869.jpg")</f>
        <v>2138_20240610_0003_L_2869.jpg</v>
      </c>
      <c r="G2141" s="75">
        <v>6</v>
      </c>
      <c r="I2141">
        <f t="shared" si="33"/>
        <v>0</v>
      </c>
      <c r="J2141" s="75">
        <v>0</v>
      </c>
      <c r="K2141" s="77"/>
      <c r="L2141" s="77"/>
      <c r="M2141" s="77"/>
      <c r="N2141" s="77"/>
      <c r="O2141" s="75">
        <v>1</v>
      </c>
      <c r="P2141" s="75">
        <v>0</v>
      </c>
      <c r="Q2141" s="75">
        <v>0</v>
      </c>
      <c r="R2141" s="75">
        <v>0</v>
      </c>
      <c r="S2141" s="75">
        <v>0</v>
      </c>
      <c r="T2141" s="75">
        <v>0</v>
      </c>
      <c r="U2141" s="75">
        <v>0</v>
      </c>
      <c r="V2141" s="75">
        <v>1</v>
      </c>
      <c r="W2141" s="78">
        <v>0</v>
      </c>
    </row>
    <row r="2142" spans="1:23" s="75" customFormat="1" hidden="1" x14ac:dyDescent="0.35">
      <c r="A2142" s="75">
        <v>2138</v>
      </c>
      <c r="B2142" s="75">
        <v>2139</v>
      </c>
      <c r="C2142">
        <v>146.030396</v>
      </c>
      <c r="D2142">
        <v>-17.491088739999999</v>
      </c>
      <c r="F2142" s="75" t="str">
        <f>HYPERLINK("E:\Data From Lucan\2024\Johnstone\Frames_for_Analysis\2139_20240610_0003_L_2872.jpg","2139_20240610_0003_L_2872.jpg")</f>
        <v>2139_20240610_0003_L_2872.jpg</v>
      </c>
      <c r="G2142" s="75">
        <v>6</v>
      </c>
      <c r="I2142">
        <f t="shared" si="33"/>
        <v>0</v>
      </c>
      <c r="J2142" s="75">
        <v>0</v>
      </c>
      <c r="K2142" s="77"/>
      <c r="L2142" s="77"/>
      <c r="M2142" s="77"/>
      <c r="N2142" s="77"/>
      <c r="O2142" s="75">
        <v>1</v>
      </c>
      <c r="P2142" s="75">
        <v>0</v>
      </c>
      <c r="Q2142" s="75">
        <v>0</v>
      </c>
      <c r="R2142" s="75">
        <v>0</v>
      </c>
      <c r="S2142" s="75">
        <v>0</v>
      </c>
      <c r="T2142" s="75">
        <v>0</v>
      </c>
      <c r="U2142" s="75">
        <v>0</v>
      </c>
      <c r="V2142" s="75">
        <v>1</v>
      </c>
      <c r="W2142" s="78">
        <v>0</v>
      </c>
    </row>
    <row r="2143" spans="1:23" s="75" customFormat="1" hidden="1" x14ac:dyDescent="0.35">
      <c r="A2143" s="75">
        <v>2139</v>
      </c>
      <c r="B2143" s="75">
        <v>2140</v>
      </c>
      <c r="C2143">
        <v>146.03035600000001</v>
      </c>
      <c r="D2143">
        <v>-17.491003339999999</v>
      </c>
      <c r="F2143" s="75" t="str">
        <f>HYPERLINK("E:\Data From Lucan\2024\Johnstone\Frames_for_Analysis\2140_20240610_0003_L_2875.jpg","2140_20240610_0003_L_2875.jpg")</f>
        <v>2140_20240610_0003_L_2875.jpg</v>
      </c>
      <c r="G2143" s="75">
        <v>6</v>
      </c>
      <c r="I2143">
        <f t="shared" si="33"/>
        <v>0</v>
      </c>
      <c r="J2143" s="75">
        <v>0</v>
      </c>
      <c r="K2143" s="77"/>
      <c r="L2143" s="77"/>
      <c r="M2143" s="77"/>
      <c r="N2143" s="77"/>
      <c r="O2143" s="75">
        <v>1</v>
      </c>
      <c r="P2143" s="75">
        <v>0</v>
      </c>
      <c r="Q2143" s="75">
        <v>0</v>
      </c>
      <c r="R2143" s="75">
        <v>0</v>
      </c>
      <c r="S2143" s="75">
        <v>0</v>
      </c>
      <c r="T2143" s="75">
        <v>0</v>
      </c>
      <c r="U2143" s="75">
        <v>0</v>
      </c>
      <c r="V2143" s="75">
        <v>1</v>
      </c>
      <c r="W2143" s="78">
        <v>0</v>
      </c>
    </row>
    <row r="2144" spans="1:23" s="75" customFormat="1" hidden="1" x14ac:dyDescent="0.35">
      <c r="A2144" s="75">
        <v>2140</v>
      </c>
      <c r="B2144" s="75">
        <v>2141</v>
      </c>
      <c r="C2144">
        <v>146.030316</v>
      </c>
      <c r="D2144">
        <v>-17.490917939999999</v>
      </c>
      <c r="F2144" s="75" t="str">
        <f>HYPERLINK("E:\Data From Lucan\2024\Johnstone\Frames_for_Analysis\2141_20240610_0003_L_2878.jpg","2141_20240610_0003_L_2878.jpg")</f>
        <v>2141_20240610_0003_L_2878.jpg</v>
      </c>
      <c r="G2144" s="75">
        <v>6</v>
      </c>
      <c r="I2144">
        <f t="shared" si="33"/>
        <v>0</v>
      </c>
      <c r="J2144" s="75">
        <v>0</v>
      </c>
      <c r="K2144" s="77"/>
      <c r="L2144" s="77"/>
      <c r="M2144" s="77"/>
      <c r="N2144" s="77"/>
      <c r="O2144" s="75">
        <v>1</v>
      </c>
      <c r="P2144" s="75">
        <v>0</v>
      </c>
      <c r="Q2144" s="75">
        <v>0</v>
      </c>
      <c r="R2144" s="75">
        <v>0</v>
      </c>
      <c r="S2144" s="75">
        <v>0</v>
      </c>
      <c r="T2144" s="75">
        <v>0</v>
      </c>
      <c r="U2144" s="75">
        <v>0</v>
      </c>
      <c r="V2144" s="75">
        <v>1</v>
      </c>
      <c r="W2144" s="78">
        <v>0</v>
      </c>
    </row>
    <row r="2145" spans="1:23" s="75" customFormat="1" hidden="1" x14ac:dyDescent="0.35">
      <c r="A2145" s="75">
        <v>2141</v>
      </c>
      <c r="B2145" s="75">
        <v>2142</v>
      </c>
      <c r="C2145">
        <v>146.03027599999999</v>
      </c>
      <c r="D2145">
        <v>-17.49083254</v>
      </c>
      <c r="F2145" s="75" t="str">
        <f>HYPERLINK("E:\Data From Lucan\2024\Johnstone\Frames_for_Analysis\2142_20240610_0003_L_2881.jpg","2142_20240610_0003_L_2881.jpg")</f>
        <v>2142_20240610_0003_L_2881.jpg</v>
      </c>
      <c r="G2145" s="75">
        <v>6</v>
      </c>
      <c r="I2145">
        <f t="shared" si="33"/>
        <v>0</v>
      </c>
      <c r="J2145" s="75">
        <v>0</v>
      </c>
      <c r="K2145" s="77"/>
      <c r="L2145" s="77"/>
      <c r="M2145" s="77"/>
      <c r="N2145" s="77"/>
      <c r="O2145" s="75">
        <v>1</v>
      </c>
      <c r="P2145" s="75">
        <v>0</v>
      </c>
      <c r="Q2145" s="75">
        <v>0</v>
      </c>
      <c r="R2145" s="75">
        <v>0</v>
      </c>
      <c r="S2145" s="75">
        <v>0</v>
      </c>
      <c r="T2145" s="75">
        <v>0</v>
      </c>
      <c r="U2145" s="75">
        <v>0</v>
      </c>
      <c r="V2145" s="75">
        <v>1</v>
      </c>
      <c r="W2145" s="78">
        <v>0</v>
      </c>
    </row>
    <row r="2146" spans="1:23" s="75" customFormat="1" hidden="1" x14ac:dyDescent="0.35">
      <c r="A2146" s="75">
        <v>2142</v>
      </c>
      <c r="B2146" s="75">
        <v>2143</v>
      </c>
      <c r="C2146">
        <v>146.0302361</v>
      </c>
      <c r="D2146">
        <v>-17.490747129999999</v>
      </c>
      <c r="F2146" s="75" t="str">
        <f>HYPERLINK("E:\Data From Lucan\2024\Johnstone\Frames_for_Analysis\2143_20240610_0003_L_2884.jpg","2143_20240610_0003_L_2884.jpg")</f>
        <v>2143_20240610_0003_L_2884.jpg</v>
      </c>
      <c r="G2146" s="75">
        <v>6</v>
      </c>
      <c r="I2146">
        <f t="shared" si="33"/>
        <v>0</v>
      </c>
      <c r="J2146" s="75">
        <v>0</v>
      </c>
      <c r="K2146" s="77"/>
      <c r="L2146" s="77"/>
      <c r="M2146" s="77"/>
      <c r="N2146" s="77"/>
      <c r="O2146" s="75">
        <v>1</v>
      </c>
      <c r="P2146" s="75">
        <v>0</v>
      </c>
      <c r="Q2146" s="75">
        <v>0</v>
      </c>
      <c r="R2146" s="75">
        <v>0</v>
      </c>
      <c r="S2146" s="75">
        <v>0</v>
      </c>
      <c r="T2146" s="75">
        <v>0</v>
      </c>
      <c r="U2146" s="75">
        <v>0</v>
      </c>
      <c r="V2146" s="75">
        <v>1</v>
      </c>
      <c r="W2146" s="78">
        <v>0</v>
      </c>
    </row>
    <row r="2147" spans="1:23" s="75" customFormat="1" hidden="1" x14ac:dyDescent="0.35">
      <c r="A2147" s="75">
        <v>2143</v>
      </c>
      <c r="B2147" s="75">
        <v>2144</v>
      </c>
      <c r="C2147">
        <v>146.03019610000001</v>
      </c>
      <c r="D2147">
        <v>-17.490661729999999</v>
      </c>
      <c r="F2147" s="75" t="str">
        <f>HYPERLINK("E:\Data From Lucan\2024\Johnstone\Frames_for_Analysis\2144_20240610_0003_L_2887.jpg","2144_20240610_0003_L_2887.jpg")</f>
        <v>2144_20240610_0003_L_2887.jpg</v>
      </c>
      <c r="G2147" s="75">
        <v>6</v>
      </c>
      <c r="I2147">
        <f t="shared" si="33"/>
        <v>0</v>
      </c>
      <c r="J2147" s="75">
        <v>0</v>
      </c>
      <c r="K2147" s="77"/>
      <c r="L2147" s="77"/>
      <c r="M2147" s="77"/>
      <c r="N2147" s="77"/>
      <c r="O2147" s="75">
        <v>1</v>
      </c>
      <c r="P2147" s="75">
        <v>0</v>
      </c>
      <c r="Q2147" s="75">
        <v>0</v>
      </c>
      <c r="R2147" s="75">
        <v>0</v>
      </c>
      <c r="S2147" s="75">
        <v>0</v>
      </c>
      <c r="T2147" s="75">
        <v>0</v>
      </c>
      <c r="U2147" s="75">
        <v>0</v>
      </c>
      <c r="V2147" s="75">
        <v>1</v>
      </c>
      <c r="W2147" s="78">
        <v>0</v>
      </c>
    </row>
    <row r="2148" spans="1:23" s="75" customFormat="1" hidden="1" x14ac:dyDescent="0.35">
      <c r="A2148" s="75">
        <v>2144</v>
      </c>
      <c r="B2148" s="75">
        <v>2145</v>
      </c>
      <c r="C2148">
        <v>146.0301561</v>
      </c>
      <c r="D2148">
        <v>-17.49057633</v>
      </c>
      <c r="F2148" s="75" t="str">
        <f>HYPERLINK("E:\Data From Lucan\2024\Johnstone\Frames_for_Analysis\2145_20240610_0003_L_2890.jpg","2145_20240610_0003_L_2890.jpg")</f>
        <v>2145_20240610_0003_L_2890.jpg</v>
      </c>
      <c r="G2148" s="75">
        <v>6</v>
      </c>
      <c r="I2148">
        <f t="shared" si="33"/>
        <v>0</v>
      </c>
      <c r="J2148" s="75">
        <v>0</v>
      </c>
      <c r="K2148" s="77"/>
      <c r="L2148" s="77"/>
      <c r="M2148" s="77"/>
      <c r="N2148" s="77"/>
      <c r="O2148" s="75">
        <v>1</v>
      </c>
      <c r="P2148" s="75">
        <v>0</v>
      </c>
      <c r="Q2148" s="75">
        <v>0</v>
      </c>
      <c r="R2148" s="75">
        <v>0</v>
      </c>
      <c r="S2148" s="75">
        <v>0</v>
      </c>
      <c r="T2148" s="75">
        <v>0</v>
      </c>
      <c r="U2148" s="75">
        <v>0</v>
      </c>
      <c r="V2148" s="75">
        <v>1</v>
      </c>
      <c r="W2148" s="78">
        <v>0</v>
      </c>
    </row>
    <row r="2149" spans="1:23" s="75" customFormat="1" hidden="1" x14ac:dyDescent="0.35">
      <c r="A2149" s="75">
        <v>2145</v>
      </c>
      <c r="B2149" s="75">
        <v>2146</v>
      </c>
      <c r="C2149">
        <v>146.03011609999999</v>
      </c>
      <c r="D2149">
        <v>-17.49049093</v>
      </c>
      <c r="F2149" s="75" t="str">
        <f>HYPERLINK("E:\Data From Lucan\2024\Johnstone\Frames_for_Analysis\2146_20240610_0003_L_2893.jpg","2146_20240610_0003_L_2893.jpg")</f>
        <v>2146_20240610_0003_L_2893.jpg</v>
      </c>
      <c r="G2149" s="75">
        <v>6</v>
      </c>
      <c r="I2149">
        <f t="shared" si="33"/>
        <v>0</v>
      </c>
      <c r="J2149" s="75">
        <v>0</v>
      </c>
      <c r="K2149" s="77"/>
      <c r="L2149" s="77"/>
      <c r="M2149" s="77"/>
      <c r="N2149" s="77"/>
      <c r="O2149" s="75">
        <v>1</v>
      </c>
      <c r="P2149" s="75">
        <v>0</v>
      </c>
      <c r="Q2149" s="75">
        <v>0</v>
      </c>
      <c r="R2149" s="75">
        <v>0</v>
      </c>
      <c r="S2149" s="75">
        <v>0</v>
      </c>
      <c r="T2149" s="75">
        <v>0</v>
      </c>
      <c r="U2149" s="75">
        <v>0</v>
      </c>
      <c r="V2149" s="75">
        <v>1</v>
      </c>
      <c r="W2149" s="78">
        <v>0</v>
      </c>
    </row>
    <row r="2150" spans="1:23" s="75" customFormat="1" hidden="1" x14ac:dyDescent="0.35">
      <c r="A2150" s="75">
        <v>2146</v>
      </c>
      <c r="B2150" s="75">
        <v>2147</v>
      </c>
      <c r="C2150">
        <v>146.0300761</v>
      </c>
      <c r="D2150">
        <v>-17.49040553</v>
      </c>
      <c r="F2150" s="75" t="str">
        <f>HYPERLINK("E:\Data From Lucan\2024\Johnstone\Frames_for_Analysis\2147_20240610_0003_L_2897.jpg","2147_20240610_0003_L_2897.jpg")</f>
        <v>2147_20240610_0003_L_2897.jpg</v>
      </c>
      <c r="G2150" s="75">
        <v>6</v>
      </c>
      <c r="I2150">
        <f t="shared" si="33"/>
        <v>0</v>
      </c>
      <c r="J2150" s="75">
        <v>0</v>
      </c>
      <c r="K2150" s="77"/>
      <c r="L2150" s="77"/>
      <c r="M2150" s="77"/>
      <c r="N2150" s="77"/>
      <c r="O2150" s="75">
        <v>1</v>
      </c>
      <c r="P2150" s="75">
        <v>0</v>
      </c>
      <c r="Q2150" s="75">
        <v>0</v>
      </c>
      <c r="R2150" s="75">
        <v>0</v>
      </c>
      <c r="S2150" s="75">
        <v>0</v>
      </c>
      <c r="T2150" s="75">
        <v>0</v>
      </c>
      <c r="U2150" s="75">
        <v>0</v>
      </c>
      <c r="V2150" s="75">
        <v>1</v>
      </c>
      <c r="W2150" s="78">
        <v>0</v>
      </c>
    </row>
    <row r="2151" spans="1:23" s="75" customFormat="1" hidden="1" x14ac:dyDescent="0.35">
      <c r="A2151" s="75">
        <v>2147</v>
      </c>
      <c r="B2151" s="75">
        <v>2148</v>
      </c>
      <c r="C2151">
        <v>146.03003609999999</v>
      </c>
      <c r="D2151">
        <v>-17.490320130000001</v>
      </c>
      <c r="F2151" s="75" t="str">
        <f>HYPERLINK("E:\Data From Lucan\2024\Johnstone\Frames_for_Analysis\2148_20240610_0003_L_2900.jpg","2148_20240610_0003_L_2900.jpg")</f>
        <v>2148_20240610_0003_L_2900.jpg</v>
      </c>
      <c r="G2151" s="75">
        <v>6</v>
      </c>
      <c r="I2151">
        <f t="shared" si="33"/>
        <v>0</v>
      </c>
      <c r="J2151" s="75">
        <v>0</v>
      </c>
      <c r="K2151" s="77"/>
      <c r="L2151" s="77"/>
      <c r="M2151" s="77"/>
      <c r="N2151" s="77"/>
      <c r="O2151" s="75">
        <v>1</v>
      </c>
      <c r="P2151" s="75">
        <v>0</v>
      </c>
      <c r="Q2151" s="75">
        <v>0</v>
      </c>
      <c r="R2151" s="75">
        <v>0</v>
      </c>
      <c r="S2151" s="75">
        <v>0</v>
      </c>
      <c r="T2151" s="75">
        <v>0</v>
      </c>
      <c r="U2151" s="75">
        <v>0</v>
      </c>
      <c r="V2151" s="75">
        <v>1</v>
      </c>
      <c r="W2151" s="78">
        <v>0</v>
      </c>
    </row>
    <row r="2152" spans="1:23" s="75" customFormat="1" hidden="1" x14ac:dyDescent="0.35">
      <c r="A2152" s="75">
        <v>2148</v>
      </c>
      <c r="B2152" s="75">
        <v>2149</v>
      </c>
      <c r="C2152">
        <v>146.02999610000001</v>
      </c>
      <c r="D2152">
        <v>-17.490234730000001</v>
      </c>
      <c r="F2152" s="75" t="str">
        <f>HYPERLINK("E:\Data From Lucan\2024\Johnstone\Frames_for_Analysis\2149_20240610_0003_L_2903.jpg","2149_20240610_0003_L_2903.jpg")</f>
        <v>2149_20240610_0003_L_2903.jpg</v>
      </c>
      <c r="G2152" s="75">
        <v>6</v>
      </c>
      <c r="I2152">
        <f t="shared" si="33"/>
        <v>0</v>
      </c>
      <c r="J2152" s="75">
        <v>0</v>
      </c>
      <c r="K2152" s="77"/>
      <c r="L2152" s="77"/>
      <c r="M2152" s="77"/>
      <c r="N2152" s="77"/>
      <c r="O2152" s="75">
        <v>1</v>
      </c>
      <c r="P2152" s="75">
        <v>0</v>
      </c>
      <c r="Q2152" s="75">
        <v>0</v>
      </c>
      <c r="R2152" s="75">
        <v>0</v>
      </c>
      <c r="S2152" s="75">
        <v>0</v>
      </c>
      <c r="T2152" s="75">
        <v>0</v>
      </c>
      <c r="U2152" s="75">
        <v>0</v>
      </c>
      <c r="V2152" s="75">
        <v>1</v>
      </c>
      <c r="W2152" s="78">
        <v>0</v>
      </c>
    </row>
    <row r="2153" spans="1:23" s="75" customFormat="1" hidden="1" x14ac:dyDescent="0.35">
      <c r="A2153" s="75">
        <v>2149</v>
      </c>
      <c r="B2153" s="75">
        <v>2150</v>
      </c>
      <c r="C2153">
        <v>146.02995659999999</v>
      </c>
      <c r="D2153">
        <v>-17.490149110000001</v>
      </c>
      <c r="F2153" s="75" t="str">
        <f>HYPERLINK("E:\Data From Lucan\2024\Johnstone\Frames_for_Analysis\2150_20240610_0003_L_2906.jpg","2150_20240610_0003_L_2906.jpg")</f>
        <v>2150_20240610_0003_L_2906.jpg</v>
      </c>
      <c r="G2153" s="75">
        <v>6</v>
      </c>
      <c r="I2153">
        <f t="shared" si="33"/>
        <v>0</v>
      </c>
      <c r="J2153" s="75">
        <v>0</v>
      </c>
      <c r="K2153" s="77"/>
      <c r="L2153" s="77"/>
      <c r="M2153" s="77"/>
      <c r="N2153" s="77"/>
      <c r="O2153" s="75">
        <v>1</v>
      </c>
      <c r="P2153" s="75">
        <v>0</v>
      </c>
      <c r="Q2153" s="75">
        <v>0</v>
      </c>
      <c r="R2153" s="75">
        <v>0</v>
      </c>
      <c r="S2153" s="75">
        <v>0</v>
      </c>
      <c r="T2153" s="75">
        <v>0</v>
      </c>
      <c r="U2153" s="75">
        <v>0</v>
      </c>
      <c r="V2153" s="75">
        <v>1</v>
      </c>
      <c r="W2153" s="78">
        <v>0</v>
      </c>
    </row>
    <row r="2154" spans="1:23" s="75" customFormat="1" hidden="1" x14ac:dyDescent="0.35">
      <c r="A2154" s="75">
        <v>2150</v>
      </c>
      <c r="B2154" s="75">
        <v>2151</v>
      </c>
      <c r="C2154">
        <v>146.02992209999999</v>
      </c>
      <c r="D2154">
        <v>-17.490061319999999</v>
      </c>
      <c r="F2154" s="75" t="str">
        <f>HYPERLINK("E:\Data From Lucan\2024\Johnstone\Frames_for_Analysis\2151_20240610_0003_L_2909.jpg","2151_20240610_0003_L_2909.jpg")</f>
        <v>2151_20240610_0003_L_2909.jpg</v>
      </c>
      <c r="G2154" s="75">
        <v>6</v>
      </c>
      <c r="I2154">
        <f t="shared" si="33"/>
        <v>0</v>
      </c>
      <c r="J2154" s="75">
        <v>0</v>
      </c>
      <c r="K2154" s="77"/>
      <c r="L2154" s="77"/>
      <c r="M2154" s="77"/>
      <c r="N2154" s="77"/>
      <c r="O2154" s="75">
        <v>1</v>
      </c>
      <c r="P2154" s="75">
        <v>0</v>
      </c>
      <c r="Q2154" s="75">
        <v>0</v>
      </c>
      <c r="R2154" s="75">
        <v>0</v>
      </c>
      <c r="S2154" s="75">
        <v>0</v>
      </c>
      <c r="T2154" s="75">
        <v>0</v>
      </c>
      <c r="U2154" s="75">
        <v>0</v>
      </c>
      <c r="V2154" s="75">
        <v>1</v>
      </c>
      <c r="W2154" s="78">
        <v>0</v>
      </c>
    </row>
    <row r="2155" spans="1:23" s="75" customFormat="1" hidden="1" x14ac:dyDescent="0.35">
      <c r="A2155" s="75">
        <v>2151</v>
      </c>
      <c r="B2155" s="75">
        <v>2152</v>
      </c>
      <c r="C2155">
        <v>146.02988769999999</v>
      </c>
      <c r="D2155">
        <v>-17.48997353</v>
      </c>
      <c r="F2155" s="75" t="str">
        <f>HYPERLINK("E:\Data From Lucan\2024\Johnstone\Frames_for_Analysis\2152_20240610_0003_L_2912.jpg","2152_20240610_0003_L_2912.jpg")</f>
        <v>2152_20240610_0003_L_2912.jpg</v>
      </c>
      <c r="G2155" s="75">
        <v>6</v>
      </c>
      <c r="I2155">
        <f t="shared" si="33"/>
        <v>0</v>
      </c>
      <c r="J2155" s="75">
        <v>0</v>
      </c>
      <c r="K2155" s="77"/>
      <c r="L2155" s="77"/>
      <c r="M2155" s="77"/>
      <c r="N2155" s="77"/>
      <c r="O2155" s="75">
        <v>1</v>
      </c>
      <c r="P2155" s="75">
        <v>0</v>
      </c>
      <c r="Q2155" s="75">
        <v>0</v>
      </c>
      <c r="R2155" s="75">
        <v>0</v>
      </c>
      <c r="S2155" s="75">
        <v>0</v>
      </c>
      <c r="T2155" s="75">
        <v>0</v>
      </c>
      <c r="U2155" s="75">
        <v>0</v>
      </c>
      <c r="V2155" s="75">
        <v>1</v>
      </c>
      <c r="W2155" s="78">
        <v>0</v>
      </c>
    </row>
    <row r="2156" spans="1:23" s="75" customFormat="1" hidden="1" x14ac:dyDescent="0.35">
      <c r="A2156" s="75">
        <v>2152</v>
      </c>
      <c r="B2156" s="75">
        <v>2153</v>
      </c>
      <c r="C2156">
        <v>146.02985319999999</v>
      </c>
      <c r="D2156">
        <v>-17.489885739999998</v>
      </c>
      <c r="F2156" s="75" t="str">
        <f>HYPERLINK("E:\Data From Lucan\2024\Johnstone\Frames_for_Analysis\2153_20240610_0003_L_2915.jpg","2153_20240610_0003_L_2915.jpg")</f>
        <v>2153_20240610_0003_L_2915.jpg</v>
      </c>
      <c r="G2156" s="75">
        <v>6</v>
      </c>
      <c r="I2156">
        <f t="shared" si="33"/>
        <v>1</v>
      </c>
      <c r="J2156" s="75">
        <v>1</v>
      </c>
      <c r="K2156" s="77"/>
      <c r="L2156" s="77"/>
      <c r="M2156" s="77"/>
      <c r="N2156" s="77"/>
      <c r="O2156" s="75">
        <v>1</v>
      </c>
      <c r="P2156" s="75">
        <v>0</v>
      </c>
      <c r="Q2156" s="75">
        <v>0</v>
      </c>
      <c r="R2156" s="75">
        <v>0</v>
      </c>
      <c r="S2156" s="75">
        <v>0</v>
      </c>
      <c r="T2156" s="75">
        <v>0</v>
      </c>
      <c r="U2156" s="75">
        <v>0</v>
      </c>
      <c r="V2156" s="75">
        <v>1</v>
      </c>
      <c r="W2156" s="78">
        <v>0</v>
      </c>
    </row>
    <row r="2157" spans="1:23" s="75" customFormat="1" hidden="1" x14ac:dyDescent="0.35">
      <c r="A2157" s="75">
        <v>2153</v>
      </c>
      <c r="B2157" s="75">
        <v>2154</v>
      </c>
      <c r="C2157">
        <v>146.02981879999999</v>
      </c>
      <c r="D2157">
        <v>-17.489797960000001</v>
      </c>
      <c r="F2157" s="75" t="str">
        <f>HYPERLINK("E:\Data From Lucan\2024\Johnstone\Frames_for_Analysis\2154_20240610_0003_L_2918.jpg","2154_20240610_0003_L_2918.jpg")</f>
        <v>2154_20240610_0003_L_2918.jpg</v>
      </c>
      <c r="G2157" s="75">
        <v>6</v>
      </c>
      <c r="I2157">
        <f t="shared" si="33"/>
        <v>1</v>
      </c>
      <c r="J2157" s="75">
        <v>1</v>
      </c>
      <c r="K2157" s="77"/>
      <c r="L2157" s="77"/>
      <c r="M2157" s="77"/>
      <c r="N2157" s="77"/>
      <c r="O2157" s="75">
        <v>1</v>
      </c>
      <c r="P2157" s="75">
        <v>0</v>
      </c>
      <c r="Q2157" s="75">
        <v>0</v>
      </c>
      <c r="R2157" s="75">
        <v>0</v>
      </c>
      <c r="S2157" s="75">
        <v>0</v>
      </c>
      <c r="T2157" s="75">
        <v>0</v>
      </c>
      <c r="U2157" s="75">
        <v>0</v>
      </c>
      <c r="V2157" s="75">
        <v>1</v>
      </c>
      <c r="W2157" s="78">
        <v>0</v>
      </c>
    </row>
    <row r="2158" spans="1:23" s="75" customFormat="1" hidden="1" x14ac:dyDescent="0.35">
      <c r="A2158" s="75">
        <v>2154</v>
      </c>
      <c r="B2158" s="75">
        <v>2155</v>
      </c>
      <c r="C2158">
        <v>146.02978440000001</v>
      </c>
      <c r="D2158">
        <v>-17.489710169999999</v>
      </c>
      <c r="F2158" s="75" t="str">
        <f>HYPERLINK("E:\Data From Lucan\2024\Johnstone\Frames_for_Analysis\2155_20240610_0003_L_2920.jpg","2155_20240610_0003_L_2920.jpg")</f>
        <v>2155_20240610_0003_L_2920.jpg</v>
      </c>
      <c r="G2158" s="75">
        <v>6</v>
      </c>
      <c r="I2158">
        <f t="shared" si="33"/>
        <v>1</v>
      </c>
      <c r="J2158" s="75">
        <v>1</v>
      </c>
      <c r="K2158" s="77"/>
      <c r="L2158" s="77"/>
      <c r="M2158" s="77"/>
      <c r="N2158" s="77"/>
      <c r="O2158" s="75">
        <v>1</v>
      </c>
      <c r="P2158" s="75">
        <v>0</v>
      </c>
      <c r="Q2158" s="75">
        <v>0</v>
      </c>
      <c r="R2158" s="75">
        <v>0</v>
      </c>
      <c r="S2158" s="75">
        <v>0</v>
      </c>
      <c r="T2158" s="75">
        <v>0</v>
      </c>
      <c r="U2158" s="75">
        <v>0</v>
      </c>
      <c r="V2158" s="75">
        <v>1</v>
      </c>
      <c r="W2158" s="78">
        <v>0</v>
      </c>
    </row>
    <row r="2159" spans="1:23" s="75" customFormat="1" hidden="1" x14ac:dyDescent="0.35">
      <c r="A2159" s="75">
        <v>2155</v>
      </c>
      <c r="B2159" s="75">
        <v>2156</v>
      </c>
      <c r="C2159">
        <v>146.02974990000001</v>
      </c>
      <c r="D2159">
        <v>-17.48962238</v>
      </c>
      <c r="F2159" s="75" t="str">
        <f>HYPERLINK("E:\Data From Lucan\2024\Johnstone\Frames_for_Analysis\2156_20240610_0003_L_2923.jpg","2156_20240610_0003_L_2923.jpg")</f>
        <v>2156_20240610_0003_L_2923.jpg</v>
      </c>
      <c r="G2159" s="75">
        <v>6</v>
      </c>
      <c r="I2159">
        <f t="shared" si="33"/>
        <v>1</v>
      </c>
      <c r="J2159" s="75">
        <v>1</v>
      </c>
      <c r="K2159" s="77"/>
      <c r="L2159" s="77"/>
      <c r="M2159" s="77"/>
      <c r="N2159" s="77"/>
      <c r="O2159" s="75">
        <v>1</v>
      </c>
      <c r="P2159" s="75">
        <v>0</v>
      </c>
      <c r="Q2159" s="75">
        <v>0</v>
      </c>
      <c r="R2159" s="75">
        <v>0</v>
      </c>
      <c r="S2159" s="75">
        <v>0</v>
      </c>
      <c r="T2159" s="75">
        <v>0</v>
      </c>
      <c r="U2159" s="75">
        <v>0</v>
      </c>
      <c r="V2159" s="75">
        <v>1</v>
      </c>
      <c r="W2159" s="78">
        <v>0</v>
      </c>
    </row>
    <row r="2160" spans="1:23" s="75" customFormat="1" hidden="1" x14ac:dyDescent="0.35">
      <c r="A2160" s="75">
        <v>2156</v>
      </c>
      <c r="B2160" s="75">
        <v>2157</v>
      </c>
      <c r="C2160">
        <v>146.02971550000001</v>
      </c>
      <c r="D2160">
        <v>-17.489534590000002</v>
      </c>
      <c r="F2160" s="75" t="str">
        <f>HYPERLINK("E:\Data From Lucan\2024\Johnstone\Frames_for_Analysis\2157_20240610_0003_L_2926.jpg","2157_20240610_0003_L_2926.jpg")</f>
        <v>2157_20240610_0003_L_2926.jpg</v>
      </c>
      <c r="G2160" s="75">
        <v>6</v>
      </c>
      <c r="I2160">
        <f t="shared" si="33"/>
        <v>0</v>
      </c>
      <c r="J2160" s="75">
        <v>0</v>
      </c>
      <c r="K2160" s="77"/>
      <c r="L2160" s="77"/>
      <c r="M2160" s="77"/>
      <c r="N2160" s="77"/>
      <c r="O2160" s="75">
        <v>1</v>
      </c>
      <c r="P2160" s="75">
        <v>0</v>
      </c>
      <c r="Q2160" s="75">
        <v>0</v>
      </c>
      <c r="R2160" s="75">
        <v>0</v>
      </c>
      <c r="S2160" s="75">
        <v>0</v>
      </c>
      <c r="T2160" s="75">
        <v>0</v>
      </c>
      <c r="U2160" s="75">
        <v>0</v>
      </c>
      <c r="V2160" s="75">
        <v>1</v>
      </c>
      <c r="W2160" s="78">
        <v>0</v>
      </c>
    </row>
    <row r="2161" spans="1:23" s="75" customFormat="1" hidden="1" x14ac:dyDescent="0.35">
      <c r="A2161" s="75">
        <v>2157</v>
      </c>
      <c r="B2161" s="75">
        <v>2158</v>
      </c>
      <c r="C2161">
        <v>146.02968100000001</v>
      </c>
      <c r="D2161">
        <v>-17.4894468</v>
      </c>
      <c r="F2161" s="75" t="str">
        <f>HYPERLINK("E:\Data From Lucan\2024\Johnstone\Frames_for_Analysis\2158_20240610_0003_L_2929.jpg","2158_20240610_0003_L_2929.jpg")</f>
        <v>2158_20240610_0003_L_2929.jpg</v>
      </c>
      <c r="G2161" s="75">
        <v>6</v>
      </c>
      <c r="I2161">
        <f t="shared" si="33"/>
        <v>0</v>
      </c>
      <c r="J2161" s="75">
        <v>0</v>
      </c>
      <c r="K2161" s="77"/>
      <c r="L2161" s="77"/>
      <c r="M2161" s="77"/>
      <c r="N2161" s="77"/>
      <c r="O2161" s="75">
        <v>1</v>
      </c>
      <c r="P2161" s="75">
        <v>0</v>
      </c>
      <c r="Q2161" s="75">
        <v>0</v>
      </c>
      <c r="R2161" s="75">
        <v>0</v>
      </c>
      <c r="S2161" s="75">
        <v>0</v>
      </c>
      <c r="T2161" s="75">
        <v>0</v>
      </c>
      <c r="U2161" s="75">
        <v>0</v>
      </c>
      <c r="V2161" s="75">
        <v>1</v>
      </c>
      <c r="W2161" s="78">
        <v>0</v>
      </c>
    </row>
    <row r="2162" spans="1:23" s="75" customFormat="1" hidden="1" x14ac:dyDescent="0.35">
      <c r="A2162" s="75">
        <v>2158</v>
      </c>
      <c r="B2162" s="75">
        <v>2159</v>
      </c>
      <c r="C2162">
        <v>146.02965549999999</v>
      </c>
      <c r="D2162">
        <v>-17.489356140000002</v>
      </c>
      <c r="F2162" s="75" t="str">
        <f>HYPERLINK("E:\Data From Lucan\2024\Johnstone\Frames_for_Analysis\2159_20240610_0003_L_2932.jpg","2159_20240610_0003_L_2932.jpg")</f>
        <v>2159_20240610_0003_L_2932.jpg</v>
      </c>
      <c r="G2162" s="75">
        <v>6</v>
      </c>
      <c r="I2162">
        <f t="shared" si="33"/>
        <v>0</v>
      </c>
      <c r="J2162" s="75">
        <v>0</v>
      </c>
      <c r="K2162" s="77"/>
      <c r="L2162" s="77"/>
      <c r="M2162" s="77"/>
      <c r="N2162" s="77"/>
      <c r="O2162" s="75">
        <v>1</v>
      </c>
      <c r="P2162" s="75">
        <v>0</v>
      </c>
      <c r="Q2162" s="75">
        <v>0</v>
      </c>
      <c r="R2162" s="75">
        <v>0</v>
      </c>
      <c r="S2162" s="75">
        <v>0</v>
      </c>
      <c r="T2162" s="75">
        <v>0</v>
      </c>
      <c r="U2162" s="75">
        <v>0</v>
      </c>
      <c r="V2162" s="75">
        <v>1</v>
      </c>
      <c r="W2162" s="78">
        <v>0</v>
      </c>
    </row>
    <row r="2163" spans="1:23" s="75" customFormat="1" hidden="1" x14ac:dyDescent="0.35">
      <c r="A2163" s="75">
        <v>2159</v>
      </c>
      <c r="B2163" s="75">
        <v>2160</v>
      </c>
      <c r="C2163">
        <v>146.02963220000001</v>
      </c>
      <c r="D2163">
        <v>-17.489264760000001</v>
      </c>
      <c r="F2163" s="75" t="str">
        <f>HYPERLINK("E:\Data From Lucan\2024\Johnstone\Frames_for_Analysis\2160_20240610_0003_L_2935.jpg","2160_20240610_0003_L_2935.jpg")</f>
        <v>2160_20240610_0003_L_2935.jpg</v>
      </c>
      <c r="G2163" s="75">
        <v>6</v>
      </c>
      <c r="I2163">
        <f t="shared" si="33"/>
        <v>0</v>
      </c>
      <c r="J2163" s="75">
        <v>0</v>
      </c>
      <c r="K2163" s="77"/>
      <c r="L2163" s="77"/>
      <c r="M2163" s="77"/>
      <c r="N2163" s="77"/>
      <c r="O2163" s="75">
        <v>1</v>
      </c>
      <c r="P2163" s="75">
        <v>0</v>
      </c>
      <c r="Q2163" s="75">
        <v>0</v>
      </c>
      <c r="R2163" s="75">
        <v>0</v>
      </c>
      <c r="S2163" s="75">
        <v>0</v>
      </c>
      <c r="T2163" s="75">
        <v>0</v>
      </c>
      <c r="U2163" s="75">
        <v>0</v>
      </c>
      <c r="V2163" s="75">
        <v>1</v>
      </c>
      <c r="W2163" s="78">
        <v>0</v>
      </c>
    </row>
    <row r="2164" spans="1:23" s="75" customFormat="1" hidden="1" x14ac:dyDescent="0.35">
      <c r="A2164" s="75">
        <v>2160</v>
      </c>
      <c r="B2164" s="75">
        <v>2161</v>
      </c>
      <c r="C2164">
        <v>146.0296089</v>
      </c>
      <c r="D2164">
        <v>-17.48917338</v>
      </c>
      <c r="F2164" s="75" t="str">
        <f>HYPERLINK("E:\Data From Lucan\2024\Johnstone\Frames_for_Analysis\2161_20240610_0003_L_2938.jpg","2161_20240610_0003_L_2938.jpg")</f>
        <v>2161_20240610_0003_L_2938.jpg</v>
      </c>
      <c r="G2164" s="75">
        <v>6</v>
      </c>
      <c r="I2164">
        <f t="shared" si="33"/>
        <v>0</v>
      </c>
      <c r="J2164" s="75">
        <v>0</v>
      </c>
      <c r="K2164" s="77"/>
      <c r="L2164" s="77"/>
      <c r="M2164" s="77"/>
      <c r="N2164" s="77"/>
      <c r="O2164" s="75">
        <v>1</v>
      </c>
      <c r="P2164" s="75">
        <v>0</v>
      </c>
      <c r="Q2164" s="75">
        <v>0</v>
      </c>
      <c r="R2164" s="75">
        <v>0</v>
      </c>
      <c r="S2164" s="75">
        <v>0</v>
      </c>
      <c r="T2164" s="75">
        <v>0</v>
      </c>
      <c r="U2164" s="75">
        <v>0</v>
      </c>
      <c r="V2164" s="75">
        <v>1</v>
      </c>
      <c r="W2164" s="78">
        <v>0</v>
      </c>
    </row>
    <row r="2165" spans="1:23" s="75" customFormat="1" hidden="1" x14ac:dyDescent="0.35">
      <c r="A2165" s="75">
        <v>2161</v>
      </c>
      <c r="B2165" s="75">
        <v>2162</v>
      </c>
      <c r="C2165">
        <v>146.02958559999999</v>
      </c>
      <c r="D2165">
        <v>-17.489082</v>
      </c>
      <c r="F2165" s="75" t="str">
        <f>HYPERLINK("E:\Data From Lucan\2024\Johnstone\Frames_for_Analysis\2162_20240610_0003_L_2942.jpg","2162_20240610_0003_L_2942.jpg")</f>
        <v>2162_20240610_0003_L_2942.jpg</v>
      </c>
      <c r="G2165" s="75">
        <v>6</v>
      </c>
      <c r="I2165">
        <f t="shared" si="33"/>
        <v>0</v>
      </c>
      <c r="J2165" s="75">
        <v>0</v>
      </c>
      <c r="K2165" s="77"/>
      <c r="L2165" s="77"/>
      <c r="M2165" s="77"/>
      <c r="N2165" s="77"/>
      <c r="O2165" s="75">
        <v>1</v>
      </c>
      <c r="P2165" s="75">
        <v>0</v>
      </c>
      <c r="Q2165" s="75">
        <v>0</v>
      </c>
      <c r="R2165" s="75">
        <v>0</v>
      </c>
      <c r="S2165" s="75">
        <v>0</v>
      </c>
      <c r="T2165" s="75">
        <v>0</v>
      </c>
      <c r="U2165" s="75">
        <v>0</v>
      </c>
      <c r="V2165" s="75">
        <v>1</v>
      </c>
      <c r="W2165" s="78">
        <v>0</v>
      </c>
    </row>
    <row r="2166" spans="1:23" s="75" customFormat="1" hidden="1" x14ac:dyDescent="0.35">
      <c r="A2166" s="75">
        <v>2162</v>
      </c>
      <c r="B2166" s="75">
        <v>2163</v>
      </c>
      <c r="C2166">
        <v>146.02956230000001</v>
      </c>
      <c r="D2166">
        <v>-17.488990619999999</v>
      </c>
      <c r="F2166" s="75" t="str">
        <f>HYPERLINK("E:\Data From Lucan\2024\Johnstone\Frames_for_Analysis\2163_20240610_0003_L_2945.jpg","2163_20240610_0003_L_2945.jpg")</f>
        <v>2163_20240610_0003_L_2945.jpg</v>
      </c>
      <c r="G2166" s="75">
        <v>6</v>
      </c>
      <c r="I2166">
        <f t="shared" si="33"/>
        <v>1</v>
      </c>
      <c r="J2166" s="75">
        <v>1</v>
      </c>
      <c r="K2166" s="77"/>
      <c r="L2166" s="77"/>
      <c r="M2166" s="77"/>
      <c r="N2166" s="77"/>
      <c r="O2166" s="75">
        <v>1</v>
      </c>
      <c r="P2166" s="75">
        <v>0</v>
      </c>
      <c r="Q2166" s="75">
        <v>0</v>
      </c>
      <c r="R2166" s="75">
        <v>0</v>
      </c>
      <c r="S2166" s="75">
        <v>0</v>
      </c>
      <c r="T2166" s="75">
        <v>0</v>
      </c>
      <c r="U2166" s="75">
        <v>0</v>
      </c>
      <c r="V2166" s="75">
        <v>1</v>
      </c>
      <c r="W2166" s="78">
        <v>0</v>
      </c>
    </row>
    <row r="2167" spans="1:23" s="75" customFormat="1" hidden="1" x14ac:dyDescent="0.35">
      <c r="A2167" s="75">
        <v>2163</v>
      </c>
      <c r="B2167" s="75">
        <v>2164</v>
      </c>
      <c r="C2167">
        <v>146.029539</v>
      </c>
      <c r="D2167">
        <v>-17.488899230000001</v>
      </c>
      <c r="F2167" s="75" t="str">
        <f>HYPERLINK("E:\Data From Lucan\2024\Johnstone\Frames_for_Analysis\2164_20240610_0003_L_2949.jpg","2164_20240610_0003_L_2949.jpg")</f>
        <v>2164_20240610_0003_L_2949.jpg</v>
      </c>
      <c r="G2167" s="75">
        <v>6</v>
      </c>
      <c r="I2167">
        <f t="shared" si="33"/>
        <v>1</v>
      </c>
      <c r="J2167" s="75">
        <v>1</v>
      </c>
      <c r="K2167" s="77"/>
      <c r="L2167" s="77"/>
      <c r="M2167" s="77"/>
      <c r="N2167" s="77"/>
      <c r="O2167" s="75">
        <v>1</v>
      </c>
      <c r="P2167" s="75">
        <v>0</v>
      </c>
      <c r="Q2167" s="75">
        <v>0</v>
      </c>
      <c r="R2167" s="75">
        <v>0</v>
      </c>
      <c r="S2167" s="75">
        <v>0</v>
      </c>
      <c r="T2167" s="75">
        <v>0</v>
      </c>
      <c r="U2167" s="75">
        <v>0</v>
      </c>
      <c r="V2167" s="75">
        <v>1</v>
      </c>
      <c r="W2167" s="78">
        <v>0</v>
      </c>
    </row>
    <row r="2168" spans="1:23" s="75" customFormat="1" hidden="1" x14ac:dyDescent="0.35">
      <c r="A2168" s="75">
        <v>2164</v>
      </c>
      <c r="B2168" s="75">
        <v>2165</v>
      </c>
      <c r="C2168">
        <v>146.02951569999999</v>
      </c>
      <c r="D2168">
        <v>-17.488807850000001</v>
      </c>
      <c r="F2168" s="75" t="str">
        <f>HYPERLINK("E:\Data From Lucan\2024\Johnstone\Frames_for_Analysis\2165_20240610_0003_L_2952.jpg","2165_20240610_0003_L_2952.jpg")</f>
        <v>2165_20240610_0003_L_2952.jpg</v>
      </c>
      <c r="G2168" s="75">
        <v>6</v>
      </c>
      <c r="I2168">
        <f t="shared" si="33"/>
        <v>0</v>
      </c>
      <c r="J2168" s="75">
        <v>0</v>
      </c>
      <c r="K2168" s="77"/>
      <c r="L2168" s="77"/>
      <c r="M2168" s="77"/>
      <c r="N2168" s="77"/>
      <c r="O2168" s="75">
        <v>1</v>
      </c>
      <c r="P2168" s="75">
        <v>0</v>
      </c>
      <c r="Q2168" s="75">
        <v>0</v>
      </c>
      <c r="R2168" s="75">
        <v>0</v>
      </c>
      <c r="S2168" s="75">
        <v>0</v>
      </c>
      <c r="T2168" s="75">
        <v>0</v>
      </c>
      <c r="U2168" s="75">
        <v>0</v>
      </c>
      <c r="V2168" s="75">
        <v>0</v>
      </c>
      <c r="W2168" s="78">
        <v>0</v>
      </c>
    </row>
    <row r="2169" spans="1:23" s="75" customFormat="1" hidden="1" x14ac:dyDescent="0.35">
      <c r="A2169" s="75">
        <v>2165</v>
      </c>
      <c r="B2169" s="75">
        <v>2166</v>
      </c>
      <c r="C2169">
        <v>146.02949240000001</v>
      </c>
      <c r="D2169">
        <v>-17.48871647</v>
      </c>
      <c r="F2169" s="75" t="str">
        <f>HYPERLINK("E:\Data From Lucan\2024\Johnstone\Frames_for_Analysis\2166_20240610_0003_L_2956.jpg","2166_20240610_0003_L_2956.jpg")</f>
        <v>2166_20240610_0003_L_2956.jpg</v>
      </c>
      <c r="G2169" s="75">
        <v>6</v>
      </c>
      <c r="I2169">
        <f t="shared" si="33"/>
        <v>1</v>
      </c>
      <c r="J2169" s="75">
        <v>1</v>
      </c>
      <c r="K2169" s="77"/>
      <c r="L2169" s="77"/>
      <c r="M2169" s="77"/>
      <c r="N2169" s="77"/>
      <c r="O2169" s="75">
        <v>1</v>
      </c>
      <c r="P2169" s="75">
        <v>0</v>
      </c>
      <c r="Q2169" s="75">
        <v>0</v>
      </c>
      <c r="R2169" s="75">
        <v>0</v>
      </c>
      <c r="S2169" s="75">
        <v>0</v>
      </c>
      <c r="T2169" s="75">
        <v>0</v>
      </c>
      <c r="U2169" s="75">
        <v>0</v>
      </c>
      <c r="V2169" s="75">
        <v>1</v>
      </c>
      <c r="W2169" s="78">
        <v>0</v>
      </c>
    </row>
    <row r="2170" spans="1:23" s="75" customFormat="1" hidden="1" x14ac:dyDescent="0.35">
      <c r="A2170" s="75">
        <v>2166</v>
      </c>
      <c r="B2170" s="75">
        <v>2167</v>
      </c>
      <c r="C2170">
        <v>146.02946919999999</v>
      </c>
      <c r="D2170">
        <v>-17.488625089999999</v>
      </c>
      <c r="F2170" s="75" t="str">
        <f>HYPERLINK("E:\Data From Lucan\2024\Johnstone\Frames_for_Analysis\2167_20240610_0003_L_2959.jpg","2167_20240610_0003_L_2959.jpg")</f>
        <v>2167_20240610_0003_L_2959.jpg</v>
      </c>
      <c r="G2170" s="75">
        <v>6</v>
      </c>
      <c r="I2170">
        <f t="shared" si="33"/>
        <v>1</v>
      </c>
      <c r="J2170" s="75">
        <v>1</v>
      </c>
      <c r="K2170" s="77"/>
      <c r="L2170" s="77"/>
      <c r="M2170" s="77"/>
      <c r="N2170" s="77"/>
      <c r="O2170" s="75">
        <v>1</v>
      </c>
      <c r="P2170" s="75">
        <v>0</v>
      </c>
      <c r="Q2170" s="75">
        <v>0</v>
      </c>
      <c r="R2170" s="75">
        <v>0</v>
      </c>
      <c r="S2170" s="75">
        <v>0</v>
      </c>
      <c r="T2170" s="75">
        <v>0</v>
      </c>
      <c r="U2170" s="75">
        <v>0</v>
      </c>
      <c r="V2170" s="75">
        <v>1</v>
      </c>
      <c r="W2170" s="78">
        <v>0</v>
      </c>
    </row>
    <row r="2171" spans="1:23" s="75" customFormat="1" hidden="1" x14ac:dyDescent="0.35">
      <c r="A2171" s="75">
        <v>2167</v>
      </c>
      <c r="B2171" s="75">
        <v>2168</v>
      </c>
      <c r="C2171">
        <v>146.0294519</v>
      </c>
      <c r="D2171">
        <v>-17.48853239</v>
      </c>
      <c r="F2171" s="75" t="str">
        <f>HYPERLINK("E:\Data From Lucan\2024\Johnstone\Frames_for_Analysis\2168_20240610_0003_L_2962.jpg","2168_20240610_0003_L_2962.jpg")</f>
        <v>2168_20240610_0003_L_2962.jpg</v>
      </c>
      <c r="G2171" s="75">
        <v>6</v>
      </c>
      <c r="I2171">
        <f t="shared" si="33"/>
        <v>1</v>
      </c>
      <c r="J2171" s="75">
        <v>1</v>
      </c>
      <c r="K2171" s="77"/>
      <c r="L2171" s="77"/>
      <c r="M2171" s="77"/>
      <c r="N2171" s="77"/>
      <c r="O2171" s="75">
        <v>1</v>
      </c>
      <c r="P2171" s="75">
        <v>0</v>
      </c>
      <c r="Q2171" s="75">
        <v>0</v>
      </c>
      <c r="R2171" s="75">
        <v>0</v>
      </c>
      <c r="S2171" s="75">
        <v>0</v>
      </c>
      <c r="T2171" s="75">
        <v>0</v>
      </c>
      <c r="U2171" s="75">
        <v>0</v>
      </c>
      <c r="V2171" s="75">
        <v>0</v>
      </c>
      <c r="W2171" s="78">
        <v>0</v>
      </c>
    </row>
    <row r="2172" spans="1:23" s="75" customFormat="1" hidden="1" x14ac:dyDescent="0.35">
      <c r="A2172" s="75">
        <v>2168</v>
      </c>
      <c r="B2172" s="75">
        <v>2169</v>
      </c>
      <c r="C2172">
        <v>146.02943540000001</v>
      </c>
      <c r="D2172">
        <v>-17.48843956</v>
      </c>
      <c r="F2172" s="75" t="str">
        <f>HYPERLINK("E:\Data From Lucan\2024\Johnstone\Frames_for_Analysis\2169_20240610_0003_L_2965.jpg","2169_20240610_0003_L_2965.jpg")</f>
        <v>2169_20240610_0003_L_2965.jpg</v>
      </c>
      <c r="G2172" s="75">
        <v>6</v>
      </c>
      <c r="I2172">
        <f t="shared" si="33"/>
        <v>1</v>
      </c>
      <c r="J2172" s="75">
        <v>1</v>
      </c>
      <c r="K2172" s="77"/>
      <c r="L2172" s="77"/>
      <c r="M2172" s="77"/>
      <c r="N2172" s="77"/>
      <c r="O2172" s="75">
        <v>1</v>
      </c>
      <c r="P2172" s="75">
        <v>0</v>
      </c>
      <c r="Q2172" s="75">
        <v>0</v>
      </c>
      <c r="R2172" s="75">
        <v>0</v>
      </c>
      <c r="S2172" s="75">
        <v>0</v>
      </c>
      <c r="T2172" s="75">
        <v>0</v>
      </c>
      <c r="U2172" s="75">
        <v>0</v>
      </c>
      <c r="V2172" s="75">
        <v>0</v>
      </c>
      <c r="W2172" s="78">
        <v>0</v>
      </c>
    </row>
    <row r="2173" spans="1:23" s="75" customFormat="1" hidden="1" x14ac:dyDescent="0.35">
      <c r="A2173" s="75">
        <v>2169</v>
      </c>
      <c r="B2173" s="75">
        <v>2170</v>
      </c>
      <c r="C2173">
        <v>146.0294188</v>
      </c>
      <c r="D2173">
        <v>-17.488346719999999</v>
      </c>
      <c r="F2173" s="75" t="str">
        <f>HYPERLINK("E:\Data From Lucan\2024\Johnstone\Frames_for_Analysis\2170_20240610_0003_L_2968.jpg","2170_20240610_0003_L_2968.jpg")</f>
        <v>2170_20240610_0003_L_2968.jpg</v>
      </c>
      <c r="G2173" s="75">
        <v>6</v>
      </c>
      <c r="I2173">
        <f t="shared" si="33"/>
        <v>1</v>
      </c>
      <c r="J2173" s="75">
        <v>1</v>
      </c>
      <c r="K2173" s="77"/>
      <c r="L2173" s="77"/>
      <c r="M2173" s="77"/>
      <c r="N2173" s="77"/>
      <c r="O2173" s="75">
        <v>1</v>
      </c>
      <c r="P2173" s="75">
        <v>0</v>
      </c>
      <c r="Q2173" s="75">
        <v>0</v>
      </c>
      <c r="R2173" s="75">
        <v>0</v>
      </c>
      <c r="S2173" s="75">
        <v>0</v>
      </c>
      <c r="T2173" s="75">
        <v>0</v>
      </c>
      <c r="U2173" s="75">
        <v>0</v>
      </c>
      <c r="V2173" s="75">
        <v>1</v>
      </c>
      <c r="W2173" s="78">
        <v>0</v>
      </c>
    </row>
    <row r="2174" spans="1:23" s="75" customFormat="1" hidden="1" x14ac:dyDescent="0.35">
      <c r="A2174" s="75">
        <v>2170</v>
      </c>
      <c r="B2174" s="75">
        <v>2171</v>
      </c>
      <c r="C2174">
        <v>146.02940219999999</v>
      </c>
      <c r="D2174">
        <v>-17.488253879999998</v>
      </c>
      <c r="F2174" s="75" t="str">
        <f>HYPERLINK("E:\Data From Lucan\2024\Johnstone\Frames_for_Analysis\2171_20240610_0003_L_2971.jpg","2171_20240610_0003_L_2971.jpg")</f>
        <v>2171_20240610_0003_L_2971.jpg</v>
      </c>
      <c r="G2174" s="75">
        <v>6</v>
      </c>
      <c r="I2174">
        <f t="shared" si="33"/>
        <v>0</v>
      </c>
      <c r="J2174" s="75">
        <v>0</v>
      </c>
      <c r="K2174" s="77"/>
      <c r="L2174" s="77"/>
      <c r="M2174" s="77"/>
      <c r="N2174" s="77"/>
      <c r="O2174" s="75">
        <v>1</v>
      </c>
      <c r="P2174" s="75">
        <v>0</v>
      </c>
      <c r="Q2174" s="75">
        <v>0</v>
      </c>
      <c r="R2174" s="75">
        <v>0</v>
      </c>
      <c r="S2174" s="75">
        <v>0</v>
      </c>
      <c r="T2174" s="75">
        <v>0</v>
      </c>
      <c r="U2174" s="75">
        <v>0</v>
      </c>
      <c r="V2174" s="75">
        <v>1</v>
      </c>
      <c r="W2174" s="78">
        <v>0</v>
      </c>
    </row>
    <row r="2175" spans="1:23" s="75" customFormat="1" hidden="1" x14ac:dyDescent="0.35">
      <c r="A2175" s="75">
        <v>2171</v>
      </c>
      <c r="B2175" s="75">
        <v>2172</v>
      </c>
      <c r="C2175">
        <v>146.02938570000001</v>
      </c>
      <c r="D2175">
        <v>-17.488161040000001</v>
      </c>
      <c r="F2175" s="75" t="str">
        <f>HYPERLINK("E:\Data From Lucan\2024\Johnstone\Frames_for_Analysis\2172_20240610_0003_L_2973.jpg","2172_20240610_0003_L_2973.jpg")</f>
        <v>2172_20240610_0003_L_2973.jpg</v>
      </c>
      <c r="G2175" s="75">
        <v>6</v>
      </c>
      <c r="I2175">
        <f t="shared" si="33"/>
        <v>0</v>
      </c>
      <c r="J2175" s="75">
        <v>0</v>
      </c>
      <c r="K2175" s="77"/>
      <c r="L2175" s="77"/>
      <c r="M2175" s="77"/>
      <c r="N2175" s="77"/>
      <c r="O2175" s="75">
        <v>1</v>
      </c>
      <c r="P2175" s="75">
        <v>0</v>
      </c>
      <c r="Q2175" s="75">
        <v>0</v>
      </c>
      <c r="R2175" s="75">
        <v>0</v>
      </c>
      <c r="S2175" s="75">
        <v>0</v>
      </c>
      <c r="T2175" s="75">
        <v>0</v>
      </c>
      <c r="U2175" s="75">
        <v>0</v>
      </c>
      <c r="V2175" s="75">
        <v>1</v>
      </c>
      <c r="W2175" s="78">
        <v>0</v>
      </c>
    </row>
    <row r="2176" spans="1:23" s="75" customFormat="1" hidden="1" x14ac:dyDescent="0.35">
      <c r="A2176" s="75">
        <v>2172</v>
      </c>
      <c r="B2176" s="75">
        <v>2173</v>
      </c>
      <c r="C2176">
        <v>146.0293691</v>
      </c>
      <c r="D2176">
        <v>-17.488068200000001</v>
      </c>
      <c r="F2176" s="75" t="str">
        <f>HYPERLINK("E:\Data From Lucan\2024\Johnstone\Frames_for_Analysis\2173_20240610_0003_L_2976.jpg","2173_20240610_0003_L_2976.jpg")</f>
        <v>2173_20240610_0003_L_2976.jpg</v>
      </c>
      <c r="G2176" s="75">
        <v>6</v>
      </c>
      <c r="I2176">
        <f t="shared" si="33"/>
        <v>0</v>
      </c>
      <c r="J2176" s="75">
        <v>0</v>
      </c>
      <c r="K2176" s="77"/>
      <c r="L2176" s="77"/>
      <c r="M2176" s="77"/>
      <c r="N2176" s="77"/>
      <c r="O2176" s="75">
        <v>1</v>
      </c>
      <c r="P2176" s="75">
        <v>0</v>
      </c>
      <c r="Q2176" s="75">
        <v>0</v>
      </c>
      <c r="R2176" s="75">
        <v>0</v>
      </c>
      <c r="S2176" s="75">
        <v>0</v>
      </c>
      <c r="T2176" s="75">
        <v>0</v>
      </c>
      <c r="U2176" s="75">
        <v>0</v>
      </c>
      <c r="V2176" s="75">
        <v>1</v>
      </c>
      <c r="W2176" s="78">
        <v>0</v>
      </c>
    </row>
    <row r="2177" spans="1:23" s="75" customFormat="1" hidden="1" x14ac:dyDescent="0.35">
      <c r="A2177" s="75">
        <v>2173</v>
      </c>
      <c r="B2177" s="75">
        <v>2174</v>
      </c>
      <c r="C2177">
        <v>146.02935249999999</v>
      </c>
      <c r="D2177">
        <v>-17.487975370000001</v>
      </c>
      <c r="F2177" s="75" t="str">
        <f>HYPERLINK("E:\Data From Lucan\2024\Johnstone\Frames_for_Analysis\2174_20240610_0003_L_2979.jpg","2174_20240610_0003_L_2979.jpg")</f>
        <v>2174_20240610_0003_L_2979.jpg</v>
      </c>
      <c r="G2177" s="75">
        <v>6</v>
      </c>
      <c r="I2177">
        <f t="shared" si="33"/>
        <v>0</v>
      </c>
      <c r="J2177" s="75">
        <v>0</v>
      </c>
      <c r="K2177" s="77"/>
      <c r="L2177" s="77"/>
      <c r="M2177" s="77"/>
      <c r="N2177" s="77"/>
      <c r="O2177" s="75">
        <v>1</v>
      </c>
      <c r="P2177" s="75">
        <v>0</v>
      </c>
      <c r="Q2177" s="75">
        <v>0</v>
      </c>
      <c r="R2177" s="75">
        <v>0</v>
      </c>
      <c r="S2177" s="75">
        <v>0</v>
      </c>
      <c r="T2177" s="75">
        <v>0</v>
      </c>
      <c r="U2177" s="75">
        <v>0</v>
      </c>
      <c r="V2177" s="75">
        <v>1</v>
      </c>
      <c r="W2177" s="78">
        <v>0</v>
      </c>
    </row>
    <row r="2178" spans="1:23" s="75" customFormat="1" hidden="1" x14ac:dyDescent="0.35">
      <c r="A2178" s="75">
        <v>2174</v>
      </c>
      <c r="B2178" s="75">
        <v>2175</v>
      </c>
      <c r="C2178">
        <v>146.029336</v>
      </c>
      <c r="D2178">
        <v>-17.48788253</v>
      </c>
      <c r="F2178" s="75" t="str">
        <f>HYPERLINK("E:\Data From Lucan\2024\Johnstone\Frames_for_Analysis\2175_20240610_0003_L_2982.jpg","2175_20240610_0003_L_2982.jpg")</f>
        <v>2175_20240610_0003_L_2982.jpg</v>
      </c>
      <c r="G2178" s="75">
        <v>6</v>
      </c>
      <c r="I2178">
        <f t="shared" si="33"/>
        <v>1</v>
      </c>
      <c r="J2178" s="75">
        <v>1</v>
      </c>
      <c r="K2178" s="77"/>
      <c r="L2178" s="77"/>
      <c r="M2178" s="77"/>
      <c r="N2178" s="77"/>
      <c r="O2178" s="75">
        <v>1</v>
      </c>
      <c r="P2178" s="75">
        <v>0</v>
      </c>
      <c r="Q2178" s="75">
        <v>0</v>
      </c>
      <c r="R2178" s="75">
        <v>0</v>
      </c>
      <c r="S2178" s="75">
        <v>0</v>
      </c>
      <c r="T2178" s="75">
        <v>0</v>
      </c>
      <c r="U2178" s="75">
        <v>0</v>
      </c>
      <c r="V2178" s="75">
        <v>1</v>
      </c>
      <c r="W2178" s="78">
        <v>0</v>
      </c>
    </row>
    <row r="2179" spans="1:23" s="75" customFormat="1" hidden="1" x14ac:dyDescent="0.35">
      <c r="A2179" s="75">
        <v>2175</v>
      </c>
      <c r="B2179" s="75">
        <v>2176</v>
      </c>
      <c r="C2179">
        <v>146.02931939999999</v>
      </c>
      <c r="D2179">
        <v>-17.48778969</v>
      </c>
      <c r="F2179" s="75" t="str">
        <f>HYPERLINK("E:\Data From Lucan\2024\Johnstone\Frames_for_Analysis\2176_20240610_0003_L_2985.jpg","2176_20240610_0003_L_2985.jpg")</f>
        <v>2176_20240610_0003_L_2985.jpg</v>
      </c>
      <c r="G2179" s="75">
        <v>6</v>
      </c>
      <c r="I2179">
        <f t="shared" si="33"/>
        <v>0</v>
      </c>
      <c r="J2179" s="75">
        <v>0</v>
      </c>
      <c r="K2179" s="77"/>
      <c r="L2179" s="77"/>
      <c r="M2179" s="77"/>
      <c r="N2179" s="77"/>
      <c r="O2179" s="75">
        <v>1</v>
      </c>
      <c r="P2179" s="75">
        <v>0</v>
      </c>
      <c r="Q2179" s="75">
        <v>0</v>
      </c>
      <c r="R2179" s="75">
        <v>0</v>
      </c>
      <c r="S2179" s="75">
        <v>0</v>
      </c>
      <c r="T2179" s="75">
        <v>0</v>
      </c>
      <c r="U2179" s="75">
        <v>0</v>
      </c>
      <c r="V2179" s="75">
        <v>1</v>
      </c>
      <c r="W2179" s="78">
        <v>0</v>
      </c>
    </row>
    <row r="2180" spans="1:23" s="75" customFormat="1" hidden="1" x14ac:dyDescent="0.35">
      <c r="A2180" s="75">
        <v>2176</v>
      </c>
      <c r="B2180" s="75">
        <v>2177</v>
      </c>
      <c r="C2180">
        <v>146.02930359999999</v>
      </c>
      <c r="D2180">
        <v>-17.487696750000001</v>
      </c>
      <c r="F2180" s="75" t="str">
        <f>HYPERLINK("E:\Data From Lucan\2024\Johnstone\Frames_for_Analysis\2177_20240610_0003_L_2989.jpg","2177_20240610_0003_L_2989.jpg")</f>
        <v>2177_20240610_0003_L_2989.jpg</v>
      </c>
      <c r="G2180" s="75">
        <v>6</v>
      </c>
      <c r="I2180">
        <f t="shared" si="33"/>
        <v>1</v>
      </c>
      <c r="J2180" s="75">
        <v>1</v>
      </c>
      <c r="K2180" s="77"/>
      <c r="L2180" s="77"/>
      <c r="M2180" s="77"/>
      <c r="N2180" s="77"/>
      <c r="O2180" s="75">
        <v>1</v>
      </c>
      <c r="P2180" s="75">
        <v>0</v>
      </c>
      <c r="Q2180" s="75">
        <v>0</v>
      </c>
      <c r="R2180" s="75">
        <v>0</v>
      </c>
      <c r="S2180" s="75">
        <v>0</v>
      </c>
      <c r="T2180" s="75">
        <v>0</v>
      </c>
      <c r="U2180" s="75">
        <v>0</v>
      </c>
      <c r="V2180" s="75">
        <v>1</v>
      </c>
      <c r="W2180" s="78">
        <v>0</v>
      </c>
    </row>
    <row r="2181" spans="1:23" s="75" customFormat="1" hidden="1" x14ac:dyDescent="0.35">
      <c r="A2181" s="75">
        <v>2177</v>
      </c>
      <c r="B2181" s="75">
        <v>2178</v>
      </c>
      <c r="C2181">
        <v>146.02929349999999</v>
      </c>
      <c r="D2181">
        <v>-17.487602989999999</v>
      </c>
      <c r="F2181" s="75" t="str">
        <f>HYPERLINK("E:\Data From Lucan\2024\Johnstone\Frames_for_Analysis\2178_20240610_0003_L_2992.jpg","2178_20240610_0003_L_2992.jpg")</f>
        <v>2178_20240610_0003_L_2992.jpg</v>
      </c>
      <c r="G2181" s="75">
        <v>6</v>
      </c>
      <c r="I2181">
        <f t="shared" ref="I2181:I2244" si="34">IF(H2181="X","X",IF(J2181="NA","X",IF(J2181="","X",J2181)))</f>
        <v>1</v>
      </c>
      <c r="J2181" s="75">
        <v>1</v>
      </c>
      <c r="K2181" s="77"/>
      <c r="L2181" s="77"/>
      <c r="M2181" s="77"/>
      <c r="N2181" s="77"/>
      <c r="O2181" s="75">
        <v>1</v>
      </c>
      <c r="P2181" s="75">
        <v>0</v>
      </c>
      <c r="Q2181" s="75">
        <v>0</v>
      </c>
      <c r="R2181" s="75">
        <v>0</v>
      </c>
      <c r="S2181" s="75">
        <v>0</v>
      </c>
      <c r="T2181" s="75">
        <v>0</v>
      </c>
      <c r="U2181" s="75">
        <v>0</v>
      </c>
      <c r="V2181" s="75">
        <v>1</v>
      </c>
      <c r="W2181" s="78">
        <v>0</v>
      </c>
    </row>
    <row r="2182" spans="1:23" s="75" customFormat="1" hidden="1" x14ac:dyDescent="0.35">
      <c r="A2182" s="75">
        <v>2178</v>
      </c>
      <c r="B2182" s="75">
        <v>2179</v>
      </c>
      <c r="C2182">
        <v>146.02928349999999</v>
      </c>
      <c r="D2182">
        <v>-17.48750922</v>
      </c>
      <c r="F2182" s="75" t="str">
        <f>HYPERLINK("E:\Data From Lucan\2024\Johnstone\Frames_for_Analysis\2179_20240610_0003_L_2996.jpg","2179_20240610_0003_L_2996.jpg")</f>
        <v>2179_20240610_0003_L_2996.jpg</v>
      </c>
      <c r="G2182" s="75">
        <v>6</v>
      </c>
      <c r="I2182">
        <f t="shared" si="34"/>
        <v>0</v>
      </c>
      <c r="J2182" s="75">
        <v>0</v>
      </c>
      <c r="K2182" s="77"/>
      <c r="L2182" s="77"/>
      <c r="M2182" s="77"/>
      <c r="N2182" s="77"/>
      <c r="O2182" s="75">
        <v>1</v>
      </c>
      <c r="P2182" s="75">
        <v>0</v>
      </c>
      <c r="Q2182" s="75">
        <v>0</v>
      </c>
      <c r="R2182" s="75">
        <v>0</v>
      </c>
      <c r="S2182" s="75">
        <v>0</v>
      </c>
      <c r="T2182" s="75">
        <v>0</v>
      </c>
      <c r="U2182" s="75">
        <v>0</v>
      </c>
      <c r="V2182" s="75">
        <v>0</v>
      </c>
      <c r="W2182" s="78">
        <v>0</v>
      </c>
    </row>
    <row r="2183" spans="1:23" s="75" customFormat="1" hidden="1" x14ac:dyDescent="0.35">
      <c r="A2183" s="75">
        <v>2179</v>
      </c>
      <c r="B2183" s="75">
        <v>2180</v>
      </c>
      <c r="C2183">
        <v>146.02927339999999</v>
      </c>
      <c r="D2183">
        <v>-17.487415460000001</v>
      </c>
      <c r="F2183" s="75" t="str">
        <f>HYPERLINK("E:\Data From Lucan\2024\Johnstone\Frames_for_Analysis\2180_20240610_0003_L_2999.jpg","2180_20240610_0003_L_2999.jpg")</f>
        <v>2180_20240610_0003_L_2999.jpg</v>
      </c>
      <c r="G2183" s="75">
        <v>6</v>
      </c>
      <c r="I2183">
        <f t="shared" si="34"/>
        <v>0</v>
      </c>
      <c r="J2183" s="75">
        <v>0</v>
      </c>
      <c r="K2183" s="77"/>
      <c r="L2183" s="77"/>
      <c r="M2183" s="77"/>
      <c r="N2183" s="77"/>
      <c r="O2183" s="75">
        <v>1</v>
      </c>
      <c r="P2183" s="75">
        <v>0</v>
      </c>
      <c r="Q2183" s="75">
        <v>0</v>
      </c>
      <c r="R2183" s="75">
        <v>0</v>
      </c>
      <c r="S2183" s="75">
        <v>0</v>
      </c>
      <c r="T2183" s="75">
        <v>0</v>
      </c>
      <c r="U2183" s="75">
        <v>0</v>
      </c>
      <c r="V2183" s="75">
        <v>0</v>
      </c>
      <c r="W2183" s="78">
        <v>0</v>
      </c>
    </row>
    <row r="2184" spans="1:23" s="75" customFormat="1" hidden="1" x14ac:dyDescent="0.35">
      <c r="A2184" s="75">
        <v>2180</v>
      </c>
      <c r="B2184" s="75">
        <v>2181</v>
      </c>
      <c r="C2184">
        <v>146.0292633</v>
      </c>
      <c r="D2184">
        <v>-17.487321690000002</v>
      </c>
      <c r="F2184" s="75" t="str">
        <f>HYPERLINK("E:\Data From Lucan\2024\Johnstone\Frames_for_Analysis\2181_20240610_0003_L_3002.jpg","2181_20240610_0003_L_3002.jpg")</f>
        <v>2181_20240610_0003_L_3002.jpg</v>
      </c>
      <c r="G2184" s="75">
        <v>6</v>
      </c>
      <c r="I2184">
        <f t="shared" si="34"/>
        <v>1</v>
      </c>
      <c r="J2184" s="75">
        <v>1</v>
      </c>
      <c r="K2184" s="77"/>
      <c r="L2184" s="77"/>
      <c r="M2184" s="77"/>
      <c r="N2184" s="77"/>
      <c r="O2184" s="75">
        <v>1</v>
      </c>
      <c r="P2184" s="75">
        <v>0</v>
      </c>
      <c r="Q2184" s="75">
        <v>0</v>
      </c>
      <c r="R2184" s="75">
        <v>0</v>
      </c>
      <c r="S2184" s="75">
        <v>0</v>
      </c>
      <c r="T2184" s="75">
        <v>0</v>
      </c>
      <c r="U2184" s="75">
        <v>0</v>
      </c>
      <c r="V2184" s="75">
        <v>1</v>
      </c>
      <c r="W2184" s="78">
        <v>0</v>
      </c>
    </row>
    <row r="2185" spans="1:23" s="75" customFormat="1" hidden="1" x14ac:dyDescent="0.35">
      <c r="A2185" s="75">
        <v>2181</v>
      </c>
      <c r="B2185" s="75">
        <v>2182</v>
      </c>
      <c r="C2185">
        <v>146.02925329999999</v>
      </c>
      <c r="D2185">
        <v>-17.48722793</v>
      </c>
      <c r="F2185" s="75" t="str">
        <f>HYPERLINK("E:\Data From Lucan\2024\Johnstone\Frames_for_Analysis\2182_20240610_0003_L_3006.jpg","2182_20240610_0003_L_3006.jpg")</f>
        <v>2182_20240610_0003_L_3006.jpg</v>
      </c>
      <c r="G2185" s="75">
        <v>6</v>
      </c>
      <c r="I2185">
        <f t="shared" si="34"/>
        <v>0</v>
      </c>
      <c r="J2185" s="75">
        <v>0</v>
      </c>
      <c r="K2185" s="77"/>
      <c r="L2185" s="77"/>
      <c r="M2185" s="77"/>
      <c r="N2185" s="77"/>
      <c r="O2185" s="75">
        <v>1</v>
      </c>
      <c r="P2185" s="75">
        <v>0</v>
      </c>
      <c r="Q2185" s="75">
        <v>0</v>
      </c>
      <c r="R2185" s="75">
        <v>0</v>
      </c>
      <c r="S2185" s="75">
        <v>0</v>
      </c>
      <c r="T2185" s="75">
        <v>0</v>
      </c>
      <c r="U2185" s="75">
        <v>0</v>
      </c>
      <c r="V2185" s="75">
        <v>0</v>
      </c>
      <c r="W2185" s="78">
        <v>0</v>
      </c>
    </row>
    <row r="2186" spans="1:23" s="75" customFormat="1" hidden="1" x14ac:dyDescent="0.35">
      <c r="A2186" s="75">
        <v>2182</v>
      </c>
      <c r="B2186" s="75">
        <v>2183</v>
      </c>
      <c r="C2186">
        <v>146.0292432</v>
      </c>
      <c r="D2186">
        <v>-17.48713416</v>
      </c>
      <c r="F2186" s="75" t="str">
        <f>HYPERLINK("E:\Data From Lucan\2024\Johnstone\Frames_for_Analysis\2183_20240610_0003_L_3009.jpg","2183_20240610_0003_L_3009.jpg")</f>
        <v>2183_20240610_0003_L_3009.jpg</v>
      </c>
      <c r="G2186" s="75">
        <v>6</v>
      </c>
      <c r="I2186">
        <f t="shared" si="34"/>
        <v>0</v>
      </c>
      <c r="J2186" s="75">
        <v>0</v>
      </c>
      <c r="K2186" s="77"/>
      <c r="L2186" s="77"/>
      <c r="M2186" s="77"/>
      <c r="N2186" s="77"/>
      <c r="O2186" s="75">
        <v>1</v>
      </c>
      <c r="P2186" s="75">
        <v>0</v>
      </c>
      <c r="Q2186" s="75">
        <v>0</v>
      </c>
      <c r="R2186" s="75">
        <v>0</v>
      </c>
      <c r="S2186" s="75">
        <v>0</v>
      </c>
      <c r="T2186" s="75">
        <v>0</v>
      </c>
      <c r="U2186" s="75">
        <v>0</v>
      </c>
      <c r="V2186" s="75">
        <v>0</v>
      </c>
      <c r="W2186" s="78">
        <v>0</v>
      </c>
    </row>
    <row r="2187" spans="1:23" s="75" customFormat="1" hidden="1" x14ac:dyDescent="0.35">
      <c r="A2187" s="75">
        <v>2183</v>
      </c>
      <c r="B2187" s="75">
        <v>2184</v>
      </c>
      <c r="C2187">
        <v>146.02923319999999</v>
      </c>
      <c r="D2187">
        <v>-17.487040390000001</v>
      </c>
      <c r="F2187" s="75" t="str">
        <f>HYPERLINK("E:\Data From Lucan\2024\Johnstone\Frames_for_Analysis\2184_20240610_0003_L_3012.jpg","2184_20240610_0003_L_3012.jpg")</f>
        <v>2184_20240610_0003_L_3012.jpg</v>
      </c>
      <c r="G2187" s="75">
        <v>6</v>
      </c>
      <c r="I2187">
        <f t="shared" si="34"/>
        <v>1</v>
      </c>
      <c r="J2187" s="75">
        <v>1</v>
      </c>
      <c r="K2187" s="77"/>
      <c r="L2187" s="77"/>
      <c r="M2187" s="77"/>
      <c r="N2187" s="77"/>
      <c r="O2187" s="75">
        <v>1</v>
      </c>
      <c r="P2187" s="75">
        <v>0</v>
      </c>
      <c r="Q2187" s="75">
        <v>0</v>
      </c>
      <c r="R2187" s="75">
        <v>0</v>
      </c>
      <c r="S2187" s="75">
        <v>0</v>
      </c>
      <c r="T2187" s="75">
        <v>0</v>
      </c>
      <c r="U2187" s="75">
        <v>0</v>
      </c>
      <c r="V2187" s="75">
        <v>0</v>
      </c>
      <c r="W2187" s="78">
        <v>0</v>
      </c>
    </row>
    <row r="2188" spans="1:23" s="75" customFormat="1" hidden="1" x14ac:dyDescent="0.35">
      <c r="A2188" s="75">
        <v>2184</v>
      </c>
      <c r="B2188" s="75">
        <v>2185</v>
      </c>
      <c r="C2188">
        <v>146.0292231</v>
      </c>
      <c r="D2188">
        <v>-17.486946629999998</v>
      </c>
      <c r="F2188" s="75" t="str">
        <f>HYPERLINK("E:\Data From Lucan\2024\Johnstone\Frames_for_Analysis\2185_20240610_0003_L_3015.jpg","2185_20240610_0003_L_3015.jpg")</f>
        <v>2185_20240610_0003_L_3015.jpg</v>
      </c>
      <c r="G2188" s="75">
        <v>6</v>
      </c>
      <c r="I2188">
        <f t="shared" si="34"/>
        <v>1</v>
      </c>
      <c r="J2188" s="75">
        <v>1</v>
      </c>
      <c r="K2188" s="77"/>
      <c r="L2188" s="77"/>
      <c r="M2188" s="77"/>
      <c r="N2188" s="77"/>
      <c r="O2188" s="75">
        <v>1</v>
      </c>
      <c r="P2188" s="75">
        <v>0</v>
      </c>
      <c r="Q2188" s="75">
        <v>0</v>
      </c>
      <c r="R2188" s="75">
        <v>0</v>
      </c>
      <c r="S2188" s="75">
        <v>0</v>
      </c>
      <c r="T2188" s="75">
        <v>0</v>
      </c>
      <c r="U2188" s="75">
        <v>0</v>
      </c>
      <c r="V2188" s="75">
        <v>0</v>
      </c>
      <c r="W2188" s="78">
        <v>0</v>
      </c>
    </row>
    <row r="2189" spans="1:23" s="75" customFormat="1" hidden="1" x14ac:dyDescent="0.35">
      <c r="A2189" s="75">
        <v>2185</v>
      </c>
      <c r="B2189" s="75">
        <v>2186</v>
      </c>
      <c r="C2189">
        <v>146.02921900000001</v>
      </c>
      <c r="D2189">
        <v>-17.486852500000001</v>
      </c>
      <c r="F2189" s="75" t="str">
        <f>HYPERLINK("E:\Data From Lucan\2024\Johnstone\Frames_for_Analysis\2186_20240610_0003_L_3017.jpg","2186_20240610_0003_L_3017.jpg")</f>
        <v>2186_20240610_0003_L_3017.jpg</v>
      </c>
      <c r="G2189" s="75">
        <v>6</v>
      </c>
      <c r="I2189">
        <f t="shared" si="34"/>
        <v>1</v>
      </c>
      <c r="J2189" s="75">
        <v>1</v>
      </c>
      <c r="K2189" s="77"/>
      <c r="L2189" s="77"/>
      <c r="M2189" s="77"/>
      <c r="N2189" s="77"/>
      <c r="O2189" s="75">
        <v>1</v>
      </c>
      <c r="P2189" s="75">
        <v>0</v>
      </c>
      <c r="Q2189" s="75">
        <v>0</v>
      </c>
      <c r="R2189" s="75">
        <v>0</v>
      </c>
      <c r="S2189" s="75">
        <v>0</v>
      </c>
      <c r="T2189" s="75">
        <v>0</v>
      </c>
      <c r="U2189" s="75">
        <v>0</v>
      </c>
      <c r="V2189" s="75">
        <v>0</v>
      </c>
      <c r="W2189" s="78">
        <v>0</v>
      </c>
    </row>
    <row r="2190" spans="1:23" s="75" customFormat="1" hidden="1" x14ac:dyDescent="0.35">
      <c r="A2190" s="75">
        <v>2186</v>
      </c>
      <c r="B2190" s="75">
        <v>2187</v>
      </c>
      <c r="C2190">
        <v>146.0292178</v>
      </c>
      <c r="D2190">
        <v>-17.486758210000001</v>
      </c>
      <c r="F2190" s="75" t="str">
        <f>HYPERLINK("E:\Data From Lucan\2024\Johnstone\Frames_for_Analysis\2187_20240610_0003_L_3021.jpg","2187_20240610_0003_L_3021.jpg")</f>
        <v>2187_20240610_0003_L_3021.jpg</v>
      </c>
      <c r="G2190" s="75">
        <v>6</v>
      </c>
      <c r="I2190">
        <f t="shared" si="34"/>
        <v>1</v>
      </c>
      <c r="J2190" s="75">
        <v>1</v>
      </c>
      <c r="K2190" s="77"/>
      <c r="L2190" s="77"/>
      <c r="M2190" s="77"/>
      <c r="N2190" s="77"/>
      <c r="O2190" s="75">
        <v>1</v>
      </c>
      <c r="P2190" s="75">
        <v>0</v>
      </c>
      <c r="Q2190" s="75">
        <v>0</v>
      </c>
      <c r="R2190" s="75">
        <v>0</v>
      </c>
      <c r="S2190" s="75">
        <v>0</v>
      </c>
      <c r="T2190" s="75">
        <v>0</v>
      </c>
      <c r="U2190" s="75">
        <v>0</v>
      </c>
      <c r="V2190" s="75">
        <v>0</v>
      </c>
      <c r="W2190" s="78">
        <v>0</v>
      </c>
    </row>
    <row r="2191" spans="1:23" s="75" customFormat="1" hidden="1" x14ac:dyDescent="0.35">
      <c r="A2191" s="75">
        <v>2187</v>
      </c>
      <c r="B2191" s="75">
        <v>2188</v>
      </c>
      <c r="C2191">
        <v>146.02921660000001</v>
      </c>
      <c r="D2191">
        <v>-17.486663910000001</v>
      </c>
      <c r="F2191" s="75" t="str">
        <f>HYPERLINK("E:\Data From Lucan\2024\Johnstone\Frames_for_Analysis\2188_20240610_0003_L_3024.jpg","2188_20240610_0003_L_3024.jpg")</f>
        <v>2188_20240610_0003_L_3024.jpg</v>
      </c>
      <c r="G2191" s="75">
        <v>6</v>
      </c>
      <c r="I2191">
        <f t="shared" si="34"/>
        <v>1</v>
      </c>
      <c r="J2191" s="75">
        <v>1</v>
      </c>
      <c r="K2191" s="77"/>
      <c r="L2191" s="77"/>
      <c r="M2191" s="77"/>
      <c r="N2191" s="77"/>
      <c r="O2191" s="75">
        <v>1</v>
      </c>
      <c r="P2191" s="75">
        <v>0</v>
      </c>
      <c r="Q2191" s="75">
        <v>0</v>
      </c>
      <c r="R2191" s="75">
        <v>0</v>
      </c>
      <c r="S2191" s="75">
        <v>0</v>
      </c>
      <c r="T2191" s="75">
        <v>0</v>
      </c>
      <c r="U2191" s="75">
        <v>0</v>
      </c>
      <c r="V2191" s="75">
        <v>0</v>
      </c>
      <c r="W2191" s="78">
        <v>0</v>
      </c>
    </row>
    <row r="2192" spans="1:23" s="75" customFormat="1" hidden="1" x14ac:dyDescent="0.35">
      <c r="A2192" s="75">
        <v>2188</v>
      </c>
      <c r="B2192" s="75">
        <v>2189</v>
      </c>
      <c r="C2192">
        <v>146.0292154</v>
      </c>
      <c r="D2192">
        <v>-17.486569620000001</v>
      </c>
      <c r="F2192" s="75" t="str">
        <f>HYPERLINK("E:\Data From Lucan\2024\Johnstone\Frames_for_Analysis\2189_20240610_0003_L_3027.jpg","2189_20240610_0003_L_3027.jpg")</f>
        <v>2189_20240610_0003_L_3027.jpg</v>
      </c>
      <c r="G2192" s="75">
        <v>6</v>
      </c>
      <c r="I2192">
        <f t="shared" si="34"/>
        <v>1</v>
      </c>
      <c r="J2192" s="75">
        <v>1</v>
      </c>
      <c r="K2192" s="77"/>
      <c r="L2192" s="77"/>
      <c r="M2192" s="77"/>
      <c r="N2192" s="77"/>
      <c r="O2192" s="75">
        <v>1</v>
      </c>
      <c r="P2192" s="75">
        <v>0</v>
      </c>
      <c r="Q2192" s="75">
        <v>0</v>
      </c>
      <c r="R2192" s="75">
        <v>0</v>
      </c>
      <c r="S2192" s="75">
        <v>0</v>
      </c>
      <c r="T2192" s="75">
        <v>0</v>
      </c>
      <c r="U2192" s="75">
        <v>0</v>
      </c>
      <c r="V2192" s="75">
        <v>0</v>
      </c>
      <c r="W2192" s="78">
        <v>0</v>
      </c>
    </row>
    <row r="2193" spans="1:23" s="75" customFormat="1" hidden="1" x14ac:dyDescent="0.35">
      <c r="A2193" s="75">
        <v>2189</v>
      </c>
      <c r="B2193" s="75">
        <v>2190</v>
      </c>
      <c r="C2193">
        <v>146.02921420000001</v>
      </c>
      <c r="D2193">
        <v>-17.48647532</v>
      </c>
      <c r="F2193" s="75" t="str">
        <f>HYPERLINK("E:\Data From Lucan\2024\Johnstone\Frames_for_Analysis\2190_20240610_0003_L_3031.jpg","2190_20240610_0003_L_3031.jpg")</f>
        <v>2190_20240610_0003_L_3031.jpg</v>
      </c>
      <c r="G2193" s="75">
        <v>6</v>
      </c>
      <c r="I2193">
        <f t="shared" si="34"/>
        <v>1</v>
      </c>
      <c r="J2193" s="75">
        <v>1</v>
      </c>
      <c r="K2193" s="77"/>
      <c r="L2193" s="77"/>
      <c r="M2193" s="77"/>
      <c r="N2193" s="77"/>
      <c r="O2193" s="75">
        <v>1</v>
      </c>
      <c r="P2193" s="75">
        <v>0</v>
      </c>
      <c r="Q2193" s="75">
        <v>0</v>
      </c>
      <c r="R2193" s="75">
        <v>0</v>
      </c>
      <c r="S2193" s="75">
        <v>0</v>
      </c>
      <c r="T2193" s="75">
        <v>0</v>
      </c>
      <c r="U2193" s="75">
        <v>0</v>
      </c>
      <c r="V2193" s="75">
        <v>0</v>
      </c>
      <c r="W2193" s="78">
        <v>0</v>
      </c>
    </row>
    <row r="2194" spans="1:23" s="75" customFormat="1" hidden="1" x14ac:dyDescent="0.35">
      <c r="A2194" s="75">
        <v>2190</v>
      </c>
      <c r="B2194" s="75">
        <v>2191</v>
      </c>
      <c r="C2194">
        <v>146.029213</v>
      </c>
      <c r="D2194">
        <v>-17.48638103</v>
      </c>
      <c r="F2194" s="75" t="str">
        <f>HYPERLINK("E:\Data From Lucan\2024\Johnstone\Frames_for_Analysis\2191_20240610_0003_L_3034.jpg","2191_20240610_0003_L_3034.jpg")</f>
        <v>2191_20240610_0003_L_3034.jpg</v>
      </c>
      <c r="G2194" s="75">
        <v>6</v>
      </c>
      <c r="I2194">
        <f t="shared" si="34"/>
        <v>1</v>
      </c>
      <c r="J2194" s="75">
        <v>1</v>
      </c>
      <c r="K2194" s="77"/>
      <c r="L2194" s="77"/>
      <c r="M2194" s="77"/>
      <c r="N2194" s="77"/>
      <c r="O2194" s="75">
        <v>1</v>
      </c>
      <c r="P2194" s="75">
        <v>0</v>
      </c>
      <c r="Q2194" s="75">
        <v>0</v>
      </c>
      <c r="R2194" s="75">
        <v>0</v>
      </c>
      <c r="S2194" s="75">
        <v>0</v>
      </c>
      <c r="T2194" s="75">
        <v>0</v>
      </c>
      <c r="U2194" s="75">
        <v>0</v>
      </c>
      <c r="V2194" s="75">
        <v>0</v>
      </c>
      <c r="W2194" s="78">
        <v>0</v>
      </c>
    </row>
    <row r="2195" spans="1:23" s="75" customFormat="1" hidden="1" x14ac:dyDescent="0.35">
      <c r="A2195" s="75">
        <v>2191</v>
      </c>
      <c r="B2195" s="75">
        <v>2192</v>
      </c>
      <c r="C2195">
        <v>146.02921169999999</v>
      </c>
      <c r="D2195">
        <v>-17.48628673</v>
      </c>
      <c r="F2195" s="75" t="str">
        <f>HYPERLINK("E:\Data From Lucan\2024\Johnstone\Frames_for_Analysis\2192_20240610_0003_L_3038.jpg","2192_20240610_0003_L_3038.jpg")</f>
        <v>2192_20240610_0003_L_3038.jpg</v>
      </c>
      <c r="G2195" s="75">
        <v>6</v>
      </c>
      <c r="I2195">
        <f t="shared" si="34"/>
        <v>0</v>
      </c>
      <c r="J2195" s="75">
        <v>0</v>
      </c>
      <c r="K2195" s="77"/>
      <c r="L2195" s="77"/>
      <c r="M2195" s="77"/>
      <c r="N2195" s="77"/>
      <c r="O2195" s="75">
        <v>1</v>
      </c>
      <c r="P2195" s="75">
        <v>0</v>
      </c>
      <c r="Q2195" s="75">
        <v>0</v>
      </c>
      <c r="R2195" s="75">
        <v>0</v>
      </c>
      <c r="S2195" s="75">
        <v>0</v>
      </c>
      <c r="T2195" s="75">
        <v>0</v>
      </c>
      <c r="U2195" s="75">
        <v>0</v>
      </c>
      <c r="V2195" s="75">
        <v>0</v>
      </c>
      <c r="W2195" s="78">
        <v>0</v>
      </c>
    </row>
    <row r="2196" spans="1:23" s="75" customFormat="1" hidden="1" x14ac:dyDescent="0.35">
      <c r="A2196" s="75">
        <v>2192</v>
      </c>
      <c r="B2196" s="75">
        <v>2193</v>
      </c>
      <c r="C2196">
        <v>146.0292105</v>
      </c>
      <c r="D2196">
        <v>-17.486192429999999</v>
      </c>
      <c r="F2196" s="75" t="str">
        <f>HYPERLINK("E:\Data From Lucan\2024\Johnstone\Frames_for_Analysis\2193_20240610_0003_L_3041.jpg","2193_20240610_0003_L_3041.jpg")</f>
        <v>2193_20240610_0003_L_3041.jpg</v>
      </c>
      <c r="G2196" s="75">
        <v>6</v>
      </c>
      <c r="I2196">
        <f t="shared" si="34"/>
        <v>1</v>
      </c>
      <c r="J2196" s="75">
        <v>1</v>
      </c>
      <c r="K2196" s="77"/>
      <c r="L2196" s="77"/>
      <c r="M2196" s="77"/>
      <c r="N2196" s="77"/>
      <c r="O2196" s="75">
        <v>1</v>
      </c>
      <c r="P2196" s="75">
        <v>0</v>
      </c>
      <c r="Q2196" s="75">
        <v>0</v>
      </c>
      <c r="R2196" s="75">
        <v>0</v>
      </c>
      <c r="S2196" s="75">
        <v>0</v>
      </c>
      <c r="T2196" s="75">
        <v>0</v>
      </c>
      <c r="U2196" s="75">
        <v>0</v>
      </c>
      <c r="V2196" s="75">
        <v>0</v>
      </c>
      <c r="W2196" s="78">
        <v>0</v>
      </c>
    </row>
    <row r="2197" spans="1:23" s="75" customFormat="1" hidden="1" x14ac:dyDescent="0.35">
      <c r="A2197" s="75">
        <v>2193</v>
      </c>
      <c r="B2197" s="75">
        <v>2194</v>
      </c>
      <c r="C2197">
        <v>146.02920929999999</v>
      </c>
      <c r="D2197">
        <v>-17.486098139999999</v>
      </c>
      <c r="F2197" s="75" t="str">
        <f>HYPERLINK("E:\Data From Lucan\2024\Johnstone\Frames_for_Analysis\2194_20240610_0003_L_3044.jpg","2194_20240610_0003_L_3044.jpg")</f>
        <v>2194_20240610_0003_L_3044.jpg</v>
      </c>
      <c r="G2197" s="75">
        <v>6</v>
      </c>
      <c r="I2197">
        <f t="shared" si="34"/>
        <v>1</v>
      </c>
      <c r="J2197" s="75">
        <v>1</v>
      </c>
      <c r="K2197" s="77"/>
      <c r="L2197" s="77"/>
      <c r="M2197" s="77"/>
      <c r="N2197" s="77"/>
      <c r="O2197" s="75">
        <v>1</v>
      </c>
      <c r="P2197" s="75">
        <v>0</v>
      </c>
      <c r="Q2197" s="75">
        <v>0</v>
      </c>
      <c r="R2197" s="75">
        <v>0</v>
      </c>
      <c r="S2197" s="75">
        <v>0</v>
      </c>
      <c r="T2197" s="75">
        <v>0</v>
      </c>
      <c r="U2197" s="75">
        <v>0</v>
      </c>
      <c r="V2197" s="75">
        <v>0</v>
      </c>
      <c r="W2197" s="78">
        <v>0</v>
      </c>
    </row>
    <row r="2198" spans="1:23" s="75" customFormat="1" hidden="1" x14ac:dyDescent="0.35">
      <c r="A2198" s="75">
        <v>2194</v>
      </c>
      <c r="B2198" s="75">
        <v>2195</v>
      </c>
      <c r="C2198">
        <v>146.02920810000001</v>
      </c>
      <c r="D2198">
        <v>-17.486003839999999</v>
      </c>
      <c r="F2198" s="75" t="str">
        <f>HYPERLINK("E:\Data From Lucan\2024\Johnstone\Frames_for_Analysis\2195_20240610_0003_L_3048.jpg","2195_20240610_0003_L_3048.jpg")</f>
        <v>2195_20240610_0003_L_3048.jpg</v>
      </c>
      <c r="G2198" s="75">
        <v>6</v>
      </c>
      <c r="I2198">
        <f t="shared" si="34"/>
        <v>0</v>
      </c>
      <c r="J2198" s="75">
        <v>0</v>
      </c>
      <c r="K2198" s="77"/>
      <c r="L2198" s="77"/>
      <c r="M2198" s="77"/>
      <c r="N2198" s="77"/>
      <c r="O2198" s="75">
        <v>1</v>
      </c>
      <c r="P2198" s="75">
        <v>0</v>
      </c>
      <c r="Q2198" s="75">
        <v>0</v>
      </c>
      <c r="R2198" s="75">
        <v>0</v>
      </c>
      <c r="S2198" s="75">
        <v>0</v>
      </c>
      <c r="T2198" s="75">
        <v>0</v>
      </c>
      <c r="U2198" s="75">
        <v>0</v>
      </c>
      <c r="V2198" s="75">
        <v>0</v>
      </c>
      <c r="W2198" s="78">
        <v>0</v>
      </c>
    </row>
    <row r="2199" spans="1:23" s="75" customFormat="1" hidden="1" x14ac:dyDescent="0.35">
      <c r="A2199" s="75">
        <v>2195</v>
      </c>
      <c r="B2199" s="75">
        <v>2196</v>
      </c>
      <c r="C2199">
        <v>146.02920689999999</v>
      </c>
      <c r="D2199">
        <v>-17.485909549999999</v>
      </c>
      <c r="F2199" s="75" t="str">
        <f>HYPERLINK("E:\Data From Lucan\2024\Johnstone\Frames_for_Analysis\2196_20240610_0003_L_3050.jpg","2196_20240610_0003_L_3050.jpg")</f>
        <v>2196_20240610_0003_L_3050.jpg</v>
      </c>
      <c r="G2199" s="75">
        <v>6</v>
      </c>
      <c r="I2199">
        <f t="shared" si="34"/>
        <v>1</v>
      </c>
      <c r="J2199" s="75">
        <v>1</v>
      </c>
      <c r="K2199" s="77"/>
      <c r="L2199" s="77"/>
      <c r="M2199" s="77"/>
      <c r="N2199" s="77"/>
      <c r="O2199" s="75">
        <v>1</v>
      </c>
      <c r="P2199" s="75">
        <v>0</v>
      </c>
      <c r="Q2199" s="75">
        <v>0</v>
      </c>
      <c r="R2199" s="75">
        <v>0</v>
      </c>
      <c r="S2199" s="75">
        <v>0</v>
      </c>
      <c r="T2199" s="75">
        <v>0</v>
      </c>
      <c r="U2199" s="75">
        <v>0</v>
      </c>
      <c r="V2199" s="75">
        <v>0</v>
      </c>
      <c r="W2199" s="78">
        <v>0</v>
      </c>
    </row>
    <row r="2200" spans="1:23" s="75" customFormat="1" hidden="1" x14ac:dyDescent="0.35">
      <c r="A2200" s="75">
        <v>2196</v>
      </c>
      <c r="B2200" s="75">
        <v>2197</v>
      </c>
      <c r="C2200">
        <v>146.02920570000001</v>
      </c>
      <c r="D2200">
        <v>-17.485815250000002</v>
      </c>
      <c r="F2200" s="75" t="str">
        <f>HYPERLINK("E:\Data From Lucan\2024\Johnstone\Frames_for_Analysis\2197_20240610_0003_L_3054.jpg","2197_20240610_0003_L_3054.jpg")</f>
        <v>2197_20240610_0003_L_3054.jpg</v>
      </c>
      <c r="G2200" s="75">
        <v>6</v>
      </c>
      <c r="I2200">
        <f t="shared" si="34"/>
        <v>1</v>
      </c>
      <c r="J2200" s="75">
        <v>1</v>
      </c>
      <c r="K2200" s="77"/>
      <c r="L2200" s="77"/>
      <c r="M2200" s="77"/>
      <c r="N2200" s="77"/>
      <c r="O2200" s="75">
        <v>1</v>
      </c>
      <c r="P2200" s="75">
        <v>0</v>
      </c>
      <c r="Q2200" s="75">
        <v>0</v>
      </c>
      <c r="R2200" s="75">
        <v>0</v>
      </c>
      <c r="S2200" s="75">
        <v>0</v>
      </c>
      <c r="T2200" s="75">
        <v>0</v>
      </c>
      <c r="U2200" s="75">
        <v>0</v>
      </c>
      <c r="V2200" s="75">
        <v>0</v>
      </c>
      <c r="W2200" s="78">
        <v>0</v>
      </c>
    </row>
    <row r="2201" spans="1:23" s="75" customFormat="1" hidden="1" x14ac:dyDescent="0.35">
      <c r="A2201" s="75">
        <v>2197</v>
      </c>
      <c r="B2201" s="75">
        <v>2198</v>
      </c>
      <c r="C2201">
        <v>146.02920449999999</v>
      </c>
      <c r="D2201">
        <v>-17.485720959999998</v>
      </c>
      <c r="F2201" s="75" t="str">
        <f>HYPERLINK("E:\Data From Lucan\2024\Johnstone\Frames_for_Analysis\2198_20240610_0003_L_3057.jpg","2198_20240610_0003_L_3057.jpg")</f>
        <v>2198_20240610_0003_L_3057.jpg</v>
      </c>
      <c r="G2201" s="75">
        <v>6</v>
      </c>
      <c r="I2201">
        <f t="shared" si="34"/>
        <v>1</v>
      </c>
      <c r="J2201" s="75">
        <v>1</v>
      </c>
      <c r="K2201" s="77"/>
      <c r="L2201" s="77"/>
      <c r="M2201" s="77"/>
      <c r="N2201" s="77"/>
      <c r="O2201" s="75">
        <v>1</v>
      </c>
      <c r="P2201" s="75">
        <v>0</v>
      </c>
      <c r="Q2201" s="75">
        <v>0</v>
      </c>
      <c r="R2201" s="75">
        <v>0</v>
      </c>
      <c r="S2201" s="75">
        <v>0</v>
      </c>
      <c r="T2201" s="75">
        <v>0</v>
      </c>
      <c r="U2201" s="75">
        <v>0</v>
      </c>
      <c r="V2201" s="75">
        <v>0</v>
      </c>
      <c r="W2201" s="78">
        <v>0</v>
      </c>
    </row>
    <row r="2202" spans="1:23" s="75" customFormat="1" hidden="1" x14ac:dyDescent="0.35">
      <c r="A2202" s="75">
        <v>2198</v>
      </c>
      <c r="B2202" s="75">
        <v>2199</v>
      </c>
      <c r="C2202">
        <v>146.02920320000001</v>
      </c>
      <c r="D2202">
        <v>-17.485626660000001</v>
      </c>
      <c r="F2202" s="75" t="str">
        <f>HYPERLINK("E:\Data From Lucan\2024\Johnstone\Frames_for_Analysis\2199_20240610_0003_L_3065.jpg","2199_20240610_0003_L_3065.jpg")</f>
        <v>2199_20240610_0003_L_3065.jpg</v>
      </c>
      <c r="G2202" s="75">
        <v>6</v>
      </c>
      <c r="I2202">
        <f t="shared" si="34"/>
        <v>0</v>
      </c>
      <c r="J2202" s="75">
        <v>0</v>
      </c>
      <c r="K2202" s="77"/>
      <c r="L2202" s="77"/>
      <c r="M2202" s="77"/>
      <c r="N2202" s="77"/>
      <c r="O2202" s="75">
        <v>2</v>
      </c>
      <c r="P2202" s="75">
        <v>0</v>
      </c>
      <c r="Q2202" s="75">
        <v>0</v>
      </c>
      <c r="R2202" s="75">
        <v>0</v>
      </c>
      <c r="S2202" s="75">
        <v>0</v>
      </c>
      <c r="T2202" s="75">
        <v>0</v>
      </c>
      <c r="U2202" s="75">
        <v>0</v>
      </c>
      <c r="V2202" s="75">
        <v>0</v>
      </c>
      <c r="W2202" s="78">
        <v>1</v>
      </c>
    </row>
    <row r="2203" spans="1:23" s="75" customFormat="1" hidden="1" x14ac:dyDescent="0.35">
      <c r="A2203" s="75">
        <v>2199</v>
      </c>
      <c r="B2203" s="75">
        <v>2200</v>
      </c>
      <c r="C2203">
        <v>146.029202</v>
      </c>
      <c r="D2203">
        <v>-17.485532360000001</v>
      </c>
      <c r="F2203" s="75" t="str">
        <f>HYPERLINK("E:\Data From Lucan\2024\Johnstone\Frames_for_Analysis\2200_20240610_0003_L_3071.jpg","2200_20240610_0003_L_3071.jpg")</f>
        <v>2200_20240610_0003_L_3071.jpg</v>
      </c>
      <c r="G2203" s="75">
        <v>6</v>
      </c>
      <c r="I2203">
        <f t="shared" si="34"/>
        <v>0</v>
      </c>
      <c r="J2203" s="75">
        <v>0</v>
      </c>
      <c r="K2203" s="77"/>
      <c r="L2203" s="77"/>
      <c r="M2203" s="77"/>
      <c r="N2203" s="77"/>
      <c r="O2203" s="75">
        <v>2</v>
      </c>
      <c r="P2203" s="75">
        <v>0</v>
      </c>
      <c r="Q2203" s="75">
        <v>0</v>
      </c>
      <c r="R2203" s="75">
        <v>0</v>
      </c>
      <c r="S2203" s="75">
        <v>0</v>
      </c>
      <c r="T2203" s="75">
        <v>0</v>
      </c>
      <c r="U2203" s="75">
        <v>0</v>
      </c>
      <c r="V2203" s="75">
        <v>0</v>
      </c>
      <c r="W2203" s="78">
        <v>1</v>
      </c>
    </row>
    <row r="2204" spans="1:23" s="75" customFormat="1" hidden="1" x14ac:dyDescent="0.35">
      <c r="A2204" s="75">
        <v>2200</v>
      </c>
      <c r="B2204" s="75">
        <v>2201</v>
      </c>
      <c r="C2204">
        <v>146.02920080000001</v>
      </c>
      <c r="D2204">
        <v>-17.485438070000001</v>
      </c>
      <c r="F2204" s="75" t="str">
        <f>HYPERLINK("E:\Data From Lucan\2024\Johnstone\Frames_for_Analysis\2201_20240610_0003_L_3077.jpg","2201_20240610_0003_L_3077.jpg")</f>
        <v>2201_20240610_0003_L_3077.jpg</v>
      </c>
      <c r="G2204" s="75">
        <v>6</v>
      </c>
      <c r="I2204">
        <f t="shared" si="34"/>
        <v>1</v>
      </c>
      <c r="J2204" s="75">
        <v>1</v>
      </c>
      <c r="K2204" s="77"/>
      <c r="L2204" s="77"/>
      <c r="M2204" s="77"/>
      <c r="N2204" s="77"/>
      <c r="O2204" s="75">
        <v>2</v>
      </c>
      <c r="P2204" s="75">
        <v>0</v>
      </c>
      <c r="Q2204" s="75">
        <v>0</v>
      </c>
      <c r="R2204" s="75">
        <v>0</v>
      </c>
      <c r="S2204" s="75">
        <v>0</v>
      </c>
      <c r="T2204" s="75">
        <v>0</v>
      </c>
      <c r="U2204" s="75">
        <v>0</v>
      </c>
      <c r="V2204" s="75">
        <v>1</v>
      </c>
      <c r="W2204" s="78">
        <v>1</v>
      </c>
    </row>
    <row r="2205" spans="1:23" s="75" customFormat="1" hidden="1" x14ac:dyDescent="0.35">
      <c r="A2205" s="75">
        <v>2201</v>
      </c>
      <c r="B2205" s="75">
        <v>2202</v>
      </c>
      <c r="C2205">
        <v>146.0291996</v>
      </c>
      <c r="D2205">
        <v>-17.48534377</v>
      </c>
      <c r="F2205" s="75" t="str">
        <f>HYPERLINK("E:\Data From Lucan\2024\Johnstone\Frames_for_Analysis\2202_20240610_0003_L_3080.jpg","2202_20240610_0003_L_3080.jpg")</f>
        <v>2202_20240610_0003_L_3080.jpg</v>
      </c>
      <c r="G2205" s="75">
        <v>6</v>
      </c>
      <c r="I2205">
        <f t="shared" si="34"/>
        <v>0</v>
      </c>
      <c r="J2205" s="75">
        <v>0</v>
      </c>
      <c r="K2205" s="77"/>
      <c r="L2205" s="77"/>
      <c r="M2205" s="77"/>
      <c r="N2205" s="77"/>
      <c r="O2205" s="75">
        <v>2</v>
      </c>
      <c r="P2205" s="75">
        <v>0</v>
      </c>
      <c r="Q2205" s="75">
        <v>0</v>
      </c>
      <c r="R2205" s="75">
        <v>0</v>
      </c>
      <c r="S2205" s="75">
        <v>0</v>
      </c>
      <c r="T2205" s="75">
        <v>0</v>
      </c>
      <c r="U2205" s="75">
        <v>0</v>
      </c>
      <c r="V2205" s="75">
        <v>0</v>
      </c>
      <c r="W2205" s="78">
        <v>1</v>
      </c>
    </row>
    <row r="2206" spans="1:23" s="75" customFormat="1" hidden="1" x14ac:dyDescent="0.35">
      <c r="A2206" s="75">
        <v>2202</v>
      </c>
      <c r="B2206" s="75">
        <v>2203</v>
      </c>
      <c r="C2206">
        <v>146.02919840000001</v>
      </c>
      <c r="D2206">
        <v>-17.48524948</v>
      </c>
      <c r="F2206" s="75" t="str">
        <f>HYPERLINK("E:\Data From Lucan\2024\Johnstone\Frames_for_Analysis\2203_20240610_0003_L_3084.jpg","2203_20240610_0003_L_3084.jpg")</f>
        <v>2203_20240610_0003_L_3084.jpg</v>
      </c>
      <c r="G2206" s="75">
        <v>6</v>
      </c>
      <c r="I2206">
        <f t="shared" si="34"/>
        <v>0</v>
      </c>
      <c r="J2206" s="75">
        <v>0</v>
      </c>
      <c r="K2206" s="77"/>
      <c r="L2206" s="77"/>
      <c r="M2206" s="77"/>
      <c r="N2206" s="77"/>
      <c r="O2206" s="75">
        <v>2</v>
      </c>
      <c r="P2206" s="75">
        <v>0</v>
      </c>
      <c r="Q2206" s="75">
        <v>0</v>
      </c>
      <c r="R2206" s="75">
        <v>0</v>
      </c>
      <c r="S2206" s="75">
        <v>0</v>
      </c>
      <c r="T2206" s="75">
        <v>1</v>
      </c>
      <c r="U2206" s="75">
        <v>0</v>
      </c>
      <c r="V2206" s="75">
        <v>0</v>
      </c>
      <c r="W2206" s="78">
        <v>1</v>
      </c>
    </row>
    <row r="2207" spans="1:23" s="75" customFormat="1" hidden="1" x14ac:dyDescent="0.35">
      <c r="A2207" s="75">
        <v>2203</v>
      </c>
      <c r="B2207" s="75">
        <v>2204</v>
      </c>
      <c r="C2207">
        <v>146.0291972</v>
      </c>
      <c r="D2207">
        <v>-17.48515518</v>
      </c>
      <c r="F2207" s="75" t="str">
        <f>HYPERLINK("E:\Data From Lucan\2024\Johnstone\Frames_for_Analysis\2204_20240610_0003_L_3087.jpg","2204_20240610_0003_L_3087.jpg")</f>
        <v>2204_20240610_0003_L_3087.jpg</v>
      </c>
      <c r="G2207" s="75">
        <v>6</v>
      </c>
      <c r="I2207">
        <f t="shared" si="34"/>
        <v>0</v>
      </c>
      <c r="J2207" s="75">
        <v>0</v>
      </c>
      <c r="K2207" s="77"/>
      <c r="L2207" s="77"/>
      <c r="M2207" s="77"/>
      <c r="N2207" s="77"/>
      <c r="O2207" s="75">
        <v>2</v>
      </c>
      <c r="P2207" s="75">
        <v>0</v>
      </c>
      <c r="Q2207" s="75">
        <v>0</v>
      </c>
      <c r="R2207" s="75">
        <v>0</v>
      </c>
      <c r="S2207" s="75">
        <v>0</v>
      </c>
      <c r="T2207" s="75">
        <v>0</v>
      </c>
      <c r="U2207" s="75">
        <v>0</v>
      </c>
      <c r="V2207" s="75">
        <v>0</v>
      </c>
      <c r="W2207" s="78">
        <v>1</v>
      </c>
    </row>
    <row r="2208" spans="1:23" s="75" customFormat="1" hidden="1" x14ac:dyDescent="0.35">
      <c r="A2208" s="75">
        <v>2204</v>
      </c>
      <c r="B2208" s="75">
        <v>2205</v>
      </c>
      <c r="C2208">
        <v>146.0291958</v>
      </c>
      <c r="D2208">
        <v>-17.48506089</v>
      </c>
      <c r="F2208" s="75" t="str">
        <f>HYPERLINK("E:\Data From Lucan\2024\Johnstone\Frames_for_Analysis\2205_20240610_0003_L_3090.jpg","2205_20240610_0003_L_3090.jpg")</f>
        <v>2205_20240610_0003_L_3090.jpg</v>
      </c>
      <c r="G2208" s="75">
        <v>6</v>
      </c>
      <c r="I2208">
        <f t="shared" si="34"/>
        <v>0</v>
      </c>
      <c r="J2208" s="75">
        <v>0</v>
      </c>
      <c r="K2208" s="77"/>
      <c r="L2208" s="77"/>
      <c r="M2208" s="77"/>
      <c r="N2208" s="77"/>
      <c r="O2208" s="75">
        <v>2</v>
      </c>
      <c r="P2208" s="75">
        <v>0</v>
      </c>
      <c r="Q2208" s="75">
        <v>0</v>
      </c>
      <c r="R2208" s="75">
        <v>0</v>
      </c>
      <c r="S2208" s="75">
        <v>0</v>
      </c>
      <c r="T2208" s="75">
        <v>0</v>
      </c>
      <c r="U2208" s="75">
        <v>0</v>
      </c>
      <c r="V2208" s="75">
        <v>0</v>
      </c>
      <c r="W2208" s="78">
        <v>1</v>
      </c>
    </row>
    <row r="2209" spans="1:23" s="75" customFormat="1" hidden="1" x14ac:dyDescent="0.35">
      <c r="A2209" s="75">
        <v>2205</v>
      </c>
      <c r="B2209" s="75">
        <v>2206</v>
      </c>
      <c r="C2209">
        <v>146.0291939</v>
      </c>
      <c r="D2209">
        <v>-17.4849666</v>
      </c>
      <c r="F2209" s="75" t="str">
        <f>HYPERLINK("E:\Data From Lucan\2024\Johnstone\Frames_for_Analysis\2206_20240610_0003_L_3092.jpg","2206_20240610_0003_L_3092.jpg")</f>
        <v>2206_20240610_0003_L_3092.jpg</v>
      </c>
      <c r="G2209" s="75">
        <v>6</v>
      </c>
      <c r="I2209">
        <f t="shared" si="34"/>
        <v>0</v>
      </c>
      <c r="J2209" s="75">
        <v>0</v>
      </c>
      <c r="K2209" s="77"/>
      <c r="L2209" s="77"/>
      <c r="M2209" s="77"/>
      <c r="N2209" s="77"/>
      <c r="O2209" s="75">
        <v>2</v>
      </c>
      <c r="P2209" s="75">
        <v>0</v>
      </c>
      <c r="Q2209" s="75">
        <v>0</v>
      </c>
      <c r="R2209" s="75">
        <v>0</v>
      </c>
      <c r="S2209" s="75">
        <v>0</v>
      </c>
      <c r="T2209" s="75">
        <v>0</v>
      </c>
      <c r="U2209" s="75">
        <v>0</v>
      </c>
      <c r="V2209" s="75">
        <v>0</v>
      </c>
      <c r="W2209" s="78">
        <v>1</v>
      </c>
    </row>
    <row r="2210" spans="1:23" s="75" customFormat="1" hidden="1" x14ac:dyDescent="0.35">
      <c r="A2210" s="75">
        <v>2206</v>
      </c>
      <c r="B2210" s="75">
        <v>2207</v>
      </c>
      <c r="C2210">
        <v>146.0291919</v>
      </c>
      <c r="D2210">
        <v>-17.484872320000001</v>
      </c>
      <c r="F2210" s="75" t="str">
        <f>HYPERLINK("E:\Data From Lucan\2024\Johnstone\Frames_for_Analysis\2207_20240610_0003_L_3096.jpg","2207_20240610_0003_L_3096.jpg")</f>
        <v>2207_20240610_0003_L_3096.jpg</v>
      </c>
      <c r="G2210" s="75">
        <v>6</v>
      </c>
      <c r="I2210">
        <f t="shared" si="34"/>
        <v>0</v>
      </c>
      <c r="J2210" s="75">
        <v>0</v>
      </c>
      <c r="K2210" s="77"/>
      <c r="L2210" s="77"/>
      <c r="M2210" s="77"/>
      <c r="N2210" s="77"/>
      <c r="O2210" s="75">
        <v>2</v>
      </c>
      <c r="P2210" s="75">
        <v>0</v>
      </c>
      <c r="Q2210" s="75">
        <v>0</v>
      </c>
      <c r="R2210" s="75">
        <v>0</v>
      </c>
      <c r="S2210" s="75">
        <v>0</v>
      </c>
      <c r="T2210" s="75">
        <v>0</v>
      </c>
      <c r="U2210" s="75">
        <v>0</v>
      </c>
      <c r="V2210" s="75">
        <v>0</v>
      </c>
      <c r="W2210" s="78">
        <v>1</v>
      </c>
    </row>
    <row r="2211" spans="1:23" s="75" customFormat="1" hidden="1" x14ac:dyDescent="0.35">
      <c r="A2211" s="75">
        <v>2207</v>
      </c>
      <c r="B2211" s="75">
        <v>2208</v>
      </c>
      <c r="C2211">
        <v>146.02919</v>
      </c>
      <c r="D2211">
        <v>-17.484778039999998</v>
      </c>
      <c r="F2211" s="75" t="str">
        <f>HYPERLINK("E:\Data From Lucan\2024\Johnstone\Frames_for_Analysis\2208_20240610_0003_L_3098.jpg","2208_20240610_0003_L_3098.jpg")</f>
        <v>2208_20240610_0003_L_3098.jpg</v>
      </c>
      <c r="G2211" s="75">
        <v>6</v>
      </c>
      <c r="I2211">
        <f t="shared" si="34"/>
        <v>1</v>
      </c>
      <c r="J2211" s="75">
        <v>1</v>
      </c>
      <c r="K2211" s="77"/>
      <c r="L2211" s="77"/>
      <c r="M2211" s="77"/>
      <c r="N2211" s="77"/>
      <c r="O2211" s="75">
        <v>2</v>
      </c>
      <c r="P2211" s="75">
        <v>0</v>
      </c>
      <c r="Q2211" s="75">
        <v>0</v>
      </c>
      <c r="R2211" s="75">
        <v>0</v>
      </c>
      <c r="S2211" s="75">
        <v>0</v>
      </c>
      <c r="T2211" s="75">
        <v>0</v>
      </c>
      <c r="U2211" s="75">
        <v>0</v>
      </c>
      <c r="V2211" s="75">
        <v>0</v>
      </c>
      <c r="W2211" s="78">
        <v>1</v>
      </c>
    </row>
    <row r="2212" spans="1:23" s="75" customFormat="1" hidden="1" x14ac:dyDescent="0.35">
      <c r="A2212" s="75">
        <v>2208</v>
      </c>
      <c r="B2212" s="75">
        <v>2209</v>
      </c>
      <c r="C2212">
        <v>146.029188</v>
      </c>
      <c r="D2212">
        <v>-17.484683749999999</v>
      </c>
      <c r="F2212" s="75" t="str">
        <f>HYPERLINK("E:\Data From Lucan\2024\Johnstone\Frames_for_Analysis\2209_20240610_0003_L_3101.jpg","2209_20240610_0003_L_3101.jpg")</f>
        <v>2209_20240610_0003_L_3101.jpg</v>
      </c>
      <c r="G2212" s="75">
        <v>6</v>
      </c>
      <c r="I2212">
        <f t="shared" si="34"/>
        <v>0</v>
      </c>
      <c r="J2212" s="75">
        <v>0</v>
      </c>
      <c r="K2212" s="77"/>
      <c r="L2212" s="77"/>
      <c r="M2212" s="77"/>
      <c r="N2212" s="77"/>
      <c r="O2212" s="75">
        <v>2</v>
      </c>
      <c r="P2212" s="75">
        <v>0</v>
      </c>
      <c r="Q2212" s="75">
        <v>0</v>
      </c>
      <c r="R2212" s="75">
        <v>0</v>
      </c>
      <c r="S2212" s="75">
        <v>0</v>
      </c>
      <c r="T2212" s="75">
        <v>0</v>
      </c>
      <c r="U2212" s="75">
        <v>0</v>
      </c>
      <c r="V2212" s="75">
        <v>0</v>
      </c>
      <c r="W2212" s="78">
        <v>1</v>
      </c>
    </row>
    <row r="2213" spans="1:23" s="75" customFormat="1" hidden="1" x14ac:dyDescent="0.35">
      <c r="A2213" s="75">
        <v>2209</v>
      </c>
      <c r="B2213" s="75">
        <v>2210</v>
      </c>
      <c r="C2213">
        <v>146.02917969999999</v>
      </c>
      <c r="D2213">
        <v>-17.484589929999999</v>
      </c>
      <c r="F2213" s="75" t="str">
        <f>HYPERLINK("E:\Data From Lucan\2024\Johnstone\Frames_for_Analysis\2210_20240610_0003_L_3104.jpg","2210_20240610_0003_L_3104.jpg")</f>
        <v>2210_20240610_0003_L_3104.jpg</v>
      </c>
      <c r="G2213" s="75">
        <v>6</v>
      </c>
      <c r="I2213">
        <f t="shared" si="34"/>
        <v>0</v>
      </c>
      <c r="J2213" s="75">
        <v>0</v>
      </c>
      <c r="K2213" s="77"/>
      <c r="L2213" s="77"/>
      <c r="M2213" s="77"/>
      <c r="N2213" s="77"/>
      <c r="O2213" s="75">
        <v>2</v>
      </c>
      <c r="P2213" s="75">
        <v>0</v>
      </c>
      <c r="Q2213" s="75">
        <v>0</v>
      </c>
      <c r="R2213" s="75">
        <v>0</v>
      </c>
      <c r="S2213" s="75">
        <v>0</v>
      </c>
      <c r="T2213" s="75">
        <v>0</v>
      </c>
      <c r="U2213" s="75">
        <v>0</v>
      </c>
      <c r="V2213" s="75">
        <v>0</v>
      </c>
      <c r="W2213" s="78">
        <v>1</v>
      </c>
    </row>
    <row r="2214" spans="1:23" s="75" customFormat="1" hidden="1" x14ac:dyDescent="0.35">
      <c r="A2214" s="75">
        <v>2210</v>
      </c>
      <c r="B2214" s="75">
        <v>2211</v>
      </c>
      <c r="C2214">
        <v>146.029168</v>
      </c>
      <c r="D2214">
        <v>-17.484496360000001</v>
      </c>
      <c r="F2214" s="75" t="str">
        <f>HYPERLINK("E:\Data From Lucan\2024\Johnstone\Frames_for_Analysis\2211_20240610_0003_L_3107.jpg","2211_20240610_0003_L_3107.jpg")</f>
        <v>2211_20240610_0003_L_3107.jpg</v>
      </c>
      <c r="G2214" s="75">
        <v>6</v>
      </c>
      <c r="I2214">
        <f t="shared" si="34"/>
        <v>1</v>
      </c>
      <c r="J2214" s="75">
        <v>1</v>
      </c>
      <c r="K2214" s="77"/>
      <c r="L2214" s="77"/>
      <c r="M2214" s="77"/>
      <c r="N2214" s="77"/>
      <c r="O2214" s="75">
        <v>2</v>
      </c>
      <c r="P2214" s="75">
        <v>0</v>
      </c>
      <c r="Q2214" s="75">
        <v>0</v>
      </c>
      <c r="R2214" s="75">
        <v>0</v>
      </c>
      <c r="S2214" s="75">
        <v>0</v>
      </c>
      <c r="T2214" s="75">
        <v>0</v>
      </c>
      <c r="U2214" s="75">
        <v>0</v>
      </c>
      <c r="V2214" s="75">
        <v>0</v>
      </c>
      <c r="W2214" s="78">
        <v>1</v>
      </c>
    </row>
    <row r="2215" spans="1:23" s="75" customFormat="1" hidden="1" x14ac:dyDescent="0.35">
      <c r="A2215" s="75">
        <v>2211</v>
      </c>
      <c r="B2215" s="75">
        <v>2212</v>
      </c>
      <c r="C2215">
        <v>146.02915630000001</v>
      </c>
      <c r="D2215">
        <v>-17.48440278</v>
      </c>
      <c r="F2215" s="75" t="str">
        <f>HYPERLINK("E:\Data From Lucan\2024\Johnstone\Frames_for_Analysis\2212_20240610_0003_L_3110.jpg","2212_20240610_0003_L_3110.jpg")</f>
        <v>2212_20240610_0003_L_3110.jpg</v>
      </c>
      <c r="G2215" s="75">
        <v>6</v>
      </c>
      <c r="I2215">
        <f t="shared" si="34"/>
        <v>1</v>
      </c>
      <c r="J2215" s="75">
        <v>1</v>
      </c>
      <c r="K2215" s="77"/>
      <c r="L2215" s="77"/>
      <c r="M2215" s="77"/>
      <c r="N2215" s="77"/>
      <c r="O2215" s="75">
        <v>2</v>
      </c>
      <c r="P2215" s="75">
        <v>0</v>
      </c>
      <c r="Q2215" s="75">
        <v>0</v>
      </c>
      <c r="R2215" s="75">
        <v>0</v>
      </c>
      <c r="S2215" s="75">
        <v>0</v>
      </c>
      <c r="T2215" s="75">
        <v>0</v>
      </c>
      <c r="U2215" s="75">
        <v>0</v>
      </c>
      <c r="V2215" s="75">
        <v>0</v>
      </c>
      <c r="W2215" s="78">
        <v>1</v>
      </c>
    </row>
    <row r="2216" spans="1:23" s="75" customFormat="1" hidden="1" x14ac:dyDescent="0.35">
      <c r="A2216" s="75">
        <v>2212</v>
      </c>
      <c r="B2216" s="75">
        <v>2213</v>
      </c>
      <c r="C2216">
        <v>146.0291446</v>
      </c>
      <c r="D2216">
        <v>-17.484309199999998</v>
      </c>
      <c r="F2216" s="75" t="str">
        <f>HYPERLINK("E:\Data From Lucan\2024\Johnstone\Frames_for_Analysis\2213_20240610_0003_L_3113.jpg","2213_20240610_0003_L_3113.jpg")</f>
        <v>2213_20240610_0003_L_3113.jpg</v>
      </c>
      <c r="G2216" s="75">
        <v>6</v>
      </c>
      <c r="I2216">
        <f t="shared" si="34"/>
        <v>0</v>
      </c>
      <c r="J2216" s="75">
        <v>0</v>
      </c>
      <c r="K2216" s="77"/>
      <c r="L2216" s="77"/>
      <c r="M2216" s="77"/>
      <c r="N2216" s="77"/>
      <c r="O2216" s="75">
        <v>1</v>
      </c>
      <c r="P2216" s="75">
        <v>0</v>
      </c>
      <c r="Q2216" s="75">
        <v>0</v>
      </c>
      <c r="R2216" s="75">
        <v>0</v>
      </c>
      <c r="S2216" s="75">
        <v>0</v>
      </c>
      <c r="T2216" s="75">
        <v>0</v>
      </c>
      <c r="U2216" s="75">
        <v>0</v>
      </c>
      <c r="V2216" s="75">
        <v>0</v>
      </c>
      <c r="W2216" s="78">
        <v>0</v>
      </c>
    </row>
    <row r="2217" spans="1:23" s="75" customFormat="1" hidden="1" x14ac:dyDescent="0.35">
      <c r="A2217" s="75">
        <v>2213</v>
      </c>
      <c r="B2217" s="75">
        <v>2214</v>
      </c>
      <c r="C2217">
        <v>146.02912509999999</v>
      </c>
      <c r="D2217">
        <v>-17.48421694</v>
      </c>
      <c r="F2217" s="75" t="str">
        <f>HYPERLINK("E:\Data From Lucan\2024\Johnstone\Frames_for_Analysis\2214_20240610_0003_L_3116.jpg","2214_20240610_0003_L_3116.jpg")</f>
        <v>2214_20240610_0003_L_3116.jpg</v>
      </c>
      <c r="G2217" s="75">
        <v>6</v>
      </c>
      <c r="I2217">
        <f t="shared" si="34"/>
        <v>1</v>
      </c>
      <c r="J2217" s="75">
        <v>1</v>
      </c>
      <c r="K2217" s="77"/>
      <c r="L2217" s="77"/>
      <c r="M2217" s="77"/>
      <c r="N2217" s="77"/>
      <c r="O2217" s="75">
        <v>1</v>
      </c>
      <c r="P2217" s="75">
        <v>0</v>
      </c>
      <c r="Q2217" s="75">
        <v>0</v>
      </c>
      <c r="R2217" s="75">
        <v>0</v>
      </c>
      <c r="S2217" s="75">
        <v>0</v>
      </c>
      <c r="T2217" s="75">
        <v>0</v>
      </c>
      <c r="U2217" s="75">
        <v>0</v>
      </c>
      <c r="V2217" s="75">
        <v>0</v>
      </c>
      <c r="W2217" s="78">
        <v>0</v>
      </c>
    </row>
    <row r="2218" spans="1:23" s="75" customFormat="1" hidden="1" x14ac:dyDescent="0.35">
      <c r="A2218" s="75">
        <v>2214</v>
      </c>
      <c r="B2218" s="75">
        <v>2215</v>
      </c>
      <c r="C2218">
        <v>146.02910560000001</v>
      </c>
      <c r="D2218">
        <v>-17.484124680000001</v>
      </c>
      <c r="F2218" s="75" t="str">
        <f>HYPERLINK("E:\Data From Lucan\2024\Johnstone\Frames_for_Analysis\2215_20240610_0003_L_3121.jpg","2215_20240610_0003_L_3121.jpg")</f>
        <v>2215_20240610_0003_L_3121.jpg</v>
      </c>
      <c r="G2218" s="75">
        <v>6</v>
      </c>
      <c r="I2218">
        <f t="shared" si="34"/>
        <v>1</v>
      </c>
      <c r="J2218" s="75">
        <v>1</v>
      </c>
      <c r="K2218" s="77"/>
      <c r="L2218" s="77"/>
      <c r="M2218" s="77"/>
      <c r="N2218" s="77"/>
      <c r="O2218" s="75">
        <v>1</v>
      </c>
      <c r="P2218" s="75">
        <v>0</v>
      </c>
      <c r="Q2218" s="75">
        <v>0</v>
      </c>
      <c r="R2218" s="75">
        <v>0</v>
      </c>
      <c r="S2218" s="75">
        <v>0</v>
      </c>
      <c r="T2218" s="75">
        <v>0</v>
      </c>
      <c r="U2218" s="75">
        <v>0</v>
      </c>
      <c r="V2218" s="75">
        <v>0</v>
      </c>
      <c r="W2218" s="78">
        <v>0</v>
      </c>
    </row>
    <row r="2219" spans="1:23" s="75" customFormat="1" hidden="1" x14ac:dyDescent="0.35">
      <c r="A2219" s="75">
        <v>2215</v>
      </c>
      <c r="B2219" s="75">
        <v>2216</v>
      </c>
      <c r="C2219">
        <v>146.02907959999999</v>
      </c>
      <c r="D2219">
        <v>-17.484034999999999</v>
      </c>
      <c r="F2219" s="75" t="str">
        <f>HYPERLINK("E:\Data From Lucan\2024\Johnstone\Frames_for_Analysis\2216_20240610_0003_L_3126.jpg","2216_20240610_0003_L_3126.jpg")</f>
        <v>2216_20240610_0003_L_3126.jpg</v>
      </c>
      <c r="G2219" s="75">
        <v>6</v>
      </c>
      <c r="I2219">
        <f t="shared" si="34"/>
        <v>1</v>
      </c>
      <c r="J2219" s="75">
        <v>1</v>
      </c>
      <c r="K2219" s="77"/>
      <c r="L2219" s="77"/>
      <c r="M2219" s="77"/>
      <c r="N2219" s="77"/>
      <c r="O2219" s="75">
        <v>1</v>
      </c>
      <c r="P2219" s="75">
        <v>0</v>
      </c>
      <c r="Q2219" s="75">
        <v>0</v>
      </c>
      <c r="R2219" s="75">
        <v>0</v>
      </c>
      <c r="S2219" s="75">
        <v>0</v>
      </c>
      <c r="T2219" s="75">
        <v>0</v>
      </c>
      <c r="U2219" s="75">
        <v>0</v>
      </c>
      <c r="V2219" s="75">
        <v>0</v>
      </c>
      <c r="W2219" s="78">
        <v>0</v>
      </c>
    </row>
    <row r="2220" spans="1:23" s="75" customFormat="1" hidden="1" x14ac:dyDescent="0.35">
      <c r="A2220" s="75">
        <v>2216</v>
      </c>
      <c r="B2220" s="75">
        <v>2217</v>
      </c>
      <c r="C2220">
        <v>146.0290301</v>
      </c>
      <c r="D2220">
        <v>-17.483954780000001</v>
      </c>
      <c r="F2220" s="75" t="str">
        <f>HYPERLINK("E:\Data From Lucan\2024\Johnstone\Frames_for_Analysis\2217_20240610_0003_L_3132.jpg","2217_20240610_0003_L_3132.jpg")</f>
        <v>2217_20240610_0003_L_3132.jpg</v>
      </c>
      <c r="G2220" s="75">
        <v>6</v>
      </c>
      <c r="I2220">
        <f t="shared" si="34"/>
        <v>1</v>
      </c>
      <c r="J2220" s="75">
        <v>1</v>
      </c>
      <c r="K2220" s="77"/>
      <c r="L2220" s="77"/>
      <c r="M2220" s="77"/>
      <c r="N2220" s="77"/>
      <c r="O2220" s="75">
        <v>1</v>
      </c>
      <c r="P2220" s="75">
        <v>0</v>
      </c>
      <c r="Q2220" s="75">
        <v>0</v>
      </c>
      <c r="R2220" s="75">
        <v>0</v>
      </c>
      <c r="S2220" s="75">
        <v>0</v>
      </c>
      <c r="T2220" s="75">
        <v>0</v>
      </c>
      <c r="U2220" s="75">
        <v>0</v>
      </c>
      <c r="V2220" s="75">
        <v>0</v>
      </c>
      <c r="W2220" s="78">
        <v>0</v>
      </c>
    </row>
    <row r="2221" spans="1:23" s="75" customFormat="1" hidden="1" x14ac:dyDescent="0.35">
      <c r="A2221" s="75">
        <v>2217</v>
      </c>
      <c r="B2221" s="75">
        <v>2218</v>
      </c>
      <c r="C2221">
        <v>146.02897780000001</v>
      </c>
      <c r="D2221">
        <v>-17.48387658</v>
      </c>
      <c r="F2221" s="75" t="str">
        <f>HYPERLINK("E:\Data From Lucan\2024\Johnstone\Frames_for_Analysis\2218_20240610_0003_L_3145.jpg","2218_20240610_0003_L_3145.jpg")</f>
        <v>2218_20240610_0003_L_3145.jpg</v>
      </c>
      <c r="G2221" s="75">
        <v>6</v>
      </c>
      <c r="I2221">
        <f t="shared" si="34"/>
        <v>1</v>
      </c>
      <c r="J2221" s="75">
        <v>1</v>
      </c>
      <c r="K2221" s="77"/>
      <c r="L2221" s="77"/>
      <c r="M2221" s="77"/>
      <c r="N2221" s="77"/>
      <c r="O2221" s="75">
        <v>1</v>
      </c>
      <c r="P2221" s="75">
        <v>0</v>
      </c>
      <c r="Q2221" s="75">
        <v>0</v>
      </c>
      <c r="R2221" s="75">
        <v>0</v>
      </c>
      <c r="S2221" s="75">
        <v>0</v>
      </c>
      <c r="T2221" s="75">
        <v>0</v>
      </c>
      <c r="U2221" s="75">
        <v>0</v>
      </c>
      <c r="V2221" s="75">
        <v>0</v>
      </c>
      <c r="W2221" s="78">
        <v>0</v>
      </c>
    </row>
    <row r="2222" spans="1:23" s="75" customFormat="1" hidden="1" x14ac:dyDescent="0.35">
      <c r="A2222" s="75">
        <v>2218</v>
      </c>
      <c r="B2222" s="75">
        <v>2219</v>
      </c>
      <c r="C2222">
        <v>146.02891529999999</v>
      </c>
      <c r="D2222">
        <v>-17.483805929999999</v>
      </c>
      <c r="F2222" s="75" t="str">
        <f>HYPERLINK("E:\Data From Lucan\2024\Johnstone\Frames_for_Analysis\2219_20240610_0003_L_3149.jpg","2219_20240610_0003_L_3149.jpg")</f>
        <v>2219_20240610_0003_L_3149.jpg</v>
      </c>
      <c r="G2222" s="75">
        <v>6</v>
      </c>
      <c r="I2222">
        <f t="shared" si="34"/>
        <v>1</v>
      </c>
      <c r="J2222" s="75">
        <v>1</v>
      </c>
      <c r="K2222" s="77"/>
      <c r="L2222" s="77"/>
      <c r="M2222" s="77"/>
      <c r="N2222" s="77"/>
      <c r="O2222" s="75">
        <v>1</v>
      </c>
      <c r="P2222" s="75">
        <v>0</v>
      </c>
      <c r="Q2222" s="75">
        <v>0</v>
      </c>
      <c r="R2222" s="75">
        <v>0</v>
      </c>
      <c r="S2222" s="75">
        <v>0</v>
      </c>
      <c r="T2222" s="75">
        <v>0</v>
      </c>
      <c r="U2222" s="75">
        <v>0</v>
      </c>
      <c r="V2222" s="75">
        <v>0</v>
      </c>
      <c r="W2222" s="78">
        <v>0</v>
      </c>
    </row>
    <row r="2223" spans="1:23" s="75" customFormat="1" hidden="1" x14ac:dyDescent="0.35">
      <c r="A2223" s="75">
        <v>2219</v>
      </c>
      <c r="B2223" s="75">
        <v>2220</v>
      </c>
      <c r="C2223">
        <v>146.02885079999999</v>
      </c>
      <c r="D2223">
        <v>-17.48373801</v>
      </c>
      <c r="F2223" s="75" t="str">
        <f>HYPERLINK("E:\Data From Lucan\2024\Johnstone\Frames_for_Analysis\2220_20240610_0003_L_3152.jpg","2220_20240610_0003_L_3152.jpg")</f>
        <v>2220_20240610_0003_L_3152.jpg</v>
      </c>
      <c r="G2223" s="75">
        <v>6</v>
      </c>
      <c r="I2223">
        <f t="shared" si="34"/>
        <v>1</v>
      </c>
      <c r="J2223" s="75">
        <v>1</v>
      </c>
      <c r="K2223" s="77"/>
      <c r="L2223" s="77"/>
      <c r="M2223" s="77"/>
      <c r="N2223" s="77"/>
      <c r="O2223" s="75">
        <v>1</v>
      </c>
      <c r="P2223" s="75">
        <v>0</v>
      </c>
      <c r="Q2223" s="75">
        <v>0</v>
      </c>
      <c r="R2223" s="75">
        <v>0</v>
      </c>
      <c r="S2223" s="75">
        <v>0</v>
      </c>
      <c r="T2223" s="75">
        <v>0</v>
      </c>
      <c r="U2223" s="75">
        <v>0</v>
      </c>
      <c r="V2223" s="75">
        <v>0</v>
      </c>
      <c r="W2223" s="78">
        <v>0</v>
      </c>
    </row>
    <row r="2224" spans="1:23" s="75" customFormat="1" hidden="1" x14ac:dyDescent="0.35">
      <c r="A2224" s="75">
        <v>2220</v>
      </c>
      <c r="B2224" s="75">
        <v>2221</v>
      </c>
      <c r="C2224">
        <v>146.02876470000001</v>
      </c>
      <c r="D2224">
        <v>-17.483699529999999</v>
      </c>
      <c r="F2224" s="75" t="str">
        <f>HYPERLINK("E:\Data From Lucan\2024\Johnstone\Frames_for_Analysis\2221_20240610_0003_L_3156.jpg","2221_20240610_0003_L_3156.jpg")</f>
        <v>2221_20240610_0003_L_3156.jpg</v>
      </c>
      <c r="G2224" s="75">
        <v>6</v>
      </c>
      <c r="I2224">
        <f t="shared" si="34"/>
        <v>1</v>
      </c>
      <c r="J2224" s="75">
        <v>1</v>
      </c>
      <c r="K2224" s="77"/>
      <c r="L2224" s="77"/>
      <c r="M2224" s="77"/>
      <c r="N2224" s="77"/>
      <c r="O2224" s="75">
        <v>1</v>
      </c>
      <c r="P2224" s="75">
        <v>0</v>
      </c>
      <c r="Q2224" s="75">
        <v>0</v>
      </c>
      <c r="R2224" s="75">
        <v>0</v>
      </c>
      <c r="S2224" s="75">
        <v>0</v>
      </c>
      <c r="T2224" s="75">
        <v>0</v>
      </c>
      <c r="U2224" s="75">
        <v>0</v>
      </c>
      <c r="V2224" s="75">
        <v>0</v>
      </c>
      <c r="W2224" s="78">
        <v>0</v>
      </c>
    </row>
    <row r="2225" spans="1:23" s="75" customFormat="1" hidden="1" x14ac:dyDescent="0.35">
      <c r="A2225" s="75">
        <v>2221</v>
      </c>
      <c r="B2225" s="75">
        <v>2222</v>
      </c>
      <c r="C2225">
        <v>146.02867860000001</v>
      </c>
      <c r="D2225">
        <v>-17.483661059999999</v>
      </c>
      <c r="F2225" s="75" t="str">
        <f>HYPERLINK("E:\Data From Lucan\2024\Johnstone\Frames_for_Analysis\2222_20240610_0003_L_3160.jpg","2222_20240610_0003_L_3160.jpg")</f>
        <v>2222_20240610_0003_L_3160.jpg</v>
      </c>
      <c r="I2225">
        <f t="shared" si="34"/>
        <v>1</v>
      </c>
      <c r="J2225" s="75">
        <v>1</v>
      </c>
      <c r="K2225" s="77"/>
      <c r="L2225" s="77"/>
      <c r="M2225" s="77"/>
      <c r="N2225" s="77"/>
      <c r="O2225" s="75">
        <v>1</v>
      </c>
      <c r="P2225" s="75">
        <v>0</v>
      </c>
      <c r="Q2225" s="75">
        <v>0</v>
      </c>
      <c r="R2225" s="75">
        <v>0</v>
      </c>
      <c r="S2225" s="75">
        <v>0</v>
      </c>
      <c r="T2225" s="75">
        <v>0</v>
      </c>
      <c r="U2225" s="75">
        <v>0</v>
      </c>
      <c r="V2225" s="75">
        <v>0</v>
      </c>
      <c r="W2225" s="78">
        <v>0</v>
      </c>
    </row>
    <row r="2226" spans="1:23" s="75" customFormat="1" hidden="1" x14ac:dyDescent="0.35">
      <c r="A2226" s="75">
        <v>2222</v>
      </c>
      <c r="B2226" s="75">
        <v>2223</v>
      </c>
      <c r="C2226">
        <v>146.0285925</v>
      </c>
      <c r="D2226">
        <v>-17.48362259</v>
      </c>
      <c r="F2226" s="75" t="str">
        <f>HYPERLINK("E:\Data From Lucan\2024\Johnstone\Frames_for_Analysis\2223_20240610_0003_L_3163.jpg","2223_20240610_0003_L_3163.jpg")</f>
        <v>2223_20240610_0003_L_3163.jpg</v>
      </c>
      <c r="I2226">
        <f t="shared" si="34"/>
        <v>1</v>
      </c>
      <c r="J2226" s="75">
        <v>1</v>
      </c>
      <c r="K2226" s="77"/>
      <c r="L2226" s="77"/>
      <c r="M2226" s="77"/>
      <c r="N2226" s="77"/>
      <c r="O2226" s="75">
        <v>1</v>
      </c>
      <c r="P2226" s="75">
        <v>0</v>
      </c>
      <c r="Q2226" s="75">
        <v>0</v>
      </c>
      <c r="R2226" s="75">
        <v>0</v>
      </c>
      <c r="S2226" s="75">
        <v>0</v>
      </c>
      <c r="T2226" s="75">
        <v>0</v>
      </c>
      <c r="U2226" s="75">
        <v>0</v>
      </c>
      <c r="V2226" s="75">
        <v>0</v>
      </c>
      <c r="W2226" s="78">
        <v>0</v>
      </c>
    </row>
    <row r="2227" spans="1:23" s="75" customFormat="1" hidden="1" x14ac:dyDescent="0.35">
      <c r="A2227" s="75">
        <v>2223</v>
      </c>
      <c r="B2227" s="75">
        <v>2224</v>
      </c>
      <c r="C2227">
        <v>146.02850649999999</v>
      </c>
      <c r="D2227">
        <v>-17.483584109999999</v>
      </c>
      <c r="F2227" s="75" t="str">
        <f>HYPERLINK("E:\Data From Lucan\2024\Johnstone\Frames_for_Analysis\2224_20240610_0003_L_3167.jpg","2224_20240610_0003_L_3167.jpg")</f>
        <v>2224_20240610_0003_L_3167.jpg</v>
      </c>
      <c r="I2227">
        <f t="shared" si="34"/>
        <v>1</v>
      </c>
      <c r="J2227" s="75">
        <v>1</v>
      </c>
      <c r="K2227" s="77"/>
      <c r="L2227" s="77"/>
      <c r="M2227" s="77"/>
      <c r="N2227" s="77"/>
      <c r="O2227" s="75">
        <v>1</v>
      </c>
      <c r="P2227" s="75">
        <v>0</v>
      </c>
      <c r="Q2227" s="75">
        <v>0</v>
      </c>
      <c r="R2227" s="75">
        <v>0</v>
      </c>
      <c r="S2227" s="75">
        <v>0</v>
      </c>
      <c r="T2227" s="75">
        <v>0</v>
      </c>
      <c r="U2227" s="75">
        <v>0</v>
      </c>
      <c r="V2227" s="75">
        <v>0</v>
      </c>
      <c r="W2227" s="78">
        <v>0</v>
      </c>
    </row>
    <row r="2228" spans="1:23" s="75" customFormat="1" hidden="1" x14ac:dyDescent="0.35">
      <c r="A2228" s="75">
        <v>2224</v>
      </c>
      <c r="B2228" s="75">
        <v>2225</v>
      </c>
      <c r="C2228">
        <v>146.02841860000001</v>
      </c>
      <c r="D2228">
        <v>-17.48355098</v>
      </c>
      <c r="F2228" s="75" t="str">
        <f>HYPERLINK("E:\Data From Lucan\2024\Johnstone\Frames_for_Analysis\2225_20240610_0003_L_3171.jpg","2225_20240610_0003_L_3171.jpg")</f>
        <v>2225_20240610_0003_L_3171.jpg</v>
      </c>
      <c r="I2228">
        <f t="shared" si="34"/>
        <v>1</v>
      </c>
      <c r="J2228" s="75">
        <v>1</v>
      </c>
      <c r="K2228" s="77"/>
      <c r="L2228" s="77"/>
      <c r="M2228" s="77"/>
      <c r="N2228" s="77"/>
      <c r="O2228" s="75">
        <v>1</v>
      </c>
      <c r="P2228" s="75">
        <v>0</v>
      </c>
      <c r="Q2228" s="75">
        <v>0</v>
      </c>
      <c r="R2228" s="75">
        <v>0</v>
      </c>
      <c r="S2228" s="75">
        <v>0</v>
      </c>
      <c r="T2228" s="75">
        <v>0</v>
      </c>
      <c r="U2228" s="75">
        <v>0</v>
      </c>
      <c r="V2228" s="75">
        <v>0</v>
      </c>
      <c r="W2228" s="78">
        <v>0</v>
      </c>
    </row>
    <row r="2229" spans="1:23" s="75" customFormat="1" hidden="1" x14ac:dyDescent="0.35">
      <c r="A2229" s="75">
        <v>2225</v>
      </c>
      <c r="B2229" s="75">
        <v>2226</v>
      </c>
      <c r="C2229">
        <v>146.02832670000001</v>
      </c>
      <c r="D2229">
        <v>-17.483529619999999</v>
      </c>
      <c r="F2229" s="75" t="str">
        <f>HYPERLINK("E:\Data From Lucan\2024\Johnstone\Frames_for_Analysis\2226_20240610_0003_L_3175.jpg","2226_20240610_0003_L_3175.jpg")</f>
        <v>2226_20240610_0003_L_3175.jpg</v>
      </c>
      <c r="I2229">
        <f t="shared" si="34"/>
        <v>1</v>
      </c>
      <c r="J2229" s="75">
        <v>1</v>
      </c>
      <c r="K2229" s="77"/>
      <c r="L2229" s="77"/>
      <c r="M2229" s="77"/>
      <c r="N2229" s="77"/>
      <c r="O2229" s="75">
        <v>1</v>
      </c>
      <c r="P2229" s="75">
        <v>0</v>
      </c>
      <c r="Q2229" s="75">
        <v>0</v>
      </c>
      <c r="R2229" s="75">
        <v>0</v>
      </c>
      <c r="S2229" s="75">
        <v>0</v>
      </c>
      <c r="T2229" s="75">
        <v>0</v>
      </c>
      <c r="U2229" s="75">
        <v>0</v>
      </c>
      <c r="V2229" s="75">
        <v>0</v>
      </c>
      <c r="W2229" s="78">
        <v>0</v>
      </c>
    </row>
    <row r="2230" spans="1:23" s="75" customFormat="1" hidden="1" x14ac:dyDescent="0.35">
      <c r="A2230" s="75">
        <v>2226</v>
      </c>
      <c r="B2230" s="75">
        <v>2227</v>
      </c>
      <c r="C2230">
        <v>146.02823480000001</v>
      </c>
      <c r="D2230">
        <v>-17.483508270000002</v>
      </c>
      <c r="F2230" s="75" t="str">
        <f>HYPERLINK("E:\Data From Lucan\2024\Johnstone\Frames_for_Analysis\2227_20240610_0003_L_3178.jpg","2227_20240610_0003_L_3178.jpg")</f>
        <v>2227_20240610_0003_L_3178.jpg</v>
      </c>
      <c r="I2230">
        <f t="shared" si="34"/>
        <v>1</v>
      </c>
      <c r="J2230" s="75">
        <v>1</v>
      </c>
      <c r="K2230" s="77"/>
      <c r="L2230" s="77"/>
      <c r="M2230" s="77"/>
      <c r="N2230" s="77"/>
      <c r="O2230" s="75">
        <v>1</v>
      </c>
      <c r="P2230" s="75">
        <v>0</v>
      </c>
      <c r="Q2230" s="75">
        <v>0</v>
      </c>
      <c r="R2230" s="75">
        <v>0</v>
      </c>
      <c r="S2230" s="75">
        <v>0</v>
      </c>
      <c r="T2230" s="75">
        <v>0</v>
      </c>
      <c r="U2230" s="75">
        <v>0</v>
      </c>
      <c r="V2230" s="75">
        <v>0</v>
      </c>
      <c r="W2230" s="78">
        <v>0</v>
      </c>
    </row>
    <row r="2231" spans="1:23" s="75" customFormat="1" hidden="1" x14ac:dyDescent="0.35">
      <c r="A2231" s="75">
        <v>2227</v>
      </c>
      <c r="B2231" s="75">
        <v>2228</v>
      </c>
      <c r="C2231">
        <v>146.028143</v>
      </c>
      <c r="D2231">
        <v>-17.483486920000001</v>
      </c>
      <c r="F2231" s="75" t="str">
        <f>HYPERLINK("E:\Data From Lucan\2024\Johnstone\Frames_for_Analysis\2228_20240610_0003_L_3183.jpg","2228_20240610_0003_L_3183.jpg")</f>
        <v>2228_20240610_0003_L_3183.jpg</v>
      </c>
      <c r="I2231">
        <f t="shared" si="34"/>
        <v>1</v>
      </c>
      <c r="J2231" s="75">
        <v>1</v>
      </c>
      <c r="K2231" s="77"/>
      <c r="L2231" s="77"/>
      <c r="M2231" s="77"/>
      <c r="N2231" s="77"/>
      <c r="O2231" s="75">
        <v>1</v>
      </c>
      <c r="P2231" s="75">
        <v>0</v>
      </c>
      <c r="Q2231" s="75">
        <v>0</v>
      </c>
      <c r="R2231" s="75">
        <v>0</v>
      </c>
      <c r="S2231" s="75">
        <v>0</v>
      </c>
      <c r="T2231" s="75">
        <v>0</v>
      </c>
      <c r="U2231" s="75">
        <v>0</v>
      </c>
      <c r="V2231" s="75">
        <v>0</v>
      </c>
      <c r="W2231" s="78">
        <v>0</v>
      </c>
    </row>
    <row r="2232" spans="1:23" s="75" customFormat="1" hidden="1" x14ac:dyDescent="0.35">
      <c r="A2232" s="75">
        <v>2228</v>
      </c>
      <c r="B2232" s="75">
        <v>2229</v>
      </c>
      <c r="C2232">
        <v>146.0280511</v>
      </c>
      <c r="D2232">
        <v>-17.48346557</v>
      </c>
      <c r="F2232" s="75" t="str">
        <f>HYPERLINK("E:\Data From Lucan\2024\Johnstone\Frames_for_Analysis\2229_20240610_0003_L_3188.jpg","2229_20240610_0003_L_3188.jpg")</f>
        <v>2229_20240610_0003_L_3188.jpg</v>
      </c>
      <c r="I2232">
        <f t="shared" si="34"/>
        <v>1</v>
      </c>
      <c r="J2232" s="75">
        <v>1</v>
      </c>
      <c r="K2232" s="77"/>
      <c r="L2232" s="77"/>
      <c r="M2232" s="77"/>
      <c r="N2232" s="77"/>
      <c r="O2232" s="75">
        <v>1</v>
      </c>
      <c r="P2232" s="75">
        <v>0</v>
      </c>
      <c r="Q2232" s="75">
        <v>0</v>
      </c>
      <c r="R2232" s="75">
        <v>0</v>
      </c>
      <c r="S2232" s="75">
        <v>0</v>
      </c>
      <c r="T2232" s="75">
        <v>0</v>
      </c>
      <c r="U2232" s="75">
        <v>0</v>
      </c>
      <c r="V2232" s="75">
        <v>0</v>
      </c>
      <c r="W2232" s="78">
        <v>0</v>
      </c>
    </row>
    <row r="2233" spans="1:23" s="75" customFormat="1" hidden="1" x14ac:dyDescent="0.35">
      <c r="A2233" s="75">
        <v>2229</v>
      </c>
      <c r="B2233" s="75">
        <v>2230</v>
      </c>
      <c r="C2233">
        <v>146.02795750000001</v>
      </c>
      <c r="D2233">
        <v>-17.483459079999999</v>
      </c>
      <c r="F2233" s="75" t="str">
        <f>HYPERLINK("E:\Data From Lucan\2024\Johnstone\Frames_for_Analysis\2230_20240610_0003_L_3190.jpg","2230_20240610_0003_L_3190.jpg")</f>
        <v>2230_20240610_0003_L_3190.jpg</v>
      </c>
      <c r="I2233">
        <f t="shared" si="34"/>
        <v>1</v>
      </c>
      <c r="J2233" s="75">
        <v>1</v>
      </c>
      <c r="K2233" s="77"/>
      <c r="L2233" s="77"/>
      <c r="M2233" s="77"/>
      <c r="N2233" s="77"/>
      <c r="O2233" s="75">
        <v>1</v>
      </c>
      <c r="P2233" s="75">
        <v>0</v>
      </c>
      <c r="Q2233" s="75">
        <v>0</v>
      </c>
      <c r="R2233" s="75">
        <v>0</v>
      </c>
      <c r="S2233" s="75">
        <v>0</v>
      </c>
      <c r="T2233" s="75">
        <v>0</v>
      </c>
      <c r="U2233" s="75">
        <v>0</v>
      </c>
      <c r="V2233" s="75">
        <v>0</v>
      </c>
      <c r="W2233" s="78">
        <v>0</v>
      </c>
    </row>
    <row r="2234" spans="1:23" s="75" customFormat="1" hidden="1" x14ac:dyDescent="0.35">
      <c r="A2234" s="75">
        <v>2230</v>
      </c>
      <c r="B2234" s="75">
        <v>2231</v>
      </c>
      <c r="C2234">
        <v>146.02786320000001</v>
      </c>
      <c r="D2234">
        <v>-17.48345862</v>
      </c>
      <c r="F2234" s="75" t="str">
        <f>HYPERLINK("E:\Data From Lucan\2024\Johnstone\Frames_for_Analysis\2231_20240610_0003_L_3196.jpg","2231_20240610_0003_L_3196.jpg")</f>
        <v>2231_20240610_0003_L_3196.jpg</v>
      </c>
      <c r="I2234">
        <f t="shared" si="34"/>
        <v>1</v>
      </c>
      <c r="J2234" s="75">
        <v>1</v>
      </c>
      <c r="K2234" s="77"/>
      <c r="L2234" s="77"/>
      <c r="M2234" s="77"/>
      <c r="N2234" s="77"/>
      <c r="O2234" s="75">
        <v>1</v>
      </c>
      <c r="P2234" s="75">
        <v>0</v>
      </c>
      <c r="Q2234" s="75">
        <v>0</v>
      </c>
      <c r="R2234" s="75">
        <v>0</v>
      </c>
      <c r="S2234" s="75">
        <v>0</v>
      </c>
      <c r="T2234" s="75">
        <v>0</v>
      </c>
      <c r="U2234" s="75">
        <v>0</v>
      </c>
      <c r="V2234" s="75">
        <v>0</v>
      </c>
      <c r="W2234" s="78">
        <v>0</v>
      </c>
    </row>
    <row r="2235" spans="1:23" s="75" customFormat="1" hidden="1" x14ac:dyDescent="0.35">
      <c r="A2235" s="75">
        <v>2231</v>
      </c>
      <c r="B2235" s="75">
        <v>2232</v>
      </c>
      <c r="C2235">
        <v>146.02776890000001</v>
      </c>
      <c r="D2235">
        <v>-17.483458150000001</v>
      </c>
      <c r="F2235" s="75" t="str">
        <f>HYPERLINK("E:\Data From Lucan\2024\Johnstone\Frames_for_Analysis\2232_20240610_0003_L_3201.jpg","2232_20240610_0003_L_3201.jpg")</f>
        <v>2232_20240610_0003_L_3201.jpg</v>
      </c>
      <c r="I2235">
        <f t="shared" si="34"/>
        <v>1</v>
      </c>
      <c r="J2235" s="75">
        <v>1</v>
      </c>
      <c r="K2235" s="77"/>
      <c r="L2235" s="77"/>
      <c r="M2235" s="77"/>
      <c r="N2235" s="77"/>
      <c r="O2235" s="75">
        <v>1</v>
      </c>
      <c r="P2235" s="75">
        <v>0</v>
      </c>
      <c r="Q2235" s="75">
        <v>0</v>
      </c>
      <c r="R2235" s="75">
        <v>0</v>
      </c>
      <c r="S2235" s="75">
        <v>0</v>
      </c>
      <c r="T2235" s="75">
        <v>0</v>
      </c>
      <c r="U2235" s="75">
        <v>0</v>
      </c>
      <c r="V2235" s="75">
        <v>0</v>
      </c>
      <c r="W2235" s="78">
        <v>0</v>
      </c>
    </row>
    <row r="2236" spans="1:23" s="75" customFormat="1" hidden="1" x14ac:dyDescent="0.35">
      <c r="A2236" s="75">
        <v>2232</v>
      </c>
      <c r="B2236" s="75">
        <v>2233</v>
      </c>
      <c r="C2236">
        <v>146.02767460000001</v>
      </c>
      <c r="D2236">
        <v>-17.483457690000002</v>
      </c>
      <c r="F2236" s="75" t="str">
        <f>HYPERLINK("E:\Data From Lucan\2024\Johnstone\Frames_for_Analysis\2233_20240610_0003_L_3207.jpg","2233_20240610_0003_L_3207.jpg")</f>
        <v>2233_20240610_0003_L_3207.jpg</v>
      </c>
      <c r="I2236">
        <f t="shared" si="34"/>
        <v>1</v>
      </c>
      <c r="J2236" s="75">
        <v>1</v>
      </c>
      <c r="K2236" s="77"/>
      <c r="L2236" s="77"/>
      <c r="M2236" s="77"/>
      <c r="N2236" s="77"/>
      <c r="O2236" s="75">
        <v>1</v>
      </c>
      <c r="P2236" s="75">
        <v>0</v>
      </c>
      <c r="Q2236" s="75">
        <v>0</v>
      </c>
      <c r="R2236" s="75">
        <v>0</v>
      </c>
      <c r="S2236" s="75">
        <v>0</v>
      </c>
      <c r="T2236" s="75">
        <v>0</v>
      </c>
      <c r="U2236" s="75">
        <v>0</v>
      </c>
      <c r="V2236" s="75">
        <v>0</v>
      </c>
      <c r="W2236" s="78">
        <v>0</v>
      </c>
    </row>
    <row r="2237" spans="1:23" s="75" customFormat="1" hidden="1" x14ac:dyDescent="0.35">
      <c r="A2237" s="75">
        <v>2233</v>
      </c>
      <c r="B2237" s="75">
        <v>2234</v>
      </c>
      <c r="C2237">
        <v>146.02758030000001</v>
      </c>
      <c r="D2237">
        <v>-17.483457229999999</v>
      </c>
      <c r="F2237" s="75" t="str">
        <f>HYPERLINK("E:\Data From Lucan\2024\Johnstone\Frames_for_Analysis\2234_20240610_0003_L_3211.jpg","2234_20240610_0003_L_3211.jpg")</f>
        <v>2234_20240610_0003_L_3211.jpg</v>
      </c>
      <c r="I2237">
        <f t="shared" si="34"/>
        <v>1</v>
      </c>
      <c r="J2237" s="75">
        <v>1</v>
      </c>
      <c r="K2237" s="77"/>
      <c r="L2237" s="77"/>
      <c r="M2237" s="77"/>
      <c r="N2237" s="77"/>
      <c r="O2237" s="75">
        <v>1</v>
      </c>
      <c r="P2237" s="75">
        <v>0</v>
      </c>
      <c r="Q2237" s="75">
        <v>0</v>
      </c>
      <c r="R2237" s="75">
        <v>0</v>
      </c>
      <c r="S2237" s="75">
        <v>0</v>
      </c>
      <c r="T2237" s="75">
        <v>0</v>
      </c>
      <c r="U2237" s="75">
        <v>0</v>
      </c>
      <c r="V2237" s="75">
        <v>0</v>
      </c>
      <c r="W2237" s="78">
        <v>0</v>
      </c>
    </row>
    <row r="2238" spans="1:23" s="75" customFormat="1" hidden="1" x14ac:dyDescent="0.35">
      <c r="A2238" s="75">
        <v>2234</v>
      </c>
      <c r="B2238" s="75">
        <v>2235</v>
      </c>
      <c r="C2238">
        <v>146.02748639999999</v>
      </c>
      <c r="D2238">
        <v>-17.483463910000001</v>
      </c>
      <c r="F2238" s="75" t="str">
        <f>HYPERLINK("E:\Data From Lucan\2024\Johnstone\Frames_for_Analysis\2235_20240610_0003_L_3215.jpg","2235_20240610_0003_L_3215.jpg")</f>
        <v>2235_20240610_0003_L_3215.jpg</v>
      </c>
      <c r="I2238">
        <f t="shared" si="34"/>
        <v>1</v>
      </c>
      <c r="J2238" s="75">
        <v>1</v>
      </c>
      <c r="K2238" s="77"/>
      <c r="L2238" s="77"/>
      <c r="M2238" s="77"/>
      <c r="N2238" s="77"/>
      <c r="O2238" s="75">
        <v>1</v>
      </c>
      <c r="P2238" s="75">
        <v>0</v>
      </c>
      <c r="Q2238" s="75">
        <v>0</v>
      </c>
      <c r="R2238" s="75">
        <v>0</v>
      </c>
      <c r="S2238" s="75">
        <v>0</v>
      </c>
      <c r="T2238" s="75">
        <v>0</v>
      </c>
      <c r="U2238" s="75">
        <v>0</v>
      </c>
      <c r="V2238" s="75">
        <v>0</v>
      </c>
      <c r="W2238" s="78">
        <v>0</v>
      </c>
    </row>
    <row r="2239" spans="1:23" s="75" customFormat="1" hidden="1" x14ac:dyDescent="0.35">
      <c r="A2239" s="75">
        <v>2235</v>
      </c>
      <c r="B2239" s="75">
        <v>2236</v>
      </c>
      <c r="C2239">
        <v>146.02739270000001</v>
      </c>
      <c r="D2239">
        <v>-17.48347468</v>
      </c>
      <c r="F2239" s="75" t="str">
        <f>HYPERLINK("E:\Data From Lucan\2024\Johnstone\Frames_for_Analysis\2236_20240610_0003_L_3218.jpg","2236_20240610_0003_L_3218.jpg")</f>
        <v>2236_20240610_0003_L_3218.jpg</v>
      </c>
      <c r="I2239">
        <f t="shared" si="34"/>
        <v>1</v>
      </c>
      <c r="J2239" s="75">
        <v>1</v>
      </c>
      <c r="K2239" s="77"/>
      <c r="L2239" s="77"/>
      <c r="M2239" s="77"/>
      <c r="N2239" s="77"/>
      <c r="O2239" s="75">
        <v>1</v>
      </c>
      <c r="P2239" s="75">
        <v>0</v>
      </c>
      <c r="Q2239" s="75">
        <v>0</v>
      </c>
      <c r="R2239" s="75">
        <v>0</v>
      </c>
      <c r="S2239" s="75">
        <v>0</v>
      </c>
      <c r="T2239" s="75">
        <v>0</v>
      </c>
      <c r="U2239" s="75">
        <v>0</v>
      </c>
      <c r="V2239" s="75">
        <v>0</v>
      </c>
      <c r="W2239" s="78">
        <v>0</v>
      </c>
    </row>
    <row r="2240" spans="1:23" s="75" customFormat="1" hidden="1" x14ac:dyDescent="0.35">
      <c r="A2240" s="75">
        <v>2236</v>
      </c>
      <c r="B2240" s="75">
        <v>2237</v>
      </c>
      <c r="C2240">
        <v>146.02729909999999</v>
      </c>
      <c r="D2240">
        <v>-17.48348545</v>
      </c>
      <c r="F2240" s="75" t="str">
        <f>HYPERLINK("E:\Data From Lucan\2024\Johnstone\Frames_for_Analysis\2237_20240610_0003_L_3222.jpg","2237_20240610_0003_L_3222.jpg")</f>
        <v>2237_20240610_0003_L_3222.jpg</v>
      </c>
      <c r="I2240">
        <f t="shared" si="34"/>
        <v>1</v>
      </c>
      <c r="J2240" s="75">
        <v>1</v>
      </c>
      <c r="K2240" s="77"/>
      <c r="L2240" s="77"/>
      <c r="M2240" s="77"/>
      <c r="N2240" s="77"/>
      <c r="O2240" s="75">
        <v>1</v>
      </c>
      <c r="P2240" s="75">
        <v>0</v>
      </c>
      <c r="Q2240" s="75">
        <v>0</v>
      </c>
      <c r="R2240" s="75">
        <v>0</v>
      </c>
      <c r="S2240" s="75">
        <v>0</v>
      </c>
      <c r="T2240" s="75">
        <v>0</v>
      </c>
      <c r="U2240" s="75">
        <v>0</v>
      </c>
      <c r="V2240" s="75">
        <v>0</v>
      </c>
      <c r="W2240" s="78">
        <v>0</v>
      </c>
    </row>
    <row r="2241" spans="1:23" s="75" customFormat="1" hidden="1" x14ac:dyDescent="0.35">
      <c r="A2241" s="75">
        <v>2237</v>
      </c>
      <c r="B2241" s="75">
        <v>2238</v>
      </c>
      <c r="C2241">
        <v>146.02720540000001</v>
      </c>
      <c r="D2241">
        <v>-17.483496219999999</v>
      </c>
      <c r="F2241" s="75" t="str">
        <f>HYPERLINK("E:\Data From Lucan\2024\Johnstone\Frames_for_Analysis\2238_20240610_0003_L_3226.jpg","2238_20240610_0003_L_3226.jpg")</f>
        <v>2238_20240610_0003_L_3226.jpg</v>
      </c>
      <c r="I2241">
        <f t="shared" si="34"/>
        <v>1</v>
      </c>
      <c r="J2241" s="75">
        <v>1</v>
      </c>
      <c r="K2241" s="77"/>
      <c r="L2241" s="77"/>
      <c r="M2241" s="77"/>
      <c r="N2241" s="77"/>
      <c r="O2241" s="75">
        <v>1</v>
      </c>
      <c r="P2241" s="75">
        <v>0</v>
      </c>
      <c r="Q2241" s="75">
        <v>0</v>
      </c>
      <c r="R2241" s="75">
        <v>0</v>
      </c>
      <c r="S2241" s="75">
        <v>0</v>
      </c>
      <c r="T2241" s="75">
        <v>0</v>
      </c>
      <c r="U2241" s="75">
        <v>0</v>
      </c>
      <c r="V2241" s="75">
        <v>0</v>
      </c>
      <c r="W2241" s="78">
        <v>0</v>
      </c>
    </row>
    <row r="2242" spans="1:23" s="75" customFormat="1" hidden="1" x14ac:dyDescent="0.35">
      <c r="A2242" s="75">
        <v>2238</v>
      </c>
      <c r="B2242" s="75">
        <v>2239</v>
      </c>
      <c r="C2242">
        <v>146.02711170000001</v>
      </c>
      <c r="D2242">
        <v>-17.483506999999999</v>
      </c>
      <c r="F2242" s="75" t="str">
        <f>HYPERLINK("E:\Data From Lucan\2024\Johnstone\Frames_for_Analysis\2239_20240610_0003_L_3229.jpg","2239_20240610_0003_L_3229.jpg")</f>
        <v>2239_20240610_0003_L_3229.jpg</v>
      </c>
      <c r="I2242">
        <f t="shared" si="34"/>
        <v>1</v>
      </c>
      <c r="J2242" s="75">
        <v>1</v>
      </c>
      <c r="K2242" s="77"/>
      <c r="L2242" s="77"/>
      <c r="M2242" s="77"/>
      <c r="N2242" s="77"/>
      <c r="O2242" s="75">
        <v>1</v>
      </c>
      <c r="P2242" s="75">
        <v>0</v>
      </c>
      <c r="Q2242" s="75">
        <v>0</v>
      </c>
      <c r="R2242" s="75">
        <v>0</v>
      </c>
      <c r="S2242" s="75">
        <v>0</v>
      </c>
      <c r="T2242" s="75">
        <v>0</v>
      </c>
      <c r="U2242" s="75">
        <v>0</v>
      </c>
      <c r="V2242" s="75">
        <v>0</v>
      </c>
      <c r="W2242" s="78">
        <v>0</v>
      </c>
    </row>
    <row r="2243" spans="1:23" s="75" customFormat="1" hidden="1" x14ac:dyDescent="0.35">
      <c r="A2243" s="75">
        <v>2239</v>
      </c>
      <c r="B2243" s="75">
        <v>2240</v>
      </c>
      <c r="C2243">
        <v>146.027018</v>
      </c>
      <c r="D2243">
        <v>-17.483517769999999</v>
      </c>
      <c r="F2243" s="75" t="str">
        <f>HYPERLINK("E:\Data From Lucan\2024\Johnstone\Frames_for_Analysis\2240_20240610_0003_L_3233.jpg","2240_20240610_0003_L_3233.jpg")</f>
        <v>2240_20240610_0003_L_3233.jpg</v>
      </c>
      <c r="I2243">
        <f t="shared" si="34"/>
        <v>1</v>
      </c>
      <c r="J2243" s="75">
        <v>1</v>
      </c>
      <c r="K2243" s="77"/>
      <c r="L2243" s="77"/>
      <c r="M2243" s="77"/>
      <c r="N2243" s="77"/>
      <c r="O2243" s="75">
        <v>1</v>
      </c>
      <c r="P2243" s="75">
        <v>0</v>
      </c>
      <c r="Q2243" s="75">
        <v>0</v>
      </c>
      <c r="R2243" s="75">
        <v>0</v>
      </c>
      <c r="S2243" s="75">
        <v>0</v>
      </c>
      <c r="T2243" s="75">
        <v>0</v>
      </c>
      <c r="U2243" s="75">
        <v>0</v>
      </c>
      <c r="V2243" s="75">
        <v>0</v>
      </c>
      <c r="W2243" s="78">
        <v>0</v>
      </c>
    </row>
    <row r="2244" spans="1:23" s="75" customFormat="1" hidden="1" x14ac:dyDescent="0.35">
      <c r="A2244" s="75">
        <v>2240</v>
      </c>
      <c r="B2244" s="75">
        <v>2241</v>
      </c>
      <c r="C2244">
        <v>146.02692429999999</v>
      </c>
      <c r="D2244">
        <v>-17.483528539999998</v>
      </c>
      <c r="F2244" s="75" t="str">
        <f>HYPERLINK("E:\Data From Lucan\2024\Johnstone\Frames_for_Analysis\2241_20240610_0003_L_3236.jpg","2241_20240610_0003_L_3236.jpg")</f>
        <v>2241_20240610_0003_L_3236.jpg</v>
      </c>
      <c r="I2244">
        <f t="shared" si="34"/>
        <v>1</v>
      </c>
      <c r="J2244" s="75">
        <v>1</v>
      </c>
      <c r="K2244" s="77"/>
      <c r="L2244" s="77"/>
      <c r="M2244" s="77"/>
      <c r="N2244" s="77"/>
      <c r="O2244" s="75">
        <v>1</v>
      </c>
      <c r="P2244" s="75">
        <v>0</v>
      </c>
      <c r="Q2244" s="75">
        <v>0</v>
      </c>
      <c r="R2244" s="75">
        <v>0</v>
      </c>
      <c r="S2244" s="75">
        <v>0</v>
      </c>
      <c r="T2244" s="75">
        <v>0</v>
      </c>
      <c r="U2244" s="75">
        <v>0</v>
      </c>
      <c r="V2244" s="75">
        <v>0</v>
      </c>
      <c r="W2244" s="78">
        <v>0</v>
      </c>
    </row>
    <row r="2245" spans="1:23" s="75" customFormat="1" hidden="1" x14ac:dyDescent="0.35">
      <c r="A2245" s="75">
        <v>2241</v>
      </c>
      <c r="B2245" s="75">
        <v>2242</v>
      </c>
      <c r="C2245">
        <v>146.02683060000001</v>
      </c>
      <c r="D2245">
        <v>-17.483539310000001</v>
      </c>
      <c r="F2245" s="75" t="str">
        <f>HYPERLINK("E:\Data From Lucan\2024\Johnstone\Frames_for_Analysis\2242_20240610_0003_L_3240.jpg","2242_20240610_0003_L_3240.jpg")</f>
        <v>2242_20240610_0003_L_3240.jpg</v>
      </c>
      <c r="I2245">
        <f t="shared" ref="I2245:I2308" si="35">IF(H2245="X","X",IF(J2245="NA","X",IF(J2245="","X",J2245)))</f>
        <v>0</v>
      </c>
      <c r="J2245" s="75">
        <v>0</v>
      </c>
      <c r="K2245" s="77"/>
      <c r="L2245" s="77"/>
      <c r="M2245" s="77"/>
      <c r="N2245" s="77"/>
      <c r="O2245" s="75">
        <v>1</v>
      </c>
      <c r="P2245" s="75">
        <v>0</v>
      </c>
      <c r="Q2245" s="75">
        <v>0</v>
      </c>
      <c r="R2245" s="75">
        <v>0</v>
      </c>
      <c r="S2245" s="75">
        <v>0</v>
      </c>
      <c r="T2245" s="75">
        <v>0</v>
      </c>
      <c r="U2245" s="75">
        <v>0</v>
      </c>
      <c r="V2245" s="75">
        <v>0</v>
      </c>
      <c r="W2245" s="78">
        <v>0</v>
      </c>
    </row>
    <row r="2246" spans="1:23" s="75" customFormat="1" hidden="1" x14ac:dyDescent="0.35">
      <c r="A2246" s="75">
        <v>2242</v>
      </c>
      <c r="B2246" s="75">
        <v>2243</v>
      </c>
      <c r="C2246">
        <v>146.0267369</v>
      </c>
      <c r="D2246">
        <v>-17.483550090000001</v>
      </c>
      <c r="F2246" s="75" t="str">
        <f>HYPERLINK("E:\Data From Lucan\2024\Johnstone\Frames_for_Analysis\2243_20240610_0003_L_3243.jpg","2243_20240610_0003_L_3243.jpg")</f>
        <v>2243_20240610_0003_L_3243.jpg</v>
      </c>
      <c r="I2246">
        <f t="shared" si="35"/>
        <v>0</v>
      </c>
      <c r="J2246" s="75">
        <v>0</v>
      </c>
      <c r="K2246" s="77"/>
      <c r="L2246" s="77"/>
      <c r="M2246" s="77"/>
      <c r="N2246" s="77"/>
      <c r="O2246" s="75">
        <v>1</v>
      </c>
      <c r="P2246" s="75">
        <v>0</v>
      </c>
      <c r="Q2246" s="75">
        <v>0</v>
      </c>
      <c r="R2246" s="75">
        <v>0</v>
      </c>
      <c r="S2246" s="75">
        <v>0</v>
      </c>
      <c r="T2246" s="75">
        <v>0</v>
      </c>
      <c r="U2246" s="75">
        <v>0</v>
      </c>
      <c r="V2246" s="75">
        <v>0</v>
      </c>
      <c r="W2246" s="78">
        <v>0</v>
      </c>
    </row>
    <row r="2247" spans="1:23" s="75" customFormat="1" hidden="1" x14ac:dyDescent="0.35">
      <c r="A2247" s="75">
        <v>2243</v>
      </c>
      <c r="B2247" s="75">
        <v>2244</v>
      </c>
      <c r="C2247">
        <v>146.02664350000001</v>
      </c>
      <c r="D2247">
        <v>-17.483562389999999</v>
      </c>
      <c r="F2247" s="75" t="str">
        <f>HYPERLINK("E:\Data From Lucan\2024\Johnstone\Frames_for_Analysis\2244_20240610_0003_L_3246.jpg","2244_20240610_0003_L_3246.jpg")</f>
        <v>2244_20240610_0003_L_3246.jpg</v>
      </c>
      <c r="I2247">
        <f t="shared" si="35"/>
        <v>0</v>
      </c>
      <c r="J2247" s="75">
        <v>0</v>
      </c>
      <c r="K2247" s="77"/>
      <c r="L2247" s="77"/>
      <c r="M2247" s="77"/>
      <c r="N2247" s="77"/>
      <c r="O2247" s="75">
        <v>1</v>
      </c>
      <c r="P2247" s="75">
        <v>0</v>
      </c>
      <c r="Q2247" s="75">
        <v>0</v>
      </c>
      <c r="R2247" s="75">
        <v>0</v>
      </c>
      <c r="S2247" s="75">
        <v>0</v>
      </c>
      <c r="T2247" s="75">
        <v>0</v>
      </c>
      <c r="U2247" s="75">
        <v>0</v>
      </c>
      <c r="V2247" s="75">
        <v>0</v>
      </c>
      <c r="W2247" s="78">
        <v>0</v>
      </c>
    </row>
    <row r="2248" spans="1:23" s="75" customFormat="1" hidden="1" x14ac:dyDescent="0.35">
      <c r="A2248" s="75">
        <v>2244</v>
      </c>
      <c r="B2248" s="75">
        <v>2245</v>
      </c>
      <c r="C2248">
        <v>146.0265521</v>
      </c>
      <c r="D2248">
        <v>-17.483585659999999</v>
      </c>
      <c r="F2248" s="75" t="str">
        <f>HYPERLINK("E:\Data From Lucan\2024\Johnstone\Frames_for_Analysis\2245_20240610_0003_L_3250.jpg","2245_20240610_0003_L_3250.jpg")</f>
        <v>2245_20240610_0003_L_3250.jpg</v>
      </c>
      <c r="I2248">
        <f t="shared" si="35"/>
        <v>0</v>
      </c>
      <c r="J2248" s="75">
        <v>0</v>
      </c>
      <c r="K2248" s="77"/>
      <c r="L2248" s="77"/>
      <c r="M2248" s="77"/>
      <c r="N2248" s="77"/>
      <c r="O2248" s="75">
        <v>1</v>
      </c>
      <c r="P2248" s="75">
        <v>0</v>
      </c>
      <c r="Q2248" s="75">
        <v>0</v>
      </c>
      <c r="R2248" s="75">
        <v>0</v>
      </c>
      <c r="S2248" s="75">
        <v>0</v>
      </c>
      <c r="T2248" s="75">
        <v>0</v>
      </c>
      <c r="U2248" s="75">
        <v>0</v>
      </c>
      <c r="V2248" s="75">
        <v>0</v>
      </c>
      <c r="W2248" s="78">
        <v>0</v>
      </c>
    </row>
    <row r="2249" spans="1:23" s="75" customFormat="1" hidden="1" x14ac:dyDescent="0.35">
      <c r="A2249" s="75">
        <v>2245</v>
      </c>
      <c r="B2249" s="75">
        <v>2246</v>
      </c>
      <c r="C2249">
        <v>146.0264608</v>
      </c>
      <c r="D2249">
        <v>-17.483608929999999</v>
      </c>
      <c r="F2249" s="75" t="str">
        <f>HYPERLINK("E:\Data From Lucan\2024\Johnstone\Frames_for_Analysis\2246_20240610_0003_L_3252.jpg","2246_20240610_0003_L_3252.jpg")</f>
        <v>2246_20240610_0003_L_3252.jpg</v>
      </c>
      <c r="I2249">
        <f t="shared" si="35"/>
        <v>0</v>
      </c>
      <c r="J2249" s="75">
        <v>0</v>
      </c>
      <c r="K2249" s="77"/>
      <c r="L2249" s="77"/>
      <c r="M2249" s="77"/>
      <c r="N2249" s="77"/>
      <c r="O2249" s="75">
        <v>1</v>
      </c>
      <c r="P2249" s="75">
        <v>0</v>
      </c>
      <c r="Q2249" s="75">
        <v>0</v>
      </c>
      <c r="R2249" s="75">
        <v>0</v>
      </c>
      <c r="S2249" s="75">
        <v>0</v>
      </c>
      <c r="T2249" s="75">
        <v>0</v>
      </c>
      <c r="U2249" s="75">
        <v>0</v>
      </c>
      <c r="V2249" s="75">
        <v>0</v>
      </c>
      <c r="W2249" s="78">
        <v>0</v>
      </c>
    </row>
    <row r="2250" spans="1:23" s="75" customFormat="1" hidden="1" x14ac:dyDescent="0.35">
      <c r="A2250" s="75">
        <v>2246</v>
      </c>
      <c r="B2250" s="75">
        <v>2247</v>
      </c>
      <c r="C2250">
        <v>146.02636939999999</v>
      </c>
      <c r="D2250">
        <v>-17.483632199999999</v>
      </c>
      <c r="F2250" s="75" t="str">
        <f>HYPERLINK("E:\Data From Lucan\2024\Johnstone\Frames_for_Analysis\2247_20240610_0003_L_3256.jpg","2247_20240610_0003_L_3256.jpg")</f>
        <v>2247_20240610_0003_L_3256.jpg</v>
      </c>
      <c r="I2250">
        <f t="shared" si="35"/>
        <v>0</v>
      </c>
      <c r="J2250" s="75">
        <v>0</v>
      </c>
      <c r="K2250" s="77"/>
      <c r="L2250" s="77"/>
      <c r="M2250" s="77"/>
      <c r="N2250" s="77"/>
      <c r="O2250" s="75">
        <v>1</v>
      </c>
      <c r="P2250" s="75">
        <v>0</v>
      </c>
      <c r="Q2250" s="75">
        <v>0</v>
      </c>
      <c r="R2250" s="75">
        <v>0</v>
      </c>
      <c r="S2250" s="75">
        <v>0</v>
      </c>
      <c r="T2250" s="75">
        <v>0</v>
      </c>
      <c r="U2250" s="75">
        <v>0</v>
      </c>
      <c r="V2250" s="75">
        <v>0</v>
      </c>
      <c r="W2250" s="78">
        <v>0</v>
      </c>
    </row>
    <row r="2251" spans="1:23" s="75" customFormat="1" hidden="1" x14ac:dyDescent="0.35">
      <c r="A2251" s="75">
        <v>2247</v>
      </c>
      <c r="B2251" s="75">
        <v>2248</v>
      </c>
      <c r="C2251">
        <v>146.02627799999999</v>
      </c>
      <c r="D2251">
        <v>-17.483655469999999</v>
      </c>
      <c r="F2251" s="75" t="str">
        <f>HYPERLINK("E:\Data From Lucan\2024\Johnstone\Frames_for_Analysis\2248_20240610_0003_L_3260.jpg","2248_20240610_0003_L_3260.jpg")</f>
        <v>2248_20240610_0003_L_3260.jpg</v>
      </c>
      <c r="I2251">
        <f t="shared" si="35"/>
        <v>0</v>
      </c>
      <c r="J2251" s="75">
        <v>0</v>
      </c>
      <c r="K2251" s="77"/>
      <c r="L2251" s="77"/>
      <c r="M2251" s="77"/>
      <c r="N2251" s="77"/>
      <c r="O2251" s="75">
        <v>1</v>
      </c>
      <c r="P2251" s="75">
        <v>0</v>
      </c>
      <c r="Q2251" s="75">
        <v>0</v>
      </c>
      <c r="R2251" s="75">
        <v>0</v>
      </c>
      <c r="S2251" s="75">
        <v>0</v>
      </c>
      <c r="T2251" s="75">
        <v>0</v>
      </c>
      <c r="U2251" s="75">
        <v>0</v>
      </c>
      <c r="V2251" s="75">
        <v>1</v>
      </c>
      <c r="W2251" s="78">
        <v>0</v>
      </c>
    </row>
    <row r="2252" spans="1:23" s="75" customFormat="1" hidden="1" x14ac:dyDescent="0.35">
      <c r="A2252" s="75">
        <v>2248</v>
      </c>
      <c r="B2252" s="75">
        <v>2249</v>
      </c>
      <c r="C2252">
        <v>146.02618659999999</v>
      </c>
      <c r="D2252">
        <v>-17.483678749999999</v>
      </c>
      <c r="F2252" s="75" t="str">
        <f>HYPERLINK("E:\Data From Lucan\2024\Johnstone\Frames_for_Analysis\2249_20240610_0003_L_3263.jpg","2249_20240610_0003_L_3263.jpg")</f>
        <v>2249_20240610_0003_L_3263.jpg</v>
      </c>
      <c r="I2252">
        <f t="shared" si="35"/>
        <v>0</v>
      </c>
      <c r="J2252" s="75">
        <v>0</v>
      </c>
      <c r="K2252" s="77"/>
      <c r="L2252" s="77"/>
      <c r="M2252" s="77"/>
      <c r="N2252" s="77"/>
      <c r="O2252" s="75">
        <v>1</v>
      </c>
      <c r="P2252" s="75">
        <v>0</v>
      </c>
      <c r="Q2252" s="75">
        <v>0</v>
      </c>
      <c r="R2252" s="75">
        <v>0</v>
      </c>
      <c r="S2252" s="75">
        <v>0</v>
      </c>
      <c r="T2252" s="75">
        <v>0</v>
      </c>
      <c r="U2252" s="75">
        <v>0</v>
      </c>
      <c r="V2252" s="75">
        <v>0</v>
      </c>
      <c r="W2252" s="78">
        <v>0</v>
      </c>
    </row>
    <row r="2253" spans="1:23" s="75" customFormat="1" hidden="1" x14ac:dyDescent="0.35">
      <c r="A2253" s="75">
        <v>2249</v>
      </c>
      <c r="B2253" s="75">
        <v>2250</v>
      </c>
      <c r="C2253">
        <v>146.02609519999999</v>
      </c>
      <c r="D2253">
        <v>-17.483702019999999</v>
      </c>
      <c r="F2253" s="75" t="str">
        <f>HYPERLINK("E:\Data From Lucan\2024\Johnstone\Frames_for_Analysis\2250_20240610_0003_L_3266.jpg","2250_20240610_0003_L_3266.jpg")</f>
        <v>2250_20240610_0003_L_3266.jpg</v>
      </c>
      <c r="I2253">
        <f t="shared" si="35"/>
        <v>1</v>
      </c>
      <c r="J2253" s="75">
        <v>1</v>
      </c>
      <c r="K2253" s="77"/>
      <c r="L2253" s="77"/>
      <c r="M2253" s="77"/>
      <c r="N2253" s="77"/>
      <c r="O2253" s="75">
        <v>1</v>
      </c>
      <c r="P2253" s="75">
        <v>0</v>
      </c>
      <c r="Q2253" s="75">
        <v>0</v>
      </c>
      <c r="R2253" s="75">
        <v>0</v>
      </c>
      <c r="S2253" s="75">
        <v>0</v>
      </c>
      <c r="T2253" s="75">
        <v>0</v>
      </c>
      <c r="U2253" s="75">
        <v>0</v>
      </c>
      <c r="V2253" s="75">
        <v>1</v>
      </c>
      <c r="W2253" s="78">
        <v>0</v>
      </c>
    </row>
    <row r="2254" spans="1:23" s="75" customFormat="1" hidden="1" x14ac:dyDescent="0.35">
      <c r="A2254" s="75">
        <v>2250</v>
      </c>
      <c r="B2254" s="75">
        <v>2251</v>
      </c>
      <c r="C2254">
        <v>146.02600380000001</v>
      </c>
      <c r="D2254">
        <v>-17.483725289999999</v>
      </c>
      <c r="F2254" s="75" t="str">
        <f>HYPERLINK("E:\Data From Lucan\2024\Johnstone\Frames_for_Analysis\2251_20240610_0003_L_3269.jpg","2251_20240610_0003_L_3269.jpg")</f>
        <v>2251_20240610_0003_L_3269.jpg</v>
      </c>
      <c r="I2254">
        <f t="shared" si="35"/>
        <v>1</v>
      </c>
      <c r="J2254" s="75">
        <v>1</v>
      </c>
      <c r="K2254" s="77"/>
      <c r="L2254" s="77"/>
      <c r="M2254" s="77"/>
      <c r="N2254" s="77"/>
      <c r="O2254" s="75">
        <v>1</v>
      </c>
      <c r="P2254" s="75">
        <v>0</v>
      </c>
      <c r="Q2254" s="75">
        <v>0</v>
      </c>
      <c r="R2254" s="75">
        <v>0</v>
      </c>
      <c r="S2254" s="75">
        <v>0</v>
      </c>
      <c r="T2254" s="75">
        <v>0</v>
      </c>
      <c r="U2254" s="75">
        <v>0</v>
      </c>
      <c r="V2254" s="75">
        <v>0</v>
      </c>
      <c r="W2254" s="78">
        <v>0</v>
      </c>
    </row>
    <row r="2255" spans="1:23" s="75" customFormat="1" hidden="1" x14ac:dyDescent="0.35">
      <c r="A2255" s="75">
        <v>2251</v>
      </c>
      <c r="B2255" s="75">
        <v>2252</v>
      </c>
      <c r="C2255">
        <v>146.02591240000001</v>
      </c>
      <c r="D2255">
        <v>-17.483748559999999</v>
      </c>
      <c r="F2255" s="75" t="str">
        <f>HYPERLINK("E:\Data From Lucan\2024\Johnstone\Frames_for_Analysis\2252_20240610_0003_L_3273.jpg","2252_20240610_0003_L_3273.jpg")</f>
        <v>2252_20240610_0003_L_3273.jpg</v>
      </c>
      <c r="I2255">
        <f t="shared" si="35"/>
        <v>1</v>
      </c>
      <c r="J2255" s="75">
        <v>1</v>
      </c>
      <c r="K2255" s="77"/>
      <c r="L2255" s="77"/>
      <c r="M2255" s="77"/>
      <c r="N2255" s="77"/>
      <c r="O2255" s="75">
        <v>1</v>
      </c>
      <c r="P2255" s="75">
        <v>0</v>
      </c>
      <c r="Q2255" s="75">
        <v>0</v>
      </c>
      <c r="R2255" s="75">
        <v>0</v>
      </c>
      <c r="S2255" s="75">
        <v>0</v>
      </c>
      <c r="T2255" s="75">
        <v>0</v>
      </c>
      <c r="U2255" s="75">
        <v>0</v>
      </c>
      <c r="V2255" s="75">
        <v>0</v>
      </c>
      <c r="W2255" s="78">
        <v>0</v>
      </c>
    </row>
    <row r="2256" spans="1:23" s="75" customFormat="1" hidden="1" x14ac:dyDescent="0.35">
      <c r="A2256" s="75">
        <v>2252</v>
      </c>
      <c r="B2256" s="75">
        <v>2253</v>
      </c>
      <c r="C2256">
        <v>146.02582100000001</v>
      </c>
      <c r="D2256">
        <v>-17.483771829999998</v>
      </c>
      <c r="F2256" s="75" t="str">
        <f>HYPERLINK("E:\Data From Lucan\2024\Johnstone\Frames_for_Analysis\2253_20240610_0003_L_3277.jpg","2253_20240610_0003_L_3277.jpg")</f>
        <v>2253_20240610_0003_L_3277.jpg</v>
      </c>
      <c r="I2256">
        <f t="shared" si="35"/>
        <v>1</v>
      </c>
      <c r="J2256" s="75">
        <v>1</v>
      </c>
      <c r="K2256" s="77"/>
      <c r="L2256" s="77"/>
      <c r="M2256" s="77"/>
      <c r="N2256" s="77"/>
      <c r="O2256" s="75">
        <v>1</v>
      </c>
      <c r="P2256" s="75">
        <v>0</v>
      </c>
      <c r="Q2256" s="75">
        <v>0</v>
      </c>
      <c r="R2256" s="75">
        <v>0</v>
      </c>
      <c r="S2256" s="75">
        <v>0</v>
      </c>
      <c r="T2256" s="75">
        <v>0</v>
      </c>
      <c r="U2256" s="75">
        <v>0</v>
      </c>
      <c r="V2256" s="75">
        <v>0</v>
      </c>
      <c r="W2256" s="78">
        <v>0</v>
      </c>
    </row>
    <row r="2257" spans="1:23" s="75" customFormat="1" hidden="1" x14ac:dyDescent="0.35">
      <c r="A2257" s="75">
        <v>2253</v>
      </c>
      <c r="B2257" s="75">
        <v>2254</v>
      </c>
      <c r="C2257">
        <v>146.0257297</v>
      </c>
      <c r="D2257">
        <v>-17.483795109999999</v>
      </c>
      <c r="F2257" s="75" t="str">
        <f>HYPERLINK("E:\Data From Lucan\2024\Johnstone\Frames_for_Analysis\2254_20240610_0003_L_3280.jpg","2254_20240610_0003_L_3280.jpg")</f>
        <v>2254_20240610_0003_L_3280.jpg</v>
      </c>
      <c r="I2257">
        <f t="shared" si="35"/>
        <v>1</v>
      </c>
      <c r="J2257" s="75">
        <v>1</v>
      </c>
      <c r="K2257" s="77"/>
      <c r="L2257" s="77"/>
      <c r="M2257" s="77"/>
      <c r="N2257" s="77"/>
      <c r="O2257" s="75">
        <v>1</v>
      </c>
      <c r="P2257" s="75">
        <v>0</v>
      </c>
      <c r="Q2257" s="75">
        <v>0</v>
      </c>
      <c r="R2257" s="75">
        <v>0</v>
      </c>
      <c r="S2257" s="75">
        <v>0</v>
      </c>
      <c r="T2257" s="75">
        <v>0</v>
      </c>
      <c r="U2257" s="75">
        <v>0</v>
      </c>
      <c r="V2257" s="75">
        <v>0</v>
      </c>
      <c r="W2257" s="78">
        <v>0</v>
      </c>
    </row>
    <row r="2258" spans="1:23" s="75" customFormat="1" hidden="1" x14ac:dyDescent="0.35">
      <c r="A2258" s="75">
        <v>2254</v>
      </c>
      <c r="B2258" s="75">
        <v>2255</v>
      </c>
      <c r="C2258">
        <v>146.0256383</v>
      </c>
      <c r="D2258">
        <v>-17.483818379999999</v>
      </c>
      <c r="F2258" s="75" t="str">
        <f>HYPERLINK("E:\Data From Lucan\2024\Johnstone\Frames_for_Analysis\2255_20240610_0003_L_3283.jpg","2255_20240610_0003_L_3283.jpg")</f>
        <v>2255_20240610_0003_L_3283.jpg</v>
      </c>
      <c r="I2258">
        <f t="shared" si="35"/>
        <v>0</v>
      </c>
      <c r="J2258" s="75">
        <v>0</v>
      </c>
      <c r="K2258" s="77"/>
      <c r="L2258" s="77"/>
      <c r="M2258" s="77"/>
      <c r="N2258" s="77"/>
      <c r="O2258" s="75">
        <v>1</v>
      </c>
      <c r="P2258" s="75">
        <v>0</v>
      </c>
      <c r="Q2258" s="75">
        <v>0</v>
      </c>
      <c r="R2258" s="75">
        <v>0</v>
      </c>
      <c r="S2258" s="75">
        <v>0</v>
      </c>
      <c r="T2258" s="75">
        <v>0</v>
      </c>
      <c r="U2258" s="75">
        <v>0</v>
      </c>
      <c r="V2258" s="75">
        <v>0</v>
      </c>
      <c r="W2258" s="78">
        <v>0</v>
      </c>
    </row>
    <row r="2259" spans="1:23" s="75" customFormat="1" hidden="1" x14ac:dyDescent="0.35">
      <c r="A2259" s="75">
        <v>2255</v>
      </c>
      <c r="B2259" s="75">
        <v>2256</v>
      </c>
      <c r="C2259">
        <v>146.0255473</v>
      </c>
      <c r="D2259">
        <v>-17.483843289999999</v>
      </c>
      <c r="F2259" s="75" t="str">
        <f>HYPERLINK("E:\Data From Lucan\2024\Johnstone\Frames_for_Analysis\2256_20240610_0003_L_3286.jpg","2256_20240610_0003_L_3286.jpg")</f>
        <v>2256_20240610_0003_L_3286.jpg</v>
      </c>
      <c r="I2259">
        <f t="shared" si="35"/>
        <v>1</v>
      </c>
      <c r="J2259" s="75">
        <v>1</v>
      </c>
      <c r="K2259" s="77"/>
      <c r="L2259" s="77"/>
      <c r="M2259" s="77"/>
      <c r="N2259" s="77"/>
      <c r="O2259" s="75">
        <v>1</v>
      </c>
      <c r="P2259" s="75">
        <v>0</v>
      </c>
      <c r="Q2259" s="75">
        <v>0</v>
      </c>
      <c r="R2259" s="75">
        <v>0</v>
      </c>
      <c r="S2259" s="75">
        <v>0</v>
      </c>
      <c r="T2259" s="75">
        <v>0</v>
      </c>
      <c r="U2259" s="75">
        <v>0</v>
      </c>
      <c r="V2259" s="75">
        <v>0</v>
      </c>
      <c r="W2259" s="78">
        <v>0</v>
      </c>
    </row>
    <row r="2260" spans="1:23" s="75" customFormat="1" hidden="1" x14ac:dyDescent="0.35">
      <c r="A2260" s="75">
        <v>2256</v>
      </c>
      <c r="B2260" s="75">
        <v>2257</v>
      </c>
      <c r="C2260">
        <v>146.02545710000001</v>
      </c>
      <c r="D2260">
        <v>-17.483870570000001</v>
      </c>
      <c r="F2260" s="75" t="str">
        <f>HYPERLINK("E:\Data From Lucan\2024\Johnstone\Frames_for_Analysis\2257_20240610_0003_L_3289.jpg","2257_20240610_0003_L_3289.jpg")</f>
        <v>2257_20240610_0003_L_3289.jpg</v>
      </c>
      <c r="I2260">
        <f t="shared" si="35"/>
        <v>1</v>
      </c>
      <c r="J2260" s="75">
        <v>1</v>
      </c>
      <c r="K2260" s="77"/>
      <c r="L2260" s="77"/>
      <c r="M2260" s="77"/>
      <c r="N2260" s="77"/>
      <c r="O2260" s="75">
        <v>1</v>
      </c>
      <c r="P2260" s="75">
        <v>0</v>
      </c>
      <c r="Q2260" s="75">
        <v>0</v>
      </c>
      <c r="R2260" s="75">
        <v>0</v>
      </c>
      <c r="S2260" s="75">
        <v>0</v>
      </c>
      <c r="T2260" s="75">
        <v>0</v>
      </c>
      <c r="U2260" s="75">
        <v>0</v>
      </c>
      <c r="V2260" s="75">
        <v>0</v>
      </c>
      <c r="W2260" s="78">
        <v>0</v>
      </c>
    </row>
    <row r="2261" spans="1:23" s="75" customFormat="1" hidden="1" x14ac:dyDescent="0.35">
      <c r="A2261" s="75">
        <v>2257</v>
      </c>
      <c r="B2261" s="75">
        <v>2258</v>
      </c>
      <c r="C2261">
        <v>146.0253668</v>
      </c>
      <c r="D2261">
        <v>-17.483897840000001</v>
      </c>
      <c r="F2261" s="75" t="str">
        <f>HYPERLINK("E:\Data From Lucan\2024\Johnstone\Frames_for_Analysis\2258_20240610_0003_L_3292.jpg","2258_20240610_0003_L_3292.jpg")</f>
        <v>2258_20240610_0003_L_3292.jpg</v>
      </c>
      <c r="I2261">
        <f t="shared" si="35"/>
        <v>1</v>
      </c>
      <c r="J2261" s="75">
        <v>1</v>
      </c>
      <c r="K2261" s="77"/>
      <c r="L2261" s="77"/>
      <c r="M2261" s="77"/>
      <c r="N2261" s="77"/>
      <c r="O2261" s="75">
        <v>1</v>
      </c>
      <c r="P2261" s="75">
        <v>0</v>
      </c>
      <c r="Q2261" s="75">
        <v>0</v>
      </c>
      <c r="R2261" s="75">
        <v>0</v>
      </c>
      <c r="S2261" s="75">
        <v>0</v>
      </c>
      <c r="T2261" s="75">
        <v>0</v>
      </c>
      <c r="U2261" s="75">
        <v>0</v>
      </c>
      <c r="V2261" s="75">
        <v>0</v>
      </c>
      <c r="W2261" s="78">
        <v>0</v>
      </c>
    </row>
    <row r="2262" spans="1:23" s="75" customFormat="1" hidden="1" x14ac:dyDescent="0.35">
      <c r="A2262" s="75">
        <v>2258</v>
      </c>
      <c r="B2262" s="75">
        <v>2259</v>
      </c>
      <c r="C2262">
        <v>146.02527649999999</v>
      </c>
      <c r="D2262">
        <v>-17.483925110000001</v>
      </c>
      <c r="F2262" s="75" t="str">
        <f>HYPERLINK("E:\Data From Lucan\2024\Johnstone\Frames_for_Analysis\2259_20240610_0003_L_3295.jpg","2259_20240610_0003_L_3295.jpg")</f>
        <v>2259_20240610_0003_L_3295.jpg</v>
      </c>
      <c r="I2262">
        <f t="shared" si="35"/>
        <v>0</v>
      </c>
      <c r="J2262" s="75">
        <v>0</v>
      </c>
      <c r="K2262" s="77"/>
      <c r="L2262" s="77"/>
      <c r="M2262" s="77"/>
      <c r="N2262" s="77"/>
      <c r="O2262" s="75">
        <v>1</v>
      </c>
      <c r="P2262" s="75">
        <v>0</v>
      </c>
      <c r="Q2262" s="75">
        <v>0</v>
      </c>
      <c r="R2262" s="75">
        <v>0</v>
      </c>
      <c r="S2262" s="75">
        <v>0</v>
      </c>
      <c r="T2262" s="75">
        <v>0</v>
      </c>
      <c r="U2262" s="75">
        <v>0</v>
      </c>
      <c r="V2262" s="75">
        <v>0</v>
      </c>
      <c r="W2262" s="78">
        <v>0</v>
      </c>
    </row>
    <row r="2263" spans="1:23" s="75" customFormat="1" hidden="1" x14ac:dyDescent="0.35">
      <c r="A2263" s="75">
        <v>2259</v>
      </c>
      <c r="B2263" s="75">
        <v>2260</v>
      </c>
      <c r="C2263">
        <v>146.02518620000001</v>
      </c>
      <c r="D2263">
        <v>-17.483952380000002</v>
      </c>
      <c r="F2263" s="75" t="str">
        <f>HYPERLINK("E:\Data From Lucan\2024\Johnstone\Frames_for_Analysis\2260_20240610_0003_L_3300.jpg","2260_20240610_0003_L_3300.jpg")</f>
        <v>2260_20240610_0003_L_3300.jpg</v>
      </c>
      <c r="I2263">
        <f t="shared" si="35"/>
        <v>1</v>
      </c>
      <c r="J2263" s="75">
        <v>1</v>
      </c>
      <c r="K2263" s="77"/>
      <c r="L2263" s="77"/>
      <c r="M2263" s="77"/>
      <c r="N2263" s="77"/>
      <c r="O2263" s="75">
        <v>1</v>
      </c>
      <c r="P2263" s="75">
        <v>0</v>
      </c>
      <c r="Q2263" s="75">
        <v>0</v>
      </c>
      <c r="R2263" s="75">
        <v>0</v>
      </c>
      <c r="S2263" s="75">
        <v>0</v>
      </c>
      <c r="T2263" s="75">
        <v>0</v>
      </c>
      <c r="U2263" s="75">
        <v>0</v>
      </c>
      <c r="V2263" s="75">
        <v>0</v>
      </c>
      <c r="W2263" s="78">
        <v>0</v>
      </c>
    </row>
    <row r="2264" spans="1:23" s="75" customFormat="1" hidden="1" x14ac:dyDescent="0.35">
      <c r="A2264" s="75">
        <v>2260</v>
      </c>
      <c r="B2264" s="75">
        <v>2261</v>
      </c>
      <c r="C2264">
        <v>146.02509599999999</v>
      </c>
      <c r="D2264">
        <v>-17.483979649999998</v>
      </c>
      <c r="F2264" s="75" t="str">
        <f>HYPERLINK("E:\Data From Lucan\2024\Johnstone\Frames_for_Analysis\2261_20240610_0003_L_3304.jpg","2261_20240610_0003_L_3304.jpg")</f>
        <v>2261_20240610_0003_L_3304.jpg</v>
      </c>
      <c r="I2264">
        <f t="shared" si="35"/>
        <v>1</v>
      </c>
      <c r="J2264" s="75">
        <v>1</v>
      </c>
      <c r="K2264" s="77"/>
      <c r="L2264" s="77"/>
      <c r="M2264" s="77"/>
      <c r="N2264" s="77"/>
      <c r="O2264" s="75">
        <v>1</v>
      </c>
      <c r="P2264" s="75">
        <v>0</v>
      </c>
      <c r="Q2264" s="75">
        <v>0</v>
      </c>
      <c r="R2264" s="75">
        <v>0</v>
      </c>
      <c r="S2264" s="75">
        <v>0</v>
      </c>
      <c r="T2264" s="75">
        <v>0</v>
      </c>
      <c r="U2264" s="75">
        <v>0</v>
      </c>
      <c r="V2264" s="75">
        <v>0</v>
      </c>
      <c r="W2264" s="78">
        <v>0</v>
      </c>
    </row>
    <row r="2265" spans="1:23" s="75" customFormat="1" hidden="1" x14ac:dyDescent="0.35">
      <c r="A2265" s="75">
        <v>2261</v>
      </c>
      <c r="B2265" s="75">
        <v>2262</v>
      </c>
      <c r="C2265">
        <v>146.02500570000001</v>
      </c>
      <c r="D2265">
        <v>-17.48400693</v>
      </c>
      <c r="F2265" s="75" t="str">
        <f>HYPERLINK("E:\Data From Lucan\2024\Johnstone\Frames_for_Analysis\2262_20240610_0003_L_3306.jpg","2262_20240610_0003_L_3306.jpg")</f>
        <v>2262_20240610_0003_L_3306.jpg</v>
      </c>
      <c r="I2265">
        <f t="shared" si="35"/>
        <v>1</v>
      </c>
      <c r="J2265" s="75">
        <v>1</v>
      </c>
      <c r="K2265" s="77"/>
      <c r="L2265" s="77"/>
      <c r="M2265" s="77"/>
      <c r="N2265" s="77"/>
      <c r="O2265" s="75">
        <v>1</v>
      </c>
      <c r="P2265" s="75">
        <v>0</v>
      </c>
      <c r="Q2265" s="75">
        <v>0</v>
      </c>
      <c r="R2265" s="75">
        <v>0</v>
      </c>
      <c r="S2265" s="75">
        <v>0</v>
      </c>
      <c r="T2265" s="75">
        <v>0</v>
      </c>
      <c r="U2265" s="75">
        <v>0</v>
      </c>
      <c r="V2265" s="75">
        <v>0</v>
      </c>
      <c r="W2265" s="78">
        <v>0</v>
      </c>
    </row>
    <row r="2266" spans="1:23" s="75" customFormat="1" hidden="1" x14ac:dyDescent="0.35">
      <c r="A2266" s="75">
        <v>2262</v>
      </c>
      <c r="B2266" s="75">
        <v>2263</v>
      </c>
      <c r="C2266">
        <v>146.0249154</v>
      </c>
      <c r="D2266">
        <v>-17.4840342</v>
      </c>
      <c r="F2266" s="75" t="str">
        <f>HYPERLINK("E:\Data From Lucan\2024\Johnstone\Frames_for_Analysis\2263_20240610_0003_L_3309.jpg","2263_20240610_0003_L_3309.jpg")</f>
        <v>2263_20240610_0003_L_3309.jpg</v>
      </c>
      <c r="I2266">
        <f t="shared" si="35"/>
        <v>1</v>
      </c>
      <c r="J2266" s="75">
        <v>1</v>
      </c>
      <c r="K2266" s="77"/>
      <c r="L2266" s="77"/>
      <c r="M2266" s="77"/>
      <c r="N2266" s="77"/>
      <c r="O2266" s="75">
        <v>1</v>
      </c>
      <c r="P2266" s="75">
        <v>0</v>
      </c>
      <c r="Q2266" s="75">
        <v>0</v>
      </c>
      <c r="R2266" s="75">
        <v>0</v>
      </c>
      <c r="S2266" s="75">
        <v>0</v>
      </c>
      <c r="T2266" s="75">
        <v>0</v>
      </c>
      <c r="U2266" s="75">
        <v>0</v>
      </c>
      <c r="V2266" s="75">
        <v>0</v>
      </c>
      <c r="W2266" s="78">
        <v>0</v>
      </c>
    </row>
    <row r="2267" spans="1:23" s="75" customFormat="1" hidden="1" x14ac:dyDescent="0.35">
      <c r="A2267" s="75">
        <v>2263</v>
      </c>
      <c r="B2267" s="75">
        <v>2264</v>
      </c>
      <c r="C2267">
        <v>146.02482520000001</v>
      </c>
      <c r="D2267">
        <v>-17.48406147</v>
      </c>
      <c r="F2267" s="75" t="str">
        <f>HYPERLINK("E:\Data From Lucan\2024\Johnstone\Frames_for_Analysis\2264_20240610_0003_L_3312.jpg","2264_20240610_0003_L_3312.jpg")</f>
        <v>2264_20240610_0003_L_3312.jpg</v>
      </c>
      <c r="I2267">
        <f t="shared" si="35"/>
        <v>1</v>
      </c>
      <c r="J2267" s="75">
        <v>1</v>
      </c>
      <c r="K2267" s="77"/>
      <c r="L2267" s="77"/>
      <c r="M2267" s="77"/>
      <c r="N2267" s="77"/>
      <c r="O2267" s="75">
        <v>1</v>
      </c>
      <c r="P2267" s="75">
        <v>0</v>
      </c>
      <c r="Q2267" s="75">
        <v>0</v>
      </c>
      <c r="R2267" s="75">
        <v>0</v>
      </c>
      <c r="S2267" s="75">
        <v>0</v>
      </c>
      <c r="T2267" s="75">
        <v>0</v>
      </c>
      <c r="U2267" s="75">
        <v>0</v>
      </c>
      <c r="V2267" s="75">
        <v>0</v>
      </c>
      <c r="W2267" s="78">
        <v>0</v>
      </c>
    </row>
    <row r="2268" spans="1:23" s="75" customFormat="1" hidden="1" x14ac:dyDescent="0.35">
      <c r="A2268" s="75">
        <v>2264</v>
      </c>
      <c r="B2268" s="75">
        <v>2265</v>
      </c>
      <c r="C2268">
        <v>146.0247349</v>
      </c>
      <c r="D2268">
        <v>-17.484088750000002</v>
      </c>
      <c r="F2268" s="75" t="str">
        <f>HYPERLINK("E:\Data From Lucan\2024\Johnstone\Frames_for_Analysis\2265_20240610_0003_L_3315.jpg","2265_20240610_0003_L_3315.jpg")</f>
        <v>2265_20240610_0003_L_3315.jpg</v>
      </c>
      <c r="I2268">
        <f t="shared" si="35"/>
        <v>1</v>
      </c>
      <c r="J2268" s="75">
        <v>1</v>
      </c>
      <c r="K2268" s="77"/>
      <c r="L2268" s="77"/>
      <c r="M2268" s="77"/>
      <c r="N2268" s="77"/>
      <c r="O2268" s="75">
        <v>1</v>
      </c>
      <c r="P2268" s="75">
        <v>0</v>
      </c>
      <c r="Q2268" s="75">
        <v>0</v>
      </c>
      <c r="R2268" s="75">
        <v>0</v>
      </c>
      <c r="S2268" s="75">
        <v>0</v>
      </c>
      <c r="T2268" s="75">
        <v>0</v>
      </c>
      <c r="U2268" s="75">
        <v>0</v>
      </c>
      <c r="V2268" s="75">
        <v>0</v>
      </c>
      <c r="W2268" s="78">
        <v>0</v>
      </c>
    </row>
    <row r="2269" spans="1:23" s="75" customFormat="1" hidden="1" x14ac:dyDescent="0.35">
      <c r="A2269" s="75">
        <v>2265</v>
      </c>
      <c r="B2269" s="75">
        <v>2266</v>
      </c>
      <c r="C2269">
        <v>146.02464459999999</v>
      </c>
      <c r="D2269">
        <v>-17.484116019999998</v>
      </c>
      <c r="F2269" s="75" t="str">
        <f>HYPERLINK("E:\Data From Lucan\2024\Johnstone\Frames_for_Analysis\2266_20240610_0003_L_3317.jpg","2266_20240610_0003_L_3317.jpg")</f>
        <v>2266_20240610_0003_L_3317.jpg</v>
      </c>
      <c r="I2269">
        <f t="shared" si="35"/>
        <v>1</v>
      </c>
      <c r="J2269" s="75">
        <v>1</v>
      </c>
      <c r="K2269" s="77"/>
      <c r="L2269" s="77"/>
      <c r="M2269" s="77"/>
      <c r="N2269" s="77"/>
      <c r="O2269" s="75">
        <v>1</v>
      </c>
      <c r="P2269" s="75">
        <v>0</v>
      </c>
      <c r="Q2269" s="75">
        <v>0</v>
      </c>
      <c r="R2269" s="75">
        <v>0</v>
      </c>
      <c r="S2269" s="75">
        <v>0</v>
      </c>
      <c r="T2269" s="75">
        <v>0</v>
      </c>
      <c r="U2269" s="75">
        <v>0</v>
      </c>
      <c r="V2269" s="75">
        <v>0</v>
      </c>
      <c r="W2269" s="78">
        <v>0</v>
      </c>
    </row>
    <row r="2270" spans="1:23" s="75" customFormat="1" hidden="1" x14ac:dyDescent="0.35">
      <c r="A2270" s="75">
        <v>2266</v>
      </c>
      <c r="B2270" s="75">
        <v>2267</v>
      </c>
      <c r="C2270">
        <v>146.02455430000001</v>
      </c>
      <c r="D2270">
        <v>-17.484143289999999</v>
      </c>
      <c r="F2270" s="75" t="str">
        <f>HYPERLINK("E:\Data From Lucan\2024\Johnstone\Frames_for_Analysis\2267_20240610_0003_L_3322.jpg","2267_20240610_0003_L_3322.jpg")</f>
        <v>2267_20240610_0003_L_3322.jpg</v>
      </c>
      <c r="I2270">
        <f t="shared" si="35"/>
        <v>1</v>
      </c>
      <c r="J2270" s="75">
        <v>1</v>
      </c>
      <c r="K2270" s="77"/>
      <c r="L2270" s="77"/>
      <c r="M2270" s="77"/>
      <c r="N2270" s="77"/>
      <c r="O2270" s="75">
        <v>1</v>
      </c>
      <c r="P2270" s="75">
        <v>0</v>
      </c>
      <c r="Q2270" s="75">
        <v>0</v>
      </c>
      <c r="R2270" s="75">
        <v>0</v>
      </c>
      <c r="S2270" s="75">
        <v>0</v>
      </c>
      <c r="T2270" s="75">
        <v>0</v>
      </c>
      <c r="U2270" s="75">
        <v>0</v>
      </c>
      <c r="V2270" s="75">
        <v>0</v>
      </c>
      <c r="W2270" s="78">
        <v>0</v>
      </c>
    </row>
    <row r="2271" spans="1:23" s="75" customFormat="1" hidden="1" x14ac:dyDescent="0.35">
      <c r="A2271" s="75">
        <v>2267</v>
      </c>
      <c r="B2271" s="75">
        <v>2268</v>
      </c>
      <c r="C2271">
        <v>146.02446409999999</v>
      </c>
      <c r="D2271">
        <v>-17.484170559999999</v>
      </c>
      <c r="F2271" s="75" t="str">
        <f>HYPERLINK("E:\Data From Lucan\2024\Johnstone\Frames_for_Analysis\2268_20240610_0003_L_3325.jpg","2268_20240610_0003_L_3325.jpg")</f>
        <v>2268_20240610_0003_L_3325.jpg</v>
      </c>
      <c r="I2271">
        <f t="shared" si="35"/>
        <v>1</v>
      </c>
      <c r="J2271" s="75">
        <v>1</v>
      </c>
      <c r="K2271" s="77"/>
      <c r="L2271" s="77"/>
      <c r="M2271" s="77"/>
      <c r="N2271" s="77"/>
      <c r="O2271" s="75">
        <v>1</v>
      </c>
      <c r="P2271" s="75">
        <v>0</v>
      </c>
      <c r="Q2271" s="75">
        <v>0</v>
      </c>
      <c r="R2271" s="75">
        <v>0</v>
      </c>
      <c r="S2271" s="75">
        <v>0</v>
      </c>
      <c r="T2271" s="75">
        <v>0</v>
      </c>
      <c r="U2271" s="75">
        <v>0</v>
      </c>
      <c r="V2271" s="75">
        <v>1</v>
      </c>
      <c r="W2271" s="78">
        <v>0</v>
      </c>
    </row>
    <row r="2272" spans="1:23" s="75" customFormat="1" hidden="1" x14ac:dyDescent="0.35">
      <c r="A2272" s="75">
        <v>2268</v>
      </c>
      <c r="B2272" s="75">
        <v>2269</v>
      </c>
      <c r="C2272">
        <v>146.02437380000001</v>
      </c>
      <c r="D2272">
        <v>-17.484197829999999</v>
      </c>
      <c r="F2272" s="75" t="str">
        <f>HYPERLINK("E:\Data From Lucan\2024\Johnstone\Frames_for_Analysis\2269_20240610_0003_L_3330.jpg","2269_20240610_0003_L_3330.jpg")</f>
        <v>2269_20240610_0003_L_3330.jpg</v>
      </c>
      <c r="I2272">
        <f t="shared" si="35"/>
        <v>1</v>
      </c>
      <c r="J2272" s="75">
        <v>1</v>
      </c>
      <c r="K2272" s="77"/>
      <c r="L2272" s="77"/>
      <c r="M2272" s="77"/>
      <c r="N2272" s="77"/>
      <c r="O2272" s="75">
        <v>1</v>
      </c>
      <c r="P2272" s="75">
        <v>0</v>
      </c>
      <c r="Q2272" s="75">
        <v>0</v>
      </c>
      <c r="R2272" s="75">
        <v>0</v>
      </c>
      <c r="S2272" s="75">
        <v>0</v>
      </c>
      <c r="T2272" s="75">
        <v>0</v>
      </c>
      <c r="U2272" s="75">
        <v>0</v>
      </c>
      <c r="V2272" s="75">
        <v>0</v>
      </c>
      <c r="W2272" s="78">
        <v>0</v>
      </c>
    </row>
    <row r="2273" spans="1:23" s="75" customFormat="1" hidden="1" x14ac:dyDescent="0.35">
      <c r="A2273" s="75">
        <v>2269</v>
      </c>
      <c r="B2273" s="75">
        <v>2270</v>
      </c>
      <c r="C2273">
        <v>146.0242835</v>
      </c>
      <c r="D2273">
        <v>-17.484225110000001</v>
      </c>
      <c r="F2273" s="75" t="str">
        <f>HYPERLINK("E:\Data From Lucan\2024\Johnstone\Frames_for_Analysis\2270_20240610_0003_L_3332.jpg","2270_20240610_0003_L_3332.jpg")</f>
        <v>2270_20240610_0003_L_3332.jpg</v>
      </c>
      <c r="I2273">
        <f t="shared" si="35"/>
        <v>0</v>
      </c>
      <c r="J2273" s="75">
        <v>0</v>
      </c>
      <c r="K2273" s="77"/>
      <c r="L2273" s="77"/>
      <c r="M2273" s="77"/>
      <c r="N2273" s="77"/>
      <c r="O2273" s="75">
        <v>1</v>
      </c>
      <c r="P2273" s="75">
        <v>0</v>
      </c>
      <c r="Q2273" s="75">
        <v>0</v>
      </c>
      <c r="R2273" s="75">
        <v>0</v>
      </c>
      <c r="S2273" s="75">
        <v>0</v>
      </c>
      <c r="T2273" s="75">
        <v>0</v>
      </c>
      <c r="U2273" s="75">
        <v>0</v>
      </c>
      <c r="V2273" s="75">
        <v>0</v>
      </c>
      <c r="W2273" s="78">
        <v>0</v>
      </c>
    </row>
    <row r="2274" spans="1:23" s="75" customFormat="1" hidden="1" x14ac:dyDescent="0.35">
      <c r="A2274" s="75">
        <v>2270</v>
      </c>
      <c r="B2274" s="75">
        <v>2271</v>
      </c>
      <c r="C2274">
        <v>146.02419320000001</v>
      </c>
      <c r="D2274">
        <v>-17.484252380000001</v>
      </c>
      <c r="F2274" s="75" t="str">
        <f>HYPERLINK("E:\Data From Lucan\2024\Johnstone\Frames_for_Analysis\2271_20240610_0003_L_3335.jpg","2271_20240610_0003_L_3335.jpg")</f>
        <v>2271_20240610_0003_L_3335.jpg</v>
      </c>
      <c r="I2274">
        <f t="shared" si="35"/>
        <v>1</v>
      </c>
      <c r="J2274" s="75">
        <v>1</v>
      </c>
      <c r="K2274" s="77"/>
      <c r="L2274" s="77"/>
      <c r="M2274" s="77"/>
      <c r="N2274" s="77"/>
      <c r="O2274" s="75">
        <v>1</v>
      </c>
      <c r="P2274" s="75">
        <v>0</v>
      </c>
      <c r="Q2274" s="75">
        <v>0</v>
      </c>
      <c r="R2274" s="75">
        <v>0</v>
      </c>
      <c r="S2274" s="75">
        <v>0</v>
      </c>
      <c r="T2274" s="75">
        <v>0</v>
      </c>
      <c r="U2274" s="75">
        <v>0</v>
      </c>
      <c r="V2274" s="75">
        <v>0</v>
      </c>
      <c r="W2274" s="78">
        <v>0</v>
      </c>
    </row>
    <row r="2275" spans="1:23" s="75" customFormat="1" hidden="1" x14ac:dyDescent="0.35">
      <c r="A2275" s="75">
        <v>2271</v>
      </c>
      <c r="B2275" s="75">
        <v>2272</v>
      </c>
      <c r="C2275">
        <v>146.024103</v>
      </c>
      <c r="D2275">
        <v>-17.484279650000001</v>
      </c>
      <c r="F2275" s="75" t="str">
        <f>HYPERLINK("E:\Data From Lucan\2024\Johnstone\Frames_for_Analysis\2272_20240610_0003_L_3338.jpg","2272_20240610_0003_L_3338.jpg")</f>
        <v>2272_20240610_0003_L_3338.jpg</v>
      </c>
      <c r="I2275">
        <f t="shared" si="35"/>
        <v>1</v>
      </c>
      <c r="J2275" s="75">
        <v>1</v>
      </c>
      <c r="K2275" s="77"/>
      <c r="L2275" s="77"/>
      <c r="M2275" s="77"/>
      <c r="N2275" s="77"/>
      <c r="O2275" s="75">
        <v>1</v>
      </c>
      <c r="P2275" s="75">
        <v>0</v>
      </c>
      <c r="Q2275" s="75">
        <v>0</v>
      </c>
      <c r="R2275" s="75">
        <v>0</v>
      </c>
      <c r="S2275" s="75">
        <v>0</v>
      </c>
      <c r="T2275" s="75">
        <v>0</v>
      </c>
      <c r="U2275" s="75">
        <v>0</v>
      </c>
      <c r="V2275" s="75">
        <v>0</v>
      </c>
      <c r="W2275" s="78">
        <v>0</v>
      </c>
    </row>
    <row r="2276" spans="1:23" s="75" customFormat="1" hidden="1" x14ac:dyDescent="0.35">
      <c r="A2276" s="75">
        <v>2272</v>
      </c>
      <c r="B2276" s="75">
        <v>2273</v>
      </c>
      <c r="C2276">
        <v>146.02401269999999</v>
      </c>
      <c r="D2276">
        <v>-17.484306920000002</v>
      </c>
      <c r="F2276" s="75" t="str">
        <f>HYPERLINK("E:\Data From Lucan\2024\Johnstone\Frames_for_Analysis\2273_20240610_0003_L_3344.jpg","2273_20240610_0003_L_3344.jpg")</f>
        <v>2273_20240610_0003_L_3344.jpg</v>
      </c>
      <c r="I2276">
        <f t="shared" si="35"/>
        <v>1</v>
      </c>
      <c r="J2276" s="75">
        <v>1</v>
      </c>
      <c r="K2276" s="77"/>
      <c r="L2276" s="77"/>
      <c r="M2276" s="77"/>
      <c r="N2276" s="77"/>
      <c r="O2276" s="75">
        <v>1</v>
      </c>
      <c r="P2276" s="75">
        <v>0</v>
      </c>
      <c r="Q2276" s="75">
        <v>0</v>
      </c>
      <c r="R2276" s="75">
        <v>0</v>
      </c>
      <c r="S2276" s="75">
        <v>0</v>
      </c>
      <c r="T2276" s="75">
        <v>0</v>
      </c>
      <c r="U2276" s="75">
        <v>0</v>
      </c>
      <c r="V2276" s="75">
        <v>0</v>
      </c>
      <c r="W2276" s="78">
        <v>0</v>
      </c>
    </row>
    <row r="2277" spans="1:23" s="75" customFormat="1" hidden="1" x14ac:dyDescent="0.35">
      <c r="A2277" s="75">
        <v>2273</v>
      </c>
      <c r="B2277" s="75">
        <v>2274</v>
      </c>
      <c r="C2277">
        <v>146.0239224</v>
      </c>
      <c r="D2277">
        <v>-17.484334199999999</v>
      </c>
      <c r="F2277" s="75" t="str">
        <f>HYPERLINK("E:\Data From Lucan\2024\Johnstone\Frames_for_Analysis\2274_20240610_0003_L_3346.jpg","2274_20240610_0003_L_3346.jpg")</f>
        <v>2274_20240610_0003_L_3346.jpg</v>
      </c>
      <c r="I2277">
        <f t="shared" si="35"/>
        <v>1</v>
      </c>
      <c r="J2277" s="75">
        <v>1</v>
      </c>
      <c r="K2277" s="77"/>
      <c r="L2277" s="77"/>
      <c r="M2277" s="77"/>
      <c r="N2277" s="77"/>
      <c r="O2277" s="75">
        <v>1</v>
      </c>
      <c r="P2277" s="75">
        <v>0</v>
      </c>
      <c r="Q2277" s="75">
        <v>0</v>
      </c>
      <c r="R2277" s="75">
        <v>0</v>
      </c>
      <c r="S2277" s="75">
        <v>0</v>
      </c>
      <c r="T2277" s="75">
        <v>0</v>
      </c>
      <c r="U2277" s="75">
        <v>0</v>
      </c>
      <c r="V2277" s="75">
        <v>0</v>
      </c>
      <c r="W2277" s="78">
        <v>0</v>
      </c>
    </row>
    <row r="2278" spans="1:23" s="75" customFormat="1" hidden="1" x14ac:dyDescent="0.35">
      <c r="A2278" s="75">
        <v>2274</v>
      </c>
      <c r="B2278" s="75">
        <v>2275</v>
      </c>
      <c r="C2278">
        <v>146.02383209999999</v>
      </c>
      <c r="D2278">
        <v>-17.48436147</v>
      </c>
      <c r="F2278" s="75" t="str">
        <f>HYPERLINK("E:\Data From Lucan\2024\Johnstone\Frames_for_Analysis\2275_20240610_0003_L_3350.jpg","2275_20240610_0003_L_3350.jpg")</f>
        <v>2275_20240610_0003_L_3350.jpg</v>
      </c>
      <c r="I2278">
        <f t="shared" si="35"/>
        <v>1</v>
      </c>
      <c r="J2278" s="75">
        <v>1</v>
      </c>
      <c r="K2278" s="77"/>
      <c r="L2278" s="77"/>
      <c r="M2278" s="77"/>
      <c r="N2278" s="77"/>
      <c r="O2278" s="75">
        <v>1</v>
      </c>
      <c r="P2278" s="75">
        <v>0</v>
      </c>
      <c r="Q2278" s="75">
        <v>0</v>
      </c>
      <c r="R2278" s="75">
        <v>0</v>
      </c>
      <c r="S2278" s="75">
        <v>0</v>
      </c>
      <c r="T2278" s="75">
        <v>0</v>
      </c>
      <c r="U2278" s="75">
        <v>0</v>
      </c>
      <c r="V2278" s="75">
        <v>1</v>
      </c>
      <c r="W2278" s="78">
        <v>0</v>
      </c>
    </row>
    <row r="2279" spans="1:23" s="75" customFormat="1" hidden="1" x14ac:dyDescent="0.35">
      <c r="A2279" s="75">
        <v>2275</v>
      </c>
      <c r="B2279" s="75">
        <v>2276</v>
      </c>
      <c r="C2279">
        <v>146.0237419</v>
      </c>
      <c r="D2279">
        <v>-17.48438874</v>
      </c>
      <c r="F2279" s="75" t="str">
        <f>HYPERLINK("E:\Data From Lucan\2024\Johnstone\Frames_for_Analysis\2276_20240610_0003_L_3353.jpg","2276_20240610_0003_L_3353.jpg")</f>
        <v>2276_20240610_0003_L_3353.jpg</v>
      </c>
      <c r="I2279">
        <f t="shared" si="35"/>
        <v>1</v>
      </c>
      <c r="J2279" s="75">
        <v>1</v>
      </c>
      <c r="K2279" s="77"/>
      <c r="L2279" s="77"/>
      <c r="M2279" s="77"/>
      <c r="N2279" s="77"/>
      <c r="O2279" s="75">
        <v>1</v>
      </c>
      <c r="P2279" s="75">
        <v>0</v>
      </c>
      <c r="Q2279" s="75">
        <v>0</v>
      </c>
      <c r="R2279" s="75">
        <v>0</v>
      </c>
      <c r="S2279" s="75">
        <v>0</v>
      </c>
      <c r="T2279" s="75">
        <v>0</v>
      </c>
      <c r="U2279" s="75">
        <v>0</v>
      </c>
      <c r="V2279" s="75">
        <v>1</v>
      </c>
      <c r="W2279" s="78">
        <v>0</v>
      </c>
    </row>
    <row r="2280" spans="1:23" s="75" customFormat="1" hidden="1" x14ac:dyDescent="0.35">
      <c r="A2280" s="75">
        <v>2276</v>
      </c>
      <c r="B2280" s="75">
        <v>2277</v>
      </c>
      <c r="C2280">
        <v>146.02365159999999</v>
      </c>
      <c r="D2280">
        <v>-17.48441601</v>
      </c>
      <c r="F2280" s="75" t="str">
        <f>HYPERLINK("E:\Data From Lucan\2024\Johnstone\Frames_for_Analysis\2277_20240610_0003_L_3356.jpg","2277_20240610_0003_L_3356.jpg")</f>
        <v>2277_20240610_0003_L_3356.jpg</v>
      </c>
      <c r="I2280">
        <f t="shared" si="35"/>
        <v>1</v>
      </c>
      <c r="J2280" s="75">
        <v>1</v>
      </c>
      <c r="K2280" s="77"/>
      <c r="L2280" s="77"/>
      <c r="M2280" s="77"/>
      <c r="N2280" s="77"/>
      <c r="O2280" s="75">
        <v>1</v>
      </c>
      <c r="P2280" s="75">
        <v>0</v>
      </c>
      <c r="Q2280" s="75">
        <v>0</v>
      </c>
      <c r="R2280" s="75">
        <v>0</v>
      </c>
      <c r="S2280" s="75">
        <v>0</v>
      </c>
      <c r="T2280" s="75">
        <v>0</v>
      </c>
      <c r="U2280" s="75">
        <v>0</v>
      </c>
      <c r="V2280" s="75">
        <v>0</v>
      </c>
      <c r="W2280" s="78">
        <v>0</v>
      </c>
    </row>
    <row r="2281" spans="1:23" s="75" customFormat="1" hidden="1" x14ac:dyDescent="0.35">
      <c r="A2281" s="75">
        <v>2277</v>
      </c>
      <c r="B2281" s="75">
        <v>2278</v>
      </c>
      <c r="C2281">
        <v>146.02356130000001</v>
      </c>
      <c r="D2281">
        <v>-17.484443169999999</v>
      </c>
      <c r="F2281" s="75" t="str">
        <f>HYPERLINK("E:\Data From Lucan\2024\Johnstone\Frames_for_Analysis\2278_20240610_0003_L_3358.jpg","2278_20240610_0003_L_3358.jpg")</f>
        <v>2278_20240610_0003_L_3358.jpg</v>
      </c>
      <c r="I2281">
        <f t="shared" si="35"/>
        <v>1</v>
      </c>
      <c r="J2281" s="75">
        <v>1</v>
      </c>
      <c r="K2281" s="77"/>
      <c r="L2281" s="77"/>
      <c r="M2281" s="77"/>
      <c r="N2281" s="77"/>
      <c r="O2281" s="75">
        <v>1</v>
      </c>
      <c r="P2281" s="75">
        <v>0</v>
      </c>
      <c r="Q2281" s="75">
        <v>0</v>
      </c>
      <c r="R2281" s="75">
        <v>0</v>
      </c>
      <c r="S2281" s="75">
        <v>0</v>
      </c>
      <c r="T2281" s="75">
        <v>0</v>
      </c>
      <c r="U2281" s="75">
        <v>0</v>
      </c>
      <c r="V2281" s="75">
        <v>0</v>
      </c>
      <c r="W2281" s="78">
        <v>0</v>
      </c>
    </row>
    <row r="2282" spans="1:23" s="75" customFormat="1" hidden="1" x14ac:dyDescent="0.35">
      <c r="A2282" s="75">
        <v>2278</v>
      </c>
      <c r="B2282" s="75">
        <v>2279</v>
      </c>
      <c r="C2282">
        <v>146.02347040000001</v>
      </c>
      <c r="D2282">
        <v>-17.48446817</v>
      </c>
      <c r="F2282" s="75" t="str">
        <f>HYPERLINK("E:\Data From Lucan\2024\Johnstone\Frames_for_Analysis\2279_20240610_0003_L_3361.jpg","2279_20240610_0003_L_3361.jpg")</f>
        <v>2279_20240610_0003_L_3361.jpg</v>
      </c>
      <c r="I2282">
        <f t="shared" si="35"/>
        <v>1</v>
      </c>
      <c r="J2282" s="75">
        <v>1</v>
      </c>
      <c r="K2282" s="77"/>
      <c r="L2282" s="77"/>
      <c r="M2282" s="77"/>
      <c r="N2282" s="77"/>
      <c r="O2282" s="75">
        <v>1</v>
      </c>
      <c r="P2282" s="75">
        <v>0</v>
      </c>
      <c r="Q2282" s="75">
        <v>0</v>
      </c>
      <c r="R2282" s="75">
        <v>0</v>
      </c>
      <c r="S2282" s="75">
        <v>0</v>
      </c>
      <c r="T2282" s="75">
        <v>0</v>
      </c>
      <c r="U2282" s="75">
        <v>0</v>
      </c>
      <c r="V2282" s="75">
        <v>0</v>
      </c>
      <c r="W2282" s="78">
        <v>0</v>
      </c>
    </row>
    <row r="2283" spans="1:23" s="75" customFormat="1" hidden="1" x14ac:dyDescent="0.35">
      <c r="A2283" s="75">
        <v>2279</v>
      </c>
      <c r="B2283" s="75">
        <v>2280</v>
      </c>
      <c r="C2283">
        <v>146.02337940000001</v>
      </c>
      <c r="D2283">
        <v>-17.48449317</v>
      </c>
      <c r="F2283" s="75" t="str">
        <f>HYPERLINK("E:\Data From Lucan\2024\Johnstone\Frames_for_Analysis\2280_20240610_0003_L_3365.jpg","2280_20240610_0003_L_3365.jpg")</f>
        <v>2280_20240610_0003_L_3365.jpg</v>
      </c>
      <c r="I2283">
        <f t="shared" si="35"/>
        <v>1</v>
      </c>
      <c r="J2283" s="75">
        <v>1</v>
      </c>
      <c r="K2283" s="77"/>
      <c r="L2283" s="77"/>
      <c r="M2283" s="77"/>
      <c r="N2283" s="77"/>
      <c r="O2283" s="75">
        <v>1</v>
      </c>
      <c r="P2283" s="75">
        <v>0</v>
      </c>
      <c r="Q2283" s="75">
        <v>0</v>
      </c>
      <c r="R2283" s="75">
        <v>0</v>
      </c>
      <c r="S2283" s="75">
        <v>0</v>
      </c>
      <c r="T2283" s="75">
        <v>0</v>
      </c>
      <c r="U2283" s="75">
        <v>0</v>
      </c>
      <c r="V2283" s="75">
        <v>0</v>
      </c>
      <c r="W2283" s="78">
        <v>0</v>
      </c>
    </row>
    <row r="2284" spans="1:23" s="75" customFormat="1" hidden="1" x14ac:dyDescent="0.35">
      <c r="A2284" s="75">
        <v>2280</v>
      </c>
      <c r="B2284" s="75">
        <v>2281</v>
      </c>
      <c r="C2284">
        <v>146.02328850000001</v>
      </c>
      <c r="D2284">
        <v>-17.484518170000001</v>
      </c>
      <c r="F2284" s="75" t="str">
        <f>HYPERLINK("E:\Data From Lucan\2024\Johnstone\Frames_for_Analysis\2281_20240610_0003_L_3368.jpg","2281_20240610_0003_L_3368.jpg")</f>
        <v>2281_20240610_0003_L_3368.jpg</v>
      </c>
      <c r="I2284">
        <f t="shared" si="35"/>
        <v>1</v>
      </c>
      <c r="J2284" s="75">
        <v>1</v>
      </c>
      <c r="K2284" s="77"/>
      <c r="L2284" s="77"/>
      <c r="M2284" s="77"/>
      <c r="N2284" s="77"/>
      <c r="O2284" s="75">
        <v>1</v>
      </c>
      <c r="P2284" s="75">
        <v>0</v>
      </c>
      <c r="Q2284" s="75">
        <v>0</v>
      </c>
      <c r="R2284" s="75">
        <v>0</v>
      </c>
      <c r="S2284" s="75">
        <v>0</v>
      </c>
      <c r="T2284" s="75">
        <v>0</v>
      </c>
      <c r="U2284" s="75">
        <v>0</v>
      </c>
      <c r="V2284" s="75">
        <v>0</v>
      </c>
      <c r="W2284" s="78">
        <v>0</v>
      </c>
    </row>
    <row r="2285" spans="1:23" s="75" customFormat="1" hidden="1" x14ac:dyDescent="0.35">
      <c r="A2285" s="75">
        <v>2281</v>
      </c>
      <c r="B2285" s="75">
        <v>2282</v>
      </c>
      <c r="C2285">
        <v>146.0231976</v>
      </c>
      <c r="D2285">
        <v>-17.484543179999999</v>
      </c>
      <c r="F2285" s="75" t="str">
        <f>HYPERLINK("E:\Data From Lucan\2024\Johnstone\Frames_for_Analysis\2282_20240610_0003_L_3371.jpg","2282_20240610_0003_L_3371.jpg")</f>
        <v>2282_20240610_0003_L_3371.jpg</v>
      </c>
      <c r="I2285">
        <f t="shared" si="35"/>
        <v>1</v>
      </c>
      <c r="J2285" s="75">
        <v>1</v>
      </c>
      <c r="K2285" s="77"/>
      <c r="L2285" s="77"/>
      <c r="M2285" s="77"/>
      <c r="N2285" s="77"/>
      <c r="O2285" s="75">
        <v>1</v>
      </c>
      <c r="P2285" s="75">
        <v>0</v>
      </c>
      <c r="Q2285" s="75">
        <v>0</v>
      </c>
      <c r="R2285" s="75">
        <v>0</v>
      </c>
      <c r="S2285" s="75">
        <v>0</v>
      </c>
      <c r="T2285" s="75">
        <v>0</v>
      </c>
      <c r="U2285" s="75">
        <v>0</v>
      </c>
      <c r="V2285" s="75">
        <v>0</v>
      </c>
      <c r="W2285" s="78">
        <v>0</v>
      </c>
    </row>
    <row r="2286" spans="1:23" s="75" customFormat="1" hidden="1" x14ac:dyDescent="0.35">
      <c r="A2286" s="75">
        <v>2282</v>
      </c>
      <c r="B2286" s="75">
        <v>2283</v>
      </c>
      <c r="C2286">
        <v>146.02310660000001</v>
      </c>
      <c r="D2286">
        <v>-17.48456818</v>
      </c>
      <c r="H2286" s="75" t="s">
        <v>26</v>
      </c>
      <c r="I2286" t="str">
        <f t="shared" si="35"/>
        <v>X</v>
      </c>
      <c r="K2286" s="77"/>
      <c r="L2286" s="77"/>
      <c r="M2286" s="77"/>
      <c r="N2286" s="77"/>
      <c r="W2286" s="78"/>
    </row>
    <row r="2287" spans="1:23" s="75" customFormat="1" hidden="1" x14ac:dyDescent="0.35">
      <c r="A2287" s="75">
        <v>2283</v>
      </c>
      <c r="B2287" s="75">
        <v>2284</v>
      </c>
      <c r="C2287">
        <v>146.0230157</v>
      </c>
      <c r="D2287">
        <v>-17.484593180000001</v>
      </c>
      <c r="F2287" s="75" t="str">
        <f>HYPERLINK("E:\Data From Lucan\2024\Johnstone\Frames_for_Analysis\2284_20240610_0003_L_3376.jpg","2284_20240610_0003_L_3376.jpg")</f>
        <v>2284_20240610_0003_L_3376.jpg</v>
      </c>
      <c r="I2287">
        <f t="shared" si="35"/>
        <v>0</v>
      </c>
      <c r="J2287" s="75">
        <v>0</v>
      </c>
      <c r="K2287" s="77"/>
      <c r="L2287" s="77"/>
      <c r="M2287" s="77"/>
      <c r="N2287" s="77"/>
      <c r="O2287" s="75">
        <v>1</v>
      </c>
      <c r="P2287" s="75">
        <v>0</v>
      </c>
      <c r="Q2287" s="75">
        <v>0</v>
      </c>
      <c r="R2287" s="75">
        <v>0</v>
      </c>
      <c r="S2287" s="75">
        <v>0</v>
      </c>
      <c r="T2287" s="75">
        <v>0</v>
      </c>
      <c r="U2287" s="75">
        <v>0</v>
      </c>
      <c r="V2287" s="75">
        <v>0</v>
      </c>
      <c r="W2287" s="78">
        <v>0</v>
      </c>
    </row>
    <row r="2288" spans="1:23" s="75" customFormat="1" hidden="1" x14ac:dyDescent="0.35">
      <c r="A2288" s="75">
        <v>2284</v>
      </c>
      <c r="B2288" s="75">
        <v>2285</v>
      </c>
      <c r="C2288">
        <v>146.0229248</v>
      </c>
      <c r="D2288">
        <v>-17.484618179999998</v>
      </c>
      <c r="F2288" s="75" t="str">
        <f>HYPERLINK("E:\Data From Lucan\2024\Johnstone\Frames_for_Analysis\2285_20240610_0003_L_3379.jpg","2285_20240610_0003_L_3379.jpg")</f>
        <v>2285_20240610_0003_L_3379.jpg</v>
      </c>
      <c r="I2288">
        <f t="shared" si="35"/>
        <v>1</v>
      </c>
      <c r="J2288" s="75">
        <v>1</v>
      </c>
      <c r="K2288" s="77"/>
      <c r="L2288" s="77"/>
      <c r="M2288" s="77"/>
      <c r="N2288" s="77"/>
      <c r="O2288" s="75">
        <v>1</v>
      </c>
      <c r="P2288" s="75">
        <v>0</v>
      </c>
      <c r="Q2288" s="75">
        <v>0</v>
      </c>
      <c r="R2288" s="75">
        <v>0</v>
      </c>
      <c r="S2288" s="75">
        <v>0</v>
      </c>
      <c r="T2288" s="75">
        <v>0</v>
      </c>
      <c r="U2288" s="75">
        <v>0</v>
      </c>
      <c r="V2288" s="75">
        <v>0</v>
      </c>
      <c r="W2288" s="78">
        <v>0</v>
      </c>
    </row>
    <row r="2289" spans="1:23" s="75" customFormat="1" hidden="1" x14ac:dyDescent="0.35">
      <c r="A2289" s="75">
        <v>2285</v>
      </c>
      <c r="B2289" s="75">
        <v>2286</v>
      </c>
      <c r="C2289">
        <v>146.02283389999999</v>
      </c>
      <c r="D2289">
        <v>-17.48464319</v>
      </c>
      <c r="F2289" s="75" t="str">
        <f>HYPERLINK("E:\Data From Lucan\2024\Johnstone\Frames_for_Analysis\2286_20240610_0003_L_3382.jpg","2286_20240610_0003_L_3382.jpg")</f>
        <v>2286_20240610_0003_L_3382.jpg</v>
      </c>
      <c r="I2289">
        <f t="shared" si="35"/>
        <v>1</v>
      </c>
      <c r="J2289" s="75">
        <v>1</v>
      </c>
      <c r="K2289" s="77"/>
      <c r="L2289" s="77"/>
      <c r="M2289" s="77"/>
      <c r="N2289" s="77"/>
      <c r="O2289" s="75">
        <v>1</v>
      </c>
      <c r="P2289" s="75">
        <v>0</v>
      </c>
      <c r="Q2289" s="75">
        <v>0</v>
      </c>
      <c r="R2289" s="75">
        <v>0</v>
      </c>
      <c r="S2289" s="75">
        <v>0</v>
      </c>
      <c r="T2289" s="75">
        <v>0</v>
      </c>
      <c r="U2289" s="75">
        <v>0</v>
      </c>
      <c r="V2289" s="75">
        <v>0</v>
      </c>
      <c r="W2289" s="78">
        <v>0</v>
      </c>
    </row>
    <row r="2290" spans="1:23" s="75" customFormat="1" hidden="1" x14ac:dyDescent="0.35">
      <c r="A2290" s="75">
        <v>2286</v>
      </c>
      <c r="B2290" s="75">
        <v>2287</v>
      </c>
      <c r="C2290">
        <v>146.0227429</v>
      </c>
      <c r="D2290">
        <v>-17.484668190000001</v>
      </c>
      <c r="F2290" s="75" t="str">
        <f>HYPERLINK("E:\Data From Lucan\2024\Johnstone\Frames_for_Analysis\2287_20240610_0003_L_3388.jpg","2287_20240610_0003_L_3388.jpg")</f>
        <v>2287_20240610_0003_L_3388.jpg</v>
      </c>
      <c r="I2290">
        <f t="shared" si="35"/>
        <v>0</v>
      </c>
      <c r="J2290" s="75">
        <v>0</v>
      </c>
      <c r="K2290" s="77"/>
      <c r="L2290" s="77"/>
      <c r="M2290" s="77"/>
      <c r="N2290" s="77"/>
      <c r="O2290" s="75">
        <v>1</v>
      </c>
      <c r="P2290" s="75">
        <v>0</v>
      </c>
      <c r="Q2290" s="75">
        <v>0</v>
      </c>
      <c r="R2290" s="75">
        <v>0</v>
      </c>
      <c r="S2290" s="75">
        <v>0</v>
      </c>
      <c r="T2290" s="75">
        <v>0</v>
      </c>
      <c r="U2290" s="75">
        <v>0</v>
      </c>
      <c r="V2290" s="75">
        <v>0</v>
      </c>
      <c r="W2290" s="78">
        <v>0</v>
      </c>
    </row>
    <row r="2291" spans="1:23" s="75" customFormat="1" hidden="1" x14ac:dyDescent="0.35">
      <c r="A2291" s="75">
        <v>2287</v>
      </c>
      <c r="B2291" s="75">
        <v>2288</v>
      </c>
      <c r="C2291">
        <v>146.02265199999999</v>
      </c>
      <c r="D2291">
        <v>-17.484693190000002</v>
      </c>
      <c r="F2291" s="75" t="str">
        <f>HYPERLINK("E:\Data From Lucan\2024\Johnstone\Frames_for_Analysis\2288_20240610_0003_L_3393.jpg","2288_20240610_0003_L_3393.jpg")</f>
        <v>2288_20240610_0003_L_3393.jpg</v>
      </c>
      <c r="I2291">
        <f t="shared" si="35"/>
        <v>1</v>
      </c>
      <c r="J2291" s="75">
        <v>1</v>
      </c>
      <c r="K2291" s="77"/>
      <c r="L2291" s="77"/>
      <c r="M2291" s="77"/>
      <c r="N2291" s="77"/>
      <c r="O2291" s="75">
        <v>1</v>
      </c>
      <c r="P2291" s="75">
        <v>0</v>
      </c>
      <c r="Q2291" s="75">
        <v>0</v>
      </c>
      <c r="R2291" s="75">
        <v>0</v>
      </c>
      <c r="S2291" s="75">
        <v>0</v>
      </c>
      <c r="T2291" s="75">
        <v>0</v>
      </c>
      <c r="U2291" s="75">
        <v>0</v>
      </c>
      <c r="V2291" s="75">
        <v>0</v>
      </c>
      <c r="W2291" s="78">
        <v>0</v>
      </c>
    </row>
    <row r="2292" spans="1:23" s="75" customFormat="1" hidden="1" x14ac:dyDescent="0.35">
      <c r="A2292" s="75">
        <v>2288</v>
      </c>
      <c r="B2292" s="75">
        <v>2289</v>
      </c>
      <c r="C2292">
        <v>146.02256109999999</v>
      </c>
      <c r="D2292">
        <v>-17.484718189999999</v>
      </c>
      <c r="F2292" s="75" t="str">
        <f>HYPERLINK("E:\Data From Lucan\2024\Johnstone\Frames_for_Analysis\2289_20240610_0003_L_3396.jpg","2289_20240610_0003_L_3396.jpg")</f>
        <v>2289_20240610_0003_L_3396.jpg</v>
      </c>
      <c r="I2292">
        <f t="shared" si="35"/>
        <v>1</v>
      </c>
      <c r="J2292" s="75">
        <v>1</v>
      </c>
      <c r="K2292" s="77"/>
      <c r="L2292" s="77"/>
      <c r="M2292" s="77"/>
      <c r="N2292" s="77"/>
      <c r="O2292" s="75">
        <v>1</v>
      </c>
      <c r="P2292" s="75">
        <v>0</v>
      </c>
      <c r="Q2292" s="75">
        <v>0</v>
      </c>
      <c r="R2292" s="75">
        <v>0</v>
      </c>
      <c r="S2292" s="75">
        <v>0</v>
      </c>
      <c r="T2292" s="75">
        <v>0</v>
      </c>
      <c r="U2292" s="75">
        <v>0</v>
      </c>
      <c r="V2292" s="75">
        <v>0</v>
      </c>
      <c r="W2292" s="78">
        <v>0</v>
      </c>
    </row>
    <row r="2293" spans="1:23" s="75" customFormat="1" hidden="1" x14ac:dyDescent="0.35">
      <c r="A2293" s="75">
        <v>2289</v>
      </c>
      <c r="B2293" s="75">
        <v>2290</v>
      </c>
      <c r="C2293">
        <v>146.02247009999999</v>
      </c>
      <c r="D2293">
        <v>-17.48474319</v>
      </c>
      <c r="F2293" s="75" t="str">
        <f>HYPERLINK("E:\Data From Lucan\2024\Johnstone\Frames_for_Analysis\2290_20240610_0003_L_3400.jpg","2290_20240610_0003_L_3400.jpg")</f>
        <v>2290_20240610_0003_L_3400.jpg</v>
      </c>
      <c r="I2293">
        <f t="shared" si="35"/>
        <v>0</v>
      </c>
      <c r="J2293" s="75">
        <v>0</v>
      </c>
      <c r="K2293" s="77"/>
      <c r="L2293" s="77"/>
      <c r="M2293" s="77"/>
      <c r="N2293" s="77"/>
      <c r="O2293" s="75">
        <v>1</v>
      </c>
      <c r="P2293" s="75">
        <v>0</v>
      </c>
      <c r="Q2293" s="75">
        <v>0</v>
      </c>
      <c r="R2293" s="75">
        <v>0</v>
      </c>
      <c r="S2293" s="75">
        <v>0</v>
      </c>
      <c r="T2293" s="75">
        <v>0</v>
      </c>
      <c r="U2293" s="75">
        <v>0</v>
      </c>
      <c r="V2293" s="75">
        <v>0</v>
      </c>
      <c r="W2293" s="78">
        <v>0</v>
      </c>
    </row>
    <row r="2294" spans="1:23" s="75" customFormat="1" hidden="1" x14ac:dyDescent="0.35">
      <c r="A2294" s="75">
        <v>2290</v>
      </c>
      <c r="B2294" s="75">
        <v>2291</v>
      </c>
      <c r="C2294">
        <v>146.02237919999999</v>
      </c>
      <c r="D2294">
        <v>-17.484768200000001</v>
      </c>
      <c r="F2294" s="75" t="str">
        <f>HYPERLINK("E:\Data From Lucan\2024\Johnstone\Frames_for_Analysis\2291_20240610_0003_L_3403.jpg","2291_20240610_0003_L_3403.jpg")</f>
        <v>2291_20240610_0003_L_3403.jpg</v>
      </c>
      <c r="I2294">
        <f t="shared" si="35"/>
        <v>0</v>
      </c>
      <c r="J2294" s="75">
        <v>0</v>
      </c>
      <c r="K2294" s="77"/>
      <c r="L2294" s="77"/>
      <c r="M2294" s="77"/>
      <c r="N2294" s="77"/>
      <c r="O2294" s="75">
        <v>1</v>
      </c>
      <c r="P2294" s="75">
        <v>0</v>
      </c>
      <c r="Q2294" s="75">
        <v>0</v>
      </c>
      <c r="R2294" s="75">
        <v>0</v>
      </c>
      <c r="S2294" s="75">
        <v>0</v>
      </c>
      <c r="T2294" s="75">
        <v>0</v>
      </c>
      <c r="U2294" s="75">
        <v>0</v>
      </c>
      <c r="V2294" s="75">
        <v>0</v>
      </c>
      <c r="W2294" s="78">
        <v>0</v>
      </c>
    </row>
    <row r="2295" spans="1:23" s="75" customFormat="1" hidden="1" x14ac:dyDescent="0.35">
      <c r="A2295" s="75">
        <v>2291</v>
      </c>
      <c r="B2295" s="75">
        <v>2292</v>
      </c>
      <c r="C2295">
        <v>146.02228830000001</v>
      </c>
      <c r="D2295">
        <v>-17.484793199999999</v>
      </c>
      <c r="F2295" s="75" t="str">
        <f>HYPERLINK("E:\Data From Lucan\2024\Johnstone\Frames_for_Analysis\2292_20240610_0003_L_3406.jpg","2292_20240610_0003_L_3406.jpg")</f>
        <v>2292_20240610_0003_L_3406.jpg</v>
      </c>
      <c r="I2295">
        <f t="shared" si="35"/>
        <v>1</v>
      </c>
      <c r="J2295" s="75">
        <v>1</v>
      </c>
      <c r="K2295" s="77"/>
      <c r="L2295" s="77"/>
      <c r="M2295" s="77"/>
      <c r="N2295" s="77"/>
      <c r="O2295" s="75">
        <v>1</v>
      </c>
      <c r="P2295" s="75">
        <v>0</v>
      </c>
      <c r="Q2295" s="75">
        <v>0</v>
      </c>
      <c r="R2295" s="75">
        <v>0</v>
      </c>
      <c r="S2295" s="75">
        <v>0</v>
      </c>
      <c r="T2295" s="75">
        <v>0</v>
      </c>
      <c r="U2295" s="75">
        <v>0</v>
      </c>
      <c r="V2295" s="75">
        <v>0</v>
      </c>
      <c r="W2295" s="78">
        <v>0</v>
      </c>
    </row>
    <row r="2296" spans="1:23" s="75" customFormat="1" hidden="1" x14ac:dyDescent="0.35">
      <c r="A2296" s="75">
        <v>2292</v>
      </c>
      <c r="B2296" s="75">
        <v>2293</v>
      </c>
      <c r="C2296">
        <v>146.02219729999999</v>
      </c>
      <c r="D2296">
        <v>-17.484818199999999</v>
      </c>
      <c r="F2296" s="75" t="str">
        <f>HYPERLINK("E:\Data From Lucan\2024\Johnstone\Frames_for_Analysis\2293_20240610_0003_L_3409.jpg","2293_20240610_0003_L_3409.jpg")</f>
        <v>2293_20240610_0003_L_3409.jpg</v>
      </c>
      <c r="I2296">
        <f t="shared" si="35"/>
        <v>0</v>
      </c>
      <c r="J2296" s="75">
        <v>0</v>
      </c>
      <c r="K2296" s="77"/>
      <c r="L2296" s="77"/>
      <c r="M2296" s="77"/>
      <c r="N2296" s="77"/>
      <c r="O2296" s="75">
        <v>1</v>
      </c>
      <c r="P2296" s="75">
        <v>0</v>
      </c>
      <c r="Q2296" s="75">
        <v>0</v>
      </c>
      <c r="R2296" s="75">
        <v>0</v>
      </c>
      <c r="S2296" s="75">
        <v>0</v>
      </c>
      <c r="T2296" s="75">
        <v>0</v>
      </c>
      <c r="U2296" s="75">
        <v>0</v>
      </c>
      <c r="V2296" s="75">
        <v>0</v>
      </c>
      <c r="W2296" s="78">
        <v>0</v>
      </c>
    </row>
    <row r="2297" spans="1:23" s="75" customFormat="1" hidden="1" x14ac:dyDescent="0.35">
      <c r="A2297" s="75">
        <v>2293</v>
      </c>
      <c r="B2297" s="75">
        <v>2294</v>
      </c>
      <c r="C2297">
        <v>146.02210640000001</v>
      </c>
      <c r="D2297">
        <v>-17.4848432</v>
      </c>
      <c r="F2297" s="75" t="str">
        <f>HYPERLINK("E:\Data From Lucan\2024\Johnstone\Frames_for_Analysis\2294_20240610_0003_L_3412.jpg","2294_20240610_0003_L_3412.jpg")</f>
        <v>2294_20240610_0003_L_3412.jpg</v>
      </c>
      <c r="I2297">
        <f t="shared" si="35"/>
        <v>1</v>
      </c>
      <c r="J2297" s="75">
        <v>1</v>
      </c>
      <c r="K2297" s="77"/>
      <c r="L2297" s="77"/>
      <c r="M2297" s="77"/>
      <c r="N2297" s="77"/>
      <c r="O2297" s="75">
        <v>1</v>
      </c>
      <c r="P2297" s="75">
        <v>0</v>
      </c>
      <c r="Q2297" s="75">
        <v>0</v>
      </c>
      <c r="R2297" s="75">
        <v>0</v>
      </c>
      <c r="S2297" s="75">
        <v>0</v>
      </c>
      <c r="T2297" s="75">
        <v>0</v>
      </c>
      <c r="U2297" s="75">
        <v>0</v>
      </c>
      <c r="V2297" s="75">
        <v>0</v>
      </c>
      <c r="W2297" s="78">
        <v>0</v>
      </c>
    </row>
    <row r="2298" spans="1:23" s="75" customFormat="1" hidden="1" x14ac:dyDescent="0.35">
      <c r="A2298" s="75">
        <v>2294</v>
      </c>
      <c r="B2298" s="75">
        <v>2295</v>
      </c>
      <c r="C2298">
        <v>146.02201550000001</v>
      </c>
      <c r="D2298">
        <v>-17.484868200000001</v>
      </c>
      <c r="F2298" s="75" t="str">
        <f>HYPERLINK("E:\Data From Lucan\2024\Johnstone\Frames_for_Analysis\2295_20240610_0003_L_3416.jpg","2295_20240610_0003_L_3416.jpg")</f>
        <v>2295_20240610_0003_L_3416.jpg</v>
      </c>
      <c r="I2298">
        <f t="shared" si="35"/>
        <v>1</v>
      </c>
      <c r="J2298" s="75">
        <v>1</v>
      </c>
      <c r="K2298" s="77"/>
      <c r="L2298" s="77"/>
      <c r="M2298" s="77"/>
      <c r="N2298" s="77"/>
      <c r="O2298" s="75">
        <v>1</v>
      </c>
      <c r="P2298" s="75">
        <v>0</v>
      </c>
      <c r="Q2298" s="75">
        <v>0</v>
      </c>
      <c r="R2298" s="75">
        <v>0</v>
      </c>
      <c r="S2298" s="75">
        <v>0</v>
      </c>
      <c r="T2298" s="75">
        <v>0</v>
      </c>
      <c r="U2298" s="75">
        <v>0</v>
      </c>
      <c r="V2298" s="75">
        <v>0</v>
      </c>
      <c r="W2298" s="78">
        <v>0</v>
      </c>
    </row>
    <row r="2299" spans="1:23" s="75" customFormat="1" hidden="1" x14ac:dyDescent="0.35">
      <c r="A2299" s="75">
        <v>2295</v>
      </c>
      <c r="B2299" s="75">
        <v>2296</v>
      </c>
      <c r="C2299">
        <v>146.02192460000001</v>
      </c>
      <c r="D2299">
        <v>-17.484893199999998</v>
      </c>
      <c r="F2299" s="75" t="str">
        <f>HYPERLINK("E:\Data From Lucan\2024\Johnstone\Frames_for_Analysis\2296_20240610_0003_L_3419.jpg","2296_20240610_0003_L_3419.jpg")</f>
        <v>2296_20240610_0003_L_3419.jpg</v>
      </c>
      <c r="I2299">
        <f t="shared" si="35"/>
        <v>1</v>
      </c>
      <c r="J2299" s="75">
        <v>1</v>
      </c>
      <c r="K2299" s="77"/>
      <c r="L2299" s="77"/>
      <c r="M2299" s="77"/>
      <c r="N2299" s="77"/>
      <c r="O2299" s="75">
        <v>1</v>
      </c>
      <c r="P2299" s="75">
        <v>0</v>
      </c>
      <c r="Q2299" s="75">
        <v>0</v>
      </c>
      <c r="R2299" s="75">
        <v>0</v>
      </c>
      <c r="S2299" s="75">
        <v>0</v>
      </c>
      <c r="T2299" s="75">
        <v>0</v>
      </c>
      <c r="U2299" s="75">
        <v>0</v>
      </c>
      <c r="V2299" s="75">
        <v>1</v>
      </c>
      <c r="W2299" s="78">
        <v>0</v>
      </c>
    </row>
    <row r="2300" spans="1:23" s="75" customFormat="1" hidden="1" x14ac:dyDescent="0.35">
      <c r="A2300" s="75">
        <v>2296</v>
      </c>
      <c r="B2300" s="75">
        <v>2297</v>
      </c>
      <c r="C2300">
        <v>146.02183360000001</v>
      </c>
      <c r="D2300">
        <v>-17.484918199999999</v>
      </c>
      <c r="F2300" s="75" t="str">
        <f>HYPERLINK("E:\Data From Lucan\2024\Johnstone\Frames_for_Analysis\2297_20240610_0003_L_3421.jpg","2297_20240610_0003_L_3421.jpg")</f>
        <v>2297_20240610_0003_L_3421.jpg</v>
      </c>
      <c r="I2300">
        <f t="shared" si="35"/>
        <v>1</v>
      </c>
      <c r="J2300" s="75">
        <v>1</v>
      </c>
      <c r="K2300" s="77"/>
      <c r="L2300" s="77"/>
      <c r="M2300" s="77"/>
      <c r="N2300" s="77"/>
      <c r="O2300" s="75">
        <v>1</v>
      </c>
      <c r="P2300" s="75">
        <v>0</v>
      </c>
      <c r="Q2300" s="75">
        <v>0</v>
      </c>
      <c r="R2300" s="75">
        <v>0</v>
      </c>
      <c r="S2300" s="75">
        <v>0</v>
      </c>
      <c r="T2300" s="75">
        <v>0</v>
      </c>
      <c r="U2300" s="75">
        <v>0</v>
      </c>
      <c r="V2300" s="75">
        <v>0</v>
      </c>
      <c r="W2300" s="78">
        <v>0</v>
      </c>
    </row>
    <row r="2301" spans="1:23" s="75" customFormat="1" hidden="1" x14ac:dyDescent="0.35">
      <c r="A2301" s="75">
        <v>2297</v>
      </c>
      <c r="B2301" s="75">
        <v>2298</v>
      </c>
      <c r="C2301">
        <v>146.0217427</v>
      </c>
      <c r="D2301">
        <v>-17.484943210000001</v>
      </c>
      <c r="F2301" s="75" t="str">
        <f>HYPERLINK("E:\Data From Lucan\2024\Johnstone\Frames_for_Analysis\2298_20240610_0003_L_3424.jpg","2298_20240610_0003_L_3424.jpg")</f>
        <v>2298_20240610_0003_L_3424.jpg</v>
      </c>
      <c r="I2301">
        <f t="shared" si="35"/>
        <v>0</v>
      </c>
      <c r="J2301" s="75">
        <v>0</v>
      </c>
      <c r="K2301" s="77"/>
      <c r="L2301" s="77"/>
      <c r="M2301" s="77"/>
      <c r="N2301" s="77"/>
      <c r="O2301" s="75">
        <v>1</v>
      </c>
      <c r="P2301" s="75">
        <v>0</v>
      </c>
      <c r="Q2301" s="75">
        <v>0</v>
      </c>
      <c r="R2301" s="75">
        <v>0</v>
      </c>
      <c r="S2301" s="75">
        <v>0</v>
      </c>
      <c r="T2301" s="75">
        <v>0</v>
      </c>
      <c r="U2301" s="75">
        <v>0</v>
      </c>
      <c r="V2301" s="75">
        <v>0</v>
      </c>
      <c r="W2301" s="78">
        <v>0</v>
      </c>
    </row>
    <row r="2302" spans="1:23" s="75" customFormat="1" hidden="1" x14ac:dyDescent="0.35">
      <c r="A2302" s="75">
        <v>2298</v>
      </c>
      <c r="B2302" s="75">
        <v>2299</v>
      </c>
      <c r="C2302">
        <v>146.0216518</v>
      </c>
      <c r="D2302">
        <v>-17.484968210000002</v>
      </c>
      <c r="F2302" s="75" t="str">
        <f>HYPERLINK("E:\Data From Lucan\2024\Johnstone\Frames_for_Analysis\2299_20240610_0003_L_3426.jpg","2299_20240610_0003_L_3426.jpg")</f>
        <v>2299_20240610_0003_L_3426.jpg</v>
      </c>
      <c r="I2302">
        <f t="shared" si="35"/>
        <v>1</v>
      </c>
      <c r="J2302" s="75">
        <v>1</v>
      </c>
      <c r="K2302" s="77"/>
      <c r="L2302" s="77"/>
      <c r="M2302" s="77"/>
      <c r="N2302" s="77"/>
      <c r="O2302" s="75">
        <v>1</v>
      </c>
      <c r="P2302" s="75">
        <v>0</v>
      </c>
      <c r="Q2302" s="75">
        <v>0</v>
      </c>
      <c r="R2302" s="75">
        <v>0</v>
      </c>
      <c r="S2302" s="75">
        <v>0</v>
      </c>
      <c r="T2302" s="75">
        <v>0</v>
      </c>
      <c r="U2302" s="75">
        <v>0</v>
      </c>
      <c r="V2302" s="75">
        <v>0</v>
      </c>
      <c r="W2302" s="78">
        <v>0</v>
      </c>
    </row>
    <row r="2303" spans="1:23" s="75" customFormat="1" hidden="1" x14ac:dyDescent="0.35">
      <c r="A2303" s="75">
        <v>2299</v>
      </c>
      <c r="B2303" s="75">
        <v>2300</v>
      </c>
      <c r="C2303">
        <v>146.0215608</v>
      </c>
      <c r="D2303">
        <v>-17.484993209999999</v>
      </c>
      <c r="F2303" s="75" t="str">
        <f>HYPERLINK("E:\Data From Lucan\2024\Johnstone\Frames_for_Analysis\2300_20240610_0003_L_3429.jpg","2300_20240610_0003_L_3429.jpg")</f>
        <v>2300_20240610_0003_L_3429.jpg</v>
      </c>
      <c r="I2303">
        <f t="shared" si="35"/>
        <v>0</v>
      </c>
      <c r="J2303" s="75">
        <v>0</v>
      </c>
      <c r="K2303" s="77"/>
      <c r="L2303" s="77"/>
      <c r="M2303" s="77"/>
      <c r="N2303" s="77"/>
      <c r="O2303" s="75">
        <v>1</v>
      </c>
      <c r="P2303" s="75">
        <v>0</v>
      </c>
      <c r="Q2303" s="75">
        <v>0</v>
      </c>
      <c r="R2303" s="75">
        <v>0</v>
      </c>
      <c r="S2303" s="75">
        <v>0</v>
      </c>
      <c r="T2303" s="75">
        <v>0</v>
      </c>
      <c r="U2303" s="75">
        <v>0</v>
      </c>
      <c r="V2303" s="75">
        <v>0</v>
      </c>
      <c r="W2303" s="78">
        <v>0</v>
      </c>
    </row>
    <row r="2304" spans="1:23" s="75" customFormat="1" hidden="1" x14ac:dyDescent="0.35">
      <c r="A2304" s="75">
        <v>2300</v>
      </c>
      <c r="B2304" s="75">
        <v>2301</v>
      </c>
      <c r="C2304">
        <v>146.0214699</v>
      </c>
      <c r="D2304">
        <v>-17.48501821</v>
      </c>
      <c r="F2304" s="75" t="str">
        <f>HYPERLINK("E:\Data From Lucan\2024\Johnstone\Frames_for_Analysis\2301_20240610_0003_L_3432.jpg","2301_20240610_0003_L_3432.jpg")</f>
        <v>2301_20240610_0003_L_3432.jpg</v>
      </c>
      <c r="I2304">
        <f t="shared" si="35"/>
        <v>1</v>
      </c>
      <c r="J2304" s="75">
        <v>1</v>
      </c>
      <c r="K2304" s="77"/>
      <c r="L2304" s="77"/>
      <c r="M2304" s="77"/>
      <c r="N2304" s="77"/>
      <c r="O2304" s="75">
        <v>1</v>
      </c>
      <c r="P2304" s="75">
        <v>0</v>
      </c>
      <c r="Q2304" s="75">
        <v>0</v>
      </c>
      <c r="R2304" s="75">
        <v>0</v>
      </c>
      <c r="S2304" s="75">
        <v>0</v>
      </c>
      <c r="T2304" s="75">
        <v>0</v>
      </c>
      <c r="U2304" s="75">
        <v>0</v>
      </c>
      <c r="V2304" s="75">
        <v>0</v>
      </c>
      <c r="W2304" s="78">
        <v>0</v>
      </c>
    </row>
    <row r="2305" spans="1:23" s="75" customFormat="1" hidden="1" x14ac:dyDescent="0.35">
      <c r="A2305" s="75">
        <v>2301</v>
      </c>
      <c r="B2305" s="75">
        <v>2302</v>
      </c>
      <c r="C2305">
        <v>146.021379</v>
      </c>
      <c r="D2305">
        <v>-17.485043210000001</v>
      </c>
      <c r="F2305" s="75" t="str">
        <f>HYPERLINK("E:\Data From Lucan\2024\Johnstone\Frames_for_Analysis\2302_20240610_0003_L_3435.jpg","2302_20240610_0003_L_3435.jpg")</f>
        <v>2302_20240610_0003_L_3435.jpg</v>
      </c>
      <c r="I2305">
        <f t="shared" si="35"/>
        <v>1</v>
      </c>
      <c r="J2305" s="75">
        <v>1</v>
      </c>
      <c r="K2305" s="77"/>
      <c r="L2305" s="77"/>
      <c r="M2305" s="77"/>
      <c r="N2305" s="77"/>
      <c r="O2305" s="75">
        <v>1</v>
      </c>
      <c r="P2305" s="75">
        <v>0</v>
      </c>
      <c r="Q2305" s="75">
        <v>0</v>
      </c>
      <c r="R2305" s="75">
        <v>0</v>
      </c>
      <c r="S2305" s="75">
        <v>0</v>
      </c>
      <c r="T2305" s="75">
        <v>0</v>
      </c>
      <c r="U2305" s="75">
        <v>0</v>
      </c>
      <c r="V2305" s="75">
        <v>0</v>
      </c>
      <c r="W2305" s="78">
        <v>0</v>
      </c>
    </row>
    <row r="2306" spans="1:23" s="75" customFormat="1" hidden="1" x14ac:dyDescent="0.35">
      <c r="A2306" s="75">
        <v>2302</v>
      </c>
      <c r="B2306" s="75">
        <v>2303</v>
      </c>
      <c r="C2306">
        <v>146.02128930000001</v>
      </c>
      <c r="D2306">
        <v>-17.4850718</v>
      </c>
      <c r="F2306" s="75" t="str">
        <f>HYPERLINK("E:\Data From Lucan\2024\Johnstone\Frames_for_Analysis\2303_20240610_0003_L_3438.jpg","2303_20240610_0003_L_3438.jpg")</f>
        <v>2303_20240610_0003_L_3438.jpg</v>
      </c>
      <c r="I2306">
        <f t="shared" si="35"/>
        <v>1</v>
      </c>
      <c r="J2306" s="75">
        <v>1</v>
      </c>
      <c r="K2306" s="77"/>
      <c r="L2306" s="77"/>
      <c r="M2306" s="77"/>
      <c r="N2306" s="77"/>
      <c r="O2306" s="75">
        <v>1</v>
      </c>
      <c r="P2306" s="75">
        <v>0</v>
      </c>
      <c r="Q2306" s="75">
        <v>0</v>
      </c>
      <c r="R2306" s="75">
        <v>0</v>
      </c>
      <c r="S2306" s="75">
        <v>0</v>
      </c>
      <c r="T2306" s="75">
        <v>0</v>
      </c>
      <c r="U2306" s="75">
        <v>0</v>
      </c>
      <c r="V2306" s="75">
        <v>0</v>
      </c>
      <c r="W2306" s="78">
        <v>0</v>
      </c>
    </row>
    <row r="2307" spans="1:23" s="75" customFormat="1" hidden="1" x14ac:dyDescent="0.35">
      <c r="A2307" s="75">
        <v>2303</v>
      </c>
      <c r="B2307" s="75">
        <v>2304</v>
      </c>
      <c r="C2307">
        <v>146.02120289999999</v>
      </c>
      <c r="D2307">
        <v>-17.485109470000001</v>
      </c>
      <c r="F2307" s="75" t="str">
        <f>HYPERLINK("E:\Data From Lucan\2024\Johnstone\Frames_for_Analysis\2304_20240610_0003_L_3440.jpg","2304_20240610_0003_L_3440.jpg")</f>
        <v>2304_20240610_0003_L_3440.jpg</v>
      </c>
      <c r="I2307">
        <f t="shared" si="35"/>
        <v>1</v>
      </c>
      <c r="J2307" s="75">
        <v>1</v>
      </c>
      <c r="K2307" s="77"/>
      <c r="L2307" s="77"/>
      <c r="M2307" s="77"/>
      <c r="N2307" s="77"/>
      <c r="O2307" s="75">
        <v>1</v>
      </c>
      <c r="P2307" s="75">
        <v>0</v>
      </c>
      <c r="Q2307" s="75">
        <v>0</v>
      </c>
      <c r="R2307" s="75">
        <v>0</v>
      </c>
      <c r="S2307" s="75">
        <v>0</v>
      </c>
      <c r="T2307" s="75">
        <v>0</v>
      </c>
      <c r="U2307" s="75">
        <v>0</v>
      </c>
      <c r="V2307" s="75">
        <v>0</v>
      </c>
      <c r="W2307" s="78">
        <v>0</v>
      </c>
    </row>
    <row r="2308" spans="1:23" s="75" customFormat="1" hidden="1" x14ac:dyDescent="0.35">
      <c r="A2308" s="75">
        <v>2304</v>
      </c>
      <c r="B2308" s="75">
        <v>2305</v>
      </c>
      <c r="C2308">
        <v>146.02111640000001</v>
      </c>
      <c r="D2308">
        <v>-17.485147139999999</v>
      </c>
      <c r="F2308" s="75" t="str">
        <f>HYPERLINK("E:\Data From Lucan\2024\Johnstone\Frames_for_Analysis\2305_20240610_0003_L_3443.jpg","2305_20240610_0003_L_3443.jpg")</f>
        <v>2305_20240610_0003_L_3443.jpg</v>
      </c>
      <c r="I2308">
        <f t="shared" si="35"/>
        <v>1</v>
      </c>
      <c r="J2308" s="75">
        <v>1</v>
      </c>
      <c r="K2308" s="77"/>
      <c r="L2308" s="77"/>
      <c r="M2308" s="77"/>
      <c r="N2308" s="77"/>
      <c r="O2308" s="75">
        <v>1</v>
      </c>
      <c r="P2308" s="75">
        <v>0</v>
      </c>
      <c r="Q2308" s="75">
        <v>0</v>
      </c>
      <c r="R2308" s="75">
        <v>0</v>
      </c>
      <c r="S2308" s="75">
        <v>0</v>
      </c>
      <c r="T2308" s="75">
        <v>0</v>
      </c>
      <c r="U2308" s="75">
        <v>0</v>
      </c>
      <c r="V2308" s="75">
        <v>0</v>
      </c>
      <c r="W2308" s="78">
        <v>0</v>
      </c>
    </row>
    <row r="2309" spans="1:23" s="75" customFormat="1" hidden="1" x14ac:dyDescent="0.35">
      <c r="A2309" s="75">
        <v>2305</v>
      </c>
      <c r="B2309" s="75">
        <v>2306</v>
      </c>
      <c r="C2309">
        <v>146.02103</v>
      </c>
      <c r="D2309">
        <v>-17.485184820000001</v>
      </c>
      <c r="F2309" s="75" t="str">
        <f>HYPERLINK("E:\Data From Lucan\2024\Johnstone\Frames_for_Analysis\2306_20240610_0003_L_3447.jpg","2306_20240610_0003_L_3447.jpg")</f>
        <v>2306_20240610_0003_L_3447.jpg</v>
      </c>
      <c r="I2309">
        <f t="shared" ref="I2309:I2372" si="36">IF(H2309="X","X",IF(J2309="NA","X",IF(J2309="","X",J2309)))</f>
        <v>1</v>
      </c>
      <c r="J2309" s="75">
        <v>1</v>
      </c>
      <c r="K2309" s="77"/>
      <c r="L2309" s="77"/>
      <c r="M2309" s="77"/>
      <c r="N2309" s="77"/>
      <c r="O2309" s="75">
        <v>1</v>
      </c>
      <c r="P2309" s="75">
        <v>0</v>
      </c>
      <c r="Q2309" s="75">
        <v>0</v>
      </c>
      <c r="R2309" s="75">
        <v>0</v>
      </c>
      <c r="S2309" s="75">
        <v>0</v>
      </c>
      <c r="T2309" s="75">
        <v>0</v>
      </c>
      <c r="U2309" s="75">
        <v>0</v>
      </c>
      <c r="V2309" s="75">
        <v>0</v>
      </c>
      <c r="W2309" s="78">
        <v>0</v>
      </c>
    </row>
    <row r="2310" spans="1:23" s="75" customFormat="1" hidden="1" x14ac:dyDescent="0.35">
      <c r="A2310" s="75">
        <v>2306</v>
      </c>
      <c r="B2310" s="75">
        <v>2307</v>
      </c>
      <c r="C2310">
        <v>146.02094349999999</v>
      </c>
      <c r="D2310">
        <v>-17.485222490000002</v>
      </c>
      <c r="F2310" s="75" t="str">
        <f>HYPERLINK("E:\Data From Lucan\2024\Johnstone\Frames_for_Analysis\2307_20240610_0003_L_3451.jpg","2307_20240610_0003_L_3451.jpg")</f>
        <v>2307_20240610_0003_L_3451.jpg</v>
      </c>
      <c r="I2310">
        <f t="shared" si="36"/>
        <v>1</v>
      </c>
      <c r="J2310" s="75">
        <v>1</v>
      </c>
      <c r="K2310" s="77"/>
      <c r="L2310" s="77"/>
      <c r="M2310" s="77"/>
      <c r="N2310" s="77"/>
      <c r="O2310" s="75">
        <v>1</v>
      </c>
      <c r="P2310" s="75">
        <v>0</v>
      </c>
      <c r="Q2310" s="75">
        <v>0</v>
      </c>
      <c r="R2310" s="75">
        <v>0</v>
      </c>
      <c r="S2310" s="75">
        <v>0</v>
      </c>
      <c r="T2310" s="75">
        <v>0</v>
      </c>
      <c r="U2310" s="75">
        <v>0</v>
      </c>
      <c r="V2310" s="75">
        <v>0</v>
      </c>
      <c r="W2310" s="78">
        <v>0</v>
      </c>
    </row>
    <row r="2311" spans="1:23" s="75" customFormat="1" hidden="1" x14ac:dyDescent="0.35">
      <c r="A2311" s="75">
        <v>2307</v>
      </c>
      <c r="B2311" s="75">
        <v>2308</v>
      </c>
      <c r="C2311">
        <v>146.0208571</v>
      </c>
      <c r="D2311">
        <v>-17.48526017</v>
      </c>
      <c r="F2311" s="75" t="str">
        <f>HYPERLINK("E:\Data From Lucan\2024\Johnstone\Frames_for_Analysis\2308_20240610_0003_L_3455.jpg","2308_20240610_0003_L_3455.jpg")</f>
        <v>2308_20240610_0003_L_3455.jpg</v>
      </c>
      <c r="I2311">
        <f t="shared" si="36"/>
        <v>1</v>
      </c>
      <c r="J2311" s="75">
        <v>1</v>
      </c>
      <c r="K2311" s="77"/>
      <c r="L2311" s="77"/>
      <c r="M2311" s="77"/>
      <c r="N2311" s="77"/>
      <c r="O2311" s="75">
        <v>1</v>
      </c>
      <c r="P2311" s="75">
        <v>0</v>
      </c>
      <c r="Q2311" s="75">
        <v>0</v>
      </c>
      <c r="R2311" s="75">
        <v>0</v>
      </c>
      <c r="S2311" s="75">
        <v>0</v>
      </c>
      <c r="T2311" s="75">
        <v>0</v>
      </c>
      <c r="U2311" s="75">
        <v>0</v>
      </c>
      <c r="V2311" s="75">
        <v>0</v>
      </c>
      <c r="W2311" s="78">
        <v>0</v>
      </c>
    </row>
    <row r="2312" spans="1:23" s="75" customFormat="1" hidden="1" x14ac:dyDescent="0.35">
      <c r="A2312" s="75">
        <v>2308</v>
      </c>
      <c r="B2312" s="75">
        <v>2309</v>
      </c>
      <c r="C2312">
        <v>146.02077059999999</v>
      </c>
      <c r="D2312">
        <v>-17.485297840000001</v>
      </c>
      <c r="F2312" s="75" t="str">
        <f>HYPERLINK("E:\Data From Lucan\2024\Johnstone\Frames_for_Analysis\2309_20240610_0003_L_3458.jpg","2309_20240610_0003_L_3458.jpg")</f>
        <v>2309_20240610_0003_L_3458.jpg</v>
      </c>
      <c r="I2312">
        <f t="shared" si="36"/>
        <v>1</v>
      </c>
      <c r="J2312" s="75">
        <v>1</v>
      </c>
      <c r="K2312" s="77"/>
      <c r="L2312" s="77"/>
      <c r="M2312" s="77"/>
      <c r="N2312" s="77"/>
      <c r="O2312" s="75">
        <v>1</v>
      </c>
      <c r="P2312" s="75">
        <v>0</v>
      </c>
      <c r="Q2312" s="75">
        <v>0</v>
      </c>
      <c r="R2312" s="75">
        <v>0</v>
      </c>
      <c r="S2312" s="75">
        <v>0</v>
      </c>
      <c r="T2312" s="75">
        <v>0</v>
      </c>
      <c r="U2312" s="75">
        <v>0</v>
      </c>
      <c r="V2312" s="75">
        <v>0</v>
      </c>
      <c r="W2312" s="78">
        <v>0</v>
      </c>
    </row>
    <row r="2313" spans="1:23" s="75" customFormat="1" hidden="1" x14ac:dyDescent="0.35">
      <c r="A2313" s="75">
        <v>2309</v>
      </c>
      <c r="B2313" s="75">
        <v>2310</v>
      </c>
      <c r="C2313">
        <v>146.02068420000001</v>
      </c>
      <c r="D2313">
        <v>-17.48533552</v>
      </c>
      <c r="F2313" s="75" t="str">
        <f>HYPERLINK("E:\Data From Lucan\2024\Johnstone\Frames_for_Analysis\2310_20240610_0003_L_3462.jpg","2310_20240610_0003_L_3462.jpg")</f>
        <v>2310_20240610_0003_L_3462.jpg</v>
      </c>
      <c r="I2313">
        <f t="shared" si="36"/>
        <v>1</v>
      </c>
      <c r="J2313" s="75">
        <v>1</v>
      </c>
      <c r="K2313" s="77"/>
      <c r="L2313" s="77"/>
      <c r="M2313" s="77"/>
      <c r="N2313" s="77"/>
      <c r="O2313" s="75">
        <v>1</v>
      </c>
      <c r="P2313" s="75">
        <v>0</v>
      </c>
      <c r="Q2313" s="75">
        <v>0</v>
      </c>
      <c r="R2313" s="75">
        <v>0</v>
      </c>
      <c r="S2313" s="75">
        <v>0</v>
      </c>
      <c r="T2313" s="75">
        <v>0</v>
      </c>
      <c r="U2313" s="75">
        <v>0</v>
      </c>
      <c r="V2313" s="75">
        <v>0</v>
      </c>
      <c r="W2313" s="78">
        <v>0</v>
      </c>
    </row>
    <row r="2314" spans="1:23" s="75" customFormat="1" hidden="1" x14ac:dyDescent="0.35">
      <c r="A2314" s="75">
        <v>2310</v>
      </c>
      <c r="B2314" s="75">
        <v>2311</v>
      </c>
      <c r="C2314">
        <v>146.02059840000001</v>
      </c>
      <c r="D2314">
        <v>-17.485374539999999</v>
      </c>
      <c r="F2314" s="75" t="str">
        <f>HYPERLINK("E:\Data From Lucan\2024\Johnstone\Frames_for_Analysis\2311_20240610_0003_L_3465.jpg","2311_20240610_0003_L_3465.jpg")</f>
        <v>2311_20240610_0003_L_3465.jpg</v>
      </c>
      <c r="I2314">
        <f t="shared" si="36"/>
        <v>1</v>
      </c>
      <c r="J2314" s="75">
        <v>1</v>
      </c>
      <c r="K2314" s="77"/>
      <c r="L2314" s="77"/>
      <c r="M2314" s="77"/>
      <c r="N2314" s="77"/>
      <c r="O2314" s="75">
        <v>1</v>
      </c>
      <c r="P2314" s="75">
        <v>0</v>
      </c>
      <c r="Q2314" s="75">
        <v>0</v>
      </c>
      <c r="R2314" s="75">
        <v>0</v>
      </c>
      <c r="S2314" s="75">
        <v>0</v>
      </c>
      <c r="T2314" s="75">
        <v>0</v>
      </c>
      <c r="U2314" s="75">
        <v>0</v>
      </c>
      <c r="V2314" s="75">
        <v>0</v>
      </c>
      <c r="W2314" s="78">
        <v>0</v>
      </c>
    </row>
    <row r="2315" spans="1:23" s="75" customFormat="1" hidden="1" x14ac:dyDescent="0.35">
      <c r="A2315" s="75">
        <v>2311</v>
      </c>
      <c r="B2315" s="75">
        <v>2312</v>
      </c>
      <c r="C2315">
        <v>146.02051639999999</v>
      </c>
      <c r="D2315">
        <v>-17.485421179999999</v>
      </c>
      <c r="F2315" s="75" t="str">
        <f>HYPERLINK("E:\Data From Lucan\2024\Johnstone\Frames_for_Analysis\2312_20240610_0003_L_3470.jpg","2312_20240610_0003_L_3470.jpg")</f>
        <v>2312_20240610_0003_L_3470.jpg</v>
      </c>
      <c r="I2315">
        <f t="shared" si="36"/>
        <v>1</v>
      </c>
      <c r="J2315" s="75">
        <v>1</v>
      </c>
      <c r="K2315" s="77"/>
      <c r="L2315" s="77"/>
      <c r="M2315" s="77"/>
      <c r="N2315" s="77"/>
      <c r="O2315" s="75">
        <v>1</v>
      </c>
      <c r="P2315" s="75">
        <v>0</v>
      </c>
      <c r="Q2315" s="75">
        <v>0</v>
      </c>
      <c r="R2315" s="75">
        <v>0</v>
      </c>
      <c r="S2315" s="75">
        <v>0</v>
      </c>
      <c r="T2315" s="75">
        <v>0</v>
      </c>
      <c r="U2315" s="75">
        <v>0</v>
      </c>
      <c r="V2315" s="75">
        <v>0</v>
      </c>
      <c r="W2315" s="78">
        <v>0</v>
      </c>
    </row>
    <row r="2316" spans="1:23" s="75" customFormat="1" hidden="1" x14ac:dyDescent="0.35">
      <c r="A2316" s="75">
        <v>2312</v>
      </c>
      <c r="B2316" s="75">
        <v>2313</v>
      </c>
      <c r="C2316">
        <v>146.02043449999999</v>
      </c>
      <c r="D2316">
        <v>-17.485467830000001</v>
      </c>
      <c r="F2316" s="75" t="str">
        <f>HYPERLINK("E:\Data From Lucan\2024\Johnstone\Frames_for_Analysis\2313_20240610_0003_L_3475.jpg","2313_20240610_0003_L_3475.jpg")</f>
        <v>2313_20240610_0003_L_3475.jpg</v>
      </c>
      <c r="I2316">
        <f t="shared" si="36"/>
        <v>1</v>
      </c>
      <c r="J2316" s="75">
        <v>1</v>
      </c>
      <c r="K2316" s="77"/>
      <c r="L2316" s="77"/>
      <c r="M2316" s="77"/>
      <c r="N2316" s="77"/>
      <c r="O2316" s="75">
        <v>1</v>
      </c>
      <c r="P2316" s="75">
        <v>0</v>
      </c>
      <c r="Q2316" s="75">
        <v>0</v>
      </c>
      <c r="R2316" s="75">
        <v>0</v>
      </c>
      <c r="S2316" s="75">
        <v>0</v>
      </c>
      <c r="T2316" s="75">
        <v>0</v>
      </c>
      <c r="U2316" s="75">
        <v>0</v>
      </c>
      <c r="V2316" s="75">
        <v>0</v>
      </c>
      <c r="W2316" s="78">
        <v>0</v>
      </c>
    </row>
    <row r="2317" spans="1:23" s="75" customFormat="1" hidden="1" x14ac:dyDescent="0.35">
      <c r="A2317" s="75">
        <v>2313</v>
      </c>
      <c r="B2317" s="75">
        <v>2314</v>
      </c>
      <c r="C2317">
        <v>146.0203525</v>
      </c>
      <c r="D2317">
        <v>-17.485514469999998</v>
      </c>
      <c r="F2317" s="75" t="str">
        <f>HYPERLINK("E:\Data From Lucan\2024\Johnstone\Frames_for_Analysis\2314_20240610_0003_L_3479.jpg","2314_20240610_0003_L_3479.jpg")</f>
        <v>2314_20240610_0003_L_3479.jpg</v>
      </c>
      <c r="I2317">
        <f t="shared" si="36"/>
        <v>1</v>
      </c>
      <c r="J2317" s="75">
        <v>1</v>
      </c>
      <c r="K2317" s="77"/>
      <c r="L2317" s="77"/>
      <c r="M2317" s="77"/>
      <c r="N2317" s="77"/>
      <c r="O2317" s="75">
        <v>1</v>
      </c>
      <c r="P2317" s="75">
        <v>0</v>
      </c>
      <c r="Q2317" s="75">
        <v>0</v>
      </c>
      <c r="R2317" s="75">
        <v>0</v>
      </c>
      <c r="S2317" s="75">
        <v>0</v>
      </c>
      <c r="T2317" s="75">
        <v>0</v>
      </c>
      <c r="U2317" s="75">
        <v>0</v>
      </c>
      <c r="V2317" s="75">
        <v>0</v>
      </c>
      <c r="W2317" s="78">
        <v>0</v>
      </c>
    </row>
    <row r="2318" spans="1:23" s="75" customFormat="1" hidden="1" x14ac:dyDescent="0.35">
      <c r="A2318" s="75">
        <v>2314</v>
      </c>
      <c r="B2318" s="75">
        <v>2315</v>
      </c>
      <c r="C2318">
        <v>146.02027050000001</v>
      </c>
      <c r="D2318">
        <v>-17.485561109999999</v>
      </c>
      <c r="F2318" s="75" t="str">
        <f>HYPERLINK("E:\Data From Lucan\2024\Johnstone\Frames_for_Analysis\2315_20240610_0003_L_3482.jpg","2315_20240610_0003_L_3482.jpg")</f>
        <v>2315_20240610_0003_L_3482.jpg</v>
      </c>
      <c r="I2318">
        <f t="shared" si="36"/>
        <v>1</v>
      </c>
      <c r="J2318" s="75">
        <v>1</v>
      </c>
      <c r="K2318" s="77"/>
      <c r="L2318" s="77"/>
      <c r="M2318" s="77"/>
      <c r="N2318" s="77"/>
      <c r="O2318" s="75">
        <v>1</v>
      </c>
      <c r="P2318" s="75">
        <v>0</v>
      </c>
      <c r="Q2318" s="75">
        <v>0</v>
      </c>
      <c r="R2318" s="75">
        <v>0</v>
      </c>
      <c r="S2318" s="75">
        <v>0</v>
      </c>
      <c r="T2318" s="75">
        <v>0</v>
      </c>
      <c r="U2318" s="75">
        <v>0</v>
      </c>
      <c r="V2318" s="75">
        <v>0</v>
      </c>
      <c r="W2318" s="78">
        <v>0</v>
      </c>
    </row>
    <row r="2319" spans="1:23" s="75" customFormat="1" hidden="1" x14ac:dyDescent="0.35">
      <c r="A2319" s="75">
        <v>2315</v>
      </c>
      <c r="B2319" s="75">
        <v>2316</v>
      </c>
      <c r="C2319">
        <v>146.02018899999999</v>
      </c>
      <c r="D2319">
        <v>-17.485608360000001</v>
      </c>
      <c r="F2319" s="75" t="str">
        <f>HYPERLINK("E:\Data From Lucan\2024\Johnstone\Frames_for_Analysis\2316_20240610_0003_L_3485.jpg","2316_20240610_0003_L_3485.jpg")</f>
        <v>2316_20240610_0003_L_3485.jpg</v>
      </c>
      <c r="I2319">
        <f t="shared" si="36"/>
        <v>1</v>
      </c>
      <c r="J2319" s="75">
        <v>1</v>
      </c>
      <c r="K2319" s="77"/>
      <c r="L2319" s="77"/>
      <c r="M2319" s="77"/>
      <c r="N2319" s="77"/>
      <c r="O2319" s="75">
        <v>1</v>
      </c>
      <c r="P2319" s="75">
        <v>0</v>
      </c>
      <c r="Q2319" s="75">
        <v>0</v>
      </c>
      <c r="R2319" s="75">
        <v>0</v>
      </c>
      <c r="S2319" s="75">
        <v>0</v>
      </c>
      <c r="T2319" s="75">
        <v>0</v>
      </c>
      <c r="U2319" s="75">
        <v>0</v>
      </c>
      <c r="V2319" s="75">
        <v>0</v>
      </c>
      <c r="W2319" s="78">
        <v>0</v>
      </c>
    </row>
    <row r="2320" spans="1:23" s="75" customFormat="1" hidden="1" x14ac:dyDescent="0.35">
      <c r="A2320" s="75">
        <v>2316</v>
      </c>
      <c r="B2320" s="75">
        <v>2317</v>
      </c>
      <c r="C2320">
        <v>146.02012010000001</v>
      </c>
      <c r="D2320">
        <v>-17.48567272</v>
      </c>
      <c r="F2320" s="75" t="str">
        <f>HYPERLINK("E:\Data From Lucan\2024\Johnstone\Frames_for_Analysis\2317_20240610_0003_L_3489.jpg","2317_20240610_0003_L_3489.jpg")</f>
        <v>2317_20240610_0003_L_3489.jpg</v>
      </c>
      <c r="I2320">
        <f t="shared" si="36"/>
        <v>1</v>
      </c>
      <c r="J2320" s="75">
        <v>1</v>
      </c>
      <c r="K2320" s="77"/>
      <c r="L2320" s="77"/>
      <c r="M2320" s="77"/>
      <c r="N2320" s="77"/>
      <c r="O2320" s="75">
        <v>1</v>
      </c>
      <c r="P2320" s="75">
        <v>0</v>
      </c>
      <c r="Q2320" s="75">
        <v>0</v>
      </c>
      <c r="R2320" s="75">
        <v>0</v>
      </c>
      <c r="S2320" s="75">
        <v>0</v>
      </c>
      <c r="T2320" s="75">
        <v>0</v>
      </c>
      <c r="U2320" s="75">
        <v>0</v>
      </c>
      <c r="V2320" s="75">
        <v>0</v>
      </c>
      <c r="W2320" s="78">
        <v>0</v>
      </c>
    </row>
    <row r="2321" spans="1:23" s="75" customFormat="1" hidden="1" x14ac:dyDescent="0.35">
      <c r="A2321" s="75">
        <v>2317</v>
      </c>
      <c r="B2321" s="75">
        <v>2318</v>
      </c>
      <c r="C2321">
        <v>146.02005120000001</v>
      </c>
      <c r="D2321">
        <v>-17.48573708</v>
      </c>
      <c r="F2321" s="75" t="str">
        <f>HYPERLINK("E:\Data From Lucan\2024\Johnstone\Frames_for_Analysis\2318_20240610_0003_L_3493.jpg","2318_20240610_0003_L_3493.jpg")</f>
        <v>2318_20240610_0003_L_3493.jpg</v>
      </c>
      <c r="I2321">
        <f t="shared" si="36"/>
        <v>1</v>
      </c>
      <c r="J2321" s="75">
        <v>1</v>
      </c>
      <c r="K2321" s="77"/>
      <c r="L2321" s="77"/>
      <c r="M2321" s="77"/>
      <c r="N2321" s="77"/>
      <c r="O2321" s="75">
        <v>1</v>
      </c>
      <c r="P2321" s="75">
        <v>0</v>
      </c>
      <c r="Q2321" s="75">
        <v>0</v>
      </c>
      <c r="R2321" s="75">
        <v>0</v>
      </c>
      <c r="S2321" s="75">
        <v>0</v>
      </c>
      <c r="T2321" s="75">
        <v>0</v>
      </c>
      <c r="U2321" s="75">
        <v>0</v>
      </c>
      <c r="V2321" s="75">
        <v>0</v>
      </c>
      <c r="W2321" s="78">
        <v>0</v>
      </c>
    </row>
    <row r="2322" spans="1:23" s="75" customFormat="1" hidden="1" x14ac:dyDescent="0.35">
      <c r="A2322" s="75">
        <v>2318</v>
      </c>
      <c r="B2322" s="75">
        <v>2319</v>
      </c>
      <c r="C2322">
        <v>146.01998230000001</v>
      </c>
      <c r="D2322">
        <v>-17.48580145</v>
      </c>
      <c r="F2322" s="75" t="str">
        <f>HYPERLINK("E:\Data From Lucan\2024\Johnstone\Frames_for_Analysis\2319_20240610_0003_L_3496.jpg","2319_20240610_0003_L_3496.jpg")</f>
        <v>2319_20240610_0003_L_3496.jpg</v>
      </c>
      <c r="I2322">
        <f t="shared" si="36"/>
        <v>0</v>
      </c>
      <c r="J2322" s="75">
        <v>0</v>
      </c>
      <c r="K2322" s="77"/>
      <c r="L2322" s="77"/>
      <c r="M2322" s="77"/>
      <c r="N2322" s="77"/>
      <c r="O2322" s="75">
        <v>1</v>
      </c>
      <c r="P2322" s="75">
        <v>0</v>
      </c>
      <c r="Q2322" s="75">
        <v>0</v>
      </c>
      <c r="R2322" s="75">
        <v>0</v>
      </c>
      <c r="S2322" s="75">
        <v>0</v>
      </c>
      <c r="T2322" s="75">
        <v>0</v>
      </c>
      <c r="U2322" s="75">
        <v>0</v>
      </c>
      <c r="V2322" s="75">
        <v>0</v>
      </c>
      <c r="W2322" s="78">
        <v>0</v>
      </c>
    </row>
    <row r="2323" spans="1:23" s="75" customFormat="1" hidden="1" x14ac:dyDescent="0.35">
      <c r="A2323" s="75">
        <v>2319</v>
      </c>
      <c r="B2323" s="75">
        <v>2320</v>
      </c>
      <c r="C2323">
        <v>146.01991330000001</v>
      </c>
      <c r="D2323">
        <v>-17.48586581</v>
      </c>
      <c r="F2323" s="75" t="str">
        <f>HYPERLINK("E:\Data From Lucan\2024\Johnstone\Frames_for_Analysis\2320_20240610_0003_L_3500.jpg","2320_20240610_0003_L_3500.jpg")</f>
        <v>2320_20240610_0003_L_3500.jpg</v>
      </c>
      <c r="I2323">
        <f t="shared" si="36"/>
        <v>1</v>
      </c>
      <c r="J2323" s="75">
        <v>1</v>
      </c>
      <c r="K2323" s="77"/>
      <c r="L2323" s="77"/>
      <c r="M2323" s="77"/>
      <c r="N2323" s="77"/>
      <c r="O2323" s="75">
        <v>1</v>
      </c>
      <c r="P2323" s="75">
        <v>0</v>
      </c>
      <c r="Q2323" s="75">
        <v>0</v>
      </c>
      <c r="R2323" s="75">
        <v>0</v>
      </c>
      <c r="S2323" s="75">
        <v>0</v>
      </c>
      <c r="T2323" s="75">
        <v>0</v>
      </c>
      <c r="U2323" s="75">
        <v>0</v>
      </c>
      <c r="V2323" s="75">
        <v>0</v>
      </c>
      <c r="W2323" s="78">
        <v>0</v>
      </c>
    </row>
    <row r="2324" spans="1:23" s="75" customFormat="1" hidden="1" x14ac:dyDescent="0.35">
      <c r="A2324" s="75">
        <v>2320</v>
      </c>
      <c r="B2324" s="75">
        <v>2321</v>
      </c>
      <c r="C2324">
        <v>146.01984440000001</v>
      </c>
      <c r="D2324">
        <v>-17.48593017</v>
      </c>
      <c r="F2324" s="75" t="str">
        <f>HYPERLINK("E:\Data From Lucan\2024\Johnstone\Frames_for_Analysis\2321_20240610_0003_L_3504.jpg","2321_20240610_0003_L_3504.jpg")</f>
        <v>2321_20240610_0003_L_3504.jpg</v>
      </c>
      <c r="I2324">
        <f t="shared" si="36"/>
        <v>1</v>
      </c>
      <c r="J2324" s="75">
        <v>1</v>
      </c>
      <c r="K2324" s="77"/>
      <c r="L2324" s="77"/>
      <c r="M2324" s="77"/>
      <c r="N2324" s="77"/>
      <c r="O2324" s="75">
        <v>1</v>
      </c>
      <c r="P2324" s="75">
        <v>0</v>
      </c>
      <c r="Q2324" s="75">
        <v>0</v>
      </c>
      <c r="R2324" s="75">
        <v>0</v>
      </c>
      <c r="S2324" s="75">
        <v>0</v>
      </c>
      <c r="T2324" s="75">
        <v>0</v>
      </c>
      <c r="U2324" s="75">
        <v>0</v>
      </c>
      <c r="V2324" s="75">
        <v>0</v>
      </c>
      <c r="W2324" s="78">
        <v>0</v>
      </c>
    </row>
    <row r="2325" spans="1:23" s="75" customFormat="1" hidden="1" x14ac:dyDescent="0.35">
      <c r="A2325" s="75">
        <v>2321</v>
      </c>
      <c r="B2325" s="75">
        <v>2322</v>
      </c>
      <c r="C2325">
        <v>146.01977550000001</v>
      </c>
      <c r="D2325">
        <v>-17.48599454</v>
      </c>
      <c r="F2325" s="75" t="str">
        <f>HYPERLINK("E:\Data From Lucan\2024\Johnstone\Frames_for_Analysis\2322_20240610_0003_L_3508.jpg","2322_20240610_0003_L_3508.jpg")</f>
        <v>2322_20240610_0003_L_3508.jpg</v>
      </c>
      <c r="I2325">
        <f t="shared" si="36"/>
        <v>1</v>
      </c>
      <c r="J2325" s="75">
        <v>1</v>
      </c>
      <c r="K2325" s="77"/>
      <c r="L2325" s="77"/>
      <c r="M2325" s="77"/>
      <c r="N2325" s="77"/>
      <c r="O2325" s="75">
        <v>1</v>
      </c>
      <c r="P2325" s="75">
        <v>0</v>
      </c>
      <c r="Q2325" s="75">
        <v>0</v>
      </c>
      <c r="R2325" s="75">
        <v>0</v>
      </c>
      <c r="S2325" s="75">
        <v>0</v>
      </c>
      <c r="T2325" s="75">
        <v>0</v>
      </c>
      <c r="U2325" s="75">
        <v>0</v>
      </c>
      <c r="V2325" s="75">
        <v>0</v>
      </c>
      <c r="W2325" s="78">
        <v>0</v>
      </c>
    </row>
    <row r="2326" spans="1:23" s="75" customFormat="1" hidden="1" x14ac:dyDescent="0.35">
      <c r="A2326" s="75">
        <v>2322</v>
      </c>
      <c r="B2326" s="75">
        <v>2323</v>
      </c>
      <c r="C2326">
        <v>146.01970660000001</v>
      </c>
      <c r="D2326">
        <v>-17.4860589</v>
      </c>
      <c r="F2326" s="75" t="str">
        <f>HYPERLINK("E:\Data From Lucan\2024\Johnstone\Frames_for_Analysis\2323_20240610_0003_L_3511.jpg","2323_20240610_0003_L_3511.jpg")</f>
        <v>2323_20240610_0003_L_3511.jpg</v>
      </c>
      <c r="I2326">
        <f t="shared" si="36"/>
        <v>1</v>
      </c>
      <c r="J2326" s="75">
        <v>1</v>
      </c>
      <c r="K2326" s="77"/>
      <c r="L2326" s="77"/>
      <c r="M2326" s="77"/>
      <c r="N2326" s="77"/>
      <c r="O2326" s="75">
        <v>1</v>
      </c>
      <c r="P2326" s="75">
        <v>0</v>
      </c>
      <c r="Q2326" s="75">
        <v>0</v>
      </c>
      <c r="R2326" s="75">
        <v>0</v>
      </c>
      <c r="S2326" s="75">
        <v>0</v>
      </c>
      <c r="T2326" s="75">
        <v>0</v>
      </c>
      <c r="U2326" s="75">
        <v>0</v>
      </c>
      <c r="V2326" s="75">
        <v>0</v>
      </c>
      <c r="W2326" s="78">
        <v>0</v>
      </c>
    </row>
    <row r="2327" spans="1:23" s="75" customFormat="1" hidden="1" x14ac:dyDescent="0.35">
      <c r="A2327" s="75">
        <v>2323</v>
      </c>
      <c r="B2327" s="75">
        <v>2324</v>
      </c>
      <c r="C2327">
        <v>146.01963760000001</v>
      </c>
      <c r="D2327">
        <v>-17.486123259999999</v>
      </c>
      <c r="F2327" s="75" t="str">
        <f>HYPERLINK("E:\Data From Lucan\2024\Johnstone\Frames_for_Analysis\2324_20240610_0003_L_3515.jpg","2324_20240610_0003_L_3515.jpg")</f>
        <v>2324_20240610_0003_L_3515.jpg</v>
      </c>
      <c r="I2327">
        <f t="shared" si="36"/>
        <v>1</v>
      </c>
      <c r="J2327" s="75">
        <v>1</v>
      </c>
      <c r="K2327" s="77"/>
      <c r="L2327" s="77"/>
      <c r="M2327" s="77"/>
      <c r="N2327" s="77"/>
      <c r="O2327" s="75">
        <v>1</v>
      </c>
      <c r="P2327" s="75">
        <v>0</v>
      </c>
      <c r="Q2327" s="75">
        <v>0</v>
      </c>
      <c r="R2327" s="75">
        <v>0</v>
      </c>
      <c r="S2327" s="75">
        <v>0</v>
      </c>
      <c r="T2327" s="75">
        <v>0</v>
      </c>
      <c r="U2327" s="75">
        <v>0</v>
      </c>
      <c r="V2327" s="75">
        <v>0</v>
      </c>
      <c r="W2327" s="78">
        <v>0</v>
      </c>
    </row>
    <row r="2328" spans="1:23" s="75" customFormat="1" hidden="1" x14ac:dyDescent="0.35">
      <c r="A2328" s="75">
        <v>2324</v>
      </c>
      <c r="B2328" s="75">
        <v>2325</v>
      </c>
      <c r="C2328">
        <v>146.01957179999999</v>
      </c>
      <c r="D2328">
        <v>-17.486190520000001</v>
      </c>
      <c r="F2328" s="75" t="str">
        <f>HYPERLINK("E:\Data From Lucan\2024\Johnstone\Frames_for_Analysis\2325_20240610_0003_L_3519.jpg","2325_20240610_0003_L_3519.jpg")</f>
        <v>2325_20240610_0003_L_3519.jpg</v>
      </c>
      <c r="I2328">
        <f t="shared" si="36"/>
        <v>0</v>
      </c>
      <c r="J2328" s="75">
        <v>0</v>
      </c>
      <c r="K2328" s="77"/>
      <c r="L2328" s="77"/>
      <c r="M2328" s="77"/>
      <c r="N2328" s="77"/>
      <c r="O2328" s="75">
        <v>1</v>
      </c>
      <c r="P2328" s="75">
        <v>0</v>
      </c>
      <c r="Q2328" s="75">
        <v>0</v>
      </c>
      <c r="R2328" s="75">
        <v>0</v>
      </c>
      <c r="S2328" s="75">
        <v>0</v>
      </c>
      <c r="T2328" s="75">
        <v>0</v>
      </c>
      <c r="U2328" s="75">
        <v>0</v>
      </c>
      <c r="V2328" s="75">
        <v>0</v>
      </c>
      <c r="W2328" s="78">
        <v>0</v>
      </c>
    </row>
    <row r="2329" spans="1:23" s="75" customFormat="1" hidden="1" x14ac:dyDescent="0.35">
      <c r="A2329" s="75">
        <v>2325</v>
      </c>
      <c r="B2329" s="75">
        <v>2326</v>
      </c>
      <c r="C2329">
        <v>146.01951270000001</v>
      </c>
      <c r="D2329">
        <v>-17.486263990000001</v>
      </c>
      <c r="F2329" s="75" t="str">
        <f>HYPERLINK("E:\Data From Lucan\2024\Johnstone\Frames_for_Analysis\2326_20240610_0003_L_3523.jpg","2326_20240610_0003_L_3523.jpg")</f>
        <v>2326_20240610_0003_L_3523.jpg</v>
      </c>
      <c r="I2329">
        <f t="shared" si="36"/>
        <v>1</v>
      </c>
      <c r="J2329" s="75">
        <v>1</v>
      </c>
      <c r="K2329" s="77"/>
      <c r="L2329" s="77"/>
      <c r="M2329" s="77"/>
      <c r="N2329" s="77"/>
      <c r="O2329" s="75">
        <v>1</v>
      </c>
      <c r="P2329" s="75">
        <v>0</v>
      </c>
      <c r="Q2329" s="75">
        <v>0</v>
      </c>
      <c r="R2329" s="75">
        <v>0</v>
      </c>
      <c r="S2329" s="75">
        <v>0</v>
      </c>
      <c r="T2329" s="75">
        <v>0</v>
      </c>
      <c r="U2329" s="75">
        <v>0</v>
      </c>
      <c r="V2329" s="75">
        <v>0</v>
      </c>
      <c r="W2329" s="78">
        <v>0</v>
      </c>
    </row>
    <row r="2330" spans="1:23" s="75" customFormat="1" hidden="1" x14ac:dyDescent="0.35">
      <c r="A2330" s="75">
        <v>2326</v>
      </c>
      <c r="B2330" s="75">
        <v>2327</v>
      </c>
      <c r="C2330">
        <v>146.01945359999999</v>
      </c>
      <c r="D2330">
        <v>-17.486337460000001</v>
      </c>
      <c r="F2330" s="75" t="str">
        <f>HYPERLINK("E:\Data From Lucan\2024\Johnstone\Frames_for_Analysis\2327_20240610_0003_L_3527.jpg","2327_20240610_0003_L_3527.jpg")</f>
        <v>2327_20240610_0003_L_3527.jpg</v>
      </c>
      <c r="I2330">
        <f t="shared" si="36"/>
        <v>1</v>
      </c>
      <c r="J2330" s="75">
        <v>1</v>
      </c>
      <c r="K2330" s="77"/>
      <c r="L2330" s="77"/>
      <c r="M2330" s="77"/>
      <c r="N2330" s="77"/>
      <c r="O2330" s="75">
        <v>1</v>
      </c>
      <c r="P2330" s="75">
        <v>0</v>
      </c>
      <c r="Q2330" s="75">
        <v>0</v>
      </c>
      <c r="R2330" s="75">
        <v>0</v>
      </c>
      <c r="S2330" s="75">
        <v>0</v>
      </c>
      <c r="T2330" s="75">
        <v>0</v>
      </c>
      <c r="U2330" s="75">
        <v>0</v>
      </c>
      <c r="V2330" s="75">
        <v>0</v>
      </c>
      <c r="W2330" s="78">
        <v>0</v>
      </c>
    </row>
    <row r="2331" spans="1:23" s="75" customFormat="1" hidden="1" x14ac:dyDescent="0.35">
      <c r="A2331" s="75">
        <v>2327</v>
      </c>
      <c r="B2331" s="75">
        <v>2328</v>
      </c>
      <c r="C2331">
        <v>146.0193945</v>
      </c>
      <c r="D2331">
        <v>-17.486410930000002</v>
      </c>
      <c r="F2331" s="75" t="str">
        <f>HYPERLINK("E:\Data From Lucan\2024\Johnstone\Frames_for_Analysis\2328_20240610_0003_L_3530.jpg","2328_20240610_0003_L_3530.jpg")</f>
        <v>2328_20240610_0003_L_3530.jpg</v>
      </c>
      <c r="I2331">
        <f t="shared" si="36"/>
        <v>1</v>
      </c>
      <c r="J2331" s="75">
        <v>1</v>
      </c>
      <c r="K2331" s="77"/>
      <c r="L2331" s="77"/>
      <c r="M2331" s="77"/>
      <c r="N2331" s="77"/>
      <c r="O2331" s="75">
        <v>1</v>
      </c>
      <c r="P2331" s="75">
        <v>0</v>
      </c>
      <c r="Q2331" s="75">
        <v>0</v>
      </c>
      <c r="R2331" s="75">
        <v>0</v>
      </c>
      <c r="S2331" s="75">
        <v>0</v>
      </c>
      <c r="T2331" s="75">
        <v>0</v>
      </c>
      <c r="U2331" s="75">
        <v>0</v>
      </c>
      <c r="V2331" s="75">
        <v>0</v>
      </c>
      <c r="W2331" s="78">
        <v>0</v>
      </c>
    </row>
    <row r="2332" spans="1:23" s="75" customFormat="1" hidden="1" x14ac:dyDescent="0.35">
      <c r="A2332" s="75">
        <v>2328</v>
      </c>
      <c r="B2332" s="75">
        <v>2329</v>
      </c>
      <c r="C2332">
        <v>146.01933529999999</v>
      </c>
      <c r="D2332">
        <v>-17.486484390000001</v>
      </c>
      <c r="F2332" s="75" t="str">
        <f>HYPERLINK("E:\Data From Lucan\2024\Johnstone\Frames_for_Analysis\2329_20240610_0003_L_3534.jpg","2329_20240610_0003_L_3534.jpg")</f>
        <v>2329_20240610_0003_L_3534.jpg</v>
      </c>
      <c r="I2332">
        <f t="shared" si="36"/>
        <v>1</v>
      </c>
      <c r="J2332" s="75">
        <v>1</v>
      </c>
      <c r="K2332" s="77"/>
      <c r="L2332" s="77"/>
      <c r="M2332" s="77"/>
      <c r="N2332" s="77"/>
      <c r="O2332" s="75">
        <v>1</v>
      </c>
      <c r="P2332" s="75">
        <v>0</v>
      </c>
      <c r="Q2332" s="75">
        <v>0</v>
      </c>
      <c r="R2332" s="75">
        <v>0</v>
      </c>
      <c r="S2332" s="75">
        <v>0</v>
      </c>
      <c r="T2332" s="75">
        <v>0</v>
      </c>
      <c r="U2332" s="75">
        <v>0</v>
      </c>
      <c r="V2332" s="75">
        <v>0</v>
      </c>
      <c r="W2332" s="78">
        <v>0</v>
      </c>
    </row>
    <row r="2333" spans="1:23" s="75" customFormat="1" hidden="1" x14ac:dyDescent="0.35">
      <c r="A2333" s="75">
        <v>2329</v>
      </c>
      <c r="B2333" s="75">
        <v>2330</v>
      </c>
      <c r="C2333">
        <v>146.01927620000001</v>
      </c>
      <c r="D2333">
        <v>-17.486557869999999</v>
      </c>
      <c r="F2333" s="75" t="str">
        <f>HYPERLINK("E:\Data From Lucan\2024\Johnstone\Frames_for_Analysis\2330_20240610_0003_L_3537.jpg","2330_20240610_0003_L_3537.jpg")</f>
        <v>2330_20240610_0003_L_3537.jpg</v>
      </c>
      <c r="I2333">
        <f t="shared" si="36"/>
        <v>0</v>
      </c>
      <c r="J2333" s="75">
        <v>0</v>
      </c>
      <c r="K2333" s="77"/>
      <c r="L2333" s="77"/>
      <c r="M2333" s="77"/>
      <c r="N2333" s="77"/>
      <c r="O2333" s="75">
        <v>1</v>
      </c>
      <c r="P2333" s="75">
        <v>0</v>
      </c>
      <c r="Q2333" s="75">
        <v>0</v>
      </c>
      <c r="R2333" s="75">
        <v>0</v>
      </c>
      <c r="S2333" s="75">
        <v>0</v>
      </c>
      <c r="T2333" s="75">
        <v>0</v>
      </c>
      <c r="U2333" s="75">
        <v>0</v>
      </c>
      <c r="V2333" s="75">
        <v>1</v>
      </c>
      <c r="W2333" s="78">
        <v>0</v>
      </c>
    </row>
    <row r="2334" spans="1:23" s="75" customFormat="1" hidden="1" x14ac:dyDescent="0.35">
      <c r="A2334" s="75">
        <v>2330</v>
      </c>
      <c r="B2334" s="75">
        <v>2331</v>
      </c>
      <c r="C2334">
        <v>146.01921709999999</v>
      </c>
      <c r="D2334">
        <v>-17.486631330000002</v>
      </c>
      <c r="F2334" s="75" t="str">
        <f>HYPERLINK("E:\Data From Lucan\2024\Johnstone\Frames_for_Analysis\2331_20240610_0003_L_3541.jpg","2331_20240610_0003_L_3541.jpg")</f>
        <v>2331_20240610_0003_L_3541.jpg</v>
      </c>
      <c r="I2334">
        <f t="shared" si="36"/>
        <v>1</v>
      </c>
      <c r="J2334" s="75">
        <v>1</v>
      </c>
      <c r="K2334" s="77"/>
      <c r="L2334" s="77"/>
      <c r="M2334" s="77"/>
      <c r="N2334" s="77"/>
      <c r="O2334" s="75">
        <v>1</v>
      </c>
      <c r="P2334" s="75">
        <v>0</v>
      </c>
      <c r="Q2334" s="75">
        <v>0</v>
      </c>
      <c r="R2334" s="75">
        <v>0</v>
      </c>
      <c r="S2334" s="75">
        <v>0</v>
      </c>
      <c r="T2334" s="75">
        <v>0</v>
      </c>
      <c r="U2334" s="75">
        <v>0</v>
      </c>
      <c r="V2334" s="75">
        <v>1</v>
      </c>
      <c r="W2334" s="78">
        <v>0</v>
      </c>
    </row>
    <row r="2335" spans="1:23" s="75" customFormat="1" hidden="1" x14ac:dyDescent="0.35">
      <c r="A2335" s="75">
        <v>2331</v>
      </c>
      <c r="B2335" s="75">
        <v>2332</v>
      </c>
      <c r="C2335">
        <v>146.019158</v>
      </c>
      <c r="D2335">
        <v>-17.486704799999998</v>
      </c>
      <c r="F2335" s="75" t="str">
        <f>HYPERLINK("E:\Data From Lucan\2024\Johnstone\Frames_for_Analysis\2332_20240610_0003_L_3544.jpg","2332_20240610_0003_L_3544.jpg")</f>
        <v>2332_20240610_0003_L_3544.jpg</v>
      </c>
      <c r="I2335">
        <f t="shared" si="36"/>
        <v>1</v>
      </c>
      <c r="J2335" s="75">
        <v>1</v>
      </c>
      <c r="K2335" s="77"/>
      <c r="L2335" s="77"/>
      <c r="M2335" s="77"/>
      <c r="N2335" s="77"/>
      <c r="O2335" s="75">
        <v>1</v>
      </c>
      <c r="P2335" s="75">
        <v>0</v>
      </c>
      <c r="Q2335" s="75">
        <v>0</v>
      </c>
      <c r="R2335" s="75">
        <v>0</v>
      </c>
      <c r="S2335" s="75">
        <v>0</v>
      </c>
      <c r="T2335" s="75">
        <v>0</v>
      </c>
      <c r="U2335" s="75">
        <v>0</v>
      </c>
      <c r="V2335" s="75">
        <v>0</v>
      </c>
      <c r="W2335" s="78">
        <v>0</v>
      </c>
    </row>
    <row r="2336" spans="1:23" s="75" customFormat="1" hidden="1" x14ac:dyDescent="0.35">
      <c r="A2336" s="75">
        <v>2332</v>
      </c>
      <c r="B2336" s="75">
        <v>2333</v>
      </c>
      <c r="C2336">
        <v>146.01909879999999</v>
      </c>
      <c r="D2336">
        <v>-17.486778269999999</v>
      </c>
      <c r="F2336" s="75" t="str">
        <f>HYPERLINK("E:\Data From Lucan\2024\Johnstone\Frames_for_Analysis\2333_20240610_0003_L_3548.jpg","2333_20240610_0003_L_3548.jpg")</f>
        <v>2333_20240610_0003_L_3548.jpg</v>
      </c>
      <c r="I2336">
        <f t="shared" si="36"/>
        <v>1</v>
      </c>
      <c r="J2336" s="75">
        <v>1</v>
      </c>
      <c r="K2336" s="77"/>
      <c r="L2336" s="77"/>
      <c r="M2336" s="77"/>
      <c r="N2336" s="77"/>
      <c r="O2336" s="75">
        <v>1</v>
      </c>
      <c r="P2336" s="75">
        <v>0</v>
      </c>
      <c r="Q2336" s="75">
        <v>0</v>
      </c>
      <c r="R2336" s="75">
        <v>0</v>
      </c>
      <c r="S2336" s="75">
        <v>0</v>
      </c>
      <c r="T2336" s="75">
        <v>0</v>
      </c>
      <c r="U2336" s="75">
        <v>0</v>
      </c>
      <c r="V2336" s="75">
        <v>0</v>
      </c>
      <c r="W2336" s="78">
        <v>0</v>
      </c>
    </row>
    <row r="2337" spans="1:23" s="75" customFormat="1" hidden="1" x14ac:dyDescent="0.35">
      <c r="A2337" s="75">
        <v>2333</v>
      </c>
      <c r="B2337" s="75">
        <v>2334</v>
      </c>
      <c r="C2337">
        <v>146.01903970000001</v>
      </c>
      <c r="D2337">
        <v>-17.486851739999999</v>
      </c>
      <c r="F2337" s="75" t="str">
        <f>HYPERLINK("E:\Data From Lucan\2024\Johnstone\Frames_for_Analysis\2334_20240610_0003_L_3552.jpg","2334_20240610_0003_L_3552.jpg")</f>
        <v>2334_20240610_0003_L_3552.jpg</v>
      </c>
      <c r="I2337">
        <f t="shared" si="36"/>
        <v>1</v>
      </c>
      <c r="J2337" s="75">
        <v>1</v>
      </c>
      <c r="K2337" s="77"/>
      <c r="L2337" s="77"/>
      <c r="M2337" s="77"/>
      <c r="N2337" s="77"/>
      <c r="O2337" s="75">
        <v>1</v>
      </c>
      <c r="P2337" s="75">
        <v>0</v>
      </c>
      <c r="Q2337" s="75">
        <v>0</v>
      </c>
      <c r="R2337" s="75">
        <v>0</v>
      </c>
      <c r="S2337" s="75">
        <v>0</v>
      </c>
      <c r="T2337" s="75">
        <v>0</v>
      </c>
      <c r="U2337" s="75">
        <v>0</v>
      </c>
      <c r="V2337" s="75">
        <v>0</v>
      </c>
      <c r="W2337" s="78">
        <v>0</v>
      </c>
    </row>
    <row r="2338" spans="1:23" s="75" customFormat="1" hidden="1" x14ac:dyDescent="0.35">
      <c r="A2338" s="75">
        <v>2334</v>
      </c>
      <c r="B2338" s="75">
        <v>2335</v>
      </c>
      <c r="C2338">
        <v>146.01898059999999</v>
      </c>
      <c r="D2338">
        <v>-17.486925209999999</v>
      </c>
      <c r="F2338" s="75" t="str">
        <f>HYPERLINK("E:\Data From Lucan\2024\Johnstone\Frames_for_Analysis\2335_20240610_0003_L_3555.jpg","2335_20240610_0003_L_3555.jpg")</f>
        <v>2335_20240610_0003_L_3555.jpg</v>
      </c>
      <c r="I2338">
        <f t="shared" si="36"/>
        <v>1</v>
      </c>
      <c r="J2338" s="75">
        <v>1</v>
      </c>
      <c r="K2338" s="77"/>
      <c r="L2338" s="77"/>
      <c r="M2338" s="77"/>
      <c r="N2338" s="77"/>
      <c r="O2338" s="75">
        <v>1</v>
      </c>
      <c r="P2338" s="75">
        <v>0</v>
      </c>
      <c r="Q2338" s="75">
        <v>0</v>
      </c>
      <c r="R2338" s="75">
        <v>0</v>
      </c>
      <c r="S2338" s="75">
        <v>0</v>
      </c>
      <c r="T2338" s="75">
        <v>0</v>
      </c>
      <c r="U2338" s="75">
        <v>0</v>
      </c>
      <c r="V2338" s="75">
        <v>0</v>
      </c>
      <c r="W2338" s="78">
        <v>0</v>
      </c>
    </row>
    <row r="2339" spans="1:23" s="75" customFormat="1" hidden="1" x14ac:dyDescent="0.35">
      <c r="A2339" s="75">
        <v>2335</v>
      </c>
      <c r="B2339" s="75">
        <v>2336</v>
      </c>
      <c r="C2339">
        <v>146.0189215</v>
      </c>
      <c r="D2339">
        <v>-17.486998679999999</v>
      </c>
      <c r="F2339" s="75" t="str">
        <f>HYPERLINK("E:\Data From Lucan\2024\Johnstone\Frames_for_Analysis\2336_20240610_0003_L_3558.jpg","2336_20240610_0003_L_3558.jpg")</f>
        <v>2336_20240610_0003_L_3558.jpg</v>
      </c>
      <c r="I2339">
        <f t="shared" si="36"/>
        <v>0</v>
      </c>
      <c r="J2339" s="75">
        <v>0</v>
      </c>
      <c r="K2339" s="77"/>
      <c r="L2339" s="77"/>
      <c r="M2339" s="77"/>
      <c r="N2339" s="77"/>
      <c r="O2339" s="75">
        <v>1</v>
      </c>
      <c r="P2339" s="75">
        <v>0</v>
      </c>
      <c r="Q2339" s="75">
        <v>0</v>
      </c>
      <c r="R2339" s="75">
        <v>0</v>
      </c>
      <c r="S2339" s="75">
        <v>1</v>
      </c>
      <c r="T2339" s="75">
        <v>0</v>
      </c>
      <c r="U2339" s="75">
        <v>0</v>
      </c>
      <c r="V2339" s="75">
        <v>0</v>
      </c>
      <c r="W2339" s="78">
        <v>0</v>
      </c>
    </row>
    <row r="2340" spans="1:23" s="75" customFormat="1" hidden="1" x14ac:dyDescent="0.35">
      <c r="A2340" s="75">
        <v>2336</v>
      </c>
      <c r="B2340" s="75">
        <v>2337</v>
      </c>
      <c r="C2340">
        <v>146.01886239999999</v>
      </c>
      <c r="D2340">
        <v>-17.487072149999999</v>
      </c>
      <c r="F2340" s="75" t="str">
        <f>HYPERLINK("E:\Data From Lucan\2024\Johnstone\Frames_for_Analysis\2337_20240610_0003_L_3561.jpg","2337_20240610_0003_L_3561.jpg")</f>
        <v>2337_20240610_0003_L_3561.jpg</v>
      </c>
      <c r="I2340">
        <f t="shared" si="36"/>
        <v>1</v>
      </c>
      <c r="J2340" s="75">
        <v>1</v>
      </c>
      <c r="K2340" s="77"/>
      <c r="L2340" s="77"/>
      <c r="M2340" s="77"/>
      <c r="N2340" s="77"/>
      <c r="O2340" s="75">
        <v>1</v>
      </c>
      <c r="P2340" s="75">
        <v>0</v>
      </c>
      <c r="Q2340" s="75">
        <v>0</v>
      </c>
      <c r="R2340" s="75">
        <v>0</v>
      </c>
      <c r="S2340" s="75">
        <v>0</v>
      </c>
      <c r="T2340" s="75">
        <v>0</v>
      </c>
      <c r="U2340" s="75">
        <v>0</v>
      </c>
      <c r="V2340" s="75">
        <v>1</v>
      </c>
      <c r="W2340" s="78">
        <v>0</v>
      </c>
    </row>
    <row r="2341" spans="1:23" s="75" customFormat="1" hidden="1" x14ac:dyDescent="0.35">
      <c r="A2341" s="75">
        <v>2337</v>
      </c>
      <c r="B2341" s="75">
        <v>2338</v>
      </c>
      <c r="C2341">
        <v>146.0188047</v>
      </c>
      <c r="D2341">
        <v>-17.487146769999999</v>
      </c>
      <c r="F2341" s="75" t="str">
        <f>HYPERLINK("E:\Data From Lucan\2024\Johnstone\Frames_for_Analysis\2338_20240610_0003_L_3565.jpg","2338_20240610_0003_L_3565.jpg")</f>
        <v>2338_20240610_0003_L_3565.jpg</v>
      </c>
      <c r="I2341">
        <f t="shared" si="36"/>
        <v>1</v>
      </c>
      <c r="J2341" s="75">
        <v>1</v>
      </c>
      <c r="K2341" s="77"/>
      <c r="L2341" s="77"/>
      <c r="M2341" s="77"/>
      <c r="N2341" s="77"/>
      <c r="O2341" s="75">
        <v>1</v>
      </c>
      <c r="P2341" s="75">
        <v>0</v>
      </c>
      <c r="Q2341" s="75">
        <v>0</v>
      </c>
      <c r="R2341" s="75">
        <v>0</v>
      </c>
      <c r="S2341" s="75">
        <v>0</v>
      </c>
      <c r="T2341" s="75">
        <v>0</v>
      </c>
      <c r="U2341" s="75">
        <v>0</v>
      </c>
      <c r="V2341" s="75">
        <v>0</v>
      </c>
      <c r="W2341" s="78">
        <v>0</v>
      </c>
    </row>
    <row r="2342" spans="1:23" s="75" customFormat="1" hidden="1" x14ac:dyDescent="0.35">
      <c r="A2342" s="75">
        <v>2338</v>
      </c>
      <c r="B2342" s="75">
        <v>2339</v>
      </c>
      <c r="C2342">
        <v>146.0187488</v>
      </c>
      <c r="D2342">
        <v>-17.48722266</v>
      </c>
      <c r="F2342" s="75" t="str">
        <f>HYPERLINK("E:\Data From Lucan\2024\Johnstone\Frames_for_Analysis\2339_20240610_0003_L_3569.jpg","2339_20240610_0003_L_3569.jpg")</f>
        <v>2339_20240610_0003_L_3569.jpg</v>
      </c>
      <c r="I2342">
        <f t="shared" si="36"/>
        <v>1</v>
      </c>
      <c r="J2342" s="75">
        <v>1</v>
      </c>
      <c r="K2342" s="77"/>
      <c r="L2342" s="77"/>
      <c r="M2342" s="77"/>
      <c r="N2342" s="77"/>
      <c r="O2342" s="75">
        <v>1</v>
      </c>
      <c r="P2342" s="75">
        <v>0</v>
      </c>
      <c r="Q2342" s="75">
        <v>0</v>
      </c>
      <c r="R2342" s="75">
        <v>0</v>
      </c>
      <c r="S2342" s="75">
        <v>0</v>
      </c>
      <c r="T2342" s="75">
        <v>0</v>
      </c>
      <c r="U2342" s="75">
        <v>0</v>
      </c>
      <c r="V2342" s="75">
        <v>0</v>
      </c>
      <c r="W2342" s="78">
        <v>0</v>
      </c>
    </row>
    <row r="2343" spans="1:23" s="75" customFormat="1" hidden="1" x14ac:dyDescent="0.35">
      <c r="A2343" s="75">
        <v>2339</v>
      </c>
      <c r="B2343" s="75">
        <v>2340</v>
      </c>
      <c r="C2343">
        <v>146.0186928</v>
      </c>
      <c r="D2343">
        <v>-17.487298559999999</v>
      </c>
      <c r="F2343" s="75" t="str">
        <f>HYPERLINK("E:\Data From Lucan\2024\Johnstone\Frames_for_Analysis\2340_20240610_0003_L_3572.jpg","2340_20240610_0003_L_3572.jpg")</f>
        <v>2340_20240610_0003_L_3572.jpg</v>
      </c>
      <c r="I2343">
        <f t="shared" si="36"/>
        <v>1</v>
      </c>
      <c r="J2343" s="75">
        <v>1</v>
      </c>
      <c r="K2343" s="77"/>
      <c r="L2343" s="77"/>
      <c r="M2343" s="77"/>
      <c r="N2343" s="77"/>
      <c r="O2343" s="75">
        <v>1</v>
      </c>
      <c r="P2343" s="75">
        <v>0</v>
      </c>
      <c r="Q2343" s="75">
        <v>0</v>
      </c>
      <c r="R2343" s="75">
        <v>0</v>
      </c>
      <c r="S2343" s="75">
        <v>0</v>
      </c>
      <c r="T2343" s="75">
        <v>0</v>
      </c>
      <c r="U2343" s="75">
        <v>0</v>
      </c>
      <c r="V2343" s="75">
        <v>0</v>
      </c>
      <c r="W2343" s="78">
        <v>0</v>
      </c>
    </row>
    <row r="2344" spans="1:23" s="75" customFormat="1" hidden="1" x14ac:dyDescent="0.35">
      <c r="A2344" s="75">
        <v>2340</v>
      </c>
      <c r="B2344" s="75">
        <v>2341</v>
      </c>
      <c r="C2344">
        <v>146.0186368</v>
      </c>
      <c r="D2344">
        <v>-17.487374460000002</v>
      </c>
      <c r="F2344" s="75" t="str">
        <f>HYPERLINK("E:\Data From Lucan\2024\Johnstone\Frames_for_Analysis\2341_20240610_0003_L_3575.jpg","2341_20240610_0003_L_3575.jpg")</f>
        <v>2341_20240610_0003_L_3575.jpg</v>
      </c>
      <c r="I2344">
        <f t="shared" si="36"/>
        <v>1</v>
      </c>
      <c r="J2344" s="75">
        <v>1</v>
      </c>
      <c r="K2344" s="77"/>
      <c r="L2344" s="77"/>
      <c r="M2344" s="77"/>
      <c r="N2344" s="77"/>
      <c r="O2344" s="75">
        <v>1</v>
      </c>
      <c r="P2344" s="75">
        <v>0</v>
      </c>
      <c r="Q2344" s="75">
        <v>0</v>
      </c>
      <c r="R2344" s="75">
        <v>0</v>
      </c>
      <c r="S2344" s="75">
        <v>0</v>
      </c>
      <c r="T2344" s="75">
        <v>0</v>
      </c>
      <c r="U2344" s="75">
        <v>0</v>
      </c>
      <c r="V2344" s="75">
        <v>1</v>
      </c>
      <c r="W2344" s="78">
        <v>0</v>
      </c>
    </row>
    <row r="2345" spans="1:23" s="75" customFormat="1" hidden="1" x14ac:dyDescent="0.35">
      <c r="A2345" s="75">
        <v>2341</v>
      </c>
      <c r="B2345" s="75">
        <v>2342</v>
      </c>
      <c r="C2345">
        <v>146.0185808</v>
      </c>
      <c r="D2345">
        <v>-17.48745036</v>
      </c>
      <c r="F2345" s="75" t="str">
        <f>HYPERLINK("E:\Data From Lucan\2024\Johnstone\Frames_for_Analysis\2342_20240610_0003_L_3579.jpg","2342_20240610_0003_L_3579.jpg")</f>
        <v>2342_20240610_0003_L_3579.jpg</v>
      </c>
      <c r="I2345">
        <f t="shared" si="36"/>
        <v>1</v>
      </c>
      <c r="J2345" s="75">
        <v>1</v>
      </c>
      <c r="K2345" s="77"/>
      <c r="L2345" s="77"/>
      <c r="M2345" s="77"/>
      <c r="N2345" s="77"/>
      <c r="O2345" s="75">
        <v>1</v>
      </c>
      <c r="P2345" s="75">
        <v>0</v>
      </c>
      <c r="Q2345" s="75">
        <v>0</v>
      </c>
      <c r="R2345" s="75">
        <v>0</v>
      </c>
      <c r="S2345" s="75">
        <v>0</v>
      </c>
      <c r="T2345" s="75">
        <v>0</v>
      </c>
      <c r="U2345" s="75">
        <v>0</v>
      </c>
      <c r="V2345" s="75">
        <v>0</v>
      </c>
      <c r="W2345" s="78">
        <v>0</v>
      </c>
    </row>
    <row r="2346" spans="1:23" s="75" customFormat="1" hidden="1" x14ac:dyDescent="0.35">
      <c r="A2346" s="75">
        <v>2342</v>
      </c>
      <c r="B2346" s="75">
        <v>2343</v>
      </c>
      <c r="C2346">
        <v>146.01852489999999</v>
      </c>
      <c r="D2346">
        <v>-17.487526249999998</v>
      </c>
      <c r="F2346" s="75" t="str">
        <f>HYPERLINK("E:\Data From Lucan\2024\Johnstone\Frames_for_Analysis\2343_20240610_0003_L_3582.jpg","2343_20240610_0003_L_3582.jpg")</f>
        <v>2343_20240610_0003_L_3582.jpg</v>
      </c>
      <c r="I2346">
        <f t="shared" si="36"/>
        <v>1</v>
      </c>
      <c r="J2346" s="75">
        <v>1</v>
      </c>
      <c r="K2346" s="77"/>
      <c r="L2346" s="77"/>
      <c r="M2346" s="77"/>
      <c r="N2346" s="77"/>
      <c r="O2346" s="75">
        <v>1</v>
      </c>
      <c r="P2346" s="75">
        <v>0</v>
      </c>
      <c r="Q2346" s="75">
        <v>0</v>
      </c>
      <c r="R2346" s="75">
        <v>0</v>
      </c>
      <c r="S2346" s="75">
        <v>0</v>
      </c>
      <c r="T2346" s="75">
        <v>0</v>
      </c>
      <c r="U2346" s="75">
        <v>0</v>
      </c>
      <c r="V2346" s="75">
        <v>0</v>
      </c>
      <c r="W2346" s="78">
        <v>0</v>
      </c>
    </row>
    <row r="2347" spans="1:23" s="75" customFormat="1" hidden="1" x14ac:dyDescent="0.35">
      <c r="A2347" s="75">
        <v>2343</v>
      </c>
      <c r="B2347" s="75">
        <v>2344</v>
      </c>
      <c r="C2347">
        <v>146.01846889999999</v>
      </c>
      <c r="D2347">
        <v>-17.487602150000001</v>
      </c>
      <c r="F2347" s="75" t="str">
        <f>HYPERLINK("E:\Data From Lucan\2024\Johnstone\Frames_for_Analysis\2344_20240610_0003_L_3585.jpg","2344_20240610_0003_L_3585.jpg")</f>
        <v>2344_20240610_0003_L_3585.jpg</v>
      </c>
      <c r="I2347">
        <f t="shared" si="36"/>
        <v>0</v>
      </c>
      <c r="J2347" s="75">
        <v>0</v>
      </c>
      <c r="K2347" s="77"/>
      <c r="L2347" s="77"/>
      <c r="M2347" s="77"/>
      <c r="N2347" s="77"/>
      <c r="O2347" s="75">
        <v>1</v>
      </c>
      <c r="P2347" s="75">
        <v>0</v>
      </c>
      <c r="Q2347" s="75">
        <v>0</v>
      </c>
      <c r="R2347" s="75">
        <v>0</v>
      </c>
      <c r="S2347" s="75">
        <v>0</v>
      </c>
      <c r="T2347" s="75">
        <v>0</v>
      </c>
      <c r="U2347" s="75">
        <v>0</v>
      </c>
      <c r="V2347" s="75">
        <v>0</v>
      </c>
      <c r="W2347" s="78">
        <v>0</v>
      </c>
    </row>
    <row r="2348" spans="1:23" s="75" customFormat="1" hidden="1" x14ac:dyDescent="0.35">
      <c r="A2348" s="75">
        <v>2344</v>
      </c>
      <c r="B2348" s="75">
        <v>2345</v>
      </c>
      <c r="C2348">
        <v>146.01841289999999</v>
      </c>
      <c r="D2348">
        <v>-17.487678039999999</v>
      </c>
      <c r="F2348" s="75" t="str">
        <f>HYPERLINK("E:\Data From Lucan\2024\Johnstone\Frames_for_Analysis\2345_20240610_0003_L_3589.jpg","2345_20240610_0003_L_3589.jpg")</f>
        <v>2345_20240610_0003_L_3589.jpg</v>
      </c>
      <c r="I2348">
        <f t="shared" si="36"/>
        <v>1</v>
      </c>
      <c r="J2348" s="75">
        <v>1</v>
      </c>
      <c r="K2348" s="77"/>
      <c r="L2348" s="77"/>
      <c r="M2348" s="77"/>
      <c r="N2348" s="77"/>
      <c r="O2348" s="75">
        <v>1</v>
      </c>
      <c r="P2348" s="75">
        <v>0</v>
      </c>
      <c r="Q2348" s="75">
        <v>0</v>
      </c>
      <c r="R2348" s="75">
        <v>0</v>
      </c>
      <c r="S2348" s="75">
        <v>0</v>
      </c>
      <c r="T2348" s="75">
        <v>0</v>
      </c>
      <c r="U2348" s="75">
        <v>0</v>
      </c>
      <c r="V2348" s="75">
        <v>0</v>
      </c>
      <c r="W2348" s="78">
        <v>0</v>
      </c>
    </row>
    <row r="2349" spans="1:23" s="75" customFormat="1" hidden="1" x14ac:dyDescent="0.35">
      <c r="A2349" s="75">
        <v>2345</v>
      </c>
      <c r="B2349" s="75">
        <v>2346</v>
      </c>
      <c r="C2349">
        <v>146.01835700000001</v>
      </c>
      <c r="D2349">
        <v>-17.487753940000001</v>
      </c>
      <c r="F2349" s="75" t="str">
        <f>HYPERLINK("E:\Data From Lucan\2024\Johnstone\Frames_for_Analysis\2346_20240610_0003_L_3593.jpg","2346_20240610_0003_L_3593.jpg")</f>
        <v>2346_20240610_0003_L_3593.jpg</v>
      </c>
      <c r="I2349">
        <f t="shared" si="36"/>
        <v>0</v>
      </c>
      <c r="J2349" s="75">
        <v>0</v>
      </c>
      <c r="K2349" s="77"/>
      <c r="L2349" s="77"/>
      <c r="M2349" s="77"/>
      <c r="N2349" s="77"/>
      <c r="O2349" s="75">
        <v>1</v>
      </c>
      <c r="P2349" s="75">
        <v>0</v>
      </c>
      <c r="Q2349" s="75">
        <v>0</v>
      </c>
      <c r="R2349" s="75">
        <v>0</v>
      </c>
      <c r="S2349" s="75">
        <v>0</v>
      </c>
      <c r="T2349" s="75">
        <v>0</v>
      </c>
      <c r="U2349" s="75">
        <v>0</v>
      </c>
      <c r="V2349" s="75">
        <v>0</v>
      </c>
      <c r="W2349" s="78">
        <v>0</v>
      </c>
    </row>
    <row r="2350" spans="1:23" s="75" customFormat="1" hidden="1" x14ac:dyDescent="0.35">
      <c r="A2350" s="75">
        <v>2346</v>
      </c>
      <c r="B2350" s="75">
        <v>2347</v>
      </c>
      <c r="C2350">
        <v>146.01830100000001</v>
      </c>
      <c r="D2350">
        <v>-17.48782984</v>
      </c>
      <c r="F2350" s="75" t="str">
        <f>HYPERLINK("E:\Data From Lucan\2024\Johnstone\Frames_for_Analysis\2347_20240610_0003_L_3596.jpg","2347_20240610_0003_L_3596.jpg")</f>
        <v>2347_20240610_0003_L_3596.jpg</v>
      </c>
      <c r="I2350">
        <f t="shared" si="36"/>
        <v>0</v>
      </c>
      <c r="J2350" s="75">
        <v>0</v>
      </c>
      <c r="K2350" s="77"/>
      <c r="L2350" s="77"/>
      <c r="M2350" s="77"/>
      <c r="N2350" s="77"/>
      <c r="O2350" s="75">
        <v>1</v>
      </c>
      <c r="P2350" s="75">
        <v>0</v>
      </c>
      <c r="Q2350" s="75">
        <v>0</v>
      </c>
      <c r="R2350" s="75">
        <v>0</v>
      </c>
      <c r="S2350" s="75">
        <v>0</v>
      </c>
      <c r="T2350" s="75">
        <v>0</v>
      </c>
      <c r="U2350" s="75">
        <v>0</v>
      </c>
      <c r="V2350" s="75">
        <v>0</v>
      </c>
      <c r="W2350" s="78">
        <v>0</v>
      </c>
    </row>
    <row r="2351" spans="1:23" s="75" customFormat="1" hidden="1" x14ac:dyDescent="0.35">
      <c r="A2351" s="75">
        <v>2347</v>
      </c>
      <c r="B2351" s="75">
        <v>2348</v>
      </c>
      <c r="C2351">
        <v>146.01824500000001</v>
      </c>
      <c r="D2351">
        <v>-17.487905739999999</v>
      </c>
      <c r="F2351" s="75" t="str">
        <f>HYPERLINK("E:\Data From Lucan\2024\Johnstone\Frames_for_Analysis\2348_20240610_0003_L_3599.jpg","2348_20240610_0003_L_3599.jpg")</f>
        <v>2348_20240610_0003_L_3599.jpg</v>
      </c>
      <c r="I2351">
        <f t="shared" si="36"/>
        <v>1</v>
      </c>
      <c r="J2351" s="75">
        <v>1</v>
      </c>
      <c r="K2351" s="77"/>
      <c r="L2351" s="77"/>
      <c r="M2351" s="77"/>
      <c r="N2351" s="77"/>
      <c r="O2351" s="75">
        <v>1</v>
      </c>
      <c r="P2351" s="75">
        <v>0</v>
      </c>
      <c r="Q2351" s="75">
        <v>0</v>
      </c>
      <c r="R2351" s="75">
        <v>0</v>
      </c>
      <c r="S2351" s="75">
        <v>0</v>
      </c>
      <c r="T2351" s="75">
        <v>0</v>
      </c>
      <c r="U2351" s="75">
        <v>0</v>
      </c>
      <c r="V2351" s="75">
        <v>0</v>
      </c>
      <c r="W2351" s="78">
        <v>0</v>
      </c>
    </row>
    <row r="2352" spans="1:23" s="75" customFormat="1" hidden="1" x14ac:dyDescent="0.35">
      <c r="A2352" s="75">
        <v>2348</v>
      </c>
      <c r="B2352" s="75">
        <v>2349</v>
      </c>
      <c r="C2352">
        <v>146.01818900000001</v>
      </c>
      <c r="D2352">
        <v>-17.48798163</v>
      </c>
      <c r="F2352" s="75" t="str">
        <f>HYPERLINK("E:\Data From Lucan\2024\Johnstone\Frames_for_Analysis\2349_20240610_0003_L_3602.jpg","2349_20240610_0003_L_3602.jpg")</f>
        <v>2349_20240610_0003_L_3602.jpg</v>
      </c>
      <c r="I2352">
        <f t="shared" si="36"/>
        <v>1</v>
      </c>
      <c r="J2352" s="75">
        <v>1</v>
      </c>
      <c r="K2352" s="77"/>
      <c r="L2352" s="77"/>
      <c r="M2352" s="77"/>
      <c r="N2352" s="77"/>
      <c r="O2352" s="75">
        <v>1</v>
      </c>
      <c r="P2352" s="75">
        <v>0</v>
      </c>
      <c r="Q2352" s="75">
        <v>0</v>
      </c>
      <c r="R2352" s="75">
        <v>0</v>
      </c>
      <c r="S2352" s="75">
        <v>0</v>
      </c>
      <c r="T2352" s="75">
        <v>0</v>
      </c>
      <c r="U2352" s="75">
        <v>0</v>
      </c>
      <c r="V2352" s="75">
        <v>0</v>
      </c>
      <c r="W2352" s="78">
        <v>0</v>
      </c>
    </row>
    <row r="2353" spans="1:23" s="75" customFormat="1" hidden="1" x14ac:dyDescent="0.35">
      <c r="A2353" s="75">
        <v>2349</v>
      </c>
      <c r="B2353" s="75">
        <v>2350</v>
      </c>
      <c r="C2353">
        <v>146.0181331</v>
      </c>
      <c r="D2353">
        <v>-17.488057529999999</v>
      </c>
      <c r="F2353" s="75" t="str">
        <f>HYPERLINK("E:\Data From Lucan\2024\Johnstone\Frames_for_Analysis\2350_20240610_0003_L_3605.jpg","2350_20240610_0003_L_3605.jpg")</f>
        <v>2350_20240610_0003_L_3605.jpg</v>
      </c>
      <c r="I2353">
        <f t="shared" si="36"/>
        <v>1</v>
      </c>
      <c r="J2353" s="75">
        <v>1</v>
      </c>
      <c r="K2353" s="77"/>
      <c r="L2353" s="77"/>
      <c r="M2353" s="77"/>
      <c r="N2353" s="77"/>
      <c r="O2353" s="75">
        <v>1</v>
      </c>
      <c r="P2353" s="75">
        <v>0</v>
      </c>
      <c r="Q2353" s="75">
        <v>0</v>
      </c>
      <c r="R2353" s="75">
        <v>0</v>
      </c>
      <c r="S2353" s="75">
        <v>0</v>
      </c>
      <c r="T2353" s="75">
        <v>0</v>
      </c>
      <c r="U2353" s="75">
        <v>0</v>
      </c>
      <c r="V2353" s="75">
        <v>0</v>
      </c>
      <c r="W2353" s="78">
        <v>0</v>
      </c>
    </row>
    <row r="2354" spans="1:23" s="75" customFormat="1" hidden="1" x14ac:dyDescent="0.35">
      <c r="A2354" s="75">
        <v>2350</v>
      </c>
      <c r="B2354" s="75">
        <v>2351</v>
      </c>
      <c r="C2354">
        <v>146.0180771</v>
      </c>
      <c r="D2354">
        <v>-17.488133430000001</v>
      </c>
      <c r="F2354" s="75" t="str">
        <f>HYPERLINK("E:\Data From Lucan\2024\Johnstone\Frames_for_Analysis\2351_20240610_0003_L_3608.jpg","2351_20240610_0003_L_3608.jpg")</f>
        <v>2351_20240610_0003_L_3608.jpg</v>
      </c>
      <c r="I2354">
        <f t="shared" si="36"/>
        <v>1</v>
      </c>
      <c r="J2354" s="75">
        <v>1</v>
      </c>
      <c r="K2354" s="77"/>
      <c r="L2354" s="77"/>
      <c r="M2354" s="77"/>
      <c r="N2354" s="77"/>
      <c r="O2354" s="75">
        <v>1</v>
      </c>
      <c r="P2354" s="75">
        <v>0</v>
      </c>
      <c r="Q2354" s="75">
        <v>0</v>
      </c>
      <c r="R2354" s="75">
        <v>0</v>
      </c>
      <c r="S2354" s="75">
        <v>0</v>
      </c>
      <c r="T2354" s="75">
        <v>0</v>
      </c>
      <c r="U2354" s="75">
        <v>0</v>
      </c>
      <c r="V2354" s="75">
        <v>0</v>
      </c>
      <c r="W2354" s="78">
        <v>0</v>
      </c>
    </row>
    <row r="2355" spans="1:23" s="75" customFormat="1" hidden="1" x14ac:dyDescent="0.35">
      <c r="A2355" s="75">
        <v>2351</v>
      </c>
      <c r="B2355" s="75">
        <v>2352</v>
      </c>
      <c r="C2355">
        <v>146.01801879999999</v>
      </c>
      <c r="D2355">
        <v>-17.48820748</v>
      </c>
      <c r="F2355" s="75" t="str">
        <f>HYPERLINK("E:\Data From Lucan\2024\Johnstone\Frames_for_Analysis\2352_20240610_0003_L_3611.jpg","2352_20240610_0003_L_3611.jpg")</f>
        <v>2352_20240610_0003_L_3611.jpg</v>
      </c>
      <c r="I2355">
        <f t="shared" si="36"/>
        <v>1</v>
      </c>
      <c r="J2355" s="75">
        <v>1</v>
      </c>
      <c r="K2355" s="77"/>
      <c r="L2355" s="77"/>
      <c r="M2355" s="77"/>
      <c r="N2355" s="77"/>
      <c r="O2355" s="75">
        <v>1</v>
      </c>
      <c r="P2355" s="75">
        <v>0</v>
      </c>
      <c r="Q2355" s="75">
        <v>0</v>
      </c>
      <c r="R2355" s="75">
        <v>0</v>
      </c>
      <c r="S2355" s="75">
        <v>0</v>
      </c>
      <c r="T2355" s="75">
        <v>0</v>
      </c>
      <c r="U2355" s="75">
        <v>0</v>
      </c>
      <c r="V2355" s="75">
        <v>0</v>
      </c>
      <c r="W2355" s="78">
        <v>0</v>
      </c>
    </row>
    <row r="2356" spans="1:23" s="75" customFormat="1" hidden="1" x14ac:dyDescent="0.35">
      <c r="A2356" s="75">
        <v>2352</v>
      </c>
      <c r="B2356" s="75">
        <v>2353</v>
      </c>
      <c r="C2356">
        <v>146.01795759999999</v>
      </c>
      <c r="D2356">
        <v>-17.48827923</v>
      </c>
      <c r="F2356" s="75" t="str">
        <f>HYPERLINK("E:\Data From Lucan\2024\Johnstone\Frames_for_Analysis\2353_20240610_0003_L_3614.jpg","2353_20240610_0003_L_3614.jpg")</f>
        <v>2353_20240610_0003_L_3614.jpg</v>
      </c>
      <c r="I2356">
        <f t="shared" si="36"/>
        <v>1</v>
      </c>
      <c r="J2356" s="75">
        <v>1</v>
      </c>
      <c r="K2356" s="77"/>
      <c r="L2356" s="77"/>
      <c r="M2356" s="77"/>
      <c r="N2356" s="77"/>
      <c r="O2356" s="75">
        <v>1</v>
      </c>
      <c r="P2356" s="75">
        <v>0</v>
      </c>
      <c r="Q2356" s="75">
        <v>0</v>
      </c>
      <c r="R2356" s="75">
        <v>0</v>
      </c>
      <c r="S2356" s="75">
        <v>0</v>
      </c>
      <c r="T2356" s="75">
        <v>0</v>
      </c>
      <c r="U2356" s="75">
        <v>0</v>
      </c>
      <c r="V2356" s="75">
        <v>0</v>
      </c>
      <c r="W2356" s="78">
        <v>0</v>
      </c>
    </row>
    <row r="2357" spans="1:23" s="75" customFormat="1" hidden="1" x14ac:dyDescent="0.35">
      <c r="A2357" s="75">
        <v>2353</v>
      </c>
      <c r="B2357" s="75">
        <v>2354</v>
      </c>
      <c r="C2357">
        <v>146.01789640000001</v>
      </c>
      <c r="D2357">
        <v>-17.48835098</v>
      </c>
      <c r="F2357" s="75" t="str">
        <f>HYPERLINK("E:\Data From Lucan\2024\Johnstone\Frames_for_Analysis\2354_20240610_0003_L_3618.jpg","2354_20240610_0003_L_3618.jpg")</f>
        <v>2354_20240610_0003_L_3618.jpg</v>
      </c>
      <c r="I2357">
        <f t="shared" si="36"/>
        <v>0</v>
      </c>
      <c r="J2357" s="75">
        <v>0</v>
      </c>
      <c r="K2357" s="77"/>
      <c r="L2357" s="77"/>
      <c r="M2357" s="77"/>
      <c r="N2357" s="77"/>
      <c r="O2357" s="75">
        <v>1</v>
      </c>
      <c r="P2357" s="75">
        <v>0</v>
      </c>
      <c r="Q2357" s="75">
        <v>0</v>
      </c>
      <c r="R2357" s="75">
        <v>0</v>
      </c>
      <c r="S2357" s="75">
        <v>0</v>
      </c>
      <c r="T2357" s="75">
        <v>0</v>
      </c>
      <c r="U2357" s="75">
        <v>0</v>
      </c>
      <c r="V2357" s="75">
        <v>1</v>
      </c>
      <c r="W2357" s="78">
        <v>0</v>
      </c>
    </row>
    <row r="2358" spans="1:23" s="75" customFormat="1" hidden="1" x14ac:dyDescent="0.35">
      <c r="A2358" s="75">
        <v>2354</v>
      </c>
      <c r="B2358" s="75">
        <v>2355</v>
      </c>
      <c r="C2358">
        <v>146.01783520000001</v>
      </c>
      <c r="D2358">
        <v>-17.488422740000001</v>
      </c>
      <c r="F2358" s="75" t="str">
        <f>HYPERLINK("E:\Data From Lucan\2024\Johnstone\Frames_for_Analysis\2355_20240610_0003_L_3621.jpg","2355_20240610_0003_L_3621.jpg")</f>
        <v>2355_20240610_0003_L_3621.jpg</v>
      </c>
      <c r="I2358">
        <f t="shared" si="36"/>
        <v>0</v>
      </c>
      <c r="J2358" s="75">
        <v>0</v>
      </c>
      <c r="K2358" s="77"/>
      <c r="L2358" s="77"/>
      <c r="M2358" s="77"/>
      <c r="N2358" s="77"/>
      <c r="O2358" s="75">
        <v>1</v>
      </c>
      <c r="P2358" s="75">
        <v>0</v>
      </c>
      <c r="Q2358" s="75">
        <v>0</v>
      </c>
      <c r="R2358" s="75">
        <v>0</v>
      </c>
      <c r="S2358" s="75">
        <v>0</v>
      </c>
      <c r="T2358" s="75">
        <v>0</v>
      </c>
      <c r="U2358" s="75">
        <v>0</v>
      </c>
      <c r="V2358" s="75">
        <v>0</v>
      </c>
      <c r="W2358" s="78">
        <v>0</v>
      </c>
    </row>
    <row r="2359" spans="1:23" s="75" customFormat="1" hidden="1" x14ac:dyDescent="0.35">
      <c r="A2359" s="75">
        <v>2355</v>
      </c>
      <c r="B2359" s="75">
        <v>2356</v>
      </c>
      <c r="C2359">
        <v>146.017774</v>
      </c>
      <c r="D2359">
        <v>-17.488494490000001</v>
      </c>
      <c r="F2359" s="75" t="str">
        <f>HYPERLINK("E:\Data From Lucan\2024\Johnstone\Frames_for_Analysis\2356_20240610_0003_L_3625.jpg","2356_20240610_0003_L_3625.jpg")</f>
        <v>2356_20240610_0003_L_3625.jpg</v>
      </c>
      <c r="I2359">
        <f t="shared" si="36"/>
        <v>0</v>
      </c>
      <c r="J2359" s="75">
        <v>0</v>
      </c>
      <c r="K2359" s="77"/>
      <c r="L2359" s="77"/>
      <c r="M2359" s="77"/>
      <c r="N2359" s="77"/>
      <c r="O2359" s="75">
        <v>1</v>
      </c>
      <c r="P2359" s="75">
        <v>0</v>
      </c>
      <c r="Q2359" s="75">
        <v>0</v>
      </c>
      <c r="R2359" s="75">
        <v>0</v>
      </c>
      <c r="S2359" s="75">
        <v>0</v>
      </c>
      <c r="T2359" s="75">
        <v>0</v>
      </c>
      <c r="U2359" s="75">
        <v>0</v>
      </c>
      <c r="V2359" s="75">
        <v>0</v>
      </c>
      <c r="W2359" s="78">
        <v>0</v>
      </c>
    </row>
    <row r="2360" spans="1:23" s="75" customFormat="1" hidden="1" x14ac:dyDescent="0.35">
      <c r="A2360" s="75">
        <v>2356</v>
      </c>
      <c r="B2360" s="75">
        <v>2357</v>
      </c>
      <c r="C2360">
        <v>146.0177128</v>
      </c>
      <c r="D2360">
        <v>-17.488566240000001</v>
      </c>
      <c r="F2360" s="75" t="str">
        <f>HYPERLINK("E:\Data From Lucan\2024\Johnstone\Frames_for_Analysis\2357_20240610_0003_L_3628.jpg","2357_20240610_0003_L_3628.jpg")</f>
        <v>2357_20240610_0003_L_3628.jpg</v>
      </c>
      <c r="I2360">
        <f t="shared" si="36"/>
        <v>0</v>
      </c>
      <c r="J2360" s="75">
        <v>0</v>
      </c>
      <c r="K2360" s="77"/>
      <c r="L2360" s="77"/>
      <c r="M2360" s="77"/>
      <c r="N2360" s="77"/>
      <c r="O2360" s="75">
        <v>1</v>
      </c>
      <c r="P2360" s="75">
        <v>0</v>
      </c>
      <c r="Q2360" s="75">
        <v>0</v>
      </c>
      <c r="R2360" s="75">
        <v>0</v>
      </c>
      <c r="S2360" s="75">
        <v>0</v>
      </c>
      <c r="T2360" s="75">
        <v>0</v>
      </c>
      <c r="U2360" s="75">
        <v>0</v>
      </c>
      <c r="V2360" s="75">
        <v>0</v>
      </c>
      <c r="W2360" s="78">
        <v>0</v>
      </c>
    </row>
    <row r="2361" spans="1:23" s="75" customFormat="1" hidden="1" x14ac:dyDescent="0.35">
      <c r="A2361" s="75">
        <v>2357</v>
      </c>
      <c r="B2361" s="75">
        <v>2358</v>
      </c>
      <c r="C2361">
        <v>146.01765159999999</v>
      </c>
      <c r="D2361">
        <v>-17.488638000000002</v>
      </c>
      <c r="F2361" s="75" t="str">
        <f>HYPERLINK("E:\Data From Lucan\2024\Johnstone\Frames_for_Analysis\2358_20240610_0003_L_3630.jpg","2358_20240610_0003_L_3630.jpg")</f>
        <v>2358_20240610_0003_L_3630.jpg</v>
      </c>
      <c r="I2361">
        <f t="shared" si="36"/>
        <v>0</v>
      </c>
      <c r="J2361" s="75">
        <v>0</v>
      </c>
      <c r="K2361" s="77"/>
      <c r="L2361" s="77"/>
      <c r="M2361" s="77"/>
      <c r="N2361" s="77"/>
      <c r="O2361" s="75">
        <v>1</v>
      </c>
      <c r="P2361" s="75">
        <v>0</v>
      </c>
      <c r="Q2361" s="75">
        <v>0</v>
      </c>
      <c r="R2361" s="75">
        <v>0</v>
      </c>
      <c r="S2361" s="75">
        <v>0</v>
      </c>
      <c r="T2361" s="75">
        <v>0</v>
      </c>
      <c r="U2361" s="75">
        <v>0</v>
      </c>
      <c r="V2361" s="75">
        <v>1</v>
      </c>
      <c r="W2361" s="78">
        <v>0</v>
      </c>
    </row>
    <row r="2362" spans="1:23" s="75" customFormat="1" hidden="1" x14ac:dyDescent="0.35">
      <c r="A2362" s="75">
        <v>2358</v>
      </c>
      <c r="B2362" s="75">
        <v>2359</v>
      </c>
      <c r="C2362">
        <v>146.01759039999999</v>
      </c>
      <c r="D2362">
        <v>-17.488709750000002</v>
      </c>
      <c r="F2362" s="75" t="str">
        <f>HYPERLINK("E:\Data From Lucan\2024\Johnstone\Frames_for_Analysis\2359_20240610_0003_L_3634.jpg","2359_20240610_0003_L_3634.jpg")</f>
        <v>2359_20240610_0003_L_3634.jpg</v>
      </c>
      <c r="I2362">
        <f t="shared" si="36"/>
        <v>0</v>
      </c>
      <c r="J2362" s="75">
        <v>0</v>
      </c>
      <c r="K2362" s="77"/>
      <c r="L2362" s="77"/>
      <c r="M2362" s="77"/>
      <c r="N2362" s="77"/>
      <c r="O2362" s="75">
        <v>1</v>
      </c>
      <c r="P2362" s="75">
        <v>0</v>
      </c>
      <c r="Q2362" s="75">
        <v>0</v>
      </c>
      <c r="R2362" s="75">
        <v>0</v>
      </c>
      <c r="S2362" s="75">
        <v>0</v>
      </c>
      <c r="T2362" s="75">
        <v>0</v>
      </c>
      <c r="U2362" s="75">
        <v>0</v>
      </c>
      <c r="V2362" s="75">
        <v>1</v>
      </c>
      <c r="W2362" s="78">
        <v>0</v>
      </c>
    </row>
    <row r="2363" spans="1:23" s="75" customFormat="1" hidden="1" x14ac:dyDescent="0.35">
      <c r="A2363" s="75">
        <v>2359</v>
      </c>
      <c r="B2363" s="75">
        <v>2360</v>
      </c>
      <c r="C2363">
        <v>146.01752920000001</v>
      </c>
      <c r="D2363">
        <v>-17.488781509999999</v>
      </c>
      <c r="F2363" s="75" t="str">
        <f>HYPERLINK("E:\Data From Lucan\2024\Johnstone\Frames_for_Analysis\2360_20240610_0003_L_3636.jpg","2360_20240610_0003_L_3636.jpg")</f>
        <v>2360_20240610_0003_L_3636.jpg</v>
      </c>
      <c r="I2363">
        <f t="shared" si="36"/>
        <v>0</v>
      </c>
      <c r="J2363" s="75">
        <v>0</v>
      </c>
      <c r="K2363" s="77"/>
      <c r="L2363" s="77"/>
      <c r="M2363" s="77"/>
      <c r="N2363" s="77"/>
      <c r="O2363" s="75">
        <v>1</v>
      </c>
      <c r="P2363" s="75">
        <v>0</v>
      </c>
      <c r="Q2363" s="75">
        <v>0</v>
      </c>
      <c r="R2363" s="75">
        <v>0</v>
      </c>
      <c r="S2363" s="75">
        <v>0</v>
      </c>
      <c r="T2363" s="75">
        <v>0</v>
      </c>
      <c r="U2363" s="75">
        <v>0</v>
      </c>
      <c r="V2363" s="75">
        <v>1</v>
      </c>
      <c r="W2363" s="78">
        <v>0</v>
      </c>
    </row>
    <row r="2364" spans="1:23" s="75" customFormat="1" hidden="1" x14ac:dyDescent="0.35">
      <c r="A2364" s="75">
        <v>2360</v>
      </c>
      <c r="B2364" s="75">
        <v>2361</v>
      </c>
      <c r="C2364">
        <v>146.0174681</v>
      </c>
      <c r="D2364">
        <v>-17.488853259999999</v>
      </c>
      <c r="F2364" s="75" t="str">
        <f>HYPERLINK("E:\Data From Lucan\2024\Johnstone\Frames_for_Analysis\2361_20240610_0003_L_3639.jpg","2361_20240610_0003_L_3639.jpg")</f>
        <v>2361_20240610_0003_L_3639.jpg</v>
      </c>
      <c r="I2364">
        <f t="shared" si="36"/>
        <v>1</v>
      </c>
      <c r="J2364" s="75">
        <v>1</v>
      </c>
      <c r="K2364" s="77"/>
      <c r="L2364" s="77"/>
      <c r="M2364" s="77"/>
      <c r="N2364" s="77"/>
      <c r="O2364" s="75">
        <v>1</v>
      </c>
      <c r="P2364" s="75">
        <v>0</v>
      </c>
      <c r="Q2364" s="75">
        <v>0</v>
      </c>
      <c r="R2364" s="75">
        <v>0</v>
      </c>
      <c r="S2364" s="75">
        <v>0</v>
      </c>
      <c r="T2364" s="75">
        <v>0</v>
      </c>
      <c r="U2364" s="75">
        <v>0</v>
      </c>
      <c r="V2364" s="75">
        <v>1</v>
      </c>
      <c r="W2364" s="78">
        <v>0</v>
      </c>
    </row>
    <row r="2365" spans="1:23" s="75" customFormat="1" hidden="1" x14ac:dyDescent="0.35">
      <c r="A2365" s="75">
        <v>2361</v>
      </c>
      <c r="B2365" s="75">
        <v>2362</v>
      </c>
      <c r="C2365">
        <v>146.0174069</v>
      </c>
      <c r="D2365">
        <v>-17.488925009999999</v>
      </c>
      <c r="F2365" s="75" t="str">
        <f>HYPERLINK("E:\Data From Lucan\2024\Johnstone\Frames_for_Analysis\2362_20240610_0003_L_3643.jpg","2362_20240610_0003_L_3643.jpg")</f>
        <v>2362_20240610_0003_L_3643.jpg</v>
      </c>
      <c r="I2365">
        <f t="shared" si="36"/>
        <v>1</v>
      </c>
      <c r="J2365" s="75">
        <v>1</v>
      </c>
      <c r="K2365" s="77"/>
      <c r="L2365" s="77"/>
      <c r="M2365" s="77"/>
      <c r="N2365" s="77"/>
      <c r="O2365" s="75">
        <v>1</v>
      </c>
      <c r="P2365" s="75">
        <v>0</v>
      </c>
      <c r="Q2365" s="75">
        <v>0</v>
      </c>
      <c r="R2365" s="75">
        <v>0</v>
      </c>
      <c r="S2365" s="75">
        <v>0</v>
      </c>
      <c r="T2365" s="75">
        <v>0</v>
      </c>
      <c r="U2365" s="75">
        <v>0</v>
      </c>
      <c r="V2365" s="75">
        <v>0</v>
      </c>
      <c r="W2365" s="78">
        <v>0</v>
      </c>
    </row>
    <row r="2366" spans="1:23" s="75" customFormat="1" hidden="1" x14ac:dyDescent="0.35">
      <c r="A2366" s="75">
        <v>2362</v>
      </c>
      <c r="B2366" s="75">
        <v>2363</v>
      </c>
      <c r="C2366">
        <v>146.01734569999999</v>
      </c>
      <c r="D2366">
        <v>-17.48899677</v>
      </c>
      <c r="F2366" s="75" t="str">
        <f>HYPERLINK("E:\Data From Lucan\2024\Johnstone\Frames_for_Analysis\2363_20240610_0003_L_3646.jpg","2363_20240610_0003_L_3646.jpg")</f>
        <v>2363_20240610_0003_L_3646.jpg</v>
      </c>
      <c r="I2366">
        <f t="shared" si="36"/>
        <v>1</v>
      </c>
      <c r="J2366" s="75">
        <v>1</v>
      </c>
      <c r="K2366" s="77"/>
      <c r="L2366" s="77"/>
      <c r="M2366" s="77"/>
      <c r="N2366" s="77"/>
      <c r="O2366" s="75">
        <v>1</v>
      </c>
      <c r="P2366" s="75">
        <v>0</v>
      </c>
      <c r="Q2366" s="75">
        <v>0</v>
      </c>
      <c r="R2366" s="75">
        <v>0</v>
      </c>
      <c r="S2366" s="75">
        <v>0</v>
      </c>
      <c r="T2366" s="75">
        <v>0</v>
      </c>
      <c r="U2366" s="75">
        <v>0</v>
      </c>
      <c r="V2366" s="75">
        <v>0</v>
      </c>
      <c r="W2366" s="78">
        <v>0</v>
      </c>
    </row>
    <row r="2367" spans="1:23" s="75" customFormat="1" hidden="1" x14ac:dyDescent="0.35">
      <c r="A2367" s="75">
        <v>2363</v>
      </c>
      <c r="B2367" s="75">
        <v>2364</v>
      </c>
      <c r="C2367">
        <v>146.01728449999999</v>
      </c>
      <c r="D2367">
        <v>-17.48906852</v>
      </c>
      <c r="F2367" s="75" t="str">
        <f>HYPERLINK("E:\Data From Lucan\2024\Johnstone\Frames_for_Analysis\2364_20240610_0003_L_3650.jpg","2364_20240610_0003_L_3650.jpg")</f>
        <v>2364_20240610_0003_L_3650.jpg</v>
      </c>
      <c r="I2367">
        <f t="shared" si="36"/>
        <v>0</v>
      </c>
      <c r="J2367" s="75">
        <v>0</v>
      </c>
      <c r="K2367" s="77"/>
      <c r="L2367" s="77"/>
      <c r="M2367" s="77"/>
      <c r="N2367" s="77"/>
      <c r="O2367" s="75">
        <v>1</v>
      </c>
      <c r="P2367" s="75">
        <v>0</v>
      </c>
      <c r="Q2367" s="75">
        <v>0</v>
      </c>
      <c r="R2367" s="75">
        <v>0</v>
      </c>
      <c r="S2367" s="75">
        <v>0</v>
      </c>
      <c r="T2367" s="75">
        <v>0</v>
      </c>
      <c r="U2367" s="75">
        <v>0</v>
      </c>
      <c r="V2367" s="75">
        <v>0</v>
      </c>
      <c r="W2367" s="78">
        <v>0</v>
      </c>
    </row>
    <row r="2368" spans="1:23" s="75" customFormat="1" hidden="1" x14ac:dyDescent="0.35">
      <c r="A2368" s="75">
        <v>2364</v>
      </c>
      <c r="B2368" s="75">
        <v>2365</v>
      </c>
      <c r="C2368">
        <v>146.01722330000001</v>
      </c>
      <c r="D2368">
        <v>-17.48914027</v>
      </c>
      <c r="F2368" s="75" t="str">
        <f>HYPERLINK("E:\Data From Lucan\2024\Johnstone\Frames_for_Analysis\2365_20240610_0003_L_3653.jpg","2365_20240610_0003_L_3653.jpg")</f>
        <v>2365_20240610_0003_L_3653.jpg</v>
      </c>
      <c r="I2368">
        <f t="shared" si="36"/>
        <v>0</v>
      </c>
      <c r="J2368" s="75">
        <v>0</v>
      </c>
      <c r="K2368" s="77"/>
      <c r="L2368" s="77"/>
      <c r="M2368" s="77"/>
      <c r="N2368" s="77"/>
      <c r="O2368" s="75">
        <v>1</v>
      </c>
      <c r="P2368" s="75">
        <v>0</v>
      </c>
      <c r="Q2368" s="75">
        <v>0</v>
      </c>
      <c r="R2368" s="75">
        <v>0</v>
      </c>
      <c r="S2368" s="75">
        <v>0</v>
      </c>
      <c r="T2368" s="75">
        <v>0</v>
      </c>
      <c r="U2368" s="75">
        <v>0</v>
      </c>
      <c r="V2368" s="75">
        <v>0</v>
      </c>
      <c r="W2368" s="78">
        <v>0</v>
      </c>
    </row>
    <row r="2369" spans="1:23" s="75" customFormat="1" hidden="1" x14ac:dyDescent="0.35">
      <c r="A2369" s="75">
        <v>2365</v>
      </c>
      <c r="B2369" s="75">
        <v>2366</v>
      </c>
      <c r="C2369">
        <v>146.01716210000001</v>
      </c>
      <c r="D2369">
        <v>-17.489212030000001</v>
      </c>
      <c r="F2369" s="75" t="str">
        <f>HYPERLINK("E:\Data From Lucan\2024\Johnstone\Frames_for_Analysis\2366_20240610_0003_L_3656.jpg","2366_20240610_0003_L_3656.jpg")</f>
        <v>2366_20240610_0003_L_3656.jpg</v>
      </c>
      <c r="I2369">
        <f t="shared" si="36"/>
        <v>0</v>
      </c>
      <c r="J2369" s="75">
        <v>0</v>
      </c>
      <c r="K2369" s="77"/>
      <c r="L2369" s="77"/>
      <c r="M2369" s="77"/>
      <c r="N2369" s="77"/>
      <c r="O2369" s="75">
        <v>1</v>
      </c>
      <c r="P2369" s="75">
        <v>0</v>
      </c>
      <c r="Q2369" s="75">
        <v>0</v>
      </c>
      <c r="R2369" s="75">
        <v>0</v>
      </c>
      <c r="S2369" s="75">
        <v>0</v>
      </c>
      <c r="T2369" s="75">
        <v>0</v>
      </c>
      <c r="U2369" s="75">
        <v>0</v>
      </c>
      <c r="V2369" s="75">
        <v>0</v>
      </c>
      <c r="W2369" s="78">
        <v>0</v>
      </c>
    </row>
    <row r="2370" spans="1:23" s="75" customFormat="1" hidden="1" x14ac:dyDescent="0.35">
      <c r="A2370" s="75">
        <v>2366</v>
      </c>
      <c r="B2370" s="75">
        <v>2367</v>
      </c>
      <c r="C2370">
        <v>146.0171009</v>
      </c>
      <c r="D2370">
        <v>-17.489283780000001</v>
      </c>
      <c r="F2370" s="75" t="str">
        <f>HYPERLINK("E:\Data From Lucan\2024\Johnstone\Frames_for_Analysis\2367_20240610_0003_L_3659.jpg","2367_20240610_0003_L_3659.jpg")</f>
        <v>2367_20240610_0003_L_3659.jpg</v>
      </c>
      <c r="I2370">
        <f t="shared" si="36"/>
        <v>0</v>
      </c>
      <c r="J2370" s="75">
        <v>0</v>
      </c>
      <c r="K2370" s="77"/>
      <c r="L2370" s="77"/>
      <c r="M2370" s="77"/>
      <c r="N2370" s="77"/>
      <c r="O2370" s="75">
        <v>1</v>
      </c>
      <c r="P2370" s="75">
        <v>0</v>
      </c>
      <c r="Q2370" s="75">
        <v>0</v>
      </c>
      <c r="R2370" s="75">
        <v>0</v>
      </c>
      <c r="S2370" s="75">
        <v>0</v>
      </c>
      <c r="T2370" s="75">
        <v>0</v>
      </c>
      <c r="U2370" s="75">
        <v>0</v>
      </c>
      <c r="V2370" s="75">
        <v>1</v>
      </c>
      <c r="W2370" s="78">
        <v>0</v>
      </c>
    </row>
    <row r="2371" spans="1:23" s="75" customFormat="1" hidden="1" x14ac:dyDescent="0.35">
      <c r="A2371" s="75">
        <v>2367</v>
      </c>
      <c r="B2371" s="75">
        <v>2368</v>
      </c>
      <c r="C2371">
        <v>146.0170397</v>
      </c>
      <c r="D2371">
        <v>-17.489355530000001</v>
      </c>
      <c r="F2371" s="75" t="str">
        <f>HYPERLINK("E:\Data From Lucan\2024\Johnstone\Frames_for_Analysis\2368_20240610_0003_L_3662.jpg","2368_20240610_0003_L_3662.jpg")</f>
        <v>2368_20240610_0003_L_3662.jpg</v>
      </c>
      <c r="I2371">
        <f t="shared" si="36"/>
        <v>1</v>
      </c>
      <c r="J2371" s="75">
        <v>1</v>
      </c>
      <c r="K2371" s="77"/>
      <c r="L2371" s="77"/>
      <c r="M2371" s="77"/>
      <c r="N2371" s="77"/>
      <c r="O2371" s="75">
        <v>1</v>
      </c>
      <c r="P2371" s="75">
        <v>0</v>
      </c>
      <c r="Q2371" s="75">
        <v>0</v>
      </c>
      <c r="R2371" s="75">
        <v>0</v>
      </c>
      <c r="S2371" s="75">
        <v>0</v>
      </c>
      <c r="T2371" s="75">
        <v>0</v>
      </c>
      <c r="U2371" s="75">
        <v>0</v>
      </c>
      <c r="V2371" s="75">
        <v>0</v>
      </c>
      <c r="W2371" s="78">
        <v>0</v>
      </c>
    </row>
    <row r="2372" spans="1:23" s="75" customFormat="1" hidden="1" x14ac:dyDescent="0.35">
      <c r="A2372" s="75">
        <v>2368</v>
      </c>
      <c r="B2372" s="75">
        <v>2369</v>
      </c>
      <c r="C2372">
        <v>146.01697849999999</v>
      </c>
      <c r="D2372">
        <v>-17.489427289999998</v>
      </c>
      <c r="F2372" s="75" t="str">
        <f>HYPERLINK("E:\Data From Lucan\2024\Johnstone\Frames_for_Analysis\2369_20240610_0003_L_3666.jpg","2369_20240610_0003_L_3666.jpg")</f>
        <v>2369_20240610_0003_L_3666.jpg</v>
      </c>
      <c r="I2372">
        <f t="shared" si="36"/>
        <v>1</v>
      </c>
      <c r="J2372" s="75">
        <v>1</v>
      </c>
      <c r="K2372" s="77"/>
      <c r="L2372" s="77"/>
      <c r="M2372" s="77"/>
      <c r="N2372" s="77"/>
      <c r="O2372" s="75">
        <v>1</v>
      </c>
      <c r="P2372" s="75">
        <v>0</v>
      </c>
      <c r="Q2372" s="75">
        <v>0</v>
      </c>
      <c r="R2372" s="75">
        <v>0</v>
      </c>
      <c r="S2372" s="75">
        <v>0</v>
      </c>
      <c r="T2372" s="75">
        <v>0</v>
      </c>
      <c r="U2372" s="75">
        <v>0</v>
      </c>
      <c r="V2372" s="75">
        <v>0</v>
      </c>
      <c r="W2372" s="78">
        <v>0</v>
      </c>
    </row>
    <row r="2373" spans="1:23" s="75" customFormat="1" hidden="1" x14ac:dyDescent="0.35">
      <c r="A2373" s="75">
        <v>2369</v>
      </c>
      <c r="B2373" s="75">
        <v>2370</v>
      </c>
      <c r="C2373">
        <v>146.01692009999999</v>
      </c>
      <c r="D2373">
        <v>-17.489500899999999</v>
      </c>
      <c r="F2373" s="75" t="str">
        <f>HYPERLINK("E:\Data From Lucan\2024\Johnstone\Frames_for_Analysis\2370_20240610_0003_L_3669.jpg","2370_20240610_0003_L_3669.jpg")</f>
        <v>2370_20240610_0003_L_3669.jpg</v>
      </c>
      <c r="I2373">
        <f t="shared" ref="I2373:I2436" si="37">IF(H2373="X","X",IF(J2373="NA","X",IF(J2373="","X",J2373)))</f>
        <v>1</v>
      </c>
      <c r="J2373" s="75">
        <v>1</v>
      </c>
      <c r="K2373" s="77"/>
      <c r="L2373" s="77"/>
      <c r="M2373" s="77"/>
      <c r="N2373" s="77"/>
      <c r="O2373" s="75">
        <v>1</v>
      </c>
      <c r="P2373" s="75">
        <v>0</v>
      </c>
      <c r="Q2373" s="75">
        <v>0</v>
      </c>
      <c r="R2373" s="75">
        <v>0</v>
      </c>
      <c r="S2373" s="75">
        <v>0</v>
      </c>
      <c r="T2373" s="75">
        <v>0</v>
      </c>
      <c r="U2373" s="75">
        <v>0</v>
      </c>
      <c r="V2373" s="75">
        <v>1</v>
      </c>
      <c r="W2373" s="78">
        <v>0</v>
      </c>
    </row>
    <row r="2374" spans="1:23" s="75" customFormat="1" hidden="1" x14ac:dyDescent="0.35">
      <c r="A2374" s="75">
        <v>2370</v>
      </c>
      <c r="B2374" s="75">
        <v>2371</v>
      </c>
      <c r="C2374">
        <v>146.01687609999999</v>
      </c>
      <c r="D2374">
        <v>-17.489584310000001</v>
      </c>
      <c r="F2374" s="75" t="str">
        <f>HYPERLINK("E:\Data From Lucan\2024\Johnstone\Frames_for_Analysis\2371_20240610_0003_L_3672.jpg","2371_20240610_0003_L_3672.jpg")</f>
        <v>2371_20240610_0003_L_3672.jpg</v>
      </c>
      <c r="I2374">
        <f t="shared" si="37"/>
        <v>1</v>
      </c>
      <c r="J2374" s="75">
        <v>1</v>
      </c>
      <c r="K2374" s="77"/>
      <c r="L2374" s="77"/>
      <c r="M2374" s="77"/>
      <c r="N2374" s="77"/>
      <c r="O2374" s="75">
        <v>1</v>
      </c>
      <c r="P2374" s="75">
        <v>0</v>
      </c>
      <c r="Q2374" s="75">
        <v>0</v>
      </c>
      <c r="R2374" s="75">
        <v>0</v>
      </c>
      <c r="S2374" s="75">
        <v>0</v>
      </c>
      <c r="T2374" s="75">
        <v>0</v>
      </c>
      <c r="U2374" s="75">
        <v>0</v>
      </c>
      <c r="V2374" s="75">
        <v>1</v>
      </c>
      <c r="W2374" s="78">
        <v>0</v>
      </c>
    </row>
    <row r="2375" spans="1:23" s="75" customFormat="1" hidden="1" x14ac:dyDescent="0.35">
      <c r="A2375" s="75">
        <v>2371</v>
      </c>
      <c r="B2375" s="75">
        <v>2372</v>
      </c>
      <c r="C2375">
        <v>146.01682980000001</v>
      </c>
      <c r="D2375">
        <v>-17.489666379999999</v>
      </c>
      <c r="F2375" s="75" t="str">
        <f>HYPERLINK("E:\Data From Lucan\2024\Johnstone\Frames_for_Analysis\2372_20240610_0003_L_3678.jpg","2372_20240610_0003_L_3678.jpg")</f>
        <v>2372_20240610_0003_L_3678.jpg</v>
      </c>
      <c r="I2375">
        <f t="shared" si="37"/>
        <v>0</v>
      </c>
      <c r="J2375" s="75">
        <v>0</v>
      </c>
      <c r="K2375" s="77"/>
      <c r="L2375" s="77"/>
      <c r="M2375" s="77"/>
      <c r="N2375" s="77"/>
      <c r="O2375" s="75">
        <v>1</v>
      </c>
      <c r="P2375" s="75">
        <v>0</v>
      </c>
      <c r="Q2375" s="75">
        <v>0</v>
      </c>
      <c r="R2375" s="75">
        <v>0</v>
      </c>
      <c r="S2375" s="75">
        <v>0</v>
      </c>
      <c r="T2375" s="75">
        <v>0</v>
      </c>
      <c r="U2375" s="75">
        <v>0</v>
      </c>
      <c r="V2375" s="75">
        <v>0</v>
      </c>
      <c r="W2375" s="78">
        <v>0</v>
      </c>
    </row>
    <row r="2376" spans="1:23" s="75" customFormat="1" hidden="1" x14ac:dyDescent="0.35">
      <c r="A2376" s="75">
        <v>2372</v>
      </c>
      <c r="B2376" s="75">
        <v>2373</v>
      </c>
      <c r="C2376">
        <v>146.0167782</v>
      </c>
      <c r="D2376">
        <v>-17.489745299999999</v>
      </c>
      <c r="F2376" s="75" t="str">
        <f>HYPERLINK("E:\Data From Lucan\2024\Johnstone\Frames_for_Analysis\2373_20240610_0003_L_3684.jpg","2373_20240610_0003_L_3684.jpg")</f>
        <v>2373_20240610_0003_L_3684.jpg</v>
      </c>
      <c r="I2376">
        <f t="shared" si="37"/>
        <v>0</v>
      </c>
      <c r="J2376" s="75">
        <v>0</v>
      </c>
      <c r="K2376" s="77"/>
      <c r="L2376" s="77"/>
      <c r="M2376" s="77"/>
      <c r="N2376" s="77"/>
      <c r="O2376" s="75">
        <v>1</v>
      </c>
      <c r="P2376" s="75">
        <v>0</v>
      </c>
      <c r="Q2376" s="75">
        <v>0</v>
      </c>
      <c r="R2376" s="75">
        <v>0</v>
      </c>
      <c r="S2376" s="75">
        <v>0</v>
      </c>
      <c r="T2376" s="75">
        <v>0</v>
      </c>
      <c r="U2376" s="75">
        <v>0</v>
      </c>
      <c r="V2376" s="75">
        <v>0</v>
      </c>
      <c r="W2376" s="78">
        <v>0</v>
      </c>
    </row>
    <row r="2377" spans="1:23" s="75" customFormat="1" hidden="1" x14ac:dyDescent="0.35">
      <c r="A2377" s="75">
        <v>2373</v>
      </c>
      <c r="B2377" s="75">
        <v>2374</v>
      </c>
      <c r="C2377">
        <v>146.0167265</v>
      </c>
      <c r="D2377">
        <v>-17.489824209999998</v>
      </c>
      <c r="F2377" s="75" t="str">
        <f>HYPERLINK("E:\Data From Lucan\2024\Johnstone\Frames_for_Analysis\2374_20240610_0003_L_3688.jpg","2374_20240610_0003_L_3688.jpg")</f>
        <v>2374_20240610_0003_L_3688.jpg</v>
      </c>
      <c r="I2377">
        <f t="shared" si="37"/>
        <v>1</v>
      </c>
      <c r="J2377" s="75">
        <v>1</v>
      </c>
      <c r="K2377" s="77"/>
      <c r="L2377" s="77"/>
      <c r="M2377" s="77"/>
      <c r="N2377" s="77"/>
      <c r="O2377" s="75">
        <v>1</v>
      </c>
      <c r="P2377" s="75">
        <v>0</v>
      </c>
      <c r="Q2377" s="75">
        <v>0</v>
      </c>
      <c r="R2377" s="75">
        <v>0</v>
      </c>
      <c r="S2377" s="75">
        <v>0</v>
      </c>
      <c r="T2377" s="75">
        <v>0</v>
      </c>
      <c r="U2377" s="75">
        <v>0</v>
      </c>
      <c r="V2377" s="75">
        <v>0</v>
      </c>
      <c r="W2377" s="78">
        <v>0</v>
      </c>
    </row>
    <row r="2378" spans="1:23" s="75" customFormat="1" hidden="1" x14ac:dyDescent="0.35">
      <c r="A2378" s="75">
        <v>2374</v>
      </c>
      <c r="B2378" s="75">
        <v>2375</v>
      </c>
      <c r="C2378">
        <v>146.0166749</v>
      </c>
      <c r="D2378">
        <v>-17.489903129999998</v>
      </c>
      <c r="F2378" s="75" t="str">
        <f>HYPERLINK("E:\Data From Lucan\2024\Johnstone\Frames_for_Analysis\2375_20240610_0003_L_3691.jpg","2375_20240610_0003_L_3691.jpg")</f>
        <v>2375_20240610_0003_L_3691.jpg</v>
      </c>
      <c r="I2378">
        <f t="shared" si="37"/>
        <v>1</v>
      </c>
      <c r="J2378" s="75">
        <v>1</v>
      </c>
      <c r="K2378" s="77"/>
      <c r="L2378" s="77"/>
      <c r="M2378" s="77"/>
      <c r="N2378" s="77"/>
      <c r="O2378" s="75">
        <v>1</v>
      </c>
      <c r="P2378" s="75">
        <v>0</v>
      </c>
      <c r="Q2378" s="75">
        <v>0</v>
      </c>
      <c r="R2378" s="75">
        <v>0</v>
      </c>
      <c r="S2378" s="75">
        <v>0</v>
      </c>
      <c r="T2378" s="75">
        <v>0</v>
      </c>
      <c r="U2378" s="75">
        <v>0</v>
      </c>
      <c r="V2378" s="75">
        <v>0</v>
      </c>
      <c r="W2378" s="78">
        <v>0</v>
      </c>
    </row>
    <row r="2379" spans="1:23" s="75" customFormat="1" hidden="1" x14ac:dyDescent="0.35">
      <c r="A2379" s="75">
        <v>2375</v>
      </c>
      <c r="B2379" s="75">
        <v>2376</v>
      </c>
      <c r="C2379">
        <v>146.01662329999999</v>
      </c>
      <c r="D2379">
        <v>-17.489982049999998</v>
      </c>
      <c r="F2379" s="75" t="str">
        <f>HYPERLINK("E:\Data From Lucan\2024\Johnstone\Frames_for_Analysis\2376_20240610_0003_L_3693.jpg","2376_20240610_0003_L_3693.jpg")</f>
        <v>2376_20240610_0003_L_3693.jpg</v>
      </c>
      <c r="I2379">
        <f t="shared" si="37"/>
        <v>1</v>
      </c>
      <c r="J2379" s="75">
        <v>1</v>
      </c>
      <c r="K2379" s="77"/>
      <c r="L2379" s="77"/>
      <c r="M2379" s="77"/>
      <c r="N2379" s="77"/>
      <c r="O2379" s="75">
        <v>1</v>
      </c>
      <c r="P2379" s="75">
        <v>0</v>
      </c>
      <c r="Q2379" s="75">
        <v>0</v>
      </c>
      <c r="R2379" s="75">
        <v>0</v>
      </c>
      <c r="S2379" s="75">
        <v>0</v>
      </c>
      <c r="T2379" s="75">
        <v>0</v>
      </c>
      <c r="U2379" s="75">
        <v>0</v>
      </c>
      <c r="V2379" s="75">
        <v>0</v>
      </c>
      <c r="W2379" s="78">
        <v>0</v>
      </c>
    </row>
    <row r="2380" spans="1:23" s="75" customFormat="1" hidden="1" x14ac:dyDescent="0.35">
      <c r="A2380" s="75">
        <v>2376</v>
      </c>
      <c r="B2380" s="75">
        <v>2377</v>
      </c>
      <c r="C2380">
        <v>146.01657169999999</v>
      </c>
      <c r="D2380">
        <v>-17.490060960000001</v>
      </c>
      <c r="F2380" s="75" t="str">
        <f>HYPERLINK("E:\Data From Lucan\2024\Johnstone\Frames_for_Analysis\2377_20240610_0003_L_3696.jpg","2377_20240610_0003_L_3696.jpg")</f>
        <v>2377_20240610_0003_L_3696.jpg</v>
      </c>
      <c r="I2380">
        <f t="shared" si="37"/>
        <v>0</v>
      </c>
      <c r="J2380" s="75">
        <v>0</v>
      </c>
      <c r="K2380" s="77"/>
      <c r="L2380" s="77"/>
      <c r="M2380" s="77"/>
      <c r="N2380" s="77"/>
      <c r="O2380" s="75">
        <v>1</v>
      </c>
      <c r="P2380" s="75">
        <v>0</v>
      </c>
      <c r="Q2380" s="75">
        <v>0</v>
      </c>
      <c r="R2380" s="75">
        <v>0</v>
      </c>
      <c r="S2380" s="75">
        <v>0</v>
      </c>
      <c r="T2380" s="75">
        <v>0</v>
      </c>
      <c r="U2380" s="75">
        <v>0</v>
      </c>
      <c r="V2380" s="75">
        <v>0</v>
      </c>
      <c r="W2380" s="78">
        <v>0</v>
      </c>
    </row>
    <row r="2381" spans="1:23" s="75" customFormat="1" hidden="1" x14ac:dyDescent="0.35">
      <c r="A2381" s="75">
        <v>2377</v>
      </c>
      <c r="B2381" s="75">
        <v>2378</v>
      </c>
      <c r="C2381">
        <v>146.01652000000001</v>
      </c>
      <c r="D2381">
        <v>-17.490139880000001</v>
      </c>
      <c r="F2381" s="75" t="str">
        <f>HYPERLINK("E:\Data From Lucan\2024\Johnstone\Frames_for_Analysis\2378_20240610_0003_L_3699.jpg","2378_20240610_0003_L_3699.jpg")</f>
        <v>2378_20240610_0003_L_3699.jpg</v>
      </c>
      <c r="G2381" s="75">
        <v>8</v>
      </c>
      <c r="I2381">
        <f t="shared" si="37"/>
        <v>1</v>
      </c>
      <c r="J2381" s="75">
        <v>1</v>
      </c>
      <c r="K2381" s="77"/>
      <c r="L2381" s="77"/>
      <c r="M2381" s="77"/>
      <c r="N2381" s="77"/>
      <c r="O2381" s="75">
        <v>1</v>
      </c>
      <c r="P2381" s="75">
        <v>0</v>
      </c>
      <c r="Q2381" s="75">
        <v>0</v>
      </c>
      <c r="R2381" s="75">
        <v>0</v>
      </c>
      <c r="S2381" s="75">
        <v>0</v>
      </c>
      <c r="T2381" s="75">
        <v>0</v>
      </c>
      <c r="U2381" s="75">
        <v>0</v>
      </c>
      <c r="V2381" s="75">
        <v>0</v>
      </c>
      <c r="W2381" s="78">
        <v>0</v>
      </c>
    </row>
    <row r="2382" spans="1:23" s="75" customFormat="1" hidden="1" x14ac:dyDescent="0.35">
      <c r="A2382" s="75">
        <v>2378</v>
      </c>
      <c r="B2382" s="75">
        <v>2379</v>
      </c>
      <c r="C2382">
        <v>146.01646840000001</v>
      </c>
      <c r="D2382">
        <v>-17.490218800000001</v>
      </c>
      <c r="F2382" s="75" t="str">
        <f>HYPERLINK("E:\Data From Lucan\2024\Johnstone\Frames_for_Analysis\2379_20240610_0003_L_3701.jpg","2379_20240610_0003_L_3701.jpg")</f>
        <v>2379_20240610_0003_L_3701.jpg</v>
      </c>
      <c r="G2382" s="75">
        <v>8</v>
      </c>
      <c r="I2382">
        <f t="shared" si="37"/>
        <v>1</v>
      </c>
      <c r="J2382" s="75">
        <v>1</v>
      </c>
      <c r="K2382" s="77"/>
      <c r="L2382" s="77"/>
      <c r="M2382" s="77"/>
      <c r="N2382" s="77"/>
      <c r="O2382" s="75">
        <v>1</v>
      </c>
      <c r="P2382" s="75">
        <v>0</v>
      </c>
      <c r="Q2382" s="75">
        <v>0</v>
      </c>
      <c r="R2382" s="75">
        <v>0</v>
      </c>
      <c r="S2382" s="75">
        <v>0</v>
      </c>
      <c r="T2382" s="75">
        <v>0</v>
      </c>
      <c r="U2382" s="75">
        <v>0</v>
      </c>
      <c r="V2382" s="75">
        <v>0</v>
      </c>
      <c r="W2382" s="78">
        <v>0</v>
      </c>
    </row>
    <row r="2383" spans="1:23" s="75" customFormat="1" hidden="1" x14ac:dyDescent="0.35">
      <c r="A2383" s="75">
        <v>2379</v>
      </c>
      <c r="B2383" s="75">
        <v>2380</v>
      </c>
      <c r="C2383">
        <v>146.01641939999999</v>
      </c>
      <c r="D2383">
        <v>-17.490299390000001</v>
      </c>
      <c r="F2383" s="75" t="str">
        <f>HYPERLINK("E:\Data From Lucan\2024\Johnstone\Frames_for_Analysis\2380_20240610_0003_L_3703.jpg","2380_20240610_0003_L_3703.jpg")</f>
        <v>2380_20240610_0003_L_3703.jpg</v>
      </c>
      <c r="G2383" s="75">
        <v>8</v>
      </c>
      <c r="I2383">
        <f t="shared" si="37"/>
        <v>0</v>
      </c>
      <c r="J2383" s="75">
        <v>0</v>
      </c>
      <c r="K2383" s="77"/>
      <c r="L2383" s="77"/>
      <c r="M2383" s="77"/>
      <c r="N2383" s="77"/>
      <c r="O2383" s="75">
        <v>1</v>
      </c>
      <c r="P2383" s="75">
        <v>0</v>
      </c>
      <c r="Q2383" s="75">
        <v>0</v>
      </c>
      <c r="R2383" s="75">
        <v>0</v>
      </c>
      <c r="S2383" s="75">
        <v>0</v>
      </c>
      <c r="T2383" s="75">
        <v>0</v>
      </c>
      <c r="U2383" s="75">
        <v>0</v>
      </c>
      <c r="V2383" s="75">
        <v>1</v>
      </c>
      <c r="W2383" s="78">
        <v>0</v>
      </c>
    </row>
    <row r="2384" spans="1:23" s="75" customFormat="1" hidden="1" x14ac:dyDescent="0.35">
      <c r="A2384" s="75">
        <v>2380</v>
      </c>
      <c r="B2384" s="75">
        <v>2381</v>
      </c>
      <c r="C2384">
        <v>146.01637049999999</v>
      </c>
      <c r="D2384">
        <v>-17.49037998</v>
      </c>
      <c r="F2384" s="75" t="str">
        <f>HYPERLINK("E:\Data From Lucan\2024\Johnstone\Frames_for_Analysis\2381_20240610_0003_L_3706.jpg","2381_20240610_0003_L_3706.jpg")</f>
        <v>2381_20240610_0003_L_3706.jpg</v>
      </c>
      <c r="G2384" s="75">
        <v>8</v>
      </c>
      <c r="I2384">
        <f t="shared" si="37"/>
        <v>0</v>
      </c>
      <c r="J2384" s="75">
        <v>0</v>
      </c>
      <c r="K2384" s="77"/>
      <c r="L2384" s="77"/>
      <c r="M2384" s="77"/>
      <c r="N2384" s="77"/>
      <c r="O2384" s="75">
        <v>1</v>
      </c>
      <c r="P2384" s="75">
        <v>0</v>
      </c>
      <c r="Q2384" s="75">
        <v>0</v>
      </c>
      <c r="R2384" s="75">
        <v>0</v>
      </c>
      <c r="S2384" s="75">
        <v>0</v>
      </c>
      <c r="T2384" s="75">
        <v>0</v>
      </c>
      <c r="U2384" s="75">
        <v>0</v>
      </c>
      <c r="V2384" s="75">
        <v>1</v>
      </c>
      <c r="W2384" s="78">
        <v>0</v>
      </c>
    </row>
    <row r="2385" spans="1:23" s="75" customFormat="1" hidden="1" x14ac:dyDescent="0.35">
      <c r="A2385" s="75">
        <v>2381</v>
      </c>
      <c r="B2385" s="75">
        <v>2382</v>
      </c>
      <c r="C2385">
        <v>146.0163215</v>
      </c>
      <c r="D2385">
        <v>-17.49046057</v>
      </c>
      <c r="F2385" s="75" t="str">
        <f>HYPERLINK("E:\Data From Lucan\2024\Johnstone\Frames_for_Analysis\2382_20240610_0003_L_3709.jpg","2382_20240610_0003_L_3709.jpg")</f>
        <v>2382_20240610_0003_L_3709.jpg</v>
      </c>
      <c r="G2385" s="75">
        <v>8</v>
      </c>
      <c r="I2385">
        <f t="shared" si="37"/>
        <v>0</v>
      </c>
      <c r="J2385" s="75">
        <v>0</v>
      </c>
      <c r="K2385" s="77"/>
      <c r="L2385" s="77"/>
      <c r="M2385" s="77"/>
      <c r="N2385" s="77"/>
      <c r="O2385" s="75">
        <v>1</v>
      </c>
      <c r="P2385" s="75">
        <v>0</v>
      </c>
      <c r="Q2385" s="75">
        <v>0</v>
      </c>
      <c r="R2385" s="75">
        <v>0</v>
      </c>
      <c r="S2385" s="75">
        <v>0</v>
      </c>
      <c r="T2385" s="75">
        <v>0</v>
      </c>
      <c r="U2385" s="75">
        <v>0</v>
      </c>
      <c r="V2385" s="75">
        <v>0</v>
      </c>
      <c r="W2385" s="78">
        <v>0</v>
      </c>
    </row>
    <row r="2386" spans="1:23" s="75" customFormat="1" hidden="1" x14ac:dyDescent="0.35">
      <c r="A2386" s="75">
        <v>2382</v>
      </c>
      <c r="B2386" s="75">
        <v>2383</v>
      </c>
      <c r="C2386">
        <v>146.01627250000001</v>
      </c>
      <c r="D2386">
        <v>-17.490541159999999</v>
      </c>
      <c r="F2386" s="75" t="str">
        <f>HYPERLINK("E:\Data From Lucan\2024\Johnstone\Frames_for_Analysis\2383_20240610_0003_L_3712.jpg","2383_20240610_0003_L_3712.jpg")</f>
        <v>2383_20240610_0003_L_3712.jpg</v>
      </c>
      <c r="G2386" s="75">
        <v>8</v>
      </c>
      <c r="I2386">
        <f t="shared" si="37"/>
        <v>1</v>
      </c>
      <c r="J2386" s="75">
        <v>1</v>
      </c>
      <c r="K2386" s="77"/>
      <c r="L2386" s="77"/>
      <c r="M2386" s="77"/>
      <c r="N2386" s="77"/>
      <c r="O2386" s="75">
        <v>1</v>
      </c>
      <c r="P2386" s="75">
        <v>0</v>
      </c>
      <c r="Q2386" s="75">
        <v>0</v>
      </c>
      <c r="R2386" s="75">
        <v>0</v>
      </c>
      <c r="S2386" s="75">
        <v>0</v>
      </c>
      <c r="T2386" s="75">
        <v>0</v>
      </c>
      <c r="U2386" s="75">
        <v>0</v>
      </c>
      <c r="V2386" s="75">
        <v>0</v>
      </c>
      <c r="W2386" s="78">
        <v>0</v>
      </c>
    </row>
    <row r="2387" spans="1:23" s="75" customFormat="1" hidden="1" x14ac:dyDescent="0.35">
      <c r="A2387" s="75">
        <v>2383</v>
      </c>
      <c r="B2387" s="75">
        <v>2384</v>
      </c>
      <c r="C2387">
        <v>146.0162235</v>
      </c>
      <c r="D2387">
        <v>-17.490621749999999</v>
      </c>
      <c r="F2387" s="75" t="str">
        <f>HYPERLINK("E:\Data From Lucan\2024\Johnstone\Frames_for_Analysis\2384_20240610_0003_L_3715.jpg","2384_20240610_0003_L_3715.jpg")</f>
        <v>2384_20240610_0003_L_3715.jpg</v>
      </c>
      <c r="G2387" s="75">
        <v>8</v>
      </c>
      <c r="I2387">
        <f t="shared" si="37"/>
        <v>1</v>
      </c>
      <c r="J2387" s="75">
        <v>1</v>
      </c>
      <c r="K2387" s="77"/>
      <c r="L2387" s="77"/>
      <c r="M2387" s="77"/>
      <c r="N2387" s="77"/>
      <c r="O2387" s="75">
        <v>1</v>
      </c>
      <c r="P2387" s="75">
        <v>0</v>
      </c>
      <c r="Q2387" s="75">
        <v>0</v>
      </c>
      <c r="R2387" s="75">
        <v>0</v>
      </c>
      <c r="S2387" s="75">
        <v>0</v>
      </c>
      <c r="T2387" s="75">
        <v>0</v>
      </c>
      <c r="U2387" s="75">
        <v>0</v>
      </c>
      <c r="V2387" s="75">
        <v>0</v>
      </c>
      <c r="W2387" s="78">
        <v>0</v>
      </c>
    </row>
    <row r="2388" spans="1:23" s="75" customFormat="1" hidden="1" x14ac:dyDescent="0.35">
      <c r="A2388" s="75">
        <v>2384</v>
      </c>
      <c r="B2388" s="75">
        <v>2385</v>
      </c>
      <c r="C2388">
        <v>146.0161746</v>
      </c>
      <c r="D2388">
        <v>-17.490702339999999</v>
      </c>
      <c r="F2388" s="75" t="str">
        <f>HYPERLINK("E:\Data From Lucan\2024\Johnstone\Frames_for_Analysis\2385_20240610_0003_L_3718.jpg","2385_20240610_0003_L_3718.jpg")</f>
        <v>2385_20240610_0003_L_3718.jpg</v>
      </c>
      <c r="G2388" s="75">
        <v>8</v>
      </c>
      <c r="I2388">
        <f t="shared" si="37"/>
        <v>0</v>
      </c>
      <c r="J2388" s="75">
        <v>0</v>
      </c>
      <c r="K2388" s="77"/>
      <c r="L2388" s="77"/>
      <c r="M2388" s="77"/>
      <c r="N2388" s="77"/>
      <c r="O2388" s="75">
        <v>1</v>
      </c>
      <c r="P2388" s="75">
        <v>0</v>
      </c>
      <c r="Q2388" s="75">
        <v>0</v>
      </c>
      <c r="R2388" s="75">
        <v>0</v>
      </c>
      <c r="S2388" s="75">
        <v>0</v>
      </c>
      <c r="T2388" s="75">
        <v>0</v>
      </c>
      <c r="U2388" s="75">
        <v>0</v>
      </c>
      <c r="V2388" s="75">
        <v>1</v>
      </c>
      <c r="W2388" s="78">
        <v>0</v>
      </c>
    </row>
    <row r="2389" spans="1:23" s="75" customFormat="1" hidden="1" x14ac:dyDescent="0.35">
      <c r="A2389" s="75">
        <v>2385</v>
      </c>
      <c r="B2389" s="75">
        <v>2386</v>
      </c>
      <c r="C2389">
        <v>146.01612220000001</v>
      </c>
      <c r="D2389">
        <v>-17.49078072</v>
      </c>
      <c r="F2389" s="75" t="str">
        <f>HYPERLINK("E:\Data From Lucan\2024\Johnstone\Frames_for_Analysis\2386_20240610_0003_L_3721.jpg","2386_20240610_0003_L_3721.jpg")</f>
        <v>2386_20240610_0003_L_3721.jpg</v>
      </c>
      <c r="G2389" s="75">
        <v>8</v>
      </c>
      <c r="I2389">
        <f t="shared" si="37"/>
        <v>0</v>
      </c>
      <c r="J2389" s="75">
        <v>0</v>
      </c>
      <c r="K2389" s="77"/>
      <c r="L2389" s="77"/>
      <c r="M2389" s="77"/>
      <c r="N2389" s="77"/>
      <c r="O2389" s="75">
        <v>1</v>
      </c>
      <c r="P2389" s="75">
        <v>0</v>
      </c>
      <c r="Q2389" s="75">
        <v>0</v>
      </c>
      <c r="R2389" s="75">
        <v>0</v>
      </c>
      <c r="S2389" s="75">
        <v>0</v>
      </c>
      <c r="T2389" s="75">
        <v>0</v>
      </c>
      <c r="U2389" s="75">
        <v>0</v>
      </c>
      <c r="V2389" s="75">
        <v>1</v>
      </c>
      <c r="W2389" s="78">
        <v>0</v>
      </c>
    </row>
    <row r="2390" spans="1:23" s="75" customFormat="1" hidden="1" x14ac:dyDescent="0.35">
      <c r="A2390" s="75">
        <v>2386</v>
      </c>
      <c r="B2390" s="75">
        <v>2387</v>
      </c>
      <c r="C2390">
        <v>146.01606749999999</v>
      </c>
      <c r="D2390">
        <v>-17.49085753</v>
      </c>
      <c r="F2390" s="75" t="str">
        <f>HYPERLINK("E:\Data From Lucan\2024\Johnstone\Frames_for_Analysis\2387_20240610_0003_L_3725.jpg","2387_20240610_0003_L_3725.jpg")</f>
        <v>2387_20240610_0003_L_3725.jpg</v>
      </c>
      <c r="G2390" s="75">
        <v>8</v>
      </c>
      <c r="I2390">
        <f t="shared" si="37"/>
        <v>0</v>
      </c>
      <c r="J2390" s="75">
        <v>0</v>
      </c>
      <c r="K2390" s="77"/>
      <c r="L2390" s="77"/>
      <c r="M2390" s="77"/>
      <c r="N2390" s="77"/>
      <c r="O2390" s="75">
        <v>1</v>
      </c>
      <c r="P2390" s="75">
        <v>0</v>
      </c>
      <c r="Q2390" s="75">
        <v>0</v>
      </c>
      <c r="R2390" s="75">
        <v>0</v>
      </c>
      <c r="S2390" s="75">
        <v>0</v>
      </c>
      <c r="T2390" s="75">
        <v>0</v>
      </c>
      <c r="U2390" s="75">
        <v>0</v>
      </c>
      <c r="V2390" s="75">
        <v>1</v>
      </c>
      <c r="W2390" s="78">
        <v>0</v>
      </c>
    </row>
    <row r="2391" spans="1:23" s="75" customFormat="1" hidden="1" x14ac:dyDescent="0.35">
      <c r="A2391" s="75">
        <v>2387</v>
      </c>
      <c r="B2391" s="75">
        <v>2388</v>
      </c>
      <c r="C2391">
        <v>146.0160128</v>
      </c>
      <c r="D2391">
        <v>-17.49093435</v>
      </c>
      <c r="F2391" s="75" t="str">
        <f>HYPERLINK("E:\Data From Lucan\2024\Johnstone\Frames_for_Analysis\2388_20240610_0003_L_3729.jpg","2388_20240610_0003_L_3729.jpg")</f>
        <v>2388_20240610_0003_L_3729.jpg</v>
      </c>
      <c r="G2391" s="75">
        <v>8</v>
      </c>
      <c r="I2391">
        <f t="shared" si="37"/>
        <v>0</v>
      </c>
      <c r="J2391" s="75">
        <v>0</v>
      </c>
      <c r="K2391" s="77"/>
      <c r="L2391" s="77"/>
      <c r="M2391" s="77"/>
      <c r="N2391" s="77"/>
      <c r="O2391" s="75">
        <v>1</v>
      </c>
      <c r="P2391" s="75">
        <v>0</v>
      </c>
      <c r="Q2391" s="75">
        <v>0</v>
      </c>
      <c r="R2391" s="75">
        <v>0</v>
      </c>
      <c r="S2391" s="75">
        <v>0</v>
      </c>
      <c r="T2391" s="75">
        <v>0</v>
      </c>
      <c r="U2391" s="75">
        <v>0</v>
      </c>
      <c r="V2391" s="75">
        <v>0</v>
      </c>
      <c r="W2391" s="78">
        <v>0</v>
      </c>
    </row>
    <row r="2392" spans="1:23" s="75" customFormat="1" hidden="1" x14ac:dyDescent="0.35">
      <c r="A2392" s="75">
        <v>2388</v>
      </c>
      <c r="B2392" s="75">
        <v>2389</v>
      </c>
      <c r="C2392">
        <v>146.01595810000001</v>
      </c>
      <c r="D2392">
        <v>-17.491011159999999</v>
      </c>
      <c r="F2392" s="75" t="str">
        <f>HYPERLINK("E:\Data From Lucan\2024\Johnstone\Frames_for_Analysis\2389_20240610_0003_L_3732.jpg","2389_20240610_0003_L_3732.jpg")</f>
        <v>2389_20240610_0003_L_3732.jpg</v>
      </c>
      <c r="G2392" s="75">
        <v>8</v>
      </c>
      <c r="I2392">
        <f t="shared" si="37"/>
        <v>0</v>
      </c>
      <c r="J2392" s="75">
        <v>0</v>
      </c>
      <c r="K2392" s="77"/>
      <c r="L2392" s="77"/>
      <c r="M2392" s="77"/>
      <c r="N2392" s="77"/>
      <c r="O2392" s="75">
        <v>1</v>
      </c>
      <c r="P2392" s="75">
        <v>0</v>
      </c>
      <c r="Q2392" s="75">
        <v>0</v>
      </c>
      <c r="R2392" s="75">
        <v>0</v>
      </c>
      <c r="S2392" s="75">
        <v>0</v>
      </c>
      <c r="T2392" s="75">
        <v>0</v>
      </c>
      <c r="U2392" s="75">
        <v>0</v>
      </c>
      <c r="V2392" s="75">
        <v>0</v>
      </c>
      <c r="W2392" s="78">
        <v>0</v>
      </c>
    </row>
    <row r="2393" spans="1:23" s="75" customFormat="1" hidden="1" x14ac:dyDescent="0.35">
      <c r="A2393" s="75">
        <v>2389</v>
      </c>
      <c r="B2393" s="75">
        <v>2390</v>
      </c>
      <c r="C2393">
        <v>146.01590340000001</v>
      </c>
      <c r="D2393">
        <v>-17.49108798</v>
      </c>
      <c r="F2393" s="75" t="str">
        <f>HYPERLINK("E:\Data From Lucan\2024\Johnstone\Frames_for_Analysis\2390_20240610_0003_L_3734.jpg","2390_20240610_0003_L_3734.jpg")</f>
        <v>2390_20240610_0003_L_3734.jpg</v>
      </c>
      <c r="G2393" s="75">
        <v>8</v>
      </c>
      <c r="I2393">
        <f t="shared" si="37"/>
        <v>0</v>
      </c>
      <c r="J2393" s="75">
        <v>0</v>
      </c>
      <c r="K2393" s="77"/>
      <c r="L2393" s="77"/>
      <c r="M2393" s="77"/>
      <c r="N2393" s="77"/>
      <c r="O2393" s="75">
        <v>1</v>
      </c>
      <c r="P2393" s="75">
        <v>0</v>
      </c>
      <c r="Q2393" s="75">
        <v>0</v>
      </c>
      <c r="R2393" s="75">
        <v>0</v>
      </c>
      <c r="S2393" s="75">
        <v>0</v>
      </c>
      <c r="T2393" s="75">
        <v>0</v>
      </c>
      <c r="U2393" s="75">
        <v>0</v>
      </c>
      <c r="V2393" s="75">
        <v>0</v>
      </c>
      <c r="W2393" s="78">
        <v>0</v>
      </c>
    </row>
    <row r="2394" spans="1:23" s="75" customFormat="1" hidden="1" x14ac:dyDescent="0.35">
      <c r="A2394" s="75">
        <v>2390</v>
      </c>
      <c r="B2394" s="75">
        <v>2391</v>
      </c>
      <c r="C2394">
        <v>146.01584869999999</v>
      </c>
      <c r="D2394">
        <v>-17.491164789999999</v>
      </c>
      <c r="F2394" s="75" t="str">
        <f>HYPERLINK("E:\Data From Lucan\2024\Johnstone\Frames_for_Analysis\2391_20240610_0003_L_3736.jpg","2391_20240610_0003_L_3736.jpg")</f>
        <v>2391_20240610_0003_L_3736.jpg</v>
      </c>
      <c r="G2394" s="75">
        <v>8</v>
      </c>
      <c r="I2394">
        <f t="shared" si="37"/>
        <v>0</v>
      </c>
      <c r="J2394" s="75">
        <v>0</v>
      </c>
      <c r="K2394" s="77"/>
      <c r="L2394" s="77"/>
      <c r="M2394" s="77"/>
      <c r="N2394" s="77"/>
      <c r="O2394" s="75">
        <v>1</v>
      </c>
      <c r="P2394" s="75">
        <v>0</v>
      </c>
      <c r="Q2394" s="75">
        <v>0</v>
      </c>
      <c r="R2394" s="75">
        <v>0</v>
      </c>
      <c r="S2394" s="75">
        <v>0</v>
      </c>
      <c r="T2394" s="75">
        <v>0</v>
      </c>
      <c r="U2394" s="75">
        <v>0</v>
      </c>
      <c r="V2394" s="75">
        <v>0</v>
      </c>
      <c r="W2394" s="78">
        <v>0</v>
      </c>
    </row>
    <row r="2395" spans="1:23" s="75" customFormat="1" hidden="1" x14ac:dyDescent="0.35">
      <c r="A2395" s="75">
        <v>2391</v>
      </c>
      <c r="B2395" s="75">
        <v>2392</v>
      </c>
      <c r="C2395">
        <v>146.01579359999999</v>
      </c>
      <c r="D2395">
        <v>-17.491241290000001</v>
      </c>
      <c r="F2395" s="75" t="str">
        <f>HYPERLINK("E:\Data From Lucan\2024\Johnstone\Frames_for_Analysis\2392_20240610_0003_L_3739.jpg","2392_20240610_0003_L_3739.jpg")</f>
        <v>2392_20240610_0003_L_3739.jpg</v>
      </c>
      <c r="G2395" s="75">
        <v>8</v>
      </c>
      <c r="I2395">
        <f t="shared" si="37"/>
        <v>0</v>
      </c>
      <c r="J2395" s="75">
        <v>0</v>
      </c>
      <c r="K2395" s="77"/>
      <c r="L2395" s="77"/>
      <c r="M2395" s="77"/>
      <c r="N2395" s="77"/>
      <c r="O2395" s="75">
        <v>1</v>
      </c>
      <c r="P2395" s="75">
        <v>0</v>
      </c>
      <c r="Q2395" s="75">
        <v>0</v>
      </c>
      <c r="R2395" s="75">
        <v>0</v>
      </c>
      <c r="S2395" s="75">
        <v>0</v>
      </c>
      <c r="T2395" s="75">
        <v>0</v>
      </c>
      <c r="U2395" s="75">
        <v>0</v>
      </c>
      <c r="V2395" s="75">
        <v>0</v>
      </c>
      <c r="W2395" s="78">
        <v>0</v>
      </c>
    </row>
    <row r="2396" spans="1:23" s="75" customFormat="1" hidden="1" x14ac:dyDescent="0.35">
      <c r="A2396" s="75">
        <v>2392</v>
      </c>
      <c r="B2396" s="75">
        <v>2393</v>
      </c>
      <c r="C2396">
        <v>146.01573550000001</v>
      </c>
      <c r="D2396">
        <v>-17.49131556</v>
      </c>
      <c r="F2396" s="75" t="str">
        <f>HYPERLINK("E:\Data From Lucan\2024\Johnstone\Frames_for_Analysis\2393_20240610_0003_L_3742.jpg","2393_20240610_0003_L_3742.jpg")</f>
        <v>2393_20240610_0003_L_3742.jpg</v>
      </c>
      <c r="G2396" s="75">
        <v>8</v>
      </c>
      <c r="I2396">
        <f t="shared" si="37"/>
        <v>0</v>
      </c>
      <c r="J2396" s="75">
        <v>0</v>
      </c>
      <c r="K2396" s="77"/>
      <c r="L2396" s="77"/>
      <c r="M2396" s="77"/>
      <c r="N2396" s="77"/>
      <c r="O2396" s="75">
        <v>1</v>
      </c>
      <c r="P2396" s="75">
        <v>0</v>
      </c>
      <c r="Q2396" s="75">
        <v>0</v>
      </c>
      <c r="R2396" s="75">
        <v>0</v>
      </c>
      <c r="S2396" s="75">
        <v>0</v>
      </c>
      <c r="T2396" s="75">
        <v>0</v>
      </c>
      <c r="U2396" s="75">
        <v>0</v>
      </c>
      <c r="V2396" s="75">
        <v>0</v>
      </c>
      <c r="W2396" s="78">
        <v>0</v>
      </c>
    </row>
    <row r="2397" spans="1:23" s="75" customFormat="1" hidden="1" x14ac:dyDescent="0.35">
      <c r="A2397" s="75">
        <v>2393</v>
      </c>
      <c r="B2397" s="75">
        <v>2394</v>
      </c>
      <c r="C2397">
        <v>146.01567739999999</v>
      </c>
      <c r="D2397">
        <v>-17.491389829999999</v>
      </c>
      <c r="F2397" s="75" t="str">
        <f>HYPERLINK("E:\Data From Lucan\2024\Johnstone\Frames_for_Analysis\2394_20240610_0003_L_3746.jpg","2394_20240610_0003_L_3746.jpg")</f>
        <v>2394_20240610_0003_L_3746.jpg</v>
      </c>
      <c r="G2397" s="75">
        <v>8</v>
      </c>
      <c r="I2397">
        <f t="shared" si="37"/>
        <v>0</v>
      </c>
      <c r="J2397" s="75">
        <v>0</v>
      </c>
      <c r="K2397" s="77"/>
      <c r="L2397" s="77"/>
      <c r="M2397" s="77"/>
      <c r="N2397" s="77"/>
      <c r="O2397" s="75">
        <v>1</v>
      </c>
      <c r="P2397" s="75">
        <v>0</v>
      </c>
      <c r="Q2397" s="75">
        <v>0</v>
      </c>
      <c r="R2397" s="75">
        <v>0</v>
      </c>
      <c r="S2397" s="75">
        <v>0</v>
      </c>
      <c r="T2397" s="75">
        <v>0</v>
      </c>
      <c r="U2397" s="75">
        <v>0</v>
      </c>
      <c r="V2397" s="75">
        <v>0</v>
      </c>
      <c r="W2397" s="78">
        <v>0</v>
      </c>
    </row>
    <row r="2398" spans="1:23" s="75" customFormat="1" hidden="1" x14ac:dyDescent="0.35">
      <c r="A2398" s="75">
        <v>2394</v>
      </c>
      <c r="B2398" s="75">
        <v>2395</v>
      </c>
      <c r="C2398">
        <v>146.0156192</v>
      </c>
      <c r="D2398">
        <v>-17.491464100000002</v>
      </c>
      <c r="F2398" s="75" t="str">
        <f>HYPERLINK("E:\Data From Lucan\2024\Johnstone\Frames_for_Analysis\2395_20240610_0003_L_3750.jpg","2395_20240610_0003_L_3750.jpg")</f>
        <v>2395_20240610_0003_L_3750.jpg</v>
      </c>
      <c r="G2398" s="75">
        <v>8</v>
      </c>
      <c r="I2398">
        <f t="shared" si="37"/>
        <v>0</v>
      </c>
      <c r="J2398" s="75">
        <v>0</v>
      </c>
      <c r="K2398" s="77"/>
      <c r="L2398" s="77"/>
      <c r="M2398" s="77"/>
      <c r="N2398" s="77"/>
      <c r="O2398" s="75">
        <v>1</v>
      </c>
      <c r="P2398" s="75">
        <v>0</v>
      </c>
      <c r="Q2398" s="75">
        <v>0</v>
      </c>
      <c r="R2398" s="75">
        <v>0</v>
      </c>
      <c r="S2398" s="75">
        <v>0</v>
      </c>
      <c r="T2398" s="75">
        <v>0</v>
      </c>
      <c r="U2398" s="75">
        <v>0</v>
      </c>
      <c r="V2398" s="75">
        <v>0</v>
      </c>
      <c r="W2398" s="78">
        <v>0</v>
      </c>
    </row>
    <row r="2399" spans="1:23" s="75" customFormat="1" hidden="1" x14ac:dyDescent="0.35">
      <c r="A2399" s="75">
        <v>2395</v>
      </c>
      <c r="B2399" s="75">
        <v>2396</v>
      </c>
      <c r="C2399">
        <v>146.01556110000001</v>
      </c>
      <c r="D2399">
        <v>-17.491538370000001</v>
      </c>
      <c r="F2399" s="75" t="str">
        <f>HYPERLINK("E:\Data From Lucan\2024\Johnstone\Frames_for_Analysis\2396_20240610_0003_L_3753.jpg","2396_20240610_0003_L_3753.jpg")</f>
        <v>2396_20240610_0003_L_3753.jpg</v>
      </c>
      <c r="G2399" s="75">
        <v>8</v>
      </c>
      <c r="I2399">
        <f t="shared" si="37"/>
        <v>0</v>
      </c>
      <c r="J2399" s="75">
        <v>0</v>
      </c>
      <c r="K2399" s="77"/>
      <c r="L2399" s="77"/>
      <c r="M2399" s="77"/>
      <c r="N2399" s="77"/>
      <c r="O2399" s="75">
        <v>1</v>
      </c>
      <c r="P2399" s="75">
        <v>0</v>
      </c>
      <c r="Q2399" s="75">
        <v>0</v>
      </c>
      <c r="R2399" s="75">
        <v>0</v>
      </c>
      <c r="S2399" s="75">
        <v>0</v>
      </c>
      <c r="T2399" s="75">
        <v>0</v>
      </c>
      <c r="U2399" s="75">
        <v>0</v>
      </c>
      <c r="V2399" s="75">
        <v>0</v>
      </c>
      <c r="W2399" s="78">
        <v>0</v>
      </c>
    </row>
    <row r="2400" spans="1:23" s="75" customFormat="1" hidden="1" x14ac:dyDescent="0.35">
      <c r="A2400" s="75">
        <v>2396</v>
      </c>
      <c r="B2400" s="75">
        <v>2397</v>
      </c>
      <c r="C2400">
        <v>146.015503</v>
      </c>
      <c r="D2400">
        <v>-17.49161264</v>
      </c>
      <c r="F2400" s="75" t="str">
        <f>HYPERLINK("E:\Data From Lucan\2024\Johnstone\Frames_for_Analysis\2397_20240610_0003_L_3755.jpg","2397_20240610_0003_L_3755.jpg")</f>
        <v>2397_20240610_0003_L_3755.jpg</v>
      </c>
      <c r="G2400" s="75">
        <v>8</v>
      </c>
      <c r="I2400">
        <f t="shared" si="37"/>
        <v>0</v>
      </c>
      <c r="J2400" s="75">
        <v>0</v>
      </c>
      <c r="K2400" s="77"/>
      <c r="L2400" s="77"/>
      <c r="M2400" s="77"/>
      <c r="N2400" s="77"/>
      <c r="O2400" s="75">
        <v>1</v>
      </c>
      <c r="P2400" s="75">
        <v>0</v>
      </c>
      <c r="Q2400" s="75">
        <v>0</v>
      </c>
      <c r="R2400" s="75">
        <v>0</v>
      </c>
      <c r="S2400" s="75">
        <v>0</v>
      </c>
      <c r="T2400" s="75">
        <v>0</v>
      </c>
      <c r="U2400" s="75">
        <v>0</v>
      </c>
      <c r="V2400" s="75">
        <v>0</v>
      </c>
      <c r="W2400" s="78">
        <v>0</v>
      </c>
    </row>
    <row r="2401" spans="1:23" s="75" customFormat="1" hidden="1" x14ac:dyDescent="0.35">
      <c r="A2401" s="75">
        <v>2397</v>
      </c>
      <c r="B2401" s="75">
        <v>2398</v>
      </c>
      <c r="C2401">
        <v>146.01544490000001</v>
      </c>
      <c r="D2401">
        <v>-17.491686900000001</v>
      </c>
      <c r="F2401" s="75" t="str">
        <f>HYPERLINK("E:\Data From Lucan\2024\Johnstone\Frames_for_Analysis\2398_20240610_0003_L_3759.jpg","2398_20240610_0003_L_3759.jpg")</f>
        <v>2398_20240610_0003_L_3759.jpg</v>
      </c>
      <c r="G2401" s="75">
        <v>8</v>
      </c>
      <c r="I2401">
        <f t="shared" si="37"/>
        <v>0</v>
      </c>
      <c r="J2401" s="75">
        <v>0</v>
      </c>
      <c r="K2401" s="77"/>
      <c r="L2401" s="77"/>
      <c r="M2401" s="77"/>
      <c r="N2401" s="77"/>
      <c r="O2401" s="75">
        <v>1</v>
      </c>
      <c r="P2401" s="75">
        <v>0</v>
      </c>
      <c r="Q2401" s="75">
        <v>0</v>
      </c>
      <c r="R2401" s="75">
        <v>0</v>
      </c>
      <c r="S2401" s="75">
        <v>0</v>
      </c>
      <c r="T2401" s="75">
        <v>0</v>
      </c>
      <c r="U2401" s="75">
        <v>0</v>
      </c>
      <c r="V2401" s="75">
        <v>0</v>
      </c>
      <c r="W2401" s="78">
        <v>0</v>
      </c>
    </row>
    <row r="2402" spans="1:23" s="75" customFormat="1" hidden="1" x14ac:dyDescent="0.35">
      <c r="A2402" s="75">
        <v>2398</v>
      </c>
      <c r="B2402" s="75">
        <v>2399</v>
      </c>
      <c r="C2402">
        <v>146.01538679999999</v>
      </c>
      <c r="D2402">
        <v>-17.49176117</v>
      </c>
      <c r="F2402" s="75" t="str">
        <f>HYPERLINK("E:\Data From Lucan\2024\Johnstone\Frames_for_Analysis\2399_20240610_0003_L_3762.jpg","2399_20240610_0003_L_3762.jpg")</f>
        <v>2399_20240610_0003_L_3762.jpg</v>
      </c>
      <c r="G2402" s="75">
        <v>8</v>
      </c>
      <c r="I2402">
        <f t="shared" si="37"/>
        <v>0</v>
      </c>
      <c r="J2402" s="75">
        <v>0</v>
      </c>
      <c r="K2402" s="77"/>
      <c r="L2402" s="77"/>
      <c r="M2402" s="77"/>
      <c r="N2402" s="77"/>
      <c r="O2402" s="75">
        <v>1</v>
      </c>
      <c r="P2402" s="75">
        <v>0</v>
      </c>
      <c r="Q2402" s="75">
        <v>0</v>
      </c>
      <c r="R2402" s="75">
        <v>0</v>
      </c>
      <c r="S2402" s="75">
        <v>0</v>
      </c>
      <c r="T2402" s="75">
        <v>0</v>
      </c>
      <c r="U2402" s="75">
        <v>0</v>
      </c>
      <c r="V2402" s="75">
        <v>1</v>
      </c>
      <c r="W2402" s="78">
        <v>0</v>
      </c>
    </row>
    <row r="2403" spans="1:23" s="75" customFormat="1" hidden="1" x14ac:dyDescent="0.35">
      <c r="A2403" s="75">
        <v>2399</v>
      </c>
      <c r="B2403" s="75">
        <v>2400</v>
      </c>
      <c r="C2403">
        <v>146.01532349999999</v>
      </c>
      <c r="D2403">
        <v>-17.491830920000002</v>
      </c>
      <c r="F2403" s="75" t="str">
        <f>HYPERLINK("E:\Data From Lucan\2024\Johnstone\Frames_for_Analysis\2400_20240610_0003_L_3764.jpg","2400_20240610_0003_L_3764.jpg")</f>
        <v>2400_20240610_0003_L_3764.jpg</v>
      </c>
      <c r="G2403" s="75">
        <v>8</v>
      </c>
      <c r="I2403">
        <f t="shared" si="37"/>
        <v>0</v>
      </c>
      <c r="J2403" s="75">
        <v>0</v>
      </c>
      <c r="K2403" s="77"/>
      <c r="L2403" s="77"/>
      <c r="M2403" s="77"/>
      <c r="N2403" s="77"/>
      <c r="O2403" s="75">
        <v>1</v>
      </c>
      <c r="P2403" s="75">
        <v>0</v>
      </c>
      <c r="Q2403" s="75">
        <v>0</v>
      </c>
      <c r="R2403" s="75">
        <v>0</v>
      </c>
      <c r="S2403" s="75">
        <v>0</v>
      </c>
      <c r="T2403" s="75">
        <v>0</v>
      </c>
      <c r="U2403" s="75">
        <v>0</v>
      </c>
      <c r="V2403" s="75">
        <v>1</v>
      </c>
      <c r="W2403" s="78">
        <v>0</v>
      </c>
    </row>
    <row r="2404" spans="1:23" s="75" customFormat="1" hidden="1" x14ac:dyDescent="0.35">
      <c r="A2404" s="75">
        <v>2400</v>
      </c>
      <c r="B2404" s="75">
        <v>2401</v>
      </c>
      <c r="C2404">
        <v>146.0152574</v>
      </c>
      <c r="D2404">
        <v>-17.491898129999999</v>
      </c>
      <c r="F2404" s="75" t="str">
        <f>HYPERLINK("E:\Data From Lucan\2024\Johnstone\Frames_for_Analysis\2401_20240610_0003_L_3767.jpg","2401_20240610_0003_L_3767.jpg")</f>
        <v>2401_20240610_0003_L_3767.jpg</v>
      </c>
      <c r="G2404" s="75">
        <v>8</v>
      </c>
      <c r="I2404">
        <f t="shared" si="37"/>
        <v>1</v>
      </c>
      <c r="J2404" s="75">
        <v>1</v>
      </c>
      <c r="K2404" s="77"/>
      <c r="L2404" s="77"/>
      <c r="M2404" s="77"/>
      <c r="N2404" s="77"/>
      <c r="O2404" s="75">
        <v>1</v>
      </c>
      <c r="P2404" s="75">
        <v>0</v>
      </c>
      <c r="Q2404" s="75">
        <v>0</v>
      </c>
      <c r="R2404" s="75">
        <v>0</v>
      </c>
      <c r="S2404" s="75">
        <v>0</v>
      </c>
      <c r="T2404" s="75">
        <v>0</v>
      </c>
      <c r="U2404" s="75">
        <v>0</v>
      </c>
      <c r="V2404" s="75">
        <v>1</v>
      </c>
      <c r="W2404" s="78">
        <v>0</v>
      </c>
    </row>
    <row r="2405" spans="1:23" s="75" customFormat="1" hidden="1" x14ac:dyDescent="0.35">
      <c r="A2405" s="75">
        <v>2401</v>
      </c>
      <c r="B2405" s="75">
        <v>2402</v>
      </c>
      <c r="C2405">
        <v>146.0151912</v>
      </c>
      <c r="D2405">
        <v>-17.491965329999999</v>
      </c>
      <c r="F2405" s="75" t="str">
        <f>HYPERLINK("E:\Data From Lucan\2024\Johnstone\Frames_for_Analysis\2402_20240610_0003_L_3770.jpg","2402_20240610_0003_L_3770.jpg")</f>
        <v>2402_20240610_0003_L_3770.jpg</v>
      </c>
      <c r="G2405" s="75">
        <v>8</v>
      </c>
      <c r="I2405">
        <f t="shared" si="37"/>
        <v>1</v>
      </c>
      <c r="J2405" s="75">
        <v>1</v>
      </c>
      <c r="K2405" s="77"/>
      <c r="L2405" s="77"/>
      <c r="M2405" s="77"/>
      <c r="N2405" s="77"/>
      <c r="O2405" s="75">
        <v>1</v>
      </c>
      <c r="P2405" s="75">
        <v>0</v>
      </c>
      <c r="Q2405" s="75">
        <v>0</v>
      </c>
      <c r="R2405" s="75">
        <v>0</v>
      </c>
      <c r="S2405" s="75">
        <v>0</v>
      </c>
      <c r="T2405" s="75">
        <v>0</v>
      </c>
      <c r="U2405" s="75">
        <v>0</v>
      </c>
      <c r="V2405" s="75">
        <v>0</v>
      </c>
      <c r="W2405" s="78">
        <v>0</v>
      </c>
    </row>
    <row r="2406" spans="1:23" s="75" customFormat="1" hidden="1" x14ac:dyDescent="0.35">
      <c r="A2406" s="75">
        <v>2402</v>
      </c>
      <c r="B2406" s="75">
        <v>2403</v>
      </c>
      <c r="C2406">
        <v>146.01512510000001</v>
      </c>
      <c r="D2406">
        <v>-17.49203254</v>
      </c>
      <c r="F2406" s="75" t="str">
        <f>HYPERLINK("E:\Data From Lucan\2024\Johnstone\Frames_for_Analysis\2403_20240610_0003_L_3772.jpg","2403_20240610_0003_L_3772.jpg")</f>
        <v>2403_20240610_0003_L_3772.jpg</v>
      </c>
      <c r="G2406" s="75">
        <v>8</v>
      </c>
      <c r="I2406">
        <f t="shared" si="37"/>
        <v>1</v>
      </c>
      <c r="J2406" s="75">
        <v>1</v>
      </c>
      <c r="K2406" s="77"/>
      <c r="L2406" s="77"/>
      <c r="M2406" s="77"/>
      <c r="N2406" s="77"/>
      <c r="O2406" s="75">
        <v>1</v>
      </c>
      <c r="P2406" s="75">
        <v>0</v>
      </c>
      <c r="Q2406" s="75">
        <v>0</v>
      </c>
      <c r="R2406" s="75">
        <v>0</v>
      </c>
      <c r="S2406" s="75">
        <v>0</v>
      </c>
      <c r="T2406" s="75">
        <v>0</v>
      </c>
      <c r="U2406" s="75">
        <v>0</v>
      </c>
      <c r="V2406" s="75">
        <v>1</v>
      </c>
      <c r="W2406" s="78">
        <v>0</v>
      </c>
    </row>
    <row r="2407" spans="1:23" s="75" customFormat="1" hidden="1" x14ac:dyDescent="0.35">
      <c r="A2407" s="75">
        <v>2403</v>
      </c>
      <c r="B2407" s="75">
        <v>2404</v>
      </c>
      <c r="C2407">
        <v>146.01505890000001</v>
      </c>
      <c r="D2407">
        <v>-17.492099750000001</v>
      </c>
      <c r="F2407" s="75" t="str">
        <f>HYPERLINK("E:\Data From Lucan\2024\Johnstone\Frames_for_Analysis\2404_20240610_0003_L_3775.jpg","2404_20240610_0003_L_3775.jpg")</f>
        <v>2404_20240610_0003_L_3775.jpg</v>
      </c>
      <c r="G2407" s="75">
        <v>8</v>
      </c>
      <c r="I2407">
        <f t="shared" si="37"/>
        <v>0</v>
      </c>
      <c r="J2407" s="75">
        <v>0</v>
      </c>
      <c r="K2407" s="77"/>
      <c r="L2407" s="77"/>
      <c r="M2407" s="77"/>
      <c r="N2407" s="77"/>
      <c r="O2407" s="75">
        <v>1</v>
      </c>
      <c r="P2407" s="75">
        <v>0</v>
      </c>
      <c r="Q2407" s="75">
        <v>0</v>
      </c>
      <c r="R2407" s="75">
        <v>0</v>
      </c>
      <c r="S2407" s="75">
        <v>0</v>
      </c>
      <c r="T2407" s="75">
        <v>0</v>
      </c>
      <c r="U2407" s="75">
        <v>0</v>
      </c>
      <c r="V2407" s="75">
        <v>0</v>
      </c>
      <c r="W2407" s="78">
        <v>0</v>
      </c>
    </row>
    <row r="2408" spans="1:23" s="75" customFormat="1" hidden="1" x14ac:dyDescent="0.35">
      <c r="A2408" s="75">
        <v>2404</v>
      </c>
      <c r="B2408" s="75">
        <v>2405</v>
      </c>
      <c r="C2408">
        <v>146.01499279999999</v>
      </c>
      <c r="D2408">
        <v>-17.492166959999999</v>
      </c>
      <c r="F2408" s="75" t="str">
        <f>HYPERLINK("E:\Data From Lucan\2024\Johnstone\Frames_for_Analysis\2405_20240610_0003_L_3777.jpg","2405_20240610_0003_L_3777.jpg")</f>
        <v>2405_20240610_0003_L_3777.jpg</v>
      </c>
      <c r="G2408" s="75">
        <v>8</v>
      </c>
      <c r="I2408">
        <f t="shared" si="37"/>
        <v>1</v>
      </c>
      <c r="J2408" s="75">
        <v>1</v>
      </c>
      <c r="K2408" s="77"/>
      <c r="L2408" s="77"/>
      <c r="M2408" s="77"/>
      <c r="N2408" s="77"/>
      <c r="O2408" s="75">
        <v>1</v>
      </c>
      <c r="P2408" s="75">
        <v>0</v>
      </c>
      <c r="Q2408" s="75">
        <v>0</v>
      </c>
      <c r="R2408" s="75">
        <v>0</v>
      </c>
      <c r="S2408" s="75">
        <v>0</v>
      </c>
      <c r="T2408" s="75">
        <v>0</v>
      </c>
      <c r="U2408" s="75">
        <v>0</v>
      </c>
      <c r="V2408" s="75">
        <v>0</v>
      </c>
      <c r="W2408" s="78">
        <v>0</v>
      </c>
    </row>
    <row r="2409" spans="1:23" s="75" customFormat="1" hidden="1" x14ac:dyDescent="0.35">
      <c r="A2409" s="75">
        <v>2405</v>
      </c>
      <c r="B2409" s="75">
        <v>2406</v>
      </c>
      <c r="C2409">
        <v>146.0149266</v>
      </c>
      <c r="D2409">
        <v>-17.49223417</v>
      </c>
      <c r="F2409" s="75" t="str">
        <f>HYPERLINK("E:\Data From Lucan\2024\Johnstone\Frames_for_Analysis\2406_20240610_0003_L_3779.jpg","2406_20240610_0003_L_3779.jpg")</f>
        <v>2406_20240610_0003_L_3779.jpg</v>
      </c>
      <c r="G2409" s="75">
        <v>8</v>
      </c>
      <c r="I2409">
        <f t="shared" si="37"/>
        <v>0</v>
      </c>
      <c r="J2409" s="75">
        <v>0</v>
      </c>
      <c r="K2409" s="77"/>
      <c r="L2409" s="77"/>
      <c r="M2409" s="77"/>
      <c r="N2409" s="77"/>
      <c r="O2409" s="75">
        <v>1</v>
      </c>
      <c r="P2409" s="75">
        <v>0</v>
      </c>
      <c r="Q2409" s="75">
        <v>0</v>
      </c>
      <c r="R2409" s="75">
        <v>0</v>
      </c>
      <c r="S2409" s="75">
        <v>0</v>
      </c>
      <c r="T2409" s="75">
        <v>0</v>
      </c>
      <c r="U2409" s="75">
        <v>0</v>
      </c>
      <c r="V2409" s="75">
        <v>0</v>
      </c>
      <c r="W2409" s="78">
        <v>0</v>
      </c>
    </row>
    <row r="2410" spans="1:23" s="75" customFormat="1" hidden="1" x14ac:dyDescent="0.35">
      <c r="A2410" s="75">
        <v>2406</v>
      </c>
      <c r="B2410" s="75">
        <v>2407</v>
      </c>
      <c r="C2410">
        <v>146.0148604</v>
      </c>
      <c r="D2410">
        <v>-17.492301380000001</v>
      </c>
      <c r="F2410" s="75" t="str">
        <f>HYPERLINK("E:\Data From Lucan\2024\Johnstone\Frames_for_Analysis\2407_20240610_0003_L_3782.jpg","2407_20240610_0003_L_3782.jpg")</f>
        <v>2407_20240610_0003_L_3782.jpg</v>
      </c>
      <c r="G2410" s="75">
        <v>8</v>
      </c>
      <c r="I2410">
        <f t="shared" si="37"/>
        <v>1</v>
      </c>
      <c r="J2410" s="75">
        <v>1</v>
      </c>
      <c r="K2410" s="77"/>
      <c r="L2410" s="77"/>
      <c r="M2410" s="77"/>
      <c r="N2410" s="77"/>
      <c r="O2410" s="75">
        <v>1</v>
      </c>
      <c r="P2410" s="75">
        <v>0</v>
      </c>
      <c r="Q2410" s="75">
        <v>0</v>
      </c>
      <c r="R2410" s="75">
        <v>0</v>
      </c>
      <c r="S2410" s="75">
        <v>0</v>
      </c>
      <c r="T2410" s="75">
        <v>0</v>
      </c>
      <c r="U2410" s="75">
        <v>0</v>
      </c>
      <c r="V2410" s="75">
        <v>0</v>
      </c>
      <c r="W2410" s="78">
        <v>0</v>
      </c>
    </row>
    <row r="2411" spans="1:23" s="75" customFormat="1" hidden="1" x14ac:dyDescent="0.35">
      <c r="A2411" s="75">
        <v>2407</v>
      </c>
      <c r="B2411" s="75">
        <v>2408</v>
      </c>
      <c r="C2411">
        <v>146.01479430000001</v>
      </c>
      <c r="D2411">
        <v>-17.492368590000002</v>
      </c>
      <c r="F2411" s="75" t="str">
        <f>HYPERLINK("E:\Data From Lucan\2024\Johnstone\Frames_for_Analysis\2408_20240610_0003_L_3785.jpg","2408_20240610_0003_L_3785.jpg")</f>
        <v>2408_20240610_0003_L_3785.jpg</v>
      </c>
      <c r="G2411" s="75">
        <v>8</v>
      </c>
      <c r="I2411">
        <f t="shared" si="37"/>
        <v>0</v>
      </c>
      <c r="J2411" s="75">
        <v>0</v>
      </c>
      <c r="K2411" s="77"/>
      <c r="L2411" s="77"/>
      <c r="M2411" s="77"/>
      <c r="N2411" s="77"/>
      <c r="O2411" s="75">
        <v>1</v>
      </c>
      <c r="P2411" s="75">
        <v>0</v>
      </c>
      <c r="Q2411" s="75">
        <v>0</v>
      </c>
      <c r="R2411" s="75">
        <v>0</v>
      </c>
      <c r="S2411" s="75">
        <v>0</v>
      </c>
      <c r="T2411" s="75">
        <v>0</v>
      </c>
      <c r="U2411" s="75">
        <v>0</v>
      </c>
      <c r="V2411" s="75">
        <v>0</v>
      </c>
      <c r="W2411" s="78">
        <v>0</v>
      </c>
    </row>
    <row r="2412" spans="1:23" s="75" customFormat="1" hidden="1" x14ac:dyDescent="0.35">
      <c r="A2412" s="75">
        <v>2408</v>
      </c>
      <c r="B2412" s="75">
        <v>2409</v>
      </c>
      <c r="C2412">
        <v>146.01472810000001</v>
      </c>
      <c r="D2412">
        <v>-17.492435799999999</v>
      </c>
      <c r="F2412" s="75" t="str">
        <f>HYPERLINK("E:\Data From Lucan\2024\Johnstone\Frames_for_Analysis\2409_20240610_0003_L_3788.jpg","2409_20240610_0003_L_3788.jpg")</f>
        <v>2409_20240610_0003_L_3788.jpg</v>
      </c>
      <c r="G2412" s="75">
        <v>8</v>
      </c>
      <c r="I2412">
        <f t="shared" si="37"/>
        <v>0</v>
      </c>
      <c r="J2412" s="75">
        <v>0</v>
      </c>
      <c r="K2412" s="77"/>
      <c r="L2412" s="77"/>
      <c r="M2412" s="77"/>
      <c r="N2412" s="77"/>
      <c r="O2412" s="75">
        <v>1</v>
      </c>
      <c r="P2412" s="75">
        <v>0</v>
      </c>
      <c r="Q2412" s="75">
        <v>0</v>
      </c>
      <c r="R2412" s="75">
        <v>0</v>
      </c>
      <c r="S2412" s="75">
        <v>0</v>
      </c>
      <c r="T2412" s="75">
        <v>0</v>
      </c>
      <c r="U2412" s="75">
        <v>0</v>
      </c>
      <c r="V2412" s="75">
        <v>1</v>
      </c>
      <c r="W2412" s="78">
        <v>0</v>
      </c>
    </row>
    <row r="2413" spans="1:23" s="75" customFormat="1" hidden="1" x14ac:dyDescent="0.35">
      <c r="A2413" s="75">
        <v>2409</v>
      </c>
      <c r="B2413" s="75">
        <v>2410</v>
      </c>
      <c r="C2413">
        <v>146.01466189999999</v>
      </c>
      <c r="D2413">
        <v>-17.492502900000002</v>
      </c>
      <c r="F2413" s="75" t="str">
        <f>HYPERLINK("E:\Data From Lucan\2024\Johnstone\Frames_for_Analysis\2410_20240610_0003_L_3790.jpg","2410_20240610_0003_L_3790.jpg")</f>
        <v>2410_20240610_0003_L_3790.jpg</v>
      </c>
      <c r="G2413" s="75">
        <v>8</v>
      </c>
      <c r="I2413">
        <f t="shared" si="37"/>
        <v>0</v>
      </c>
      <c r="J2413" s="75">
        <v>0</v>
      </c>
      <c r="K2413" s="77"/>
      <c r="L2413" s="77"/>
      <c r="M2413" s="77"/>
      <c r="N2413" s="77"/>
      <c r="O2413" s="75">
        <v>1</v>
      </c>
      <c r="P2413" s="75">
        <v>0</v>
      </c>
      <c r="Q2413" s="75">
        <v>0</v>
      </c>
      <c r="R2413" s="75">
        <v>0</v>
      </c>
      <c r="S2413" s="75">
        <v>0</v>
      </c>
      <c r="T2413" s="75">
        <v>0</v>
      </c>
      <c r="U2413" s="75">
        <v>0</v>
      </c>
      <c r="V2413" s="75">
        <v>1</v>
      </c>
      <c r="W2413" s="78">
        <v>0</v>
      </c>
    </row>
    <row r="2414" spans="1:23" s="75" customFormat="1" hidden="1" x14ac:dyDescent="0.35">
      <c r="A2414" s="75">
        <v>2410</v>
      </c>
      <c r="B2414" s="75">
        <v>2411</v>
      </c>
      <c r="C2414">
        <v>146.0145904</v>
      </c>
      <c r="D2414">
        <v>-17.492564380000001</v>
      </c>
      <c r="F2414" s="75" t="str">
        <f>HYPERLINK("E:\Data From Lucan\2024\Johnstone\Frames_for_Analysis\2411_20240610_0003_L_3796.jpg","2411_20240610_0003_L_3796.jpg")</f>
        <v>2411_20240610_0003_L_3796.jpg</v>
      </c>
      <c r="G2414" s="75">
        <v>8</v>
      </c>
      <c r="I2414">
        <f t="shared" si="37"/>
        <v>1</v>
      </c>
      <c r="J2414" s="75">
        <v>1</v>
      </c>
      <c r="K2414" s="77"/>
      <c r="L2414" s="77"/>
      <c r="M2414" s="77"/>
      <c r="N2414" s="77"/>
      <c r="O2414" s="75">
        <v>1</v>
      </c>
      <c r="P2414" s="75">
        <v>0</v>
      </c>
      <c r="Q2414" s="75">
        <v>0</v>
      </c>
      <c r="R2414" s="75">
        <v>0</v>
      </c>
      <c r="S2414" s="75">
        <v>0</v>
      </c>
      <c r="T2414" s="75">
        <v>0</v>
      </c>
      <c r="U2414" s="75">
        <v>0</v>
      </c>
      <c r="V2414" s="75">
        <v>1</v>
      </c>
      <c r="W2414" s="78">
        <v>0</v>
      </c>
    </row>
    <row r="2415" spans="1:23" s="75" customFormat="1" hidden="1" x14ac:dyDescent="0.35">
      <c r="A2415" s="75">
        <v>2411</v>
      </c>
      <c r="B2415" s="75">
        <v>2412</v>
      </c>
      <c r="C2415">
        <v>146.0145268</v>
      </c>
      <c r="D2415">
        <v>-17.49263388</v>
      </c>
      <c r="F2415" s="75" t="str">
        <f>HYPERLINK("E:\Data From Lucan\2024\Johnstone\Frames_for_Analysis\2412_20240610_0003_L_3801.jpg","2412_20240610_0003_L_3801.jpg")</f>
        <v>2412_20240610_0003_L_3801.jpg</v>
      </c>
      <c r="G2415" s="75">
        <v>8</v>
      </c>
      <c r="I2415">
        <f t="shared" si="37"/>
        <v>1</v>
      </c>
      <c r="J2415" s="75">
        <v>1</v>
      </c>
      <c r="K2415" s="77"/>
      <c r="L2415" s="77"/>
      <c r="M2415" s="77"/>
      <c r="N2415" s="77"/>
      <c r="O2415" s="75">
        <v>1</v>
      </c>
      <c r="P2415" s="75">
        <v>0</v>
      </c>
      <c r="Q2415" s="75">
        <v>0</v>
      </c>
      <c r="R2415" s="75">
        <v>0</v>
      </c>
      <c r="S2415" s="75">
        <v>0</v>
      </c>
      <c r="T2415" s="75">
        <v>0</v>
      </c>
      <c r="U2415" s="75">
        <v>0</v>
      </c>
      <c r="V2415" s="75">
        <v>1</v>
      </c>
      <c r="W2415" s="78">
        <v>0</v>
      </c>
    </row>
    <row r="2416" spans="1:23" s="75" customFormat="1" hidden="1" x14ac:dyDescent="0.35">
      <c r="A2416" s="75">
        <v>2412</v>
      </c>
      <c r="B2416" s="75">
        <v>2413</v>
      </c>
      <c r="C2416">
        <v>146.0144646</v>
      </c>
      <c r="D2416">
        <v>-17.492704759999999</v>
      </c>
      <c r="F2416" s="75" t="str">
        <f>HYPERLINK("E:\Data From Lucan\2024\Johnstone\Frames_for_Analysis\2413_20240610_0003_L_3806.jpg","2413_20240610_0003_L_3806.jpg")</f>
        <v>2413_20240610_0003_L_3806.jpg</v>
      </c>
      <c r="G2416" s="75">
        <v>8</v>
      </c>
      <c r="I2416">
        <f t="shared" si="37"/>
        <v>1</v>
      </c>
      <c r="J2416" s="75">
        <v>1</v>
      </c>
      <c r="K2416" s="77"/>
      <c r="L2416" s="77"/>
      <c r="M2416" s="77"/>
      <c r="N2416" s="77"/>
      <c r="O2416" s="75">
        <v>1</v>
      </c>
      <c r="P2416" s="75">
        <v>0</v>
      </c>
      <c r="Q2416" s="75">
        <v>0</v>
      </c>
      <c r="R2416" s="75">
        <v>0</v>
      </c>
      <c r="S2416" s="75">
        <v>0</v>
      </c>
      <c r="T2416" s="75">
        <v>0</v>
      </c>
      <c r="U2416" s="75">
        <v>0</v>
      </c>
      <c r="V2416" s="75">
        <v>1</v>
      </c>
      <c r="W2416" s="78">
        <v>0</v>
      </c>
    </row>
    <row r="2417" spans="1:23" s="75" customFormat="1" hidden="1" x14ac:dyDescent="0.35">
      <c r="A2417" s="75">
        <v>2413</v>
      </c>
      <c r="B2417" s="75">
        <v>2414</v>
      </c>
      <c r="C2417">
        <v>146.0144013</v>
      </c>
      <c r="D2417">
        <v>-17.492774529999998</v>
      </c>
      <c r="F2417" s="75" t="str">
        <f>HYPERLINK("E:\Data From Lucan\2024\Johnstone\Frames_for_Analysis\2414_20240610_0003_L_3808.jpg","2414_20240610_0003_L_3808.jpg")</f>
        <v>2414_20240610_0003_L_3808.jpg</v>
      </c>
      <c r="G2417" s="75">
        <v>8</v>
      </c>
      <c r="I2417">
        <f t="shared" si="37"/>
        <v>1</v>
      </c>
      <c r="J2417" s="75">
        <v>1</v>
      </c>
      <c r="K2417" s="77"/>
      <c r="L2417" s="77"/>
      <c r="M2417" s="77"/>
      <c r="N2417" s="77"/>
      <c r="O2417" s="75">
        <v>1</v>
      </c>
      <c r="P2417" s="75">
        <v>0</v>
      </c>
      <c r="Q2417" s="75">
        <v>0</v>
      </c>
      <c r="R2417" s="75">
        <v>0</v>
      </c>
      <c r="S2417" s="75">
        <v>0</v>
      </c>
      <c r="T2417" s="75">
        <v>0</v>
      </c>
      <c r="U2417" s="75">
        <v>0</v>
      </c>
      <c r="V2417" s="75">
        <v>0</v>
      </c>
      <c r="W2417" s="78">
        <v>0</v>
      </c>
    </row>
    <row r="2418" spans="1:23" s="75" customFormat="1" hidden="1" x14ac:dyDescent="0.35">
      <c r="A2418" s="75">
        <v>2414</v>
      </c>
      <c r="B2418" s="75">
        <v>2415</v>
      </c>
      <c r="C2418">
        <v>146.0143329</v>
      </c>
      <c r="D2418">
        <v>-17.49283947</v>
      </c>
      <c r="F2418" s="75" t="str">
        <f>HYPERLINK("E:\Data From Lucan\2024\Johnstone\Frames_for_Analysis\2415_20240610_0003_L_3811.jpg","2415_20240610_0003_L_3811.jpg")</f>
        <v>2415_20240610_0003_L_3811.jpg</v>
      </c>
      <c r="G2418" s="75">
        <v>8</v>
      </c>
      <c r="I2418">
        <f t="shared" si="37"/>
        <v>1</v>
      </c>
      <c r="J2418" s="75">
        <v>1</v>
      </c>
      <c r="K2418" s="77"/>
      <c r="L2418" s="77"/>
      <c r="M2418" s="77"/>
      <c r="N2418" s="77"/>
      <c r="O2418" s="75">
        <v>1</v>
      </c>
      <c r="P2418" s="75">
        <v>0</v>
      </c>
      <c r="Q2418" s="75">
        <v>0</v>
      </c>
      <c r="R2418" s="75">
        <v>0</v>
      </c>
      <c r="S2418" s="75">
        <v>0</v>
      </c>
      <c r="T2418" s="75">
        <v>0</v>
      </c>
      <c r="U2418" s="75">
        <v>0</v>
      </c>
      <c r="V2418" s="75">
        <v>0</v>
      </c>
      <c r="W2418" s="78">
        <v>0</v>
      </c>
    </row>
    <row r="2419" spans="1:23" s="75" customFormat="1" hidden="1" x14ac:dyDescent="0.35">
      <c r="A2419" s="75">
        <v>2415</v>
      </c>
      <c r="B2419" s="75">
        <v>2416</v>
      </c>
      <c r="C2419">
        <v>146.0142645</v>
      </c>
      <c r="D2419">
        <v>-17.492904410000001</v>
      </c>
      <c r="F2419" s="75" t="str">
        <f>HYPERLINK("E:\Data From Lucan\2024\Johnstone\Frames_for_Analysis\2416_20240610_0003_L_3813.jpg","2416_20240610_0003_L_3813.jpg")</f>
        <v>2416_20240610_0003_L_3813.jpg</v>
      </c>
      <c r="G2419" s="75">
        <v>8</v>
      </c>
      <c r="I2419">
        <f t="shared" si="37"/>
        <v>1</v>
      </c>
      <c r="J2419" s="75">
        <v>1</v>
      </c>
      <c r="K2419" s="77"/>
      <c r="L2419" s="77"/>
      <c r="M2419" s="77"/>
      <c r="N2419" s="77"/>
      <c r="O2419" s="75">
        <v>1</v>
      </c>
      <c r="P2419" s="75">
        <v>0</v>
      </c>
      <c r="Q2419" s="75">
        <v>0</v>
      </c>
      <c r="R2419" s="75">
        <v>0</v>
      </c>
      <c r="S2419" s="75">
        <v>0</v>
      </c>
      <c r="T2419" s="75">
        <v>0</v>
      </c>
      <c r="U2419" s="75">
        <v>0</v>
      </c>
      <c r="V2419" s="75">
        <v>0</v>
      </c>
      <c r="W2419" s="78">
        <v>0</v>
      </c>
    </row>
    <row r="2420" spans="1:23" s="75" customFormat="1" hidden="1" x14ac:dyDescent="0.35">
      <c r="A2420" s="75">
        <v>2416</v>
      </c>
      <c r="B2420" s="75">
        <v>2417</v>
      </c>
      <c r="C2420">
        <v>146.01419609999999</v>
      </c>
      <c r="D2420">
        <v>-17.492969349999999</v>
      </c>
      <c r="F2420" s="75" t="str">
        <f>HYPERLINK("E:\Data From Lucan\2024\Johnstone\Frames_for_Analysis\2417_20240610_0003_L_3816.jpg","2417_20240610_0003_L_3816.jpg")</f>
        <v>2417_20240610_0003_L_3816.jpg</v>
      </c>
      <c r="G2420" s="75">
        <v>8</v>
      </c>
      <c r="I2420">
        <f t="shared" si="37"/>
        <v>0</v>
      </c>
      <c r="J2420" s="75">
        <v>0</v>
      </c>
      <c r="K2420" s="77"/>
      <c r="L2420" s="77"/>
      <c r="M2420" s="77"/>
      <c r="N2420" s="77"/>
      <c r="O2420" s="75">
        <v>1</v>
      </c>
      <c r="P2420" s="75">
        <v>0</v>
      </c>
      <c r="Q2420" s="75">
        <v>0</v>
      </c>
      <c r="R2420" s="75">
        <v>0</v>
      </c>
      <c r="S2420" s="75">
        <v>0</v>
      </c>
      <c r="T2420" s="75">
        <v>0</v>
      </c>
      <c r="U2420" s="75">
        <v>0</v>
      </c>
      <c r="V2420" s="75">
        <v>0</v>
      </c>
      <c r="W2420" s="78">
        <v>0</v>
      </c>
    </row>
    <row r="2421" spans="1:23" s="75" customFormat="1" hidden="1" x14ac:dyDescent="0.35">
      <c r="A2421" s="75">
        <v>2417</v>
      </c>
      <c r="B2421" s="75">
        <v>2418</v>
      </c>
      <c r="C2421">
        <v>146.0141256</v>
      </c>
      <c r="D2421">
        <v>-17.49303192</v>
      </c>
      <c r="F2421" s="75" t="str">
        <f>HYPERLINK("E:\Data From Lucan\2024\Johnstone\Frames_for_Analysis\2418_20240610_0003_L_3819.jpg","2418_20240610_0003_L_3819.jpg")</f>
        <v>2418_20240610_0003_L_3819.jpg</v>
      </c>
      <c r="G2421" s="75">
        <v>8</v>
      </c>
      <c r="I2421">
        <f t="shared" si="37"/>
        <v>1</v>
      </c>
      <c r="J2421" s="75">
        <v>1</v>
      </c>
      <c r="K2421" s="77"/>
      <c r="L2421" s="77"/>
      <c r="M2421" s="77"/>
      <c r="N2421" s="77"/>
      <c r="O2421" s="75">
        <v>1</v>
      </c>
      <c r="P2421" s="75">
        <v>0</v>
      </c>
      <c r="Q2421" s="75">
        <v>0</v>
      </c>
      <c r="R2421" s="75">
        <v>0</v>
      </c>
      <c r="S2421" s="75">
        <v>0</v>
      </c>
      <c r="T2421" s="75">
        <v>0</v>
      </c>
      <c r="U2421" s="75">
        <v>0</v>
      </c>
      <c r="V2421" s="75">
        <v>0</v>
      </c>
      <c r="W2421" s="78">
        <v>0</v>
      </c>
    </row>
    <row r="2422" spans="1:23" s="75" customFormat="1" hidden="1" x14ac:dyDescent="0.35">
      <c r="A2422" s="75">
        <v>2418</v>
      </c>
      <c r="B2422" s="75">
        <v>2419</v>
      </c>
      <c r="C2422">
        <v>146.0140543</v>
      </c>
      <c r="D2422">
        <v>-17.493093699999999</v>
      </c>
      <c r="F2422" s="75" t="str">
        <f>HYPERLINK("E:\Data From Lucan\2024\Johnstone\Frames_for_Analysis\2419_20240610_0003_L_3822.jpg","2419_20240610_0003_L_3822.jpg")</f>
        <v>2419_20240610_0003_L_3822.jpg</v>
      </c>
      <c r="G2422" s="75">
        <v>8</v>
      </c>
      <c r="I2422">
        <f t="shared" si="37"/>
        <v>1</v>
      </c>
      <c r="J2422" s="75">
        <v>1</v>
      </c>
      <c r="K2422" s="77"/>
      <c r="L2422" s="77"/>
      <c r="M2422" s="77"/>
      <c r="N2422" s="77"/>
      <c r="O2422" s="75">
        <v>1</v>
      </c>
      <c r="P2422" s="75">
        <v>0</v>
      </c>
      <c r="Q2422" s="75">
        <v>0</v>
      </c>
      <c r="R2422" s="75">
        <v>0</v>
      </c>
      <c r="S2422" s="75">
        <v>0</v>
      </c>
      <c r="T2422" s="75">
        <v>0</v>
      </c>
      <c r="U2422" s="75">
        <v>0</v>
      </c>
      <c r="V2422" s="75">
        <v>0</v>
      </c>
      <c r="W2422" s="78">
        <v>0</v>
      </c>
    </row>
    <row r="2423" spans="1:23" s="75" customFormat="1" hidden="1" x14ac:dyDescent="0.35">
      <c r="A2423" s="75">
        <v>2419</v>
      </c>
      <c r="B2423" s="75">
        <v>2420</v>
      </c>
      <c r="C2423">
        <v>146.01398309999999</v>
      </c>
      <c r="D2423">
        <v>-17.493155479999999</v>
      </c>
      <c r="F2423" s="75" t="str">
        <f>HYPERLINK("E:\Data From Lucan\2024\Johnstone\Frames_for_Analysis\2420_20240610_0003_L_3825.jpg","2420_20240610_0003_L_3825.jpg")</f>
        <v>2420_20240610_0003_L_3825.jpg</v>
      </c>
      <c r="G2423" s="75">
        <v>8</v>
      </c>
      <c r="I2423">
        <f t="shared" si="37"/>
        <v>0</v>
      </c>
      <c r="J2423" s="75">
        <v>0</v>
      </c>
      <c r="K2423" s="77"/>
      <c r="L2423" s="77"/>
      <c r="M2423" s="77"/>
      <c r="N2423" s="77"/>
      <c r="O2423" s="75">
        <v>1</v>
      </c>
      <c r="P2423" s="75">
        <v>0</v>
      </c>
      <c r="Q2423" s="75">
        <v>0</v>
      </c>
      <c r="R2423" s="75">
        <v>0</v>
      </c>
      <c r="S2423" s="75">
        <v>0</v>
      </c>
      <c r="T2423" s="75">
        <v>0</v>
      </c>
      <c r="U2423" s="75">
        <v>0</v>
      </c>
      <c r="V2423" s="75">
        <v>1</v>
      </c>
      <c r="W2423" s="78">
        <v>0</v>
      </c>
    </row>
    <row r="2424" spans="1:23" s="75" customFormat="1" hidden="1" x14ac:dyDescent="0.35">
      <c r="A2424" s="75">
        <v>2420</v>
      </c>
      <c r="B2424" s="75">
        <v>2421</v>
      </c>
      <c r="C2424">
        <v>146.01391140000001</v>
      </c>
      <c r="D2424">
        <v>-17.493216740000001</v>
      </c>
      <c r="F2424" s="75" t="str">
        <f>HYPERLINK("E:\Data From Lucan\2024\Johnstone\Frames_for_Analysis\2421_20240610_0003_L_3828.jpg","2421_20240610_0003_L_3828.jpg")</f>
        <v>2421_20240610_0003_L_3828.jpg</v>
      </c>
      <c r="G2424" s="75">
        <v>8</v>
      </c>
      <c r="I2424">
        <f t="shared" si="37"/>
        <v>0</v>
      </c>
      <c r="J2424" s="75">
        <v>0</v>
      </c>
      <c r="K2424" s="77"/>
      <c r="L2424" s="77"/>
      <c r="M2424" s="77"/>
      <c r="N2424" s="77"/>
      <c r="O2424" s="75">
        <v>1</v>
      </c>
      <c r="P2424" s="75">
        <v>0</v>
      </c>
      <c r="Q2424" s="75">
        <v>0</v>
      </c>
      <c r="R2424" s="75">
        <v>0</v>
      </c>
      <c r="S2424" s="75">
        <v>0</v>
      </c>
      <c r="T2424" s="75">
        <v>0</v>
      </c>
      <c r="U2424" s="75">
        <v>0</v>
      </c>
      <c r="V2424" s="75">
        <v>0</v>
      </c>
      <c r="W2424" s="78">
        <v>0</v>
      </c>
    </row>
    <row r="2425" spans="1:23" s="75" customFormat="1" hidden="1" x14ac:dyDescent="0.35">
      <c r="A2425" s="75">
        <v>2421</v>
      </c>
      <c r="B2425" s="75">
        <v>2422</v>
      </c>
      <c r="C2425">
        <v>146.013837</v>
      </c>
      <c r="D2425">
        <v>-17.49327473</v>
      </c>
      <c r="F2425" s="75" t="str">
        <f>HYPERLINK("E:\Data From Lucan\2024\Johnstone\Frames_for_Analysis\2422_20240610_0003_L_3832.jpg","2422_20240610_0003_L_3832.jpg")</f>
        <v>2422_20240610_0003_L_3832.jpg</v>
      </c>
      <c r="G2425" s="75">
        <v>8</v>
      </c>
      <c r="I2425">
        <f t="shared" si="37"/>
        <v>1</v>
      </c>
      <c r="J2425" s="75">
        <v>1</v>
      </c>
      <c r="K2425" s="77"/>
      <c r="L2425" s="77"/>
      <c r="M2425" s="77"/>
      <c r="N2425" s="77"/>
      <c r="O2425" s="75">
        <v>1</v>
      </c>
      <c r="P2425" s="75">
        <v>0</v>
      </c>
      <c r="Q2425" s="75">
        <v>0</v>
      </c>
      <c r="R2425" s="75">
        <v>0</v>
      </c>
      <c r="S2425" s="75">
        <v>0</v>
      </c>
      <c r="T2425" s="75">
        <v>0</v>
      </c>
      <c r="U2425" s="75">
        <v>0</v>
      </c>
      <c r="V2425" s="75">
        <v>0</v>
      </c>
      <c r="W2425" s="78">
        <v>0</v>
      </c>
    </row>
    <row r="2426" spans="1:23" s="75" customFormat="1" hidden="1" x14ac:dyDescent="0.35">
      <c r="A2426" s="75">
        <v>2422</v>
      </c>
      <c r="B2426" s="75">
        <v>2423</v>
      </c>
      <c r="C2426">
        <v>146.0137627</v>
      </c>
      <c r="D2426">
        <v>-17.493332729999999</v>
      </c>
      <c r="F2426" s="75" t="str">
        <f>HYPERLINK("E:\Data From Lucan\2024\Johnstone\Frames_for_Analysis\2423_20240610_0003_L_3835.jpg","2423_20240610_0003_L_3835.jpg")</f>
        <v>2423_20240610_0003_L_3835.jpg</v>
      </c>
      <c r="G2426" s="75">
        <v>8</v>
      </c>
      <c r="I2426">
        <f t="shared" si="37"/>
        <v>0</v>
      </c>
      <c r="J2426" s="75">
        <v>0</v>
      </c>
      <c r="K2426" s="77"/>
      <c r="L2426" s="77"/>
      <c r="M2426" s="77"/>
      <c r="N2426" s="77"/>
      <c r="O2426" s="75">
        <v>1</v>
      </c>
      <c r="P2426" s="75">
        <v>0</v>
      </c>
      <c r="Q2426" s="75">
        <v>0</v>
      </c>
      <c r="R2426" s="75">
        <v>0</v>
      </c>
      <c r="S2426" s="75">
        <v>0</v>
      </c>
      <c r="T2426" s="75">
        <v>0</v>
      </c>
      <c r="U2426" s="75">
        <v>0</v>
      </c>
      <c r="V2426" s="75">
        <v>0</v>
      </c>
      <c r="W2426" s="78">
        <v>0</v>
      </c>
    </row>
    <row r="2427" spans="1:23" s="75" customFormat="1" hidden="1" x14ac:dyDescent="0.35">
      <c r="A2427" s="75">
        <v>2423</v>
      </c>
      <c r="B2427" s="75">
        <v>2424</v>
      </c>
      <c r="C2427">
        <v>146.01368830000001</v>
      </c>
      <c r="D2427">
        <v>-17.493390730000002</v>
      </c>
      <c r="F2427" s="75" t="str">
        <f>HYPERLINK("E:\Data From Lucan\2024\Johnstone\Frames_for_Analysis\2424_20240610_0003_L_3838.jpg","2424_20240610_0003_L_3838.jpg")</f>
        <v>2424_20240610_0003_L_3838.jpg</v>
      </c>
      <c r="G2427" s="75">
        <v>8</v>
      </c>
      <c r="I2427">
        <f t="shared" si="37"/>
        <v>1</v>
      </c>
      <c r="J2427" s="75">
        <v>1</v>
      </c>
      <c r="K2427" s="77"/>
      <c r="L2427" s="77"/>
      <c r="M2427" s="77"/>
      <c r="N2427" s="77"/>
      <c r="O2427" s="75">
        <v>1</v>
      </c>
      <c r="P2427" s="75">
        <v>0</v>
      </c>
      <c r="Q2427" s="75">
        <v>0</v>
      </c>
      <c r="R2427" s="75">
        <v>0</v>
      </c>
      <c r="S2427" s="75">
        <v>0</v>
      </c>
      <c r="T2427" s="75">
        <v>0</v>
      </c>
      <c r="U2427" s="75">
        <v>0</v>
      </c>
      <c r="V2427" s="75">
        <v>0</v>
      </c>
      <c r="W2427" s="78">
        <v>0</v>
      </c>
    </row>
    <row r="2428" spans="1:23" s="75" customFormat="1" hidden="1" x14ac:dyDescent="0.35">
      <c r="A2428" s="75">
        <v>2424</v>
      </c>
      <c r="B2428" s="75">
        <v>2425</v>
      </c>
      <c r="C2428">
        <v>146.01361399999999</v>
      </c>
      <c r="D2428">
        <v>-17.493448730000001</v>
      </c>
      <c r="F2428" s="75" t="str">
        <f>HYPERLINK("E:\Data From Lucan\2024\Johnstone\Frames_for_Analysis\2425_20240610_0003_L_3840.jpg","2425_20240610_0003_L_3840.jpg")</f>
        <v>2425_20240610_0003_L_3840.jpg</v>
      </c>
      <c r="G2428" s="75">
        <v>8</v>
      </c>
      <c r="I2428">
        <f t="shared" si="37"/>
        <v>1</v>
      </c>
      <c r="J2428" s="75">
        <v>1</v>
      </c>
      <c r="K2428" s="77"/>
      <c r="L2428" s="77"/>
      <c r="M2428" s="77"/>
      <c r="N2428" s="77"/>
      <c r="O2428" s="75">
        <v>1</v>
      </c>
      <c r="P2428" s="75">
        <v>0</v>
      </c>
      <c r="Q2428" s="75">
        <v>0</v>
      </c>
      <c r="R2428" s="75">
        <v>0</v>
      </c>
      <c r="S2428" s="75">
        <v>0</v>
      </c>
      <c r="T2428" s="75">
        <v>0</v>
      </c>
      <c r="U2428" s="75">
        <v>0</v>
      </c>
      <c r="V2428" s="75">
        <v>0</v>
      </c>
      <c r="W2428" s="78">
        <v>0</v>
      </c>
    </row>
    <row r="2429" spans="1:23" s="75" customFormat="1" hidden="1" x14ac:dyDescent="0.35">
      <c r="A2429" s="75">
        <v>2425</v>
      </c>
      <c r="B2429" s="75">
        <v>2426</v>
      </c>
      <c r="C2429">
        <v>146.01353180000001</v>
      </c>
      <c r="D2429">
        <v>-17.493494890000001</v>
      </c>
      <c r="F2429" s="75" t="str">
        <f>HYPERLINK("E:\Data From Lucan\2024\Johnstone\Frames_for_Analysis\2426_20240610_0003_L_3843.jpg","2426_20240610_0003_L_3843.jpg")</f>
        <v>2426_20240610_0003_L_3843.jpg</v>
      </c>
      <c r="G2429" s="75">
        <v>8</v>
      </c>
      <c r="I2429">
        <f t="shared" si="37"/>
        <v>1</v>
      </c>
      <c r="J2429" s="75">
        <v>1</v>
      </c>
      <c r="K2429" s="77"/>
      <c r="L2429" s="77"/>
      <c r="M2429" s="77"/>
      <c r="N2429" s="77"/>
      <c r="O2429" s="75">
        <v>1</v>
      </c>
      <c r="P2429" s="75">
        <v>0</v>
      </c>
      <c r="Q2429" s="75">
        <v>0</v>
      </c>
      <c r="R2429" s="75">
        <v>0</v>
      </c>
      <c r="S2429" s="75">
        <v>0</v>
      </c>
      <c r="T2429" s="75">
        <v>0</v>
      </c>
      <c r="U2429" s="75">
        <v>0</v>
      </c>
      <c r="V2429" s="75">
        <v>0</v>
      </c>
      <c r="W2429" s="78">
        <v>0</v>
      </c>
    </row>
    <row r="2430" spans="1:23" s="75" customFormat="1" hidden="1" x14ac:dyDescent="0.35">
      <c r="A2430" s="75">
        <v>2426</v>
      </c>
      <c r="B2430" s="75">
        <v>2427</v>
      </c>
      <c r="C2430">
        <v>146.0134491</v>
      </c>
      <c r="D2430">
        <v>-17.49354014</v>
      </c>
      <c r="F2430" s="75" t="str">
        <f>HYPERLINK("E:\Data From Lucan\2024\Johnstone\Frames_for_Analysis\2427_20240610_0003_L_3846.jpg","2427_20240610_0003_L_3846.jpg")</f>
        <v>2427_20240610_0003_L_3846.jpg</v>
      </c>
      <c r="G2430" s="75">
        <v>8</v>
      </c>
      <c r="I2430">
        <f t="shared" si="37"/>
        <v>1</v>
      </c>
      <c r="J2430" s="75">
        <v>1</v>
      </c>
      <c r="K2430" s="77"/>
      <c r="L2430" s="77"/>
      <c r="M2430" s="77"/>
      <c r="N2430" s="77"/>
      <c r="O2430" s="75">
        <v>1</v>
      </c>
      <c r="P2430" s="75">
        <v>0</v>
      </c>
      <c r="Q2430" s="75">
        <v>0</v>
      </c>
      <c r="R2430" s="75">
        <v>0</v>
      </c>
      <c r="S2430" s="75">
        <v>0</v>
      </c>
      <c r="T2430" s="75">
        <v>0</v>
      </c>
      <c r="U2430" s="75">
        <v>0</v>
      </c>
      <c r="V2430" s="75">
        <v>1</v>
      </c>
      <c r="W2430" s="78">
        <v>0</v>
      </c>
    </row>
    <row r="2431" spans="1:23" s="75" customFormat="1" hidden="1" x14ac:dyDescent="0.35">
      <c r="A2431" s="75">
        <v>2427</v>
      </c>
      <c r="B2431" s="75">
        <v>2428</v>
      </c>
      <c r="C2431">
        <v>146.01336230000001</v>
      </c>
      <c r="D2431">
        <v>-17.493575920000001</v>
      </c>
      <c r="F2431" s="75" t="str">
        <f>HYPERLINK("E:\Data From Lucan\2024\Johnstone\Frames_for_Analysis\2428_20240610_0003_L_3849.jpg","2428_20240610_0003_L_3849.jpg")</f>
        <v>2428_20240610_0003_L_3849.jpg</v>
      </c>
      <c r="G2431" s="75">
        <v>8</v>
      </c>
      <c r="I2431">
        <f t="shared" si="37"/>
        <v>1</v>
      </c>
      <c r="J2431" s="75">
        <v>1</v>
      </c>
      <c r="K2431" s="77"/>
      <c r="L2431" s="77"/>
      <c r="M2431" s="77"/>
      <c r="N2431" s="77"/>
      <c r="O2431" s="75">
        <v>1</v>
      </c>
      <c r="P2431" s="75">
        <v>0</v>
      </c>
      <c r="Q2431" s="75">
        <v>0</v>
      </c>
      <c r="R2431" s="75">
        <v>0</v>
      </c>
      <c r="S2431" s="75">
        <v>0</v>
      </c>
      <c r="T2431" s="75">
        <v>0</v>
      </c>
      <c r="U2431" s="75">
        <v>0</v>
      </c>
      <c r="V2431" s="75">
        <v>1</v>
      </c>
      <c r="W2431" s="78">
        <v>0</v>
      </c>
    </row>
    <row r="2432" spans="1:23" s="75" customFormat="1" hidden="1" x14ac:dyDescent="0.35">
      <c r="A2432" s="75">
        <v>2428</v>
      </c>
      <c r="B2432" s="75">
        <v>2429</v>
      </c>
      <c r="C2432">
        <v>146.01327259999999</v>
      </c>
      <c r="D2432">
        <v>-17.493605039999998</v>
      </c>
      <c r="F2432" s="75" t="str">
        <f>HYPERLINK("E:\Data From Lucan\2024\Johnstone\Frames_for_Analysis\2429_20240610_0003_L_3852.jpg","2429_20240610_0003_L_3852.jpg")</f>
        <v>2429_20240610_0003_L_3852.jpg</v>
      </c>
      <c r="G2432" s="75">
        <v>8</v>
      </c>
      <c r="I2432">
        <f t="shared" si="37"/>
        <v>1</v>
      </c>
      <c r="J2432" s="75">
        <v>1</v>
      </c>
      <c r="K2432" s="77"/>
      <c r="L2432" s="77"/>
      <c r="M2432" s="77"/>
      <c r="N2432" s="77"/>
      <c r="O2432" s="75">
        <v>1</v>
      </c>
      <c r="P2432" s="75">
        <v>0</v>
      </c>
      <c r="Q2432" s="75">
        <v>0</v>
      </c>
      <c r="R2432" s="75">
        <v>0</v>
      </c>
      <c r="S2432" s="75">
        <v>0</v>
      </c>
      <c r="T2432" s="75">
        <v>0</v>
      </c>
      <c r="U2432" s="75">
        <v>0</v>
      </c>
      <c r="V2432" s="75">
        <v>1</v>
      </c>
      <c r="W2432" s="78">
        <v>0</v>
      </c>
    </row>
    <row r="2433" spans="1:23" s="75" customFormat="1" hidden="1" x14ac:dyDescent="0.35">
      <c r="A2433" s="75">
        <v>2429</v>
      </c>
      <c r="B2433" s="75">
        <v>2430</v>
      </c>
      <c r="C2433">
        <v>146.0131829</v>
      </c>
      <c r="D2433">
        <v>-17.493634159999999</v>
      </c>
      <c r="F2433" s="75" t="str">
        <f>HYPERLINK("E:\Data From Lucan\2024\Johnstone\Frames_for_Analysis\2430_20240610_0003_L_3854.jpg","2430_20240610_0003_L_3854.jpg")</f>
        <v>2430_20240610_0003_L_3854.jpg</v>
      </c>
      <c r="G2433" s="75">
        <v>8</v>
      </c>
      <c r="I2433">
        <f t="shared" si="37"/>
        <v>1</v>
      </c>
      <c r="J2433" s="75">
        <v>1</v>
      </c>
      <c r="K2433" s="77"/>
      <c r="L2433" s="77"/>
      <c r="M2433" s="77"/>
      <c r="N2433" s="77"/>
      <c r="O2433" s="75">
        <v>1</v>
      </c>
      <c r="P2433" s="75">
        <v>0</v>
      </c>
      <c r="Q2433" s="75">
        <v>0</v>
      </c>
      <c r="R2433" s="75">
        <v>0</v>
      </c>
      <c r="S2433" s="75">
        <v>0</v>
      </c>
      <c r="T2433" s="75">
        <v>0</v>
      </c>
      <c r="U2433" s="75">
        <v>0</v>
      </c>
      <c r="V2433" s="75">
        <v>0</v>
      </c>
      <c r="W2433" s="78">
        <v>0</v>
      </c>
    </row>
    <row r="2434" spans="1:23" s="75" customFormat="1" hidden="1" x14ac:dyDescent="0.35">
      <c r="A2434" s="75">
        <v>2430</v>
      </c>
      <c r="B2434" s="75">
        <v>2431</v>
      </c>
      <c r="C2434">
        <v>146.01309319999999</v>
      </c>
      <c r="D2434">
        <v>-17.493663290000001</v>
      </c>
      <c r="F2434" s="75" t="str">
        <f>HYPERLINK("E:\Data From Lucan\2024\Johnstone\Frames_for_Analysis\2431_20240610_0003_L_3859.jpg","2431_20240610_0003_L_3859.jpg")</f>
        <v>2431_20240610_0003_L_3859.jpg</v>
      </c>
      <c r="G2434" s="75">
        <v>8</v>
      </c>
      <c r="I2434">
        <f t="shared" si="37"/>
        <v>0</v>
      </c>
      <c r="J2434" s="75">
        <v>0</v>
      </c>
      <c r="K2434" s="77"/>
      <c r="L2434" s="77"/>
      <c r="M2434" s="77"/>
      <c r="N2434" s="77"/>
      <c r="O2434" s="75">
        <v>1</v>
      </c>
      <c r="P2434" s="75">
        <v>0</v>
      </c>
      <c r="Q2434" s="75">
        <v>0</v>
      </c>
      <c r="R2434" s="75">
        <v>0</v>
      </c>
      <c r="S2434" s="75">
        <v>0</v>
      </c>
      <c r="T2434" s="75">
        <v>0</v>
      </c>
      <c r="U2434" s="75">
        <v>0</v>
      </c>
      <c r="V2434" s="75">
        <v>1</v>
      </c>
      <c r="W2434" s="78">
        <v>0</v>
      </c>
    </row>
    <row r="2435" spans="1:23" s="75" customFormat="1" hidden="1" x14ac:dyDescent="0.35">
      <c r="A2435" s="75">
        <v>2431</v>
      </c>
      <c r="B2435" s="75">
        <v>2432</v>
      </c>
      <c r="C2435">
        <v>146.0130035</v>
      </c>
      <c r="D2435">
        <v>-17.493692410000001</v>
      </c>
      <c r="F2435" s="75" t="str">
        <f>HYPERLINK("E:\Data From Lucan\2024\Johnstone\Frames_for_Analysis\2432_20240610_0003_L_3861.jpg","2432_20240610_0003_L_3861.jpg")</f>
        <v>2432_20240610_0003_L_3861.jpg</v>
      </c>
      <c r="G2435" s="75">
        <v>8</v>
      </c>
      <c r="I2435">
        <f t="shared" si="37"/>
        <v>0</v>
      </c>
      <c r="J2435" s="75">
        <v>0</v>
      </c>
      <c r="K2435" s="77"/>
      <c r="L2435" s="77"/>
      <c r="M2435" s="77"/>
      <c r="N2435" s="77"/>
      <c r="O2435" s="75">
        <v>1</v>
      </c>
      <c r="P2435" s="75">
        <v>0</v>
      </c>
      <c r="Q2435" s="75">
        <v>0</v>
      </c>
      <c r="R2435" s="75">
        <v>0</v>
      </c>
      <c r="S2435" s="75">
        <v>0</v>
      </c>
      <c r="T2435" s="75">
        <v>0</v>
      </c>
      <c r="U2435" s="75">
        <v>0</v>
      </c>
      <c r="V2435" s="75">
        <v>1</v>
      </c>
      <c r="W2435" s="78">
        <v>0</v>
      </c>
    </row>
    <row r="2436" spans="1:23" s="75" customFormat="1" hidden="1" x14ac:dyDescent="0.35">
      <c r="A2436" s="75">
        <v>2432</v>
      </c>
      <c r="B2436" s="75">
        <v>2433</v>
      </c>
      <c r="C2436">
        <v>146.01291359999999</v>
      </c>
      <c r="D2436">
        <v>-17.49372104</v>
      </c>
      <c r="F2436" s="75" t="str">
        <f>HYPERLINK("E:\Data From Lucan\2024\Johnstone\Frames_for_Analysis\2433_20240610_0003_L_3865.jpg","2433_20240610_0003_L_3865.jpg")</f>
        <v>2433_20240610_0003_L_3865.jpg</v>
      </c>
      <c r="G2436" s="75">
        <v>8</v>
      </c>
      <c r="I2436">
        <f t="shared" si="37"/>
        <v>0</v>
      </c>
      <c r="J2436" s="75">
        <v>0</v>
      </c>
      <c r="K2436" s="77"/>
      <c r="L2436" s="77"/>
      <c r="M2436" s="77"/>
      <c r="N2436" s="77"/>
      <c r="O2436" s="75">
        <v>1</v>
      </c>
      <c r="P2436" s="75">
        <v>0</v>
      </c>
      <c r="Q2436" s="75">
        <v>0</v>
      </c>
      <c r="R2436" s="75">
        <v>0</v>
      </c>
      <c r="S2436" s="75">
        <v>0</v>
      </c>
      <c r="T2436" s="75">
        <v>0</v>
      </c>
      <c r="U2436" s="75">
        <v>0</v>
      </c>
      <c r="V2436" s="75">
        <v>1</v>
      </c>
      <c r="W2436" s="78">
        <v>0</v>
      </c>
    </row>
    <row r="2437" spans="1:23" s="75" customFormat="1" hidden="1" x14ac:dyDescent="0.35">
      <c r="A2437" s="75">
        <v>2433</v>
      </c>
      <c r="B2437" s="75">
        <v>2434</v>
      </c>
      <c r="C2437">
        <v>146.01282359999999</v>
      </c>
      <c r="D2437">
        <v>-17.49374899</v>
      </c>
      <c r="F2437" s="75" t="str">
        <f>HYPERLINK("E:\Data From Lucan\2024\Johnstone\Frames_for_Analysis\2434_20240610_0003_L_3868.jpg","2434_20240610_0003_L_3868.jpg")</f>
        <v>2434_20240610_0003_L_3868.jpg</v>
      </c>
      <c r="G2437" s="75">
        <v>8</v>
      </c>
      <c r="I2437">
        <f t="shared" ref="I2437:I2500" si="38">IF(H2437="X","X",IF(J2437="NA","X",IF(J2437="","X",J2437)))</f>
        <v>0</v>
      </c>
      <c r="J2437" s="75">
        <v>0</v>
      </c>
      <c r="K2437" s="77"/>
      <c r="L2437" s="77"/>
      <c r="M2437" s="77"/>
      <c r="N2437" s="77"/>
      <c r="O2437" s="75">
        <v>1</v>
      </c>
      <c r="P2437" s="75">
        <v>0</v>
      </c>
      <c r="Q2437" s="75">
        <v>0</v>
      </c>
      <c r="R2437" s="75">
        <v>0</v>
      </c>
      <c r="S2437" s="75">
        <v>0</v>
      </c>
      <c r="T2437" s="75">
        <v>0</v>
      </c>
      <c r="U2437" s="75">
        <v>0</v>
      </c>
      <c r="V2437" s="75">
        <v>0</v>
      </c>
      <c r="W2437" s="78">
        <v>0</v>
      </c>
    </row>
    <row r="2438" spans="1:23" s="75" customFormat="1" hidden="1" x14ac:dyDescent="0.35">
      <c r="A2438" s="75">
        <v>2434</v>
      </c>
      <c r="B2438" s="75">
        <v>2435</v>
      </c>
      <c r="C2438">
        <v>146.0127335</v>
      </c>
      <c r="D2438">
        <v>-17.49377694</v>
      </c>
      <c r="F2438" s="75" t="str">
        <f>HYPERLINK("E:\Data From Lucan\2024\Johnstone\Frames_for_Analysis\2435_20240610_0003_L_3871.jpg","2435_20240610_0003_L_3871.jpg")</f>
        <v>2435_20240610_0003_L_3871.jpg</v>
      </c>
      <c r="G2438" s="75">
        <v>8</v>
      </c>
      <c r="I2438">
        <f t="shared" si="38"/>
        <v>1</v>
      </c>
      <c r="J2438" s="75">
        <v>1</v>
      </c>
      <c r="K2438" s="77"/>
      <c r="L2438" s="77"/>
      <c r="M2438" s="77"/>
      <c r="N2438" s="77"/>
      <c r="O2438" s="75">
        <v>1</v>
      </c>
      <c r="P2438" s="75">
        <v>0</v>
      </c>
      <c r="Q2438" s="75">
        <v>0</v>
      </c>
      <c r="R2438" s="75">
        <v>0</v>
      </c>
      <c r="S2438" s="75">
        <v>0</v>
      </c>
      <c r="T2438" s="75">
        <v>0</v>
      </c>
      <c r="U2438" s="75">
        <v>0</v>
      </c>
      <c r="V2438" s="75">
        <v>0</v>
      </c>
      <c r="W2438" s="78">
        <v>0</v>
      </c>
    </row>
    <row r="2439" spans="1:23" s="75" customFormat="1" hidden="1" x14ac:dyDescent="0.35">
      <c r="A2439" s="75">
        <v>2435</v>
      </c>
      <c r="B2439" s="75">
        <v>2436</v>
      </c>
      <c r="C2439">
        <v>146.0126434</v>
      </c>
      <c r="D2439">
        <v>-17.49380489</v>
      </c>
      <c r="F2439" s="75" t="str">
        <f>HYPERLINK("E:\Data From Lucan\2024\Johnstone\Frames_for_Analysis\2436_20240610_0003_L_3878.jpg","2436_20240610_0003_L_3878.jpg")</f>
        <v>2436_20240610_0003_L_3878.jpg</v>
      </c>
      <c r="G2439" s="75">
        <v>8</v>
      </c>
      <c r="I2439">
        <f t="shared" si="38"/>
        <v>1</v>
      </c>
      <c r="J2439" s="75">
        <v>1</v>
      </c>
      <c r="K2439" s="77"/>
      <c r="L2439" s="77"/>
      <c r="M2439" s="77"/>
      <c r="N2439" s="77"/>
      <c r="O2439" s="75">
        <v>1</v>
      </c>
      <c r="P2439" s="75">
        <v>0</v>
      </c>
      <c r="Q2439" s="75">
        <v>0</v>
      </c>
      <c r="R2439" s="75">
        <v>0</v>
      </c>
      <c r="S2439" s="75">
        <v>0</v>
      </c>
      <c r="T2439" s="75">
        <v>0</v>
      </c>
      <c r="U2439" s="75">
        <v>0</v>
      </c>
      <c r="V2439" s="75">
        <v>0</v>
      </c>
      <c r="W2439" s="78">
        <v>0</v>
      </c>
    </row>
    <row r="2440" spans="1:23" s="75" customFormat="1" hidden="1" x14ac:dyDescent="0.35">
      <c r="A2440" s="75">
        <v>2436</v>
      </c>
      <c r="B2440" s="75">
        <v>2437</v>
      </c>
      <c r="C2440">
        <v>146.0125534</v>
      </c>
      <c r="D2440">
        <v>-17.49383284</v>
      </c>
      <c r="F2440" s="75" t="str">
        <f>HYPERLINK("E:\Data From Lucan\2024\Johnstone\Frames_for_Analysis\2437_20240610_0003_L_3884.jpg","2437_20240610_0003_L_3884.jpg")</f>
        <v>2437_20240610_0003_L_3884.jpg</v>
      </c>
      <c r="G2440" s="75">
        <v>8</v>
      </c>
      <c r="I2440">
        <f t="shared" si="38"/>
        <v>0</v>
      </c>
      <c r="J2440" s="75">
        <v>0</v>
      </c>
      <c r="K2440" s="77"/>
      <c r="L2440" s="77"/>
      <c r="M2440" s="77"/>
      <c r="N2440" s="77"/>
      <c r="O2440" s="75">
        <v>1</v>
      </c>
      <c r="P2440" s="75">
        <v>0</v>
      </c>
      <c r="Q2440" s="75">
        <v>0</v>
      </c>
      <c r="R2440" s="75">
        <v>0</v>
      </c>
      <c r="S2440" s="75">
        <v>0</v>
      </c>
      <c r="T2440" s="75">
        <v>0</v>
      </c>
      <c r="U2440" s="75">
        <v>0</v>
      </c>
      <c r="V2440" s="75">
        <v>0</v>
      </c>
      <c r="W2440" s="78">
        <v>0</v>
      </c>
    </row>
    <row r="2441" spans="1:23" s="75" customFormat="1" hidden="1" x14ac:dyDescent="0.35">
      <c r="A2441" s="75">
        <v>2437</v>
      </c>
      <c r="B2441" s="75">
        <v>2438</v>
      </c>
      <c r="C2441">
        <v>146.01246330000001</v>
      </c>
      <c r="D2441">
        <v>-17.4938608</v>
      </c>
      <c r="F2441" s="75" t="str">
        <f>HYPERLINK("E:\Data From Lucan\2024\Johnstone\Frames_for_Analysis\2438_20240610_0003_L_3896.jpg","2438_20240610_0003_L_3896.jpg")</f>
        <v>2438_20240610_0003_L_3896.jpg</v>
      </c>
      <c r="G2441" s="75">
        <v>8</v>
      </c>
      <c r="I2441">
        <f t="shared" si="38"/>
        <v>1</v>
      </c>
      <c r="J2441" s="75">
        <v>1</v>
      </c>
      <c r="K2441" s="77"/>
      <c r="L2441" s="77"/>
      <c r="M2441" s="77"/>
      <c r="N2441" s="77"/>
      <c r="O2441" s="75">
        <v>1</v>
      </c>
      <c r="P2441" s="75">
        <v>0</v>
      </c>
      <c r="Q2441" s="75">
        <v>0</v>
      </c>
      <c r="R2441" s="75">
        <v>0</v>
      </c>
      <c r="S2441" s="75">
        <v>0</v>
      </c>
      <c r="T2441" s="75">
        <v>0</v>
      </c>
      <c r="U2441" s="75">
        <v>0</v>
      </c>
      <c r="V2441" s="75">
        <v>0</v>
      </c>
      <c r="W2441" s="78">
        <v>0</v>
      </c>
    </row>
    <row r="2442" spans="1:23" s="75" customFormat="1" hidden="1" x14ac:dyDescent="0.35">
      <c r="A2442" s="75">
        <v>2438</v>
      </c>
      <c r="B2442" s="75">
        <v>2439</v>
      </c>
      <c r="C2442">
        <v>146.0123735</v>
      </c>
      <c r="D2442">
        <v>-17.49388935</v>
      </c>
      <c r="F2442" s="75" t="str">
        <f>HYPERLINK("E:\Data From Lucan\2024\Johnstone\Frames_for_Analysis\2439_20240610_0003_L_3898.jpg","2439_20240610_0003_L_3898.jpg")</f>
        <v>2439_20240610_0003_L_3898.jpg</v>
      </c>
      <c r="G2442" s="75">
        <v>8</v>
      </c>
      <c r="I2442">
        <f t="shared" si="38"/>
        <v>1</v>
      </c>
      <c r="J2442" s="75">
        <v>1</v>
      </c>
      <c r="K2442" s="77"/>
      <c r="L2442" s="77"/>
      <c r="M2442" s="77"/>
      <c r="N2442" s="77"/>
      <c r="O2442" s="75">
        <v>1</v>
      </c>
      <c r="P2442" s="75">
        <v>0</v>
      </c>
      <c r="Q2442" s="75">
        <v>0</v>
      </c>
      <c r="R2442" s="75">
        <v>0</v>
      </c>
      <c r="S2442" s="75">
        <v>0</v>
      </c>
      <c r="T2442" s="75">
        <v>0</v>
      </c>
      <c r="U2442" s="75">
        <v>0</v>
      </c>
      <c r="V2442" s="75">
        <v>0</v>
      </c>
      <c r="W2442" s="78">
        <v>0</v>
      </c>
    </row>
    <row r="2443" spans="1:23" s="75" customFormat="1" hidden="1" x14ac:dyDescent="0.35">
      <c r="A2443" s="75">
        <v>2439</v>
      </c>
      <c r="B2443" s="75">
        <v>2440</v>
      </c>
      <c r="C2443">
        <v>146.01228639999999</v>
      </c>
      <c r="D2443">
        <v>-17.493925619999999</v>
      </c>
      <c r="F2443" s="75" t="str">
        <f>HYPERLINK("E:\Data From Lucan\2024\Johnstone\Frames_for_Analysis\2440_20240610_0003_L_3900.jpg","2440_20240610_0003_L_3900.jpg")</f>
        <v>2440_20240610_0003_L_3900.jpg</v>
      </c>
      <c r="G2443" s="75">
        <v>8</v>
      </c>
      <c r="I2443">
        <f t="shared" si="38"/>
        <v>0</v>
      </c>
      <c r="J2443" s="75">
        <v>0</v>
      </c>
      <c r="K2443" s="77"/>
      <c r="L2443" s="77"/>
      <c r="M2443" s="77"/>
      <c r="N2443" s="77"/>
      <c r="O2443" s="75">
        <v>1</v>
      </c>
      <c r="P2443" s="75">
        <v>0</v>
      </c>
      <c r="Q2443" s="75">
        <v>0</v>
      </c>
      <c r="R2443" s="75">
        <v>0</v>
      </c>
      <c r="S2443" s="75">
        <v>0</v>
      </c>
      <c r="T2443" s="75">
        <v>0</v>
      </c>
      <c r="U2443" s="75">
        <v>0</v>
      </c>
      <c r="V2443" s="75">
        <v>0</v>
      </c>
      <c r="W2443" s="78">
        <v>0</v>
      </c>
    </row>
    <row r="2444" spans="1:23" s="75" customFormat="1" hidden="1" x14ac:dyDescent="0.35">
      <c r="A2444" s="75">
        <v>2440</v>
      </c>
      <c r="B2444" s="75">
        <v>2441</v>
      </c>
      <c r="C2444">
        <v>146.01219939999999</v>
      </c>
      <c r="D2444">
        <v>-17.493961890000001</v>
      </c>
      <c r="F2444" s="75" t="str">
        <f>HYPERLINK("E:\Data From Lucan\2024\Johnstone\Frames_for_Analysis\2441_20240610_0003_L_3905.jpg","2441_20240610_0003_L_3905.jpg")</f>
        <v>2441_20240610_0003_L_3905.jpg</v>
      </c>
      <c r="G2444" s="75">
        <v>8</v>
      </c>
      <c r="I2444">
        <f t="shared" si="38"/>
        <v>0</v>
      </c>
      <c r="J2444" s="75">
        <v>0</v>
      </c>
      <c r="K2444" s="77"/>
      <c r="L2444" s="77"/>
      <c r="M2444" s="77"/>
      <c r="N2444" s="77"/>
      <c r="O2444" s="75">
        <v>1</v>
      </c>
      <c r="P2444" s="75">
        <v>0</v>
      </c>
      <c r="Q2444" s="75">
        <v>0</v>
      </c>
      <c r="R2444" s="75">
        <v>0</v>
      </c>
      <c r="S2444" s="75">
        <v>0</v>
      </c>
      <c r="T2444" s="75">
        <v>0</v>
      </c>
      <c r="U2444" s="75">
        <v>0</v>
      </c>
      <c r="V2444" s="75">
        <v>0</v>
      </c>
      <c r="W2444" s="78">
        <v>0</v>
      </c>
    </row>
    <row r="2445" spans="1:23" s="75" customFormat="1" hidden="1" x14ac:dyDescent="0.35">
      <c r="A2445" s="75">
        <v>2441</v>
      </c>
      <c r="B2445" s="75">
        <v>2442</v>
      </c>
      <c r="C2445">
        <v>146.01211230000001</v>
      </c>
      <c r="D2445">
        <v>-17.49399816</v>
      </c>
      <c r="F2445" s="75" t="str">
        <f>HYPERLINK("E:\Data From Lucan\2024\Johnstone\Frames_for_Analysis\2442_20240610_0003_L_3912.jpg","2442_20240610_0003_L_3912.jpg")</f>
        <v>2442_20240610_0003_L_3912.jpg</v>
      </c>
      <c r="G2445" s="75">
        <v>8</v>
      </c>
      <c r="I2445">
        <f t="shared" si="38"/>
        <v>1</v>
      </c>
      <c r="J2445" s="75">
        <v>1</v>
      </c>
      <c r="K2445" s="77"/>
      <c r="L2445" s="77"/>
      <c r="M2445" s="77"/>
      <c r="N2445" s="77"/>
      <c r="O2445" s="75">
        <v>1</v>
      </c>
      <c r="P2445" s="75">
        <v>0</v>
      </c>
      <c r="Q2445" s="75">
        <v>0</v>
      </c>
      <c r="R2445" s="75">
        <v>0</v>
      </c>
      <c r="S2445" s="75">
        <v>0</v>
      </c>
      <c r="T2445" s="75">
        <v>0</v>
      </c>
      <c r="U2445" s="75">
        <v>0</v>
      </c>
      <c r="V2445" s="75">
        <v>0</v>
      </c>
      <c r="W2445" s="78">
        <v>0</v>
      </c>
    </row>
    <row r="2446" spans="1:23" s="75" customFormat="1" hidden="1" x14ac:dyDescent="0.35">
      <c r="A2446" s="75">
        <v>2442</v>
      </c>
      <c r="B2446" s="75">
        <v>2443</v>
      </c>
      <c r="C2446">
        <v>146.0120253</v>
      </c>
      <c r="D2446">
        <v>-17.494034429999999</v>
      </c>
      <c r="F2446" s="75" t="str">
        <f>HYPERLINK("E:\Data From Lucan\2024\Johnstone\Frames_for_Analysis\2443_20240610_0003_L_3916.jpg","2443_20240610_0003_L_3916.jpg")</f>
        <v>2443_20240610_0003_L_3916.jpg</v>
      </c>
      <c r="G2446" s="75">
        <v>8</v>
      </c>
      <c r="I2446">
        <f t="shared" si="38"/>
        <v>0</v>
      </c>
      <c r="J2446" s="75">
        <v>0</v>
      </c>
      <c r="K2446" s="77"/>
      <c r="L2446" s="77"/>
      <c r="M2446" s="77"/>
      <c r="N2446" s="77"/>
      <c r="O2446" s="75">
        <v>1</v>
      </c>
      <c r="P2446" s="75">
        <v>0</v>
      </c>
      <c r="Q2446" s="75">
        <v>0</v>
      </c>
      <c r="R2446" s="75">
        <v>0</v>
      </c>
      <c r="S2446" s="75">
        <v>0</v>
      </c>
      <c r="T2446" s="75">
        <v>0</v>
      </c>
      <c r="U2446" s="75">
        <v>0</v>
      </c>
      <c r="V2446" s="75">
        <v>1</v>
      </c>
      <c r="W2446" s="78">
        <v>0</v>
      </c>
    </row>
    <row r="2447" spans="1:23" s="75" customFormat="1" hidden="1" x14ac:dyDescent="0.35">
      <c r="A2447" s="75">
        <v>2443</v>
      </c>
      <c r="B2447" s="75">
        <v>2444</v>
      </c>
      <c r="C2447">
        <v>146.0119382</v>
      </c>
      <c r="D2447">
        <v>-17.494070700000002</v>
      </c>
      <c r="F2447" s="75" t="str">
        <f>HYPERLINK("E:\Data From Lucan\2024\Johnstone\Frames_for_Analysis\2444_20240610_0003_L_3918.jpg","2444_20240610_0003_L_3918.jpg")</f>
        <v>2444_20240610_0003_L_3918.jpg</v>
      </c>
      <c r="G2447" s="75">
        <v>8</v>
      </c>
      <c r="I2447">
        <f t="shared" si="38"/>
        <v>0</v>
      </c>
      <c r="J2447" s="75">
        <v>0</v>
      </c>
      <c r="K2447" s="77"/>
      <c r="L2447" s="77"/>
      <c r="M2447" s="77"/>
      <c r="N2447" s="77"/>
      <c r="O2447" s="75">
        <v>1</v>
      </c>
      <c r="P2447" s="75">
        <v>0</v>
      </c>
      <c r="Q2447" s="75">
        <v>0</v>
      </c>
      <c r="R2447" s="75">
        <v>0</v>
      </c>
      <c r="S2447" s="75">
        <v>0</v>
      </c>
      <c r="T2447" s="75">
        <v>0</v>
      </c>
      <c r="U2447" s="75">
        <v>0</v>
      </c>
      <c r="V2447" s="75">
        <v>1</v>
      </c>
      <c r="W2447" s="78">
        <v>0</v>
      </c>
    </row>
    <row r="2448" spans="1:23" s="75" customFormat="1" hidden="1" x14ac:dyDescent="0.35">
      <c r="A2448" s="75">
        <v>2444</v>
      </c>
      <c r="B2448" s="75">
        <v>2445</v>
      </c>
      <c r="C2448">
        <v>146.01184989999999</v>
      </c>
      <c r="D2448">
        <v>-17.49410374</v>
      </c>
      <c r="F2448" s="75" t="str">
        <f>HYPERLINK("E:\Data From Lucan\2024\Johnstone\Frames_for_Analysis\2445_20240610_0003_L_3924.jpg","2445_20240610_0003_L_3924.jpg")</f>
        <v>2445_20240610_0003_L_3924.jpg</v>
      </c>
      <c r="G2448" s="75">
        <v>8</v>
      </c>
      <c r="I2448">
        <f t="shared" si="38"/>
        <v>1</v>
      </c>
      <c r="J2448" s="75">
        <v>1</v>
      </c>
      <c r="K2448" s="77"/>
      <c r="L2448" s="77"/>
      <c r="M2448" s="77"/>
      <c r="N2448" s="77"/>
      <c r="O2448" s="75">
        <v>1</v>
      </c>
      <c r="P2448" s="75">
        <v>0</v>
      </c>
      <c r="Q2448" s="75">
        <v>0</v>
      </c>
      <c r="R2448" s="75">
        <v>0</v>
      </c>
      <c r="S2448" s="75">
        <v>0</v>
      </c>
      <c r="T2448" s="75">
        <v>0</v>
      </c>
      <c r="U2448" s="75">
        <v>0</v>
      </c>
      <c r="V2448" s="75">
        <v>1</v>
      </c>
      <c r="W2448" s="78">
        <v>0</v>
      </c>
    </row>
    <row r="2449" spans="1:23" s="75" customFormat="1" hidden="1" x14ac:dyDescent="0.35">
      <c r="A2449" s="75">
        <v>2445</v>
      </c>
      <c r="B2449" s="75">
        <v>2446</v>
      </c>
      <c r="C2449">
        <v>146.01176090000001</v>
      </c>
      <c r="D2449">
        <v>-17.494134939999999</v>
      </c>
      <c r="F2449" s="75" t="str">
        <f>HYPERLINK("E:\Data From Lucan\2024\Johnstone\Frames_for_Analysis\2446_20240610_0003_L_3927.jpg","2446_20240610_0003_L_3927.jpg")</f>
        <v>2446_20240610_0003_L_3927.jpg</v>
      </c>
      <c r="G2449" s="75">
        <v>8</v>
      </c>
      <c r="I2449">
        <f t="shared" si="38"/>
        <v>0</v>
      </c>
      <c r="J2449" s="75">
        <v>0</v>
      </c>
      <c r="K2449" s="77"/>
      <c r="L2449" s="77"/>
      <c r="M2449" s="77"/>
      <c r="N2449" s="77"/>
      <c r="O2449" s="75">
        <v>1</v>
      </c>
      <c r="P2449" s="75">
        <v>0</v>
      </c>
      <c r="Q2449" s="75">
        <v>0</v>
      </c>
      <c r="R2449" s="75">
        <v>0</v>
      </c>
      <c r="S2449" s="75">
        <v>0</v>
      </c>
      <c r="T2449" s="75">
        <v>0</v>
      </c>
      <c r="U2449" s="75">
        <v>0</v>
      </c>
      <c r="V2449" s="75">
        <v>1</v>
      </c>
      <c r="W2449" s="78">
        <v>0</v>
      </c>
    </row>
    <row r="2450" spans="1:23" s="75" customFormat="1" hidden="1" x14ac:dyDescent="0.35">
      <c r="A2450" s="75">
        <v>2446</v>
      </c>
      <c r="B2450" s="75">
        <v>2447</v>
      </c>
      <c r="C2450">
        <v>146.01167190000001</v>
      </c>
      <c r="D2450">
        <v>-17.494166150000002</v>
      </c>
      <c r="F2450" s="75" t="str">
        <f>HYPERLINK("E:\Data From Lucan\2024\Johnstone\Frames_for_Analysis\2447_20240610_0003_L_3931.jpg","2447_20240610_0003_L_3931.jpg")</f>
        <v>2447_20240610_0003_L_3931.jpg</v>
      </c>
      <c r="G2450" s="75">
        <v>8</v>
      </c>
      <c r="I2450">
        <f t="shared" si="38"/>
        <v>0</v>
      </c>
      <c r="J2450" s="75">
        <v>0</v>
      </c>
      <c r="K2450" s="77"/>
      <c r="L2450" s="77"/>
      <c r="M2450" s="77"/>
      <c r="N2450" s="77"/>
      <c r="O2450" s="75">
        <v>1</v>
      </c>
      <c r="P2450" s="75">
        <v>0</v>
      </c>
      <c r="Q2450" s="75">
        <v>0</v>
      </c>
      <c r="R2450" s="75">
        <v>0</v>
      </c>
      <c r="S2450" s="75">
        <v>0</v>
      </c>
      <c r="T2450" s="75">
        <v>0</v>
      </c>
      <c r="U2450" s="75">
        <v>0</v>
      </c>
      <c r="V2450" s="75">
        <v>0</v>
      </c>
      <c r="W2450" s="78">
        <v>0</v>
      </c>
    </row>
    <row r="2451" spans="1:23" s="75" customFormat="1" hidden="1" x14ac:dyDescent="0.35">
      <c r="A2451" s="75">
        <v>2447</v>
      </c>
      <c r="B2451" s="75">
        <v>2448</v>
      </c>
      <c r="C2451">
        <v>146.01158290000001</v>
      </c>
      <c r="D2451">
        <v>-17.49419735</v>
      </c>
      <c r="F2451" s="75" t="str">
        <f>HYPERLINK("E:\Data From Lucan\2024\Johnstone\Frames_for_Analysis\2448_20240610_0003_L_3935.jpg","2448_20240610_0003_L_3935.jpg")</f>
        <v>2448_20240610_0003_L_3935.jpg</v>
      </c>
      <c r="G2451" s="75">
        <v>8</v>
      </c>
      <c r="I2451">
        <f t="shared" si="38"/>
        <v>0</v>
      </c>
      <c r="J2451" s="75">
        <v>0</v>
      </c>
      <c r="K2451" s="77"/>
      <c r="L2451" s="77"/>
      <c r="M2451" s="77"/>
      <c r="N2451" s="77"/>
      <c r="O2451" s="75">
        <v>1</v>
      </c>
      <c r="P2451" s="75">
        <v>0</v>
      </c>
      <c r="Q2451" s="75">
        <v>0</v>
      </c>
      <c r="R2451" s="75">
        <v>0</v>
      </c>
      <c r="S2451" s="75">
        <v>0</v>
      </c>
      <c r="T2451" s="75">
        <v>0</v>
      </c>
      <c r="U2451" s="75">
        <v>0</v>
      </c>
      <c r="V2451" s="75">
        <v>0</v>
      </c>
      <c r="W2451" s="78">
        <v>0</v>
      </c>
    </row>
    <row r="2452" spans="1:23" s="75" customFormat="1" hidden="1" x14ac:dyDescent="0.35">
      <c r="A2452" s="75">
        <v>2448</v>
      </c>
      <c r="B2452" s="75">
        <v>2449</v>
      </c>
      <c r="C2452">
        <v>146.011494</v>
      </c>
      <c r="D2452">
        <v>-17.49422856</v>
      </c>
      <c r="F2452" s="75" t="str">
        <f>HYPERLINK("E:\Data From Lucan\2024\Johnstone\Frames_for_Analysis\2449_20240610_0003_L_3939.jpg","2449_20240610_0003_L_3939.jpg")</f>
        <v>2449_20240610_0003_L_3939.jpg</v>
      </c>
      <c r="G2452" s="75">
        <v>8</v>
      </c>
      <c r="I2452">
        <f t="shared" si="38"/>
        <v>0</v>
      </c>
      <c r="J2452" s="75">
        <v>0</v>
      </c>
      <c r="K2452" s="77"/>
      <c r="L2452" s="77"/>
      <c r="M2452" s="77"/>
      <c r="N2452" s="77"/>
      <c r="O2452" s="75">
        <v>1</v>
      </c>
      <c r="P2452" s="75">
        <v>0</v>
      </c>
      <c r="Q2452" s="75">
        <v>0</v>
      </c>
      <c r="R2452" s="75">
        <v>0</v>
      </c>
      <c r="S2452" s="75">
        <v>0</v>
      </c>
      <c r="T2452" s="75">
        <v>0</v>
      </c>
      <c r="U2452" s="75">
        <v>0</v>
      </c>
      <c r="V2452" s="75">
        <v>0</v>
      </c>
      <c r="W2452" s="78">
        <v>0</v>
      </c>
    </row>
    <row r="2453" spans="1:23" s="75" customFormat="1" hidden="1" x14ac:dyDescent="0.35">
      <c r="A2453" s="75">
        <v>2449</v>
      </c>
      <c r="B2453" s="75">
        <v>2450</v>
      </c>
      <c r="C2453">
        <v>146.011405</v>
      </c>
      <c r="D2453">
        <v>-17.494259759999998</v>
      </c>
      <c r="F2453" s="75" t="str">
        <f>HYPERLINK("E:\Data From Lucan\2024\Johnstone\Frames_for_Analysis\2450_20240610_0003_L_3942.jpg","2450_20240610_0003_L_3942.jpg")</f>
        <v>2450_20240610_0003_L_3942.jpg</v>
      </c>
      <c r="G2453" s="75">
        <v>8</v>
      </c>
      <c r="I2453">
        <f t="shared" si="38"/>
        <v>0</v>
      </c>
      <c r="J2453" s="75">
        <v>0</v>
      </c>
      <c r="K2453" s="77"/>
      <c r="L2453" s="77"/>
      <c r="M2453" s="77"/>
      <c r="N2453" s="77"/>
      <c r="O2453" s="75">
        <v>1</v>
      </c>
      <c r="P2453" s="75">
        <v>0</v>
      </c>
      <c r="Q2453" s="75">
        <v>0</v>
      </c>
      <c r="R2453" s="75">
        <v>0</v>
      </c>
      <c r="S2453" s="75">
        <v>0</v>
      </c>
      <c r="T2453" s="75">
        <v>0</v>
      </c>
      <c r="U2453" s="75">
        <v>0</v>
      </c>
      <c r="V2453" s="75">
        <v>0</v>
      </c>
      <c r="W2453" s="78">
        <v>0</v>
      </c>
    </row>
    <row r="2454" spans="1:23" s="75" customFormat="1" hidden="1" x14ac:dyDescent="0.35">
      <c r="A2454" s="75">
        <v>2450</v>
      </c>
      <c r="B2454" s="75">
        <v>2451</v>
      </c>
      <c r="C2454">
        <v>146.01131599999999</v>
      </c>
      <c r="D2454">
        <v>-17.494290960000001</v>
      </c>
      <c r="F2454" s="75" t="str">
        <f>HYPERLINK("E:\Data From Lucan\2024\Johnstone\Frames_for_Analysis\2451_20240610_0003_L_3946.jpg","2451_20240610_0003_L_3946.jpg")</f>
        <v>2451_20240610_0003_L_3946.jpg</v>
      </c>
      <c r="G2454" s="75">
        <v>8</v>
      </c>
      <c r="I2454">
        <f t="shared" si="38"/>
        <v>0</v>
      </c>
      <c r="J2454" s="75">
        <v>0</v>
      </c>
      <c r="K2454" s="77"/>
      <c r="L2454" s="77"/>
      <c r="M2454" s="77"/>
      <c r="N2454" s="77"/>
      <c r="O2454" s="75">
        <v>1</v>
      </c>
      <c r="P2454" s="75">
        <v>0</v>
      </c>
      <c r="Q2454" s="75">
        <v>0</v>
      </c>
      <c r="R2454" s="75">
        <v>0</v>
      </c>
      <c r="S2454" s="75">
        <v>0</v>
      </c>
      <c r="T2454" s="75">
        <v>0</v>
      </c>
      <c r="U2454" s="75">
        <v>0</v>
      </c>
      <c r="V2454" s="75">
        <v>0</v>
      </c>
      <c r="W2454" s="78">
        <v>0</v>
      </c>
    </row>
    <row r="2455" spans="1:23" s="75" customFormat="1" hidden="1" x14ac:dyDescent="0.35">
      <c r="A2455" s="75">
        <v>2451</v>
      </c>
      <c r="B2455" s="75">
        <v>2452</v>
      </c>
      <c r="C2455">
        <v>146.01122699999999</v>
      </c>
      <c r="D2455">
        <v>-17.49432217</v>
      </c>
      <c r="F2455" s="75" t="str">
        <f>HYPERLINK("E:\Data From Lucan\2024\Johnstone\Frames_for_Analysis\2452_20240610_0003_L_3949.jpg","2452_20240610_0003_L_3949.jpg")</f>
        <v>2452_20240610_0003_L_3949.jpg</v>
      </c>
      <c r="G2455" s="75">
        <v>8</v>
      </c>
      <c r="I2455">
        <f t="shared" si="38"/>
        <v>0</v>
      </c>
      <c r="J2455" s="75">
        <v>0</v>
      </c>
      <c r="K2455" s="77"/>
      <c r="L2455" s="77"/>
      <c r="M2455" s="77"/>
      <c r="N2455" s="77"/>
      <c r="O2455" s="75">
        <v>1</v>
      </c>
      <c r="P2455" s="75">
        <v>0</v>
      </c>
      <c r="Q2455" s="75">
        <v>0</v>
      </c>
      <c r="R2455" s="75">
        <v>0</v>
      </c>
      <c r="S2455" s="75">
        <v>0</v>
      </c>
      <c r="T2455" s="75">
        <v>0</v>
      </c>
      <c r="U2455" s="75">
        <v>0</v>
      </c>
      <c r="V2455" s="75">
        <v>0</v>
      </c>
      <c r="W2455" s="78">
        <v>0</v>
      </c>
    </row>
    <row r="2456" spans="1:23" s="75" customFormat="1" hidden="1" x14ac:dyDescent="0.35">
      <c r="A2456" s="75">
        <v>2452</v>
      </c>
      <c r="B2456" s="75">
        <v>2453</v>
      </c>
      <c r="C2456">
        <v>146.01113760000001</v>
      </c>
      <c r="D2456">
        <v>-17.494352079999999</v>
      </c>
      <c r="F2456" s="75" t="str">
        <f>HYPERLINK("E:\Data From Lucan\2024\Johnstone\Frames_for_Analysis\2453_20240610_0003_L_3953.jpg","2453_20240610_0003_L_3953.jpg")</f>
        <v>2453_20240610_0003_L_3953.jpg</v>
      </c>
      <c r="G2456" s="75">
        <v>8</v>
      </c>
      <c r="I2456">
        <f t="shared" si="38"/>
        <v>0</v>
      </c>
      <c r="J2456" s="75">
        <v>0</v>
      </c>
      <c r="K2456" s="77"/>
      <c r="L2456" s="77"/>
      <c r="M2456" s="77"/>
      <c r="N2456" s="77"/>
      <c r="O2456" s="75">
        <v>1</v>
      </c>
      <c r="P2456" s="75">
        <v>0</v>
      </c>
      <c r="Q2456" s="75">
        <v>0</v>
      </c>
      <c r="R2456" s="75">
        <v>0</v>
      </c>
      <c r="S2456" s="75">
        <v>0</v>
      </c>
      <c r="T2456" s="75">
        <v>0</v>
      </c>
      <c r="U2456" s="75">
        <v>0</v>
      </c>
      <c r="V2456" s="75">
        <v>0</v>
      </c>
      <c r="W2456" s="78">
        <v>0</v>
      </c>
    </row>
    <row r="2457" spans="1:23" s="75" customFormat="1" hidden="1" x14ac:dyDescent="0.35">
      <c r="A2457" s="75">
        <v>2453</v>
      </c>
      <c r="B2457" s="75">
        <v>2454</v>
      </c>
      <c r="C2457">
        <v>146.0110454</v>
      </c>
      <c r="D2457">
        <v>-17.494371839999999</v>
      </c>
      <c r="F2457" s="75" t="str">
        <f>HYPERLINK("E:\Data From Lucan\2024\Johnstone\Frames_for_Analysis\2454_20240610_0003_L_3956.jpg","2454_20240610_0003_L_3956.jpg")</f>
        <v>2454_20240610_0003_L_3956.jpg</v>
      </c>
      <c r="G2457" s="75">
        <v>8</v>
      </c>
      <c r="I2457">
        <f t="shared" si="38"/>
        <v>0</v>
      </c>
      <c r="J2457" s="75">
        <v>0</v>
      </c>
      <c r="K2457" s="77"/>
      <c r="L2457" s="77"/>
      <c r="M2457" s="77"/>
      <c r="N2457" s="77"/>
      <c r="O2457" s="75">
        <v>1</v>
      </c>
      <c r="P2457" s="75">
        <v>0</v>
      </c>
      <c r="Q2457" s="75">
        <v>0</v>
      </c>
      <c r="R2457" s="75">
        <v>0</v>
      </c>
      <c r="S2457" s="75">
        <v>0</v>
      </c>
      <c r="T2457" s="75">
        <v>0</v>
      </c>
      <c r="U2457" s="75">
        <v>0</v>
      </c>
      <c r="V2457" s="75">
        <v>1</v>
      </c>
      <c r="W2457" s="78">
        <v>0</v>
      </c>
    </row>
    <row r="2458" spans="1:23" s="75" customFormat="1" hidden="1" x14ac:dyDescent="0.35">
      <c r="A2458" s="75">
        <v>2454</v>
      </c>
      <c r="B2458" s="75">
        <v>2455</v>
      </c>
      <c r="C2458">
        <v>146.01095319999999</v>
      </c>
      <c r="D2458">
        <v>-17.4943916</v>
      </c>
      <c r="F2458" s="75" t="str">
        <f>HYPERLINK("E:\Data From Lucan\2024\Johnstone\Frames_for_Analysis\2455_20240610_0003_L_3959.jpg","2455_20240610_0003_L_3959.jpg")</f>
        <v>2455_20240610_0003_L_3959.jpg</v>
      </c>
      <c r="G2458" s="75">
        <v>8</v>
      </c>
      <c r="I2458">
        <f t="shared" si="38"/>
        <v>0</v>
      </c>
      <c r="J2458" s="75">
        <v>0</v>
      </c>
      <c r="K2458" s="77"/>
      <c r="L2458" s="77"/>
      <c r="M2458" s="77"/>
      <c r="N2458" s="77"/>
      <c r="O2458" s="75">
        <v>1</v>
      </c>
      <c r="P2458" s="75">
        <v>0</v>
      </c>
      <c r="Q2458" s="75">
        <v>0</v>
      </c>
      <c r="R2458" s="75">
        <v>0</v>
      </c>
      <c r="S2458" s="75">
        <v>0</v>
      </c>
      <c r="T2458" s="75">
        <v>0</v>
      </c>
      <c r="U2458" s="75">
        <v>0</v>
      </c>
      <c r="V2458" s="75">
        <v>1</v>
      </c>
      <c r="W2458" s="78">
        <v>0</v>
      </c>
    </row>
    <row r="2459" spans="1:23" s="75" customFormat="1" hidden="1" x14ac:dyDescent="0.35">
      <c r="A2459" s="75">
        <v>2455</v>
      </c>
      <c r="B2459" s="75">
        <v>2456</v>
      </c>
      <c r="C2459">
        <v>146.01086100000001</v>
      </c>
      <c r="D2459">
        <v>-17.494411360000001</v>
      </c>
      <c r="F2459" s="75" t="str">
        <f>HYPERLINK("E:\Data From Lucan\2024\Johnstone\Frames_for_Analysis\2456_20240610_0003_L_3963.jpg","2456_20240610_0003_L_3963.jpg")</f>
        <v>2456_20240610_0003_L_3963.jpg</v>
      </c>
      <c r="G2459" s="75">
        <v>8</v>
      </c>
      <c r="I2459">
        <f t="shared" si="38"/>
        <v>0</v>
      </c>
      <c r="J2459" s="75">
        <v>0</v>
      </c>
      <c r="K2459" s="77"/>
      <c r="L2459" s="77"/>
      <c r="M2459" s="77"/>
      <c r="N2459" s="77"/>
      <c r="O2459" s="75">
        <v>1</v>
      </c>
      <c r="P2459" s="75">
        <v>0</v>
      </c>
      <c r="Q2459" s="75">
        <v>0</v>
      </c>
      <c r="R2459" s="75">
        <v>0</v>
      </c>
      <c r="S2459" s="75">
        <v>0</v>
      </c>
      <c r="T2459" s="75">
        <v>0</v>
      </c>
      <c r="U2459" s="75">
        <v>0</v>
      </c>
      <c r="V2459" s="75">
        <v>1</v>
      </c>
      <c r="W2459" s="78">
        <v>0</v>
      </c>
    </row>
    <row r="2460" spans="1:23" s="75" customFormat="1" hidden="1" x14ac:dyDescent="0.35">
      <c r="A2460" s="75">
        <v>2456</v>
      </c>
      <c r="B2460" s="75">
        <v>2457</v>
      </c>
      <c r="C2460">
        <v>146.01076879999999</v>
      </c>
      <c r="D2460">
        <v>-17.494431120000002</v>
      </c>
      <c r="F2460" s="75" t="str">
        <f>HYPERLINK("E:\Data From Lucan\2024\Johnstone\Frames_for_Analysis\2457_20240610_0003_L_3967.jpg","2457_20240610_0003_L_3967.jpg")</f>
        <v>2457_20240610_0003_L_3967.jpg</v>
      </c>
      <c r="G2460" s="75">
        <v>8</v>
      </c>
      <c r="I2460">
        <f t="shared" si="38"/>
        <v>0</v>
      </c>
      <c r="J2460" s="75">
        <v>0</v>
      </c>
      <c r="K2460" s="77"/>
      <c r="L2460" s="77"/>
      <c r="M2460" s="77"/>
      <c r="N2460" s="77"/>
      <c r="O2460" s="75">
        <v>1</v>
      </c>
      <c r="P2460" s="75">
        <v>0</v>
      </c>
      <c r="Q2460" s="75">
        <v>0</v>
      </c>
      <c r="R2460" s="75">
        <v>0</v>
      </c>
      <c r="S2460" s="75">
        <v>0</v>
      </c>
      <c r="T2460" s="75">
        <v>0</v>
      </c>
      <c r="U2460" s="75">
        <v>0</v>
      </c>
      <c r="V2460" s="75">
        <v>1</v>
      </c>
      <c r="W2460" s="78">
        <v>0</v>
      </c>
    </row>
    <row r="2461" spans="1:23" s="75" customFormat="1" hidden="1" x14ac:dyDescent="0.35">
      <c r="A2461" s="75">
        <v>2457</v>
      </c>
      <c r="B2461" s="75">
        <v>2458</v>
      </c>
      <c r="C2461">
        <v>146.01067660000001</v>
      </c>
      <c r="D2461">
        <v>-17.494450879999999</v>
      </c>
      <c r="F2461" s="75" t="str">
        <f>HYPERLINK("E:\Data From Lucan\2024\Johnstone\Frames_for_Analysis\2458_20240610_0003_L_3971.jpg","2458_20240610_0003_L_3971.jpg")</f>
        <v>2458_20240610_0003_L_3971.jpg</v>
      </c>
      <c r="G2461" s="75">
        <v>8</v>
      </c>
      <c r="I2461">
        <f t="shared" si="38"/>
        <v>0</v>
      </c>
      <c r="J2461" s="75">
        <v>0</v>
      </c>
      <c r="K2461" s="77"/>
      <c r="L2461" s="77"/>
      <c r="M2461" s="77"/>
      <c r="N2461" s="77"/>
      <c r="O2461" s="75">
        <v>1</v>
      </c>
      <c r="P2461" s="75">
        <v>0</v>
      </c>
      <c r="Q2461" s="75">
        <v>0</v>
      </c>
      <c r="R2461" s="75">
        <v>0</v>
      </c>
      <c r="S2461" s="75">
        <v>0</v>
      </c>
      <c r="T2461" s="75">
        <v>0</v>
      </c>
      <c r="U2461" s="75">
        <v>0</v>
      </c>
      <c r="V2461" s="75">
        <v>1</v>
      </c>
      <c r="W2461" s="78">
        <v>0</v>
      </c>
    </row>
    <row r="2462" spans="1:23" s="75" customFormat="1" hidden="1" x14ac:dyDescent="0.35">
      <c r="A2462" s="75">
        <v>2458</v>
      </c>
      <c r="B2462" s="75">
        <v>2459</v>
      </c>
      <c r="C2462">
        <v>146.0105844</v>
      </c>
      <c r="D2462">
        <v>-17.494470639999999</v>
      </c>
      <c r="F2462" s="75" t="str">
        <f>HYPERLINK("E:\Data From Lucan\2024\Johnstone\Frames_for_Analysis\2459_20240610_0003_L_3974.jpg","2459_20240610_0003_L_3974.jpg")</f>
        <v>2459_20240610_0003_L_3974.jpg</v>
      </c>
      <c r="G2462" s="75">
        <v>8</v>
      </c>
      <c r="I2462">
        <f t="shared" si="38"/>
        <v>0</v>
      </c>
      <c r="J2462" s="75">
        <v>0</v>
      </c>
      <c r="K2462" s="77"/>
      <c r="L2462" s="77"/>
      <c r="M2462" s="77"/>
      <c r="N2462" s="77"/>
      <c r="O2462" s="75">
        <v>1</v>
      </c>
      <c r="P2462" s="75">
        <v>0</v>
      </c>
      <c r="Q2462" s="75">
        <v>0</v>
      </c>
      <c r="R2462" s="75">
        <v>0</v>
      </c>
      <c r="S2462" s="75">
        <v>0</v>
      </c>
      <c r="T2462" s="75">
        <v>0</v>
      </c>
      <c r="U2462" s="75">
        <v>0</v>
      </c>
      <c r="V2462" s="75">
        <v>1</v>
      </c>
      <c r="W2462" s="78">
        <v>0</v>
      </c>
    </row>
    <row r="2463" spans="1:23" s="75" customFormat="1" hidden="1" x14ac:dyDescent="0.35">
      <c r="A2463" s="75">
        <v>2459</v>
      </c>
      <c r="B2463" s="75">
        <v>2460</v>
      </c>
      <c r="C2463">
        <v>146.01049219999999</v>
      </c>
      <c r="D2463">
        <v>-17.4944904</v>
      </c>
      <c r="F2463" s="75" t="str">
        <f>HYPERLINK("E:\Data From Lucan\2024\Johnstone\Frames_for_Analysis\2460_20240610_0003_L_3977.jpg","2460_20240610_0003_L_3977.jpg")</f>
        <v>2460_20240610_0003_L_3977.jpg</v>
      </c>
      <c r="G2463" s="75">
        <v>8</v>
      </c>
      <c r="I2463">
        <f t="shared" si="38"/>
        <v>0</v>
      </c>
      <c r="J2463" s="75">
        <v>0</v>
      </c>
      <c r="K2463" s="77"/>
      <c r="L2463" s="77"/>
      <c r="M2463" s="77"/>
      <c r="N2463" s="77"/>
      <c r="O2463" s="75">
        <v>1</v>
      </c>
      <c r="P2463" s="75">
        <v>0</v>
      </c>
      <c r="Q2463" s="75">
        <v>0</v>
      </c>
      <c r="R2463" s="75">
        <v>0</v>
      </c>
      <c r="S2463" s="75">
        <v>0</v>
      </c>
      <c r="T2463" s="75">
        <v>0</v>
      </c>
      <c r="U2463" s="75">
        <v>0</v>
      </c>
      <c r="V2463" s="75">
        <v>1</v>
      </c>
      <c r="W2463" s="78">
        <v>0</v>
      </c>
    </row>
    <row r="2464" spans="1:23" s="75" customFormat="1" hidden="1" x14ac:dyDescent="0.35">
      <c r="A2464" s="75">
        <v>2460</v>
      </c>
      <c r="B2464" s="75">
        <v>2461</v>
      </c>
      <c r="C2464">
        <v>146.01040380000001</v>
      </c>
      <c r="D2464">
        <v>-17.494473410000001</v>
      </c>
      <c r="F2464" s="75" t="str">
        <f>HYPERLINK("E:\Data From Lucan\2024\Johnstone\Frames_for_Analysis\2461_20240610_0003_L_3980.jpg","2461_20240610_0003_L_3980.jpg")</f>
        <v>2461_20240610_0003_L_3980.jpg</v>
      </c>
      <c r="G2464" s="75">
        <v>8</v>
      </c>
      <c r="I2464">
        <f t="shared" si="38"/>
        <v>0</v>
      </c>
      <c r="J2464" s="75">
        <v>0</v>
      </c>
      <c r="K2464" s="77"/>
      <c r="L2464" s="77"/>
      <c r="M2464" s="77"/>
      <c r="N2464" s="77"/>
      <c r="O2464" s="75">
        <v>1</v>
      </c>
      <c r="P2464" s="75">
        <v>0</v>
      </c>
      <c r="Q2464" s="75">
        <v>0</v>
      </c>
      <c r="R2464" s="75">
        <v>0</v>
      </c>
      <c r="S2464" s="75">
        <v>0</v>
      </c>
      <c r="T2464" s="75">
        <v>0</v>
      </c>
      <c r="U2464" s="75">
        <v>0</v>
      </c>
      <c r="V2464" s="75">
        <v>1</v>
      </c>
      <c r="W2464" s="78">
        <v>0</v>
      </c>
    </row>
    <row r="2465" spans="1:23" s="75" customFormat="1" hidden="1" x14ac:dyDescent="0.35">
      <c r="A2465" s="75">
        <v>2461</v>
      </c>
      <c r="B2465" s="75">
        <v>2462</v>
      </c>
      <c r="C2465">
        <v>146.0103244</v>
      </c>
      <c r="D2465">
        <v>-17.494492820000001</v>
      </c>
      <c r="F2465" s="75" t="str">
        <f>HYPERLINK("E:\Data From Lucan\2024\Johnstone\Frames_for_Analysis\2462_20240610_0003_L_3983.jpg","2462_20240610_0003_L_3983.jpg")</f>
        <v>2462_20240610_0003_L_3983.jpg</v>
      </c>
      <c r="G2465" s="75">
        <v>8</v>
      </c>
      <c r="I2465">
        <f t="shared" si="38"/>
        <v>0</v>
      </c>
      <c r="J2465" s="75">
        <v>0</v>
      </c>
      <c r="K2465" s="77"/>
      <c r="L2465" s="77"/>
      <c r="M2465" s="77"/>
      <c r="N2465" s="77"/>
      <c r="O2465" s="75">
        <v>1</v>
      </c>
      <c r="P2465" s="75">
        <v>0</v>
      </c>
      <c r="Q2465" s="75">
        <v>0</v>
      </c>
      <c r="R2465" s="75">
        <v>0</v>
      </c>
      <c r="S2465" s="75">
        <v>0</v>
      </c>
      <c r="T2465" s="75">
        <v>0</v>
      </c>
      <c r="U2465" s="75">
        <v>0</v>
      </c>
      <c r="V2465" s="75">
        <v>1</v>
      </c>
      <c r="W2465" s="78">
        <v>0</v>
      </c>
    </row>
    <row r="2466" spans="1:23" s="75" customFormat="1" hidden="1" x14ac:dyDescent="0.35">
      <c r="A2466" s="75">
        <v>2462</v>
      </c>
      <c r="B2466" s="75">
        <v>2463</v>
      </c>
      <c r="C2466">
        <v>146.01024949999999</v>
      </c>
      <c r="D2466">
        <v>-17.494550109999999</v>
      </c>
      <c r="F2466" s="75" t="str">
        <f>HYPERLINK("E:\Data From Lucan\2024\Johnstone\Frames_for_Analysis\2463_20240610_0003_L_3986.jpg","2463_20240610_0003_L_3986.jpg")</f>
        <v>2463_20240610_0003_L_3986.jpg</v>
      </c>
      <c r="G2466" s="75">
        <v>8</v>
      </c>
      <c r="I2466">
        <f t="shared" si="38"/>
        <v>0</v>
      </c>
      <c r="J2466" s="75">
        <v>0</v>
      </c>
      <c r="K2466" s="77"/>
      <c r="L2466" s="77"/>
      <c r="M2466" s="77"/>
      <c r="N2466" s="77"/>
      <c r="O2466" s="75">
        <v>1</v>
      </c>
      <c r="P2466" s="75">
        <v>0</v>
      </c>
      <c r="Q2466" s="75">
        <v>0</v>
      </c>
      <c r="R2466" s="75">
        <v>0</v>
      </c>
      <c r="S2466" s="75">
        <v>0</v>
      </c>
      <c r="T2466" s="75">
        <v>0</v>
      </c>
      <c r="U2466" s="75">
        <v>0</v>
      </c>
      <c r="V2466" s="75">
        <v>1</v>
      </c>
      <c r="W2466" s="78">
        <v>0</v>
      </c>
    </row>
    <row r="2467" spans="1:23" s="75" customFormat="1" hidden="1" x14ac:dyDescent="0.35">
      <c r="A2467" s="75">
        <v>2463</v>
      </c>
      <c r="B2467" s="75">
        <v>2464</v>
      </c>
      <c r="C2467">
        <v>146.0101627</v>
      </c>
      <c r="D2467">
        <v>-17.494560870000001</v>
      </c>
      <c r="F2467" s="75" t="str">
        <f>HYPERLINK("E:\Data From Lucan\2024\Johnstone\Frames_for_Analysis\2464_20240610_0003_L_3989.jpg","2464_20240610_0003_L_3989.jpg")</f>
        <v>2464_20240610_0003_L_3989.jpg</v>
      </c>
      <c r="G2467" s="75">
        <v>8</v>
      </c>
      <c r="I2467" t="str">
        <f t="shared" si="38"/>
        <v>X</v>
      </c>
      <c r="J2467" s="75" t="s">
        <v>3958</v>
      </c>
      <c r="K2467" s="77"/>
      <c r="L2467" s="77"/>
      <c r="M2467" s="77"/>
      <c r="N2467" s="77"/>
      <c r="O2467" s="75">
        <v>2</v>
      </c>
      <c r="P2467" s="75">
        <v>1</v>
      </c>
      <c r="Q2467" s="75">
        <v>0</v>
      </c>
      <c r="R2467" s="75">
        <v>0</v>
      </c>
      <c r="S2467" s="75">
        <v>0</v>
      </c>
      <c r="T2467" s="75">
        <v>0</v>
      </c>
      <c r="U2467" s="75">
        <v>0</v>
      </c>
      <c r="V2467" s="75">
        <v>0</v>
      </c>
      <c r="W2467" s="78">
        <v>1</v>
      </c>
    </row>
    <row r="2468" spans="1:23" s="75" customFormat="1" hidden="1" x14ac:dyDescent="0.35">
      <c r="A2468" s="75">
        <v>2464</v>
      </c>
      <c r="B2468" s="75">
        <v>2465</v>
      </c>
      <c r="C2468">
        <v>146.01006899999999</v>
      </c>
      <c r="D2468">
        <v>-17.49456507</v>
      </c>
      <c r="F2468" s="75" t="str">
        <f>HYPERLINK("E:\Data From Lucan\2024\Johnstone\Frames_for_Analysis\2465_20240610_0003_L_3994.jpg","2465_20240610_0003_L_3994.jpg")</f>
        <v>2465_20240610_0003_L_3994.jpg</v>
      </c>
      <c r="G2468" s="75">
        <v>8</v>
      </c>
      <c r="I2468">
        <f t="shared" si="38"/>
        <v>0</v>
      </c>
      <c r="J2468" s="75">
        <v>0</v>
      </c>
      <c r="K2468" s="77"/>
      <c r="L2468" s="77"/>
      <c r="M2468" s="77"/>
      <c r="N2468" s="77"/>
      <c r="O2468" s="75">
        <v>1</v>
      </c>
      <c r="P2468" s="75">
        <v>0</v>
      </c>
      <c r="Q2468" s="75">
        <v>0</v>
      </c>
      <c r="R2468" s="75">
        <v>0</v>
      </c>
      <c r="S2468" s="75">
        <v>0</v>
      </c>
      <c r="T2468" s="75">
        <v>0</v>
      </c>
      <c r="U2468" s="75">
        <v>0</v>
      </c>
      <c r="V2468" s="75">
        <v>0</v>
      </c>
      <c r="W2468" s="78">
        <v>0</v>
      </c>
    </row>
    <row r="2469" spans="1:23" s="75" customFormat="1" hidden="1" x14ac:dyDescent="0.35">
      <c r="A2469" s="75">
        <v>2465</v>
      </c>
      <c r="B2469" s="75">
        <v>2466</v>
      </c>
      <c r="C2469">
        <v>146.00997530000001</v>
      </c>
      <c r="D2469">
        <v>-17.494575189999999</v>
      </c>
      <c r="F2469" s="75" t="str">
        <f>HYPERLINK("E:\Data From Lucan\2024\Johnstone\Frames_for_Analysis\2466_20240610_0003_L_3998.jpg","2466_20240610_0003_L_3998.jpg")</f>
        <v>2466_20240610_0003_L_3998.jpg</v>
      </c>
      <c r="G2469" s="75">
        <v>8</v>
      </c>
      <c r="I2469">
        <f t="shared" si="38"/>
        <v>0</v>
      </c>
      <c r="J2469" s="75">
        <v>0</v>
      </c>
      <c r="K2469" s="77"/>
      <c r="L2469" s="77"/>
      <c r="M2469" s="77"/>
      <c r="N2469" s="77"/>
      <c r="O2469" s="75">
        <v>1</v>
      </c>
      <c r="P2469" s="75">
        <v>0</v>
      </c>
      <c r="Q2469" s="75">
        <v>0</v>
      </c>
      <c r="R2469" s="75">
        <v>0</v>
      </c>
      <c r="S2469" s="75">
        <v>0</v>
      </c>
      <c r="T2469" s="75">
        <v>0</v>
      </c>
      <c r="U2469" s="75">
        <v>0</v>
      </c>
      <c r="V2469" s="75">
        <v>0</v>
      </c>
      <c r="W2469" s="78">
        <v>0</v>
      </c>
    </row>
    <row r="2470" spans="1:23" s="75" customFormat="1" hidden="1" x14ac:dyDescent="0.35">
      <c r="A2470" s="75">
        <v>2466</v>
      </c>
      <c r="B2470" s="75">
        <v>2467</v>
      </c>
      <c r="C2470">
        <v>146.00988720000001</v>
      </c>
      <c r="D2470">
        <v>-17.494606300000001</v>
      </c>
      <c r="F2470" s="75" t="str">
        <f>HYPERLINK("E:\Data From Lucan\2024\Johnstone\Frames_for_Analysis\2467_20240610_0003_L_4001.jpg","2467_20240610_0003_L_4001.jpg")</f>
        <v>2467_20240610_0003_L_4001.jpg</v>
      </c>
      <c r="G2470" s="75">
        <v>8</v>
      </c>
      <c r="I2470">
        <f t="shared" si="38"/>
        <v>0</v>
      </c>
      <c r="J2470" s="75">
        <v>0</v>
      </c>
      <c r="K2470" s="77"/>
      <c r="L2470" s="77"/>
      <c r="M2470" s="77"/>
      <c r="N2470" s="77"/>
      <c r="O2470" s="75">
        <v>1</v>
      </c>
      <c r="P2470" s="75">
        <v>0</v>
      </c>
      <c r="Q2470" s="75">
        <v>0</v>
      </c>
      <c r="R2470" s="75">
        <v>0</v>
      </c>
      <c r="S2470" s="75">
        <v>0</v>
      </c>
      <c r="T2470" s="75">
        <v>0</v>
      </c>
      <c r="U2470" s="75">
        <v>0</v>
      </c>
      <c r="V2470" s="75">
        <v>1</v>
      </c>
      <c r="W2470" s="78">
        <v>0</v>
      </c>
    </row>
    <row r="2471" spans="1:23" s="75" customFormat="1" hidden="1" x14ac:dyDescent="0.35">
      <c r="A2471" s="75">
        <v>2467</v>
      </c>
      <c r="B2471" s="75">
        <v>2468</v>
      </c>
      <c r="C2471">
        <v>146.0098065</v>
      </c>
      <c r="D2471">
        <v>-17.49465279</v>
      </c>
      <c r="F2471" s="75" t="str">
        <f>HYPERLINK("E:\Data From Lucan\2024\Johnstone\Frames_for_Analysis\2468_20240610_0003_L_4005.jpg","2468_20240610_0003_L_4005.jpg")</f>
        <v>2468_20240610_0003_L_4005.jpg</v>
      </c>
      <c r="G2471" s="75">
        <v>8</v>
      </c>
      <c r="I2471">
        <f t="shared" si="38"/>
        <v>0</v>
      </c>
      <c r="J2471" s="75">
        <v>0</v>
      </c>
      <c r="K2471" s="77"/>
      <c r="L2471" s="77"/>
      <c r="M2471" s="77"/>
      <c r="N2471" s="77"/>
      <c r="O2471" s="75">
        <v>1</v>
      </c>
      <c r="P2471" s="75">
        <v>0</v>
      </c>
      <c r="Q2471" s="75">
        <v>0</v>
      </c>
      <c r="R2471" s="75">
        <v>0</v>
      </c>
      <c r="S2471" s="75">
        <v>0</v>
      </c>
      <c r="T2471" s="75">
        <v>0</v>
      </c>
      <c r="U2471" s="75">
        <v>0</v>
      </c>
      <c r="V2471" s="75">
        <v>1</v>
      </c>
      <c r="W2471" s="78">
        <v>0</v>
      </c>
    </row>
    <row r="2472" spans="1:23" s="75" customFormat="1" hidden="1" x14ac:dyDescent="0.35">
      <c r="A2472" s="75">
        <v>2468</v>
      </c>
      <c r="B2472" s="75">
        <v>2469</v>
      </c>
      <c r="C2472">
        <v>146.00973819999999</v>
      </c>
      <c r="D2472">
        <v>-17.494717860000002</v>
      </c>
      <c r="F2472" s="75" t="str">
        <f>HYPERLINK("E:\Data From Lucan\2024\Johnstone\Frames_for_Analysis\2469_20240610_0003_L_4007.jpg","2469_20240610_0003_L_4007.jpg")</f>
        <v>2469_20240610_0003_L_4007.jpg</v>
      </c>
      <c r="G2472" s="75">
        <v>8</v>
      </c>
      <c r="I2472">
        <f t="shared" si="38"/>
        <v>0</v>
      </c>
      <c r="J2472" s="75">
        <v>0</v>
      </c>
      <c r="K2472" s="77"/>
      <c r="L2472" s="77"/>
      <c r="M2472" s="77"/>
      <c r="N2472" s="77"/>
      <c r="O2472" s="75">
        <v>1</v>
      </c>
      <c r="P2472" s="75">
        <v>0</v>
      </c>
      <c r="Q2472" s="75">
        <v>0</v>
      </c>
      <c r="R2472" s="75">
        <v>0</v>
      </c>
      <c r="S2472" s="75">
        <v>0</v>
      </c>
      <c r="T2472" s="75">
        <v>0</v>
      </c>
      <c r="U2472" s="75">
        <v>0</v>
      </c>
      <c r="V2472" s="75">
        <v>1</v>
      </c>
      <c r="W2472" s="78">
        <v>0</v>
      </c>
    </row>
    <row r="2473" spans="1:23" s="75" customFormat="1" hidden="1" x14ac:dyDescent="0.35">
      <c r="A2473" s="75">
        <v>2469</v>
      </c>
      <c r="B2473" s="75">
        <v>2470</v>
      </c>
      <c r="C2473">
        <v>146.00965980000001</v>
      </c>
      <c r="D2473">
        <v>-17.49476967</v>
      </c>
      <c r="F2473" s="75" t="str">
        <f>HYPERLINK("E:\Data From Lucan\2024\Johnstone\Frames_for_Analysis\2470_20240610_0003_L_4014.jpg","2470_20240610_0003_L_4014.jpg")</f>
        <v>2470_20240610_0003_L_4014.jpg</v>
      </c>
      <c r="G2473" s="75">
        <v>8</v>
      </c>
      <c r="I2473">
        <f t="shared" si="38"/>
        <v>1</v>
      </c>
      <c r="J2473" s="75">
        <v>1</v>
      </c>
      <c r="K2473" s="77"/>
      <c r="L2473" s="77"/>
      <c r="M2473" s="77"/>
      <c r="N2473" s="77"/>
      <c r="O2473" s="75">
        <v>1</v>
      </c>
      <c r="P2473" s="75">
        <v>0</v>
      </c>
      <c r="Q2473" s="75">
        <v>0</v>
      </c>
      <c r="R2473" s="75">
        <v>0</v>
      </c>
      <c r="S2473" s="75">
        <v>0</v>
      </c>
      <c r="T2473" s="75">
        <v>0</v>
      </c>
      <c r="U2473" s="75">
        <v>0</v>
      </c>
      <c r="V2473" s="75">
        <v>1</v>
      </c>
      <c r="W2473" s="78">
        <v>0</v>
      </c>
    </row>
    <row r="2474" spans="1:23" s="75" customFormat="1" hidden="1" x14ac:dyDescent="0.35">
      <c r="A2474" s="75">
        <v>2470</v>
      </c>
      <c r="B2474" s="75">
        <v>2471</v>
      </c>
      <c r="C2474">
        <v>146.00957930000001</v>
      </c>
      <c r="D2474">
        <v>-17.494818800000001</v>
      </c>
      <c r="F2474" s="75" t="str">
        <f>HYPERLINK("E:\Data From Lucan\2024\Johnstone\Frames_for_Analysis\2471_20240610_0003_L_4018.jpg","2471_20240610_0003_L_4018.jpg")</f>
        <v>2471_20240610_0003_L_4018.jpg</v>
      </c>
      <c r="G2474" s="75">
        <v>8</v>
      </c>
      <c r="I2474">
        <f t="shared" si="38"/>
        <v>1</v>
      </c>
      <c r="J2474" s="75">
        <v>1</v>
      </c>
      <c r="K2474" s="77"/>
      <c r="L2474" s="77"/>
      <c r="M2474" s="77"/>
      <c r="N2474" s="77"/>
      <c r="O2474" s="75">
        <v>1</v>
      </c>
      <c r="P2474" s="75">
        <v>0</v>
      </c>
      <c r="Q2474" s="75">
        <v>0</v>
      </c>
      <c r="R2474" s="75">
        <v>0</v>
      </c>
      <c r="S2474" s="75">
        <v>0</v>
      </c>
      <c r="T2474" s="75">
        <v>0</v>
      </c>
      <c r="U2474" s="75">
        <v>0</v>
      </c>
      <c r="V2474" s="75">
        <v>1</v>
      </c>
      <c r="W2474" s="78">
        <v>0</v>
      </c>
    </row>
    <row r="2475" spans="1:23" s="75" customFormat="1" hidden="1" x14ac:dyDescent="0.35">
      <c r="A2475" s="75">
        <v>2471</v>
      </c>
      <c r="B2475" s="75">
        <v>2472</v>
      </c>
      <c r="C2475">
        <v>146.00949879999999</v>
      </c>
      <c r="D2475">
        <v>-17.494867930000002</v>
      </c>
      <c r="F2475" s="75" t="str">
        <f>HYPERLINK("E:\Data From Lucan\2024\Johnstone\Frames_for_Analysis\2472_20240610_0003_L_4022.jpg","2472_20240610_0003_L_4022.jpg")</f>
        <v>2472_20240610_0003_L_4022.jpg</v>
      </c>
      <c r="G2475" s="75">
        <v>8</v>
      </c>
      <c r="I2475">
        <f t="shared" si="38"/>
        <v>0</v>
      </c>
      <c r="J2475" s="75">
        <v>0</v>
      </c>
      <c r="K2475" s="77"/>
      <c r="L2475" s="77"/>
      <c r="M2475" s="77"/>
      <c r="N2475" s="77"/>
      <c r="O2475" s="75">
        <v>1</v>
      </c>
      <c r="P2475" s="75">
        <v>0</v>
      </c>
      <c r="Q2475" s="75">
        <v>0</v>
      </c>
      <c r="R2475" s="75">
        <v>0</v>
      </c>
      <c r="S2475" s="75">
        <v>0</v>
      </c>
      <c r="T2475" s="75">
        <v>0</v>
      </c>
      <c r="U2475" s="75">
        <v>0</v>
      </c>
      <c r="V2475" s="75">
        <v>1</v>
      </c>
      <c r="W2475" s="78">
        <v>0</v>
      </c>
    </row>
    <row r="2476" spans="1:23" s="75" customFormat="1" hidden="1" x14ac:dyDescent="0.35">
      <c r="A2476" s="75">
        <v>2472</v>
      </c>
      <c r="B2476" s="75">
        <v>2473</v>
      </c>
      <c r="C2476">
        <v>146.0094244</v>
      </c>
      <c r="D2476">
        <v>-17.494923379999999</v>
      </c>
      <c r="F2476" s="75" t="str">
        <f>HYPERLINK("E:\Data From Lucan\2024\Johnstone\Frames_for_Analysis\2473_20240610_0003_L_4025.jpg","2473_20240610_0003_L_4025.jpg")</f>
        <v>2473_20240610_0003_L_4025.jpg</v>
      </c>
      <c r="G2476" s="75">
        <v>8</v>
      </c>
      <c r="I2476">
        <f t="shared" si="38"/>
        <v>0</v>
      </c>
      <c r="J2476" s="75">
        <v>0</v>
      </c>
      <c r="K2476" s="77"/>
      <c r="L2476" s="77"/>
      <c r="M2476" s="77"/>
      <c r="N2476" s="77"/>
      <c r="O2476" s="75">
        <v>1</v>
      </c>
      <c r="P2476" s="75">
        <v>0</v>
      </c>
      <c r="Q2476" s="75">
        <v>0</v>
      </c>
      <c r="R2476" s="75">
        <v>0</v>
      </c>
      <c r="S2476" s="75">
        <v>0</v>
      </c>
      <c r="T2476" s="75">
        <v>0</v>
      </c>
      <c r="U2476" s="75">
        <v>0</v>
      </c>
      <c r="V2476" s="75">
        <v>1</v>
      </c>
      <c r="W2476" s="78">
        <v>0</v>
      </c>
    </row>
    <row r="2477" spans="1:23" s="75" customFormat="1" hidden="1" x14ac:dyDescent="0.35">
      <c r="A2477" s="75">
        <v>2473</v>
      </c>
      <c r="B2477" s="75">
        <v>2474</v>
      </c>
      <c r="C2477">
        <v>146.0093727</v>
      </c>
      <c r="D2477">
        <v>-17.49500226</v>
      </c>
      <c r="F2477" s="75" t="str">
        <f>HYPERLINK("E:\Data From Lucan\2024\Johnstone\Frames_for_Analysis\2474_20240610_0003_L_4028.jpg","2474_20240610_0003_L_4028.jpg")</f>
        <v>2474_20240610_0003_L_4028.jpg</v>
      </c>
      <c r="G2477" s="75">
        <v>8</v>
      </c>
      <c r="I2477">
        <f t="shared" si="38"/>
        <v>1</v>
      </c>
      <c r="J2477" s="75">
        <v>1</v>
      </c>
      <c r="K2477" s="77"/>
      <c r="L2477" s="77"/>
      <c r="M2477" s="77"/>
      <c r="N2477" s="77"/>
      <c r="O2477" s="75">
        <v>1</v>
      </c>
      <c r="P2477" s="75">
        <v>0</v>
      </c>
      <c r="Q2477" s="75">
        <v>0</v>
      </c>
      <c r="R2477" s="75">
        <v>0</v>
      </c>
      <c r="S2477" s="75">
        <v>0</v>
      </c>
      <c r="T2477" s="75">
        <v>0</v>
      </c>
      <c r="U2477" s="75">
        <v>0</v>
      </c>
      <c r="V2477" s="75">
        <v>1</v>
      </c>
      <c r="W2477" s="78">
        <v>0</v>
      </c>
    </row>
    <row r="2478" spans="1:23" s="75" customFormat="1" hidden="1" x14ac:dyDescent="0.35">
      <c r="A2478" s="75">
        <v>2474</v>
      </c>
      <c r="B2478" s="75">
        <v>2475</v>
      </c>
      <c r="C2478">
        <v>146.009321</v>
      </c>
      <c r="D2478">
        <v>-17.495081129999999</v>
      </c>
      <c r="F2478" s="75" t="str">
        <f>HYPERLINK("E:\Data From Lucan\2024\Johnstone\Frames_for_Analysis\2475_20240610_0003_L_4032.jpg","2475_20240610_0003_L_4032.jpg")</f>
        <v>2475_20240610_0003_L_4032.jpg</v>
      </c>
      <c r="G2478" s="75">
        <v>8</v>
      </c>
      <c r="I2478">
        <f t="shared" si="38"/>
        <v>0</v>
      </c>
      <c r="J2478" s="75">
        <v>0</v>
      </c>
      <c r="K2478" s="77"/>
      <c r="L2478" s="77"/>
      <c r="M2478" s="77"/>
      <c r="N2478" s="77"/>
      <c r="O2478" s="75">
        <v>1</v>
      </c>
      <c r="P2478" s="75">
        <v>0</v>
      </c>
      <c r="Q2478" s="75">
        <v>0</v>
      </c>
      <c r="R2478" s="75">
        <v>0</v>
      </c>
      <c r="S2478" s="75">
        <v>0</v>
      </c>
      <c r="T2478" s="75">
        <v>0</v>
      </c>
      <c r="U2478" s="75">
        <v>0</v>
      </c>
      <c r="V2478" s="75">
        <v>0</v>
      </c>
      <c r="W2478" s="78">
        <v>0</v>
      </c>
    </row>
    <row r="2479" spans="1:23" s="75" customFormat="1" hidden="1" x14ac:dyDescent="0.35">
      <c r="A2479" s="75">
        <v>2475</v>
      </c>
      <c r="B2479" s="75">
        <v>2476</v>
      </c>
      <c r="C2479">
        <v>146.0092693</v>
      </c>
      <c r="D2479">
        <v>-17.495160009999999</v>
      </c>
      <c r="F2479" s="75" t="str">
        <f>HYPERLINK("E:\Data From Lucan\2024\Johnstone\Frames_for_Analysis\2476_20240610_0003_L_4035.jpg","2476_20240610_0003_L_4035.jpg")</f>
        <v>2476_20240610_0003_L_4035.jpg</v>
      </c>
      <c r="G2479" s="75">
        <v>8</v>
      </c>
      <c r="I2479">
        <f t="shared" si="38"/>
        <v>0</v>
      </c>
      <c r="J2479" s="75">
        <v>0</v>
      </c>
      <c r="K2479" s="77"/>
      <c r="L2479" s="77"/>
      <c r="M2479" s="77"/>
      <c r="N2479" s="77"/>
      <c r="O2479" s="75">
        <v>1</v>
      </c>
      <c r="P2479" s="75">
        <v>0</v>
      </c>
      <c r="Q2479" s="75">
        <v>0</v>
      </c>
      <c r="R2479" s="75">
        <v>0</v>
      </c>
      <c r="S2479" s="75">
        <v>0</v>
      </c>
      <c r="T2479" s="75">
        <v>0</v>
      </c>
      <c r="U2479" s="75">
        <v>0</v>
      </c>
      <c r="V2479" s="75">
        <v>0</v>
      </c>
      <c r="W2479" s="78">
        <v>0</v>
      </c>
    </row>
    <row r="2480" spans="1:23" s="75" customFormat="1" hidden="1" x14ac:dyDescent="0.35">
      <c r="A2480" s="75">
        <v>2476</v>
      </c>
      <c r="B2480" s="75">
        <v>2477</v>
      </c>
      <c r="C2480">
        <v>146.00921299999999</v>
      </c>
      <c r="D2480">
        <v>-17.49523443</v>
      </c>
      <c r="F2480" s="75" t="str">
        <f>HYPERLINK("E:\Data From Lucan\2024\Johnstone\Frames_for_Analysis\2477_20240610_0003_L_4037.jpg","2477_20240610_0003_L_4037.jpg")</f>
        <v>2477_20240610_0003_L_4037.jpg</v>
      </c>
      <c r="G2480" s="75">
        <v>8</v>
      </c>
      <c r="I2480">
        <f t="shared" si="38"/>
        <v>0</v>
      </c>
      <c r="J2480" s="75">
        <v>0</v>
      </c>
      <c r="K2480" s="77"/>
      <c r="L2480" s="77"/>
      <c r="M2480" s="77"/>
      <c r="N2480" s="77"/>
      <c r="O2480" s="75">
        <v>1</v>
      </c>
      <c r="P2480" s="75">
        <v>0</v>
      </c>
      <c r="Q2480" s="75">
        <v>0</v>
      </c>
      <c r="R2480" s="75">
        <v>0</v>
      </c>
      <c r="S2480" s="75">
        <v>0</v>
      </c>
      <c r="T2480" s="75">
        <v>0</v>
      </c>
      <c r="U2480" s="75">
        <v>0</v>
      </c>
      <c r="V2480" s="75">
        <v>0</v>
      </c>
      <c r="W2480" s="78">
        <v>0</v>
      </c>
    </row>
    <row r="2481" spans="1:23" s="75" customFormat="1" hidden="1" x14ac:dyDescent="0.35">
      <c r="A2481" s="75">
        <v>2477</v>
      </c>
      <c r="B2481" s="75">
        <v>2478</v>
      </c>
      <c r="C2481">
        <v>146.00913449999999</v>
      </c>
      <c r="D2481">
        <v>-17.495284949999999</v>
      </c>
      <c r="F2481" s="75" t="str">
        <f>HYPERLINK("E:\Data From Lucan\2024\Johnstone\Frames_for_Analysis\2478_20240610_0003_L_4040.jpg","2478_20240610_0003_L_4040.jpg")</f>
        <v>2478_20240610_0003_L_4040.jpg</v>
      </c>
      <c r="G2481" s="75">
        <v>8</v>
      </c>
      <c r="I2481">
        <f t="shared" si="38"/>
        <v>0</v>
      </c>
      <c r="J2481" s="75">
        <v>0</v>
      </c>
      <c r="K2481" s="77"/>
      <c r="L2481" s="77"/>
      <c r="M2481" s="77"/>
      <c r="N2481" s="77"/>
      <c r="O2481" s="75">
        <v>1</v>
      </c>
      <c r="P2481" s="75">
        <v>0</v>
      </c>
      <c r="Q2481" s="75">
        <v>0</v>
      </c>
      <c r="R2481" s="75">
        <v>0</v>
      </c>
      <c r="S2481" s="75">
        <v>0</v>
      </c>
      <c r="T2481" s="75">
        <v>0</v>
      </c>
      <c r="U2481" s="75">
        <v>0</v>
      </c>
      <c r="V2481" s="75">
        <v>1</v>
      </c>
      <c r="W2481" s="78">
        <v>0</v>
      </c>
    </row>
    <row r="2482" spans="1:23" s="75" customFormat="1" hidden="1" x14ac:dyDescent="0.35">
      <c r="A2482" s="75">
        <v>2478</v>
      </c>
      <c r="B2482" s="75">
        <v>2479</v>
      </c>
      <c r="C2482">
        <v>146.0090472</v>
      </c>
      <c r="D2482">
        <v>-17.495307</v>
      </c>
      <c r="F2482" s="75" t="str">
        <f>HYPERLINK("E:\Data From Lucan\2024\Johnstone\Frames_for_Analysis\2479_20240610_0003_L_4043.jpg","2479_20240610_0003_L_4043.jpg")</f>
        <v>2479_20240610_0003_L_4043.jpg</v>
      </c>
      <c r="G2482" s="75">
        <v>8</v>
      </c>
      <c r="I2482">
        <f t="shared" si="38"/>
        <v>0</v>
      </c>
      <c r="J2482" s="75">
        <v>0</v>
      </c>
      <c r="K2482" s="77"/>
      <c r="L2482" s="77"/>
      <c r="M2482" s="77"/>
      <c r="N2482" s="77"/>
      <c r="O2482" s="75">
        <v>1</v>
      </c>
      <c r="P2482" s="75">
        <v>0</v>
      </c>
      <c r="Q2482" s="75">
        <v>0</v>
      </c>
      <c r="R2482" s="75">
        <v>0</v>
      </c>
      <c r="S2482" s="75">
        <v>0</v>
      </c>
      <c r="T2482" s="75">
        <v>0</v>
      </c>
      <c r="U2482" s="75">
        <v>0</v>
      </c>
      <c r="V2482" s="75">
        <v>0</v>
      </c>
      <c r="W2482" s="78">
        <v>0</v>
      </c>
    </row>
    <row r="2483" spans="1:23" s="75" customFormat="1" hidden="1" x14ac:dyDescent="0.35">
      <c r="A2483" s="75">
        <v>2479</v>
      </c>
      <c r="B2483" s="75">
        <v>2480</v>
      </c>
      <c r="C2483">
        <v>146.00896510000001</v>
      </c>
      <c r="D2483">
        <v>-17.495352499999999</v>
      </c>
      <c r="F2483" s="75" t="str">
        <f>HYPERLINK("E:\Data From Lucan\2024\Johnstone\Frames_for_Analysis\2480_20240610_0003_L_4045.jpg","2480_20240610_0003_L_4045.jpg")</f>
        <v>2480_20240610_0003_L_4045.jpg</v>
      </c>
      <c r="G2483" s="75">
        <v>8</v>
      </c>
      <c r="I2483">
        <f t="shared" si="38"/>
        <v>0</v>
      </c>
      <c r="J2483" s="75">
        <v>0</v>
      </c>
      <c r="K2483" s="77"/>
      <c r="L2483" s="77"/>
      <c r="M2483" s="77"/>
      <c r="N2483" s="77"/>
      <c r="O2483" s="75">
        <v>1</v>
      </c>
      <c r="P2483" s="75">
        <v>0</v>
      </c>
      <c r="Q2483" s="75">
        <v>0</v>
      </c>
      <c r="R2483" s="75">
        <v>0</v>
      </c>
      <c r="S2483" s="75">
        <v>0</v>
      </c>
      <c r="T2483" s="75">
        <v>0</v>
      </c>
      <c r="U2483" s="75">
        <v>0</v>
      </c>
      <c r="V2483" s="75">
        <v>0</v>
      </c>
      <c r="W2483" s="78">
        <v>0</v>
      </c>
    </row>
    <row r="2484" spans="1:23" s="75" customFormat="1" hidden="1" x14ac:dyDescent="0.35">
      <c r="A2484" s="75">
        <v>2480</v>
      </c>
      <c r="B2484" s="75">
        <v>2481</v>
      </c>
      <c r="C2484">
        <v>146.00887499999999</v>
      </c>
      <c r="D2484">
        <v>-17.495377869999999</v>
      </c>
      <c r="F2484" s="75" t="str">
        <f>HYPERLINK("E:\Data From Lucan\2024\Johnstone\Frames_for_Analysis\2481_20240610_0003_L_4047.jpg","2481_20240610_0003_L_4047.jpg")</f>
        <v>2481_20240610_0003_L_4047.jpg</v>
      </c>
      <c r="G2484" s="75">
        <v>8</v>
      </c>
      <c r="I2484">
        <f t="shared" si="38"/>
        <v>0</v>
      </c>
      <c r="J2484" s="75">
        <v>0</v>
      </c>
      <c r="K2484" s="77"/>
      <c r="L2484" s="77"/>
      <c r="M2484" s="77"/>
      <c r="N2484" s="77"/>
      <c r="O2484" s="75">
        <v>1</v>
      </c>
      <c r="P2484" s="75">
        <v>0</v>
      </c>
      <c r="Q2484" s="75">
        <v>0</v>
      </c>
      <c r="R2484" s="75">
        <v>0</v>
      </c>
      <c r="S2484" s="75">
        <v>0</v>
      </c>
      <c r="T2484" s="75">
        <v>0</v>
      </c>
      <c r="U2484" s="75">
        <v>0</v>
      </c>
      <c r="V2484" s="75">
        <v>0</v>
      </c>
      <c r="W2484" s="78">
        <v>0</v>
      </c>
    </row>
    <row r="2485" spans="1:23" s="75" customFormat="1" hidden="1" x14ac:dyDescent="0.35">
      <c r="A2485" s="75">
        <v>2481</v>
      </c>
      <c r="B2485" s="75">
        <v>2482</v>
      </c>
      <c r="C2485">
        <v>146.00878259999999</v>
      </c>
      <c r="D2485">
        <v>-17.495396620000001</v>
      </c>
      <c r="F2485" s="75" t="str">
        <f>HYPERLINK("E:\Data From Lucan\2024\Johnstone\Frames_for_Analysis\2482_20240610_0003_L_4049.jpg","2482_20240610_0003_L_4049.jpg")</f>
        <v>2482_20240610_0003_L_4049.jpg</v>
      </c>
      <c r="G2485" s="75">
        <v>8</v>
      </c>
      <c r="I2485">
        <f t="shared" si="38"/>
        <v>0</v>
      </c>
      <c r="J2485" s="75">
        <v>0</v>
      </c>
      <c r="K2485" s="77"/>
      <c r="L2485" s="77"/>
      <c r="M2485" s="77"/>
      <c r="N2485" s="77"/>
      <c r="O2485" s="75">
        <v>1</v>
      </c>
      <c r="P2485" s="75">
        <v>0</v>
      </c>
      <c r="Q2485" s="75">
        <v>0</v>
      </c>
      <c r="R2485" s="75">
        <v>0</v>
      </c>
      <c r="S2485" s="75">
        <v>0</v>
      </c>
      <c r="T2485" s="75">
        <v>0</v>
      </c>
      <c r="U2485" s="75">
        <v>0</v>
      </c>
      <c r="V2485" s="75">
        <v>0</v>
      </c>
      <c r="W2485" s="78">
        <v>0</v>
      </c>
    </row>
    <row r="2486" spans="1:23" s="75" customFormat="1" hidden="1" x14ac:dyDescent="0.35">
      <c r="A2486" s="75">
        <v>2482</v>
      </c>
      <c r="B2486" s="75">
        <v>2483</v>
      </c>
      <c r="C2486">
        <v>146.0086901</v>
      </c>
      <c r="D2486">
        <v>-17.495415149999999</v>
      </c>
      <c r="F2486" s="75" t="str">
        <f>HYPERLINK("E:\Data From Lucan\2024\Johnstone\Frames_for_Analysis\2483_20240610_0003_L_4050.jpg","2483_20240610_0003_L_4050.jpg")</f>
        <v>2483_20240610_0003_L_4050.jpg</v>
      </c>
      <c r="G2486" s="75">
        <v>8</v>
      </c>
      <c r="I2486">
        <f t="shared" si="38"/>
        <v>0</v>
      </c>
      <c r="J2486" s="75">
        <v>0</v>
      </c>
      <c r="K2486" s="77"/>
      <c r="L2486" s="77"/>
      <c r="M2486" s="77"/>
      <c r="N2486" s="77"/>
      <c r="O2486" s="75">
        <v>1</v>
      </c>
      <c r="P2486" s="75">
        <v>0</v>
      </c>
      <c r="Q2486" s="75">
        <v>0</v>
      </c>
      <c r="R2486" s="75">
        <v>0</v>
      </c>
      <c r="S2486" s="75">
        <v>0</v>
      </c>
      <c r="T2486" s="75">
        <v>0</v>
      </c>
      <c r="U2486" s="75">
        <v>0</v>
      </c>
      <c r="V2486" s="75">
        <v>0</v>
      </c>
      <c r="W2486" s="78">
        <v>0</v>
      </c>
    </row>
    <row r="2487" spans="1:23" s="75" customFormat="1" hidden="1" x14ac:dyDescent="0.35">
      <c r="A2487" s="75">
        <v>2483</v>
      </c>
      <c r="B2487" s="75">
        <v>2484</v>
      </c>
      <c r="C2487">
        <v>146.00859589999999</v>
      </c>
      <c r="D2487">
        <v>-17.495415130000001</v>
      </c>
      <c r="F2487" s="75" t="str">
        <f>HYPERLINK("E:\Data From Lucan\2024\Johnstone\Frames_for_Analysis\2484_20240610_0003_L_4052.jpg","2484_20240610_0003_L_4052.jpg")</f>
        <v>2484_20240610_0003_L_4052.jpg</v>
      </c>
      <c r="G2487" s="75">
        <v>8</v>
      </c>
      <c r="I2487">
        <f t="shared" si="38"/>
        <v>0</v>
      </c>
      <c r="J2487" s="75">
        <v>0</v>
      </c>
      <c r="K2487" s="77"/>
      <c r="L2487" s="77"/>
      <c r="M2487" s="77"/>
      <c r="N2487" s="77"/>
      <c r="O2487" s="75">
        <v>1</v>
      </c>
      <c r="P2487" s="75">
        <v>0</v>
      </c>
      <c r="Q2487" s="75">
        <v>0</v>
      </c>
      <c r="R2487" s="75">
        <v>0</v>
      </c>
      <c r="S2487" s="75">
        <v>0</v>
      </c>
      <c r="T2487" s="75">
        <v>0</v>
      </c>
      <c r="U2487" s="75">
        <v>0</v>
      </c>
      <c r="V2487" s="75">
        <v>0</v>
      </c>
      <c r="W2487" s="78">
        <v>0</v>
      </c>
    </row>
    <row r="2488" spans="1:23" s="75" customFormat="1" hidden="1" x14ac:dyDescent="0.35">
      <c r="A2488" s="75">
        <v>2484</v>
      </c>
      <c r="B2488" s="75">
        <v>2485</v>
      </c>
      <c r="C2488">
        <v>146.00850779999999</v>
      </c>
      <c r="D2488">
        <v>-17.495387390000001</v>
      </c>
      <c r="F2488" s="75" t="str">
        <f>HYPERLINK("E:\Data From Lucan\2024\Johnstone\Frames_for_Analysis\2485_20240610_0003_L_4053.jpg","2485_20240610_0003_L_4053.jpg")</f>
        <v>2485_20240610_0003_L_4053.jpg</v>
      </c>
      <c r="G2488" s="75">
        <v>8</v>
      </c>
      <c r="I2488">
        <f t="shared" si="38"/>
        <v>0</v>
      </c>
      <c r="J2488" s="75">
        <v>0</v>
      </c>
      <c r="K2488" s="77"/>
      <c r="L2488" s="77"/>
      <c r="M2488" s="77"/>
      <c r="N2488" s="77"/>
      <c r="O2488" s="75">
        <v>1</v>
      </c>
      <c r="P2488" s="75">
        <v>0</v>
      </c>
      <c r="Q2488" s="75">
        <v>0</v>
      </c>
      <c r="R2488" s="75">
        <v>0</v>
      </c>
      <c r="S2488" s="75">
        <v>0</v>
      </c>
      <c r="T2488" s="75">
        <v>0</v>
      </c>
      <c r="U2488" s="75">
        <v>0</v>
      </c>
      <c r="V2488" s="75">
        <v>0</v>
      </c>
      <c r="W2488" s="78">
        <v>0</v>
      </c>
    </row>
    <row r="2489" spans="1:23" s="75" customFormat="1" hidden="1" x14ac:dyDescent="0.35">
      <c r="A2489" s="75">
        <v>2485</v>
      </c>
      <c r="B2489" s="75">
        <v>2486</v>
      </c>
      <c r="C2489">
        <v>146.00842280000001</v>
      </c>
      <c r="D2489">
        <v>-17.495346690000002</v>
      </c>
      <c r="F2489" s="75" t="str">
        <f>HYPERLINK("E:\Data From Lucan\2024\Johnstone\Frames_for_Analysis\2486_20240610_0003_L_4054.jpg","2486_20240610_0003_L_4054.jpg")</f>
        <v>2486_20240610_0003_L_4054.jpg</v>
      </c>
      <c r="G2489" s="75">
        <v>8</v>
      </c>
      <c r="I2489">
        <f t="shared" si="38"/>
        <v>0</v>
      </c>
      <c r="J2489" s="75">
        <v>0</v>
      </c>
      <c r="K2489" s="77"/>
      <c r="L2489" s="77"/>
      <c r="M2489" s="77"/>
      <c r="N2489" s="77"/>
      <c r="O2489" s="75">
        <v>1</v>
      </c>
      <c r="P2489" s="75">
        <v>0</v>
      </c>
      <c r="Q2489" s="75">
        <v>0</v>
      </c>
      <c r="R2489" s="75">
        <v>0</v>
      </c>
      <c r="S2489" s="75">
        <v>0</v>
      </c>
      <c r="T2489" s="75">
        <v>0</v>
      </c>
      <c r="U2489" s="75">
        <v>0</v>
      </c>
      <c r="V2489" s="75">
        <v>0</v>
      </c>
      <c r="W2489" s="78">
        <v>0</v>
      </c>
    </row>
    <row r="2490" spans="1:23" s="75" customFormat="1" hidden="1" x14ac:dyDescent="0.35">
      <c r="A2490" s="75">
        <v>2486</v>
      </c>
      <c r="B2490" s="75">
        <v>2487</v>
      </c>
      <c r="C2490">
        <v>146.0083377</v>
      </c>
      <c r="D2490">
        <v>-17.495305989999999</v>
      </c>
      <c r="F2490" s="75" t="str">
        <f>HYPERLINK("E:\Data From Lucan\2024\Johnstone\Frames_for_Analysis\2487_20240610_0003_L_4056.jpg","2487_20240610_0003_L_4056.jpg")</f>
        <v>2487_20240610_0003_L_4056.jpg</v>
      </c>
      <c r="G2490" s="75">
        <v>8</v>
      </c>
      <c r="I2490">
        <f t="shared" si="38"/>
        <v>0</v>
      </c>
      <c r="J2490" s="75">
        <v>0</v>
      </c>
      <c r="K2490" s="77"/>
      <c r="L2490" s="77"/>
      <c r="M2490" s="77"/>
      <c r="N2490" s="77"/>
      <c r="O2490" s="75">
        <v>1</v>
      </c>
      <c r="P2490" s="75">
        <v>0</v>
      </c>
      <c r="Q2490" s="75">
        <v>0</v>
      </c>
      <c r="R2490" s="75">
        <v>0</v>
      </c>
      <c r="S2490" s="75">
        <v>0</v>
      </c>
      <c r="T2490" s="75">
        <v>0</v>
      </c>
      <c r="U2490" s="75">
        <v>0</v>
      </c>
      <c r="V2490" s="75">
        <v>0</v>
      </c>
      <c r="W2490" s="78">
        <v>0</v>
      </c>
    </row>
    <row r="2491" spans="1:23" s="75" customFormat="1" hidden="1" x14ac:dyDescent="0.35">
      <c r="A2491" s="75">
        <v>2487</v>
      </c>
      <c r="B2491" s="75">
        <v>2488</v>
      </c>
      <c r="C2491">
        <v>146.00825259999999</v>
      </c>
      <c r="D2491">
        <v>-17.495265289999999</v>
      </c>
      <c r="F2491" s="75" t="str">
        <f>HYPERLINK("E:\Data From Lucan\2024\Johnstone\Frames_for_Analysis\2488_20240610_0003_L_4057.jpg","2488_20240610_0003_L_4057.jpg")</f>
        <v>2488_20240610_0003_L_4057.jpg</v>
      </c>
      <c r="G2491" s="75">
        <v>8</v>
      </c>
      <c r="I2491">
        <f t="shared" si="38"/>
        <v>1</v>
      </c>
      <c r="J2491" s="75">
        <v>1</v>
      </c>
      <c r="K2491" s="77"/>
      <c r="L2491" s="77"/>
      <c r="M2491" s="77"/>
      <c r="N2491" s="77"/>
      <c r="O2491" s="75">
        <v>1</v>
      </c>
      <c r="P2491" s="75">
        <v>0</v>
      </c>
      <c r="Q2491" s="75">
        <v>0</v>
      </c>
      <c r="R2491" s="75">
        <v>0</v>
      </c>
      <c r="S2491" s="75">
        <v>0</v>
      </c>
      <c r="T2491" s="75">
        <v>0</v>
      </c>
      <c r="U2491" s="75">
        <v>0</v>
      </c>
      <c r="V2491" s="75">
        <v>0</v>
      </c>
      <c r="W2491" s="78">
        <v>0</v>
      </c>
    </row>
    <row r="2492" spans="1:23" s="75" customFormat="1" hidden="1" x14ac:dyDescent="0.35">
      <c r="A2492" s="75">
        <v>2488</v>
      </c>
      <c r="B2492" s="75">
        <v>2489</v>
      </c>
      <c r="C2492">
        <v>146.00816750000001</v>
      </c>
      <c r="D2492">
        <v>-17.4952246</v>
      </c>
      <c r="F2492" s="75" t="str">
        <f>HYPERLINK("E:\Data From Lucan\2024\Johnstone\Frames_for_Analysis\2489_20240610_0003_L_4059.jpg","2489_20240610_0003_L_4059.jpg")</f>
        <v>2489_20240610_0003_L_4059.jpg</v>
      </c>
      <c r="G2492" s="75">
        <v>8</v>
      </c>
      <c r="I2492">
        <f t="shared" si="38"/>
        <v>0</v>
      </c>
      <c r="J2492" s="75">
        <v>0</v>
      </c>
      <c r="K2492" s="77"/>
      <c r="L2492" s="77"/>
      <c r="M2492" s="77"/>
      <c r="N2492" s="77"/>
      <c r="O2492" s="75">
        <v>1</v>
      </c>
      <c r="P2492" s="75">
        <v>0</v>
      </c>
      <c r="Q2492" s="75">
        <v>0</v>
      </c>
      <c r="R2492" s="75">
        <v>0</v>
      </c>
      <c r="S2492" s="75">
        <v>0</v>
      </c>
      <c r="T2492" s="75">
        <v>0</v>
      </c>
      <c r="U2492" s="75">
        <v>0</v>
      </c>
      <c r="V2492" s="75">
        <v>1</v>
      </c>
      <c r="W2492" s="78">
        <v>0</v>
      </c>
    </row>
    <row r="2493" spans="1:23" s="75" customFormat="1" hidden="1" x14ac:dyDescent="0.35">
      <c r="A2493" s="75">
        <v>2489</v>
      </c>
      <c r="B2493" s="75">
        <v>2490</v>
      </c>
      <c r="C2493">
        <v>146.0080825</v>
      </c>
      <c r="D2493">
        <v>-17.495183900000001</v>
      </c>
      <c r="F2493" s="75" t="str">
        <f>HYPERLINK("E:\Data From Lucan\2024\Johnstone\Frames_for_Analysis\2490_20240610_0003_L_4062.jpg","2490_20240610_0003_L_4062.jpg")</f>
        <v>2490_20240610_0003_L_4062.jpg</v>
      </c>
      <c r="G2493" s="75">
        <v>8</v>
      </c>
      <c r="I2493">
        <f t="shared" si="38"/>
        <v>0</v>
      </c>
      <c r="J2493" s="75">
        <v>0</v>
      </c>
      <c r="K2493" s="77"/>
      <c r="L2493" s="77"/>
      <c r="M2493" s="77"/>
      <c r="N2493" s="77"/>
      <c r="O2493" s="75">
        <v>1</v>
      </c>
      <c r="P2493" s="75">
        <v>0</v>
      </c>
      <c r="Q2493" s="75">
        <v>0</v>
      </c>
      <c r="R2493" s="75">
        <v>0</v>
      </c>
      <c r="S2493" s="75">
        <v>0</v>
      </c>
      <c r="T2493" s="75">
        <v>0</v>
      </c>
      <c r="U2493" s="75">
        <v>0</v>
      </c>
      <c r="V2493" s="75">
        <v>0</v>
      </c>
      <c r="W2493" s="78">
        <v>0</v>
      </c>
    </row>
    <row r="2494" spans="1:23" s="75" customFormat="1" hidden="1" x14ac:dyDescent="0.35">
      <c r="A2494" s="75">
        <v>2490</v>
      </c>
      <c r="B2494" s="75">
        <v>2491</v>
      </c>
      <c r="C2494">
        <v>146.00799739999999</v>
      </c>
      <c r="D2494">
        <v>-17.495143200000001</v>
      </c>
      <c r="F2494" s="75" t="str">
        <f>HYPERLINK("E:\Data From Lucan\2024\Johnstone\Frames_for_Analysis\2491_20240610_0003_L_4064.jpg","2491_20240610_0003_L_4064.jpg")</f>
        <v>2491_20240610_0003_L_4064.jpg</v>
      </c>
      <c r="G2494" s="75">
        <v>8</v>
      </c>
      <c r="I2494">
        <f t="shared" si="38"/>
        <v>0</v>
      </c>
      <c r="J2494" s="75">
        <v>0</v>
      </c>
      <c r="K2494" s="77"/>
      <c r="L2494" s="77"/>
      <c r="M2494" s="77"/>
      <c r="N2494" s="77"/>
      <c r="O2494" s="75">
        <v>1</v>
      </c>
      <c r="P2494" s="75">
        <v>0</v>
      </c>
      <c r="Q2494" s="75">
        <v>0</v>
      </c>
      <c r="R2494" s="75">
        <v>0</v>
      </c>
      <c r="S2494" s="75">
        <v>0</v>
      </c>
      <c r="T2494" s="75">
        <v>0</v>
      </c>
      <c r="U2494" s="75">
        <v>0</v>
      </c>
      <c r="V2494" s="75">
        <v>0</v>
      </c>
      <c r="W2494" s="78">
        <v>0</v>
      </c>
    </row>
    <row r="2495" spans="1:23" s="75" customFormat="1" hidden="1" x14ac:dyDescent="0.35">
      <c r="A2495" s="75">
        <v>2491</v>
      </c>
      <c r="B2495" s="75">
        <v>2492</v>
      </c>
      <c r="C2495">
        <v>146.00791229999999</v>
      </c>
      <c r="D2495">
        <v>-17.495102500000002</v>
      </c>
      <c r="F2495" s="75" t="str">
        <f>HYPERLINK("E:\Data From Lucan\2024\Johnstone\Frames_for_Analysis\2492_20240610_0003_L_4066.jpg","2492_20240610_0003_L_4066.jpg")</f>
        <v>2492_20240610_0003_L_4066.jpg</v>
      </c>
      <c r="G2495" s="75">
        <v>8</v>
      </c>
      <c r="I2495">
        <f t="shared" si="38"/>
        <v>0</v>
      </c>
      <c r="J2495" s="75">
        <v>0</v>
      </c>
      <c r="K2495" s="77"/>
      <c r="L2495" s="77"/>
      <c r="M2495" s="77"/>
      <c r="N2495" s="77"/>
      <c r="O2495" s="75">
        <v>1</v>
      </c>
      <c r="P2495" s="75">
        <v>0</v>
      </c>
      <c r="Q2495" s="75">
        <v>0</v>
      </c>
      <c r="R2495" s="75">
        <v>0</v>
      </c>
      <c r="S2495" s="75">
        <v>0</v>
      </c>
      <c r="T2495" s="75">
        <v>0</v>
      </c>
      <c r="U2495" s="75">
        <v>0</v>
      </c>
      <c r="V2495" s="75">
        <v>0</v>
      </c>
      <c r="W2495" s="78">
        <v>0</v>
      </c>
    </row>
    <row r="2496" spans="1:23" s="75" customFormat="1" hidden="1" x14ac:dyDescent="0.35">
      <c r="A2496" s="75">
        <v>2492</v>
      </c>
      <c r="B2496" s="75">
        <v>2493</v>
      </c>
      <c r="C2496">
        <v>146.00783050000001</v>
      </c>
      <c r="D2496">
        <v>-17.495056200000001</v>
      </c>
      <c r="F2496" s="75" t="str">
        <f>HYPERLINK("E:\Data From Lucan\2024\Johnstone\Frames_for_Analysis\2493_20240610_0003_L_4069.jpg","2493_20240610_0003_L_4069.jpg")</f>
        <v>2493_20240610_0003_L_4069.jpg</v>
      </c>
      <c r="G2496" s="75">
        <v>8</v>
      </c>
      <c r="I2496">
        <f t="shared" si="38"/>
        <v>0</v>
      </c>
      <c r="J2496" s="75">
        <v>0</v>
      </c>
      <c r="K2496" s="77"/>
      <c r="L2496" s="77"/>
      <c r="M2496" s="77"/>
      <c r="N2496" s="77"/>
      <c r="O2496" s="75">
        <v>1</v>
      </c>
      <c r="P2496" s="75">
        <v>0</v>
      </c>
      <c r="Q2496" s="75">
        <v>0</v>
      </c>
      <c r="R2496" s="75">
        <v>0</v>
      </c>
      <c r="S2496" s="75">
        <v>0</v>
      </c>
      <c r="T2496" s="75">
        <v>0</v>
      </c>
      <c r="U2496" s="75">
        <v>0</v>
      </c>
      <c r="V2496" s="75">
        <v>0</v>
      </c>
      <c r="W2496" s="78">
        <v>0</v>
      </c>
    </row>
    <row r="2497" spans="1:23" s="75" customFormat="1" hidden="1" x14ac:dyDescent="0.35">
      <c r="A2497" s="75">
        <v>2493</v>
      </c>
      <c r="B2497" s="75">
        <v>2494</v>
      </c>
      <c r="C2497">
        <v>146.00775250000001</v>
      </c>
      <c r="D2497">
        <v>-17.495003130000001</v>
      </c>
      <c r="F2497" s="75" t="str">
        <f>HYPERLINK("E:\Data From Lucan\2024\Johnstone\Frames_for_Analysis\2494_20240610_0003_L_4073.jpg","2494_20240610_0003_L_4073.jpg")</f>
        <v>2494_20240610_0003_L_4073.jpg</v>
      </c>
      <c r="G2497" s="75">
        <v>8</v>
      </c>
      <c r="I2497">
        <f t="shared" si="38"/>
        <v>0</v>
      </c>
      <c r="J2497" s="75">
        <v>0</v>
      </c>
      <c r="K2497" s="77"/>
      <c r="L2497" s="77"/>
      <c r="M2497" s="77"/>
      <c r="N2497" s="77"/>
      <c r="O2497" s="75">
        <v>1</v>
      </c>
      <c r="P2497" s="75">
        <v>0</v>
      </c>
      <c r="Q2497" s="75">
        <v>0</v>
      </c>
      <c r="R2497" s="75">
        <v>0</v>
      </c>
      <c r="S2497" s="75">
        <v>0</v>
      </c>
      <c r="T2497" s="75">
        <v>0</v>
      </c>
      <c r="U2497" s="75">
        <v>0</v>
      </c>
      <c r="V2497" s="75">
        <v>0</v>
      </c>
      <c r="W2497" s="78">
        <v>0</v>
      </c>
    </row>
    <row r="2498" spans="1:23" s="75" customFormat="1" hidden="1" x14ac:dyDescent="0.35">
      <c r="A2498" s="75">
        <v>2494</v>
      </c>
      <c r="B2498" s="75">
        <v>2495</v>
      </c>
      <c r="C2498">
        <v>146.0076746</v>
      </c>
      <c r="D2498">
        <v>-17.494950070000002</v>
      </c>
      <c r="F2498" s="75" t="str">
        <f>HYPERLINK("E:\Data From Lucan\2024\Johnstone\Frames_for_Analysis\2495_20240610_0003_L_4077.jpg","2495_20240610_0003_L_4077.jpg")</f>
        <v>2495_20240610_0003_L_4077.jpg</v>
      </c>
      <c r="G2498" s="75">
        <v>8</v>
      </c>
      <c r="I2498">
        <f t="shared" si="38"/>
        <v>0</v>
      </c>
      <c r="J2498" s="75">
        <v>0</v>
      </c>
      <c r="K2498" s="77"/>
      <c r="L2498" s="77"/>
      <c r="M2498" s="77"/>
      <c r="N2498" s="77"/>
      <c r="O2498" s="75">
        <v>1</v>
      </c>
      <c r="P2498" s="75">
        <v>0</v>
      </c>
      <c r="Q2498" s="75">
        <v>0</v>
      </c>
      <c r="R2498" s="75">
        <v>0</v>
      </c>
      <c r="S2498" s="75">
        <v>0</v>
      </c>
      <c r="T2498" s="75">
        <v>0</v>
      </c>
      <c r="U2498" s="75">
        <v>0</v>
      </c>
      <c r="V2498" s="75">
        <v>0</v>
      </c>
      <c r="W2498" s="78">
        <v>0</v>
      </c>
    </row>
    <row r="2499" spans="1:23" s="75" customFormat="1" hidden="1" x14ac:dyDescent="0.35">
      <c r="A2499" s="75">
        <v>2495</v>
      </c>
      <c r="B2499" s="75">
        <v>2496</v>
      </c>
      <c r="C2499">
        <v>146.0075966</v>
      </c>
      <c r="D2499">
        <v>-17.494897009999999</v>
      </c>
      <c r="F2499" s="75" t="str">
        <f>HYPERLINK("E:\Data From Lucan\2024\Johnstone\Frames_for_Analysis\2496_20240610_0003_L_4080.jpg","2496_20240610_0003_L_4080.jpg")</f>
        <v>2496_20240610_0003_L_4080.jpg</v>
      </c>
      <c r="G2499" s="75">
        <v>8</v>
      </c>
      <c r="I2499">
        <f t="shared" si="38"/>
        <v>0</v>
      </c>
      <c r="J2499" s="75">
        <v>0</v>
      </c>
      <c r="K2499" s="77"/>
      <c r="L2499" s="77"/>
      <c r="M2499" s="77"/>
      <c r="N2499" s="77"/>
      <c r="O2499" s="75">
        <v>1</v>
      </c>
      <c r="P2499" s="75">
        <v>0</v>
      </c>
      <c r="Q2499" s="75">
        <v>0</v>
      </c>
      <c r="R2499" s="75">
        <v>0</v>
      </c>
      <c r="S2499" s="75">
        <v>0</v>
      </c>
      <c r="T2499" s="75">
        <v>0</v>
      </c>
      <c r="U2499" s="75">
        <v>0</v>
      </c>
      <c r="V2499" s="75">
        <v>1</v>
      </c>
      <c r="W2499" s="78">
        <v>0</v>
      </c>
    </row>
    <row r="2500" spans="1:23" s="75" customFormat="1" hidden="1" x14ac:dyDescent="0.35">
      <c r="A2500" s="75">
        <v>2496</v>
      </c>
      <c r="B2500" s="75">
        <v>2497</v>
      </c>
      <c r="C2500">
        <v>146.00751869999999</v>
      </c>
      <c r="D2500">
        <v>-17.49484395</v>
      </c>
      <c r="F2500" s="75" t="str">
        <f>HYPERLINK("E:\Data From Lucan\2024\Johnstone\Frames_for_Analysis\2497_20240610_0003_L_4084.jpg","2497_20240610_0003_L_4084.jpg")</f>
        <v>2497_20240610_0003_L_4084.jpg</v>
      </c>
      <c r="G2500" s="75">
        <v>8</v>
      </c>
      <c r="I2500">
        <f t="shared" si="38"/>
        <v>0</v>
      </c>
      <c r="J2500" s="75">
        <v>0</v>
      </c>
      <c r="K2500" s="77"/>
      <c r="L2500" s="77"/>
      <c r="M2500" s="77"/>
      <c r="N2500" s="77"/>
      <c r="O2500" s="75">
        <v>1</v>
      </c>
      <c r="P2500" s="75">
        <v>0</v>
      </c>
      <c r="Q2500" s="75">
        <v>0</v>
      </c>
      <c r="R2500" s="75">
        <v>0</v>
      </c>
      <c r="S2500" s="75">
        <v>0</v>
      </c>
      <c r="T2500" s="75">
        <v>0</v>
      </c>
      <c r="U2500" s="75">
        <v>0</v>
      </c>
      <c r="V2500" s="75">
        <v>1</v>
      </c>
      <c r="W2500" s="78">
        <v>0</v>
      </c>
    </row>
    <row r="2501" spans="1:23" s="75" customFormat="1" hidden="1" x14ac:dyDescent="0.35">
      <c r="A2501" s="75">
        <v>2497</v>
      </c>
      <c r="B2501" s="75">
        <v>2498</v>
      </c>
      <c r="C2501">
        <v>146.00744069999999</v>
      </c>
      <c r="D2501">
        <v>-17.494790890000001</v>
      </c>
      <c r="F2501" s="75" t="str">
        <f>HYPERLINK("E:\Data From Lucan\2024\Johnstone\Frames_for_Analysis\2498_20240610_0003_L_4088.jpg","2498_20240610_0003_L_4088.jpg")</f>
        <v>2498_20240610_0003_L_4088.jpg</v>
      </c>
      <c r="G2501" s="75">
        <v>8</v>
      </c>
      <c r="I2501">
        <f t="shared" ref="I2501:I2564" si="39">IF(H2501="X","X",IF(J2501="NA","X",IF(J2501="","X",J2501)))</f>
        <v>1</v>
      </c>
      <c r="J2501" s="75">
        <v>1</v>
      </c>
      <c r="K2501" s="77"/>
      <c r="L2501" s="77"/>
      <c r="M2501" s="77"/>
      <c r="N2501" s="77"/>
      <c r="O2501" s="75">
        <v>1</v>
      </c>
      <c r="P2501" s="75">
        <v>0</v>
      </c>
      <c r="Q2501" s="75">
        <v>0</v>
      </c>
      <c r="R2501" s="75">
        <v>0</v>
      </c>
      <c r="S2501" s="75">
        <v>0</v>
      </c>
      <c r="T2501" s="75">
        <v>0</v>
      </c>
      <c r="U2501" s="75">
        <v>0</v>
      </c>
      <c r="V2501" s="75">
        <v>1</v>
      </c>
      <c r="W2501" s="78">
        <v>0</v>
      </c>
    </row>
    <row r="2502" spans="1:23" s="75" customFormat="1" hidden="1" x14ac:dyDescent="0.35">
      <c r="A2502" s="75">
        <v>2498</v>
      </c>
      <c r="B2502" s="75">
        <v>2499</v>
      </c>
      <c r="C2502">
        <v>146.00736269999999</v>
      </c>
      <c r="D2502">
        <v>-17.494737829999998</v>
      </c>
      <c r="F2502" s="75" t="str">
        <f>HYPERLINK("E:\Data From Lucan\2024\Johnstone\Frames_for_Analysis\2499_20240610_0003_L_4092.jpg","2499_20240610_0003_L_4092.jpg")</f>
        <v>2499_20240610_0003_L_4092.jpg</v>
      </c>
      <c r="G2502" s="75">
        <v>8</v>
      </c>
      <c r="I2502">
        <f t="shared" si="39"/>
        <v>1</v>
      </c>
      <c r="J2502" s="75">
        <v>1</v>
      </c>
      <c r="K2502" s="77"/>
      <c r="L2502" s="77"/>
      <c r="M2502" s="77"/>
      <c r="N2502" s="77"/>
      <c r="O2502" s="75">
        <v>1</v>
      </c>
      <c r="P2502" s="75">
        <v>0</v>
      </c>
      <c r="Q2502" s="75">
        <v>0</v>
      </c>
      <c r="R2502" s="75">
        <v>0</v>
      </c>
      <c r="S2502" s="75">
        <v>0</v>
      </c>
      <c r="T2502" s="75">
        <v>0</v>
      </c>
      <c r="U2502" s="75">
        <v>0</v>
      </c>
      <c r="V2502" s="75">
        <v>0</v>
      </c>
      <c r="W2502" s="78">
        <v>0</v>
      </c>
    </row>
    <row r="2503" spans="1:23" s="75" customFormat="1" hidden="1" x14ac:dyDescent="0.35">
      <c r="A2503" s="75">
        <v>2499</v>
      </c>
      <c r="B2503" s="75">
        <v>2500</v>
      </c>
      <c r="C2503">
        <v>146.00728480000001</v>
      </c>
      <c r="D2503">
        <v>-17.494684769999999</v>
      </c>
      <c r="F2503" s="75" t="str">
        <f>HYPERLINK("E:\Data From Lucan\2024\Johnstone\Frames_for_Analysis\2500_20240610_0003_L_4095.jpg","2500_20240610_0003_L_4095.jpg")</f>
        <v>2500_20240610_0003_L_4095.jpg</v>
      </c>
      <c r="G2503" s="75">
        <v>8</v>
      </c>
      <c r="I2503">
        <f t="shared" si="39"/>
        <v>1</v>
      </c>
      <c r="J2503" s="75">
        <v>1</v>
      </c>
      <c r="K2503" s="77"/>
      <c r="L2503" s="77"/>
      <c r="M2503" s="77"/>
      <c r="N2503" s="77"/>
      <c r="O2503" s="75">
        <v>1</v>
      </c>
      <c r="P2503" s="75">
        <v>0</v>
      </c>
      <c r="Q2503" s="75">
        <v>0</v>
      </c>
      <c r="R2503" s="75">
        <v>0</v>
      </c>
      <c r="S2503" s="75">
        <v>0</v>
      </c>
      <c r="T2503" s="75">
        <v>0</v>
      </c>
      <c r="U2503" s="75">
        <v>0</v>
      </c>
      <c r="V2503" s="75">
        <v>0</v>
      </c>
      <c r="W2503" s="78">
        <v>0</v>
      </c>
    </row>
    <row r="2504" spans="1:23" s="75" customFormat="1" hidden="1" x14ac:dyDescent="0.35">
      <c r="A2504" s="75">
        <v>2500</v>
      </c>
      <c r="B2504" s="75">
        <v>2501</v>
      </c>
      <c r="C2504">
        <v>146.00720680000001</v>
      </c>
      <c r="D2504">
        <v>-17.49463171</v>
      </c>
      <c r="F2504" s="75" t="str">
        <f>HYPERLINK("E:\Data From Lucan\2024\Johnstone\Frames_for_Analysis\2501_20240610_0003_L_4097.jpg","2501_20240610_0003_L_4097.jpg")</f>
        <v>2501_20240610_0003_L_4097.jpg</v>
      </c>
      <c r="G2504" s="75">
        <v>8</v>
      </c>
      <c r="I2504">
        <f t="shared" si="39"/>
        <v>1</v>
      </c>
      <c r="J2504" s="75">
        <v>1</v>
      </c>
      <c r="K2504" s="77"/>
      <c r="L2504" s="77"/>
      <c r="M2504" s="77"/>
      <c r="N2504" s="77"/>
      <c r="O2504" s="75">
        <v>1</v>
      </c>
      <c r="P2504" s="75">
        <v>0</v>
      </c>
      <c r="Q2504" s="75">
        <v>0</v>
      </c>
      <c r="R2504" s="75">
        <v>0</v>
      </c>
      <c r="S2504" s="75">
        <v>0</v>
      </c>
      <c r="T2504" s="75">
        <v>0</v>
      </c>
      <c r="U2504" s="75">
        <v>0</v>
      </c>
      <c r="V2504" s="75">
        <v>0</v>
      </c>
      <c r="W2504" s="78">
        <v>0</v>
      </c>
    </row>
    <row r="2505" spans="1:23" s="75" customFormat="1" hidden="1" x14ac:dyDescent="0.35">
      <c r="A2505" s="75">
        <v>2501</v>
      </c>
      <c r="B2505" s="75">
        <v>2502</v>
      </c>
      <c r="C2505">
        <v>146.0071289</v>
      </c>
      <c r="D2505">
        <v>-17.49457864</v>
      </c>
      <c r="F2505" s="75" t="str">
        <f>HYPERLINK("E:\Data From Lucan\2024\Johnstone\Frames_for_Analysis\2502_20240610_0003_L_4100.jpg","2502_20240610_0003_L_4100.jpg")</f>
        <v>2502_20240610_0003_L_4100.jpg</v>
      </c>
      <c r="G2505" s="75">
        <v>8</v>
      </c>
      <c r="I2505">
        <f t="shared" si="39"/>
        <v>0</v>
      </c>
      <c r="J2505" s="75">
        <v>0</v>
      </c>
      <c r="K2505" s="77"/>
      <c r="L2505" s="77"/>
      <c r="M2505" s="77"/>
      <c r="N2505" s="77"/>
      <c r="O2505" s="75">
        <v>1</v>
      </c>
      <c r="P2505" s="75">
        <v>0</v>
      </c>
      <c r="Q2505" s="75">
        <v>0</v>
      </c>
      <c r="R2505" s="75">
        <v>0</v>
      </c>
      <c r="S2505" s="75">
        <v>0</v>
      </c>
      <c r="T2505" s="75">
        <v>0</v>
      </c>
      <c r="U2505" s="75">
        <v>0</v>
      </c>
      <c r="V2505" s="75">
        <v>0</v>
      </c>
      <c r="W2505" s="78">
        <v>0</v>
      </c>
    </row>
    <row r="2506" spans="1:23" s="75" customFormat="1" hidden="1" x14ac:dyDescent="0.35">
      <c r="A2506" s="75">
        <v>2502</v>
      </c>
      <c r="B2506" s="75">
        <v>2503</v>
      </c>
      <c r="C2506">
        <v>146.00705780000001</v>
      </c>
      <c r="D2506">
        <v>-17.49451668</v>
      </c>
      <c r="F2506" s="75" t="str">
        <f>HYPERLINK("E:\Data From Lucan\2024\Johnstone\Frames_for_Analysis\2503_20240610_0003_L_4104.jpg","2503_20240610_0003_L_4104.jpg")</f>
        <v>2503_20240610_0003_L_4104.jpg</v>
      </c>
      <c r="G2506" s="75">
        <v>8</v>
      </c>
      <c r="I2506">
        <f t="shared" si="39"/>
        <v>1</v>
      </c>
      <c r="J2506" s="75">
        <v>1</v>
      </c>
      <c r="K2506" s="77"/>
      <c r="L2506" s="77"/>
      <c r="M2506" s="77"/>
      <c r="N2506" s="77"/>
      <c r="O2506" s="75">
        <v>1</v>
      </c>
      <c r="P2506" s="75">
        <v>0</v>
      </c>
      <c r="Q2506" s="75">
        <v>0</v>
      </c>
      <c r="R2506" s="75">
        <v>0</v>
      </c>
      <c r="S2506" s="75">
        <v>0</v>
      </c>
      <c r="T2506" s="75">
        <v>0</v>
      </c>
      <c r="U2506" s="75">
        <v>0</v>
      </c>
      <c r="V2506" s="75">
        <v>0</v>
      </c>
      <c r="W2506" s="78">
        <v>0</v>
      </c>
    </row>
    <row r="2507" spans="1:23" s="75" customFormat="1" hidden="1" x14ac:dyDescent="0.35">
      <c r="A2507" s="75">
        <v>2503</v>
      </c>
      <c r="B2507" s="75">
        <v>2504</v>
      </c>
      <c r="C2507">
        <v>146.00698740000001</v>
      </c>
      <c r="D2507">
        <v>-17.49445394</v>
      </c>
      <c r="F2507" s="75" t="str">
        <f>HYPERLINK("E:\Data From Lucan\2024\Johnstone\Frames_for_Analysis\2504_20240610_0003_L_4107.jpg","2504_20240610_0003_L_4107.jpg")</f>
        <v>2504_20240610_0003_L_4107.jpg</v>
      </c>
      <c r="G2507" s="75">
        <v>8</v>
      </c>
      <c r="I2507">
        <f t="shared" si="39"/>
        <v>0</v>
      </c>
      <c r="J2507" s="75">
        <v>0</v>
      </c>
      <c r="K2507" s="77"/>
      <c r="L2507" s="77"/>
      <c r="M2507" s="77"/>
      <c r="N2507" s="77"/>
      <c r="O2507" s="75">
        <v>1</v>
      </c>
      <c r="P2507" s="75">
        <v>0</v>
      </c>
      <c r="Q2507" s="75">
        <v>0</v>
      </c>
      <c r="R2507" s="75">
        <v>0</v>
      </c>
      <c r="S2507" s="75">
        <v>0</v>
      </c>
      <c r="T2507" s="75">
        <v>0</v>
      </c>
      <c r="U2507" s="75">
        <v>0</v>
      </c>
      <c r="V2507" s="75">
        <v>0</v>
      </c>
      <c r="W2507" s="78">
        <v>0</v>
      </c>
    </row>
    <row r="2508" spans="1:23" s="75" customFormat="1" hidden="1" x14ac:dyDescent="0.35">
      <c r="A2508" s="75">
        <v>2504</v>
      </c>
      <c r="B2508" s="75">
        <v>2505</v>
      </c>
      <c r="C2508">
        <v>146.00691699999999</v>
      </c>
      <c r="D2508">
        <v>-17.494391199999999</v>
      </c>
      <c r="F2508" s="75" t="str">
        <f>HYPERLINK("E:\Data From Lucan\2024\Johnstone\Frames_for_Analysis\2505_20240610_0003_L_4111.jpg","2505_20240610_0003_L_4111.jpg")</f>
        <v>2505_20240610_0003_L_4111.jpg</v>
      </c>
      <c r="G2508" s="75">
        <v>8</v>
      </c>
      <c r="I2508">
        <f t="shared" si="39"/>
        <v>0</v>
      </c>
      <c r="J2508" s="75">
        <v>0</v>
      </c>
      <c r="K2508" s="77"/>
      <c r="L2508" s="77"/>
      <c r="M2508" s="77"/>
      <c r="N2508" s="77"/>
      <c r="O2508" s="75">
        <v>1</v>
      </c>
      <c r="P2508" s="75">
        <v>0</v>
      </c>
      <c r="Q2508" s="75">
        <v>0</v>
      </c>
      <c r="R2508" s="75">
        <v>0</v>
      </c>
      <c r="S2508" s="75">
        <v>0</v>
      </c>
      <c r="T2508" s="75">
        <v>0</v>
      </c>
      <c r="U2508" s="75">
        <v>0</v>
      </c>
      <c r="V2508" s="75">
        <v>0</v>
      </c>
      <c r="W2508" s="78">
        <v>0</v>
      </c>
    </row>
    <row r="2509" spans="1:23" s="75" customFormat="1" hidden="1" x14ac:dyDescent="0.35">
      <c r="A2509" s="75">
        <v>2505</v>
      </c>
      <c r="B2509" s="75">
        <v>2506</v>
      </c>
      <c r="C2509">
        <v>146.00684659999999</v>
      </c>
      <c r="D2509">
        <v>-17.494328469999999</v>
      </c>
      <c r="F2509" s="75" t="str">
        <f>HYPERLINK("E:\Data From Lucan\2024\Johnstone\Frames_for_Analysis\2506_20240610_0003_L_4114.jpg","2506_20240610_0003_L_4114.jpg")</f>
        <v>2506_20240610_0003_L_4114.jpg</v>
      </c>
      <c r="G2509" s="75">
        <v>8</v>
      </c>
      <c r="I2509">
        <f t="shared" si="39"/>
        <v>1</v>
      </c>
      <c r="J2509" s="75">
        <v>1</v>
      </c>
      <c r="K2509" s="77"/>
      <c r="L2509" s="77"/>
      <c r="M2509" s="77"/>
      <c r="N2509" s="77"/>
      <c r="O2509" s="75">
        <v>1</v>
      </c>
      <c r="P2509" s="75">
        <v>0</v>
      </c>
      <c r="Q2509" s="75">
        <v>0</v>
      </c>
      <c r="R2509" s="75">
        <v>0</v>
      </c>
      <c r="S2509" s="75">
        <v>0</v>
      </c>
      <c r="T2509" s="75">
        <v>0</v>
      </c>
      <c r="U2509" s="75">
        <v>0</v>
      </c>
      <c r="V2509" s="75">
        <v>0</v>
      </c>
      <c r="W2509" s="78">
        <v>0</v>
      </c>
    </row>
    <row r="2510" spans="1:23" s="75" customFormat="1" hidden="1" x14ac:dyDescent="0.35">
      <c r="A2510" s="75">
        <v>2506</v>
      </c>
      <c r="B2510" s="75">
        <v>2507</v>
      </c>
      <c r="C2510">
        <v>146.00677619999999</v>
      </c>
      <c r="D2510">
        <v>-17.494265729999999</v>
      </c>
      <c r="F2510" s="75" t="str">
        <f>HYPERLINK("E:\Data From Lucan\2024\Johnstone\Frames_for_Analysis\2507_20240610_0003_L_4117.jpg","2507_20240610_0003_L_4117.jpg")</f>
        <v>2507_20240610_0003_L_4117.jpg</v>
      </c>
      <c r="G2510" s="75">
        <v>8</v>
      </c>
      <c r="I2510">
        <f t="shared" si="39"/>
        <v>0</v>
      </c>
      <c r="J2510" s="75">
        <v>0</v>
      </c>
      <c r="K2510" s="77"/>
      <c r="L2510" s="77"/>
      <c r="M2510" s="77"/>
      <c r="N2510" s="77"/>
      <c r="O2510" s="75">
        <v>1</v>
      </c>
      <c r="P2510" s="75">
        <v>0</v>
      </c>
      <c r="Q2510" s="75">
        <v>0</v>
      </c>
      <c r="R2510" s="75">
        <v>0</v>
      </c>
      <c r="S2510" s="75">
        <v>0</v>
      </c>
      <c r="T2510" s="75">
        <v>0</v>
      </c>
      <c r="U2510" s="75">
        <v>0</v>
      </c>
      <c r="V2510" s="75">
        <v>0</v>
      </c>
      <c r="W2510" s="78">
        <v>0</v>
      </c>
    </row>
    <row r="2511" spans="1:23" s="75" customFormat="1" hidden="1" x14ac:dyDescent="0.35">
      <c r="A2511" s="75">
        <v>2507</v>
      </c>
      <c r="B2511" s="75">
        <v>2508</v>
      </c>
      <c r="C2511">
        <v>146.0067057</v>
      </c>
      <c r="D2511">
        <v>-17.494203150000001</v>
      </c>
      <c r="F2511" s="75" t="str">
        <f>HYPERLINK("E:\Data From Lucan\2024\Johnstone\Frames_for_Analysis\2508_20240610_0003_L_4122.jpg","2508_20240610_0003_L_4122.jpg")</f>
        <v>2508_20240610_0003_L_4122.jpg</v>
      </c>
      <c r="G2511" s="75">
        <v>8</v>
      </c>
      <c r="I2511">
        <f t="shared" si="39"/>
        <v>0</v>
      </c>
      <c r="J2511" s="75">
        <v>0</v>
      </c>
      <c r="K2511" s="77"/>
      <c r="L2511" s="77"/>
      <c r="M2511" s="77"/>
      <c r="N2511" s="77"/>
      <c r="O2511" s="75">
        <v>1</v>
      </c>
      <c r="P2511" s="75">
        <v>0</v>
      </c>
      <c r="Q2511" s="75">
        <v>0</v>
      </c>
      <c r="R2511" s="75">
        <v>0</v>
      </c>
      <c r="S2511" s="75">
        <v>0</v>
      </c>
      <c r="T2511" s="75">
        <v>0</v>
      </c>
      <c r="U2511" s="75">
        <v>0</v>
      </c>
      <c r="V2511" s="75">
        <v>0</v>
      </c>
      <c r="W2511" s="78">
        <v>0</v>
      </c>
    </row>
    <row r="2512" spans="1:23" s="75" customFormat="1" hidden="1" x14ac:dyDescent="0.35">
      <c r="A2512" s="75">
        <v>2508</v>
      </c>
      <c r="B2512" s="75">
        <v>2509</v>
      </c>
      <c r="C2512">
        <v>146.0066339</v>
      </c>
      <c r="D2512">
        <v>-17.494141979999998</v>
      </c>
      <c r="F2512" s="75" t="str">
        <f>HYPERLINK("E:\Data From Lucan\2024\Johnstone\Frames_for_Analysis\2509_20240610_0003_L_4125.jpg","2509_20240610_0003_L_4125.jpg")</f>
        <v>2509_20240610_0003_L_4125.jpg</v>
      </c>
      <c r="G2512" s="75">
        <v>8</v>
      </c>
      <c r="I2512">
        <f t="shared" si="39"/>
        <v>0</v>
      </c>
      <c r="J2512" s="75">
        <v>0</v>
      </c>
      <c r="K2512" s="77"/>
      <c r="L2512" s="77"/>
      <c r="M2512" s="77"/>
      <c r="N2512" s="77"/>
      <c r="O2512" s="75">
        <v>1</v>
      </c>
      <c r="P2512" s="75">
        <v>0</v>
      </c>
      <c r="Q2512" s="75">
        <v>0</v>
      </c>
      <c r="R2512" s="75">
        <v>0</v>
      </c>
      <c r="S2512" s="75">
        <v>0</v>
      </c>
      <c r="T2512" s="75">
        <v>0</v>
      </c>
      <c r="U2512" s="75">
        <v>0</v>
      </c>
      <c r="V2512" s="75">
        <v>0</v>
      </c>
      <c r="W2512" s="78">
        <v>0</v>
      </c>
    </row>
    <row r="2513" spans="1:23" s="75" customFormat="1" hidden="1" x14ac:dyDescent="0.35">
      <c r="A2513" s="75">
        <v>2509</v>
      </c>
      <c r="B2513" s="75">
        <v>2510</v>
      </c>
      <c r="C2513">
        <v>146.0065621</v>
      </c>
      <c r="D2513">
        <v>-17.49408081</v>
      </c>
      <c r="F2513" s="75" t="str">
        <f>HYPERLINK("E:\Data From Lucan\2024\Johnstone\Frames_for_Analysis\2510_20240610_0003_L_4128.jpg","2510_20240610_0003_L_4128.jpg")</f>
        <v>2510_20240610_0003_L_4128.jpg</v>
      </c>
      <c r="G2513" s="75">
        <v>8</v>
      </c>
      <c r="I2513">
        <f t="shared" si="39"/>
        <v>0</v>
      </c>
      <c r="J2513" s="75">
        <v>0</v>
      </c>
      <c r="K2513" s="77"/>
      <c r="L2513" s="77"/>
      <c r="M2513" s="77"/>
      <c r="N2513" s="77"/>
      <c r="O2513" s="75">
        <v>1</v>
      </c>
      <c r="P2513" s="75">
        <v>0</v>
      </c>
      <c r="Q2513" s="75">
        <v>0</v>
      </c>
      <c r="R2513" s="75">
        <v>0</v>
      </c>
      <c r="S2513" s="75">
        <v>0</v>
      </c>
      <c r="T2513" s="75">
        <v>0</v>
      </c>
      <c r="U2513" s="75">
        <v>0</v>
      </c>
      <c r="V2513" s="75">
        <v>0</v>
      </c>
      <c r="W2513" s="78">
        <v>0</v>
      </c>
    </row>
    <row r="2514" spans="1:23" s="75" customFormat="1" hidden="1" x14ac:dyDescent="0.35">
      <c r="A2514" s="75">
        <v>2510</v>
      </c>
      <c r="B2514" s="75">
        <v>2511</v>
      </c>
      <c r="C2514">
        <v>146.0064903</v>
      </c>
      <c r="D2514">
        <v>-17.494019649999998</v>
      </c>
      <c r="F2514" s="75" t="str">
        <f>HYPERLINK("E:\Data From Lucan\2024\Johnstone\Frames_for_Analysis\2511_20240610_0003_L_4132.jpg","2511_20240610_0003_L_4132.jpg")</f>
        <v>2511_20240610_0003_L_4132.jpg</v>
      </c>
      <c r="G2514" s="75">
        <v>8</v>
      </c>
      <c r="I2514">
        <f t="shared" si="39"/>
        <v>0</v>
      </c>
      <c r="J2514" s="75">
        <v>0</v>
      </c>
      <c r="K2514" s="77"/>
      <c r="L2514" s="77"/>
      <c r="M2514" s="77"/>
      <c r="N2514" s="77"/>
      <c r="O2514" s="75">
        <v>2</v>
      </c>
      <c r="P2514" s="75">
        <v>0</v>
      </c>
      <c r="Q2514" s="75">
        <v>0</v>
      </c>
      <c r="R2514" s="75">
        <v>0</v>
      </c>
      <c r="S2514" s="75">
        <v>0</v>
      </c>
      <c r="T2514" s="75">
        <v>0</v>
      </c>
      <c r="U2514" s="75">
        <v>0</v>
      </c>
      <c r="V2514" s="75">
        <v>0</v>
      </c>
      <c r="W2514" s="78">
        <v>1</v>
      </c>
    </row>
    <row r="2515" spans="1:23" s="75" customFormat="1" hidden="1" x14ac:dyDescent="0.35">
      <c r="A2515" s="75">
        <v>2511</v>
      </c>
      <c r="B2515" s="75">
        <v>2512</v>
      </c>
      <c r="C2515">
        <v>146.00641859999999</v>
      </c>
      <c r="D2515">
        <v>-17.49395848</v>
      </c>
      <c r="F2515" s="75" t="str">
        <f>HYPERLINK("E:\Data From Lucan\2024\Johnstone\Frames_for_Analysis\2512_20240610_0003_L_4135.jpg","2512_20240610_0003_L_4135.jpg")</f>
        <v>2512_20240610_0003_L_4135.jpg</v>
      </c>
      <c r="G2515" s="75">
        <v>8</v>
      </c>
      <c r="I2515">
        <f t="shared" si="39"/>
        <v>0</v>
      </c>
      <c r="J2515" s="75">
        <v>0</v>
      </c>
      <c r="K2515" s="77"/>
      <c r="L2515" s="77"/>
      <c r="M2515" s="77"/>
      <c r="N2515" s="77"/>
      <c r="O2515" s="75">
        <v>1</v>
      </c>
      <c r="P2515" s="75">
        <v>0</v>
      </c>
      <c r="Q2515" s="75">
        <v>0</v>
      </c>
      <c r="R2515" s="75">
        <v>0</v>
      </c>
      <c r="S2515" s="75">
        <v>0</v>
      </c>
      <c r="T2515" s="75">
        <v>0</v>
      </c>
      <c r="U2515" s="75">
        <v>0</v>
      </c>
      <c r="V2515" s="75">
        <v>0</v>
      </c>
      <c r="W2515" s="78">
        <v>0</v>
      </c>
    </row>
    <row r="2516" spans="1:23" s="75" customFormat="1" hidden="1" x14ac:dyDescent="0.35">
      <c r="A2516" s="75">
        <v>2512</v>
      </c>
      <c r="B2516" s="75">
        <v>2513</v>
      </c>
      <c r="C2516">
        <v>146.00634679999999</v>
      </c>
      <c r="D2516">
        <v>-17.493897310000001</v>
      </c>
      <c r="F2516" s="75" t="str">
        <f>HYPERLINK("E:\Data From Lucan\2024\Johnstone\Frames_for_Analysis\2513_20240610_0003_L_4137.jpg","2513_20240610_0003_L_4137.jpg")</f>
        <v>2513_20240610_0003_L_4137.jpg</v>
      </c>
      <c r="G2516" s="75">
        <v>8</v>
      </c>
      <c r="I2516">
        <f t="shared" si="39"/>
        <v>0</v>
      </c>
      <c r="J2516" s="75">
        <v>0</v>
      </c>
      <c r="K2516" s="77"/>
      <c r="L2516" s="77"/>
      <c r="M2516" s="77"/>
      <c r="N2516" s="77"/>
      <c r="O2516" s="75">
        <v>1</v>
      </c>
      <c r="P2516" s="75">
        <v>0</v>
      </c>
      <c r="Q2516" s="75">
        <v>0</v>
      </c>
      <c r="R2516" s="75">
        <v>0</v>
      </c>
      <c r="S2516" s="75">
        <v>0</v>
      </c>
      <c r="T2516" s="75">
        <v>0</v>
      </c>
      <c r="U2516" s="75">
        <v>0</v>
      </c>
      <c r="V2516" s="75">
        <v>0</v>
      </c>
      <c r="W2516" s="78">
        <v>0</v>
      </c>
    </row>
    <row r="2517" spans="1:23" s="75" customFormat="1" hidden="1" x14ac:dyDescent="0.35">
      <c r="A2517" s="75">
        <v>2513</v>
      </c>
      <c r="B2517" s="75">
        <v>2514</v>
      </c>
      <c r="C2517">
        <v>146.00627499999999</v>
      </c>
      <c r="D2517">
        <v>-17.49383615</v>
      </c>
      <c r="F2517" s="75" t="str">
        <f>HYPERLINK("E:\Data From Lucan\2024\Johnstone\Frames_for_Analysis\2514_20240610_0003_L_4141.jpg","2514_20240610_0003_L_4141.jpg")</f>
        <v>2514_20240610_0003_L_4141.jpg</v>
      </c>
      <c r="G2517" s="75">
        <v>8</v>
      </c>
      <c r="I2517">
        <f t="shared" si="39"/>
        <v>1</v>
      </c>
      <c r="J2517" s="75">
        <v>1</v>
      </c>
      <c r="K2517" s="77"/>
      <c r="L2517" s="77"/>
      <c r="M2517" s="77"/>
      <c r="N2517" s="77"/>
      <c r="O2517" s="75">
        <v>1</v>
      </c>
      <c r="P2517" s="75">
        <v>0</v>
      </c>
      <c r="Q2517" s="75">
        <v>0</v>
      </c>
      <c r="R2517" s="75">
        <v>0</v>
      </c>
      <c r="S2517" s="75">
        <v>0</v>
      </c>
      <c r="T2517" s="75">
        <v>0</v>
      </c>
      <c r="U2517" s="75">
        <v>0</v>
      </c>
      <c r="V2517" s="75">
        <v>0</v>
      </c>
      <c r="W2517" s="78">
        <v>0</v>
      </c>
    </row>
    <row r="2518" spans="1:23" s="75" customFormat="1" hidden="1" x14ac:dyDescent="0.35">
      <c r="A2518" s="75">
        <v>2514</v>
      </c>
      <c r="B2518" s="75">
        <v>2515</v>
      </c>
      <c r="C2518">
        <v>146.00620319999999</v>
      </c>
      <c r="D2518">
        <v>-17.493774980000001</v>
      </c>
      <c r="F2518" s="75" t="str">
        <f>HYPERLINK("E:\Data From Lucan\2024\Johnstone\Frames_for_Analysis\2515_20240610_0003_L_4144.jpg","2515_20240610_0003_L_4144.jpg")</f>
        <v>2515_20240610_0003_L_4144.jpg</v>
      </c>
      <c r="G2518" s="75">
        <v>8</v>
      </c>
      <c r="I2518">
        <f t="shared" si="39"/>
        <v>1</v>
      </c>
      <c r="J2518" s="75">
        <v>1</v>
      </c>
      <c r="K2518" s="77"/>
      <c r="L2518" s="77"/>
      <c r="M2518" s="77"/>
      <c r="N2518" s="77"/>
      <c r="O2518" s="75">
        <v>1</v>
      </c>
      <c r="P2518" s="75">
        <v>0</v>
      </c>
      <c r="Q2518" s="75">
        <v>0</v>
      </c>
      <c r="R2518" s="75">
        <v>0</v>
      </c>
      <c r="S2518" s="75">
        <v>0</v>
      </c>
      <c r="T2518" s="75">
        <v>0</v>
      </c>
      <c r="U2518" s="75">
        <v>0</v>
      </c>
      <c r="V2518" s="75">
        <v>0</v>
      </c>
      <c r="W2518" s="78">
        <v>0</v>
      </c>
    </row>
    <row r="2519" spans="1:23" s="75" customFormat="1" hidden="1" x14ac:dyDescent="0.35">
      <c r="A2519" s="75">
        <v>2515</v>
      </c>
      <c r="B2519" s="75">
        <v>2516</v>
      </c>
      <c r="C2519">
        <v>146.00613150000001</v>
      </c>
      <c r="D2519">
        <v>-17.493713809999999</v>
      </c>
      <c r="F2519" s="75" t="str">
        <f>HYPERLINK("E:\Data From Lucan\2024\Johnstone\Frames_for_Analysis\2516_20240610_0003_L_4147.jpg","2516_20240610_0003_L_4147.jpg")</f>
        <v>2516_20240610_0003_L_4147.jpg</v>
      </c>
      <c r="G2519" s="75">
        <v>8</v>
      </c>
      <c r="I2519">
        <f t="shared" si="39"/>
        <v>1</v>
      </c>
      <c r="J2519" s="75">
        <v>1</v>
      </c>
      <c r="K2519" s="77"/>
      <c r="L2519" s="77"/>
      <c r="M2519" s="77"/>
      <c r="N2519" s="77"/>
      <c r="O2519" s="75">
        <v>1</v>
      </c>
      <c r="P2519" s="75">
        <v>0</v>
      </c>
      <c r="Q2519" s="75">
        <v>0</v>
      </c>
      <c r="R2519" s="75">
        <v>0</v>
      </c>
      <c r="S2519" s="75">
        <v>0</v>
      </c>
      <c r="T2519" s="75">
        <v>0</v>
      </c>
      <c r="U2519" s="75">
        <v>0</v>
      </c>
      <c r="V2519" s="75">
        <v>0</v>
      </c>
      <c r="W2519" s="78">
        <v>0</v>
      </c>
    </row>
    <row r="2520" spans="1:23" s="75" customFormat="1" hidden="1" x14ac:dyDescent="0.35">
      <c r="A2520" s="75">
        <v>2516</v>
      </c>
      <c r="B2520" s="75">
        <v>2517</v>
      </c>
      <c r="C2520">
        <v>146.00605970000001</v>
      </c>
      <c r="D2520">
        <v>-17.493652650000001</v>
      </c>
      <c r="F2520" s="75" t="str">
        <f>HYPERLINK("E:\Data From Lucan\2024\Johnstone\Frames_for_Analysis\2517_20240610_0003_L_4149.jpg","2517_20240610_0003_L_4149.jpg")</f>
        <v>2517_20240610_0003_L_4149.jpg</v>
      </c>
      <c r="G2520" s="75">
        <v>8</v>
      </c>
      <c r="I2520">
        <f t="shared" si="39"/>
        <v>0</v>
      </c>
      <c r="J2520" s="75">
        <v>0</v>
      </c>
      <c r="K2520" s="77"/>
      <c r="L2520" s="77"/>
      <c r="M2520" s="77"/>
      <c r="N2520" s="77"/>
      <c r="O2520" s="75">
        <v>1</v>
      </c>
      <c r="P2520" s="75">
        <v>0</v>
      </c>
      <c r="Q2520" s="75">
        <v>0</v>
      </c>
      <c r="R2520" s="75">
        <v>0</v>
      </c>
      <c r="S2520" s="75">
        <v>0</v>
      </c>
      <c r="T2520" s="75">
        <v>0</v>
      </c>
      <c r="U2520" s="75">
        <v>0</v>
      </c>
      <c r="V2520" s="75">
        <v>0</v>
      </c>
      <c r="W2520" s="78">
        <v>0</v>
      </c>
    </row>
    <row r="2521" spans="1:23" s="75" customFormat="1" hidden="1" x14ac:dyDescent="0.35">
      <c r="A2521" s="75">
        <v>2517</v>
      </c>
      <c r="B2521" s="75">
        <v>2518</v>
      </c>
      <c r="C2521">
        <v>146.00598790000001</v>
      </c>
      <c r="D2521">
        <v>-17.493591479999999</v>
      </c>
      <c r="F2521" s="75" t="str">
        <f>HYPERLINK("E:\Data From Lucan\2024\Johnstone\Frames_for_Analysis\2518_20240610_0003_L_4152.jpg","2518_20240610_0003_L_4152.jpg")</f>
        <v>2518_20240610_0003_L_4152.jpg</v>
      </c>
      <c r="G2521" s="75">
        <v>8</v>
      </c>
      <c r="I2521">
        <f t="shared" si="39"/>
        <v>0</v>
      </c>
      <c r="J2521" s="75">
        <v>0</v>
      </c>
      <c r="K2521" s="77"/>
      <c r="L2521" s="77"/>
      <c r="M2521" s="77"/>
      <c r="N2521" s="77"/>
      <c r="O2521" s="75">
        <v>1</v>
      </c>
      <c r="P2521" s="75">
        <v>0</v>
      </c>
      <c r="Q2521" s="75">
        <v>0</v>
      </c>
      <c r="R2521" s="75">
        <v>0</v>
      </c>
      <c r="S2521" s="75">
        <v>0</v>
      </c>
      <c r="T2521" s="75">
        <v>0</v>
      </c>
      <c r="U2521" s="75">
        <v>0</v>
      </c>
      <c r="V2521" s="75">
        <v>0</v>
      </c>
      <c r="W2521" s="78">
        <v>0</v>
      </c>
    </row>
    <row r="2522" spans="1:23" s="75" customFormat="1" hidden="1" x14ac:dyDescent="0.35">
      <c r="A2522" s="75">
        <v>2518</v>
      </c>
      <c r="B2522" s="75">
        <v>2519</v>
      </c>
      <c r="C2522">
        <v>146.0059287</v>
      </c>
      <c r="D2522">
        <v>-17.493518340000001</v>
      </c>
      <c r="F2522" s="75" t="str">
        <f>HYPERLINK("E:\Data From Lucan\2024\Johnstone\Frames_for_Analysis\2519_20240610_0003_L_4156.jpg","2519_20240610_0003_L_4156.jpg")</f>
        <v>2519_20240610_0003_L_4156.jpg</v>
      </c>
      <c r="G2522" s="75">
        <v>8</v>
      </c>
      <c r="I2522">
        <f t="shared" si="39"/>
        <v>0</v>
      </c>
      <c r="J2522" s="75">
        <v>0</v>
      </c>
      <c r="K2522" s="77"/>
      <c r="L2522" s="77"/>
      <c r="M2522" s="77"/>
      <c r="N2522" s="77"/>
      <c r="O2522" s="75">
        <v>1</v>
      </c>
      <c r="P2522" s="75">
        <v>0</v>
      </c>
      <c r="Q2522" s="75">
        <v>0</v>
      </c>
      <c r="R2522" s="75">
        <v>0</v>
      </c>
      <c r="S2522" s="75">
        <v>0</v>
      </c>
      <c r="T2522" s="75">
        <v>0</v>
      </c>
      <c r="U2522" s="75">
        <v>0</v>
      </c>
      <c r="V2522" s="75">
        <v>0</v>
      </c>
      <c r="W2522" s="78">
        <v>0</v>
      </c>
    </row>
    <row r="2523" spans="1:23" s="75" customFormat="1" hidden="1" x14ac:dyDescent="0.35">
      <c r="A2523" s="75">
        <v>2519</v>
      </c>
      <c r="B2523" s="75">
        <v>2520</v>
      </c>
      <c r="C2523">
        <v>146.0058707</v>
      </c>
      <c r="D2523">
        <v>-17.49344396</v>
      </c>
      <c r="F2523" s="75" t="str">
        <f>HYPERLINK("E:\Data From Lucan\2024\Johnstone\Frames_for_Analysis\2520_20240610_0003_L_4159.jpg","2520_20240610_0003_L_4159.jpg")</f>
        <v>2520_20240610_0003_L_4159.jpg</v>
      </c>
      <c r="G2523" s="75">
        <v>8</v>
      </c>
      <c r="I2523">
        <f t="shared" si="39"/>
        <v>0</v>
      </c>
      <c r="J2523" s="75">
        <v>0</v>
      </c>
      <c r="K2523" s="77"/>
      <c r="L2523" s="77"/>
      <c r="M2523" s="77"/>
      <c r="N2523" s="77"/>
      <c r="O2523" s="75">
        <v>1</v>
      </c>
      <c r="P2523" s="75">
        <v>0</v>
      </c>
      <c r="Q2523" s="75">
        <v>0</v>
      </c>
      <c r="R2523" s="75">
        <v>0</v>
      </c>
      <c r="S2523" s="75">
        <v>0</v>
      </c>
      <c r="T2523" s="75">
        <v>0</v>
      </c>
      <c r="U2523" s="75">
        <v>0</v>
      </c>
      <c r="V2523" s="75">
        <v>0</v>
      </c>
      <c r="W2523" s="78">
        <v>0</v>
      </c>
    </row>
    <row r="2524" spans="1:23" s="75" customFormat="1" hidden="1" x14ac:dyDescent="0.35">
      <c r="A2524" s="75">
        <v>2520</v>
      </c>
      <c r="B2524" s="75">
        <v>2521</v>
      </c>
      <c r="C2524">
        <v>146.00581270000001</v>
      </c>
      <c r="D2524">
        <v>-17.49336958</v>
      </c>
      <c r="F2524" s="75" t="str">
        <f>HYPERLINK("E:\Data From Lucan\2024\Johnstone\Frames_for_Analysis\2521_20240610_0003_L_4162.jpg","2521_20240610_0003_L_4162.jpg")</f>
        <v>2521_20240610_0003_L_4162.jpg</v>
      </c>
      <c r="G2524" s="75">
        <v>8</v>
      </c>
      <c r="I2524">
        <f t="shared" si="39"/>
        <v>0</v>
      </c>
      <c r="J2524" s="75">
        <v>0</v>
      </c>
      <c r="K2524" s="77"/>
      <c r="L2524" s="77"/>
      <c r="M2524" s="77"/>
      <c r="N2524" s="77"/>
      <c r="O2524" s="75">
        <v>1</v>
      </c>
      <c r="P2524" s="75">
        <v>0</v>
      </c>
      <c r="Q2524" s="75">
        <v>0</v>
      </c>
      <c r="R2524" s="75">
        <v>0</v>
      </c>
      <c r="S2524" s="75">
        <v>0</v>
      </c>
      <c r="T2524" s="75">
        <v>0</v>
      </c>
      <c r="U2524" s="75">
        <v>0</v>
      </c>
      <c r="V2524" s="75">
        <v>0</v>
      </c>
      <c r="W2524" s="78">
        <v>0</v>
      </c>
    </row>
    <row r="2525" spans="1:23" s="75" customFormat="1" hidden="1" x14ac:dyDescent="0.35">
      <c r="A2525" s="75">
        <v>2521</v>
      </c>
      <c r="B2525" s="75">
        <v>2522</v>
      </c>
      <c r="C2525">
        <v>146.00575470000001</v>
      </c>
      <c r="D2525">
        <v>-17.493295199999999</v>
      </c>
      <c r="F2525" s="75" t="str">
        <f>HYPERLINK("E:\Data From Lucan\2024\Johnstone\Frames_for_Analysis\2522_20240610_0003_L_4165.jpg","2522_20240610_0003_L_4165.jpg")</f>
        <v>2522_20240610_0003_L_4165.jpg</v>
      </c>
      <c r="G2525" s="75">
        <v>8</v>
      </c>
      <c r="I2525">
        <f t="shared" si="39"/>
        <v>0</v>
      </c>
      <c r="J2525" s="75">
        <v>0</v>
      </c>
      <c r="K2525" s="77"/>
      <c r="L2525" s="77"/>
      <c r="M2525" s="77"/>
      <c r="N2525" s="77"/>
      <c r="O2525" s="75">
        <v>1</v>
      </c>
      <c r="P2525" s="75">
        <v>0</v>
      </c>
      <c r="Q2525" s="75">
        <v>0</v>
      </c>
      <c r="R2525" s="75">
        <v>0</v>
      </c>
      <c r="S2525" s="75">
        <v>0</v>
      </c>
      <c r="T2525" s="75">
        <v>0</v>
      </c>
      <c r="U2525" s="75">
        <v>0</v>
      </c>
      <c r="V2525" s="75">
        <v>0</v>
      </c>
      <c r="W2525" s="78">
        <v>0</v>
      </c>
    </row>
    <row r="2526" spans="1:23" s="75" customFormat="1" hidden="1" x14ac:dyDescent="0.35">
      <c r="A2526" s="75">
        <v>2522</v>
      </c>
      <c r="B2526" s="75">
        <v>2523</v>
      </c>
      <c r="C2526">
        <v>146.00569680000001</v>
      </c>
      <c r="D2526">
        <v>-17.493220820000001</v>
      </c>
      <c r="F2526" s="75" t="str">
        <f>HYPERLINK("E:\Data From Lucan\2024\Johnstone\Frames_for_Analysis\2523_20240610_0003_L_4168.jpg","2523_20240610_0003_L_4168.jpg")</f>
        <v>2523_20240610_0003_L_4168.jpg</v>
      </c>
      <c r="G2526" s="75">
        <v>8</v>
      </c>
      <c r="I2526">
        <f t="shared" si="39"/>
        <v>0</v>
      </c>
      <c r="J2526" s="75">
        <v>0</v>
      </c>
      <c r="K2526" s="77"/>
      <c r="L2526" s="77"/>
      <c r="M2526" s="77"/>
      <c r="N2526" s="77"/>
      <c r="O2526" s="75">
        <v>1</v>
      </c>
      <c r="P2526" s="75">
        <v>0</v>
      </c>
      <c r="Q2526" s="75">
        <v>0</v>
      </c>
      <c r="R2526" s="75">
        <v>0</v>
      </c>
      <c r="S2526" s="75">
        <v>0</v>
      </c>
      <c r="T2526" s="75">
        <v>0</v>
      </c>
      <c r="U2526" s="75">
        <v>0</v>
      </c>
      <c r="V2526" s="75">
        <v>0</v>
      </c>
      <c r="W2526" s="78">
        <v>0</v>
      </c>
    </row>
    <row r="2527" spans="1:23" s="75" customFormat="1" hidden="1" x14ac:dyDescent="0.35">
      <c r="A2527" s="75">
        <v>2523</v>
      </c>
      <c r="B2527" s="75">
        <v>2524</v>
      </c>
      <c r="C2527">
        <v>146.00563880000001</v>
      </c>
      <c r="D2527">
        <v>-17.49314644</v>
      </c>
      <c r="F2527" s="75" t="str">
        <f>HYPERLINK("E:\Data From Lucan\2024\Johnstone\Frames_for_Analysis\2524_20240610_0003_L_4171.jpg","2524_20240610_0003_L_4171.jpg")</f>
        <v>2524_20240610_0003_L_4171.jpg</v>
      </c>
      <c r="G2527" s="75">
        <v>8</v>
      </c>
      <c r="I2527">
        <f t="shared" si="39"/>
        <v>0</v>
      </c>
      <c r="J2527" s="75">
        <v>0</v>
      </c>
      <c r="K2527" s="77"/>
      <c r="L2527" s="77"/>
      <c r="M2527" s="77"/>
      <c r="N2527" s="77"/>
      <c r="O2527" s="75">
        <v>1</v>
      </c>
      <c r="P2527" s="75">
        <v>0</v>
      </c>
      <c r="Q2527" s="75">
        <v>0</v>
      </c>
      <c r="R2527" s="75">
        <v>0</v>
      </c>
      <c r="S2527" s="75">
        <v>0</v>
      </c>
      <c r="T2527" s="75">
        <v>0</v>
      </c>
      <c r="U2527" s="75">
        <v>0</v>
      </c>
      <c r="V2527" s="75">
        <v>0</v>
      </c>
      <c r="W2527" s="78">
        <v>0</v>
      </c>
    </row>
    <row r="2528" spans="1:23" s="75" customFormat="1" hidden="1" x14ac:dyDescent="0.35">
      <c r="A2528" s="75">
        <v>2524</v>
      </c>
      <c r="B2528" s="75">
        <v>2525</v>
      </c>
      <c r="C2528">
        <v>146.0055869</v>
      </c>
      <c r="D2528">
        <v>-17.49306769</v>
      </c>
      <c r="F2528" s="75" t="str">
        <f>HYPERLINK("E:\Data From Lucan\2024\Johnstone\Frames_for_Analysis\2525_20240610_0003_L_4174.jpg","2525_20240610_0003_L_4174.jpg")</f>
        <v>2525_20240610_0003_L_4174.jpg</v>
      </c>
      <c r="G2528" s="75">
        <v>8</v>
      </c>
      <c r="I2528">
        <f t="shared" si="39"/>
        <v>0</v>
      </c>
      <c r="J2528" s="75">
        <v>0</v>
      </c>
      <c r="K2528" s="77"/>
      <c r="L2528" s="77"/>
      <c r="M2528" s="77"/>
      <c r="N2528" s="77"/>
      <c r="O2528" s="75">
        <v>1</v>
      </c>
      <c r="P2528" s="75">
        <v>0</v>
      </c>
      <c r="Q2528" s="75">
        <v>0</v>
      </c>
      <c r="R2528" s="75">
        <v>0</v>
      </c>
      <c r="S2528" s="75">
        <v>0</v>
      </c>
      <c r="T2528" s="75">
        <v>0</v>
      </c>
      <c r="U2528" s="75">
        <v>0</v>
      </c>
      <c r="V2528" s="75">
        <v>0</v>
      </c>
      <c r="W2528" s="78">
        <v>0</v>
      </c>
    </row>
    <row r="2529" spans="1:23" s="75" customFormat="1" hidden="1" x14ac:dyDescent="0.35">
      <c r="A2529" s="75">
        <v>2525</v>
      </c>
      <c r="B2529" s="75">
        <v>2526</v>
      </c>
      <c r="C2529">
        <v>146.0055351</v>
      </c>
      <c r="D2529">
        <v>-17.492988919999998</v>
      </c>
      <c r="F2529" s="75" t="str">
        <f>HYPERLINK("E:\Data From Lucan\2024\Johnstone\Frames_for_Analysis\2526_20240610_0003_L_4177.jpg","2526_20240610_0003_L_4177.jpg")</f>
        <v>2526_20240610_0003_L_4177.jpg</v>
      </c>
      <c r="G2529" s="75">
        <v>8</v>
      </c>
      <c r="I2529">
        <f t="shared" si="39"/>
        <v>0</v>
      </c>
      <c r="J2529" s="75">
        <v>0</v>
      </c>
      <c r="K2529" s="77"/>
      <c r="L2529" s="77"/>
      <c r="M2529" s="77"/>
      <c r="N2529" s="77"/>
      <c r="O2529" s="75">
        <v>1</v>
      </c>
      <c r="P2529" s="75">
        <v>0</v>
      </c>
      <c r="Q2529" s="75">
        <v>0</v>
      </c>
      <c r="R2529" s="75">
        <v>0</v>
      </c>
      <c r="S2529" s="75">
        <v>0</v>
      </c>
      <c r="T2529" s="75">
        <v>0</v>
      </c>
      <c r="U2529" s="75">
        <v>0</v>
      </c>
      <c r="V2529" s="75">
        <v>0</v>
      </c>
      <c r="W2529" s="78">
        <v>0</v>
      </c>
    </row>
    <row r="2530" spans="1:23" s="75" customFormat="1" hidden="1" x14ac:dyDescent="0.35">
      <c r="A2530" s="75">
        <v>2526</v>
      </c>
      <c r="B2530" s="75">
        <v>2527</v>
      </c>
      <c r="C2530">
        <v>146.00548319999999</v>
      </c>
      <c r="D2530">
        <v>-17.49291015</v>
      </c>
      <c r="F2530" s="75" t="str">
        <f>HYPERLINK("E:\Data From Lucan\2024\Johnstone\Frames_for_Analysis\2527_20240610_0003_L_4180.jpg","2527_20240610_0003_L_4180.jpg")</f>
        <v>2527_20240610_0003_L_4180.jpg</v>
      </c>
      <c r="G2530" s="75">
        <v>8</v>
      </c>
      <c r="I2530">
        <f t="shared" si="39"/>
        <v>0</v>
      </c>
      <c r="J2530" s="75">
        <v>0</v>
      </c>
      <c r="K2530" s="77"/>
      <c r="L2530" s="77"/>
      <c r="M2530" s="77"/>
      <c r="N2530" s="77"/>
      <c r="O2530" s="75">
        <v>1</v>
      </c>
      <c r="P2530" s="75">
        <v>0</v>
      </c>
      <c r="Q2530" s="75">
        <v>0</v>
      </c>
      <c r="R2530" s="75">
        <v>0</v>
      </c>
      <c r="S2530" s="75">
        <v>0</v>
      </c>
      <c r="T2530" s="75">
        <v>0</v>
      </c>
      <c r="U2530" s="75">
        <v>0</v>
      </c>
      <c r="V2530" s="75">
        <v>0</v>
      </c>
      <c r="W2530" s="78">
        <v>0</v>
      </c>
    </row>
    <row r="2531" spans="1:23" s="75" customFormat="1" hidden="1" x14ac:dyDescent="0.35">
      <c r="A2531" s="75">
        <v>2527</v>
      </c>
      <c r="B2531" s="75">
        <v>2528</v>
      </c>
      <c r="C2531">
        <v>146.00543139999999</v>
      </c>
      <c r="D2531">
        <v>-17.492831370000001</v>
      </c>
      <c r="F2531" s="75" t="str">
        <f>HYPERLINK("E:\Data From Lucan\2024\Johnstone\Frames_for_Analysis\2528_20240610_0003_L_4182.jpg","2528_20240610_0003_L_4182.jpg")</f>
        <v>2528_20240610_0003_L_4182.jpg</v>
      </c>
      <c r="G2531" s="75">
        <v>8</v>
      </c>
      <c r="I2531">
        <f t="shared" si="39"/>
        <v>0</v>
      </c>
      <c r="J2531" s="75">
        <v>0</v>
      </c>
      <c r="K2531" s="77"/>
      <c r="L2531" s="77"/>
      <c r="M2531" s="77"/>
      <c r="N2531" s="77"/>
      <c r="O2531" s="75">
        <v>1</v>
      </c>
      <c r="P2531" s="75">
        <v>0</v>
      </c>
      <c r="Q2531" s="75">
        <v>0</v>
      </c>
      <c r="R2531" s="75">
        <v>0</v>
      </c>
      <c r="S2531" s="75">
        <v>0</v>
      </c>
      <c r="T2531" s="75">
        <v>0</v>
      </c>
      <c r="U2531" s="75">
        <v>0</v>
      </c>
      <c r="V2531" s="75">
        <v>0</v>
      </c>
      <c r="W2531" s="78">
        <v>0</v>
      </c>
    </row>
    <row r="2532" spans="1:23" s="75" customFormat="1" hidden="1" x14ac:dyDescent="0.35">
      <c r="A2532" s="75">
        <v>2528</v>
      </c>
      <c r="B2532" s="75">
        <v>2529</v>
      </c>
      <c r="C2532">
        <v>146.0053805</v>
      </c>
      <c r="D2532">
        <v>-17.49275205</v>
      </c>
      <c r="F2532" s="75" t="str">
        <f>HYPERLINK("E:\Data From Lucan\2024\Johnstone\Frames_for_Analysis\2529_20240610_0003_L_4185.jpg","2529_20240610_0003_L_4185.jpg")</f>
        <v>2529_20240610_0003_L_4185.jpg</v>
      </c>
      <c r="G2532" s="75">
        <v>8</v>
      </c>
      <c r="I2532">
        <f t="shared" si="39"/>
        <v>0</v>
      </c>
      <c r="J2532" s="75">
        <v>0</v>
      </c>
      <c r="K2532" s="77"/>
      <c r="L2532" s="77"/>
      <c r="M2532" s="77"/>
      <c r="N2532" s="77"/>
      <c r="O2532" s="75">
        <v>1</v>
      </c>
      <c r="P2532" s="75">
        <v>0</v>
      </c>
      <c r="Q2532" s="75">
        <v>0</v>
      </c>
      <c r="R2532" s="75">
        <v>0</v>
      </c>
      <c r="S2532" s="75">
        <v>0</v>
      </c>
      <c r="T2532" s="75">
        <v>0</v>
      </c>
      <c r="U2532" s="75">
        <v>0</v>
      </c>
      <c r="V2532" s="75">
        <v>0</v>
      </c>
      <c r="W2532" s="78">
        <v>0</v>
      </c>
    </row>
    <row r="2533" spans="1:23" s="75" customFormat="1" hidden="1" x14ac:dyDescent="0.35">
      <c r="A2533" s="75">
        <v>2529</v>
      </c>
      <c r="B2533" s="75">
        <v>2530</v>
      </c>
      <c r="C2533">
        <v>146.00533870000001</v>
      </c>
      <c r="D2533">
        <v>-17.492667520000001</v>
      </c>
      <c r="F2533" s="75" t="str">
        <f>HYPERLINK("E:\Data From Lucan\2024\Johnstone\Frames_for_Analysis\2530_20240610_0003_L_4189.jpg","2530_20240610_0003_L_4189.jpg")</f>
        <v>2530_20240610_0003_L_4189.jpg</v>
      </c>
      <c r="G2533" s="75">
        <v>8</v>
      </c>
      <c r="I2533">
        <f t="shared" si="39"/>
        <v>0</v>
      </c>
      <c r="J2533" s="75">
        <v>0</v>
      </c>
      <c r="K2533" s="77"/>
      <c r="L2533" s="77"/>
      <c r="M2533" s="77"/>
      <c r="N2533" s="77"/>
      <c r="O2533" s="75">
        <v>1</v>
      </c>
      <c r="P2533" s="75">
        <v>0</v>
      </c>
      <c r="Q2533" s="75">
        <v>0</v>
      </c>
      <c r="R2533" s="75">
        <v>0</v>
      </c>
      <c r="S2533" s="75">
        <v>0</v>
      </c>
      <c r="T2533" s="75">
        <v>0</v>
      </c>
      <c r="U2533" s="75">
        <v>0</v>
      </c>
      <c r="V2533" s="75">
        <v>0</v>
      </c>
      <c r="W2533" s="78">
        <v>0</v>
      </c>
    </row>
    <row r="2534" spans="1:23" s="75" customFormat="1" hidden="1" x14ac:dyDescent="0.35">
      <c r="A2534" s="75">
        <v>2530</v>
      </c>
      <c r="B2534" s="75">
        <v>2531</v>
      </c>
      <c r="C2534">
        <v>146.00529689999999</v>
      </c>
      <c r="D2534">
        <v>-17.492582989999999</v>
      </c>
      <c r="F2534" s="75" t="str">
        <f>HYPERLINK("E:\Data From Lucan\2024\Johnstone\Frames_for_Analysis\2531_20240610_0003_L_4192.jpg","2531_20240610_0003_L_4192.jpg")</f>
        <v>2531_20240610_0003_L_4192.jpg</v>
      </c>
      <c r="G2534" s="75">
        <v>8</v>
      </c>
      <c r="I2534">
        <f t="shared" si="39"/>
        <v>1</v>
      </c>
      <c r="J2534" s="75">
        <v>1</v>
      </c>
      <c r="K2534" s="77"/>
      <c r="L2534" s="77"/>
      <c r="M2534" s="77"/>
      <c r="N2534" s="77"/>
      <c r="O2534" s="75">
        <v>1</v>
      </c>
      <c r="P2534" s="75">
        <v>0</v>
      </c>
      <c r="Q2534" s="75">
        <v>0</v>
      </c>
      <c r="R2534" s="75">
        <v>0</v>
      </c>
      <c r="S2534" s="75">
        <v>0</v>
      </c>
      <c r="T2534" s="75">
        <v>0</v>
      </c>
      <c r="U2534" s="75">
        <v>0</v>
      </c>
      <c r="V2534" s="75">
        <v>0</v>
      </c>
      <c r="W2534" s="78">
        <v>0</v>
      </c>
    </row>
    <row r="2535" spans="1:23" s="75" customFormat="1" hidden="1" x14ac:dyDescent="0.35">
      <c r="A2535" s="75">
        <v>2531</v>
      </c>
      <c r="B2535" s="75">
        <v>2532</v>
      </c>
      <c r="C2535">
        <v>146.0052551</v>
      </c>
      <c r="D2535">
        <v>-17.49249846</v>
      </c>
      <c r="F2535" s="75" t="str">
        <f>HYPERLINK("E:\Data From Lucan\2024\Johnstone\Frames_for_Analysis\2532_20240610_0003_L_4196.jpg","2532_20240610_0003_L_4196.jpg")</f>
        <v>2532_20240610_0003_L_4196.jpg</v>
      </c>
      <c r="G2535" s="75">
        <v>8</v>
      </c>
      <c r="I2535">
        <f t="shared" si="39"/>
        <v>0</v>
      </c>
      <c r="J2535" s="75">
        <v>0</v>
      </c>
      <c r="K2535" s="77"/>
      <c r="L2535" s="77"/>
      <c r="M2535" s="77"/>
      <c r="N2535" s="77"/>
      <c r="O2535" s="75">
        <v>1</v>
      </c>
      <c r="P2535" s="75">
        <v>0</v>
      </c>
      <c r="Q2535" s="75">
        <v>0</v>
      </c>
      <c r="R2535" s="75">
        <v>0</v>
      </c>
      <c r="S2535" s="75">
        <v>0</v>
      </c>
      <c r="T2535" s="75">
        <v>0</v>
      </c>
      <c r="U2535" s="75">
        <v>0</v>
      </c>
      <c r="V2535" s="75">
        <v>0</v>
      </c>
      <c r="W2535" s="78">
        <v>0</v>
      </c>
    </row>
    <row r="2536" spans="1:23" s="75" customFormat="1" hidden="1" x14ac:dyDescent="0.35">
      <c r="A2536" s="75">
        <v>2532</v>
      </c>
      <c r="B2536" s="75">
        <v>2533</v>
      </c>
      <c r="C2536">
        <v>146.00521330000001</v>
      </c>
      <c r="D2536">
        <v>-17.492413930000001</v>
      </c>
      <c r="F2536" s="75" t="str">
        <f>HYPERLINK("E:\Data From Lucan\2024\Johnstone\Frames_for_Analysis\2533_20240610_0003_L_4199.jpg","2533_20240610_0003_L_4199.jpg")</f>
        <v>2533_20240610_0003_L_4199.jpg</v>
      </c>
      <c r="G2536" s="75">
        <v>8</v>
      </c>
      <c r="I2536">
        <f t="shared" si="39"/>
        <v>0</v>
      </c>
      <c r="J2536" s="75">
        <v>0</v>
      </c>
      <c r="K2536" s="77"/>
      <c r="L2536" s="77"/>
      <c r="M2536" s="77"/>
      <c r="N2536" s="77"/>
      <c r="O2536" s="75">
        <v>1</v>
      </c>
      <c r="P2536" s="75">
        <v>0</v>
      </c>
      <c r="Q2536" s="75">
        <v>0</v>
      </c>
      <c r="R2536" s="75">
        <v>0</v>
      </c>
      <c r="S2536" s="75">
        <v>0</v>
      </c>
      <c r="T2536" s="75">
        <v>0</v>
      </c>
      <c r="U2536" s="75">
        <v>0</v>
      </c>
      <c r="V2536" s="75">
        <v>0</v>
      </c>
      <c r="W2536" s="78">
        <v>0</v>
      </c>
    </row>
    <row r="2537" spans="1:23" s="75" customFormat="1" hidden="1" x14ac:dyDescent="0.35">
      <c r="A2537" s="75">
        <v>2533</v>
      </c>
      <c r="B2537" s="75">
        <v>2534</v>
      </c>
      <c r="C2537">
        <v>146.00517139999999</v>
      </c>
      <c r="D2537">
        <v>-17.492329399999999</v>
      </c>
      <c r="F2537" s="75" t="str">
        <f>HYPERLINK("E:\Data From Lucan\2024\Johnstone\Frames_for_Analysis\2534_20240610_0003_L_4202.jpg","2534_20240610_0003_L_4202.jpg")</f>
        <v>2534_20240610_0003_L_4202.jpg</v>
      </c>
      <c r="G2537" s="75">
        <v>8</v>
      </c>
      <c r="I2537">
        <f t="shared" si="39"/>
        <v>0</v>
      </c>
      <c r="J2537" s="75">
        <v>0</v>
      </c>
      <c r="K2537" s="77"/>
      <c r="L2537" s="77"/>
      <c r="M2537" s="77"/>
      <c r="N2537" s="77"/>
      <c r="O2537" s="75">
        <v>1</v>
      </c>
      <c r="P2537" s="75">
        <v>0</v>
      </c>
      <c r="Q2537" s="75">
        <v>0</v>
      </c>
      <c r="R2537" s="75">
        <v>0</v>
      </c>
      <c r="S2537" s="75">
        <v>0</v>
      </c>
      <c r="T2537" s="75">
        <v>0</v>
      </c>
      <c r="U2537" s="75">
        <v>0</v>
      </c>
      <c r="V2537" s="75">
        <v>0</v>
      </c>
      <c r="W2537" s="78">
        <v>0</v>
      </c>
    </row>
    <row r="2538" spans="1:23" s="75" customFormat="1" hidden="1" x14ac:dyDescent="0.35">
      <c r="A2538" s="75">
        <v>2534</v>
      </c>
      <c r="B2538" s="75">
        <v>2535</v>
      </c>
      <c r="C2538">
        <v>146.0051296</v>
      </c>
      <c r="D2538">
        <v>-17.49224487</v>
      </c>
      <c r="F2538" s="75" t="str">
        <f>HYPERLINK("E:\Data From Lucan\2024\Johnstone\Frames_for_Analysis\2535_20240610_0003_L_4205.jpg","2535_20240610_0003_L_4205.jpg")</f>
        <v>2535_20240610_0003_L_4205.jpg</v>
      </c>
      <c r="G2538" s="75">
        <v>8</v>
      </c>
      <c r="I2538">
        <f t="shared" si="39"/>
        <v>0</v>
      </c>
      <c r="J2538" s="75">
        <v>0</v>
      </c>
      <c r="K2538" s="77"/>
      <c r="L2538" s="77"/>
      <c r="M2538" s="77"/>
      <c r="N2538" s="77"/>
      <c r="O2538" s="75">
        <v>1</v>
      </c>
      <c r="P2538" s="75">
        <v>0</v>
      </c>
      <c r="Q2538" s="75">
        <v>0</v>
      </c>
      <c r="R2538" s="75">
        <v>0</v>
      </c>
      <c r="S2538" s="75">
        <v>0</v>
      </c>
      <c r="T2538" s="75">
        <v>0</v>
      </c>
      <c r="U2538" s="75">
        <v>0</v>
      </c>
      <c r="V2538" s="75">
        <v>0</v>
      </c>
      <c r="W2538" s="78">
        <v>0</v>
      </c>
    </row>
    <row r="2539" spans="1:23" s="75" customFormat="1" hidden="1" x14ac:dyDescent="0.35">
      <c r="A2539" s="75">
        <v>2535</v>
      </c>
      <c r="B2539" s="75">
        <v>2536</v>
      </c>
      <c r="C2539">
        <v>146.00508780000001</v>
      </c>
      <c r="D2539">
        <v>-17.492160340000002</v>
      </c>
      <c r="F2539" s="75" t="str">
        <f>HYPERLINK("E:\Data From Lucan\2024\Johnstone\Frames_for_Analysis\2536_20240610_0003_L_4208.jpg","2536_20240610_0003_L_4208.jpg")</f>
        <v>2536_20240610_0003_L_4208.jpg</v>
      </c>
      <c r="G2539" s="75">
        <v>8</v>
      </c>
      <c r="I2539">
        <f t="shared" si="39"/>
        <v>0</v>
      </c>
      <c r="J2539" s="75">
        <v>0</v>
      </c>
      <c r="K2539" s="77"/>
      <c r="L2539" s="77"/>
      <c r="M2539" s="77"/>
      <c r="N2539" s="77"/>
      <c r="O2539" s="75">
        <v>1</v>
      </c>
      <c r="P2539" s="75">
        <v>0</v>
      </c>
      <c r="Q2539" s="75">
        <v>0</v>
      </c>
      <c r="R2539" s="75">
        <v>0</v>
      </c>
      <c r="S2539" s="75">
        <v>0</v>
      </c>
      <c r="T2539" s="75">
        <v>0</v>
      </c>
      <c r="U2539" s="75">
        <v>0</v>
      </c>
      <c r="V2539" s="75">
        <v>0</v>
      </c>
      <c r="W2539" s="78">
        <v>0</v>
      </c>
    </row>
    <row r="2540" spans="1:23" s="75" customFormat="1" hidden="1" x14ac:dyDescent="0.35">
      <c r="A2540" s="75">
        <v>2536</v>
      </c>
      <c r="B2540" s="75">
        <v>2537</v>
      </c>
      <c r="C2540">
        <v>146.00504599999999</v>
      </c>
      <c r="D2540">
        <v>-17.492075809999999</v>
      </c>
      <c r="F2540" s="75" t="str">
        <f>HYPERLINK("E:\Data From Lucan\2024\Johnstone\Frames_for_Analysis\2537_20240610_0003_L_4211.jpg","2537_20240610_0003_L_4211.jpg")</f>
        <v>2537_20240610_0003_L_4211.jpg</v>
      </c>
      <c r="G2540" s="75">
        <v>8</v>
      </c>
      <c r="I2540">
        <f t="shared" si="39"/>
        <v>0</v>
      </c>
      <c r="J2540" s="75">
        <v>0</v>
      </c>
      <c r="K2540" s="77"/>
      <c r="L2540" s="77"/>
      <c r="M2540" s="77"/>
      <c r="N2540" s="77"/>
      <c r="O2540" s="75">
        <v>1</v>
      </c>
      <c r="P2540" s="75">
        <v>0</v>
      </c>
      <c r="Q2540" s="75">
        <v>0</v>
      </c>
      <c r="R2540" s="75">
        <v>0</v>
      </c>
      <c r="S2540" s="75">
        <v>0</v>
      </c>
      <c r="T2540" s="75">
        <v>0</v>
      </c>
      <c r="U2540" s="75">
        <v>0</v>
      </c>
      <c r="V2540" s="75">
        <v>0</v>
      </c>
      <c r="W2540" s="78">
        <v>0</v>
      </c>
    </row>
    <row r="2541" spans="1:23" s="75" customFormat="1" hidden="1" x14ac:dyDescent="0.35">
      <c r="A2541" s="75">
        <v>2537</v>
      </c>
      <c r="B2541" s="75">
        <v>2538</v>
      </c>
      <c r="C2541">
        <v>146.0050042</v>
      </c>
      <c r="D2541">
        <v>-17.491991280000001</v>
      </c>
      <c r="F2541" s="75" t="str">
        <f>HYPERLINK("E:\Data From Lucan\2024\Johnstone\Frames_for_Analysis\2538_20240610_0003_L_4214.jpg","2538_20240610_0003_L_4214.jpg")</f>
        <v>2538_20240610_0003_L_4214.jpg</v>
      </c>
      <c r="G2541" s="75">
        <v>8</v>
      </c>
      <c r="I2541">
        <f t="shared" si="39"/>
        <v>0</v>
      </c>
      <c r="J2541" s="75">
        <v>0</v>
      </c>
      <c r="K2541" s="77"/>
      <c r="L2541" s="77"/>
      <c r="M2541" s="77"/>
      <c r="N2541" s="77"/>
      <c r="O2541" s="75">
        <v>1</v>
      </c>
      <c r="P2541" s="75">
        <v>0</v>
      </c>
      <c r="Q2541" s="75">
        <v>0</v>
      </c>
      <c r="R2541" s="75">
        <v>0</v>
      </c>
      <c r="S2541" s="75">
        <v>0</v>
      </c>
      <c r="T2541" s="75">
        <v>0</v>
      </c>
      <c r="U2541" s="75">
        <v>0</v>
      </c>
      <c r="V2541" s="75">
        <v>0</v>
      </c>
      <c r="W2541" s="78">
        <v>0</v>
      </c>
    </row>
    <row r="2542" spans="1:23" s="75" customFormat="1" hidden="1" x14ac:dyDescent="0.35">
      <c r="A2542" s="75">
        <v>2538</v>
      </c>
      <c r="B2542" s="75">
        <v>2539</v>
      </c>
      <c r="C2542">
        <v>146.0049626</v>
      </c>
      <c r="D2542">
        <v>-17.49190668</v>
      </c>
      <c r="F2542" s="75" t="str">
        <f>HYPERLINK("E:\Data From Lucan\2024\Johnstone\Frames_for_Analysis\2539_20240610_0003_L_4217.jpg","2539_20240610_0003_L_4217.jpg")</f>
        <v>2539_20240610_0003_L_4217.jpg</v>
      </c>
      <c r="G2542" s="75">
        <v>8</v>
      </c>
      <c r="I2542">
        <f t="shared" si="39"/>
        <v>0</v>
      </c>
      <c r="J2542" s="75">
        <v>0</v>
      </c>
      <c r="K2542" s="77"/>
      <c r="L2542" s="77"/>
      <c r="M2542" s="77"/>
      <c r="N2542" s="77"/>
      <c r="O2542" s="75">
        <v>1</v>
      </c>
      <c r="P2542" s="75">
        <v>0</v>
      </c>
      <c r="Q2542" s="75">
        <v>0</v>
      </c>
      <c r="R2542" s="75">
        <v>0</v>
      </c>
      <c r="S2542" s="75">
        <v>0</v>
      </c>
      <c r="T2542" s="75">
        <v>0</v>
      </c>
      <c r="U2542" s="75">
        <v>0</v>
      </c>
      <c r="V2542" s="75">
        <v>0</v>
      </c>
      <c r="W2542" s="78">
        <v>0</v>
      </c>
    </row>
    <row r="2543" spans="1:23" s="75" customFormat="1" hidden="1" x14ac:dyDescent="0.35">
      <c r="A2543" s="75">
        <v>2539</v>
      </c>
      <c r="B2543" s="75">
        <v>2540</v>
      </c>
      <c r="C2543">
        <v>146.00492249999999</v>
      </c>
      <c r="D2543">
        <v>-17.491821309999999</v>
      </c>
      <c r="F2543" s="75" t="str">
        <f>HYPERLINK("E:\Data From Lucan\2024\Johnstone\Frames_for_Analysis\2540_20240610_0003_L_4220.jpg","2540_20240610_0003_L_4220.jpg")</f>
        <v>2540_20240610_0003_L_4220.jpg</v>
      </c>
      <c r="G2543" s="75">
        <v>8</v>
      </c>
      <c r="I2543">
        <f t="shared" si="39"/>
        <v>0</v>
      </c>
      <c r="J2543" s="75">
        <v>0</v>
      </c>
      <c r="K2543" s="77"/>
      <c r="L2543" s="77"/>
      <c r="M2543" s="77"/>
      <c r="N2543" s="77"/>
      <c r="O2543" s="75">
        <v>1</v>
      </c>
      <c r="P2543" s="75">
        <v>0</v>
      </c>
      <c r="Q2543" s="75">
        <v>0</v>
      </c>
      <c r="R2543" s="75">
        <v>0</v>
      </c>
      <c r="S2543" s="75">
        <v>0</v>
      </c>
      <c r="T2543" s="75">
        <v>0</v>
      </c>
      <c r="U2543" s="75">
        <v>0</v>
      </c>
      <c r="V2543" s="75">
        <v>0</v>
      </c>
      <c r="W2543" s="78">
        <v>0</v>
      </c>
    </row>
    <row r="2544" spans="1:23" s="75" customFormat="1" hidden="1" x14ac:dyDescent="0.35">
      <c r="A2544" s="75">
        <v>2540</v>
      </c>
      <c r="B2544" s="75">
        <v>2541</v>
      </c>
      <c r="C2544">
        <v>146.00488240000001</v>
      </c>
      <c r="D2544">
        <v>-17.491735930000001</v>
      </c>
      <c r="F2544" s="75" t="str">
        <f>HYPERLINK("E:\Data From Lucan\2024\Johnstone\Frames_for_Analysis\2541_20240610_0003_L_4223.jpg","2541_20240610_0003_L_4223.jpg")</f>
        <v>2541_20240610_0003_L_4223.jpg</v>
      </c>
      <c r="G2544" s="75">
        <v>8</v>
      </c>
      <c r="I2544">
        <f t="shared" si="39"/>
        <v>0</v>
      </c>
      <c r="J2544" s="75">
        <v>0</v>
      </c>
      <c r="K2544" s="77"/>
      <c r="L2544" s="77"/>
      <c r="M2544" s="77"/>
      <c r="N2544" s="77"/>
      <c r="O2544" s="75">
        <v>1</v>
      </c>
      <c r="P2544" s="75">
        <v>0</v>
      </c>
      <c r="Q2544" s="75">
        <v>0</v>
      </c>
      <c r="R2544" s="75">
        <v>0</v>
      </c>
      <c r="S2544" s="75">
        <v>0</v>
      </c>
      <c r="T2544" s="75">
        <v>0</v>
      </c>
      <c r="U2544" s="75">
        <v>0</v>
      </c>
      <c r="V2544" s="75">
        <v>0</v>
      </c>
      <c r="W2544" s="78">
        <v>0</v>
      </c>
    </row>
    <row r="2545" spans="1:23" s="75" customFormat="1" hidden="1" x14ac:dyDescent="0.35">
      <c r="A2545" s="75">
        <v>2541</v>
      </c>
      <c r="B2545" s="75">
        <v>2542</v>
      </c>
      <c r="C2545">
        <v>146.0048424</v>
      </c>
      <c r="D2545">
        <v>-17.49165056</v>
      </c>
      <c r="F2545" s="75" t="str">
        <f>HYPERLINK("E:\Data From Lucan\2024\Johnstone\Frames_for_Analysis\2542_20240610_0003_L_4227.jpg","2542_20240610_0003_L_4227.jpg")</f>
        <v>2542_20240610_0003_L_4227.jpg</v>
      </c>
      <c r="G2545" s="75">
        <v>8</v>
      </c>
      <c r="I2545">
        <f t="shared" si="39"/>
        <v>0</v>
      </c>
      <c r="J2545" s="75">
        <v>0</v>
      </c>
      <c r="K2545" s="77"/>
      <c r="L2545" s="77"/>
      <c r="M2545" s="77"/>
      <c r="N2545" s="77"/>
      <c r="O2545" s="75">
        <v>1</v>
      </c>
      <c r="P2545" s="75">
        <v>0</v>
      </c>
      <c r="Q2545" s="75">
        <v>0</v>
      </c>
      <c r="R2545" s="75">
        <v>0</v>
      </c>
      <c r="S2545" s="75">
        <v>0</v>
      </c>
      <c r="T2545" s="75">
        <v>0</v>
      </c>
      <c r="U2545" s="75">
        <v>0</v>
      </c>
      <c r="V2545" s="75">
        <v>0</v>
      </c>
      <c r="W2545" s="78">
        <v>0</v>
      </c>
    </row>
    <row r="2546" spans="1:23" s="75" customFormat="1" hidden="1" x14ac:dyDescent="0.35">
      <c r="A2546" s="75">
        <v>2542</v>
      </c>
      <c r="B2546" s="75">
        <v>2543</v>
      </c>
      <c r="C2546">
        <v>146.00480229999999</v>
      </c>
      <c r="D2546">
        <v>-17.491565179999998</v>
      </c>
      <c r="F2546" s="75" t="str">
        <f>HYPERLINK("E:\Data From Lucan\2024\Johnstone\Frames_for_Analysis\2543_20240610_0003_L_4230.jpg","2543_20240610_0003_L_4230.jpg")</f>
        <v>2543_20240610_0003_L_4230.jpg</v>
      </c>
      <c r="G2546" s="75">
        <v>8</v>
      </c>
      <c r="I2546">
        <f t="shared" si="39"/>
        <v>0</v>
      </c>
      <c r="J2546" s="75">
        <v>0</v>
      </c>
      <c r="K2546" s="77"/>
      <c r="L2546" s="77"/>
      <c r="M2546" s="77"/>
      <c r="N2546" s="77"/>
      <c r="O2546" s="75">
        <v>1</v>
      </c>
      <c r="P2546" s="75">
        <v>0</v>
      </c>
      <c r="Q2546" s="75">
        <v>0</v>
      </c>
      <c r="R2546" s="75">
        <v>0</v>
      </c>
      <c r="S2546" s="75">
        <v>0</v>
      </c>
      <c r="T2546" s="75">
        <v>0</v>
      </c>
      <c r="U2546" s="75">
        <v>0</v>
      </c>
      <c r="V2546" s="75">
        <v>0</v>
      </c>
      <c r="W2546" s="78">
        <v>0</v>
      </c>
    </row>
    <row r="2547" spans="1:23" s="75" customFormat="1" hidden="1" x14ac:dyDescent="0.35">
      <c r="A2547" s="75">
        <v>2543</v>
      </c>
      <c r="B2547" s="75">
        <v>2544</v>
      </c>
      <c r="C2547">
        <v>146.00476230000001</v>
      </c>
      <c r="D2547">
        <v>-17.491479810000001</v>
      </c>
      <c r="F2547" s="75" t="str">
        <f>HYPERLINK("E:\Data From Lucan\2024\Johnstone\Frames_for_Analysis\2544_20240610_0003_L_4233.jpg","2544_20240610_0003_L_4233.jpg")</f>
        <v>2544_20240610_0003_L_4233.jpg</v>
      </c>
      <c r="G2547" s="75">
        <v>8</v>
      </c>
      <c r="I2547">
        <f t="shared" si="39"/>
        <v>0</v>
      </c>
      <c r="J2547" s="75">
        <v>0</v>
      </c>
      <c r="K2547" s="77"/>
      <c r="L2547" s="77"/>
      <c r="M2547" s="77"/>
      <c r="N2547" s="77"/>
      <c r="O2547" s="75">
        <v>1</v>
      </c>
      <c r="P2547" s="75">
        <v>0</v>
      </c>
      <c r="Q2547" s="75">
        <v>0</v>
      </c>
      <c r="R2547" s="75">
        <v>0</v>
      </c>
      <c r="S2547" s="75">
        <v>0</v>
      </c>
      <c r="T2547" s="75">
        <v>0</v>
      </c>
      <c r="U2547" s="75">
        <v>0</v>
      </c>
      <c r="V2547" s="75">
        <v>1</v>
      </c>
      <c r="W2547" s="78">
        <v>0</v>
      </c>
    </row>
    <row r="2548" spans="1:23" s="75" customFormat="1" hidden="1" x14ac:dyDescent="0.35">
      <c r="A2548" s="75">
        <v>2544</v>
      </c>
      <c r="B2548" s="75">
        <v>2545</v>
      </c>
      <c r="C2548">
        <v>146.0047222</v>
      </c>
      <c r="D2548">
        <v>-17.491394440000001</v>
      </c>
      <c r="F2548" s="75" t="str">
        <f>HYPERLINK("E:\Data From Lucan\2024\Johnstone\Frames_for_Analysis\2545_20240610_0003_L_4236.jpg","2545_20240610_0003_L_4236.jpg")</f>
        <v>2545_20240610_0003_L_4236.jpg</v>
      </c>
      <c r="G2548" s="75">
        <v>8</v>
      </c>
      <c r="I2548">
        <f t="shared" si="39"/>
        <v>0</v>
      </c>
      <c r="J2548" s="75">
        <v>0</v>
      </c>
      <c r="K2548" s="77"/>
      <c r="L2548" s="77"/>
      <c r="M2548" s="77"/>
      <c r="N2548" s="77"/>
      <c r="O2548" s="75">
        <v>1</v>
      </c>
      <c r="P2548" s="75">
        <v>0</v>
      </c>
      <c r="Q2548" s="75">
        <v>0</v>
      </c>
      <c r="R2548" s="75">
        <v>0</v>
      </c>
      <c r="S2548" s="75">
        <v>0</v>
      </c>
      <c r="T2548" s="75">
        <v>0</v>
      </c>
      <c r="U2548" s="75">
        <v>0</v>
      </c>
      <c r="V2548" s="75">
        <v>0</v>
      </c>
      <c r="W2548" s="78">
        <v>0</v>
      </c>
    </row>
    <row r="2549" spans="1:23" s="75" customFormat="1" hidden="1" x14ac:dyDescent="0.35">
      <c r="A2549" s="75">
        <v>2545</v>
      </c>
      <c r="B2549" s="75">
        <v>2546</v>
      </c>
      <c r="C2549">
        <v>146.00468219999999</v>
      </c>
      <c r="D2549">
        <v>-17.491309059999999</v>
      </c>
      <c r="F2549" s="75" t="str">
        <f>HYPERLINK("E:\Data From Lucan\2024\Johnstone\Frames_for_Analysis\2546_20240610_0003_L_4240.jpg","2546_20240610_0003_L_4240.jpg")</f>
        <v>2546_20240610_0003_L_4240.jpg</v>
      </c>
      <c r="G2549" s="75">
        <v>8</v>
      </c>
      <c r="I2549">
        <f t="shared" si="39"/>
        <v>0</v>
      </c>
      <c r="J2549" s="75">
        <v>0</v>
      </c>
      <c r="K2549" s="77"/>
      <c r="L2549" s="77"/>
      <c r="M2549" s="77"/>
      <c r="N2549" s="77"/>
      <c r="O2549" s="75">
        <v>1</v>
      </c>
      <c r="P2549" s="75">
        <v>0</v>
      </c>
      <c r="Q2549" s="75">
        <v>0</v>
      </c>
      <c r="R2549" s="75">
        <v>0</v>
      </c>
      <c r="S2549" s="75">
        <v>0</v>
      </c>
      <c r="T2549" s="75">
        <v>0</v>
      </c>
      <c r="U2549" s="75">
        <v>0</v>
      </c>
      <c r="V2549" s="75">
        <v>1</v>
      </c>
      <c r="W2549" s="78">
        <v>0</v>
      </c>
    </row>
    <row r="2550" spans="1:23" s="75" customFormat="1" hidden="1" x14ac:dyDescent="0.35">
      <c r="A2550" s="75">
        <v>2546</v>
      </c>
      <c r="B2550" s="75">
        <v>2547</v>
      </c>
      <c r="C2550">
        <v>146.00464210000001</v>
      </c>
      <c r="D2550">
        <v>-17.491223690000002</v>
      </c>
      <c r="F2550" s="75" t="str">
        <f>HYPERLINK("E:\Data From Lucan\2024\Johnstone\Frames_for_Analysis\2547_20240610_0003_L_4244.jpg","2547_20240610_0003_L_4244.jpg")</f>
        <v>2547_20240610_0003_L_4244.jpg</v>
      </c>
      <c r="G2550" s="75">
        <v>8</v>
      </c>
      <c r="I2550">
        <f t="shared" si="39"/>
        <v>0</v>
      </c>
      <c r="J2550" s="75">
        <v>0</v>
      </c>
      <c r="K2550" s="77"/>
      <c r="L2550" s="77"/>
      <c r="M2550" s="77"/>
      <c r="N2550" s="77"/>
      <c r="O2550" s="75">
        <v>1</v>
      </c>
      <c r="P2550" s="75">
        <v>0</v>
      </c>
      <c r="Q2550" s="75">
        <v>0</v>
      </c>
      <c r="R2550" s="75">
        <v>0</v>
      </c>
      <c r="S2550" s="75">
        <v>0</v>
      </c>
      <c r="T2550" s="75">
        <v>0</v>
      </c>
      <c r="U2550" s="75">
        <v>0</v>
      </c>
      <c r="V2550" s="75">
        <v>1</v>
      </c>
      <c r="W2550" s="78">
        <v>0</v>
      </c>
    </row>
    <row r="2551" spans="1:23" s="75" customFormat="1" hidden="1" x14ac:dyDescent="0.35">
      <c r="A2551" s="75">
        <v>2547</v>
      </c>
      <c r="B2551" s="75">
        <v>2548</v>
      </c>
      <c r="C2551">
        <v>146.0046021</v>
      </c>
      <c r="D2551">
        <v>-17.49113831</v>
      </c>
      <c r="F2551" s="75" t="str">
        <f>HYPERLINK("E:\Data From Lucan\2024\Johnstone\Frames_for_Analysis\2548_20240610_0003_L_4247.jpg","2548_20240610_0003_L_4247.jpg")</f>
        <v>2548_20240610_0003_L_4247.jpg</v>
      </c>
      <c r="G2551" s="75">
        <v>8</v>
      </c>
      <c r="I2551">
        <f t="shared" si="39"/>
        <v>0</v>
      </c>
      <c r="J2551" s="75">
        <v>0</v>
      </c>
      <c r="K2551" s="77"/>
      <c r="L2551" s="77"/>
      <c r="M2551" s="77"/>
      <c r="N2551" s="77"/>
      <c r="O2551" s="75">
        <v>1</v>
      </c>
      <c r="P2551" s="75">
        <v>0</v>
      </c>
      <c r="Q2551" s="75">
        <v>0</v>
      </c>
      <c r="R2551" s="75">
        <v>0</v>
      </c>
      <c r="S2551" s="75">
        <v>0</v>
      </c>
      <c r="T2551" s="75">
        <v>0</v>
      </c>
      <c r="U2551" s="75">
        <v>0</v>
      </c>
      <c r="V2551" s="75">
        <v>0</v>
      </c>
      <c r="W2551" s="78">
        <v>0</v>
      </c>
    </row>
    <row r="2552" spans="1:23" s="75" customFormat="1" hidden="1" x14ac:dyDescent="0.35">
      <c r="A2552" s="75">
        <v>2548</v>
      </c>
      <c r="B2552" s="75">
        <v>2549</v>
      </c>
      <c r="C2552">
        <v>146.00456199999999</v>
      </c>
      <c r="D2552">
        <v>-17.491052939999999</v>
      </c>
      <c r="F2552" s="75" t="str">
        <f>HYPERLINK("E:\Data From Lucan\2024\Johnstone\Frames_for_Analysis\2549_20240610_0003_L_4251.jpg","2549_20240610_0003_L_4251.jpg")</f>
        <v>2549_20240610_0003_L_4251.jpg</v>
      </c>
      <c r="G2552" s="75">
        <v>8</v>
      </c>
      <c r="I2552">
        <f t="shared" si="39"/>
        <v>0</v>
      </c>
      <c r="J2552" s="75">
        <v>0</v>
      </c>
      <c r="K2552" s="77"/>
      <c r="L2552" s="77"/>
      <c r="M2552" s="77"/>
      <c r="N2552" s="77"/>
      <c r="O2552" s="75">
        <v>1</v>
      </c>
      <c r="P2552" s="75">
        <v>0</v>
      </c>
      <c r="Q2552" s="75">
        <v>0</v>
      </c>
      <c r="R2552" s="75">
        <v>0</v>
      </c>
      <c r="S2552" s="75">
        <v>0</v>
      </c>
      <c r="T2552" s="75">
        <v>0</v>
      </c>
      <c r="U2552" s="75">
        <v>0</v>
      </c>
      <c r="V2552" s="75">
        <v>0</v>
      </c>
      <c r="W2552" s="78">
        <v>0</v>
      </c>
    </row>
    <row r="2553" spans="1:23" s="75" customFormat="1" hidden="1" x14ac:dyDescent="0.35">
      <c r="A2553" s="75">
        <v>2549</v>
      </c>
      <c r="B2553" s="75">
        <v>2550</v>
      </c>
      <c r="C2553">
        <v>146.00452189999999</v>
      </c>
      <c r="D2553">
        <v>-17.490967560000001</v>
      </c>
      <c r="F2553" s="75" t="str">
        <f>HYPERLINK("E:\Data From Lucan\2024\Johnstone\Frames_for_Analysis\2550_20240610_0003_L_4255.jpg","2550_20240610_0003_L_4255.jpg")</f>
        <v>2550_20240610_0003_L_4255.jpg</v>
      </c>
      <c r="G2553" s="75">
        <v>8</v>
      </c>
      <c r="I2553">
        <f t="shared" si="39"/>
        <v>0</v>
      </c>
      <c r="J2553" s="75">
        <v>0</v>
      </c>
      <c r="K2553" s="77"/>
      <c r="L2553" s="77"/>
      <c r="M2553" s="77"/>
      <c r="N2553" s="77"/>
      <c r="O2553" s="75">
        <v>1</v>
      </c>
      <c r="P2553" s="75">
        <v>0</v>
      </c>
      <c r="Q2553" s="75">
        <v>0</v>
      </c>
      <c r="R2553" s="75">
        <v>0</v>
      </c>
      <c r="S2553" s="75">
        <v>0</v>
      </c>
      <c r="T2553" s="75">
        <v>0</v>
      </c>
      <c r="U2553" s="75">
        <v>0</v>
      </c>
      <c r="V2553" s="75">
        <v>0</v>
      </c>
      <c r="W2553" s="78">
        <v>0</v>
      </c>
    </row>
    <row r="2554" spans="1:23" s="75" customFormat="1" hidden="1" x14ac:dyDescent="0.35">
      <c r="A2554" s="75">
        <v>2550</v>
      </c>
      <c r="B2554" s="75">
        <v>2551</v>
      </c>
      <c r="C2554">
        <v>146.0044753</v>
      </c>
      <c r="D2554">
        <v>-17.490885930000001</v>
      </c>
      <c r="F2554" s="75" t="str">
        <f>HYPERLINK("E:\Data From Lucan\2024\Johnstone\Frames_for_Analysis\2551_20240610_0003_L_4258.jpg","2551_20240610_0003_L_4258.jpg")</f>
        <v>2551_20240610_0003_L_4258.jpg</v>
      </c>
      <c r="G2554" s="75">
        <v>8</v>
      </c>
      <c r="I2554">
        <f t="shared" si="39"/>
        <v>0</v>
      </c>
      <c r="J2554" s="75">
        <v>0</v>
      </c>
      <c r="K2554" s="77"/>
      <c r="L2554" s="77"/>
      <c r="M2554" s="77"/>
      <c r="N2554" s="77"/>
      <c r="O2554" s="75">
        <v>2</v>
      </c>
      <c r="P2554" s="75">
        <v>0</v>
      </c>
      <c r="Q2554" s="75">
        <v>0</v>
      </c>
      <c r="R2554" s="75">
        <v>0</v>
      </c>
      <c r="S2554" s="75">
        <v>0</v>
      </c>
      <c r="T2554" s="75">
        <v>0</v>
      </c>
      <c r="U2554" s="75">
        <v>0</v>
      </c>
      <c r="V2554" s="75">
        <v>0</v>
      </c>
      <c r="W2554" s="78">
        <v>1</v>
      </c>
    </row>
    <row r="2555" spans="1:23" s="75" customFormat="1" hidden="1" x14ac:dyDescent="0.35">
      <c r="A2555" s="75">
        <v>2551</v>
      </c>
      <c r="B2555" s="75">
        <v>2552</v>
      </c>
      <c r="C2555">
        <v>146.004423</v>
      </c>
      <c r="D2555">
        <v>-17.490807409999999</v>
      </c>
      <c r="F2555" s="75" t="str">
        <f>HYPERLINK("E:\Data From Lucan\2024\Johnstone\Frames_for_Analysis\2552_20240610_0003_L_4262.jpg","2552_20240610_0003_L_4262.jpg")</f>
        <v>2552_20240610_0003_L_4262.jpg</v>
      </c>
      <c r="G2555" s="75">
        <v>8</v>
      </c>
      <c r="I2555">
        <f t="shared" si="39"/>
        <v>0</v>
      </c>
      <c r="J2555" s="75">
        <v>0</v>
      </c>
      <c r="K2555" s="77"/>
      <c r="L2555" s="77"/>
      <c r="M2555" s="77"/>
      <c r="N2555" s="77"/>
      <c r="O2555" s="75">
        <v>2</v>
      </c>
      <c r="P2555" s="75">
        <v>0</v>
      </c>
      <c r="Q2555" s="75">
        <v>0</v>
      </c>
      <c r="R2555" s="75">
        <v>0</v>
      </c>
      <c r="S2555" s="75">
        <v>0</v>
      </c>
      <c r="T2555" s="75">
        <v>0</v>
      </c>
      <c r="U2555" s="75">
        <v>0</v>
      </c>
      <c r="V2555" s="75">
        <v>0</v>
      </c>
      <c r="W2555" s="78">
        <v>1</v>
      </c>
    </row>
    <row r="2556" spans="1:23" s="75" customFormat="1" hidden="1" x14ac:dyDescent="0.35">
      <c r="A2556" s="75">
        <v>2552</v>
      </c>
      <c r="B2556" s="75">
        <v>2553</v>
      </c>
      <c r="C2556">
        <v>146.0043708</v>
      </c>
      <c r="D2556">
        <v>-17.490728900000001</v>
      </c>
      <c r="F2556" s="75" t="str">
        <f>HYPERLINK("E:\Data From Lucan\2024\Johnstone\Frames_for_Analysis\2553_20240610_0003_L_4265.jpg","2553_20240610_0003_L_4265.jpg")</f>
        <v>2553_20240610_0003_L_4265.jpg</v>
      </c>
      <c r="G2556" s="75">
        <v>9</v>
      </c>
      <c r="I2556">
        <f t="shared" si="39"/>
        <v>0</v>
      </c>
      <c r="J2556" s="75">
        <v>0</v>
      </c>
      <c r="K2556" s="77"/>
      <c r="L2556" s="77"/>
      <c r="M2556" s="77"/>
      <c r="N2556" s="77"/>
      <c r="O2556" s="75">
        <v>2</v>
      </c>
      <c r="P2556" s="75">
        <v>0</v>
      </c>
      <c r="Q2556" s="75">
        <v>0</v>
      </c>
      <c r="R2556" s="75">
        <v>0</v>
      </c>
      <c r="S2556" s="75">
        <v>0</v>
      </c>
      <c r="T2556" s="75">
        <v>0</v>
      </c>
      <c r="U2556" s="75">
        <v>0</v>
      </c>
      <c r="V2556" s="75">
        <v>0</v>
      </c>
      <c r="W2556" s="78">
        <v>1</v>
      </c>
    </row>
    <row r="2557" spans="1:23" s="75" customFormat="1" hidden="1" x14ac:dyDescent="0.35">
      <c r="A2557" s="75">
        <v>2553</v>
      </c>
      <c r="B2557" s="75">
        <v>2554</v>
      </c>
      <c r="C2557">
        <v>146.00431850000001</v>
      </c>
      <c r="D2557">
        <v>-17.490650389999999</v>
      </c>
      <c r="F2557" s="75" t="str">
        <f>HYPERLINK("E:\Data From Lucan\2024\Johnstone\Frames_for_Analysis\2554_20240610_0003_L_4269.jpg","2554_20240610_0003_L_4269.jpg")</f>
        <v>2554_20240610_0003_L_4269.jpg</v>
      </c>
      <c r="G2557" s="75">
        <v>9</v>
      </c>
      <c r="I2557">
        <f t="shared" si="39"/>
        <v>0</v>
      </c>
      <c r="J2557" s="75">
        <v>0</v>
      </c>
      <c r="K2557" s="77"/>
      <c r="L2557" s="77"/>
      <c r="M2557" s="77"/>
      <c r="N2557" s="77"/>
      <c r="O2557" s="75">
        <v>2</v>
      </c>
      <c r="P2557" s="75">
        <v>0</v>
      </c>
      <c r="Q2557" s="75">
        <v>0</v>
      </c>
      <c r="R2557" s="75">
        <v>0</v>
      </c>
      <c r="S2557" s="75">
        <v>0</v>
      </c>
      <c r="T2557" s="75">
        <v>0</v>
      </c>
      <c r="U2557" s="75">
        <v>0</v>
      </c>
      <c r="V2557" s="75">
        <v>0</v>
      </c>
      <c r="W2557" s="78">
        <v>1</v>
      </c>
    </row>
    <row r="2558" spans="1:23" s="75" customFormat="1" hidden="1" x14ac:dyDescent="0.35">
      <c r="A2558" s="75">
        <v>2554</v>
      </c>
      <c r="B2558" s="75">
        <v>2555</v>
      </c>
      <c r="C2558">
        <v>146.00426630000001</v>
      </c>
      <c r="D2558">
        <v>-17.49057187</v>
      </c>
      <c r="F2558" s="75" t="str">
        <f>HYPERLINK("E:\Data From Lucan\2024\Johnstone\Frames_for_Analysis\2555_20240610_0003_L_4272.jpg","2555_20240610_0003_L_4272.jpg")</f>
        <v>2555_20240610_0003_L_4272.jpg</v>
      </c>
      <c r="G2558" s="75">
        <v>9</v>
      </c>
      <c r="I2558">
        <f t="shared" si="39"/>
        <v>0</v>
      </c>
      <c r="J2558" s="75">
        <v>0</v>
      </c>
      <c r="K2558" s="77"/>
      <c r="L2558" s="77"/>
      <c r="M2558" s="77"/>
      <c r="N2558" s="77"/>
      <c r="O2558" s="75">
        <v>2</v>
      </c>
      <c r="P2558" s="75">
        <v>0</v>
      </c>
      <c r="Q2558" s="75">
        <v>0</v>
      </c>
      <c r="R2558" s="75">
        <v>0</v>
      </c>
      <c r="S2558" s="75">
        <v>0</v>
      </c>
      <c r="T2558" s="75">
        <v>0</v>
      </c>
      <c r="U2558" s="75">
        <v>0</v>
      </c>
      <c r="V2558" s="75">
        <v>0</v>
      </c>
      <c r="W2558" s="78">
        <v>1</v>
      </c>
    </row>
    <row r="2559" spans="1:23" s="75" customFormat="1" hidden="1" x14ac:dyDescent="0.35">
      <c r="A2559" s="75">
        <v>2555</v>
      </c>
      <c r="B2559" s="75">
        <v>2556</v>
      </c>
      <c r="C2559">
        <v>146.00421410000001</v>
      </c>
      <c r="D2559">
        <v>-17.490493359999999</v>
      </c>
      <c r="F2559" s="75" t="str">
        <f>HYPERLINK("E:\Data From Lucan\2024\Johnstone\Frames_for_Analysis\2556_20240610_0003_L_4275.jpg","2556_20240610_0003_L_4275.jpg")</f>
        <v>2556_20240610_0003_L_4275.jpg</v>
      </c>
      <c r="G2559" s="75">
        <v>9</v>
      </c>
      <c r="I2559">
        <f t="shared" si="39"/>
        <v>0</v>
      </c>
      <c r="J2559" s="75">
        <v>0</v>
      </c>
      <c r="K2559" s="77"/>
      <c r="L2559" s="77"/>
      <c r="M2559" s="77"/>
      <c r="N2559" s="77"/>
      <c r="O2559" s="75">
        <v>2</v>
      </c>
      <c r="P2559" s="75">
        <v>0</v>
      </c>
      <c r="Q2559" s="75">
        <v>0</v>
      </c>
      <c r="R2559" s="75">
        <v>0</v>
      </c>
      <c r="S2559" s="75">
        <v>0</v>
      </c>
      <c r="T2559" s="75">
        <v>0</v>
      </c>
      <c r="U2559" s="75">
        <v>0</v>
      </c>
      <c r="V2559" s="75">
        <v>0</v>
      </c>
      <c r="W2559" s="78">
        <v>1</v>
      </c>
    </row>
    <row r="2560" spans="1:23" s="75" customFormat="1" hidden="1" x14ac:dyDescent="0.35">
      <c r="A2560" s="75">
        <v>2556</v>
      </c>
      <c r="B2560" s="75">
        <v>2557</v>
      </c>
      <c r="C2560">
        <v>146.00416179999999</v>
      </c>
      <c r="D2560">
        <v>-17.490414850000001</v>
      </c>
      <c r="F2560" s="75" t="str">
        <f>HYPERLINK("E:\Data From Lucan\2024\Johnstone\Frames_for_Analysis\2557_20240610_0003_L_4279.jpg","2557_20240610_0003_L_4279.jpg")</f>
        <v>2557_20240610_0003_L_4279.jpg</v>
      </c>
      <c r="G2560" s="75">
        <v>9</v>
      </c>
      <c r="I2560">
        <f t="shared" si="39"/>
        <v>0</v>
      </c>
      <c r="J2560" s="75">
        <v>0</v>
      </c>
      <c r="K2560" s="77"/>
      <c r="L2560" s="77"/>
      <c r="M2560" s="77"/>
      <c r="N2560" s="77"/>
      <c r="O2560" s="75">
        <v>2</v>
      </c>
      <c r="P2560" s="75">
        <v>0</v>
      </c>
      <c r="Q2560" s="75">
        <v>0</v>
      </c>
      <c r="R2560" s="75">
        <v>0</v>
      </c>
      <c r="S2560" s="75">
        <v>0</v>
      </c>
      <c r="T2560" s="75">
        <v>0</v>
      </c>
      <c r="U2560" s="75">
        <v>0</v>
      </c>
      <c r="V2560" s="75">
        <v>0</v>
      </c>
      <c r="W2560" s="78">
        <v>1</v>
      </c>
    </row>
    <row r="2561" spans="1:23" s="75" customFormat="1" hidden="1" x14ac:dyDescent="0.35">
      <c r="A2561" s="75">
        <v>2557</v>
      </c>
      <c r="B2561" s="75">
        <v>2558</v>
      </c>
      <c r="C2561">
        <v>146.00411399999999</v>
      </c>
      <c r="D2561">
        <v>-17.490333589999999</v>
      </c>
      <c r="F2561" s="75" t="str">
        <f>HYPERLINK("E:\Data From Lucan\2024\Johnstone\Frames_for_Analysis\2558_20240610_0003_L_4281.jpg","2558_20240610_0003_L_4281.jpg")</f>
        <v>2558_20240610_0003_L_4281.jpg</v>
      </c>
      <c r="G2561" s="75">
        <v>9</v>
      </c>
      <c r="I2561">
        <f t="shared" si="39"/>
        <v>0</v>
      </c>
      <c r="J2561" s="75">
        <v>0</v>
      </c>
      <c r="K2561" s="77"/>
      <c r="L2561" s="77"/>
      <c r="M2561" s="77"/>
      <c r="N2561" s="77"/>
      <c r="O2561" s="75">
        <v>2</v>
      </c>
      <c r="P2561" s="75">
        <v>0</v>
      </c>
      <c r="Q2561" s="75">
        <v>0</v>
      </c>
      <c r="R2561" s="75">
        <v>0</v>
      </c>
      <c r="S2561" s="75">
        <v>0</v>
      </c>
      <c r="T2561" s="75">
        <v>0</v>
      </c>
      <c r="U2561" s="75">
        <v>0</v>
      </c>
      <c r="V2561" s="75">
        <v>0</v>
      </c>
      <c r="W2561" s="78">
        <v>1</v>
      </c>
    </row>
    <row r="2562" spans="1:23" s="75" customFormat="1" hidden="1" x14ac:dyDescent="0.35">
      <c r="A2562" s="75">
        <v>2558</v>
      </c>
      <c r="B2562" s="75">
        <v>2559</v>
      </c>
      <c r="C2562">
        <v>146.00406620000001</v>
      </c>
      <c r="D2562">
        <v>-17.490252309999999</v>
      </c>
      <c r="F2562" s="75" t="str">
        <f>HYPERLINK("E:\Data From Lucan\2024\Johnstone\Frames_for_Analysis\2559_20240610_0003_L_4284.jpg","2559_20240610_0003_L_4284.jpg")</f>
        <v>2559_20240610_0003_L_4284.jpg</v>
      </c>
      <c r="G2562" s="75">
        <v>9</v>
      </c>
      <c r="I2562">
        <f t="shared" si="39"/>
        <v>0</v>
      </c>
      <c r="J2562" s="75">
        <v>0</v>
      </c>
      <c r="K2562" s="77"/>
      <c r="L2562" s="77"/>
      <c r="M2562" s="77"/>
      <c r="N2562" s="77"/>
      <c r="O2562" s="75">
        <v>2</v>
      </c>
      <c r="P2562" s="75">
        <v>0</v>
      </c>
      <c r="Q2562" s="75">
        <v>0</v>
      </c>
      <c r="R2562" s="75">
        <v>0</v>
      </c>
      <c r="S2562" s="75">
        <v>0</v>
      </c>
      <c r="T2562" s="75">
        <v>0</v>
      </c>
      <c r="U2562" s="75">
        <v>0</v>
      </c>
      <c r="V2562" s="75">
        <v>0</v>
      </c>
      <c r="W2562" s="78">
        <v>1</v>
      </c>
    </row>
    <row r="2563" spans="1:23" s="75" customFormat="1" hidden="1" x14ac:dyDescent="0.35">
      <c r="A2563" s="75">
        <v>2559</v>
      </c>
      <c r="B2563" s="75">
        <v>2560</v>
      </c>
      <c r="C2563">
        <v>146.00401830000001</v>
      </c>
      <c r="D2563">
        <v>-17.490171019999998</v>
      </c>
      <c r="F2563" s="75" t="str">
        <f>HYPERLINK("E:\Data From Lucan\2024\Johnstone\Frames_for_Analysis\2560_20240610_0003_L_4287.jpg","2560_20240610_0003_L_4287.jpg")</f>
        <v>2560_20240610_0003_L_4287.jpg</v>
      </c>
      <c r="G2563" s="75">
        <v>9</v>
      </c>
      <c r="I2563">
        <f t="shared" si="39"/>
        <v>0</v>
      </c>
      <c r="J2563" s="75">
        <v>0</v>
      </c>
      <c r="K2563" s="77"/>
      <c r="L2563" s="77"/>
      <c r="M2563" s="77"/>
      <c r="N2563" s="77"/>
      <c r="O2563" s="75">
        <v>2</v>
      </c>
      <c r="P2563" s="75">
        <v>0</v>
      </c>
      <c r="Q2563" s="75">
        <v>0</v>
      </c>
      <c r="R2563" s="75">
        <v>0</v>
      </c>
      <c r="S2563" s="75">
        <v>0</v>
      </c>
      <c r="T2563" s="75">
        <v>0</v>
      </c>
      <c r="U2563" s="75">
        <v>0</v>
      </c>
      <c r="V2563" s="75">
        <v>0</v>
      </c>
      <c r="W2563" s="78">
        <v>1</v>
      </c>
    </row>
    <row r="2564" spans="1:23" s="75" customFormat="1" hidden="1" x14ac:dyDescent="0.35">
      <c r="A2564" s="75">
        <v>2560</v>
      </c>
      <c r="B2564" s="75">
        <v>2561</v>
      </c>
      <c r="C2564">
        <v>146.00397050000001</v>
      </c>
      <c r="D2564">
        <v>-17.490089739999998</v>
      </c>
      <c r="F2564" s="75" t="str">
        <f>HYPERLINK("E:\Data From Lucan\2024\Johnstone\Frames_for_Analysis\2561_20240610_0003_L_4290.jpg","2561_20240610_0003_L_4290.jpg")</f>
        <v>2561_20240610_0003_L_4290.jpg</v>
      </c>
      <c r="G2564" s="75">
        <v>9</v>
      </c>
      <c r="I2564">
        <f t="shared" si="39"/>
        <v>0</v>
      </c>
      <c r="J2564" s="75">
        <v>0</v>
      </c>
      <c r="K2564" s="77"/>
      <c r="L2564" s="77"/>
      <c r="M2564" s="77"/>
      <c r="N2564" s="77"/>
      <c r="O2564" s="75">
        <v>2</v>
      </c>
      <c r="P2564" s="75">
        <v>0</v>
      </c>
      <c r="Q2564" s="75">
        <v>0</v>
      </c>
      <c r="R2564" s="75">
        <v>0</v>
      </c>
      <c r="S2564" s="75">
        <v>0</v>
      </c>
      <c r="T2564" s="75">
        <v>0</v>
      </c>
      <c r="U2564" s="75">
        <v>0</v>
      </c>
      <c r="V2564" s="75">
        <v>0</v>
      </c>
      <c r="W2564" s="78">
        <v>1</v>
      </c>
    </row>
    <row r="2565" spans="1:23" s="75" customFormat="1" hidden="1" x14ac:dyDescent="0.35">
      <c r="A2565" s="75">
        <v>2561</v>
      </c>
      <c r="B2565" s="75">
        <v>2562</v>
      </c>
      <c r="C2565">
        <v>146.00392289999999</v>
      </c>
      <c r="D2565">
        <v>-17.490008339999999</v>
      </c>
      <c r="F2565" s="75" t="str">
        <f>HYPERLINK("E:\Data From Lucan\2024\Johnstone\Frames_for_Analysis\2562_20240610_0003_L_4294.jpg","2562_20240610_0003_L_4294.jpg")</f>
        <v>2562_20240610_0003_L_4294.jpg</v>
      </c>
      <c r="G2565" s="75">
        <v>9</v>
      </c>
      <c r="I2565">
        <f t="shared" ref="I2565:I2628" si="40">IF(H2565="X","X",IF(J2565="NA","X",IF(J2565="","X",J2565)))</f>
        <v>0</v>
      </c>
      <c r="J2565" s="75">
        <v>0</v>
      </c>
      <c r="K2565" s="77"/>
      <c r="L2565" s="77"/>
      <c r="M2565" s="77"/>
      <c r="N2565" s="77"/>
      <c r="O2565" s="75">
        <v>2</v>
      </c>
      <c r="P2565" s="75">
        <v>0</v>
      </c>
      <c r="Q2565" s="75">
        <v>0</v>
      </c>
      <c r="R2565" s="75">
        <v>0</v>
      </c>
      <c r="S2565" s="75">
        <v>0</v>
      </c>
      <c r="T2565" s="75">
        <v>0</v>
      </c>
      <c r="U2565" s="75">
        <v>0</v>
      </c>
      <c r="V2565" s="75">
        <v>0</v>
      </c>
      <c r="W2565" s="78">
        <v>1</v>
      </c>
    </row>
    <row r="2566" spans="1:23" s="75" customFormat="1" hidden="1" x14ac:dyDescent="0.35">
      <c r="A2566" s="75">
        <v>2562</v>
      </c>
      <c r="B2566" s="75">
        <v>2563</v>
      </c>
      <c r="C2566">
        <v>146.00387570000001</v>
      </c>
      <c r="D2566">
        <v>-17.489926730000001</v>
      </c>
      <c r="F2566" s="75" t="str">
        <f>HYPERLINK("E:\Data From Lucan\2024\Johnstone\Frames_for_Analysis\2563_20240610_0003_L_4297.jpg","2563_20240610_0003_L_4297.jpg")</f>
        <v>2563_20240610_0003_L_4297.jpg</v>
      </c>
      <c r="G2566" s="75">
        <v>9</v>
      </c>
      <c r="I2566">
        <f t="shared" si="40"/>
        <v>0</v>
      </c>
      <c r="J2566" s="75">
        <v>0</v>
      </c>
      <c r="K2566" s="77"/>
      <c r="L2566" s="77"/>
      <c r="M2566" s="77"/>
      <c r="N2566" s="77"/>
      <c r="O2566" s="75">
        <v>2</v>
      </c>
      <c r="P2566" s="75">
        <v>0</v>
      </c>
      <c r="Q2566" s="75">
        <v>0</v>
      </c>
      <c r="R2566" s="75">
        <v>0</v>
      </c>
      <c r="S2566" s="75">
        <v>0</v>
      </c>
      <c r="T2566" s="75">
        <v>0</v>
      </c>
      <c r="U2566" s="75">
        <v>0</v>
      </c>
      <c r="V2566" s="75">
        <v>0</v>
      </c>
      <c r="W2566" s="78">
        <v>1</v>
      </c>
    </row>
    <row r="2567" spans="1:23" s="75" customFormat="1" hidden="1" x14ac:dyDescent="0.35">
      <c r="A2567" s="75">
        <v>2563</v>
      </c>
      <c r="B2567" s="75">
        <v>2564</v>
      </c>
      <c r="C2567">
        <v>146.0038284</v>
      </c>
      <c r="D2567">
        <v>-17.489845119999998</v>
      </c>
      <c r="F2567" s="75" t="str">
        <f>HYPERLINK("E:\Data From Lucan\2024\Johnstone\Frames_for_Analysis\2564_20240610_0003_L_4301.jpg","2564_20240610_0003_L_4301.jpg")</f>
        <v>2564_20240610_0003_L_4301.jpg</v>
      </c>
      <c r="G2567" s="75">
        <v>9</v>
      </c>
      <c r="I2567">
        <f t="shared" si="40"/>
        <v>0</v>
      </c>
      <c r="J2567" s="75">
        <v>0</v>
      </c>
      <c r="K2567" s="77"/>
      <c r="L2567" s="77"/>
      <c r="M2567" s="77"/>
      <c r="N2567" s="77"/>
      <c r="O2567" s="75">
        <v>2</v>
      </c>
      <c r="P2567" s="75">
        <v>0</v>
      </c>
      <c r="Q2567" s="75">
        <v>0</v>
      </c>
      <c r="R2567" s="75">
        <v>0</v>
      </c>
      <c r="S2567" s="75">
        <v>0</v>
      </c>
      <c r="T2567" s="75">
        <v>0</v>
      </c>
      <c r="U2567" s="75">
        <v>0</v>
      </c>
      <c r="V2567" s="75">
        <v>0</v>
      </c>
      <c r="W2567" s="78">
        <v>1</v>
      </c>
    </row>
    <row r="2568" spans="1:23" s="75" customFormat="1" hidden="1" x14ac:dyDescent="0.35">
      <c r="A2568" s="75">
        <v>2564</v>
      </c>
      <c r="B2568" s="75">
        <v>2565</v>
      </c>
      <c r="C2568">
        <v>146.00378119999999</v>
      </c>
      <c r="D2568">
        <v>-17.48976351</v>
      </c>
      <c r="F2568" s="75" t="str">
        <f>HYPERLINK("E:\Data From Lucan\2024\Johnstone\Frames_for_Analysis\2565_20240610_0003_L_4308.jpg","2565_20240610_0003_L_4308.jpg")</f>
        <v>2565_20240610_0003_L_4308.jpg</v>
      </c>
      <c r="G2568" s="75">
        <v>9</v>
      </c>
      <c r="I2568">
        <f t="shared" si="40"/>
        <v>0</v>
      </c>
      <c r="J2568" s="75">
        <v>0</v>
      </c>
      <c r="K2568" s="77"/>
      <c r="L2568" s="77"/>
      <c r="M2568" s="77"/>
      <c r="N2568" s="77"/>
      <c r="O2568" s="75">
        <v>2</v>
      </c>
      <c r="P2568" s="75">
        <v>0</v>
      </c>
      <c r="Q2568" s="75">
        <v>0</v>
      </c>
      <c r="R2568" s="75">
        <v>0</v>
      </c>
      <c r="S2568" s="75">
        <v>0</v>
      </c>
      <c r="T2568" s="75">
        <v>0</v>
      </c>
      <c r="U2568" s="75">
        <v>0</v>
      </c>
      <c r="V2568" s="75">
        <v>0</v>
      </c>
      <c r="W2568" s="78">
        <v>1</v>
      </c>
    </row>
    <row r="2569" spans="1:23" s="75" customFormat="1" hidden="1" x14ac:dyDescent="0.35">
      <c r="A2569" s="75">
        <v>2565</v>
      </c>
      <c r="B2569" s="75">
        <v>2566</v>
      </c>
      <c r="C2569">
        <v>146.0037332</v>
      </c>
      <c r="D2569">
        <v>-17.48968236</v>
      </c>
      <c r="F2569" s="75" t="str">
        <f>HYPERLINK("E:\Data From Lucan\2024\Johnstone\Frames_for_Analysis\2566_20240610_0003_L_4312.jpg","2566_20240610_0003_L_4312.jpg")</f>
        <v>2566_20240610_0003_L_4312.jpg</v>
      </c>
      <c r="G2569" s="75">
        <v>9</v>
      </c>
      <c r="I2569">
        <f t="shared" si="40"/>
        <v>0</v>
      </c>
      <c r="J2569" s="75">
        <v>0</v>
      </c>
      <c r="K2569" s="77"/>
      <c r="L2569" s="77"/>
      <c r="M2569" s="77"/>
      <c r="N2569" s="77"/>
      <c r="O2569" s="75">
        <v>2</v>
      </c>
      <c r="P2569" s="75">
        <v>0</v>
      </c>
      <c r="Q2569" s="75">
        <v>0</v>
      </c>
      <c r="R2569" s="75">
        <v>0</v>
      </c>
      <c r="S2569" s="75">
        <v>0</v>
      </c>
      <c r="T2569" s="75">
        <v>0</v>
      </c>
      <c r="U2569" s="75">
        <v>0</v>
      </c>
      <c r="V2569" s="75">
        <v>0</v>
      </c>
      <c r="W2569" s="78">
        <v>1</v>
      </c>
    </row>
    <row r="2570" spans="1:23" s="75" customFormat="1" hidden="1" x14ac:dyDescent="0.35">
      <c r="A2570" s="75">
        <v>2566</v>
      </c>
      <c r="B2570" s="75">
        <v>2567</v>
      </c>
      <c r="C2570">
        <v>146.00368159999999</v>
      </c>
      <c r="D2570">
        <v>-17.489603370000001</v>
      </c>
      <c r="F2570" s="75" t="str">
        <f>HYPERLINK("E:\Data From Lucan\2024\Johnstone\Frames_for_Analysis\2567_20240610_0003_L_4315.jpg","2567_20240610_0003_L_4315.jpg")</f>
        <v>2567_20240610_0003_L_4315.jpg</v>
      </c>
      <c r="G2570" s="75">
        <v>9</v>
      </c>
      <c r="I2570">
        <f t="shared" si="40"/>
        <v>0</v>
      </c>
      <c r="J2570" s="75">
        <v>0</v>
      </c>
      <c r="K2570" s="77"/>
      <c r="L2570" s="77"/>
      <c r="M2570" s="77"/>
      <c r="N2570" s="77"/>
      <c r="O2570" s="75">
        <v>2</v>
      </c>
      <c r="P2570" s="75">
        <v>0</v>
      </c>
      <c r="Q2570" s="75">
        <v>0</v>
      </c>
      <c r="R2570" s="75">
        <v>0</v>
      </c>
      <c r="S2570" s="75">
        <v>0</v>
      </c>
      <c r="T2570" s="75">
        <v>0</v>
      </c>
      <c r="U2570" s="75">
        <v>0</v>
      </c>
      <c r="V2570" s="75">
        <v>0</v>
      </c>
      <c r="W2570" s="78">
        <v>1</v>
      </c>
    </row>
    <row r="2571" spans="1:23" s="75" customFormat="1" hidden="1" x14ac:dyDescent="0.35">
      <c r="A2571" s="75">
        <v>2567</v>
      </c>
      <c r="B2571" s="75">
        <v>2568</v>
      </c>
      <c r="C2571">
        <v>146.00363010000001</v>
      </c>
      <c r="D2571">
        <v>-17.48952439</v>
      </c>
      <c r="F2571" s="75" t="str">
        <f>HYPERLINK("E:\Data From Lucan\2024\Johnstone\Frames_for_Analysis\2568_20240610_0003_L_4319.jpg","2568_20240610_0003_L_4319.jpg")</f>
        <v>2568_20240610_0003_L_4319.jpg</v>
      </c>
      <c r="G2571" s="75">
        <v>9</v>
      </c>
      <c r="I2571">
        <f t="shared" si="40"/>
        <v>0</v>
      </c>
      <c r="J2571" s="75">
        <v>0</v>
      </c>
      <c r="K2571" s="77"/>
      <c r="L2571" s="77"/>
      <c r="M2571" s="77"/>
      <c r="N2571" s="77"/>
      <c r="O2571" s="75">
        <v>2</v>
      </c>
      <c r="P2571" s="75">
        <v>0</v>
      </c>
      <c r="Q2571" s="75">
        <v>0</v>
      </c>
      <c r="R2571" s="75">
        <v>0</v>
      </c>
      <c r="S2571" s="75">
        <v>0</v>
      </c>
      <c r="T2571" s="75">
        <v>0</v>
      </c>
      <c r="U2571" s="75">
        <v>0</v>
      </c>
      <c r="V2571" s="75">
        <v>0</v>
      </c>
      <c r="W2571" s="78">
        <v>1</v>
      </c>
    </row>
    <row r="2572" spans="1:23" s="75" customFormat="1" hidden="1" x14ac:dyDescent="0.35">
      <c r="A2572" s="75">
        <v>2568</v>
      </c>
      <c r="B2572" s="75">
        <v>2569</v>
      </c>
      <c r="C2572">
        <v>146.0035786</v>
      </c>
      <c r="D2572">
        <v>-17.489445409999998</v>
      </c>
      <c r="F2572" s="75" t="str">
        <f>HYPERLINK("E:\Data From Lucan\2024\Johnstone\Frames_for_Analysis\2569_20240610_0003_L_4323.jpg","2569_20240610_0003_L_4323.jpg")</f>
        <v>2569_20240610_0003_L_4323.jpg</v>
      </c>
      <c r="G2572" s="75">
        <v>9</v>
      </c>
      <c r="I2572">
        <f t="shared" si="40"/>
        <v>0</v>
      </c>
      <c r="J2572" s="75">
        <v>0</v>
      </c>
      <c r="K2572" s="77"/>
      <c r="L2572" s="77"/>
      <c r="M2572" s="77"/>
      <c r="N2572" s="77"/>
      <c r="O2572" s="75">
        <v>2</v>
      </c>
      <c r="P2572" s="75">
        <v>0</v>
      </c>
      <c r="Q2572" s="75">
        <v>0</v>
      </c>
      <c r="R2572" s="75">
        <v>0</v>
      </c>
      <c r="S2572" s="75">
        <v>0</v>
      </c>
      <c r="T2572" s="75">
        <v>0</v>
      </c>
      <c r="U2572" s="75">
        <v>0</v>
      </c>
      <c r="V2572" s="75">
        <v>0</v>
      </c>
      <c r="W2572" s="78">
        <v>1</v>
      </c>
    </row>
    <row r="2573" spans="1:23" s="75" customFormat="1" hidden="1" x14ac:dyDescent="0.35">
      <c r="A2573" s="75">
        <v>2569</v>
      </c>
      <c r="B2573" s="75">
        <v>2570</v>
      </c>
      <c r="C2573">
        <v>146.00353820000001</v>
      </c>
      <c r="D2573">
        <v>-17.489360789999999</v>
      </c>
      <c r="F2573" s="75" t="str">
        <f>HYPERLINK("E:\Data From Lucan\2024\Johnstone\Frames_for_Analysis\2570_20240610_0003_L_4327.jpg","2570_20240610_0003_L_4327.jpg")</f>
        <v>2570_20240610_0003_L_4327.jpg</v>
      </c>
      <c r="G2573" s="75">
        <v>9</v>
      </c>
      <c r="I2573">
        <f t="shared" si="40"/>
        <v>0</v>
      </c>
      <c r="J2573" s="75">
        <v>0</v>
      </c>
      <c r="K2573" s="77"/>
      <c r="L2573" s="77"/>
      <c r="M2573" s="77"/>
      <c r="N2573" s="77"/>
      <c r="O2573" s="75">
        <v>2</v>
      </c>
      <c r="P2573" s="75">
        <v>0</v>
      </c>
      <c r="Q2573" s="75">
        <v>0</v>
      </c>
      <c r="R2573" s="75">
        <v>0</v>
      </c>
      <c r="S2573" s="75">
        <v>0</v>
      </c>
      <c r="T2573" s="75">
        <v>0</v>
      </c>
      <c r="U2573" s="75">
        <v>0</v>
      </c>
      <c r="V2573" s="75">
        <v>0</v>
      </c>
      <c r="W2573" s="78">
        <v>1</v>
      </c>
    </row>
    <row r="2574" spans="1:23" s="75" customFormat="1" hidden="1" x14ac:dyDescent="0.35">
      <c r="A2574" s="75">
        <v>2570</v>
      </c>
      <c r="B2574" s="75">
        <v>2571</v>
      </c>
      <c r="C2574">
        <v>146.0035053</v>
      </c>
      <c r="D2574">
        <v>-17.48927243</v>
      </c>
      <c r="F2574" s="75" t="str">
        <f>HYPERLINK("E:\Data From Lucan\2024\Johnstone\Frames_for_Analysis\2571_20240610_0003_L_4331.jpg","2571_20240610_0003_L_4331.jpg")</f>
        <v>2571_20240610_0003_L_4331.jpg</v>
      </c>
      <c r="G2574" s="75">
        <v>9</v>
      </c>
      <c r="I2574">
        <f t="shared" si="40"/>
        <v>0</v>
      </c>
      <c r="J2574" s="75">
        <v>0</v>
      </c>
      <c r="K2574" s="77"/>
      <c r="L2574" s="77"/>
      <c r="M2574" s="77"/>
      <c r="N2574" s="77"/>
      <c r="O2574" s="75">
        <v>1</v>
      </c>
      <c r="P2574" s="75">
        <v>0</v>
      </c>
      <c r="Q2574" s="75">
        <v>0</v>
      </c>
      <c r="R2574" s="75">
        <v>0</v>
      </c>
      <c r="S2574" s="75">
        <v>0</v>
      </c>
      <c r="T2574" s="75">
        <v>0</v>
      </c>
      <c r="U2574" s="75">
        <v>0</v>
      </c>
      <c r="V2574" s="75">
        <v>0</v>
      </c>
      <c r="W2574" s="78">
        <v>0</v>
      </c>
    </row>
    <row r="2575" spans="1:23" s="75" customFormat="1" hidden="1" x14ac:dyDescent="0.35">
      <c r="A2575" s="75">
        <v>2571</v>
      </c>
      <c r="B2575" s="75">
        <v>2572</v>
      </c>
      <c r="C2575">
        <v>146.0034723</v>
      </c>
      <c r="D2575">
        <v>-17.48918407</v>
      </c>
      <c r="F2575" s="75" t="str">
        <f>HYPERLINK("E:\Data From Lucan\2024\Johnstone\Frames_for_Analysis\2572_20240610_0003_L_4337.jpg","2572_20240610_0003_L_4337.jpg")</f>
        <v>2572_20240610_0003_L_4337.jpg</v>
      </c>
      <c r="G2575" s="75">
        <v>9</v>
      </c>
      <c r="I2575">
        <f t="shared" si="40"/>
        <v>0</v>
      </c>
      <c r="J2575" s="75">
        <v>0</v>
      </c>
      <c r="K2575" s="77"/>
      <c r="L2575" s="77"/>
      <c r="M2575" s="77"/>
      <c r="N2575" s="77"/>
      <c r="O2575" s="75">
        <v>1</v>
      </c>
      <c r="P2575" s="75">
        <v>0</v>
      </c>
      <c r="Q2575" s="75">
        <v>0</v>
      </c>
      <c r="R2575" s="75">
        <v>0</v>
      </c>
      <c r="S2575" s="75">
        <v>0</v>
      </c>
      <c r="T2575" s="75">
        <v>0</v>
      </c>
      <c r="U2575" s="75">
        <v>0</v>
      </c>
      <c r="V2575" s="75">
        <v>0</v>
      </c>
      <c r="W2575" s="78">
        <v>0</v>
      </c>
    </row>
    <row r="2576" spans="1:23" s="75" customFormat="1" hidden="1" x14ac:dyDescent="0.35">
      <c r="A2576" s="75">
        <v>2572</v>
      </c>
      <c r="B2576" s="75">
        <v>2573</v>
      </c>
      <c r="C2576">
        <v>146.0034071</v>
      </c>
      <c r="D2576">
        <v>-17.489121870000002</v>
      </c>
      <c r="F2576" s="75" t="str">
        <f>HYPERLINK("E:\Data From Lucan\2024\Johnstone\Frames_for_Analysis\2573_20240610_0003_L_4342.jpg","2573_20240610_0003_L_4342.jpg")</f>
        <v>2573_20240610_0003_L_4342.jpg</v>
      </c>
      <c r="G2576" s="75">
        <v>9</v>
      </c>
      <c r="I2576">
        <f t="shared" si="40"/>
        <v>0</v>
      </c>
      <c r="J2576" s="75">
        <v>0</v>
      </c>
      <c r="K2576" s="77"/>
      <c r="L2576" s="77"/>
      <c r="M2576" s="77"/>
      <c r="N2576" s="77"/>
      <c r="O2576" s="75">
        <v>1</v>
      </c>
      <c r="P2576" s="75">
        <v>0</v>
      </c>
      <c r="Q2576" s="75">
        <v>0</v>
      </c>
      <c r="R2576" s="75">
        <v>0</v>
      </c>
      <c r="S2576" s="75">
        <v>0</v>
      </c>
      <c r="T2576" s="75">
        <v>0</v>
      </c>
      <c r="U2576" s="75">
        <v>0</v>
      </c>
      <c r="V2576" s="75">
        <v>0</v>
      </c>
      <c r="W2576" s="78">
        <v>0</v>
      </c>
    </row>
    <row r="2577" spans="1:23" s="75" customFormat="1" hidden="1" x14ac:dyDescent="0.35">
      <c r="A2577" s="75">
        <v>2573</v>
      </c>
      <c r="B2577" s="75">
        <v>2574</v>
      </c>
      <c r="C2577">
        <v>146.00332750000001</v>
      </c>
      <c r="D2577">
        <v>-17.489071240000001</v>
      </c>
      <c r="F2577" s="75" t="str">
        <f>HYPERLINK("E:\Data From Lucan\2024\Johnstone\Frames_for_Analysis\2574_20240610_0003_L_4388.jpg","2574_20240610_0003_L_4388.jpg")</f>
        <v>2574_20240610_0003_L_4388.jpg</v>
      </c>
      <c r="G2577" s="75">
        <v>9</v>
      </c>
      <c r="I2577">
        <f t="shared" si="40"/>
        <v>0</v>
      </c>
      <c r="J2577" s="75">
        <v>0</v>
      </c>
      <c r="K2577" s="77"/>
      <c r="L2577" s="77"/>
      <c r="M2577" s="77"/>
      <c r="N2577" s="77"/>
      <c r="O2577" s="75">
        <v>1</v>
      </c>
      <c r="P2577" s="75">
        <v>0</v>
      </c>
      <c r="Q2577" s="75">
        <v>0</v>
      </c>
      <c r="R2577" s="75">
        <v>0</v>
      </c>
      <c r="S2577" s="75">
        <v>0</v>
      </c>
      <c r="T2577" s="75">
        <v>0</v>
      </c>
      <c r="U2577" s="75">
        <v>0</v>
      </c>
      <c r="V2577" s="75">
        <v>0</v>
      </c>
      <c r="W2577" s="78">
        <v>0</v>
      </c>
    </row>
    <row r="2578" spans="1:23" s="75" customFormat="1" hidden="1" x14ac:dyDescent="0.35">
      <c r="A2578" s="75">
        <v>2574</v>
      </c>
      <c r="B2578" s="75">
        <v>2575</v>
      </c>
      <c r="C2578">
        <v>146.00324789999999</v>
      </c>
      <c r="D2578">
        <v>-17.489020610000001</v>
      </c>
      <c r="F2578" s="75" t="str">
        <f>HYPERLINK("E:\Data From Lucan\2024\Johnstone\Frames_for_Analysis\2575_20240610_0003_L_4351.jpg","2575_20240610_0003_L_4351.jpg")</f>
        <v>2575_20240610_0003_L_4351.jpg</v>
      </c>
      <c r="G2578" s="75">
        <v>9</v>
      </c>
      <c r="I2578">
        <f t="shared" si="40"/>
        <v>0</v>
      </c>
      <c r="J2578" s="75">
        <v>0</v>
      </c>
      <c r="K2578" s="77"/>
      <c r="L2578" s="77"/>
      <c r="M2578" s="77"/>
      <c r="N2578" s="77"/>
      <c r="O2578" s="75">
        <v>1</v>
      </c>
      <c r="P2578" s="75">
        <v>0</v>
      </c>
      <c r="Q2578" s="75">
        <v>0</v>
      </c>
      <c r="R2578" s="75">
        <v>0</v>
      </c>
      <c r="S2578" s="75">
        <v>0</v>
      </c>
      <c r="T2578" s="75">
        <v>0</v>
      </c>
      <c r="U2578" s="75">
        <v>0</v>
      </c>
      <c r="V2578" s="75">
        <v>0</v>
      </c>
      <c r="W2578" s="78">
        <v>0</v>
      </c>
    </row>
    <row r="2579" spans="1:23" s="75" customFormat="1" hidden="1" x14ac:dyDescent="0.35">
      <c r="A2579" s="75">
        <v>2575</v>
      </c>
      <c r="B2579" s="75">
        <v>2576</v>
      </c>
      <c r="C2579">
        <v>146.00316839999999</v>
      </c>
      <c r="D2579">
        <v>-17.48896998</v>
      </c>
      <c r="F2579" s="75" t="str">
        <f>HYPERLINK("E:\Data From Lucan\2024\Johnstone\Frames_for_Analysis\2576_20240610_0003_L_4382.jpg","2576_20240610_0003_L_4382.jpg")</f>
        <v>2576_20240610_0003_L_4382.jpg</v>
      </c>
      <c r="G2579" s="75">
        <v>9</v>
      </c>
      <c r="I2579">
        <f t="shared" si="40"/>
        <v>0</v>
      </c>
      <c r="J2579" s="75">
        <v>0</v>
      </c>
      <c r="K2579" s="77"/>
      <c r="L2579" s="77"/>
      <c r="M2579" s="77"/>
      <c r="N2579" s="77"/>
      <c r="O2579" s="75">
        <v>1</v>
      </c>
      <c r="P2579" s="75">
        <v>0</v>
      </c>
      <c r="Q2579" s="75">
        <v>0</v>
      </c>
      <c r="R2579" s="75">
        <v>0</v>
      </c>
      <c r="S2579" s="75">
        <v>0</v>
      </c>
      <c r="T2579" s="75">
        <v>0</v>
      </c>
      <c r="U2579" s="75">
        <v>0</v>
      </c>
      <c r="V2579" s="75">
        <v>0</v>
      </c>
      <c r="W2579" s="78">
        <v>0</v>
      </c>
    </row>
    <row r="2580" spans="1:23" s="75" customFormat="1" hidden="1" x14ac:dyDescent="0.35">
      <c r="A2580" s="75">
        <v>2576</v>
      </c>
      <c r="B2580" s="75">
        <v>2577</v>
      </c>
      <c r="C2580">
        <v>146.0030864</v>
      </c>
      <c r="D2580">
        <v>-17.48892352</v>
      </c>
      <c r="F2580" s="75" t="str">
        <f>HYPERLINK("E:\Data From Lucan\2024\Johnstone\Frames_for_Analysis\2577_20240610_0003_L_4357.jpg","2577_20240610_0003_L_4357.jpg")</f>
        <v>2577_20240610_0003_L_4357.jpg</v>
      </c>
      <c r="G2580" s="75">
        <v>9</v>
      </c>
      <c r="I2580" t="str">
        <f t="shared" si="40"/>
        <v>X</v>
      </c>
      <c r="J2580" s="75" t="s">
        <v>3958</v>
      </c>
      <c r="K2580" s="77"/>
      <c r="L2580" s="77"/>
      <c r="M2580" s="77"/>
      <c r="N2580" s="77"/>
      <c r="O2580" s="75">
        <v>1</v>
      </c>
      <c r="P2580" s="75">
        <v>0</v>
      </c>
      <c r="Q2580" s="75">
        <v>0</v>
      </c>
      <c r="R2580" s="75">
        <v>0</v>
      </c>
      <c r="S2580" s="75">
        <v>0</v>
      </c>
      <c r="T2580" s="75">
        <v>0</v>
      </c>
      <c r="U2580" s="75">
        <v>0</v>
      </c>
      <c r="V2580" s="75">
        <v>0</v>
      </c>
      <c r="W2580" s="78">
        <v>0</v>
      </c>
    </row>
    <row r="2581" spans="1:23" s="75" customFormat="1" hidden="1" x14ac:dyDescent="0.35">
      <c r="A2581" s="75">
        <v>2577</v>
      </c>
      <c r="B2581" s="75">
        <v>2578</v>
      </c>
      <c r="C2581">
        <v>146.00300290000001</v>
      </c>
      <c r="D2581">
        <v>-17.48887976</v>
      </c>
      <c r="F2581" s="75" t="str">
        <f>HYPERLINK("E:\Data From Lucan\2024\Johnstone\Frames_for_Analysis\2578_20240610_0003_L_4359.jpg","2578_20240610_0003_L_4359.jpg")</f>
        <v>2578_20240610_0003_L_4359.jpg</v>
      </c>
      <c r="G2581" s="75">
        <v>9</v>
      </c>
      <c r="I2581">
        <f t="shared" si="40"/>
        <v>0</v>
      </c>
      <c r="J2581" s="75">
        <v>0</v>
      </c>
      <c r="K2581" s="77"/>
      <c r="L2581" s="77"/>
      <c r="M2581" s="77"/>
      <c r="N2581" s="77"/>
      <c r="O2581" s="75">
        <v>2</v>
      </c>
      <c r="P2581" s="75">
        <v>0</v>
      </c>
      <c r="Q2581" s="75">
        <v>0</v>
      </c>
      <c r="R2581" s="75">
        <v>0</v>
      </c>
      <c r="S2581" s="75">
        <v>0</v>
      </c>
      <c r="T2581" s="75">
        <v>0</v>
      </c>
      <c r="U2581" s="75">
        <v>0</v>
      </c>
      <c r="V2581" s="75">
        <v>0</v>
      </c>
      <c r="W2581" s="78">
        <v>1</v>
      </c>
    </row>
    <row r="2582" spans="1:23" s="75" customFormat="1" hidden="1" x14ac:dyDescent="0.35">
      <c r="A2582" s="75">
        <v>2578</v>
      </c>
      <c r="B2582" s="75">
        <v>2579</v>
      </c>
      <c r="C2582">
        <v>146.0029236</v>
      </c>
      <c r="D2582">
        <v>-17.488851969999999</v>
      </c>
      <c r="F2582" s="75" t="str">
        <f>HYPERLINK("E:\Data From Lucan\2024\Johnstone\Frames_for_Analysis\2579_20240610_0003_L_4396.jpg","2579_20240610_0003_L_4396.jpg")</f>
        <v>2579_20240610_0003_L_4396.jpg</v>
      </c>
      <c r="G2582" s="75">
        <v>9</v>
      </c>
      <c r="I2582">
        <f t="shared" si="40"/>
        <v>0</v>
      </c>
      <c r="J2582" s="75">
        <v>0</v>
      </c>
      <c r="K2582" s="77"/>
      <c r="L2582" s="77"/>
      <c r="M2582" s="77"/>
      <c r="N2582" s="77"/>
      <c r="O2582" s="75">
        <v>1</v>
      </c>
      <c r="P2582" s="75">
        <v>0</v>
      </c>
      <c r="Q2582" s="75">
        <v>0</v>
      </c>
      <c r="R2582" s="75">
        <v>0</v>
      </c>
      <c r="S2582" s="75">
        <v>0</v>
      </c>
      <c r="T2582" s="75">
        <v>0</v>
      </c>
      <c r="U2582" s="75">
        <v>0</v>
      </c>
      <c r="V2582" s="75">
        <v>0</v>
      </c>
      <c r="W2582" s="78">
        <v>0</v>
      </c>
    </row>
    <row r="2583" spans="1:23" s="75" customFormat="1" hidden="1" x14ac:dyDescent="0.35">
      <c r="A2583" s="75">
        <v>2579</v>
      </c>
      <c r="B2583" s="75">
        <v>2580</v>
      </c>
      <c r="C2583">
        <v>146.0028733</v>
      </c>
      <c r="D2583">
        <v>-17.488931699999998</v>
      </c>
      <c r="F2583" s="75" t="str">
        <f>HYPERLINK("E:\Data From Lucan\2024\Johnstone\Frames_for_Analysis\2580_20240610_0003_L_4400.jpg","2580_20240610_0003_L_4400.jpg")</f>
        <v>2580_20240610_0003_L_4400.jpg</v>
      </c>
      <c r="G2583" s="75">
        <v>9</v>
      </c>
      <c r="I2583">
        <f t="shared" si="40"/>
        <v>0</v>
      </c>
      <c r="J2583" s="75">
        <v>0</v>
      </c>
      <c r="K2583" s="77"/>
      <c r="L2583" s="77"/>
      <c r="M2583" s="77"/>
      <c r="N2583" s="77"/>
      <c r="O2583" s="75">
        <v>1</v>
      </c>
      <c r="P2583" s="75">
        <v>0</v>
      </c>
      <c r="Q2583" s="75">
        <v>0</v>
      </c>
      <c r="R2583" s="75">
        <v>0</v>
      </c>
      <c r="S2583" s="75">
        <v>0</v>
      </c>
      <c r="T2583" s="75">
        <v>0</v>
      </c>
      <c r="U2583" s="75">
        <v>0</v>
      </c>
      <c r="V2583" s="75">
        <v>0</v>
      </c>
      <c r="W2583" s="78">
        <v>0</v>
      </c>
    </row>
    <row r="2584" spans="1:23" s="75" customFormat="1" hidden="1" x14ac:dyDescent="0.35">
      <c r="A2584" s="75">
        <v>2580</v>
      </c>
      <c r="B2584" s="75">
        <v>2581</v>
      </c>
      <c r="C2584">
        <v>146.00282290000001</v>
      </c>
      <c r="D2584">
        <v>-17.489011430000001</v>
      </c>
      <c r="F2584" s="75" t="str">
        <f>HYPERLINK("E:\Data From Lucan\2024\Johnstone\Frames_for_Analysis\2581_20240610_0003_L_4404.jpg","2581_20240610_0003_L_4404.jpg")</f>
        <v>2581_20240610_0003_L_4404.jpg</v>
      </c>
      <c r="G2584" s="75">
        <v>9</v>
      </c>
      <c r="I2584">
        <f t="shared" si="40"/>
        <v>0</v>
      </c>
      <c r="J2584" s="75">
        <v>0</v>
      </c>
      <c r="K2584" s="77"/>
      <c r="L2584" s="77"/>
      <c r="M2584" s="77"/>
      <c r="N2584" s="77"/>
      <c r="O2584" s="75">
        <v>1</v>
      </c>
      <c r="P2584" s="75">
        <v>0</v>
      </c>
      <c r="Q2584" s="75">
        <v>0</v>
      </c>
      <c r="R2584" s="75">
        <v>0</v>
      </c>
      <c r="S2584" s="75">
        <v>0</v>
      </c>
      <c r="T2584" s="75">
        <v>0</v>
      </c>
      <c r="U2584" s="75">
        <v>0</v>
      </c>
      <c r="V2584" s="75">
        <v>0</v>
      </c>
      <c r="W2584" s="78">
        <v>0</v>
      </c>
    </row>
    <row r="2585" spans="1:23" s="75" customFormat="1" hidden="1" x14ac:dyDescent="0.35">
      <c r="A2585" s="75">
        <v>2581</v>
      </c>
      <c r="B2585" s="75">
        <v>2582</v>
      </c>
      <c r="C2585">
        <v>146.00277249999999</v>
      </c>
      <c r="D2585">
        <v>-17.489091169999998</v>
      </c>
      <c r="F2585" s="75" t="str">
        <f>HYPERLINK("E:\Data From Lucan\2024\Johnstone\Frames_for_Analysis\2582_20240610_0003_L_4418.jpg","2582_20240610_0003_L_4418.jpg")</f>
        <v>2582_20240610_0003_L_4418.jpg</v>
      </c>
      <c r="G2585" s="75">
        <v>9</v>
      </c>
      <c r="I2585">
        <f t="shared" si="40"/>
        <v>0</v>
      </c>
      <c r="J2585" s="75">
        <v>0</v>
      </c>
      <c r="K2585" s="77"/>
      <c r="L2585" s="77"/>
      <c r="M2585" s="77"/>
      <c r="N2585" s="77"/>
      <c r="O2585" s="75">
        <v>1</v>
      </c>
      <c r="P2585" s="75">
        <v>0</v>
      </c>
      <c r="Q2585" s="75">
        <v>0</v>
      </c>
      <c r="R2585" s="75">
        <v>0</v>
      </c>
      <c r="S2585" s="75">
        <v>0</v>
      </c>
      <c r="T2585" s="75">
        <v>0</v>
      </c>
      <c r="U2585" s="75">
        <v>0</v>
      </c>
      <c r="V2585" s="75">
        <v>0</v>
      </c>
      <c r="W2585" s="78">
        <v>0</v>
      </c>
    </row>
    <row r="2586" spans="1:23" s="75" customFormat="1" hidden="1" x14ac:dyDescent="0.35">
      <c r="A2586" s="75">
        <v>2582</v>
      </c>
      <c r="B2586" s="75">
        <v>2583</v>
      </c>
      <c r="C2586">
        <v>146.00272219999999</v>
      </c>
      <c r="D2586">
        <v>-17.489170900000001</v>
      </c>
      <c r="F2586" s="75" t="str">
        <f>HYPERLINK("E:\Data From Lucan\2024\Johnstone\Frames_for_Analysis\2583_20240610_0003_L_4407.jpg","2583_20240610_0003_L_4407.jpg")</f>
        <v>2583_20240610_0003_L_4407.jpg</v>
      </c>
      <c r="G2586" s="75">
        <v>9</v>
      </c>
      <c r="I2586">
        <f t="shared" si="40"/>
        <v>0</v>
      </c>
      <c r="J2586" s="75">
        <v>0</v>
      </c>
      <c r="K2586" s="77"/>
      <c r="L2586" s="77"/>
      <c r="M2586" s="77"/>
      <c r="N2586" s="77"/>
      <c r="O2586" s="75">
        <v>1</v>
      </c>
      <c r="P2586" s="75">
        <v>0</v>
      </c>
      <c r="Q2586" s="75">
        <v>0</v>
      </c>
      <c r="R2586" s="75">
        <v>0</v>
      </c>
      <c r="S2586" s="75">
        <v>0</v>
      </c>
      <c r="T2586" s="75">
        <v>0</v>
      </c>
      <c r="U2586" s="75">
        <v>0</v>
      </c>
      <c r="V2586" s="75">
        <v>0</v>
      </c>
      <c r="W2586" s="78">
        <v>0</v>
      </c>
    </row>
    <row r="2587" spans="1:23" s="75" customFormat="1" hidden="1" x14ac:dyDescent="0.35">
      <c r="A2587" s="75">
        <v>2583</v>
      </c>
      <c r="B2587" s="75">
        <v>2584</v>
      </c>
      <c r="C2587">
        <v>146.0026847</v>
      </c>
      <c r="D2587">
        <v>-17.489255960000001</v>
      </c>
      <c r="F2587" s="75" t="str">
        <f>HYPERLINK("E:\Data From Lucan\2024\Johnstone\Frames_for_Analysis\2584_20240610_0003_L_4439.jpg","2584_20240610_0003_L_4439.jpg")</f>
        <v>2584_20240610_0003_L_4439.jpg</v>
      </c>
      <c r="G2587" s="75">
        <v>9</v>
      </c>
      <c r="I2587">
        <f t="shared" si="40"/>
        <v>0</v>
      </c>
      <c r="J2587" s="75">
        <v>0</v>
      </c>
      <c r="K2587" s="77"/>
      <c r="L2587" s="77"/>
      <c r="M2587" s="77"/>
      <c r="N2587" s="77"/>
      <c r="O2587" s="75">
        <v>1</v>
      </c>
      <c r="P2587" s="75">
        <v>0</v>
      </c>
      <c r="Q2587" s="75">
        <v>0</v>
      </c>
      <c r="R2587" s="75">
        <v>0</v>
      </c>
      <c r="S2587" s="75">
        <v>0</v>
      </c>
      <c r="T2587" s="75">
        <v>0</v>
      </c>
      <c r="U2587" s="75">
        <v>0</v>
      </c>
      <c r="V2587" s="75">
        <v>0</v>
      </c>
      <c r="W2587" s="78">
        <v>0</v>
      </c>
    </row>
    <row r="2588" spans="1:23" s="75" customFormat="1" hidden="1" x14ac:dyDescent="0.35">
      <c r="A2588" s="75">
        <v>2584</v>
      </c>
      <c r="B2588" s="75">
        <v>2585</v>
      </c>
      <c r="C2588">
        <v>146.0026641</v>
      </c>
      <c r="D2588">
        <v>-17.489347989999999</v>
      </c>
      <c r="F2588" s="75" t="str">
        <f>HYPERLINK("E:\Data From Lucan\2024\Johnstone\Frames_for_Analysis\2585_20240610_0003_L_4444.jpg","2585_20240610_0003_L_4444.jpg")</f>
        <v>2585_20240610_0003_L_4444.jpg</v>
      </c>
      <c r="G2588" s="75">
        <v>9</v>
      </c>
      <c r="I2588">
        <f t="shared" si="40"/>
        <v>0</v>
      </c>
      <c r="J2588" s="75">
        <v>0</v>
      </c>
      <c r="K2588" s="77"/>
      <c r="L2588" s="77"/>
      <c r="M2588" s="77"/>
      <c r="N2588" s="77"/>
      <c r="O2588" s="75">
        <v>1</v>
      </c>
      <c r="P2588" s="75">
        <v>0</v>
      </c>
      <c r="Q2588" s="75">
        <v>0</v>
      </c>
      <c r="R2588" s="75">
        <v>0</v>
      </c>
      <c r="S2588" s="75">
        <v>0</v>
      </c>
      <c r="T2588" s="75">
        <v>0</v>
      </c>
      <c r="U2588" s="75">
        <v>0</v>
      </c>
      <c r="V2588" s="75">
        <v>0</v>
      </c>
      <c r="W2588" s="78">
        <v>0</v>
      </c>
    </row>
    <row r="2589" spans="1:23" s="75" customFormat="1" hidden="1" x14ac:dyDescent="0.35">
      <c r="A2589" s="75">
        <v>2585</v>
      </c>
      <c r="B2589" s="75">
        <v>2586</v>
      </c>
      <c r="C2589">
        <v>146.0026436</v>
      </c>
      <c r="D2589">
        <v>-17.48944002</v>
      </c>
      <c r="F2589" s="75" t="str">
        <f>HYPERLINK("E:\Data From Lucan\2024\Johnstone\Frames_for_Analysis\2586_20240610_0003_L_4449.jpg","2586_20240610_0003_L_4449.jpg")</f>
        <v>2586_20240610_0003_L_4449.jpg</v>
      </c>
      <c r="G2589" s="75">
        <v>9</v>
      </c>
      <c r="I2589">
        <f t="shared" si="40"/>
        <v>0</v>
      </c>
      <c r="J2589" s="75">
        <v>0</v>
      </c>
      <c r="K2589" s="77"/>
      <c r="L2589" s="77"/>
      <c r="M2589" s="77"/>
      <c r="N2589" s="77"/>
      <c r="O2589" s="75">
        <v>1</v>
      </c>
      <c r="P2589" s="75">
        <v>0</v>
      </c>
      <c r="Q2589" s="75">
        <v>0</v>
      </c>
      <c r="R2589" s="75">
        <v>0</v>
      </c>
      <c r="S2589" s="75">
        <v>0</v>
      </c>
      <c r="T2589" s="75">
        <v>0</v>
      </c>
      <c r="U2589" s="75">
        <v>0</v>
      </c>
      <c r="V2589" s="75">
        <v>0</v>
      </c>
      <c r="W2589" s="78">
        <v>0</v>
      </c>
    </row>
    <row r="2590" spans="1:23" s="75" customFormat="1" hidden="1" x14ac:dyDescent="0.35">
      <c r="A2590" s="75">
        <v>2586</v>
      </c>
      <c r="B2590" s="75">
        <v>2587</v>
      </c>
      <c r="C2590">
        <v>146.002623</v>
      </c>
      <c r="D2590">
        <v>-17.489532050000001</v>
      </c>
      <c r="F2590" s="75" t="str">
        <f>HYPERLINK("E:\Data From Lucan\2024\Johnstone\Frames_for_Analysis\2587_20240610_0003_L_4456.jpg","2587_20240610_0003_L_4456.jpg")</f>
        <v>2587_20240610_0003_L_4456.jpg</v>
      </c>
      <c r="G2590" s="75">
        <v>9</v>
      </c>
      <c r="I2590">
        <f t="shared" si="40"/>
        <v>0</v>
      </c>
      <c r="J2590" s="75">
        <v>0</v>
      </c>
      <c r="K2590" s="77"/>
      <c r="L2590" s="77"/>
      <c r="M2590" s="77"/>
      <c r="N2590" s="77"/>
      <c r="O2590" s="75">
        <v>1</v>
      </c>
      <c r="P2590" s="75">
        <v>0</v>
      </c>
      <c r="Q2590" s="75">
        <v>0</v>
      </c>
      <c r="R2590" s="75">
        <v>0</v>
      </c>
      <c r="S2590" s="75">
        <v>0</v>
      </c>
      <c r="T2590" s="75">
        <v>0</v>
      </c>
      <c r="U2590" s="75">
        <v>0</v>
      </c>
      <c r="V2590" s="75">
        <v>0</v>
      </c>
      <c r="W2590" s="78">
        <v>0</v>
      </c>
    </row>
    <row r="2591" spans="1:23" s="75" customFormat="1" hidden="1" x14ac:dyDescent="0.35">
      <c r="A2591" s="75">
        <v>2587</v>
      </c>
      <c r="B2591" s="75">
        <v>2588</v>
      </c>
      <c r="C2591">
        <v>146.0026024</v>
      </c>
      <c r="D2591">
        <v>-17.489624070000001</v>
      </c>
      <c r="F2591" s="75" t="str">
        <f>HYPERLINK("E:\Data From Lucan\2024\Johnstone\Frames_for_Analysis\2588_20240610_0003_L_4460.jpg","2588_20240610_0003_L_4460.jpg")</f>
        <v>2588_20240610_0003_L_4460.jpg</v>
      </c>
      <c r="G2591" s="75">
        <v>9</v>
      </c>
      <c r="I2591">
        <f t="shared" si="40"/>
        <v>0</v>
      </c>
      <c r="J2591" s="75">
        <v>0</v>
      </c>
      <c r="K2591" s="77"/>
      <c r="L2591" s="77"/>
      <c r="M2591" s="77"/>
      <c r="N2591" s="77"/>
      <c r="O2591" s="75">
        <v>1</v>
      </c>
      <c r="P2591" s="75">
        <v>0</v>
      </c>
      <c r="Q2591" s="75">
        <v>0</v>
      </c>
      <c r="R2591" s="75">
        <v>0</v>
      </c>
      <c r="S2591" s="75">
        <v>0</v>
      </c>
      <c r="T2591" s="75">
        <v>0</v>
      </c>
      <c r="U2591" s="75">
        <v>0</v>
      </c>
      <c r="V2591" s="75">
        <v>0</v>
      </c>
      <c r="W2591" s="78">
        <v>0</v>
      </c>
    </row>
    <row r="2592" spans="1:23" s="75" customFormat="1" hidden="1" x14ac:dyDescent="0.35">
      <c r="A2592" s="75">
        <v>2588</v>
      </c>
      <c r="B2592" s="75">
        <v>2589</v>
      </c>
      <c r="C2592">
        <v>146.0025818</v>
      </c>
      <c r="D2592">
        <v>-17.489716099999999</v>
      </c>
      <c r="F2592" s="75" t="str">
        <f>HYPERLINK("E:\Data From Lucan\2024\Johnstone\Frames_for_Analysis\2589_20240610_0003_L_4467.jpg","2589_20240610_0003_L_4467.jpg")</f>
        <v>2589_20240610_0003_L_4467.jpg</v>
      </c>
      <c r="G2592" s="75">
        <v>9</v>
      </c>
      <c r="I2592">
        <f t="shared" si="40"/>
        <v>0</v>
      </c>
      <c r="J2592" s="75">
        <v>0</v>
      </c>
      <c r="K2592" s="77"/>
      <c r="L2592" s="77"/>
      <c r="M2592" s="77"/>
      <c r="N2592" s="77"/>
      <c r="O2592" s="75">
        <v>1</v>
      </c>
      <c r="P2592" s="75">
        <v>0</v>
      </c>
      <c r="Q2592" s="75">
        <v>0</v>
      </c>
      <c r="R2592" s="75">
        <v>0</v>
      </c>
      <c r="S2592" s="75">
        <v>0</v>
      </c>
      <c r="T2592" s="75">
        <v>0</v>
      </c>
      <c r="U2592" s="75">
        <v>0</v>
      </c>
      <c r="V2592" s="75">
        <v>0</v>
      </c>
      <c r="W2592" s="78">
        <v>0</v>
      </c>
    </row>
    <row r="2593" spans="1:23" s="75" customFormat="1" hidden="1" x14ac:dyDescent="0.35">
      <c r="A2593" s="75">
        <v>2589</v>
      </c>
      <c r="B2593" s="75">
        <v>2590</v>
      </c>
      <c r="C2593">
        <v>146.0025612</v>
      </c>
      <c r="D2593">
        <v>-17.48980813</v>
      </c>
      <c r="F2593" s="75" t="str">
        <f>HYPERLINK("E:\Data From Lucan\2024\Johnstone\Frames_for_Analysis\2590_20240610_0003_L_4470.jpg","2590_20240610_0003_L_4470.jpg")</f>
        <v>2590_20240610_0003_L_4470.jpg</v>
      </c>
      <c r="G2593" s="75">
        <v>9</v>
      </c>
      <c r="I2593">
        <f t="shared" si="40"/>
        <v>0</v>
      </c>
      <c r="J2593" s="75">
        <v>0</v>
      </c>
      <c r="K2593" s="77"/>
      <c r="L2593" s="77"/>
      <c r="M2593" s="77"/>
      <c r="N2593" s="77"/>
      <c r="O2593" s="75">
        <v>1</v>
      </c>
      <c r="P2593" s="75">
        <v>0</v>
      </c>
      <c r="Q2593" s="75">
        <v>0</v>
      </c>
      <c r="R2593" s="75">
        <v>0</v>
      </c>
      <c r="S2593" s="75">
        <v>0</v>
      </c>
      <c r="T2593" s="75">
        <v>0</v>
      </c>
      <c r="U2593" s="75">
        <v>0</v>
      </c>
      <c r="V2593" s="75">
        <v>0</v>
      </c>
      <c r="W2593" s="78">
        <v>0</v>
      </c>
    </row>
    <row r="2594" spans="1:23" s="75" customFormat="1" hidden="1" x14ac:dyDescent="0.35">
      <c r="A2594" s="75">
        <v>2590</v>
      </c>
      <c r="B2594" s="75">
        <v>2591</v>
      </c>
      <c r="C2594">
        <v>146.0025406</v>
      </c>
      <c r="D2594">
        <v>-17.489900160000001</v>
      </c>
      <c r="F2594" s="75" t="str">
        <f>HYPERLINK("E:\Data From Lucan\2024\Johnstone\Frames_for_Analysis\2591_20240610_0003_L_4478.jpg","2591_20240610_0003_L_4478.jpg")</f>
        <v>2591_20240610_0003_L_4478.jpg</v>
      </c>
      <c r="G2594" s="75">
        <v>9</v>
      </c>
      <c r="I2594">
        <f t="shared" si="40"/>
        <v>0</v>
      </c>
      <c r="J2594" s="75">
        <v>0</v>
      </c>
      <c r="K2594" s="77"/>
      <c r="L2594" s="77"/>
      <c r="M2594" s="77"/>
      <c r="N2594" s="77"/>
      <c r="O2594" s="75">
        <v>1</v>
      </c>
      <c r="P2594" s="75">
        <v>0</v>
      </c>
      <c r="Q2594" s="75">
        <v>0</v>
      </c>
      <c r="R2594" s="75">
        <v>0</v>
      </c>
      <c r="S2594" s="75">
        <v>0</v>
      </c>
      <c r="T2594" s="75">
        <v>0</v>
      </c>
      <c r="U2594" s="75">
        <v>0</v>
      </c>
      <c r="V2594" s="75">
        <v>0</v>
      </c>
      <c r="W2594" s="78">
        <v>0</v>
      </c>
    </row>
    <row r="2595" spans="1:23" s="75" customFormat="1" hidden="1" x14ac:dyDescent="0.35">
      <c r="A2595" s="75">
        <v>2591</v>
      </c>
      <c r="B2595" s="75">
        <v>2592</v>
      </c>
      <c r="C2595">
        <v>146.00252269999999</v>
      </c>
      <c r="D2595">
        <v>-17.489992650000001</v>
      </c>
      <c r="F2595" s="75" t="str">
        <f>HYPERLINK("E:\Data From Lucan\2024\Johnstone\Frames_for_Analysis\2592_20240610_0003_L_4482.jpg","2592_20240610_0003_L_4482.jpg")</f>
        <v>2592_20240610_0003_L_4482.jpg</v>
      </c>
      <c r="G2595" s="75">
        <v>9</v>
      </c>
      <c r="I2595">
        <f t="shared" si="40"/>
        <v>0</v>
      </c>
      <c r="J2595" s="75">
        <v>0</v>
      </c>
      <c r="K2595" s="77"/>
      <c r="L2595" s="77"/>
      <c r="M2595" s="77"/>
      <c r="N2595" s="77"/>
      <c r="O2595" s="75">
        <v>1</v>
      </c>
      <c r="P2595" s="75">
        <v>0</v>
      </c>
      <c r="Q2595" s="75">
        <v>0</v>
      </c>
      <c r="R2595" s="75">
        <v>0</v>
      </c>
      <c r="S2595" s="75">
        <v>0</v>
      </c>
      <c r="T2595" s="75">
        <v>0</v>
      </c>
      <c r="U2595" s="75">
        <v>0</v>
      </c>
      <c r="V2595" s="75">
        <v>1</v>
      </c>
      <c r="W2595" s="78">
        <v>0</v>
      </c>
    </row>
    <row r="2596" spans="1:23" s="75" customFormat="1" hidden="1" x14ac:dyDescent="0.35">
      <c r="A2596" s="75">
        <v>2592</v>
      </c>
      <c r="B2596" s="75">
        <v>2593</v>
      </c>
      <c r="C2596">
        <v>146.002511</v>
      </c>
      <c r="D2596">
        <v>-17.490086219999998</v>
      </c>
      <c r="F2596" s="75" t="str">
        <f>HYPERLINK("E:\Data From Lucan\2024\Johnstone\Frames_for_Analysis\2593_20240610_0003_L_4486.jpg","2593_20240610_0003_L_4486.jpg")</f>
        <v>2593_20240610_0003_L_4486.jpg</v>
      </c>
      <c r="G2596" s="75">
        <v>9</v>
      </c>
      <c r="I2596">
        <f t="shared" si="40"/>
        <v>0</v>
      </c>
      <c r="J2596" s="75">
        <v>0</v>
      </c>
      <c r="K2596" s="77"/>
      <c r="L2596" s="77"/>
      <c r="M2596" s="77"/>
      <c r="N2596" s="77"/>
      <c r="O2596" s="75">
        <v>1</v>
      </c>
      <c r="P2596" s="75">
        <v>0</v>
      </c>
      <c r="Q2596" s="75">
        <v>0</v>
      </c>
      <c r="R2596" s="75">
        <v>0</v>
      </c>
      <c r="S2596" s="75">
        <v>0</v>
      </c>
      <c r="T2596" s="75">
        <v>0</v>
      </c>
      <c r="U2596" s="75">
        <v>0</v>
      </c>
      <c r="V2596" s="75">
        <v>1</v>
      </c>
      <c r="W2596" s="78">
        <v>0</v>
      </c>
    </row>
    <row r="2597" spans="1:23" s="75" customFormat="1" hidden="1" x14ac:dyDescent="0.35">
      <c r="A2597" s="75">
        <v>2593</v>
      </c>
      <c r="B2597" s="75">
        <v>2594</v>
      </c>
      <c r="C2597">
        <v>146.00249930000001</v>
      </c>
      <c r="D2597">
        <v>-17.4901798</v>
      </c>
      <c r="F2597" s="75" t="str">
        <f>HYPERLINK("E:\Data From Lucan\2024\Johnstone\Frames_for_Analysis\2594_20240610_0003_L_4492.jpg","2594_20240610_0003_L_4492.jpg")</f>
        <v>2594_20240610_0003_L_4492.jpg</v>
      </c>
      <c r="G2597" s="75">
        <v>9</v>
      </c>
      <c r="I2597">
        <f t="shared" si="40"/>
        <v>0</v>
      </c>
      <c r="J2597" s="75">
        <v>0</v>
      </c>
      <c r="K2597" s="77"/>
      <c r="L2597" s="77"/>
      <c r="M2597" s="77"/>
      <c r="N2597" s="77"/>
      <c r="O2597" s="75">
        <v>1</v>
      </c>
      <c r="P2597" s="75">
        <v>0</v>
      </c>
      <c r="Q2597" s="75">
        <v>0</v>
      </c>
      <c r="R2597" s="75">
        <v>0</v>
      </c>
      <c r="S2597" s="75">
        <v>0</v>
      </c>
      <c r="T2597" s="75">
        <v>0</v>
      </c>
      <c r="U2597" s="75">
        <v>0</v>
      </c>
      <c r="V2597" s="75">
        <v>0</v>
      </c>
      <c r="W2597" s="78">
        <v>0</v>
      </c>
    </row>
    <row r="2598" spans="1:23" s="75" customFormat="1" hidden="1" x14ac:dyDescent="0.35">
      <c r="A2598" s="75">
        <v>2594</v>
      </c>
      <c r="B2598" s="75">
        <v>2595</v>
      </c>
      <c r="C2598">
        <v>146.00248759999999</v>
      </c>
      <c r="D2598">
        <v>-17.490273380000001</v>
      </c>
      <c r="F2598" s="75" t="str">
        <f>HYPERLINK("E:\Data From Lucan\2024\Johnstone\Frames_for_Analysis\2595_20240610_0003_L_4498.jpg","2595_20240610_0003_L_4498.jpg")</f>
        <v>2595_20240610_0003_L_4498.jpg</v>
      </c>
      <c r="G2598" s="75">
        <v>9</v>
      </c>
      <c r="I2598">
        <f t="shared" si="40"/>
        <v>0</v>
      </c>
      <c r="J2598" s="75">
        <v>0</v>
      </c>
      <c r="K2598" s="77"/>
      <c r="L2598" s="77"/>
      <c r="M2598" s="77"/>
      <c r="N2598" s="77"/>
      <c r="O2598" s="75">
        <v>1</v>
      </c>
      <c r="P2598" s="75">
        <v>0</v>
      </c>
      <c r="Q2598" s="75">
        <v>0</v>
      </c>
      <c r="R2598" s="75">
        <v>0</v>
      </c>
      <c r="S2598" s="75">
        <v>0</v>
      </c>
      <c r="T2598" s="75">
        <v>0</v>
      </c>
      <c r="U2598" s="75">
        <v>0</v>
      </c>
      <c r="V2598" s="75">
        <v>0</v>
      </c>
      <c r="W2598" s="78">
        <v>0</v>
      </c>
    </row>
    <row r="2599" spans="1:23" s="75" customFormat="1" hidden="1" x14ac:dyDescent="0.35">
      <c r="A2599" s="75">
        <v>2595</v>
      </c>
      <c r="B2599" s="75">
        <v>2596</v>
      </c>
      <c r="C2599">
        <v>146.00247590000001</v>
      </c>
      <c r="D2599">
        <v>-17.490366949999999</v>
      </c>
      <c r="F2599" s="75" t="str">
        <f>HYPERLINK("E:\Data From Lucan\2024\Johnstone\Frames_for_Analysis\2596_20240610_0003_L_4499.jpg","2596_20240610_0003_L_4499.jpg")</f>
        <v>2596_20240610_0003_L_4499.jpg</v>
      </c>
      <c r="G2599" s="75">
        <v>9</v>
      </c>
      <c r="I2599">
        <f t="shared" si="40"/>
        <v>0</v>
      </c>
      <c r="J2599" s="75">
        <v>0</v>
      </c>
      <c r="K2599" s="77"/>
      <c r="L2599" s="77"/>
      <c r="M2599" s="77"/>
      <c r="N2599" s="77"/>
      <c r="O2599" s="75">
        <v>1</v>
      </c>
      <c r="P2599" s="75">
        <v>0</v>
      </c>
      <c r="Q2599" s="75">
        <v>0</v>
      </c>
      <c r="R2599" s="75">
        <v>0</v>
      </c>
      <c r="S2599" s="75">
        <v>0</v>
      </c>
      <c r="T2599" s="75">
        <v>0</v>
      </c>
      <c r="U2599" s="75">
        <v>0</v>
      </c>
      <c r="V2599" s="75">
        <v>0</v>
      </c>
      <c r="W2599" s="78">
        <v>0</v>
      </c>
    </row>
    <row r="2600" spans="1:23" s="75" customFormat="1" hidden="1" x14ac:dyDescent="0.35">
      <c r="A2600" s="75">
        <v>2596</v>
      </c>
      <c r="B2600" s="75">
        <v>2597</v>
      </c>
      <c r="C2600">
        <v>146.00246419999999</v>
      </c>
      <c r="D2600">
        <v>-17.49046053</v>
      </c>
      <c r="F2600" s="75" t="str">
        <f>HYPERLINK("E:\Data From Lucan\2024\Johnstone\Frames_for_Analysis\2597_20240610_0003_L_4512.jpg","2597_20240610_0003_L_4512.jpg")</f>
        <v>2597_20240610_0003_L_4512.jpg</v>
      </c>
      <c r="G2600" s="75">
        <v>9</v>
      </c>
      <c r="I2600">
        <f t="shared" si="40"/>
        <v>0</v>
      </c>
      <c r="J2600" s="75">
        <v>0</v>
      </c>
      <c r="K2600" s="77"/>
      <c r="L2600" s="77"/>
      <c r="M2600" s="77"/>
      <c r="N2600" s="77"/>
      <c r="O2600" s="75">
        <v>1</v>
      </c>
      <c r="P2600" s="75">
        <v>0</v>
      </c>
      <c r="Q2600" s="75">
        <v>0</v>
      </c>
      <c r="R2600" s="75">
        <v>0</v>
      </c>
      <c r="S2600" s="75">
        <v>0</v>
      </c>
      <c r="T2600" s="75">
        <v>0</v>
      </c>
      <c r="U2600" s="75">
        <v>0</v>
      </c>
      <c r="V2600" s="75">
        <v>0</v>
      </c>
      <c r="W2600" s="78">
        <v>0</v>
      </c>
    </row>
    <row r="2601" spans="1:23" s="75" customFormat="1" hidden="1" x14ac:dyDescent="0.35">
      <c r="A2601" s="75">
        <v>2597</v>
      </c>
      <c r="B2601" s="75">
        <v>2598</v>
      </c>
      <c r="C2601">
        <v>146.0024525</v>
      </c>
      <c r="D2601">
        <v>-17.490554100000001</v>
      </c>
      <c r="F2601" s="75" t="str">
        <f>HYPERLINK("E:\Data From Lucan\2024\Johnstone\Frames_for_Analysis\2598_20240610_0003_L_4519.jpg","2598_20240610_0003_L_4519.jpg")</f>
        <v>2598_20240610_0003_L_4519.jpg</v>
      </c>
      <c r="G2601" s="75">
        <v>9</v>
      </c>
      <c r="I2601">
        <f t="shared" si="40"/>
        <v>0</v>
      </c>
      <c r="J2601" s="75">
        <v>0</v>
      </c>
      <c r="K2601" s="77"/>
      <c r="L2601" s="77"/>
      <c r="M2601" s="77"/>
      <c r="N2601" s="77"/>
      <c r="O2601" s="75">
        <v>1</v>
      </c>
      <c r="P2601" s="75">
        <v>0</v>
      </c>
      <c r="Q2601" s="75">
        <v>0</v>
      </c>
      <c r="R2601" s="75">
        <v>0</v>
      </c>
      <c r="S2601" s="75">
        <v>0</v>
      </c>
      <c r="T2601" s="75">
        <v>0</v>
      </c>
      <c r="U2601" s="75">
        <v>0</v>
      </c>
      <c r="V2601" s="75">
        <v>0</v>
      </c>
      <c r="W2601" s="78">
        <v>0</v>
      </c>
    </row>
    <row r="2602" spans="1:23" s="75" customFormat="1" hidden="1" x14ac:dyDescent="0.35">
      <c r="A2602" s="75">
        <v>2598</v>
      </c>
      <c r="B2602" s="75">
        <v>2599</v>
      </c>
      <c r="C2602">
        <v>146.00244079999999</v>
      </c>
      <c r="D2602">
        <v>-17.490647679999999</v>
      </c>
      <c r="F2602" s="75" t="str">
        <f>HYPERLINK("E:\Data From Lucan\2024\Johnstone\Frames_for_Analysis\2599_20240610_0003_L_4522.jpg","2599_20240610_0003_L_4522.jpg")</f>
        <v>2599_20240610_0003_L_4522.jpg</v>
      </c>
      <c r="G2602" s="75">
        <v>9</v>
      </c>
      <c r="I2602">
        <f t="shared" si="40"/>
        <v>0</v>
      </c>
      <c r="J2602" s="75">
        <v>0</v>
      </c>
      <c r="K2602" s="77"/>
      <c r="L2602" s="77"/>
      <c r="M2602" s="77"/>
      <c r="N2602" s="77"/>
      <c r="O2602" s="75">
        <v>1</v>
      </c>
      <c r="P2602" s="75">
        <v>0</v>
      </c>
      <c r="Q2602" s="75">
        <v>0</v>
      </c>
      <c r="R2602" s="75">
        <v>0</v>
      </c>
      <c r="S2602" s="75">
        <v>0</v>
      </c>
      <c r="T2602" s="75">
        <v>0</v>
      </c>
      <c r="U2602" s="75">
        <v>0</v>
      </c>
      <c r="V2602" s="75">
        <v>0</v>
      </c>
      <c r="W2602" s="78">
        <v>0</v>
      </c>
    </row>
    <row r="2603" spans="1:23" s="75" customFormat="1" hidden="1" x14ac:dyDescent="0.35">
      <c r="A2603" s="75">
        <v>2599</v>
      </c>
      <c r="B2603" s="75">
        <v>2600</v>
      </c>
      <c r="C2603">
        <v>146.0024291</v>
      </c>
      <c r="D2603">
        <v>-17.490741249999999</v>
      </c>
      <c r="F2603" s="75" t="str">
        <f>HYPERLINK("E:\Data From Lucan\2024\Johnstone\Frames_for_Analysis\2600_20240610_0003_L_4528.jpg","2600_20240610_0003_L_4528.jpg")</f>
        <v>2600_20240610_0003_L_4528.jpg</v>
      </c>
      <c r="G2603" s="75">
        <v>9</v>
      </c>
      <c r="I2603">
        <f t="shared" si="40"/>
        <v>0</v>
      </c>
      <c r="J2603" s="75">
        <v>0</v>
      </c>
      <c r="K2603" s="77"/>
      <c r="L2603" s="77"/>
      <c r="M2603" s="77"/>
      <c r="N2603" s="77"/>
      <c r="O2603" s="75">
        <v>1</v>
      </c>
      <c r="P2603" s="75">
        <v>0</v>
      </c>
      <c r="Q2603" s="75">
        <v>0</v>
      </c>
      <c r="R2603" s="75">
        <v>0</v>
      </c>
      <c r="S2603" s="75">
        <v>0</v>
      </c>
      <c r="T2603" s="75">
        <v>0</v>
      </c>
      <c r="U2603" s="75">
        <v>0</v>
      </c>
      <c r="V2603" s="75">
        <v>0</v>
      </c>
      <c r="W2603" s="78">
        <v>0</v>
      </c>
    </row>
    <row r="2604" spans="1:23" s="75" customFormat="1" hidden="1" x14ac:dyDescent="0.35">
      <c r="A2604" s="75">
        <v>2600</v>
      </c>
      <c r="B2604" s="75">
        <v>2601</v>
      </c>
      <c r="C2604">
        <v>146.00241740000001</v>
      </c>
      <c r="D2604">
        <v>-17.490834830000001</v>
      </c>
      <c r="F2604" s="75" t="str">
        <f>HYPERLINK("E:\Data From Lucan\2024\Johnstone\Frames_for_Analysis\2601_20240610_0003_L_4532.jpg","2601_20240610_0003_L_4532.jpg")</f>
        <v>2601_20240610_0003_L_4532.jpg</v>
      </c>
      <c r="G2604" s="75">
        <v>9</v>
      </c>
      <c r="I2604">
        <f t="shared" si="40"/>
        <v>0</v>
      </c>
      <c r="J2604" s="75">
        <v>0</v>
      </c>
      <c r="K2604" s="77"/>
      <c r="L2604" s="77"/>
      <c r="M2604" s="77"/>
      <c r="N2604" s="77"/>
      <c r="O2604" s="75">
        <v>1</v>
      </c>
      <c r="P2604" s="75">
        <v>0</v>
      </c>
      <c r="Q2604" s="75">
        <v>0</v>
      </c>
      <c r="R2604" s="75">
        <v>0</v>
      </c>
      <c r="S2604" s="75">
        <v>0</v>
      </c>
      <c r="T2604" s="75">
        <v>0</v>
      </c>
      <c r="U2604" s="75">
        <v>0</v>
      </c>
      <c r="V2604" s="75">
        <v>0</v>
      </c>
      <c r="W2604" s="78">
        <v>0</v>
      </c>
    </row>
    <row r="2605" spans="1:23" s="75" customFormat="1" hidden="1" x14ac:dyDescent="0.35">
      <c r="A2605" s="75">
        <v>2601</v>
      </c>
      <c r="B2605" s="75">
        <v>2602</v>
      </c>
      <c r="C2605">
        <v>146.0024057</v>
      </c>
      <c r="D2605">
        <v>-17.490928400000001</v>
      </c>
      <c r="F2605" s="75" t="str">
        <f>HYPERLINK("E:\Data From Lucan\2024\Johnstone\Frames_for_Analysis\2602_20240610_0003_L_4536.jpg","2602_20240610_0003_L_4536.jpg")</f>
        <v>2602_20240610_0003_L_4536.jpg</v>
      </c>
      <c r="G2605" s="75">
        <v>9</v>
      </c>
      <c r="I2605">
        <f t="shared" si="40"/>
        <v>0</v>
      </c>
      <c r="J2605" s="75">
        <v>0</v>
      </c>
      <c r="K2605" s="77"/>
      <c r="L2605" s="77"/>
      <c r="M2605" s="77"/>
      <c r="N2605" s="77"/>
      <c r="O2605" s="75">
        <v>1</v>
      </c>
      <c r="P2605" s="75">
        <v>0</v>
      </c>
      <c r="Q2605" s="75">
        <v>0</v>
      </c>
      <c r="R2605" s="75">
        <v>0</v>
      </c>
      <c r="S2605" s="75">
        <v>0</v>
      </c>
      <c r="T2605" s="75">
        <v>0</v>
      </c>
      <c r="U2605" s="75">
        <v>0</v>
      </c>
      <c r="V2605" s="75">
        <v>0</v>
      </c>
      <c r="W2605" s="78">
        <v>0</v>
      </c>
    </row>
    <row r="2606" spans="1:23" s="75" customFormat="1" hidden="1" x14ac:dyDescent="0.35">
      <c r="A2606" s="75">
        <v>2602</v>
      </c>
      <c r="B2606" s="75">
        <v>2603</v>
      </c>
      <c r="C2606">
        <v>146.00239400000001</v>
      </c>
      <c r="D2606">
        <v>-17.491021979999999</v>
      </c>
      <c r="F2606" s="75" t="str">
        <f>HYPERLINK("E:\Data From Lucan\2024\Johnstone\Frames_for_Analysis\2603_20240610_0003_L_4543.jpg","2603_20240610_0003_L_4543.jpg")</f>
        <v>2603_20240610_0003_L_4543.jpg</v>
      </c>
      <c r="G2606" s="75">
        <v>9</v>
      </c>
      <c r="I2606">
        <f t="shared" si="40"/>
        <v>0</v>
      </c>
      <c r="J2606" s="75">
        <v>0</v>
      </c>
      <c r="K2606" s="77"/>
      <c r="L2606" s="77"/>
      <c r="M2606" s="77"/>
      <c r="N2606" s="77"/>
      <c r="O2606" s="75">
        <v>1</v>
      </c>
      <c r="P2606" s="75">
        <v>0</v>
      </c>
      <c r="Q2606" s="75">
        <v>0</v>
      </c>
      <c r="R2606" s="75">
        <v>0</v>
      </c>
      <c r="S2606" s="75">
        <v>0</v>
      </c>
      <c r="T2606" s="75">
        <v>0</v>
      </c>
      <c r="U2606" s="75">
        <v>0</v>
      </c>
      <c r="V2606" s="75">
        <v>0</v>
      </c>
      <c r="W2606" s="78">
        <v>0</v>
      </c>
    </row>
    <row r="2607" spans="1:23" s="75" customFormat="1" hidden="1" x14ac:dyDescent="0.35">
      <c r="A2607" s="75">
        <v>2603</v>
      </c>
      <c r="B2607" s="75">
        <v>2604</v>
      </c>
      <c r="C2607">
        <v>146.00238680000001</v>
      </c>
      <c r="D2607">
        <v>-17.4911159</v>
      </c>
      <c r="F2607" s="75" t="str">
        <f>HYPERLINK("E:\Data From Lucan\2024\Johnstone\Frames_for_Analysis\2604_20240610_0003_L_4547.jpg","2604_20240610_0003_L_4547.jpg")</f>
        <v>2604_20240610_0003_L_4547.jpg</v>
      </c>
      <c r="G2607" s="75">
        <v>9</v>
      </c>
      <c r="I2607">
        <f t="shared" si="40"/>
        <v>0</v>
      </c>
      <c r="J2607" s="75">
        <v>0</v>
      </c>
      <c r="K2607" s="77"/>
      <c r="L2607" s="77"/>
      <c r="M2607" s="77"/>
      <c r="N2607" s="77"/>
      <c r="O2607" s="75">
        <v>1</v>
      </c>
      <c r="P2607" s="75">
        <v>0</v>
      </c>
      <c r="Q2607" s="75">
        <v>0</v>
      </c>
      <c r="R2607" s="75">
        <v>0</v>
      </c>
      <c r="S2607" s="75">
        <v>0</v>
      </c>
      <c r="T2607" s="75">
        <v>0</v>
      </c>
      <c r="U2607" s="75">
        <v>0</v>
      </c>
      <c r="V2607" s="75">
        <v>0</v>
      </c>
      <c r="W2607" s="78">
        <v>0</v>
      </c>
    </row>
    <row r="2608" spans="1:23" s="75" customFormat="1" hidden="1" x14ac:dyDescent="0.35">
      <c r="A2608" s="75">
        <v>2604</v>
      </c>
      <c r="B2608" s="75">
        <v>2605</v>
      </c>
      <c r="C2608">
        <v>146.00238400000001</v>
      </c>
      <c r="D2608">
        <v>-17.491210160000001</v>
      </c>
      <c r="F2608" s="75" t="str">
        <f>HYPERLINK("E:\Data From Lucan\2024\Johnstone\Frames_for_Analysis\2605_20240610_0003_L_4555.jpg","2605_20240610_0003_L_4555.jpg")</f>
        <v>2605_20240610_0003_L_4555.jpg</v>
      </c>
      <c r="G2608" s="75">
        <v>9</v>
      </c>
      <c r="I2608">
        <f t="shared" si="40"/>
        <v>0</v>
      </c>
      <c r="J2608" s="75">
        <v>0</v>
      </c>
      <c r="K2608" s="77"/>
      <c r="L2608" s="77"/>
      <c r="M2608" s="77"/>
      <c r="N2608" s="77"/>
      <c r="O2608" s="75">
        <v>1</v>
      </c>
      <c r="P2608" s="75">
        <v>0</v>
      </c>
      <c r="Q2608" s="75">
        <v>0</v>
      </c>
      <c r="R2608" s="75">
        <v>0</v>
      </c>
      <c r="S2608" s="75">
        <v>0</v>
      </c>
      <c r="T2608" s="75">
        <v>0</v>
      </c>
      <c r="U2608" s="75">
        <v>0</v>
      </c>
      <c r="V2608" s="75">
        <v>0</v>
      </c>
      <c r="W2608" s="78">
        <v>0</v>
      </c>
    </row>
    <row r="2609" spans="1:23" s="75" customFormat="1" hidden="1" x14ac:dyDescent="0.35">
      <c r="A2609" s="75">
        <v>2605</v>
      </c>
      <c r="B2609" s="75">
        <v>2606</v>
      </c>
      <c r="C2609">
        <v>146.0023812</v>
      </c>
      <c r="D2609">
        <v>-17.491304419999999</v>
      </c>
      <c r="F2609" s="75" t="str">
        <f>HYPERLINK("E:\Data From Lucan\2024\Johnstone\Frames_for_Analysis\2606_20240610_0003_L_4558.jpg","2606_20240610_0003_L_4558.jpg")</f>
        <v>2606_20240610_0003_L_4558.jpg</v>
      </c>
      <c r="G2609" s="75">
        <v>9</v>
      </c>
      <c r="I2609">
        <f t="shared" si="40"/>
        <v>0</v>
      </c>
      <c r="J2609" s="75">
        <v>0</v>
      </c>
      <c r="K2609" s="77"/>
      <c r="L2609" s="77"/>
      <c r="M2609" s="77"/>
      <c r="N2609" s="77"/>
      <c r="O2609" s="75">
        <v>1</v>
      </c>
      <c r="P2609" s="75">
        <v>0</v>
      </c>
      <c r="Q2609" s="75">
        <v>0</v>
      </c>
      <c r="R2609" s="75">
        <v>0</v>
      </c>
      <c r="S2609" s="75">
        <v>0</v>
      </c>
      <c r="T2609" s="75">
        <v>0</v>
      </c>
      <c r="U2609" s="75">
        <v>0</v>
      </c>
      <c r="V2609" s="75">
        <v>0</v>
      </c>
      <c r="W2609" s="78">
        <v>0</v>
      </c>
    </row>
    <row r="2610" spans="1:23" s="75" customFormat="1" hidden="1" x14ac:dyDescent="0.35">
      <c r="A2610" s="75">
        <v>2606</v>
      </c>
      <c r="B2610" s="75">
        <v>2607</v>
      </c>
      <c r="C2610">
        <v>146.00237849999999</v>
      </c>
      <c r="D2610">
        <v>-17.49139869</v>
      </c>
      <c r="F2610" s="75" t="str">
        <f>HYPERLINK("E:\Data From Lucan\2024\Johnstone\Frames_for_Analysis\2607_20240610_0003_L_4566.jpg","2607_20240610_0003_L_4566.jpg")</f>
        <v>2607_20240610_0003_L_4566.jpg</v>
      </c>
      <c r="G2610" s="75">
        <v>9</v>
      </c>
      <c r="I2610">
        <f t="shared" si="40"/>
        <v>0</v>
      </c>
      <c r="J2610" s="75">
        <v>0</v>
      </c>
      <c r="K2610" s="77"/>
      <c r="L2610" s="77"/>
      <c r="M2610" s="77"/>
      <c r="N2610" s="77"/>
      <c r="O2610" s="75">
        <v>1</v>
      </c>
      <c r="P2610" s="75">
        <v>0</v>
      </c>
      <c r="Q2610" s="75">
        <v>0</v>
      </c>
      <c r="R2610" s="75">
        <v>0</v>
      </c>
      <c r="S2610" s="75">
        <v>0</v>
      </c>
      <c r="T2610" s="75">
        <v>0</v>
      </c>
      <c r="U2610" s="75">
        <v>0</v>
      </c>
      <c r="V2610" s="75">
        <v>0</v>
      </c>
      <c r="W2610" s="78">
        <v>0</v>
      </c>
    </row>
    <row r="2611" spans="1:23" s="75" customFormat="1" hidden="1" x14ac:dyDescent="0.35">
      <c r="A2611" s="75">
        <v>2607</v>
      </c>
      <c r="B2611" s="75">
        <v>2608</v>
      </c>
      <c r="C2611">
        <v>146.00237569999999</v>
      </c>
      <c r="D2611">
        <v>-17.491492950000001</v>
      </c>
      <c r="F2611" s="75" t="str">
        <f>HYPERLINK("E:\Data From Lucan\2024\Johnstone\Frames_for_Analysis\2608_20240610_0003_L_4571.jpg","2608_20240610_0003_L_4571.jpg")</f>
        <v>2608_20240610_0003_L_4571.jpg</v>
      </c>
      <c r="G2611" s="75">
        <v>9</v>
      </c>
      <c r="I2611">
        <f t="shared" si="40"/>
        <v>0</v>
      </c>
      <c r="J2611" s="75">
        <v>0</v>
      </c>
      <c r="K2611" s="77"/>
      <c r="L2611" s="77"/>
      <c r="M2611" s="77"/>
      <c r="N2611" s="77"/>
      <c r="O2611" s="75">
        <v>1</v>
      </c>
      <c r="P2611" s="75">
        <v>0</v>
      </c>
      <c r="Q2611" s="75">
        <v>0</v>
      </c>
      <c r="R2611" s="75">
        <v>0</v>
      </c>
      <c r="S2611" s="75">
        <v>0</v>
      </c>
      <c r="T2611" s="75">
        <v>0</v>
      </c>
      <c r="U2611" s="75">
        <v>0</v>
      </c>
      <c r="V2611" s="75">
        <v>0</v>
      </c>
      <c r="W2611" s="78">
        <v>0</v>
      </c>
    </row>
    <row r="2612" spans="1:23" s="75" customFormat="1" hidden="1" x14ac:dyDescent="0.35">
      <c r="A2612" s="75">
        <v>2608</v>
      </c>
      <c r="B2612" s="75">
        <v>2609</v>
      </c>
      <c r="C2612">
        <v>146.00237290000001</v>
      </c>
      <c r="D2612">
        <v>-17.491587209999999</v>
      </c>
      <c r="F2612" s="75" t="str">
        <f>HYPERLINK("E:\Data From Lucan\2024\Johnstone\Frames_for_Analysis\2609_20240610_0003_L_4577.jpg","2609_20240610_0003_L_4577.jpg")</f>
        <v>2609_20240610_0003_L_4577.jpg</v>
      </c>
      <c r="G2612" s="75">
        <v>9</v>
      </c>
      <c r="I2612">
        <f t="shared" si="40"/>
        <v>0</v>
      </c>
      <c r="J2612" s="75">
        <v>0</v>
      </c>
      <c r="K2612" s="77"/>
      <c r="L2612" s="77"/>
      <c r="M2612" s="77"/>
      <c r="N2612" s="77"/>
      <c r="O2612" s="75">
        <v>1</v>
      </c>
      <c r="P2612" s="75">
        <v>0</v>
      </c>
      <c r="Q2612" s="75">
        <v>0</v>
      </c>
      <c r="R2612" s="75">
        <v>0</v>
      </c>
      <c r="S2612" s="75">
        <v>0</v>
      </c>
      <c r="T2612" s="75">
        <v>0</v>
      </c>
      <c r="U2612" s="75">
        <v>0</v>
      </c>
      <c r="V2612" s="75">
        <v>0</v>
      </c>
      <c r="W2612" s="78">
        <v>0</v>
      </c>
    </row>
    <row r="2613" spans="1:23" s="75" customFormat="1" hidden="1" x14ac:dyDescent="0.35">
      <c r="A2613" s="75">
        <v>2609</v>
      </c>
      <c r="B2613" s="75">
        <v>2610</v>
      </c>
      <c r="C2613">
        <v>146.00237010000001</v>
      </c>
      <c r="D2613">
        <v>-17.49168148</v>
      </c>
      <c r="F2613" s="75" t="str">
        <f>HYPERLINK("E:\Data From Lucan\2024\Johnstone\Frames_for_Analysis\2610_20240610_0003_L_4580.jpg","2610_20240610_0003_L_4580.jpg")</f>
        <v>2610_20240610_0003_L_4580.jpg</v>
      </c>
      <c r="G2613" s="75">
        <v>9</v>
      </c>
      <c r="I2613">
        <f t="shared" si="40"/>
        <v>0</v>
      </c>
      <c r="J2613" s="75">
        <v>0</v>
      </c>
      <c r="K2613" s="77"/>
      <c r="L2613" s="77"/>
      <c r="M2613" s="77"/>
      <c r="N2613" s="77"/>
      <c r="O2613" s="75">
        <v>1</v>
      </c>
      <c r="P2613" s="75">
        <v>0</v>
      </c>
      <c r="Q2613" s="75">
        <v>0</v>
      </c>
      <c r="R2613" s="75">
        <v>0</v>
      </c>
      <c r="S2613" s="75">
        <v>0</v>
      </c>
      <c r="T2613" s="75">
        <v>0</v>
      </c>
      <c r="U2613" s="75">
        <v>0</v>
      </c>
      <c r="V2613" s="75">
        <v>0</v>
      </c>
      <c r="W2613" s="78">
        <v>0</v>
      </c>
    </row>
    <row r="2614" spans="1:23" s="75" customFormat="1" hidden="1" x14ac:dyDescent="0.35">
      <c r="A2614" s="75">
        <v>2610</v>
      </c>
      <c r="B2614" s="75">
        <v>2611</v>
      </c>
      <c r="C2614">
        <v>146.00236899999999</v>
      </c>
      <c r="D2614">
        <v>-17.491775749999999</v>
      </c>
      <c r="F2614" s="75" t="str">
        <f>HYPERLINK("E:\Data From Lucan\2024\Johnstone\Frames_for_Analysis\2611_20240610_0003_L_4586.jpg","2611_20240610_0003_L_4586.jpg")</f>
        <v>2611_20240610_0003_L_4586.jpg</v>
      </c>
      <c r="G2614" s="75">
        <v>9</v>
      </c>
      <c r="I2614">
        <f t="shared" si="40"/>
        <v>0</v>
      </c>
      <c r="J2614" s="75">
        <v>0</v>
      </c>
      <c r="K2614" s="77"/>
      <c r="L2614" s="77"/>
      <c r="M2614" s="77"/>
      <c r="N2614" s="77"/>
      <c r="O2614" s="75">
        <v>1</v>
      </c>
      <c r="P2614" s="75">
        <v>0</v>
      </c>
      <c r="Q2614" s="75">
        <v>0</v>
      </c>
      <c r="R2614" s="75">
        <v>0</v>
      </c>
      <c r="S2614" s="75">
        <v>0</v>
      </c>
      <c r="T2614" s="75">
        <v>0</v>
      </c>
      <c r="U2614" s="75">
        <v>0</v>
      </c>
      <c r="V2614" s="75">
        <v>1</v>
      </c>
      <c r="W2614" s="78">
        <v>0</v>
      </c>
    </row>
    <row r="2615" spans="1:23" s="75" customFormat="1" hidden="1" x14ac:dyDescent="0.35">
      <c r="A2615" s="75">
        <v>2611</v>
      </c>
      <c r="B2615" s="75">
        <v>2612</v>
      </c>
      <c r="C2615">
        <v>146.00237050000001</v>
      </c>
      <c r="D2615">
        <v>-17.491870039999998</v>
      </c>
      <c r="F2615" s="75" t="str">
        <f>HYPERLINK("E:\Data From Lucan\2024\Johnstone\Frames_for_Analysis\2612_20240610_0003_L_4590.jpg","2612_20240610_0003_L_4590.jpg")</f>
        <v>2612_20240610_0003_L_4590.jpg</v>
      </c>
      <c r="G2615" s="75">
        <v>9</v>
      </c>
      <c r="I2615">
        <f t="shared" si="40"/>
        <v>0</v>
      </c>
      <c r="J2615" s="75">
        <v>0</v>
      </c>
      <c r="K2615" s="77"/>
      <c r="L2615" s="77"/>
      <c r="M2615" s="77"/>
      <c r="N2615" s="77"/>
      <c r="O2615" s="75">
        <v>1</v>
      </c>
      <c r="P2615" s="75">
        <v>0</v>
      </c>
      <c r="Q2615" s="75">
        <v>0</v>
      </c>
      <c r="R2615" s="75">
        <v>0</v>
      </c>
      <c r="S2615" s="75">
        <v>0</v>
      </c>
      <c r="T2615" s="75">
        <v>0</v>
      </c>
      <c r="U2615" s="75">
        <v>0</v>
      </c>
      <c r="V2615" s="75">
        <v>0</v>
      </c>
      <c r="W2615" s="78">
        <v>0</v>
      </c>
    </row>
    <row r="2616" spans="1:23" s="75" customFormat="1" hidden="1" x14ac:dyDescent="0.35">
      <c r="A2616" s="75">
        <v>2612</v>
      </c>
      <c r="B2616" s="75">
        <v>2613</v>
      </c>
      <c r="C2616">
        <v>146.00237200000001</v>
      </c>
      <c r="D2616">
        <v>-17.491964329999998</v>
      </c>
      <c r="F2616" s="75" t="str">
        <f>HYPERLINK("E:\Data From Lucan\2024\Johnstone\Frames_for_Analysis\2613_20240610_0003_L_4592.jpg","2613_20240610_0003_L_4592.jpg")</f>
        <v>2613_20240610_0003_L_4592.jpg</v>
      </c>
      <c r="G2616" s="75">
        <v>9</v>
      </c>
      <c r="I2616">
        <f t="shared" si="40"/>
        <v>0</v>
      </c>
      <c r="J2616" s="75">
        <v>0</v>
      </c>
      <c r="K2616" s="77"/>
      <c r="L2616" s="77"/>
      <c r="M2616" s="77"/>
      <c r="N2616" s="77"/>
      <c r="O2616" s="75">
        <v>1</v>
      </c>
      <c r="P2616" s="75">
        <v>0</v>
      </c>
      <c r="Q2616" s="75">
        <v>0</v>
      </c>
      <c r="R2616" s="75">
        <v>0</v>
      </c>
      <c r="S2616" s="75">
        <v>0</v>
      </c>
      <c r="T2616" s="75">
        <v>0</v>
      </c>
      <c r="U2616" s="75">
        <v>0</v>
      </c>
      <c r="V2616" s="75">
        <v>0</v>
      </c>
      <c r="W2616" s="78">
        <v>0</v>
      </c>
    </row>
    <row r="2617" spans="1:23" s="75" customFormat="1" hidden="1" x14ac:dyDescent="0.35">
      <c r="A2617" s="75">
        <v>2613</v>
      </c>
      <c r="B2617" s="75">
        <v>2614</v>
      </c>
      <c r="C2617">
        <v>146.0023735</v>
      </c>
      <c r="D2617">
        <v>-17.492058629999999</v>
      </c>
      <c r="F2617" s="75" t="str">
        <f>HYPERLINK("E:\Data From Lucan\2024\Johnstone\Frames_for_Analysis\2614_20240610_0003_L_4597.jpg","2614_20240610_0003_L_4597.jpg")</f>
        <v>2614_20240610_0003_L_4597.jpg</v>
      </c>
      <c r="G2617" s="75">
        <v>9</v>
      </c>
      <c r="I2617">
        <f t="shared" si="40"/>
        <v>0</v>
      </c>
      <c r="J2617" s="75">
        <v>0</v>
      </c>
      <c r="K2617" s="77"/>
      <c r="L2617" s="77"/>
      <c r="M2617" s="77"/>
      <c r="N2617" s="77"/>
      <c r="O2617" s="75">
        <v>1</v>
      </c>
      <c r="P2617" s="75">
        <v>0</v>
      </c>
      <c r="Q2617" s="75">
        <v>0</v>
      </c>
      <c r="R2617" s="75">
        <v>0</v>
      </c>
      <c r="S2617" s="75">
        <v>0</v>
      </c>
      <c r="T2617" s="75">
        <v>0</v>
      </c>
      <c r="U2617" s="75">
        <v>0</v>
      </c>
      <c r="V2617" s="75">
        <v>0</v>
      </c>
      <c r="W2617" s="78">
        <v>0</v>
      </c>
    </row>
    <row r="2618" spans="1:23" s="75" customFormat="1" hidden="1" x14ac:dyDescent="0.35">
      <c r="A2618" s="75">
        <v>2614</v>
      </c>
      <c r="B2618" s="75">
        <v>2615</v>
      </c>
      <c r="C2618">
        <v>146.00237490000001</v>
      </c>
      <c r="D2618">
        <v>-17.492152919999999</v>
      </c>
      <c r="F2618" s="75" t="str">
        <f>HYPERLINK("E:\Data From Lucan\2024\Johnstone\Frames_for_Analysis\2615_20240610_0003_L_4601.jpg","2615_20240610_0003_L_4601.jpg")</f>
        <v>2615_20240610_0003_L_4601.jpg</v>
      </c>
      <c r="G2618" s="75">
        <v>9</v>
      </c>
      <c r="I2618">
        <f t="shared" si="40"/>
        <v>0</v>
      </c>
      <c r="J2618" s="75">
        <v>0</v>
      </c>
      <c r="K2618" s="77"/>
      <c r="L2618" s="77"/>
      <c r="M2618" s="77"/>
      <c r="N2618" s="77"/>
      <c r="O2618" s="75">
        <v>1</v>
      </c>
      <c r="P2618" s="75">
        <v>0</v>
      </c>
      <c r="Q2618" s="75">
        <v>0</v>
      </c>
      <c r="R2618" s="75">
        <v>0</v>
      </c>
      <c r="S2618" s="75">
        <v>0</v>
      </c>
      <c r="T2618" s="75">
        <v>0</v>
      </c>
      <c r="U2618" s="75">
        <v>0</v>
      </c>
      <c r="V2618" s="75">
        <v>1</v>
      </c>
      <c r="W2618" s="78">
        <v>0</v>
      </c>
    </row>
    <row r="2619" spans="1:23" s="75" customFormat="1" hidden="1" x14ac:dyDescent="0.35">
      <c r="A2619" s="75">
        <v>2615</v>
      </c>
      <c r="B2619" s="75">
        <v>2616</v>
      </c>
      <c r="C2619">
        <v>146.0023764</v>
      </c>
      <c r="D2619">
        <v>-17.492247209999999</v>
      </c>
      <c r="F2619" s="75" t="str">
        <f>HYPERLINK("E:\Data From Lucan\2024\Johnstone\Frames_for_Analysis\2616_20240610_0003_L_4609.jpg","2616_20240610_0003_L_4609.jpg")</f>
        <v>2616_20240610_0003_L_4609.jpg</v>
      </c>
      <c r="G2619" s="75">
        <v>9</v>
      </c>
      <c r="I2619">
        <f t="shared" si="40"/>
        <v>0</v>
      </c>
      <c r="J2619" s="75">
        <v>0</v>
      </c>
      <c r="K2619" s="77"/>
      <c r="L2619" s="77"/>
      <c r="M2619" s="77"/>
      <c r="N2619" s="77"/>
      <c r="O2619" s="75">
        <v>1</v>
      </c>
      <c r="P2619" s="75">
        <v>0</v>
      </c>
      <c r="Q2619" s="75">
        <v>0</v>
      </c>
      <c r="R2619" s="75">
        <v>0</v>
      </c>
      <c r="S2619" s="75">
        <v>0</v>
      </c>
      <c r="T2619" s="75">
        <v>0</v>
      </c>
      <c r="U2619" s="75">
        <v>0</v>
      </c>
      <c r="V2619" s="75">
        <v>1</v>
      </c>
      <c r="W2619" s="78">
        <v>0</v>
      </c>
    </row>
    <row r="2620" spans="1:23" s="75" customFormat="1" hidden="1" x14ac:dyDescent="0.35">
      <c r="A2620" s="75">
        <v>2616</v>
      </c>
      <c r="B2620" s="75">
        <v>2617</v>
      </c>
      <c r="C2620">
        <v>146.0023779</v>
      </c>
      <c r="D2620">
        <v>-17.492341499999998</v>
      </c>
      <c r="F2620" s="75" t="str">
        <f>HYPERLINK("E:\Data From Lucan\2024\Johnstone\Frames_for_Analysis\2617_20240610_0003_L_4614.jpg","2617_20240610_0003_L_4614.jpg")</f>
        <v>2617_20240610_0003_L_4614.jpg</v>
      </c>
      <c r="G2620" s="75">
        <v>9</v>
      </c>
      <c r="I2620">
        <f t="shared" si="40"/>
        <v>0</v>
      </c>
      <c r="J2620" s="75">
        <v>0</v>
      </c>
      <c r="K2620" s="77"/>
      <c r="L2620" s="77"/>
      <c r="M2620" s="77"/>
      <c r="N2620" s="77"/>
      <c r="O2620" s="75">
        <v>1</v>
      </c>
      <c r="P2620" s="75">
        <v>0</v>
      </c>
      <c r="Q2620" s="75">
        <v>0</v>
      </c>
      <c r="R2620" s="75">
        <v>0</v>
      </c>
      <c r="S2620" s="75">
        <v>0</v>
      </c>
      <c r="T2620" s="75">
        <v>0</v>
      </c>
      <c r="U2620" s="75">
        <v>0</v>
      </c>
      <c r="V2620" s="75">
        <v>0</v>
      </c>
      <c r="W2620" s="78">
        <v>0</v>
      </c>
    </row>
    <row r="2621" spans="1:23" s="75" customFormat="1" hidden="1" x14ac:dyDescent="0.35">
      <c r="A2621" s="75">
        <v>2617</v>
      </c>
      <c r="B2621" s="75">
        <v>2618</v>
      </c>
      <c r="C2621">
        <v>146.00238340000001</v>
      </c>
      <c r="D2621">
        <v>-17.492435610000001</v>
      </c>
      <c r="F2621" s="75" t="str">
        <f>HYPERLINK("E:\Data From Lucan\2024\Johnstone\Frames_for_Analysis\2618_20240610_0003_L_4617.jpg","2618_20240610_0003_L_4617.jpg")</f>
        <v>2618_20240610_0003_L_4617.jpg</v>
      </c>
      <c r="G2621" s="75">
        <v>9</v>
      </c>
      <c r="I2621">
        <f t="shared" si="40"/>
        <v>0</v>
      </c>
      <c r="J2621" s="75">
        <v>0</v>
      </c>
      <c r="K2621" s="77"/>
      <c r="L2621" s="77"/>
      <c r="M2621" s="77"/>
      <c r="N2621" s="77"/>
      <c r="O2621" s="75">
        <v>1</v>
      </c>
      <c r="P2621" s="75">
        <v>0</v>
      </c>
      <c r="Q2621" s="75">
        <v>0</v>
      </c>
      <c r="R2621" s="75">
        <v>0</v>
      </c>
      <c r="S2621" s="75">
        <v>0</v>
      </c>
      <c r="T2621" s="75">
        <v>0</v>
      </c>
      <c r="U2621" s="75">
        <v>0</v>
      </c>
      <c r="V2621" s="75">
        <v>1</v>
      </c>
      <c r="W2621" s="78">
        <v>0</v>
      </c>
    </row>
    <row r="2622" spans="1:23" s="75" customFormat="1" hidden="1" x14ac:dyDescent="0.35">
      <c r="A2622" s="75">
        <v>2618</v>
      </c>
      <c r="B2622" s="75">
        <v>2619</v>
      </c>
      <c r="C2622">
        <v>146.00239070000001</v>
      </c>
      <c r="D2622">
        <v>-17.49252963</v>
      </c>
      <c r="F2622" s="75" t="str">
        <f>HYPERLINK("E:\Data From Lucan\2024\Johnstone\Frames_for_Analysis\2619_20240610_0003_L_4623.jpg","2619_20240610_0003_L_4623.jpg")</f>
        <v>2619_20240610_0003_L_4623.jpg</v>
      </c>
      <c r="G2622" s="75">
        <v>9</v>
      </c>
      <c r="I2622">
        <f t="shared" si="40"/>
        <v>0</v>
      </c>
      <c r="J2622" s="75">
        <v>0</v>
      </c>
      <c r="K2622" s="77"/>
      <c r="L2622" s="77"/>
      <c r="M2622" s="77"/>
      <c r="N2622" s="77"/>
      <c r="O2622" s="75">
        <v>1</v>
      </c>
      <c r="P2622" s="75">
        <v>0</v>
      </c>
      <c r="Q2622" s="75">
        <v>0</v>
      </c>
      <c r="R2622" s="75">
        <v>0</v>
      </c>
      <c r="S2622" s="75">
        <v>0</v>
      </c>
      <c r="T2622" s="75">
        <v>0</v>
      </c>
      <c r="U2622" s="75">
        <v>0</v>
      </c>
      <c r="V2622" s="75">
        <v>0</v>
      </c>
      <c r="W2622" s="78">
        <v>0</v>
      </c>
    </row>
    <row r="2623" spans="1:23" s="75" customFormat="1" hidden="1" x14ac:dyDescent="0.35">
      <c r="A2623" s="75">
        <v>2619</v>
      </c>
      <c r="B2623" s="75">
        <v>2620</v>
      </c>
      <c r="C2623">
        <v>146.00239790000001</v>
      </c>
      <c r="D2623">
        <v>-17.49262366</v>
      </c>
      <c r="F2623" s="75" t="str">
        <f>HYPERLINK("E:\Data From Lucan\2024\Johnstone\Frames_for_Analysis\2620_20240610_0003_L_4626.jpg","2620_20240610_0003_L_4626.jpg")</f>
        <v>2620_20240610_0003_L_4626.jpg</v>
      </c>
      <c r="G2623" s="75">
        <v>9</v>
      </c>
      <c r="I2623">
        <f t="shared" si="40"/>
        <v>0</v>
      </c>
      <c r="J2623" s="75">
        <v>0</v>
      </c>
      <c r="K2623" s="77"/>
      <c r="L2623" s="77"/>
      <c r="M2623" s="77"/>
      <c r="N2623" s="77"/>
      <c r="O2623" s="75">
        <v>1</v>
      </c>
      <c r="P2623" s="75">
        <v>0</v>
      </c>
      <c r="Q2623" s="75">
        <v>0</v>
      </c>
      <c r="R2623" s="75">
        <v>0</v>
      </c>
      <c r="S2623" s="75">
        <v>0</v>
      </c>
      <c r="T2623" s="75">
        <v>0</v>
      </c>
      <c r="U2623" s="75">
        <v>0</v>
      </c>
      <c r="V2623" s="75">
        <v>0</v>
      </c>
      <c r="W2623" s="78">
        <v>0</v>
      </c>
    </row>
    <row r="2624" spans="1:23" s="75" customFormat="1" hidden="1" x14ac:dyDescent="0.35">
      <c r="A2624" s="75">
        <v>2620</v>
      </c>
      <c r="B2624" s="75">
        <v>2621</v>
      </c>
      <c r="C2624">
        <v>146.0024051</v>
      </c>
      <c r="D2624">
        <v>-17.492717679999998</v>
      </c>
      <c r="F2624" s="75" t="str">
        <f>HYPERLINK("E:\Data From Lucan\2024\Johnstone\Frames_for_Analysis\2621_20240610_0003_L_4632.jpg","2621_20240610_0003_L_4632.jpg")</f>
        <v>2621_20240610_0003_L_4632.jpg</v>
      </c>
      <c r="G2624" s="75">
        <v>9</v>
      </c>
      <c r="I2624">
        <f t="shared" si="40"/>
        <v>0</v>
      </c>
      <c r="J2624" s="75">
        <v>0</v>
      </c>
      <c r="K2624" s="77"/>
      <c r="L2624" s="77"/>
      <c r="M2624" s="77"/>
      <c r="N2624" s="77"/>
      <c r="O2624" s="75">
        <v>1</v>
      </c>
      <c r="P2624" s="75">
        <v>0</v>
      </c>
      <c r="Q2624" s="75">
        <v>0</v>
      </c>
      <c r="R2624" s="75">
        <v>0</v>
      </c>
      <c r="S2624" s="75">
        <v>0</v>
      </c>
      <c r="T2624" s="75">
        <v>0</v>
      </c>
      <c r="U2624" s="75">
        <v>0</v>
      </c>
      <c r="V2624" s="75">
        <v>0</v>
      </c>
      <c r="W2624" s="78">
        <v>0</v>
      </c>
    </row>
    <row r="2625" spans="1:23" s="75" customFormat="1" hidden="1" x14ac:dyDescent="0.35">
      <c r="A2625" s="75">
        <v>2621</v>
      </c>
      <c r="B2625" s="75">
        <v>2622</v>
      </c>
      <c r="C2625">
        <v>146.0024124</v>
      </c>
      <c r="D2625">
        <v>-17.492811710000002</v>
      </c>
      <c r="F2625" s="75" t="str">
        <f>HYPERLINK("E:\Data From Lucan\2024\Johnstone\Frames_for_Analysis\2622_20240610_0003_L_4636.jpg","2622_20240610_0003_L_4636.jpg")</f>
        <v>2622_20240610_0003_L_4636.jpg</v>
      </c>
      <c r="G2625" s="75">
        <v>9</v>
      </c>
      <c r="I2625">
        <f t="shared" si="40"/>
        <v>0</v>
      </c>
      <c r="J2625" s="75">
        <v>0</v>
      </c>
      <c r="K2625" s="77"/>
      <c r="L2625" s="77"/>
      <c r="M2625" s="77"/>
      <c r="N2625" s="77"/>
      <c r="O2625" s="75">
        <v>1</v>
      </c>
      <c r="P2625" s="75">
        <v>0</v>
      </c>
      <c r="Q2625" s="75">
        <v>0</v>
      </c>
      <c r="R2625" s="75">
        <v>0</v>
      </c>
      <c r="S2625" s="75">
        <v>0</v>
      </c>
      <c r="T2625" s="75">
        <v>0</v>
      </c>
      <c r="U2625" s="75">
        <v>0</v>
      </c>
      <c r="V2625" s="75">
        <v>1</v>
      </c>
      <c r="W2625" s="78">
        <v>0</v>
      </c>
    </row>
    <row r="2626" spans="1:23" s="75" customFormat="1" hidden="1" x14ac:dyDescent="0.35">
      <c r="A2626" s="75">
        <v>2622</v>
      </c>
      <c r="B2626" s="75">
        <v>2623</v>
      </c>
      <c r="C2626">
        <v>146.0024196</v>
      </c>
      <c r="D2626">
        <v>-17.492905740000001</v>
      </c>
      <c r="F2626" s="75" t="str">
        <f>HYPERLINK("E:\Data From Lucan\2024\Johnstone\Frames_for_Analysis\2623_20240610_0003_L_4641.jpg","2623_20240610_0003_L_4641.jpg")</f>
        <v>2623_20240610_0003_L_4641.jpg</v>
      </c>
      <c r="G2626" s="75">
        <v>9</v>
      </c>
      <c r="I2626">
        <f t="shared" si="40"/>
        <v>0</v>
      </c>
      <c r="J2626" s="75">
        <v>0</v>
      </c>
      <c r="K2626" s="77"/>
      <c r="L2626" s="77"/>
      <c r="M2626" s="77"/>
      <c r="N2626" s="77"/>
      <c r="O2626" s="75">
        <v>1</v>
      </c>
      <c r="P2626" s="75">
        <v>0</v>
      </c>
      <c r="Q2626" s="75">
        <v>0</v>
      </c>
      <c r="R2626" s="75">
        <v>0</v>
      </c>
      <c r="S2626" s="75">
        <v>0</v>
      </c>
      <c r="T2626" s="75">
        <v>0</v>
      </c>
      <c r="U2626" s="75">
        <v>0</v>
      </c>
      <c r="V2626" s="75">
        <v>0</v>
      </c>
      <c r="W2626" s="78">
        <v>0</v>
      </c>
    </row>
    <row r="2627" spans="1:23" s="75" customFormat="1" hidden="1" x14ac:dyDescent="0.35">
      <c r="A2627" s="75">
        <v>2623</v>
      </c>
      <c r="B2627" s="75">
        <v>2624</v>
      </c>
      <c r="C2627">
        <v>146.00242679999999</v>
      </c>
      <c r="D2627">
        <v>-17.49299976</v>
      </c>
      <c r="F2627" s="75" t="str">
        <f>HYPERLINK("E:\Data From Lucan\2024\Johnstone\Frames_for_Analysis\2624_20240610_0003_L_4643.jpg","2624_20240610_0003_L_4643.jpg")</f>
        <v>2624_20240610_0003_L_4643.jpg</v>
      </c>
      <c r="G2627" s="75">
        <v>9</v>
      </c>
      <c r="I2627">
        <f t="shared" si="40"/>
        <v>0</v>
      </c>
      <c r="J2627" s="75">
        <v>0</v>
      </c>
      <c r="K2627" s="77"/>
      <c r="L2627" s="77"/>
      <c r="M2627" s="77"/>
      <c r="N2627" s="77"/>
      <c r="O2627" s="75">
        <v>1</v>
      </c>
      <c r="P2627" s="75">
        <v>0</v>
      </c>
      <c r="Q2627" s="75">
        <v>0</v>
      </c>
      <c r="R2627" s="75">
        <v>0</v>
      </c>
      <c r="S2627" s="75">
        <v>0</v>
      </c>
      <c r="T2627" s="75">
        <v>0</v>
      </c>
      <c r="U2627" s="75">
        <v>0</v>
      </c>
      <c r="V2627" s="75">
        <v>0</v>
      </c>
      <c r="W2627" s="78">
        <v>0</v>
      </c>
    </row>
    <row r="2628" spans="1:23" s="75" customFormat="1" hidden="1" x14ac:dyDescent="0.35">
      <c r="A2628" s="75">
        <v>2624</v>
      </c>
      <c r="B2628" s="75">
        <v>2625</v>
      </c>
      <c r="C2628">
        <v>146.00243409999999</v>
      </c>
      <c r="D2628">
        <v>-17.49309379</v>
      </c>
      <c r="F2628" s="75" t="str">
        <f>HYPERLINK("E:\Data From Lucan\2024\Johnstone\Frames_for_Analysis\2625_20240610_0003_L_4649.jpg","2625_20240610_0003_L_4649.jpg")</f>
        <v>2625_20240610_0003_L_4649.jpg</v>
      </c>
      <c r="G2628" s="75">
        <v>9</v>
      </c>
      <c r="I2628">
        <f t="shared" si="40"/>
        <v>0</v>
      </c>
      <c r="J2628" s="75">
        <v>0</v>
      </c>
      <c r="K2628" s="77"/>
      <c r="L2628" s="77"/>
      <c r="M2628" s="77"/>
      <c r="N2628" s="77"/>
      <c r="O2628" s="75">
        <v>1</v>
      </c>
      <c r="P2628" s="75">
        <v>0</v>
      </c>
      <c r="Q2628" s="75">
        <v>0</v>
      </c>
      <c r="R2628" s="75">
        <v>0</v>
      </c>
      <c r="S2628" s="75">
        <v>0</v>
      </c>
      <c r="T2628" s="75">
        <v>0</v>
      </c>
      <c r="U2628" s="75">
        <v>0</v>
      </c>
      <c r="V2628" s="75">
        <v>1</v>
      </c>
      <c r="W2628" s="78">
        <v>0</v>
      </c>
    </row>
    <row r="2629" spans="1:23" s="75" customFormat="1" hidden="1" x14ac:dyDescent="0.35">
      <c r="A2629" s="75">
        <v>2625</v>
      </c>
      <c r="B2629" s="75">
        <v>2626</v>
      </c>
      <c r="C2629">
        <v>146.00244129999999</v>
      </c>
      <c r="D2629">
        <v>-17.493187809999998</v>
      </c>
      <c r="F2629" s="75" t="str">
        <f>HYPERLINK("E:\Data From Lucan\2024\Johnstone\Frames_for_Analysis\2626_20240610_0003_L_4666.jpg","2626_20240610_0003_L_4666.jpg")</f>
        <v>2626_20240610_0003_L_4666.jpg</v>
      </c>
      <c r="G2629" s="75">
        <v>9</v>
      </c>
      <c r="I2629">
        <f t="shared" ref="I2629:I2692" si="41">IF(H2629="X","X",IF(J2629="NA","X",IF(J2629="","X",J2629)))</f>
        <v>0</v>
      </c>
      <c r="J2629" s="75">
        <v>0</v>
      </c>
      <c r="K2629" s="77"/>
      <c r="L2629" s="77"/>
      <c r="M2629" s="77"/>
      <c r="N2629" s="77"/>
      <c r="O2629" s="75">
        <v>1</v>
      </c>
      <c r="P2629" s="75">
        <v>0</v>
      </c>
      <c r="Q2629" s="75">
        <v>0</v>
      </c>
      <c r="R2629" s="75">
        <v>0</v>
      </c>
      <c r="S2629" s="75">
        <v>0</v>
      </c>
      <c r="T2629" s="75">
        <v>0</v>
      </c>
      <c r="U2629" s="75">
        <v>0</v>
      </c>
      <c r="V2629" s="75">
        <v>0</v>
      </c>
      <c r="W2629" s="78">
        <v>0</v>
      </c>
    </row>
    <row r="2630" spans="1:23" s="75" customFormat="1" hidden="1" x14ac:dyDescent="0.35">
      <c r="A2630" s="75">
        <v>2626</v>
      </c>
      <c r="B2630" s="75">
        <v>2627</v>
      </c>
      <c r="C2630">
        <v>146.00244850000001</v>
      </c>
      <c r="D2630">
        <v>-17.493281840000002</v>
      </c>
      <c r="F2630" s="75" t="str">
        <f>HYPERLINK("E:\Data From Lucan\2024\Johnstone\Frames_for_Analysis\2627_20240610_0003_L_4681.jpg","2627_20240610_0003_L_4681.jpg")</f>
        <v>2627_20240610_0003_L_4681.jpg</v>
      </c>
      <c r="G2630" s="75">
        <v>9</v>
      </c>
      <c r="I2630">
        <f t="shared" si="41"/>
        <v>0</v>
      </c>
      <c r="J2630" s="75">
        <v>0</v>
      </c>
      <c r="K2630" s="77"/>
      <c r="L2630" s="77"/>
      <c r="M2630" s="77"/>
      <c r="N2630" s="77"/>
      <c r="O2630" s="75">
        <v>1</v>
      </c>
      <c r="P2630" s="75">
        <v>0</v>
      </c>
      <c r="Q2630" s="75">
        <v>0</v>
      </c>
      <c r="R2630" s="75">
        <v>0</v>
      </c>
      <c r="S2630" s="75">
        <v>0</v>
      </c>
      <c r="T2630" s="75">
        <v>0</v>
      </c>
      <c r="U2630" s="75">
        <v>0</v>
      </c>
      <c r="V2630" s="75">
        <v>1</v>
      </c>
      <c r="W2630" s="78">
        <v>0</v>
      </c>
    </row>
    <row r="2631" spans="1:23" s="75" customFormat="1" hidden="1" x14ac:dyDescent="0.35">
      <c r="A2631" s="75">
        <v>2627</v>
      </c>
      <c r="B2631" s="75">
        <v>2628</v>
      </c>
      <c r="C2631">
        <v>146.00245580000001</v>
      </c>
      <c r="D2631">
        <v>-17.49337586</v>
      </c>
      <c r="F2631" s="75" t="str">
        <f>HYPERLINK("E:\Data From Lucan\2024\Johnstone\Frames_for_Analysis\2628_20240610_0003_L_4684.jpg","2628_20240610_0003_L_4684.jpg")</f>
        <v>2628_20240610_0003_L_4684.jpg</v>
      </c>
      <c r="G2631" s="75">
        <v>9</v>
      </c>
      <c r="I2631">
        <f t="shared" si="41"/>
        <v>0</v>
      </c>
      <c r="J2631" s="75">
        <v>0</v>
      </c>
      <c r="K2631" s="77"/>
      <c r="L2631" s="77"/>
      <c r="M2631" s="77"/>
      <c r="N2631" s="77"/>
      <c r="O2631" s="75">
        <v>1</v>
      </c>
      <c r="P2631" s="75">
        <v>0</v>
      </c>
      <c r="Q2631" s="75">
        <v>0</v>
      </c>
      <c r="R2631" s="75">
        <v>0</v>
      </c>
      <c r="S2631" s="75">
        <v>0</v>
      </c>
      <c r="T2631" s="75">
        <v>0</v>
      </c>
      <c r="U2631" s="75">
        <v>0</v>
      </c>
      <c r="V2631" s="75">
        <v>1</v>
      </c>
      <c r="W2631" s="78">
        <v>0</v>
      </c>
    </row>
    <row r="2632" spans="1:23" s="75" customFormat="1" hidden="1" x14ac:dyDescent="0.35">
      <c r="A2632" s="75">
        <v>2628</v>
      </c>
      <c r="B2632" s="75">
        <v>2629</v>
      </c>
      <c r="C2632">
        <v>146.00246300000001</v>
      </c>
      <c r="D2632">
        <v>-17.49346989</v>
      </c>
      <c r="F2632" s="75" t="str">
        <f>HYPERLINK("E:\Data From Lucan\2024\Johnstone\Frames_for_Analysis\2629_20240610_0003_L_4689.jpg","2629_20240610_0003_L_4689.jpg")</f>
        <v>2629_20240610_0003_L_4689.jpg</v>
      </c>
      <c r="G2632" s="75">
        <v>9</v>
      </c>
      <c r="I2632">
        <f t="shared" si="41"/>
        <v>0</v>
      </c>
      <c r="J2632" s="75">
        <v>0</v>
      </c>
      <c r="K2632" s="77"/>
      <c r="L2632" s="77"/>
      <c r="M2632" s="77"/>
      <c r="N2632" s="77"/>
      <c r="O2632" s="75">
        <v>1</v>
      </c>
      <c r="P2632" s="75">
        <v>0</v>
      </c>
      <c r="Q2632" s="75">
        <v>0</v>
      </c>
      <c r="R2632" s="75">
        <v>0</v>
      </c>
      <c r="S2632" s="75">
        <v>0</v>
      </c>
      <c r="T2632" s="75">
        <v>0</v>
      </c>
      <c r="U2632" s="75">
        <v>0</v>
      </c>
      <c r="V2632" s="75">
        <v>0</v>
      </c>
      <c r="W2632" s="78">
        <v>0</v>
      </c>
    </row>
    <row r="2633" spans="1:23" s="75" customFormat="1" hidden="1" x14ac:dyDescent="0.35">
      <c r="A2633" s="75">
        <v>2629</v>
      </c>
      <c r="B2633" s="75">
        <v>2630</v>
      </c>
      <c r="C2633">
        <v>146.0024702</v>
      </c>
      <c r="D2633">
        <v>-17.49356392</v>
      </c>
      <c r="F2633" s="75" t="str">
        <f>HYPERLINK("E:\Data From Lucan\2024\Johnstone\Frames_for_Analysis\2630_20240610_0003_L_4692.jpg","2630_20240610_0003_L_4692.jpg")</f>
        <v>2630_20240610_0003_L_4692.jpg</v>
      </c>
      <c r="G2633" s="75">
        <v>9</v>
      </c>
      <c r="I2633">
        <f t="shared" si="41"/>
        <v>0</v>
      </c>
      <c r="J2633" s="75">
        <v>0</v>
      </c>
      <c r="K2633" s="77"/>
      <c r="L2633" s="77"/>
      <c r="M2633" s="77"/>
      <c r="N2633" s="77"/>
      <c r="O2633" s="75">
        <v>2</v>
      </c>
      <c r="P2633" s="75">
        <v>0</v>
      </c>
      <c r="Q2633" s="75">
        <v>0</v>
      </c>
      <c r="R2633" s="75">
        <v>0</v>
      </c>
      <c r="S2633" s="75">
        <v>0</v>
      </c>
      <c r="T2633" s="75">
        <v>0</v>
      </c>
      <c r="U2633" s="75">
        <v>0</v>
      </c>
      <c r="V2633" s="75">
        <v>0</v>
      </c>
      <c r="W2633" s="78">
        <v>1</v>
      </c>
    </row>
    <row r="2634" spans="1:23" s="75" customFormat="1" hidden="1" x14ac:dyDescent="0.35">
      <c r="A2634" s="75">
        <v>2630</v>
      </c>
      <c r="B2634" s="75">
        <v>2631</v>
      </c>
      <c r="C2634">
        <v>146.0024775</v>
      </c>
      <c r="D2634">
        <v>-17.493657939999999</v>
      </c>
      <c r="F2634" s="75" t="str">
        <f>HYPERLINK("E:\Data From Lucan\2024\Johnstone\Frames_for_Analysis\2631_20240610_0003_L_4697.jpg","2631_20240610_0003_L_4697.jpg")</f>
        <v>2631_20240610_0003_L_4697.jpg</v>
      </c>
      <c r="G2634" s="75">
        <v>9</v>
      </c>
      <c r="I2634">
        <f t="shared" si="41"/>
        <v>0</v>
      </c>
      <c r="J2634" s="75">
        <v>0</v>
      </c>
      <c r="K2634" s="77"/>
      <c r="L2634" s="77"/>
      <c r="M2634" s="77"/>
      <c r="N2634" s="77"/>
      <c r="O2634" s="75">
        <v>2</v>
      </c>
      <c r="P2634" s="75">
        <v>0</v>
      </c>
      <c r="Q2634" s="75">
        <v>0</v>
      </c>
      <c r="R2634" s="75">
        <v>0</v>
      </c>
      <c r="S2634" s="75">
        <v>0</v>
      </c>
      <c r="T2634" s="75">
        <v>0</v>
      </c>
      <c r="U2634" s="75">
        <v>0</v>
      </c>
      <c r="V2634" s="75">
        <v>1</v>
      </c>
      <c r="W2634" s="78">
        <v>1</v>
      </c>
    </row>
    <row r="2635" spans="1:23" s="75" customFormat="1" hidden="1" x14ac:dyDescent="0.35">
      <c r="A2635" s="75">
        <v>2631</v>
      </c>
      <c r="B2635" s="75">
        <v>2632</v>
      </c>
      <c r="C2635">
        <v>146.0024847</v>
      </c>
      <c r="D2635">
        <v>-17.493751970000002</v>
      </c>
      <c r="F2635" s="75" t="str">
        <f>HYPERLINK("E:\Data From Lucan\2024\Johnstone\Frames_for_Analysis\2632_20240610_0003_L_4699.jpg","2632_20240610_0003_L_4699.jpg")</f>
        <v>2632_20240610_0003_L_4699.jpg</v>
      </c>
      <c r="G2635" s="75">
        <v>9</v>
      </c>
      <c r="I2635">
        <f t="shared" si="41"/>
        <v>0</v>
      </c>
      <c r="J2635" s="75">
        <v>0</v>
      </c>
      <c r="K2635" s="77"/>
      <c r="L2635" s="77"/>
      <c r="M2635" s="77"/>
      <c r="N2635" s="77"/>
      <c r="O2635" s="75">
        <v>2</v>
      </c>
      <c r="P2635" s="75">
        <v>0</v>
      </c>
      <c r="Q2635" s="75">
        <v>0</v>
      </c>
      <c r="R2635" s="75">
        <v>0</v>
      </c>
      <c r="S2635" s="75">
        <v>0</v>
      </c>
      <c r="T2635" s="75">
        <v>0</v>
      </c>
      <c r="U2635" s="75">
        <v>0</v>
      </c>
      <c r="V2635" s="75">
        <v>1</v>
      </c>
      <c r="W2635" s="78">
        <v>1</v>
      </c>
    </row>
    <row r="2636" spans="1:23" s="75" customFormat="1" hidden="1" x14ac:dyDescent="0.35">
      <c r="A2636" s="75">
        <v>2632</v>
      </c>
      <c r="B2636" s="75">
        <v>2633</v>
      </c>
      <c r="C2636">
        <v>146.0024919</v>
      </c>
      <c r="D2636">
        <v>-17.493845990000001</v>
      </c>
      <c r="F2636" s="75" t="str">
        <f>HYPERLINK("E:\Data From Lucan\2024\Johnstone\Frames_for_Analysis\2633_20240610_0003_L_4702.jpg","2633_20240610_0003_L_4702.jpg")</f>
        <v>2633_20240610_0003_L_4702.jpg</v>
      </c>
      <c r="G2636" s="75">
        <v>9</v>
      </c>
      <c r="I2636">
        <f t="shared" si="41"/>
        <v>0</v>
      </c>
      <c r="J2636" s="75">
        <v>0</v>
      </c>
      <c r="K2636" s="77"/>
      <c r="L2636" s="77"/>
      <c r="M2636" s="77"/>
      <c r="N2636" s="77"/>
      <c r="O2636" s="75">
        <v>2</v>
      </c>
      <c r="P2636" s="75">
        <v>0</v>
      </c>
      <c r="Q2636" s="75">
        <v>0</v>
      </c>
      <c r="R2636" s="75">
        <v>0</v>
      </c>
      <c r="S2636" s="75">
        <v>0</v>
      </c>
      <c r="T2636" s="75">
        <v>0</v>
      </c>
      <c r="U2636" s="75">
        <v>0</v>
      </c>
      <c r="V2636" s="75">
        <v>0</v>
      </c>
      <c r="W2636" s="78">
        <v>1</v>
      </c>
    </row>
    <row r="2637" spans="1:23" s="75" customFormat="1" hidden="1" x14ac:dyDescent="0.35">
      <c r="A2637" s="75">
        <v>2633</v>
      </c>
      <c r="B2637" s="75">
        <v>2634</v>
      </c>
      <c r="C2637">
        <v>146.00249909999999</v>
      </c>
      <c r="D2637">
        <v>-17.49394002</v>
      </c>
      <c r="F2637" s="75" t="str">
        <f>HYPERLINK("E:\Data From Lucan\2024\Johnstone\Frames_for_Analysis\2634_20240610_0003_L_4705.jpg","2634_20240610_0003_L_4705.jpg")</f>
        <v>2634_20240610_0003_L_4705.jpg</v>
      </c>
      <c r="G2637" s="75">
        <v>9</v>
      </c>
      <c r="I2637">
        <f t="shared" si="41"/>
        <v>0</v>
      </c>
      <c r="J2637" s="75">
        <v>0</v>
      </c>
      <c r="K2637" s="77"/>
      <c r="L2637" s="77"/>
      <c r="M2637" s="77"/>
      <c r="N2637" s="77"/>
      <c r="O2637" s="75">
        <v>2</v>
      </c>
      <c r="P2637" s="75">
        <v>0</v>
      </c>
      <c r="Q2637" s="75">
        <v>0</v>
      </c>
      <c r="R2637" s="75">
        <v>0</v>
      </c>
      <c r="S2637" s="75">
        <v>0</v>
      </c>
      <c r="T2637" s="75">
        <v>0</v>
      </c>
      <c r="U2637" s="75">
        <v>0</v>
      </c>
      <c r="V2637" s="75">
        <v>0</v>
      </c>
      <c r="W2637" s="78">
        <v>1</v>
      </c>
    </row>
    <row r="2638" spans="1:23" s="75" customFormat="1" hidden="1" x14ac:dyDescent="0.35">
      <c r="A2638" s="75">
        <v>2634</v>
      </c>
      <c r="B2638" s="75">
        <v>2635</v>
      </c>
      <c r="C2638">
        <v>146.00250639999999</v>
      </c>
      <c r="D2638">
        <v>-17.49403405</v>
      </c>
      <c r="F2638" s="75" t="str">
        <f>HYPERLINK("E:\Data From Lucan\2024\Johnstone\Frames_for_Analysis\2635_20240610_0003_L_4707.jpg","2635_20240610_0003_L_4707.jpg")</f>
        <v>2635_20240610_0003_L_4707.jpg</v>
      </c>
      <c r="G2638" s="75">
        <v>9</v>
      </c>
      <c r="I2638">
        <f t="shared" si="41"/>
        <v>0</v>
      </c>
      <c r="J2638" s="75">
        <v>0</v>
      </c>
      <c r="K2638" s="77"/>
      <c r="L2638" s="77"/>
      <c r="M2638" s="77"/>
      <c r="N2638" s="77"/>
      <c r="O2638" s="75">
        <v>2</v>
      </c>
      <c r="P2638" s="75">
        <v>0</v>
      </c>
      <c r="Q2638" s="75">
        <v>0</v>
      </c>
      <c r="R2638" s="75">
        <v>0</v>
      </c>
      <c r="S2638" s="75">
        <v>0</v>
      </c>
      <c r="T2638" s="75">
        <v>0</v>
      </c>
      <c r="U2638" s="75">
        <v>0</v>
      </c>
      <c r="V2638" s="75">
        <v>0</v>
      </c>
      <c r="W2638" s="78">
        <v>1</v>
      </c>
    </row>
    <row r="2639" spans="1:23" s="75" customFormat="1" hidden="1" x14ac:dyDescent="0.35">
      <c r="A2639" s="75">
        <v>2635</v>
      </c>
      <c r="B2639" s="75">
        <v>2636</v>
      </c>
      <c r="C2639">
        <v>146.00251359999999</v>
      </c>
      <c r="D2639">
        <v>-17.494128069999999</v>
      </c>
      <c r="F2639" s="75" t="str">
        <f>HYPERLINK("E:\Data From Lucan\2024\Johnstone\Frames_for_Analysis\2636_20240610_0003_L_4709.jpg","2636_20240610_0003_L_4709.jpg")</f>
        <v>2636_20240610_0003_L_4709.jpg</v>
      </c>
      <c r="G2639" s="75">
        <v>9</v>
      </c>
      <c r="I2639">
        <f t="shared" si="41"/>
        <v>0</v>
      </c>
      <c r="J2639" s="75">
        <v>0</v>
      </c>
      <c r="K2639" s="77"/>
      <c r="L2639" s="77"/>
      <c r="M2639" s="77"/>
      <c r="N2639" s="77"/>
      <c r="O2639" s="75">
        <v>2</v>
      </c>
      <c r="P2639" s="75">
        <v>0</v>
      </c>
      <c r="Q2639" s="75">
        <v>0</v>
      </c>
      <c r="R2639" s="75">
        <v>0</v>
      </c>
      <c r="S2639" s="75">
        <v>0</v>
      </c>
      <c r="T2639" s="75">
        <v>0</v>
      </c>
      <c r="U2639" s="75">
        <v>0</v>
      </c>
      <c r="V2639" s="75">
        <v>0</v>
      </c>
      <c r="W2639" s="78">
        <v>1</v>
      </c>
    </row>
    <row r="2640" spans="1:23" s="75" customFormat="1" hidden="1" x14ac:dyDescent="0.35">
      <c r="A2640" s="75">
        <v>2636</v>
      </c>
      <c r="B2640" s="75">
        <v>2637</v>
      </c>
      <c r="C2640">
        <v>146.00252080000001</v>
      </c>
      <c r="D2640">
        <v>-17.494222100000002</v>
      </c>
      <c r="F2640" s="75" t="str">
        <f>HYPERLINK("E:\Data From Lucan\2024\Johnstone\Frames_for_Analysis\2637_20240610_0003_L_4713.jpg","2637_20240610_0003_L_4713.jpg")</f>
        <v>2637_20240610_0003_L_4713.jpg</v>
      </c>
      <c r="G2640" s="75">
        <v>9</v>
      </c>
      <c r="I2640">
        <f t="shared" si="41"/>
        <v>0</v>
      </c>
      <c r="J2640" s="75">
        <v>0</v>
      </c>
      <c r="K2640" s="77"/>
      <c r="L2640" s="77"/>
      <c r="M2640" s="77"/>
      <c r="N2640" s="77"/>
      <c r="O2640" s="75">
        <v>2</v>
      </c>
      <c r="P2640" s="75">
        <v>0</v>
      </c>
      <c r="Q2640" s="75">
        <v>0</v>
      </c>
      <c r="R2640" s="75">
        <v>0</v>
      </c>
      <c r="S2640" s="75">
        <v>0</v>
      </c>
      <c r="T2640" s="75">
        <v>0</v>
      </c>
      <c r="U2640" s="75">
        <v>0</v>
      </c>
      <c r="V2640" s="75">
        <v>0</v>
      </c>
      <c r="W2640" s="78">
        <v>1</v>
      </c>
    </row>
    <row r="2641" spans="1:23" s="75" customFormat="1" hidden="1" x14ac:dyDescent="0.35">
      <c r="A2641" s="75">
        <v>2637</v>
      </c>
      <c r="B2641" s="75">
        <v>2638</v>
      </c>
      <c r="C2641">
        <v>146.00252810000001</v>
      </c>
      <c r="D2641">
        <v>-17.494316120000001</v>
      </c>
      <c r="F2641" s="75" t="str">
        <f>HYPERLINK("E:\Data From Lucan\2024\Johnstone\Frames_for_Analysis\2638_20240610_0003_L_4716.jpg","2638_20240610_0003_L_4716.jpg")</f>
        <v>2638_20240610_0003_L_4716.jpg</v>
      </c>
      <c r="G2641" s="75">
        <v>9</v>
      </c>
      <c r="I2641">
        <f t="shared" si="41"/>
        <v>0</v>
      </c>
      <c r="J2641" s="75">
        <v>0</v>
      </c>
      <c r="K2641" s="77"/>
      <c r="L2641" s="77"/>
      <c r="M2641" s="77"/>
      <c r="N2641" s="77"/>
      <c r="O2641" s="75">
        <v>2</v>
      </c>
      <c r="P2641" s="75">
        <v>0</v>
      </c>
      <c r="Q2641" s="75">
        <v>0</v>
      </c>
      <c r="R2641" s="75">
        <v>0</v>
      </c>
      <c r="S2641" s="75">
        <v>0</v>
      </c>
      <c r="T2641" s="75">
        <v>0</v>
      </c>
      <c r="U2641" s="75">
        <v>0</v>
      </c>
      <c r="V2641" s="75">
        <v>0</v>
      </c>
      <c r="W2641" s="78">
        <v>1</v>
      </c>
    </row>
    <row r="2642" spans="1:23" s="75" customFormat="1" hidden="1" x14ac:dyDescent="0.35">
      <c r="A2642" s="75">
        <v>2638</v>
      </c>
      <c r="B2642" s="75">
        <v>2639</v>
      </c>
      <c r="C2642">
        <v>146.00253530000001</v>
      </c>
      <c r="D2642">
        <v>-17.49441015</v>
      </c>
      <c r="F2642" s="75" t="str">
        <f>HYPERLINK("E:\Data From Lucan\2024\Johnstone\Frames_for_Analysis\2639_20240610_0003_L_4718.jpg","2639_20240610_0003_L_4718.jpg")</f>
        <v>2639_20240610_0003_L_4718.jpg</v>
      </c>
      <c r="G2642" s="75">
        <v>9</v>
      </c>
      <c r="I2642">
        <f t="shared" si="41"/>
        <v>0</v>
      </c>
      <c r="J2642" s="75">
        <v>0</v>
      </c>
      <c r="K2642" s="77"/>
      <c r="L2642" s="77"/>
      <c r="M2642" s="77"/>
      <c r="N2642" s="77"/>
      <c r="O2642" s="75">
        <v>2</v>
      </c>
      <c r="P2642" s="75">
        <v>0</v>
      </c>
      <c r="Q2642" s="75">
        <v>0</v>
      </c>
      <c r="R2642" s="75">
        <v>0</v>
      </c>
      <c r="S2642" s="75">
        <v>0</v>
      </c>
      <c r="T2642" s="75">
        <v>0</v>
      </c>
      <c r="U2642" s="75">
        <v>0</v>
      </c>
      <c r="V2642" s="75">
        <v>1</v>
      </c>
      <c r="W2642" s="78">
        <v>1</v>
      </c>
    </row>
    <row r="2643" spans="1:23" s="75" customFormat="1" hidden="1" x14ac:dyDescent="0.35">
      <c r="A2643" s="75">
        <v>2639</v>
      </c>
      <c r="B2643" s="75">
        <v>2640</v>
      </c>
      <c r="C2643">
        <v>146.0025425</v>
      </c>
      <c r="D2643">
        <v>-17.494504169999999</v>
      </c>
      <c r="F2643" s="75" t="str">
        <f>HYPERLINK("E:\Data From Lucan\2024\Johnstone\Frames_for_Analysis\2640_20240610_0003_L_4721.jpg","2640_20240610_0003_L_4721.jpg")</f>
        <v>2640_20240610_0003_L_4721.jpg</v>
      </c>
      <c r="G2643" s="75">
        <v>9</v>
      </c>
      <c r="I2643">
        <f t="shared" si="41"/>
        <v>0</v>
      </c>
      <c r="J2643" s="75">
        <v>0</v>
      </c>
      <c r="K2643" s="77"/>
      <c r="L2643" s="77"/>
      <c r="M2643" s="77"/>
      <c r="N2643" s="77"/>
      <c r="O2643" s="75">
        <v>2</v>
      </c>
      <c r="P2643" s="75">
        <v>0</v>
      </c>
      <c r="Q2643" s="75">
        <v>0</v>
      </c>
      <c r="R2643" s="75">
        <v>0</v>
      </c>
      <c r="S2643" s="75">
        <v>0</v>
      </c>
      <c r="T2643" s="75">
        <v>0</v>
      </c>
      <c r="U2643" s="75">
        <v>0</v>
      </c>
      <c r="V2643" s="75">
        <v>0</v>
      </c>
      <c r="W2643" s="78">
        <v>1</v>
      </c>
    </row>
    <row r="2644" spans="1:23" s="75" customFormat="1" hidden="1" x14ac:dyDescent="0.35">
      <c r="A2644" s="75">
        <v>2640</v>
      </c>
      <c r="B2644" s="75">
        <v>2641</v>
      </c>
      <c r="C2644">
        <v>146.0025498</v>
      </c>
      <c r="D2644">
        <v>-17.494598199999999</v>
      </c>
      <c r="F2644" s="75" t="str">
        <f>HYPERLINK("E:\Data From Lucan\2024\Johnstone\Frames_for_Analysis\2641_20240610_0003_L_4724.jpg","2641_20240610_0003_L_4724.jpg")</f>
        <v>2641_20240610_0003_L_4724.jpg</v>
      </c>
      <c r="G2644" s="75">
        <v>9</v>
      </c>
      <c r="I2644">
        <f t="shared" si="41"/>
        <v>0</v>
      </c>
      <c r="J2644" s="75">
        <v>0</v>
      </c>
      <c r="K2644" s="77"/>
      <c r="L2644" s="77"/>
      <c r="M2644" s="77"/>
      <c r="N2644" s="77"/>
      <c r="O2644" s="75">
        <v>2</v>
      </c>
      <c r="P2644" s="75">
        <v>0</v>
      </c>
      <c r="Q2644" s="75">
        <v>0</v>
      </c>
      <c r="R2644" s="75">
        <v>0</v>
      </c>
      <c r="S2644" s="75">
        <v>0</v>
      </c>
      <c r="T2644" s="75">
        <v>0</v>
      </c>
      <c r="U2644" s="75">
        <v>0</v>
      </c>
      <c r="V2644" s="75">
        <v>0</v>
      </c>
      <c r="W2644" s="78">
        <v>1</v>
      </c>
    </row>
    <row r="2645" spans="1:23" s="75" customFormat="1" hidden="1" x14ac:dyDescent="0.35">
      <c r="A2645" s="75">
        <v>2641</v>
      </c>
      <c r="B2645" s="75">
        <v>2642</v>
      </c>
      <c r="C2645">
        <v>146.00255820000001</v>
      </c>
      <c r="D2645">
        <v>-17.494692090000001</v>
      </c>
      <c r="F2645" s="75" t="str">
        <f>HYPERLINK("E:\Data From Lucan\2024\Johnstone\Frames_for_Analysis\2642_20240610_0003_L_4727.jpg","2642_20240610_0003_L_4727.jpg")</f>
        <v>2642_20240610_0003_L_4727.jpg</v>
      </c>
      <c r="G2645" s="75">
        <v>9</v>
      </c>
      <c r="I2645">
        <f t="shared" si="41"/>
        <v>0</v>
      </c>
      <c r="J2645" s="75">
        <v>0</v>
      </c>
      <c r="K2645" s="77"/>
      <c r="L2645" s="77"/>
      <c r="M2645" s="77"/>
      <c r="N2645" s="77"/>
      <c r="O2645" s="75">
        <v>2</v>
      </c>
      <c r="P2645" s="75">
        <v>0</v>
      </c>
      <c r="Q2645" s="75">
        <v>0</v>
      </c>
      <c r="R2645" s="75">
        <v>0</v>
      </c>
      <c r="S2645" s="75">
        <v>0</v>
      </c>
      <c r="T2645" s="75">
        <v>0</v>
      </c>
      <c r="U2645" s="75">
        <v>0</v>
      </c>
      <c r="V2645" s="75">
        <v>0</v>
      </c>
      <c r="W2645" s="78">
        <v>1</v>
      </c>
    </row>
    <row r="2646" spans="1:23" s="75" customFormat="1" hidden="1" x14ac:dyDescent="0.35">
      <c r="A2646" s="75">
        <v>2642</v>
      </c>
      <c r="B2646" s="75">
        <v>2643</v>
      </c>
      <c r="C2646">
        <v>146.00257199999999</v>
      </c>
      <c r="D2646">
        <v>-17.494785369999999</v>
      </c>
      <c r="F2646" s="75" t="str">
        <f>HYPERLINK("E:\Data From Lucan\2024\Johnstone\Frames_for_Analysis\2643_20240610_0003_L_4733.jpg","2643_20240610_0003_L_4733.jpg")</f>
        <v>2643_20240610_0003_L_4733.jpg</v>
      </c>
      <c r="G2646" s="75">
        <v>9</v>
      </c>
      <c r="I2646">
        <f t="shared" si="41"/>
        <v>1</v>
      </c>
      <c r="J2646" s="75">
        <v>1</v>
      </c>
      <c r="K2646" s="77"/>
      <c r="L2646" s="77"/>
      <c r="M2646" s="77"/>
      <c r="N2646" s="77"/>
      <c r="O2646" s="75">
        <v>2</v>
      </c>
      <c r="P2646" s="75">
        <v>0</v>
      </c>
      <c r="Q2646" s="75">
        <v>0</v>
      </c>
      <c r="R2646" s="75">
        <v>0</v>
      </c>
      <c r="S2646" s="75">
        <v>0</v>
      </c>
      <c r="T2646" s="75">
        <v>0</v>
      </c>
      <c r="U2646" s="75">
        <v>0</v>
      </c>
      <c r="V2646" s="75">
        <v>0</v>
      </c>
      <c r="W2646" s="78">
        <v>1</v>
      </c>
    </row>
    <row r="2647" spans="1:23" s="75" customFormat="1" hidden="1" x14ac:dyDescent="0.35">
      <c r="A2647" s="75">
        <v>2643</v>
      </c>
      <c r="B2647" s="75">
        <v>2644</v>
      </c>
      <c r="C2647">
        <v>146.00258590000001</v>
      </c>
      <c r="D2647">
        <v>-17.494878660000001</v>
      </c>
      <c r="F2647" s="75" t="str">
        <f>HYPERLINK("E:\Data From Lucan\2024\Johnstone\Frames_for_Analysis\2644_20240610_0003_L_4735.jpg","2644_20240610_0003_L_4735.jpg")</f>
        <v>2644_20240610_0003_L_4735.jpg</v>
      </c>
      <c r="G2647" s="75">
        <v>9</v>
      </c>
      <c r="I2647">
        <f t="shared" si="41"/>
        <v>0</v>
      </c>
      <c r="J2647" s="75">
        <v>0</v>
      </c>
      <c r="K2647" s="77"/>
      <c r="L2647" s="77"/>
      <c r="M2647" s="77"/>
      <c r="N2647" s="77"/>
      <c r="O2647" s="75">
        <v>2</v>
      </c>
      <c r="P2647" s="75">
        <v>0</v>
      </c>
      <c r="Q2647" s="75">
        <v>0</v>
      </c>
      <c r="R2647" s="75">
        <v>0</v>
      </c>
      <c r="S2647" s="75">
        <v>0</v>
      </c>
      <c r="T2647" s="75">
        <v>0</v>
      </c>
      <c r="U2647" s="75">
        <v>0</v>
      </c>
      <c r="V2647" s="75">
        <v>0</v>
      </c>
      <c r="W2647" s="78">
        <v>1</v>
      </c>
    </row>
    <row r="2648" spans="1:23" s="75" customFormat="1" hidden="1" x14ac:dyDescent="0.35">
      <c r="A2648" s="75">
        <v>2644</v>
      </c>
      <c r="B2648" s="75">
        <v>2645</v>
      </c>
      <c r="C2648">
        <v>146.00259969999999</v>
      </c>
      <c r="D2648">
        <v>-17.49497195</v>
      </c>
      <c r="F2648" s="75" t="str">
        <f>HYPERLINK("E:\Data From Lucan\2024\Johnstone\Frames_for_Analysis\2645_20240610_0003_L_4739.jpg","2645_20240610_0003_L_4739.jpg")</f>
        <v>2645_20240610_0003_L_4739.jpg</v>
      </c>
      <c r="G2648" s="75">
        <v>9</v>
      </c>
      <c r="I2648">
        <f t="shared" si="41"/>
        <v>0</v>
      </c>
      <c r="J2648" s="75">
        <v>0</v>
      </c>
      <c r="K2648" s="77"/>
      <c r="L2648" s="77"/>
      <c r="M2648" s="77"/>
      <c r="N2648" s="77"/>
      <c r="O2648" s="75">
        <v>2</v>
      </c>
      <c r="P2648" s="75">
        <v>0</v>
      </c>
      <c r="Q2648" s="75">
        <v>0</v>
      </c>
      <c r="R2648" s="75">
        <v>0</v>
      </c>
      <c r="S2648" s="75">
        <v>0</v>
      </c>
      <c r="T2648" s="75">
        <v>0</v>
      </c>
      <c r="U2648" s="75">
        <v>0</v>
      </c>
      <c r="V2648" s="75">
        <v>0</v>
      </c>
      <c r="W2648" s="78">
        <v>1</v>
      </c>
    </row>
    <row r="2649" spans="1:23" s="75" customFormat="1" hidden="1" x14ac:dyDescent="0.35">
      <c r="A2649" s="75">
        <v>2645</v>
      </c>
      <c r="B2649" s="75">
        <v>2646</v>
      </c>
      <c r="C2649">
        <v>146.0026135</v>
      </c>
      <c r="D2649">
        <v>-17.495065230000002</v>
      </c>
      <c r="F2649" s="75" t="str">
        <f>HYPERLINK("E:\Data From Lucan\2024\Johnstone\Frames_for_Analysis\2646_20240610_0003_L_4741.jpg","2646_20240610_0003_L_4741.jpg")</f>
        <v>2646_20240610_0003_L_4741.jpg</v>
      </c>
      <c r="G2649" s="75">
        <v>9</v>
      </c>
      <c r="I2649">
        <f t="shared" si="41"/>
        <v>0</v>
      </c>
      <c r="J2649" s="75">
        <v>0</v>
      </c>
      <c r="K2649" s="77"/>
      <c r="L2649" s="77"/>
      <c r="M2649" s="77"/>
      <c r="N2649" s="77"/>
      <c r="O2649" s="75">
        <v>2</v>
      </c>
      <c r="P2649" s="75">
        <v>0</v>
      </c>
      <c r="Q2649" s="75">
        <v>0</v>
      </c>
      <c r="R2649" s="75">
        <v>0</v>
      </c>
      <c r="S2649" s="75">
        <v>0</v>
      </c>
      <c r="T2649" s="75">
        <v>0</v>
      </c>
      <c r="U2649" s="75">
        <v>0</v>
      </c>
      <c r="V2649" s="75">
        <v>0</v>
      </c>
      <c r="W2649" s="78">
        <v>1</v>
      </c>
    </row>
    <row r="2650" spans="1:23" s="75" customFormat="1" hidden="1" x14ac:dyDescent="0.35">
      <c r="A2650" s="75">
        <v>2646</v>
      </c>
      <c r="B2650" s="75">
        <v>2647</v>
      </c>
      <c r="C2650">
        <v>146.0026273</v>
      </c>
      <c r="D2650">
        <v>-17.49515852</v>
      </c>
      <c r="F2650" s="75" t="str">
        <f>HYPERLINK("E:\Data From Lucan\2024\Johnstone\Frames_for_Analysis\2647_20240610_0003_L_4746.jpg","2647_20240610_0003_L_4746.jpg")</f>
        <v>2647_20240610_0003_L_4746.jpg</v>
      </c>
      <c r="G2650" s="75">
        <v>9</v>
      </c>
      <c r="I2650">
        <f t="shared" si="41"/>
        <v>0</v>
      </c>
      <c r="J2650" s="75">
        <v>0</v>
      </c>
      <c r="K2650" s="77"/>
      <c r="L2650" s="77"/>
      <c r="M2650" s="77"/>
      <c r="N2650" s="77"/>
      <c r="O2650" s="75">
        <v>2</v>
      </c>
      <c r="P2650" s="75">
        <v>0</v>
      </c>
      <c r="Q2650" s="75">
        <v>0</v>
      </c>
      <c r="R2650" s="75">
        <v>0</v>
      </c>
      <c r="S2650" s="75">
        <v>0</v>
      </c>
      <c r="T2650" s="75">
        <v>0</v>
      </c>
      <c r="U2650" s="75">
        <v>0</v>
      </c>
      <c r="V2650" s="75">
        <v>0</v>
      </c>
      <c r="W2650" s="78">
        <v>1</v>
      </c>
    </row>
    <row r="2651" spans="1:23" s="75" customFormat="1" hidden="1" x14ac:dyDescent="0.35">
      <c r="A2651" s="75">
        <v>2647</v>
      </c>
      <c r="B2651" s="75">
        <v>2648</v>
      </c>
      <c r="C2651">
        <v>146.00264110000001</v>
      </c>
      <c r="D2651">
        <v>-17.495251799999998</v>
      </c>
      <c r="F2651" s="75" t="str">
        <f>HYPERLINK("E:\Data From Lucan\2024\Johnstone\Frames_for_Analysis\2648_20240610_0003_L_4749.jpg","2648_20240610_0003_L_4749.jpg")</f>
        <v>2648_20240610_0003_L_4749.jpg</v>
      </c>
      <c r="G2651" s="75">
        <v>9</v>
      </c>
      <c r="I2651">
        <f t="shared" si="41"/>
        <v>0</v>
      </c>
      <c r="J2651" s="75">
        <v>0</v>
      </c>
      <c r="K2651" s="77"/>
      <c r="L2651" s="77"/>
      <c r="M2651" s="77"/>
      <c r="N2651" s="77"/>
      <c r="O2651" s="75">
        <v>2</v>
      </c>
      <c r="P2651" s="75">
        <v>0</v>
      </c>
      <c r="Q2651" s="75">
        <v>0</v>
      </c>
      <c r="R2651" s="75">
        <v>0</v>
      </c>
      <c r="S2651" s="75">
        <v>0</v>
      </c>
      <c r="T2651" s="75">
        <v>0</v>
      </c>
      <c r="U2651" s="75">
        <v>0</v>
      </c>
      <c r="V2651" s="75">
        <v>0</v>
      </c>
      <c r="W2651" s="78">
        <v>1</v>
      </c>
    </row>
    <row r="2652" spans="1:23" s="75" customFormat="1" hidden="1" x14ac:dyDescent="0.35">
      <c r="A2652" s="75">
        <v>2648</v>
      </c>
      <c r="B2652" s="75">
        <v>2649</v>
      </c>
      <c r="C2652">
        <v>146.002655</v>
      </c>
      <c r="D2652">
        <v>-17.495345090000001</v>
      </c>
      <c r="F2652" s="75" t="str">
        <f>HYPERLINK("E:\Data From Lucan\2024\Johnstone\Frames_for_Analysis\2649_20240610_0003_L_4751.jpg","2649_20240610_0003_L_4751.jpg")</f>
        <v>2649_20240610_0003_L_4751.jpg</v>
      </c>
      <c r="G2652" s="75">
        <v>9</v>
      </c>
      <c r="I2652">
        <f t="shared" si="41"/>
        <v>0</v>
      </c>
      <c r="J2652" s="75">
        <v>0</v>
      </c>
      <c r="K2652" s="77"/>
      <c r="L2652" s="77"/>
      <c r="M2652" s="77"/>
      <c r="N2652" s="77"/>
      <c r="O2652" s="75">
        <v>2</v>
      </c>
      <c r="P2652" s="75">
        <v>0</v>
      </c>
      <c r="Q2652" s="75">
        <v>0</v>
      </c>
      <c r="R2652" s="75">
        <v>0</v>
      </c>
      <c r="S2652" s="75">
        <v>0</v>
      </c>
      <c r="T2652" s="75">
        <v>0</v>
      </c>
      <c r="U2652" s="75">
        <v>0</v>
      </c>
      <c r="V2652" s="75">
        <v>0</v>
      </c>
      <c r="W2652" s="78">
        <v>1</v>
      </c>
    </row>
    <row r="2653" spans="1:23" s="75" customFormat="1" hidden="1" x14ac:dyDescent="0.35">
      <c r="A2653" s="75">
        <v>2649</v>
      </c>
      <c r="B2653" s="75">
        <v>2650</v>
      </c>
      <c r="C2653">
        <v>146.00266880000001</v>
      </c>
      <c r="D2653">
        <v>-17.495438369999999</v>
      </c>
      <c r="F2653" s="75" t="str">
        <f>HYPERLINK("E:\Data From Lucan\2024\Johnstone\Frames_for_Analysis\2650_20240610_0003_L_4756.jpg","2650_20240610_0003_L_4756.jpg")</f>
        <v>2650_20240610_0003_L_4756.jpg</v>
      </c>
      <c r="G2653" s="75">
        <v>9</v>
      </c>
      <c r="I2653">
        <f t="shared" si="41"/>
        <v>0</v>
      </c>
      <c r="J2653" s="75">
        <v>0</v>
      </c>
      <c r="K2653" s="77"/>
      <c r="L2653" s="77"/>
      <c r="M2653" s="77"/>
      <c r="N2653" s="77"/>
      <c r="O2653" s="75">
        <v>2</v>
      </c>
      <c r="P2653" s="75">
        <v>0</v>
      </c>
      <c r="Q2653" s="75">
        <v>0</v>
      </c>
      <c r="R2653" s="75">
        <v>0</v>
      </c>
      <c r="S2653" s="75">
        <v>0</v>
      </c>
      <c r="T2653" s="75">
        <v>0</v>
      </c>
      <c r="U2653" s="75">
        <v>0</v>
      </c>
      <c r="V2653" s="75">
        <v>0</v>
      </c>
      <c r="W2653" s="78">
        <v>1</v>
      </c>
    </row>
    <row r="2654" spans="1:23" s="75" customFormat="1" hidden="1" x14ac:dyDescent="0.35">
      <c r="A2654" s="75">
        <v>2650</v>
      </c>
      <c r="B2654" s="75">
        <v>2651</v>
      </c>
      <c r="C2654">
        <v>146.00268260000001</v>
      </c>
      <c r="D2654">
        <v>-17.495531660000001</v>
      </c>
      <c r="F2654" s="75" t="str">
        <f>HYPERLINK("E:\Data From Lucan\2024\Johnstone\Frames_for_Analysis\2651_20240610_0003_L_4759.jpg","2651_20240610_0003_L_4759.jpg")</f>
        <v>2651_20240610_0003_L_4759.jpg</v>
      </c>
      <c r="G2654" s="75">
        <v>9</v>
      </c>
      <c r="I2654">
        <f t="shared" si="41"/>
        <v>0</v>
      </c>
      <c r="J2654" s="75">
        <v>0</v>
      </c>
      <c r="K2654" s="77"/>
      <c r="L2654" s="77"/>
      <c r="M2654" s="77"/>
      <c r="N2654" s="77"/>
      <c r="O2654" s="75">
        <v>2</v>
      </c>
      <c r="P2654" s="75">
        <v>0</v>
      </c>
      <c r="Q2654" s="75">
        <v>0</v>
      </c>
      <c r="R2654" s="75">
        <v>0</v>
      </c>
      <c r="S2654" s="75">
        <v>0</v>
      </c>
      <c r="T2654" s="75">
        <v>0</v>
      </c>
      <c r="U2654" s="75">
        <v>0</v>
      </c>
      <c r="V2654" s="75">
        <v>0</v>
      </c>
      <c r="W2654" s="78">
        <v>1</v>
      </c>
    </row>
    <row r="2655" spans="1:23" s="75" customFormat="1" hidden="1" x14ac:dyDescent="0.35">
      <c r="A2655" s="75">
        <v>2651</v>
      </c>
      <c r="B2655" s="75">
        <v>2652</v>
      </c>
      <c r="C2655">
        <v>146.00269639999999</v>
      </c>
      <c r="D2655">
        <v>-17.495624939999999</v>
      </c>
      <c r="F2655" s="75" t="str">
        <f>HYPERLINK("E:\Data From Lucan\2024\Johnstone\Frames_for_Analysis\2652_20240610_0003_L_4761.jpg","2652_20240610_0003_L_4761.jpg")</f>
        <v>2652_20240610_0003_L_4761.jpg</v>
      </c>
      <c r="G2655" s="75">
        <v>9</v>
      </c>
      <c r="I2655">
        <f t="shared" si="41"/>
        <v>0</v>
      </c>
      <c r="J2655" s="75">
        <v>0</v>
      </c>
      <c r="K2655" s="77"/>
      <c r="L2655" s="77"/>
      <c r="M2655" s="77"/>
      <c r="N2655" s="77"/>
      <c r="O2655" s="75">
        <v>2</v>
      </c>
      <c r="P2655" s="75">
        <v>0</v>
      </c>
      <c r="Q2655" s="75">
        <v>0</v>
      </c>
      <c r="R2655" s="75">
        <v>0</v>
      </c>
      <c r="S2655" s="75">
        <v>0</v>
      </c>
      <c r="T2655" s="75">
        <v>0</v>
      </c>
      <c r="U2655" s="75">
        <v>0</v>
      </c>
      <c r="V2655" s="75">
        <v>0</v>
      </c>
      <c r="W2655" s="78">
        <v>1</v>
      </c>
    </row>
    <row r="2656" spans="1:23" s="75" customFormat="1" hidden="1" x14ac:dyDescent="0.35">
      <c r="A2656" s="75">
        <v>2652</v>
      </c>
      <c r="B2656" s="75">
        <v>2653</v>
      </c>
      <c r="C2656">
        <v>146.0027102</v>
      </c>
      <c r="D2656">
        <v>-17.495718230000001</v>
      </c>
      <c r="F2656" s="75" t="str">
        <f>HYPERLINK("E:\Data From Lucan\2024\Johnstone\Frames_for_Analysis\2653_20240610_0003_L_4764.jpg","2653_20240610_0003_L_4764.jpg")</f>
        <v>2653_20240610_0003_L_4764.jpg</v>
      </c>
      <c r="G2656" s="75">
        <v>9</v>
      </c>
      <c r="I2656">
        <f t="shared" si="41"/>
        <v>0</v>
      </c>
      <c r="J2656" s="75">
        <v>0</v>
      </c>
      <c r="K2656" s="77"/>
      <c r="L2656" s="77"/>
      <c r="M2656" s="77"/>
      <c r="N2656" s="77"/>
      <c r="O2656" s="75">
        <v>2</v>
      </c>
      <c r="P2656" s="75">
        <v>0</v>
      </c>
      <c r="Q2656" s="75">
        <v>0</v>
      </c>
      <c r="R2656" s="75">
        <v>0</v>
      </c>
      <c r="S2656" s="75">
        <v>0</v>
      </c>
      <c r="T2656" s="75">
        <v>0</v>
      </c>
      <c r="U2656" s="75">
        <v>0</v>
      </c>
      <c r="V2656" s="75">
        <v>0</v>
      </c>
      <c r="W2656" s="78">
        <v>1</v>
      </c>
    </row>
    <row r="2657" spans="1:23" s="75" customFormat="1" hidden="1" x14ac:dyDescent="0.35">
      <c r="A2657" s="75">
        <v>2653</v>
      </c>
      <c r="B2657" s="75">
        <v>2654</v>
      </c>
      <c r="C2657">
        <v>146.00272409999999</v>
      </c>
      <c r="D2657">
        <v>-17.49581152</v>
      </c>
      <c r="F2657" s="75" t="str">
        <f>HYPERLINK("E:\Data From Lucan\2024\Johnstone\Frames_for_Analysis\2654_20240610_0003_L_4766.jpg","2654_20240610_0003_L_4766.jpg")</f>
        <v>2654_20240610_0003_L_4766.jpg</v>
      </c>
      <c r="G2657" s="75">
        <v>9</v>
      </c>
      <c r="I2657">
        <f t="shared" si="41"/>
        <v>0</v>
      </c>
      <c r="J2657" s="75">
        <v>0</v>
      </c>
      <c r="K2657" s="77"/>
      <c r="L2657" s="77"/>
      <c r="M2657" s="77"/>
      <c r="N2657" s="77"/>
      <c r="O2657" s="75">
        <v>2</v>
      </c>
      <c r="P2657" s="75">
        <v>0</v>
      </c>
      <c r="Q2657" s="75">
        <v>0</v>
      </c>
      <c r="R2657" s="75">
        <v>0</v>
      </c>
      <c r="S2657" s="75">
        <v>0</v>
      </c>
      <c r="T2657" s="75">
        <v>0</v>
      </c>
      <c r="U2657" s="75">
        <v>0</v>
      </c>
      <c r="V2657" s="75">
        <v>0</v>
      </c>
      <c r="W2657" s="78">
        <v>1</v>
      </c>
    </row>
    <row r="2658" spans="1:23" s="75" customFormat="1" hidden="1" x14ac:dyDescent="0.35">
      <c r="A2658" s="75">
        <v>2654</v>
      </c>
      <c r="B2658" s="75">
        <v>2655</v>
      </c>
      <c r="C2658">
        <v>146.0027379</v>
      </c>
      <c r="D2658">
        <v>-17.495904800000002</v>
      </c>
      <c r="F2658" s="75" t="str">
        <f>HYPERLINK("E:\Data From Lucan\2024\Johnstone\Frames_for_Analysis\2655_20240610_0003_L_4770.jpg","2655_20240610_0003_L_4770.jpg")</f>
        <v>2655_20240610_0003_L_4770.jpg</v>
      </c>
      <c r="G2658" s="75">
        <v>9</v>
      </c>
      <c r="I2658">
        <f t="shared" si="41"/>
        <v>0</v>
      </c>
      <c r="J2658" s="75">
        <v>0</v>
      </c>
      <c r="K2658" s="77"/>
      <c r="L2658" s="77"/>
      <c r="M2658" s="77"/>
      <c r="N2658" s="77"/>
      <c r="O2658" s="75">
        <v>2</v>
      </c>
      <c r="P2658" s="75">
        <v>0</v>
      </c>
      <c r="Q2658" s="75">
        <v>0</v>
      </c>
      <c r="R2658" s="75">
        <v>0</v>
      </c>
      <c r="S2658" s="75">
        <v>0</v>
      </c>
      <c r="T2658" s="75">
        <v>0</v>
      </c>
      <c r="U2658" s="75">
        <v>0</v>
      </c>
      <c r="V2658" s="75">
        <v>0</v>
      </c>
      <c r="W2658" s="78">
        <v>1</v>
      </c>
    </row>
    <row r="2659" spans="1:23" s="75" customFormat="1" hidden="1" x14ac:dyDescent="0.35">
      <c r="A2659" s="75">
        <v>2655</v>
      </c>
      <c r="B2659" s="75">
        <v>2656</v>
      </c>
      <c r="C2659">
        <v>146.0027517</v>
      </c>
      <c r="D2659">
        <v>-17.495998090000001</v>
      </c>
      <c r="F2659" s="75" t="str">
        <f>HYPERLINK("E:\Data From Lucan\2024\Johnstone\Frames_for_Analysis\2656_20240610_0003_L_4773.jpg","2656_20240610_0003_L_4773.jpg")</f>
        <v>2656_20240610_0003_L_4773.jpg</v>
      </c>
      <c r="G2659" s="75">
        <v>9</v>
      </c>
      <c r="I2659">
        <f t="shared" si="41"/>
        <v>0</v>
      </c>
      <c r="J2659" s="75">
        <v>0</v>
      </c>
      <c r="K2659" s="77"/>
      <c r="L2659" s="77"/>
      <c r="M2659" s="77"/>
      <c r="N2659" s="77"/>
      <c r="O2659" s="75">
        <v>2</v>
      </c>
      <c r="P2659" s="75">
        <v>0</v>
      </c>
      <c r="Q2659" s="75">
        <v>0</v>
      </c>
      <c r="R2659" s="75">
        <v>0</v>
      </c>
      <c r="S2659" s="75">
        <v>0</v>
      </c>
      <c r="T2659" s="75">
        <v>0</v>
      </c>
      <c r="U2659" s="75">
        <v>0</v>
      </c>
      <c r="V2659" s="75">
        <v>0</v>
      </c>
      <c r="W2659" s="78">
        <v>1</v>
      </c>
    </row>
    <row r="2660" spans="1:23" s="75" customFormat="1" hidden="1" x14ac:dyDescent="0.35">
      <c r="A2660" s="75">
        <v>2656</v>
      </c>
      <c r="B2660" s="75">
        <v>2657</v>
      </c>
      <c r="C2660">
        <v>146.00274690000001</v>
      </c>
      <c r="D2660">
        <v>-17.496092109999999</v>
      </c>
      <c r="F2660" s="75" t="str">
        <f>HYPERLINK("E:\Data From Lucan\2024\Johnstone\Frames_for_Analysis\2657_20240610_0003_L_4776.jpg","2657_20240610_0003_L_4776.jpg")</f>
        <v>2657_20240610_0003_L_4776.jpg</v>
      </c>
      <c r="G2660" s="75">
        <v>9</v>
      </c>
      <c r="I2660">
        <f t="shared" si="41"/>
        <v>0</v>
      </c>
      <c r="J2660" s="75">
        <v>0</v>
      </c>
      <c r="K2660" s="77"/>
      <c r="L2660" s="77"/>
      <c r="M2660" s="77"/>
      <c r="N2660" s="77"/>
      <c r="O2660" s="75">
        <v>2</v>
      </c>
      <c r="P2660" s="75">
        <v>0</v>
      </c>
      <c r="Q2660" s="75">
        <v>0</v>
      </c>
      <c r="R2660" s="75">
        <v>0</v>
      </c>
      <c r="S2660" s="75">
        <v>0</v>
      </c>
      <c r="T2660" s="75">
        <v>0</v>
      </c>
      <c r="U2660" s="75">
        <v>0</v>
      </c>
      <c r="V2660" s="75">
        <v>0</v>
      </c>
      <c r="W2660" s="78">
        <v>1</v>
      </c>
    </row>
    <row r="2661" spans="1:23" s="75" customFormat="1" hidden="1" x14ac:dyDescent="0.35">
      <c r="A2661" s="75">
        <v>2657</v>
      </c>
      <c r="B2661" s="75">
        <v>2658</v>
      </c>
      <c r="C2661">
        <v>146.00274049999999</v>
      </c>
      <c r="D2661">
        <v>-17.4961862</v>
      </c>
      <c r="F2661" s="75" t="str">
        <f>HYPERLINK("E:\Data From Lucan\2024\Johnstone\Frames_for_Analysis\2658_20240610_0003_L_4781.jpg","2658_20240610_0003_L_4781.jpg")</f>
        <v>2658_20240610_0003_L_4781.jpg</v>
      </c>
      <c r="G2661" s="75">
        <v>9</v>
      </c>
      <c r="I2661">
        <f t="shared" si="41"/>
        <v>0</v>
      </c>
      <c r="J2661" s="75">
        <v>0</v>
      </c>
      <c r="K2661" s="77"/>
      <c r="L2661" s="77"/>
      <c r="M2661" s="77"/>
      <c r="N2661" s="77"/>
      <c r="O2661" s="75">
        <v>2</v>
      </c>
      <c r="P2661" s="75">
        <v>0</v>
      </c>
      <c r="Q2661" s="75">
        <v>0</v>
      </c>
      <c r="R2661" s="75">
        <v>0</v>
      </c>
      <c r="S2661" s="75">
        <v>0</v>
      </c>
      <c r="T2661" s="75">
        <v>0</v>
      </c>
      <c r="U2661" s="75">
        <v>0</v>
      </c>
      <c r="V2661" s="75">
        <v>0</v>
      </c>
      <c r="W2661" s="78">
        <v>1</v>
      </c>
    </row>
    <row r="2662" spans="1:23" s="75" customFormat="1" hidden="1" x14ac:dyDescent="0.35">
      <c r="A2662" s="75">
        <v>2658</v>
      </c>
      <c r="B2662" s="75">
        <v>2659</v>
      </c>
      <c r="C2662">
        <v>146.00273419999999</v>
      </c>
      <c r="D2662">
        <v>-17.496280290000001</v>
      </c>
      <c r="F2662" s="75" t="str">
        <f>HYPERLINK("E:\Data From Lucan\2024\Johnstone\Frames_for_Analysis\2659_20240610_0003_L_4785.jpg","2659_20240610_0003_L_4785.jpg")</f>
        <v>2659_20240610_0003_L_4785.jpg</v>
      </c>
      <c r="G2662" s="75">
        <v>9</v>
      </c>
      <c r="I2662">
        <f t="shared" si="41"/>
        <v>0</v>
      </c>
      <c r="J2662" s="75">
        <v>0</v>
      </c>
      <c r="K2662" s="77"/>
      <c r="L2662" s="77"/>
      <c r="M2662" s="77"/>
      <c r="N2662" s="77"/>
      <c r="O2662" s="75">
        <v>2</v>
      </c>
      <c r="P2662" s="75">
        <v>0</v>
      </c>
      <c r="Q2662" s="75">
        <v>0</v>
      </c>
      <c r="R2662" s="75">
        <v>0</v>
      </c>
      <c r="S2662" s="75">
        <v>0</v>
      </c>
      <c r="T2662" s="75">
        <v>0</v>
      </c>
      <c r="U2662" s="75">
        <v>0</v>
      </c>
      <c r="V2662" s="75">
        <v>0</v>
      </c>
      <c r="W2662" s="78">
        <v>1</v>
      </c>
    </row>
    <row r="2663" spans="1:23" s="75" customFormat="1" hidden="1" x14ac:dyDescent="0.35">
      <c r="A2663" s="75">
        <v>2659</v>
      </c>
      <c r="B2663" s="75">
        <v>2660</v>
      </c>
      <c r="C2663">
        <v>146.0027278</v>
      </c>
      <c r="D2663">
        <v>-17.496374379999999</v>
      </c>
      <c r="F2663" s="75" t="str">
        <f>HYPERLINK("E:\Data From Lucan\2024\Johnstone\Frames_for_Analysis\2660_20240610_0003_L_4787.jpg","2660_20240610_0003_L_4787.jpg")</f>
        <v>2660_20240610_0003_L_4787.jpg</v>
      </c>
      <c r="G2663" s="75">
        <v>9</v>
      </c>
      <c r="I2663">
        <f t="shared" si="41"/>
        <v>0</v>
      </c>
      <c r="J2663" s="75">
        <v>0</v>
      </c>
      <c r="K2663" s="77"/>
      <c r="L2663" s="77"/>
      <c r="M2663" s="77"/>
      <c r="N2663" s="77"/>
      <c r="O2663" s="75">
        <v>2</v>
      </c>
      <c r="P2663" s="75">
        <v>0</v>
      </c>
      <c r="Q2663" s="75">
        <v>0</v>
      </c>
      <c r="R2663" s="75">
        <v>0</v>
      </c>
      <c r="S2663" s="75">
        <v>0</v>
      </c>
      <c r="T2663" s="75">
        <v>0</v>
      </c>
      <c r="U2663" s="75">
        <v>0</v>
      </c>
      <c r="V2663" s="75">
        <v>0</v>
      </c>
      <c r="W2663" s="78">
        <v>1</v>
      </c>
    </row>
    <row r="2664" spans="1:23" s="75" customFormat="1" hidden="1" x14ac:dyDescent="0.35">
      <c r="A2664" s="75">
        <v>2660</v>
      </c>
      <c r="B2664" s="75">
        <v>2661</v>
      </c>
      <c r="C2664">
        <v>146.00272150000001</v>
      </c>
      <c r="D2664">
        <v>-17.49646847</v>
      </c>
      <c r="F2664" s="75" t="str">
        <f>HYPERLINK("E:\Data From Lucan\2024\Johnstone\Frames_for_Analysis\2661_20240610_0003_L_4789.jpg","2661_20240610_0003_L_4789.jpg")</f>
        <v>2661_20240610_0003_L_4789.jpg</v>
      </c>
      <c r="G2664" s="75">
        <v>9</v>
      </c>
      <c r="I2664">
        <f t="shared" si="41"/>
        <v>0</v>
      </c>
      <c r="J2664" s="75">
        <v>0</v>
      </c>
      <c r="K2664" s="77"/>
      <c r="L2664" s="77"/>
      <c r="M2664" s="77"/>
      <c r="N2664" s="77"/>
      <c r="O2664" s="75">
        <v>2</v>
      </c>
      <c r="P2664" s="75">
        <v>0</v>
      </c>
      <c r="Q2664" s="75">
        <v>0</v>
      </c>
      <c r="R2664" s="75">
        <v>0</v>
      </c>
      <c r="S2664" s="75">
        <v>0</v>
      </c>
      <c r="T2664" s="75">
        <v>0</v>
      </c>
      <c r="U2664" s="75">
        <v>0</v>
      </c>
      <c r="V2664" s="75">
        <v>0</v>
      </c>
      <c r="W2664" s="78">
        <v>1</v>
      </c>
    </row>
    <row r="2665" spans="1:23" s="75" customFormat="1" hidden="1" x14ac:dyDescent="0.35">
      <c r="A2665" s="75">
        <v>2661</v>
      </c>
      <c r="B2665" s="75">
        <v>2662</v>
      </c>
      <c r="C2665">
        <v>146.00271509999999</v>
      </c>
      <c r="D2665">
        <v>-17.496562560000001</v>
      </c>
      <c r="F2665" s="75" t="str">
        <f>HYPERLINK("E:\Data From Lucan\2024\Johnstone\Frames_for_Analysis\2662_20240610_0003_L_4791.jpg","2662_20240610_0003_L_4791.jpg")</f>
        <v>2662_20240610_0003_L_4791.jpg</v>
      </c>
      <c r="G2665" s="75">
        <v>9</v>
      </c>
      <c r="I2665">
        <f t="shared" si="41"/>
        <v>0</v>
      </c>
      <c r="J2665" s="75">
        <v>0</v>
      </c>
      <c r="K2665" s="77"/>
      <c r="L2665" s="77"/>
      <c r="M2665" s="77"/>
      <c r="N2665" s="77"/>
      <c r="O2665" s="75">
        <v>2</v>
      </c>
      <c r="P2665" s="75">
        <v>0</v>
      </c>
      <c r="Q2665" s="75">
        <v>0</v>
      </c>
      <c r="R2665" s="75">
        <v>0</v>
      </c>
      <c r="S2665" s="75">
        <v>0</v>
      </c>
      <c r="T2665" s="75">
        <v>0</v>
      </c>
      <c r="U2665" s="75">
        <v>0</v>
      </c>
      <c r="V2665" s="75">
        <v>0</v>
      </c>
      <c r="W2665" s="78">
        <v>1</v>
      </c>
    </row>
    <row r="2666" spans="1:23" s="75" customFormat="1" hidden="1" x14ac:dyDescent="0.35">
      <c r="A2666" s="75">
        <v>2662</v>
      </c>
      <c r="B2666" s="75">
        <v>2663</v>
      </c>
      <c r="C2666">
        <v>146.0027087</v>
      </c>
      <c r="D2666">
        <v>-17.496656649999998</v>
      </c>
      <c r="F2666" s="75" t="str">
        <f>HYPERLINK("E:\Data From Lucan\2024\Johnstone\Frames_for_Analysis\2663_20240610_0003_L_4797.jpg","2663_20240610_0003_L_4797.jpg")</f>
        <v>2663_20240610_0003_L_4797.jpg</v>
      </c>
      <c r="G2666" s="75">
        <v>9</v>
      </c>
      <c r="I2666">
        <f t="shared" si="41"/>
        <v>0</v>
      </c>
      <c r="J2666" s="75">
        <v>0</v>
      </c>
      <c r="K2666" s="77"/>
      <c r="L2666" s="77"/>
      <c r="M2666" s="77"/>
      <c r="N2666" s="77"/>
      <c r="O2666" s="75">
        <v>2</v>
      </c>
      <c r="P2666" s="75">
        <v>0</v>
      </c>
      <c r="Q2666" s="75">
        <v>0</v>
      </c>
      <c r="R2666" s="75">
        <v>0</v>
      </c>
      <c r="S2666" s="75">
        <v>0</v>
      </c>
      <c r="T2666" s="75">
        <v>0</v>
      </c>
      <c r="U2666" s="75">
        <v>0</v>
      </c>
      <c r="V2666" s="75">
        <v>0</v>
      </c>
      <c r="W2666" s="78">
        <v>1</v>
      </c>
    </row>
    <row r="2667" spans="1:23" s="75" customFormat="1" hidden="1" x14ac:dyDescent="0.35">
      <c r="A2667" s="75">
        <v>2663</v>
      </c>
      <c r="B2667" s="75">
        <v>2664</v>
      </c>
      <c r="C2667">
        <v>146.00270309999999</v>
      </c>
      <c r="D2667">
        <v>-17.496750769999998</v>
      </c>
      <c r="F2667" s="75" t="str">
        <f>HYPERLINK("E:\Data From Lucan\2024\Johnstone\Frames_for_Analysis\2664_20240610_0003_L_4803.jpg","2664_20240610_0003_L_4803.jpg")</f>
        <v>2664_20240610_0003_L_4803.jpg</v>
      </c>
      <c r="G2667" s="75">
        <v>9</v>
      </c>
      <c r="I2667">
        <f t="shared" si="41"/>
        <v>0</v>
      </c>
      <c r="J2667" s="75">
        <v>0</v>
      </c>
      <c r="K2667" s="77"/>
      <c r="L2667" s="77"/>
      <c r="M2667" s="77"/>
      <c r="N2667" s="77"/>
      <c r="O2667" s="75">
        <v>2</v>
      </c>
      <c r="P2667" s="75">
        <v>0</v>
      </c>
      <c r="Q2667" s="75">
        <v>0</v>
      </c>
      <c r="R2667" s="75">
        <v>0</v>
      </c>
      <c r="S2667" s="75">
        <v>0</v>
      </c>
      <c r="T2667" s="75">
        <v>0</v>
      </c>
      <c r="U2667" s="75">
        <v>0</v>
      </c>
      <c r="V2667" s="75">
        <v>0</v>
      </c>
      <c r="W2667" s="78">
        <v>1</v>
      </c>
    </row>
    <row r="2668" spans="1:23" s="75" customFormat="1" hidden="1" x14ac:dyDescent="0.35">
      <c r="A2668" s="75">
        <v>2664</v>
      </c>
      <c r="B2668" s="75">
        <v>2665</v>
      </c>
      <c r="C2668">
        <v>146.0027006</v>
      </c>
      <c r="D2668">
        <v>-17.49684504</v>
      </c>
      <c r="F2668" s="75" t="str">
        <f>HYPERLINK("E:\Data From Lucan\2024\Johnstone\Frames_for_Analysis\2665_20240610_0003_L_4806.jpg","2665_20240610_0003_L_4806.jpg")</f>
        <v>2665_20240610_0003_L_4806.jpg</v>
      </c>
      <c r="G2668" s="75">
        <v>9</v>
      </c>
      <c r="I2668">
        <f t="shared" si="41"/>
        <v>0</v>
      </c>
      <c r="J2668" s="75">
        <v>0</v>
      </c>
      <c r="K2668" s="77"/>
      <c r="L2668" s="77"/>
      <c r="M2668" s="77"/>
      <c r="N2668" s="77"/>
      <c r="O2668" s="75">
        <v>2</v>
      </c>
      <c r="P2668" s="75">
        <v>0</v>
      </c>
      <c r="Q2668" s="75">
        <v>0</v>
      </c>
      <c r="R2668" s="75">
        <v>0</v>
      </c>
      <c r="S2668" s="75">
        <v>0</v>
      </c>
      <c r="T2668" s="75">
        <v>0</v>
      </c>
      <c r="U2668" s="75">
        <v>0</v>
      </c>
      <c r="V2668" s="75">
        <v>0</v>
      </c>
      <c r="W2668" s="78">
        <v>1</v>
      </c>
    </row>
    <row r="2669" spans="1:23" s="75" customFormat="1" hidden="1" x14ac:dyDescent="0.35">
      <c r="A2669" s="75">
        <v>2665</v>
      </c>
      <c r="B2669" s="75">
        <v>2666</v>
      </c>
      <c r="C2669">
        <v>146.0026981</v>
      </c>
      <c r="D2669">
        <v>-17.496939309999998</v>
      </c>
      <c r="F2669" s="75" t="str">
        <f>HYPERLINK("E:\Data From Lucan\2024\Johnstone\Frames_for_Analysis\2666_20240610_0003_L_4809.jpg","2666_20240610_0003_L_4809.jpg")</f>
        <v>2666_20240610_0003_L_4809.jpg</v>
      </c>
      <c r="G2669" s="75">
        <v>9</v>
      </c>
      <c r="I2669">
        <f t="shared" si="41"/>
        <v>0</v>
      </c>
      <c r="J2669" s="75">
        <v>0</v>
      </c>
      <c r="K2669" s="77"/>
      <c r="L2669" s="77"/>
      <c r="M2669" s="77"/>
      <c r="N2669" s="77"/>
      <c r="O2669" s="75">
        <v>2</v>
      </c>
      <c r="P2669" s="75">
        <v>0</v>
      </c>
      <c r="Q2669" s="75">
        <v>0</v>
      </c>
      <c r="R2669" s="75">
        <v>0</v>
      </c>
      <c r="S2669" s="75">
        <v>0</v>
      </c>
      <c r="T2669" s="75">
        <v>0</v>
      </c>
      <c r="U2669" s="75">
        <v>0</v>
      </c>
      <c r="V2669" s="75">
        <v>0</v>
      </c>
      <c r="W2669" s="78">
        <v>1</v>
      </c>
    </row>
    <row r="2670" spans="1:23" s="75" customFormat="1" hidden="1" x14ac:dyDescent="0.35">
      <c r="A2670" s="75">
        <v>2666</v>
      </c>
      <c r="B2670" s="75">
        <v>2667</v>
      </c>
      <c r="C2670">
        <v>146.00269560000001</v>
      </c>
      <c r="D2670">
        <v>-17.49703358</v>
      </c>
      <c r="F2670" s="75" t="str">
        <f>HYPERLINK("E:\Data From Lucan\2024\Johnstone\Frames_for_Analysis\2667_20240610_0003_L_4812.jpg","2667_20240610_0003_L_4812.jpg")</f>
        <v>2667_20240610_0003_L_4812.jpg</v>
      </c>
      <c r="G2670" s="75">
        <v>9</v>
      </c>
      <c r="I2670">
        <f t="shared" si="41"/>
        <v>0</v>
      </c>
      <c r="J2670" s="75">
        <v>0</v>
      </c>
      <c r="K2670" s="77"/>
      <c r="L2670" s="77"/>
      <c r="M2670" s="77"/>
      <c r="N2670" s="77"/>
      <c r="O2670" s="75">
        <v>2</v>
      </c>
      <c r="P2670" s="75">
        <v>0</v>
      </c>
      <c r="Q2670" s="75">
        <v>0</v>
      </c>
      <c r="R2670" s="75">
        <v>0</v>
      </c>
      <c r="S2670" s="75">
        <v>0</v>
      </c>
      <c r="T2670" s="75">
        <v>0</v>
      </c>
      <c r="U2670" s="75">
        <v>0</v>
      </c>
      <c r="V2670" s="75">
        <v>0</v>
      </c>
      <c r="W2670" s="78">
        <v>1</v>
      </c>
    </row>
    <row r="2671" spans="1:23" s="75" customFormat="1" hidden="1" x14ac:dyDescent="0.35">
      <c r="A2671" s="75">
        <v>2667</v>
      </c>
      <c r="B2671" s="75">
        <v>2668</v>
      </c>
      <c r="C2671">
        <v>146.00269320000001</v>
      </c>
      <c r="D2671">
        <v>-17.497127849999998</v>
      </c>
      <c r="F2671" s="75" t="str">
        <f>HYPERLINK("E:\Data From Lucan\2024\Johnstone\Frames_for_Analysis\2668_20240610_0003_L_4816.jpg","2668_20240610_0003_L_4816.jpg")</f>
        <v>2668_20240610_0003_L_4816.jpg</v>
      </c>
      <c r="G2671" s="75">
        <v>9</v>
      </c>
      <c r="I2671">
        <f t="shared" si="41"/>
        <v>0</v>
      </c>
      <c r="J2671" s="75">
        <v>0</v>
      </c>
      <c r="K2671" s="77"/>
      <c r="L2671" s="77"/>
      <c r="M2671" s="77"/>
      <c r="N2671" s="77"/>
      <c r="O2671" s="75">
        <v>2</v>
      </c>
      <c r="P2671" s="75">
        <v>0</v>
      </c>
      <c r="Q2671" s="75">
        <v>0</v>
      </c>
      <c r="R2671" s="75">
        <v>0</v>
      </c>
      <c r="S2671" s="75">
        <v>0</v>
      </c>
      <c r="T2671" s="75">
        <v>0</v>
      </c>
      <c r="U2671" s="75">
        <v>0</v>
      </c>
      <c r="V2671" s="75">
        <v>0</v>
      </c>
      <c r="W2671" s="78">
        <v>1</v>
      </c>
    </row>
    <row r="2672" spans="1:23" s="75" customFormat="1" hidden="1" x14ac:dyDescent="0.35">
      <c r="A2672" s="75">
        <v>2668</v>
      </c>
      <c r="B2672" s="75">
        <v>2669</v>
      </c>
      <c r="C2672">
        <v>146.00269069999999</v>
      </c>
      <c r="D2672">
        <v>-17.49722212</v>
      </c>
      <c r="F2672" s="75" t="str">
        <f>HYPERLINK("E:\Data From Lucan\2024\Johnstone\Frames_for_Analysis\2669_20240610_0003_L_4818.jpg","2669_20240610_0003_L_4818.jpg")</f>
        <v>2669_20240610_0003_L_4818.jpg</v>
      </c>
      <c r="G2672" s="75">
        <v>9</v>
      </c>
      <c r="I2672">
        <f t="shared" si="41"/>
        <v>0</v>
      </c>
      <c r="J2672" s="75">
        <v>0</v>
      </c>
      <c r="K2672" s="77"/>
      <c r="L2672" s="77"/>
      <c r="M2672" s="77"/>
      <c r="N2672" s="77"/>
      <c r="O2672" s="75">
        <v>2</v>
      </c>
      <c r="P2672" s="75">
        <v>0</v>
      </c>
      <c r="Q2672" s="75">
        <v>0</v>
      </c>
      <c r="R2672" s="75">
        <v>0</v>
      </c>
      <c r="S2672" s="75">
        <v>0</v>
      </c>
      <c r="T2672" s="75">
        <v>0</v>
      </c>
      <c r="U2672" s="75">
        <v>0</v>
      </c>
      <c r="V2672" s="75">
        <v>0</v>
      </c>
      <c r="W2672" s="78">
        <v>1</v>
      </c>
    </row>
    <row r="2673" spans="1:23" s="75" customFormat="1" hidden="1" x14ac:dyDescent="0.35">
      <c r="A2673" s="75">
        <v>2669</v>
      </c>
      <c r="B2673" s="75">
        <v>2670</v>
      </c>
      <c r="C2673">
        <v>146.00268819999999</v>
      </c>
      <c r="D2673">
        <v>-17.497316390000002</v>
      </c>
      <c r="F2673" s="75" t="str">
        <f>HYPERLINK("E:\Data From Lucan\2024\Johnstone\Frames_for_Analysis\2670_20240610_0003_L_4822.jpg","2670_20240610_0003_L_4822.jpg")</f>
        <v>2670_20240610_0003_L_4822.jpg</v>
      </c>
      <c r="G2673" s="75">
        <v>9</v>
      </c>
      <c r="I2673">
        <f t="shared" si="41"/>
        <v>0</v>
      </c>
      <c r="J2673" s="75">
        <v>0</v>
      </c>
      <c r="K2673" s="77"/>
      <c r="L2673" s="77"/>
      <c r="M2673" s="77"/>
      <c r="N2673" s="77"/>
      <c r="O2673" s="75">
        <v>2</v>
      </c>
      <c r="P2673" s="75">
        <v>0</v>
      </c>
      <c r="Q2673" s="75">
        <v>0</v>
      </c>
      <c r="R2673" s="75">
        <v>0</v>
      </c>
      <c r="S2673" s="75">
        <v>0</v>
      </c>
      <c r="T2673" s="75">
        <v>0</v>
      </c>
      <c r="U2673" s="75">
        <v>0</v>
      </c>
      <c r="V2673" s="75">
        <v>1</v>
      </c>
      <c r="W2673" s="78">
        <v>1</v>
      </c>
    </row>
    <row r="2674" spans="1:23" s="75" customFormat="1" hidden="1" x14ac:dyDescent="0.35">
      <c r="A2674" s="75">
        <v>2670</v>
      </c>
      <c r="B2674" s="75">
        <v>2671</v>
      </c>
      <c r="C2674">
        <v>146.0026857</v>
      </c>
      <c r="D2674">
        <v>-17.497410670000001</v>
      </c>
      <c r="F2674" s="75" t="str">
        <f>HYPERLINK("E:\Data From Lucan\2024\Johnstone\Frames_for_Analysis\2671_20240610_0003_L_4825.jpg","2671_20240610_0003_L_4825.jpg")</f>
        <v>2671_20240610_0003_L_4825.jpg</v>
      </c>
      <c r="G2674" s="75">
        <v>9</v>
      </c>
      <c r="I2674">
        <f t="shared" si="41"/>
        <v>0</v>
      </c>
      <c r="J2674" s="75">
        <v>0</v>
      </c>
      <c r="K2674" s="77"/>
      <c r="L2674" s="77"/>
      <c r="M2674" s="77"/>
      <c r="N2674" s="77"/>
      <c r="O2674" s="75">
        <v>2</v>
      </c>
      <c r="P2674" s="75">
        <v>0</v>
      </c>
      <c r="Q2674" s="75">
        <v>0</v>
      </c>
      <c r="R2674" s="75">
        <v>0</v>
      </c>
      <c r="S2674" s="75">
        <v>0</v>
      </c>
      <c r="T2674" s="75">
        <v>0</v>
      </c>
      <c r="U2674" s="75">
        <v>0</v>
      </c>
      <c r="V2674" s="75">
        <v>1</v>
      </c>
      <c r="W2674" s="78">
        <v>1</v>
      </c>
    </row>
    <row r="2675" spans="1:23" s="75" customFormat="1" hidden="1" x14ac:dyDescent="0.35">
      <c r="A2675" s="75">
        <v>2671</v>
      </c>
      <c r="B2675" s="75">
        <v>2672</v>
      </c>
      <c r="C2675">
        <v>146.0026833</v>
      </c>
      <c r="D2675">
        <v>-17.497504939999999</v>
      </c>
      <c r="F2675" s="75" t="str">
        <f>HYPERLINK("E:\Data From Lucan\2024\Johnstone\Frames_for_Analysis\2672_20240610_0003_L_4828.jpg","2672_20240610_0003_L_4828.jpg")</f>
        <v>2672_20240610_0003_L_4828.jpg</v>
      </c>
      <c r="G2675" s="75">
        <v>9</v>
      </c>
      <c r="I2675">
        <f t="shared" si="41"/>
        <v>0</v>
      </c>
      <c r="J2675" s="75">
        <v>0</v>
      </c>
      <c r="K2675" s="77"/>
      <c r="L2675" s="77"/>
      <c r="M2675" s="77"/>
      <c r="N2675" s="77"/>
      <c r="O2675" s="75">
        <v>2</v>
      </c>
      <c r="P2675" s="75">
        <v>0</v>
      </c>
      <c r="Q2675" s="75">
        <v>0</v>
      </c>
      <c r="R2675" s="75">
        <v>0</v>
      </c>
      <c r="S2675" s="75">
        <v>0</v>
      </c>
      <c r="T2675" s="75">
        <v>0</v>
      </c>
      <c r="U2675" s="75">
        <v>0</v>
      </c>
      <c r="V2675" s="75">
        <v>1</v>
      </c>
      <c r="W2675" s="78">
        <v>1</v>
      </c>
    </row>
    <row r="2676" spans="1:23" s="75" customFormat="1" hidden="1" x14ac:dyDescent="0.35">
      <c r="A2676" s="75">
        <v>2672</v>
      </c>
      <c r="B2676" s="75">
        <v>2673</v>
      </c>
      <c r="C2676">
        <v>146.00268080000001</v>
      </c>
      <c r="D2676">
        <v>-17.497599210000001</v>
      </c>
      <c r="F2676" s="75" t="str">
        <f>HYPERLINK("E:\Data From Lucan\2024\Johnstone\Frames_for_Analysis\2673_20240610_0003_L_4832.jpg","2673_20240610_0003_L_4832.jpg")</f>
        <v>2673_20240610_0003_L_4832.jpg</v>
      </c>
      <c r="G2676" s="75">
        <v>9</v>
      </c>
      <c r="I2676">
        <f t="shared" si="41"/>
        <v>0</v>
      </c>
      <c r="J2676" s="75">
        <v>0</v>
      </c>
      <c r="K2676" s="77"/>
      <c r="L2676" s="77"/>
      <c r="M2676" s="77"/>
      <c r="N2676" s="77"/>
      <c r="O2676" s="75">
        <v>2</v>
      </c>
      <c r="P2676" s="75">
        <v>0</v>
      </c>
      <c r="Q2676" s="75">
        <v>0</v>
      </c>
      <c r="R2676" s="75">
        <v>0</v>
      </c>
      <c r="S2676" s="75">
        <v>0</v>
      </c>
      <c r="T2676" s="75">
        <v>0</v>
      </c>
      <c r="U2676" s="75">
        <v>0</v>
      </c>
      <c r="V2676" s="75">
        <v>1</v>
      </c>
      <c r="W2676" s="78">
        <v>1</v>
      </c>
    </row>
    <row r="2677" spans="1:23" s="75" customFormat="1" hidden="1" x14ac:dyDescent="0.35">
      <c r="A2677" s="75">
        <v>2673</v>
      </c>
      <c r="B2677" s="75">
        <v>2674</v>
      </c>
      <c r="C2677">
        <v>146.00267830000001</v>
      </c>
      <c r="D2677">
        <v>-17.497693479999999</v>
      </c>
      <c r="F2677" s="75" t="str">
        <f>HYPERLINK("E:\Data From Lucan\2024\Johnstone\Frames_for_Analysis\2674_20240610_0003_L_4835.jpg","2674_20240610_0003_L_4835.jpg")</f>
        <v>2674_20240610_0003_L_4835.jpg</v>
      </c>
      <c r="G2677" s="75">
        <v>9</v>
      </c>
      <c r="I2677">
        <f t="shared" si="41"/>
        <v>0</v>
      </c>
      <c r="J2677" s="75">
        <v>0</v>
      </c>
      <c r="K2677" s="77"/>
      <c r="L2677" s="77"/>
      <c r="M2677" s="77"/>
      <c r="N2677" s="77"/>
      <c r="O2677" s="75">
        <v>2</v>
      </c>
      <c r="P2677" s="75">
        <v>0</v>
      </c>
      <c r="Q2677" s="75">
        <v>0</v>
      </c>
      <c r="R2677" s="75">
        <v>0</v>
      </c>
      <c r="S2677" s="75">
        <v>0</v>
      </c>
      <c r="T2677" s="75">
        <v>0</v>
      </c>
      <c r="U2677" s="75">
        <v>0</v>
      </c>
      <c r="V2677" s="75">
        <v>1</v>
      </c>
      <c r="W2677" s="78">
        <v>1</v>
      </c>
    </row>
    <row r="2678" spans="1:23" s="75" customFormat="1" hidden="1" x14ac:dyDescent="0.35">
      <c r="A2678" s="75">
        <v>2674</v>
      </c>
      <c r="B2678" s="75">
        <v>2675</v>
      </c>
      <c r="C2678">
        <v>146.00267579999999</v>
      </c>
      <c r="D2678">
        <v>-17.497787750000001</v>
      </c>
      <c r="F2678" s="75" t="str">
        <f>HYPERLINK("E:\Data From Lucan\2024\Johnstone\Frames_for_Analysis\2675_20240610_0003_L_4840.jpg","2675_20240610_0003_L_4840.jpg")</f>
        <v>2675_20240610_0003_L_4840.jpg</v>
      </c>
      <c r="G2678" s="75">
        <v>9</v>
      </c>
      <c r="I2678">
        <f t="shared" si="41"/>
        <v>0</v>
      </c>
      <c r="J2678" s="75">
        <v>0</v>
      </c>
      <c r="K2678" s="77"/>
      <c r="L2678" s="77"/>
      <c r="M2678" s="77"/>
      <c r="N2678" s="77"/>
      <c r="O2678" s="75">
        <v>1</v>
      </c>
      <c r="P2678" s="75">
        <v>0</v>
      </c>
      <c r="Q2678" s="75">
        <v>0</v>
      </c>
      <c r="R2678" s="75">
        <v>0</v>
      </c>
      <c r="S2678" s="75">
        <v>0</v>
      </c>
      <c r="T2678" s="75">
        <v>0</v>
      </c>
      <c r="U2678" s="75">
        <v>0</v>
      </c>
      <c r="V2678" s="75">
        <v>1</v>
      </c>
      <c r="W2678" s="78">
        <v>0</v>
      </c>
    </row>
    <row r="2679" spans="1:23" s="75" customFormat="1" hidden="1" x14ac:dyDescent="0.35">
      <c r="A2679" s="75">
        <v>2675</v>
      </c>
      <c r="B2679" s="75">
        <v>2676</v>
      </c>
      <c r="C2679">
        <v>146.00267339999999</v>
      </c>
      <c r="D2679">
        <v>-17.497882019999999</v>
      </c>
      <c r="F2679" s="75" t="str">
        <f>HYPERLINK("E:\Data From Lucan\2024\Johnstone\Frames_for_Analysis\2676_20240610_0003_L_4842.jpg","2676_20240610_0003_L_4842.jpg")</f>
        <v>2676_20240610_0003_L_4842.jpg</v>
      </c>
      <c r="G2679" s="75">
        <v>9</v>
      </c>
      <c r="I2679">
        <f t="shared" si="41"/>
        <v>0</v>
      </c>
      <c r="J2679" s="75">
        <v>0</v>
      </c>
      <c r="K2679" s="77"/>
      <c r="L2679" s="77"/>
      <c r="M2679" s="77"/>
      <c r="N2679" s="77"/>
      <c r="O2679" s="75">
        <v>1</v>
      </c>
      <c r="P2679" s="75">
        <v>0</v>
      </c>
      <c r="Q2679" s="75">
        <v>0</v>
      </c>
      <c r="R2679" s="75">
        <v>0</v>
      </c>
      <c r="S2679" s="75">
        <v>0</v>
      </c>
      <c r="T2679" s="75">
        <v>0</v>
      </c>
      <c r="U2679" s="75">
        <v>0</v>
      </c>
      <c r="V2679" s="75">
        <v>1</v>
      </c>
      <c r="W2679" s="78">
        <v>0</v>
      </c>
    </row>
    <row r="2680" spans="1:23" s="75" customFormat="1" hidden="1" x14ac:dyDescent="0.35">
      <c r="A2680" s="75">
        <v>2676</v>
      </c>
      <c r="B2680" s="75">
        <v>2677</v>
      </c>
      <c r="C2680">
        <v>146.0026709</v>
      </c>
      <c r="D2680">
        <v>-17.49797629</v>
      </c>
      <c r="F2680" s="75" t="str">
        <f>HYPERLINK("E:\Data From Lucan\2024\Johnstone\Frames_for_Analysis\2677_20240610_0003_L_4845.jpg","2677_20240610_0003_L_4845.jpg")</f>
        <v>2677_20240610_0003_L_4845.jpg</v>
      </c>
      <c r="G2680" s="75">
        <v>9</v>
      </c>
      <c r="I2680">
        <f t="shared" si="41"/>
        <v>0</v>
      </c>
      <c r="J2680" s="75">
        <v>0</v>
      </c>
      <c r="K2680" s="77"/>
      <c r="L2680" s="77"/>
      <c r="M2680" s="77"/>
      <c r="N2680" s="77"/>
      <c r="O2680" s="75">
        <v>1</v>
      </c>
      <c r="P2680" s="75">
        <v>0</v>
      </c>
      <c r="Q2680" s="75">
        <v>0</v>
      </c>
      <c r="R2680" s="75">
        <v>0</v>
      </c>
      <c r="S2680" s="75">
        <v>0</v>
      </c>
      <c r="T2680" s="75">
        <v>0</v>
      </c>
      <c r="U2680" s="75">
        <v>0</v>
      </c>
      <c r="V2680" s="75">
        <v>0</v>
      </c>
      <c r="W2680" s="78">
        <v>0</v>
      </c>
    </row>
    <row r="2681" spans="1:23" s="75" customFormat="1" hidden="1" x14ac:dyDescent="0.35">
      <c r="A2681" s="75">
        <v>2677</v>
      </c>
      <c r="B2681" s="75">
        <v>2678</v>
      </c>
      <c r="C2681">
        <v>146.0026684</v>
      </c>
      <c r="D2681">
        <v>-17.498070559999999</v>
      </c>
      <c r="F2681" s="75" t="str">
        <f>HYPERLINK("E:\Data From Lucan\2024\Johnstone\Frames_for_Analysis\2678_20240610_0003_L_4847.jpg","2678_20240610_0003_L_4847.jpg")</f>
        <v>2678_20240610_0003_L_4847.jpg</v>
      </c>
      <c r="G2681" s="75">
        <v>9</v>
      </c>
      <c r="I2681">
        <f t="shared" si="41"/>
        <v>0</v>
      </c>
      <c r="J2681" s="75">
        <v>0</v>
      </c>
      <c r="K2681" s="77"/>
      <c r="L2681" s="77"/>
      <c r="M2681" s="77"/>
      <c r="N2681" s="77"/>
      <c r="O2681" s="75">
        <v>1</v>
      </c>
      <c r="P2681" s="75">
        <v>0</v>
      </c>
      <c r="Q2681" s="75">
        <v>0</v>
      </c>
      <c r="R2681" s="75">
        <v>0</v>
      </c>
      <c r="S2681" s="75">
        <v>0</v>
      </c>
      <c r="T2681" s="75">
        <v>0</v>
      </c>
      <c r="U2681" s="75">
        <v>0</v>
      </c>
      <c r="V2681" s="75">
        <v>1</v>
      </c>
      <c r="W2681" s="78">
        <v>0</v>
      </c>
    </row>
    <row r="2682" spans="1:23" s="75" customFormat="1" hidden="1" x14ac:dyDescent="0.35">
      <c r="A2682" s="75">
        <v>2678</v>
      </c>
      <c r="B2682" s="75">
        <v>2679</v>
      </c>
      <c r="C2682">
        <v>146.00266590000001</v>
      </c>
      <c r="D2682">
        <v>-17.49816483</v>
      </c>
      <c r="F2682" s="75" t="str">
        <f>HYPERLINK("E:\Data From Lucan\2024\Johnstone\Frames_for_Analysis\2679_20240610_0003_L_4853.jpg","2679_20240610_0003_L_4853.jpg")</f>
        <v>2679_20240610_0003_L_4853.jpg</v>
      </c>
      <c r="G2682" s="75">
        <v>9</v>
      </c>
      <c r="I2682">
        <f t="shared" si="41"/>
        <v>0</v>
      </c>
      <c r="J2682" s="75">
        <v>0</v>
      </c>
      <c r="K2682" s="77"/>
      <c r="L2682" s="77"/>
      <c r="M2682" s="77"/>
      <c r="N2682" s="77"/>
      <c r="O2682" s="75">
        <v>1</v>
      </c>
      <c r="P2682" s="75">
        <v>0</v>
      </c>
      <c r="Q2682" s="75">
        <v>0</v>
      </c>
      <c r="R2682" s="75">
        <v>0</v>
      </c>
      <c r="S2682" s="75">
        <v>0</v>
      </c>
      <c r="T2682" s="75">
        <v>0</v>
      </c>
      <c r="U2682" s="75">
        <v>0</v>
      </c>
      <c r="V2682" s="75">
        <v>1</v>
      </c>
      <c r="W2682" s="78">
        <v>0</v>
      </c>
    </row>
    <row r="2683" spans="1:23" s="75" customFormat="1" hidden="1" x14ac:dyDescent="0.35">
      <c r="A2683" s="75">
        <v>2679</v>
      </c>
      <c r="B2683" s="75">
        <v>2680</v>
      </c>
      <c r="C2683">
        <v>146.00266350000001</v>
      </c>
      <c r="D2683">
        <v>-17.498259099999999</v>
      </c>
      <c r="F2683" s="75" t="str">
        <f>HYPERLINK("E:\Data From Lucan\2024\Johnstone\Frames_for_Analysis\2680_20240610_0003_L_4855.jpg","2680_20240610_0003_L_4855.jpg")</f>
        <v>2680_20240610_0003_L_4855.jpg</v>
      </c>
      <c r="G2683" s="75">
        <v>9</v>
      </c>
      <c r="I2683">
        <f t="shared" si="41"/>
        <v>0</v>
      </c>
      <c r="J2683" s="75">
        <v>0</v>
      </c>
      <c r="K2683" s="77"/>
      <c r="L2683" s="77"/>
      <c r="M2683" s="77"/>
      <c r="N2683" s="77"/>
      <c r="O2683" s="75">
        <v>1</v>
      </c>
      <c r="P2683" s="75">
        <v>0</v>
      </c>
      <c r="Q2683" s="75">
        <v>0</v>
      </c>
      <c r="R2683" s="75">
        <v>0</v>
      </c>
      <c r="S2683" s="75">
        <v>0</v>
      </c>
      <c r="T2683" s="75">
        <v>0</v>
      </c>
      <c r="U2683" s="75">
        <v>0</v>
      </c>
      <c r="V2683" s="75">
        <v>1</v>
      </c>
      <c r="W2683" s="78">
        <v>0</v>
      </c>
    </row>
    <row r="2684" spans="1:23" s="75" customFormat="1" hidden="1" x14ac:dyDescent="0.35">
      <c r="A2684" s="75">
        <v>2680</v>
      </c>
      <c r="B2684" s="75">
        <v>2681</v>
      </c>
      <c r="C2684">
        <v>146.00266099999999</v>
      </c>
      <c r="D2684">
        <v>-17.498353380000001</v>
      </c>
      <c r="F2684" s="75" t="str">
        <f>HYPERLINK("E:\Data From Lucan\2024\Johnstone\Frames_for_Analysis\2681_20240610_0003_L_4857.jpg","2681_20240610_0003_L_4857.jpg")</f>
        <v>2681_20240610_0003_L_4857.jpg</v>
      </c>
      <c r="G2684" s="75">
        <v>9</v>
      </c>
      <c r="I2684">
        <f t="shared" si="41"/>
        <v>0</v>
      </c>
      <c r="J2684" s="75">
        <v>0</v>
      </c>
      <c r="K2684" s="77"/>
      <c r="L2684" s="77"/>
      <c r="M2684" s="77"/>
      <c r="N2684" s="77"/>
      <c r="O2684" s="75">
        <v>1</v>
      </c>
      <c r="P2684" s="75">
        <v>0</v>
      </c>
      <c r="Q2684" s="75">
        <v>0</v>
      </c>
      <c r="R2684" s="75">
        <v>0</v>
      </c>
      <c r="S2684" s="75">
        <v>0</v>
      </c>
      <c r="T2684" s="75">
        <v>0</v>
      </c>
      <c r="U2684" s="75">
        <v>0</v>
      </c>
      <c r="V2684" s="75">
        <v>1</v>
      </c>
      <c r="W2684" s="78">
        <v>0</v>
      </c>
    </row>
    <row r="2685" spans="1:23" s="75" customFormat="1" hidden="1" x14ac:dyDescent="0.35">
      <c r="A2685" s="75">
        <v>2681</v>
      </c>
      <c r="B2685" s="75">
        <v>2682</v>
      </c>
      <c r="C2685">
        <v>146.0026585</v>
      </c>
      <c r="D2685">
        <v>-17.498447649999999</v>
      </c>
      <c r="F2685" s="75" t="str">
        <f>HYPERLINK("E:\Data From Lucan\2024\Johnstone\Frames_for_Analysis\2682_20240610_0003_L_4864.jpg","2682_20240610_0003_L_4864.jpg")</f>
        <v>2682_20240610_0003_L_4864.jpg</v>
      </c>
      <c r="G2685" s="75">
        <v>9</v>
      </c>
      <c r="I2685">
        <f t="shared" si="41"/>
        <v>0</v>
      </c>
      <c r="J2685" s="75">
        <v>0</v>
      </c>
      <c r="K2685" s="77"/>
      <c r="L2685" s="77"/>
      <c r="M2685" s="77"/>
      <c r="N2685" s="77"/>
      <c r="O2685" s="75">
        <v>1</v>
      </c>
      <c r="P2685" s="75">
        <v>0</v>
      </c>
      <c r="Q2685" s="75">
        <v>0</v>
      </c>
      <c r="R2685" s="75">
        <v>0</v>
      </c>
      <c r="S2685" s="75">
        <v>0</v>
      </c>
      <c r="T2685" s="75">
        <v>0</v>
      </c>
      <c r="U2685" s="75">
        <v>0</v>
      </c>
      <c r="V2685" s="75">
        <v>1</v>
      </c>
      <c r="W2685" s="78">
        <v>0</v>
      </c>
    </row>
    <row r="2686" spans="1:23" s="75" customFormat="1" hidden="1" x14ac:dyDescent="0.35">
      <c r="A2686" s="75">
        <v>2682</v>
      </c>
      <c r="B2686" s="75">
        <v>2683</v>
      </c>
      <c r="C2686">
        <v>146.002656</v>
      </c>
      <c r="D2686">
        <v>-17.498541920000001</v>
      </c>
      <c r="F2686" s="75" t="str">
        <f>HYPERLINK("E:\Data From Lucan\2024\Johnstone\Frames_for_Analysis\2683_20240610_0003_L_4867.jpg","2683_20240610_0003_L_4867.jpg")</f>
        <v>2683_20240610_0003_L_4867.jpg</v>
      </c>
      <c r="G2686" s="75">
        <v>9</v>
      </c>
      <c r="I2686">
        <f t="shared" si="41"/>
        <v>0</v>
      </c>
      <c r="J2686" s="75">
        <v>0</v>
      </c>
      <c r="K2686" s="77"/>
      <c r="L2686" s="77"/>
      <c r="M2686" s="77"/>
      <c r="N2686" s="77"/>
      <c r="O2686" s="75">
        <v>1</v>
      </c>
      <c r="P2686" s="75">
        <v>0</v>
      </c>
      <c r="Q2686" s="75">
        <v>0</v>
      </c>
      <c r="R2686" s="75">
        <v>0</v>
      </c>
      <c r="S2686" s="75">
        <v>0</v>
      </c>
      <c r="T2686" s="75">
        <v>0</v>
      </c>
      <c r="U2686" s="75">
        <v>0</v>
      </c>
      <c r="V2686" s="75">
        <v>1</v>
      </c>
      <c r="W2686" s="78">
        <v>0</v>
      </c>
    </row>
    <row r="2687" spans="1:23" s="75" customFormat="1" hidden="1" x14ac:dyDescent="0.35">
      <c r="A2687" s="75">
        <v>2683</v>
      </c>
      <c r="B2687" s="75">
        <v>2684</v>
      </c>
      <c r="C2687">
        <v>146.0026536</v>
      </c>
      <c r="D2687">
        <v>-17.498636189999999</v>
      </c>
      <c r="F2687" s="75" t="str">
        <f>HYPERLINK("E:\Data From Lucan\2024\Johnstone\Frames_for_Analysis\2684_20240610_0003_L_4870.jpg","2684_20240610_0003_L_4870.jpg")</f>
        <v>2684_20240610_0003_L_4870.jpg</v>
      </c>
      <c r="G2687" s="75">
        <v>9</v>
      </c>
      <c r="I2687">
        <f t="shared" si="41"/>
        <v>0</v>
      </c>
      <c r="J2687" s="75">
        <v>0</v>
      </c>
      <c r="K2687" s="77"/>
      <c r="L2687" s="77"/>
      <c r="M2687" s="77"/>
      <c r="N2687" s="77"/>
      <c r="O2687" s="75">
        <v>1</v>
      </c>
      <c r="P2687" s="75">
        <v>0</v>
      </c>
      <c r="Q2687" s="75">
        <v>0</v>
      </c>
      <c r="R2687" s="75">
        <v>0</v>
      </c>
      <c r="S2687" s="75">
        <v>0</v>
      </c>
      <c r="T2687" s="75">
        <v>0</v>
      </c>
      <c r="U2687" s="75">
        <v>0</v>
      </c>
      <c r="V2687" s="75">
        <v>0</v>
      </c>
      <c r="W2687" s="78">
        <v>0</v>
      </c>
    </row>
    <row r="2688" spans="1:23" s="75" customFormat="1" hidden="1" x14ac:dyDescent="0.35">
      <c r="A2688" s="75">
        <v>2684</v>
      </c>
      <c r="B2688" s="75">
        <v>2685</v>
      </c>
      <c r="C2688">
        <v>146.00265110000001</v>
      </c>
      <c r="D2688">
        <v>-17.498730460000001</v>
      </c>
      <c r="F2688" s="75" t="str">
        <f>HYPERLINK("E:\Data From Lucan\2024\Johnstone\Frames_for_Analysis\2685_20240610_0003_L_4872.jpg","2685_20240610_0003_L_4872.jpg")</f>
        <v>2685_20240610_0003_L_4872.jpg</v>
      </c>
      <c r="G2688" s="75">
        <v>9</v>
      </c>
      <c r="I2688">
        <f t="shared" si="41"/>
        <v>0</v>
      </c>
      <c r="J2688" s="75">
        <v>0</v>
      </c>
      <c r="K2688" s="77"/>
      <c r="L2688" s="77"/>
      <c r="M2688" s="77"/>
      <c r="N2688" s="77"/>
      <c r="O2688" s="75">
        <v>1</v>
      </c>
      <c r="P2688" s="75">
        <v>0</v>
      </c>
      <c r="Q2688" s="75">
        <v>0</v>
      </c>
      <c r="R2688" s="75">
        <v>0</v>
      </c>
      <c r="S2688" s="75">
        <v>0</v>
      </c>
      <c r="T2688" s="75">
        <v>0</v>
      </c>
      <c r="U2688" s="75">
        <v>0</v>
      </c>
      <c r="V2688" s="75">
        <v>0</v>
      </c>
      <c r="W2688" s="78">
        <v>0</v>
      </c>
    </row>
    <row r="2689" spans="1:23" s="75" customFormat="1" hidden="1" x14ac:dyDescent="0.35">
      <c r="A2689" s="75">
        <v>2685</v>
      </c>
      <c r="B2689" s="75">
        <v>2686</v>
      </c>
      <c r="C2689">
        <v>146.00264859999999</v>
      </c>
      <c r="D2689">
        <v>-17.498824729999999</v>
      </c>
      <c r="F2689" s="75" t="str">
        <f>HYPERLINK("E:\Data From Lucan\2024\Johnstone\Frames_for_Analysis\2686_20240610_0003_L_4875.jpg","2686_20240610_0003_L_4875.jpg")</f>
        <v>2686_20240610_0003_L_4875.jpg</v>
      </c>
      <c r="G2689" s="75">
        <v>9</v>
      </c>
      <c r="I2689">
        <f t="shared" si="41"/>
        <v>0</v>
      </c>
      <c r="J2689" s="75">
        <v>0</v>
      </c>
      <c r="K2689" s="77"/>
      <c r="L2689" s="77"/>
      <c r="M2689" s="77"/>
      <c r="N2689" s="77"/>
      <c r="O2689" s="75">
        <v>1</v>
      </c>
      <c r="P2689" s="75">
        <v>0</v>
      </c>
      <c r="Q2689" s="75">
        <v>0</v>
      </c>
      <c r="R2689" s="75">
        <v>0</v>
      </c>
      <c r="S2689" s="75">
        <v>0</v>
      </c>
      <c r="T2689" s="75">
        <v>0</v>
      </c>
      <c r="U2689" s="75">
        <v>0</v>
      </c>
      <c r="V2689" s="75">
        <v>1</v>
      </c>
      <c r="W2689" s="78">
        <v>0</v>
      </c>
    </row>
    <row r="2690" spans="1:23" s="75" customFormat="1" hidden="1" x14ac:dyDescent="0.35">
      <c r="A2690" s="75">
        <v>2686</v>
      </c>
      <c r="B2690" s="75">
        <v>2687</v>
      </c>
      <c r="C2690">
        <v>146.00264609999999</v>
      </c>
      <c r="D2690">
        <v>-17.498919000000001</v>
      </c>
      <c r="F2690" s="75" t="str">
        <f>HYPERLINK("E:\Data From Lucan\2024\Johnstone\Frames_for_Analysis\2687_20240610_0003_L_4880.jpg","2687_20240610_0003_L_4880.jpg")</f>
        <v>2687_20240610_0003_L_4880.jpg</v>
      </c>
      <c r="G2690" s="75">
        <v>9</v>
      </c>
      <c r="I2690">
        <f t="shared" si="41"/>
        <v>0</v>
      </c>
      <c r="J2690" s="75">
        <v>0</v>
      </c>
      <c r="K2690" s="77"/>
      <c r="L2690" s="77"/>
      <c r="M2690" s="77"/>
      <c r="N2690" s="77"/>
      <c r="O2690" s="75">
        <v>1</v>
      </c>
      <c r="P2690" s="75">
        <v>0</v>
      </c>
      <c r="Q2690" s="75">
        <v>0</v>
      </c>
      <c r="R2690" s="75">
        <v>0</v>
      </c>
      <c r="S2690" s="75">
        <v>0</v>
      </c>
      <c r="T2690" s="75">
        <v>0</v>
      </c>
      <c r="U2690" s="75">
        <v>0</v>
      </c>
      <c r="V2690" s="75">
        <v>0</v>
      </c>
      <c r="W2690" s="78">
        <v>0</v>
      </c>
    </row>
    <row r="2691" spans="1:23" s="75" customFormat="1" hidden="1" x14ac:dyDescent="0.35">
      <c r="A2691" s="75">
        <v>2687</v>
      </c>
      <c r="B2691" s="75">
        <v>2688</v>
      </c>
      <c r="C2691">
        <v>146.00264369999999</v>
      </c>
      <c r="D2691">
        <v>-17.499013269999999</v>
      </c>
      <c r="F2691" s="75" t="str">
        <f>HYPERLINK("E:\Data From Lucan\2024\Johnstone\Frames_for_Analysis\2688_20240610_0003_L_4883.jpg","2688_20240610_0003_L_4883.jpg")</f>
        <v>2688_20240610_0003_L_4883.jpg</v>
      </c>
      <c r="G2691" s="75">
        <v>9</v>
      </c>
      <c r="I2691">
        <f t="shared" si="41"/>
        <v>0</v>
      </c>
      <c r="J2691" s="75">
        <v>0</v>
      </c>
      <c r="K2691" s="77"/>
      <c r="L2691" s="77"/>
      <c r="M2691" s="77"/>
      <c r="N2691" s="77"/>
      <c r="O2691" s="75">
        <v>1</v>
      </c>
      <c r="P2691" s="75">
        <v>0</v>
      </c>
      <c r="Q2691" s="75">
        <v>0</v>
      </c>
      <c r="R2691" s="75">
        <v>0</v>
      </c>
      <c r="S2691" s="75">
        <v>0</v>
      </c>
      <c r="T2691" s="75">
        <v>0</v>
      </c>
      <c r="U2691" s="75">
        <v>0</v>
      </c>
      <c r="V2691" s="75">
        <v>0</v>
      </c>
      <c r="W2691" s="78">
        <v>0</v>
      </c>
    </row>
    <row r="2692" spans="1:23" s="75" customFormat="1" hidden="1" x14ac:dyDescent="0.35">
      <c r="A2692" s="75">
        <v>2688</v>
      </c>
      <c r="B2692" s="75">
        <v>2689</v>
      </c>
      <c r="C2692">
        <v>146.0026412</v>
      </c>
      <c r="D2692">
        <v>-17.499107550000002</v>
      </c>
      <c r="F2692" s="75" t="str">
        <f>HYPERLINK("E:\Data From Lucan\2024\Johnstone\Frames_for_Analysis\2689_20240610_0003_L_4887.jpg","2689_20240610_0003_L_4887.jpg")</f>
        <v>2689_20240610_0003_L_4887.jpg</v>
      </c>
      <c r="G2692" s="75">
        <v>9</v>
      </c>
      <c r="I2692">
        <f t="shared" si="41"/>
        <v>0</v>
      </c>
      <c r="J2692" s="75">
        <v>0</v>
      </c>
      <c r="K2692" s="77"/>
      <c r="L2692" s="77"/>
      <c r="M2692" s="77"/>
      <c r="N2692" s="77"/>
      <c r="O2692" s="75">
        <v>1</v>
      </c>
      <c r="P2692" s="75">
        <v>0</v>
      </c>
      <c r="Q2692" s="75">
        <v>0</v>
      </c>
      <c r="R2692" s="75">
        <v>0</v>
      </c>
      <c r="S2692" s="75">
        <v>0</v>
      </c>
      <c r="T2692" s="75">
        <v>0</v>
      </c>
      <c r="U2692" s="75">
        <v>0</v>
      </c>
      <c r="V2692" s="75">
        <v>0</v>
      </c>
      <c r="W2692" s="78">
        <v>0</v>
      </c>
    </row>
    <row r="2693" spans="1:23" s="75" customFormat="1" hidden="1" x14ac:dyDescent="0.35">
      <c r="A2693" s="75">
        <v>2689</v>
      </c>
      <c r="B2693" s="75">
        <v>2690</v>
      </c>
      <c r="C2693">
        <v>146.00263870000001</v>
      </c>
      <c r="D2693">
        <v>-17.49920182</v>
      </c>
      <c r="F2693" s="75" t="str">
        <f>HYPERLINK("E:\Data From Lucan\2024\Johnstone\Frames_for_Analysis\2690_20240610_0003_L_4888.jpg","2690_20240610_0003_L_4888.jpg")</f>
        <v>2690_20240610_0003_L_4888.jpg</v>
      </c>
      <c r="G2693" s="75">
        <v>9</v>
      </c>
      <c r="I2693">
        <f t="shared" ref="I2693:I2756" si="42">IF(H2693="X","X",IF(J2693="NA","X",IF(J2693="","X",J2693)))</f>
        <v>0</v>
      </c>
      <c r="J2693" s="75">
        <v>0</v>
      </c>
      <c r="K2693" s="77"/>
      <c r="L2693" s="77"/>
      <c r="M2693" s="77"/>
      <c r="N2693" s="77"/>
      <c r="O2693" s="75">
        <v>1</v>
      </c>
      <c r="P2693" s="75">
        <v>0</v>
      </c>
      <c r="Q2693" s="75">
        <v>0</v>
      </c>
      <c r="R2693" s="75">
        <v>0</v>
      </c>
      <c r="S2693" s="75">
        <v>0</v>
      </c>
      <c r="T2693" s="75">
        <v>0</v>
      </c>
      <c r="U2693" s="75">
        <v>0</v>
      </c>
      <c r="V2693" s="75">
        <v>0</v>
      </c>
      <c r="W2693" s="78">
        <v>0</v>
      </c>
    </row>
    <row r="2694" spans="1:23" s="75" customFormat="1" hidden="1" x14ac:dyDescent="0.35">
      <c r="A2694" s="75">
        <v>2690</v>
      </c>
      <c r="B2694" s="75">
        <v>2691</v>
      </c>
      <c r="C2694">
        <v>146.00263620000001</v>
      </c>
      <c r="D2694">
        <v>-17.499296090000001</v>
      </c>
      <c r="F2694" s="75" t="str">
        <f>HYPERLINK("E:\Data From Lucan\2024\Johnstone\Frames_for_Analysis\2691_20240610_0003_L_4894.jpg","2691_20240610_0003_L_4894.jpg")</f>
        <v>2691_20240610_0003_L_4894.jpg</v>
      </c>
      <c r="G2694" s="75">
        <v>9</v>
      </c>
      <c r="I2694">
        <f t="shared" si="42"/>
        <v>0</v>
      </c>
      <c r="J2694" s="75">
        <v>0</v>
      </c>
      <c r="K2694" s="77"/>
      <c r="L2694" s="77"/>
      <c r="M2694" s="77"/>
      <c r="N2694" s="77"/>
      <c r="O2694" s="75">
        <v>1</v>
      </c>
      <c r="P2694" s="75">
        <v>0</v>
      </c>
      <c r="Q2694" s="75">
        <v>0</v>
      </c>
      <c r="R2694" s="75">
        <v>0</v>
      </c>
      <c r="S2694" s="75">
        <v>0</v>
      </c>
      <c r="T2694" s="75">
        <v>0</v>
      </c>
      <c r="U2694" s="75">
        <v>0</v>
      </c>
      <c r="V2694" s="75">
        <v>0</v>
      </c>
      <c r="W2694" s="78">
        <v>0</v>
      </c>
    </row>
    <row r="2695" spans="1:23" s="75" customFormat="1" hidden="1" x14ac:dyDescent="0.35">
      <c r="A2695" s="75">
        <v>2691</v>
      </c>
      <c r="B2695" s="75">
        <v>2692</v>
      </c>
      <c r="C2695">
        <v>146.00263380000001</v>
      </c>
      <c r="D2695">
        <v>-17.49939036</v>
      </c>
      <c r="F2695" s="75" t="str">
        <f>HYPERLINK("E:\Data From Lucan\2024\Johnstone\Frames_for_Analysis\2692_20240610_0003_L_4898.jpg","2692_20240610_0003_L_4898.jpg")</f>
        <v>2692_20240610_0003_L_4898.jpg</v>
      </c>
      <c r="G2695" s="75">
        <v>9</v>
      </c>
      <c r="I2695">
        <f t="shared" si="42"/>
        <v>0</v>
      </c>
      <c r="J2695" s="75">
        <v>0</v>
      </c>
      <c r="K2695" s="77"/>
      <c r="L2695" s="77"/>
      <c r="M2695" s="77"/>
      <c r="N2695" s="77"/>
      <c r="O2695" s="75">
        <v>1</v>
      </c>
      <c r="P2695" s="75">
        <v>0</v>
      </c>
      <c r="Q2695" s="75">
        <v>0</v>
      </c>
      <c r="R2695" s="75">
        <v>0</v>
      </c>
      <c r="S2695" s="75">
        <v>0</v>
      </c>
      <c r="T2695" s="75">
        <v>0</v>
      </c>
      <c r="U2695" s="75">
        <v>0</v>
      </c>
      <c r="V2695" s="75">
        <v>0</v>
      </c>
      <c r="W2695" s="78">
        <v>0</v>
      </c>
    </row>
    <row r="2696" spans="1:23" s="75" customFormat="1" hidden="1" x14ac:dyDescent="0.35">
      <c r="A2696" s="75">
        <v>2692</v>
      </c>
      <c r="B2696" s="75">
        <v>2693</v>
      </c>
      <c r="C2696">
        <v>146.00263129999999</v>
      </c>
      <c r="D2696">
        <v>-17.499484630000001</v>
      </c>
      <c r="F2696" s="75" t="str">
        <f>HYPERLINK("E:\Data From Lucan\2024\Johnstone\Frames_for_Analysis\2693_20240610_0003_L_4901.jpg","2693_20240610_0003_L_4901.jpg")</f>
        <v>2693_20240610_0003_L_4901.jpg</v>
      </c>
      <c r="G2696" s="75">
        <v>9</v>
      </c>
      <c r="I2696">
        <f t="shared" si="42"/>
        <v>0</v>
      </c>
      <c r="J2696" s="75">
        <v>0</v>
      </c>
      <c r="K2696" s="77"/>
      <c r="L2696" s="77"/>
      <c r="M2696" s="77"/>
      <c r="N2696" s="77"/>
      <c r="O2696" s="75">
        <v>1</v>
      </c>
      <c r="P2696" s="75">
        <v>0</v>
      </c>
      <c r="Q2696" s="75">
        <v>0</v>
      </c>
      <c r="R2696" s="75">
        <v>0</v>
      </c>
      <c r="S2696" s="75">
        <v>0</v>
      </c>
      <c r="T2696" s="75">
        <v>0</v>
      </c>
      <c r="U2696" s="75">
        <v>0</v>
      </c>
      <c r="V2696" s="75">
        <v>0</v>
      </c>
      <c r="W2696" s="78">
        <v>0</v>
      </c>
    </row>
    <row r="2697" spans="1:23" s="75" customFormat="1" hidden="1" x14ac:dyDescent="0.35">
      <c r="A2697" s="75">
        <v>2693</v>
      </c>
      <c r="B2697" s="75">
        <v>2694</v>
      </c>
      <c r="C2697">
        <v>146.0026288</v>
      </c>
      <c r="D2697">
        <v>-17.499578899999999</v>
      </c>
      <c r="F2697" s="75" t="str">
        <f>HYPERLINK("E:\Data From Lucan\2024\Johnstone\Frames_for_Analysis\2694_20240610_0003_L_4906.jpg","2694_20240610_0003_L_4906.jpg")</f>
        <v>2694_20240610_0003_L_4906.jpg</v>
      </c>
      <c r="G2697" s="75">
        <v>9</v>
      </c>
      <c r="I2697">
        <f t="shared" si="42"/>
        <v>0</v>
      </c>
      <c r="J2697" s="75">
        <v>0</v>
      </c>
      <c r="K2697" s="77"/>
      <c r="L2697" s="77"/>
      <c r="M2697" s="77"/>
      <c r="N2697" s="77"/>
      <c r="O2697" s="75">
        <v>1</v>
      </c>
      <c r="P2697" s="75">
        <v>0</v>
      </c>
      <c r="Q2697" s="75">
        <v>0</v>
      </c>
      <c r="R2697" s="75">
        <v>0</v>
      </c>
      <c r="S2697" s="75">
        <v>0</v>
      </c>
      <c r="T2697" s="75">
        <v>0</v>
      </c>
      <c r="U2697" s="75">
        <v>0</v>
      </c>
      <c r="V2697" s="75">
        <v>1</v>
      </c>
      <c r="W2697" s="78">
        <v>0</v>
      </c>
    </row>
    <row r="2698" spans="1:23" s="75" customFormat="1" hidden="1" x14ac:dyDescent="0.35">
      <c r="A2698" s="75">
        <v>2694</v>
      </c>
      <c r="B2698" s="75">
        <v>2695</v>
      </c>
      <c r="C2698">
        <v>146.0026263</v>
      </c>
      <c r="D2698">
        <v>-17.499673170000001</v>
      </c>
      <c r="F2698" s="75" t="str">
        <f>HYPERLINK("E:\Data From Lucan\2024\Johnstone\Frames_for_Analysis\2695_20240610_0003_L_4914.jpg","2695_20240610_0003_L_4914.jpg")</f>
        <v>2695_20240610_0003_L_4914.jpg</v>
      </c>
      <c r="G2698" s="75">
        <v>9</v>
      </c>
      <c r="I2698">
        <f t="shared" si="42"/>
        <v>0</v>
      </c>
      <c r="J2698" s="75">
        <v>0</v>
      </c>
      <c r="K2698" s="77"/>
      <c r="L2698" s="77"/>
      <c r="M2698" s="77"/>
      <c r="N2698" s="77"/>
      <c r="O2698" s="75">
        <v>1</v>
      </c>
      <c r="P2698" s="75">
        <v>0</v>
      </c>
      <c r="Q2698" s="75">
        <v>0</v>
      </c>
      <c r="R2698" s="75">
        <v>0</v>
      </c>
      <c r="S2698" s="75">
        <v>0</v>
      </c>
      <c r="T2698" s="75">
        <v>0</v>
      </c>
      <c r="U2698" s="75">
        <v>0</v>
      </c>
      <c r="V2698" s="75">
        <v>1</v>
      </c>
      <c r="W2698" s="78">
        <v>0</v>
      </c>
    </row>
    <row r="2699" spans="1:23" s="75" customFormat="1" hidden="1" x14ac:dyDescent="0.35">
      <c r="A2699" s="75">
        <v>2695</v>
      </c>
      <c r="B2699" s="75">
        <v>2696</v>
      </c>
      <c r="C2699">
        <v>146.0026239</v>
      </c>
      <c r="D2699">
        <v>-17.499767439999999</v>
      </c>
      <c r="F2699" s="75" t="str">
        <f>HYPERLINK("E:\Data From Lucan\2024\Johnstone\Frames_for_Analysis\2696_20240610_0003_L_4918.jpg","2696_20240610_0003_L_4918.jpg")</f>
        <v>2696_20240610_0003_L_4918.jpg</v>
      </c>
      <c r="G2699" s="75">
        <v>9</v>
      </c>
      <c r="I2699">
        <f t="shared" si="42"/>
        <v>0</v>
      </c>
      <c r="J2699" s="75">
        <v>0</v>
      </c>
      <c r="K2699" s="77"/>
      <c r="L2699" s="77"/>
      <c r="M2699" s="77"/>
      <c r="N2699" s="77"/>
      <c r="O2699" s="75">
        <v>1</v>
      </c>
      <c r="P2699" s="75">
        <v>0</v>
      </c>
      <c r="Q2699" s="75">
        <v>0</v>
      </c>
      <c r="R2699" s="75">
        <v>0</v>
      </c>
      <c r="S2699" s="75">
        <v>0</v>
      </c>
      <c r="T2699" s="75">
        <v>0</v>
      </c>
      <c r="U2699" s="75">
        <v>0</v>
      </c>
      <c r="V2699" s="75">
        <v>0</v>
      </c>
      <c r="W2699" s="78">
        <v>0</v>
      </c>
    </row>
    <row r="2700" spans="1:23" s="75" customFormat="1" hidden="1" x14ac:dyDescent="0.35">
      <c r="A2700" s="75">
        <v>2696</v>
      </c>
      <c r="B2700" s="75">
        <v>2697</v>
      </c>
      <c r="C2700">
        <v>146.00262140000001</v>
      </c>
      <c r="D2700">
        <v>-17.499861710000001</v>
      </c>
      <c r="F2700" s="75" t="str">
        <f>HYPERLINK("E:\Data From Lucan\2024\Johnstone\Frames_for_Analysis\2697_20240610_0003_L_4921.jpg","2697_20240610_0003_L_4921.jpg")</f>
        <v>2697_20240610_0003_L_4921.jpg</v>
      </c>
      <c r="G2700" s="75">
        <v>9</v>
      </c>
      <c r="I2700">
        <f t="shared" si="42"/>
        <v>0</v>
      </c>
      <c r="J2700" s="75">
        <v>0</v>
      </c>
      <c r="K2700" s="77"/>
      <c r="L2700" s="77"/>
      <c r="M2700" s="77"/>
      <c r="N2700" s="77"/>
      <c r="O2700" s="75">
        <v>1</v>
      </c>
      <c r="P2700" s="75">
        <v>0</v>
      </c>
      <c r="Q2700" s="75">
        <v>0</v>
      </c>
      <c r="R2700" s="75">
        <v>0</v>
      </c>
      <c r="S2700" s="75">
        <v>0</v>
      </c>
      <c r="T2700" s="75">
        <v>0</v>
      </c>
      <c r="U2700" s="75">
        <v>0</v>
      </c>
      <c r="V2700" s="75">
        <v>0</v>
      </c>
      <c r="W2700" s="78">
        <v>0</v>
      </c>
    </row>
    <row r="2701" spans="1:23" s="75" customFormat="1" hidden="1" x14ac:dyDescent="0.35">
      <c r="A2701" s="75">
        <v>2697</v>
      </c>
      <c r="B2701" s="75">
        <v>2698</v>
      </c>
      <c r="C2701">
        <v>146.00261889999999</v>
      </c>
      <c r="D2701">
        <v>-17.499955979999999</v>
      </c>
      <c r="F2701" s="75" t="str">
        <f>HYPERLINK("E:\Data From Lucan\2024\Johnstone\Frames_for_Analysis\2698_20240610_0003_L_4923.jpg","2698_20240610_0003_L_4923.jpg")</f>
        <v>2698_20240610_0003_L_4923.jpg</v>
      </c>
      <c r="G2701" s="75">
        <v>9</v>
      </c>
      <c r="I2701">
        <f t="shared" si="42"/>
        <v>0</v>
      </c>
      <c r="J2701" s="75">
        <v>0</v>
      </c>
      <c r="K2701" s="77"/>
      <c r="L2701" s="77"/>
      <c r="M2701" s="77"/>
      <c r="N2701" s="77"/>
      <c r="O2701" s="75">
        <v>1</v>
      </c>
      <c r="P2701" s="75">
        <v>0</v>
      </c>
      <c r="Q2701" s="75">
        <v>0</v>
      </c>
      <c r="R2701" s="75">
        <v>0</v>
      </c>
      <c r="S2701" s="75">
        <v>0</v>
      </c>
      <c r="T2701" s="75">
        <v>0</v>
      </c>
      <c r="U2701" s="75">
        <v>0</v>
      </c>
      <c r="V2701" s="75">
        <v>0</v>
      </c>
      <c r="W2701" s="78">
        <v>0</v>
      </c>
    </row>
    <row r="2702" spans="1:23" s="75" customFormat="1" hidden="1" x14ac:dyDescent="0.35">
      <c r="A2702" s="75">
        <v>2698</v>
      </c>
      <c r="B2702" s="75">
        <v>2699</v>
      </c>
      <c r="C2702">
        <v>146.00261639999999</v>
      </c>
      <c r="D2702">
        <v>-17.500050259999998</v>
      </c>
      <c r="F2702" s="75" t="str">
        <f>HYPERLINK("E:\Data From Lucan\2024\Johnstone\Frames_for_Analysis\2699_20240610_0003_L_4925.jpg","2699_20240610_0003_L_4925.jpg")</f>
        <v>2699_20240610_0003_L_4925.jpg</v>
      </c>
      <c r="G2702" s="75">
        <v>9</v>
      </c>
      <c r="I2702">
        <f t="shared" si="42"/>
        <v>0</v>
      </c>
      <c r="J2702" s="75">
        <v>0</v>
      </c>
      <c r="K2702" s="77"/>
      <c r="L2702" s="77"/>
      <c r="M2702" s="77"/>
      <c r="N2702" s="77"/>
      <c r="O2702" s="75">
        <v>1</v>
      </c>
      <c r="P2702" s="75">
        <v>0</v>
      </c>
      <c r="Q2702" s="75">
        <v>0</v>
      </c>
      <c r="R2702" s="75">
        <v>0</v>
      </c>
      <c r="S2702" s="75">
        <v>0</v>
      </c>
      <c r="T2702" s="75">
        <v>0</v>
      </c>
      <c r="U2702" s="75">
        <v>0</v>
      </c>
      <c r="V2702" s="75">
        <v>0</v>
      </c>
      <c r="W2702" s="78">
        <v>0</v>
      </c>
    </row>
    <row r="2703" spans="1:23" s="75" customFormat="1" hidden="1" x14ac:dyDescent="0.35">
      <c r="A2703" s="75">
        <v>2699</v>
      </c>
      <c r="B2703" s="75">
        <v>2700</v>
      </c>
      <c r="C2703">
        <v>146.00261399999999</v>
      </c>
      <c r="D2703">
        <v>-17.50014453</v>
      </c>
      <c r="F2703" s="75" t="str">
        <f>HYPERLINK("E:\Data From Lucan\2024\Johnstone\Frames_for_Analysis\2700_20240610_0003_L_4929.jpg","2700_20240610_0003_L_4929.jpg")</f>
        <v>2700_20240610_0003_L_4929.jpg</v>
      </c>
      <c r="G2703" s="75">
        <v>9</v>
      </c>
      <c r="I2703">
        <f t="shared" si="42"/>
        <v>0</v>
      </c>
      <c r="J2703" s="75">
        <v>0</v>
      </c>
      <c r="K2703" s="77"/>
      <c r="L2703" s="77"/>
      <c r="M2703" s="77"/>
      <c r="N2703" s="77"/>
      <c r="O2703" s="75">
        <v>1</v>
      </c>
      <c r="P2703" s="75">
        <v>0</v>
      </c>
      <c r="Q2703" s="75">
        <v>0</v>
      </c>
      <c r="R2703" s="75">
        <v>0</v>
      </c>
      <c r="S2703" s="75">
        <v>0</v>
      </c>
      <c r="T2703" s="75">
        <v>0</v>
      </c>
      <c r="U2703" s="75">
        <v>0</v>
      </c>
      <c r="V2703" s="75">
        <v>0</v>
      </c>
      <c r="W2703" s="78">
        <v>0</v>
      </c>
    </row>
    <row r="2704" spans="1:23" s="75" customFormat="1" hidden="1" x14ac:dyDescent="0.35">
      <c r="A2704" s="75">
        <v>2700</v>
      </c>
      <c r="B2704" s="75">
        <v>2701</v>
      </c>
      <c r="C2704">
        <v>146.0026115</v>
      </c>
      <c r="D2704">
        <v>-17.500238800000002</v>
      </c>
      <c r="F2704" s="75" t="str">
        <f>HYPERLINK("E:\Data From Lucan\2024\Johnstone\Frames_for_Analysis\2701_20240610_0003_L_4931.jpg","2701_20240610_0003_L_4931.jpg")</f>
        <v>2701_20240610_0003_L_4931.jpg</v>
      </c>
      <c r="G2704" s="75">
        <v>9</v>
      </c>
      <c r="I2704">
        <f t="shared" si="42"/>
        <v>0</v>
      </c>
      <c r="J2704" s="75">
        <v>0</v>
      </c>
      <c r="K2704" s="77"/>
      <c r="L2704" s="77"/>
      <c r="M2704" s="77"/>
      <c r="N2704" s="77"/>
      <c r="O2704" s="75">
        <v>1</v>
      </c>
      <c r="P2704" s="75">
        <v>0</v>
      </c>
      <c r="Q2704" s="75">
        <v>0</v>
      </c>
      <c r="R2704" s="75">
        <v>0</v>
      </c>
      <c r="S2704" s="75">
        <v>0</v>
      </c>
      <c r="T2704" s="75">
        <v>0</v>
      </c>
      <c r="U2704" s="75">
        <v>0</v>
      </c>
      <c r="V2704" s="75">
        <v>0</v>
      </c>
      <c r="W2704" s="78">
        <v>0</v>
      </c>
    </row>
    <row r="2705" spans="1:23" s="75" customFormat="1" hidden="1" x14ac:dyDescent="0.35">
      <c r="A2705" s="75">
        <v>2701</v>
      </c>
      <c r="B2705" s="75">
        <v>2702</v>
      </c>
      <c r="C2705">
        <v>146.00260900000001</v>
      </c>
      <c r="D2705">
        <v>-17.50033307</v>
      </c>
      <c r="F2705" s="75" t="str">
        <f>HYPERLINK("E:\Data From Lucan\2024\Johnstone\Frames_for_Analysis\2702_20240610_0003_L_4935.jpg","2702_20240610_0003_L_4935.jpg")</f>
        <v>2702_20240610_0003_L_4935.jpg</v>
      </c>
      <c r="G2705" s="75">
        <v>9</v>
      </c>
      <c r="I2705">
        <f t="shared" si="42"/>
        <v>0</v>
      </c>
      <c r="J2705" s="75">
        <v>0</v>
      </c>
      <c r="K2705" s="77"/>
      <c r="L2705" s="77"/>
      <c r="M2705" s="77"/>
      <c r="N2705" s="77"/>
      <c r="O2705" s="75">
        <v>1</v>
      </c>
      <c r="P2705" s="75">
        <v>0</v>
      </c>
      <c r="Q2705" s="75">
        <v>0</v>
      </c>
      <c r="R2705" s="75">
        <v>0</v>
      </c>
      <c r="S2705" s="75">
        <v>0</v>
      </c>
      <c r="T2705" s="75">
        <v>0</v>
      </c>
      <c r="U2705" s="75">
        <v>0</v>
      </c>
      <c r="V2705" s="75">
        <v>0</v>
      </c>
      <c r="W2705" s="78">
        <v>0</v>
      </c>
    </row>
    <row r="2706" spans="1:23" s="75" customFormat="1" hidden="1" x14ac:dyDescent="0.35">
      <c r="A2706" s="75">
        <v>2702</v>
      </c>
      <c r="B2706" s="75">
        <v>2703</v>
      </c>
      <c r="C2706">
        <v>146.00260650000001</v>
      </c>
      <c r="D2706">
        <v>-17.500427340000002</v>
      </c>
      <c r="F2706" s="75" t="str">
        <f>HYPERLINK("E:\Data From Lucan\2024\Johnstone\Frames_for_Analysis\2703_20240610_0003_L_4939.jpg","2703_20240610_0003_L_4939.jpg")</f>
        <v>2703_20240610_0003_L_4939.jpg</v>
      </c>
      <c r="G2706" s="75">
        <v>9</v>
      </c>
      <c r="I2706">
        <f t="shared" si="42"/>
        <v>0</v>
      </c>
      <c r="J2706" s="75">
        <v>0</v>
      </c>
      <c r="K2706" s="77"/>
      <c r="L2706" s="77"/>
      <c r="M2706" s="77"/>
      <c r="N2706" s="77"/>
      <c r="O2706" s="75">
        <v>1</v>
      </c>
      <c r="P2706" s="75">
        <v>0</v>
      </c>
      <c r="Q2706" s="75">
        <v>0</v>
      </c>
      <c r="R2706" s="75">
        <v>0</v>
      </c>
      <c r="S2706" s="75">
        <v>0</v>
      </c>
      <c r="T2706" s="75">
        <v>0</v>
      </c>
      <c r="U2706" s="75">
        <v>0</v>
      </c>
      <c r="V2706" s="75">
        <v>1</v>
      </c>
      <c r="W2706" s="78">
        <v>0</v>
      </c>
    </row>
    <row r="2707" spans="1:23" s="75" customFormat="1" hidden="1" x14ac:dyDescent="0.35">
      <c r="A2707" s="75">
        <v>2703</v>
      </c>
      <c r="B2707" s="75">
        <v>2704</v>
      </c>
      <c r="C2707">
        <v>146.00260410000001</v>
      </c>
      <c r="D2707">
        <v>-17.50052161</v>
      </c>
      <c r="G2707" s="75">
        <v>9</v>
      </c>
      <c r="H2707" s="75" t="s">
        <v>26</v>
      </c>
      <c r="I2707" t="str">
        <f t="shared" si="42"/>
        <v>X</v>
      </c>
      <c r="K2707" s="77"/>
      <c r="L2707" s="77"/>
      <c r="M2707" s="77"/>
      <c r="N2707" s="77"/>
      <c r="W2707" s="78"/>
    </row>
    <row r="2708" spans="1:23" s="75" customFormat="1" hidden="1" x14ac:dyDescent="0.35">
      <c r="A2708" s="75">
        <v>2704</v>
      </c>
      <c r="B2708" s="75">
        <v>2705</v>
      </c>
      <c r="C2708">
        <v>146.00260159999999</v>
      </c>
      <c r="D2708">
        <v>-17.500615880000002</v>
      </c>
      <c r="F2708" s="75" t="str">
        <f>HYPERLINK("E:\Data From Lucan\2024\Johnstone\Frames_for_Analysis\2705_20240610_0003_L_4945.jpg","2705_20240610_0003_L_4945.jpg")</f>
        <v>2705_20240610_0003_L_4945.jpg</v>
      </c>
      <c r="G2708" s="75">
        <v>9</v>
      </c>
      <c r="I2708">
        <f t="shared" si="42"/>
        <v>0</v>
      </c>
      <c r="J2708" s="75">
        <v>0</v>
      </c>
      <c r="K2708" s="77"/>
      <c r="L2708" s="77"/>
      <c r="M2708" s="77"/>
      <c r="N2708" s="77"/>
      <c r="O2708" s="75">
        <v>1</v>
      </c>
      <c r="P2708" s="75">
        <v>0</v>
      </c>
      <c r="Q2708" s="75">
        <v>0</v>
      </c>
      <c r="R2708" s="75">
        <v>0</v>
      </c>
      <c r="S2708" s="75">
        <v>0</v>
      </c>
      <c r="T2708" s="75">
        <v>0</v>
      </c>
      <c r="U2708" s="75">
        <v>0</v>
      </c>
      <c r="V2708" s="75">
        <v>0</v>
      </c>
      <c r="W2708" s="78">
        <v>0</v>
      </c>
    </row>
    <row r="2709" spans="1:23" s="75" customFormat="1" hidden="1" x14ac:dyDescent="0.35">
      <c r="A2709" s="75">
        <v>2705</v>
      </c>
      <c r="B2709" s="75">
        <v>2706</v>
      </c>
      <c r="C2709">
        <v>146.0025991</v>
      </c>
      <c r="D2709">
        <v>-17.50071015</v>
      </c>
      <c r="F2709" s="75" t="str">
        <f>HYPERLINK("E:\Data From Lucan\2024\Johnstone\Frames_for_Analysis\2706_20240610_0003_L_4947.jpg","2706_20240610_0003_L_4947.jpg")</f>
        <v>2706_20240610_0003_L_4947.jpg</v>
      </c>
      <c r="G2709" s="75">
        <v>9</v>
      </c>
      <c r="I2709">
        <f t="shared" si="42"/>
        <v>0</v>
      </c>
      <c r="J2709" s="75">
        <v>0</v>
      </c>
      <c r="K2709" s="77"/>
      <c r="L2709" s="77"/>
      <c r="M2709" s="77"/>
      <c r="N2709" s="77"/>
      <c r="O2709" s="75">
        <v>1</v>
      </c>
      <c r="P2709" s="75">
        <v>0</v>
      </c>
      <c r="Q2709" s="75">
        <v>0</v>
      </c>
      <c r="R2709" s="75">
        <v>0</v>
      </c>
      <c r="S2709" s="75">
        <v>0</v>
      </c>
      <c r="T2709" s="75">
        <v>0</v>
      </c>
      <c r="U2709" s="75">
        <v>0</v>
      </c>
      <c r="V2709" s="75">
        <v>1</v>
      </c>
      <c r="W2709" s="78">
        <v>0</v>
      </c>
    </row>
    <row r="2710" spans="1:23" s="75" customFormat="1" hidden="1" x14ac:dyDescent="0.35">
      <c r="A2710" s="75">
        <v>2706</v>
      </c>
      <c r="B2710" s="75">
        <v>2707</v>
      </c>
      <c r="C2710">
        <v>146.0025966</v>
      </c>
      <c r="D2710">
        <v>-17.500804429999999</v>
      </c>
      <c r="F2710" s="75" t="str">
        <f>HYPERLINK("E:\Data From Lucan\2024\Johnstone\Frames_for_Analysis\2707_20240610_0003_L_4949.jpg","2707_20240610_0003_L_4949.jpg")</f>
        <v>2707_20240610_0003_L_4949.jpg</v>
      </c>
      <c r="G2710" s="75">
        <v>9</v>
      </c>
      <c r="I2710">
        <f t="shared" si="42"/>
        <v>0</v>
      </c>
      <c r="J2710" s="75">
        <v>0</v>
      </c>
      <c r="K2710" s="77"/>
      <c r="L2710" s="77"/>
      <c r="M2710" s="77"/>
      <c r="N2710" s="77"/>
      <c r="O2710" s="75">
        <v>1</v>
      </c>
      <c r="P2710" s="75">
        <v>0</v>
      </c>
      <c r="Q2710" s="75">
        <v>0</v>
      </c>
      <c r="R2710" s="75">
        <v>0</v>
      </c>
      <c r="S2710" s="75">
        <v>0</v>
      </c>
      <c r="T2710" s="75">
        <v>0</v>
      </c>
      <c r="U2710" s="75">
        <v>0</v>
      </c>
      <c r="V2710" s="75">
        <v>0</v>
      </c>
      <c r="W2710" s="78">
        <v>0</v>
      </c>
    </row>
    <row r="2711" spans="1:23" s="75" customFormat="1" hidden="1" x14ac:dyDescent="0.35">
      <c r="A2711" s="75">
        <v>2707</v>
      </c>
      <c r="B2711" s="75">
        <v>2708</v>
      </c>
      <c r="C2711">
        <v>146.00259750000001</v>
      </c>
      <c r="D2711">
        <v>-17.500898629999998</v>
      </c>
      <c r="F2711" s="75" t="str">
        <f>HYPERLINK("E:\Data From Lucan\2024\Johnstone\Frames_for_Analysis\2708_20240610_0003_L_4952.jpg","2708_20240610_0003_L_4952.jpg")</f>
        <v>2708_20240610_0003_L_4952.jpg</v>
      </c>
      <c r="G2711" s="75">
        <v>9</v>
      </c>
      <c r="I2711">
        <f t="shared" si="42"/>
        <v>0</v>
      </c>
      <c r="J2711" s="75">
        <v>0</v>
      </c>
      <c r="K2711" s="77"/>
      <c r="L2711" s="77"/>
      <c r="M2711" s="77"/>
      <c r="N2711" s="77"/>
      <c r="O2711" s="75">
        <v>1</v>
      </c>
      <c r="P2711" s="75">
        <v>0</v>
      </c>
      <c r="Q2711" s="75">
        <v>0</v>
      </c>
      <c r="R2711" s="75">
        <v>0</v>
      </c>
      <c r="S2711" s="75">
        <v>0</v>
      </c>
      <c r="T2711" s="75">
        <v>0</v>
      </c>
      <c r="U2711" s="75">
        <v>0</v>
      </c>
      <c r="V2711" s="75">
        <v>0</v>
      </c>
      <c r="W2711" s="78">
        <v>0</v>
      </c>
    </row>
    <row r="2712" spans="1:23" s="75" customFormat="1" hidden="1" x14ac:dyDescent="0.35">
      <c r="A2712" s="75">
        <v>2708</v>
      </c>
      <c r="B2712" s="75">
        <v>2709</v>
      </c>
      <c r="C2712">
        <v>146.00260370000001</v>
      </c>
      <c r="D2712">
        <v>-17.500992719999999</v>
      </c>
      <c r="F2712" s="75" t="str">
        <f>HYPERLINK("E:\Data From Lucan\2024\Johnstone\Frames_for_Analysis\2709_20240610_0003_L_4955.jpg","2709_20240610_0003_L_4955.jpg")</f>
        <v>2709_20240610_0003_L_4955.jpg</v>
      </c>
      <c r="G2712" s="75">
        <v>10</v>
      </c>
      <c r="I2712">
        <f t="shared" si="42"/>
        <v>0</v>
      </c>
      <c r="J2712" s="75">
        <v>0</v>
      </c>
      <c r="K2712" s="77"/>
      <c r="L2712" s="77"/>
      <c r="M2712" s="77"/>
      <c r="N2712" s="77"/>
      <c r="O2712" s="75">
        <v>1</v>
      </c>
      <c r="P2712" s="75">
        <v>0</v>
      </c>
      <c r="Q2712" s="75">
        <v>0</v>
      </c>
      <c r="R2712" s="75">
        <v>0</v>
      </c>
      <c r="S2712" s="75">
        <v>0</v>
      </c>
      <c r="T2712" s="75">
        <v>0</v>
      </c>
      <c r="U2712" s="75">
        <v>0</v>
      </c>
      <c r="V2712" s="75">
        <v>0</v>
      </c>
      <c r="W2712" s="78">
        <v>0</v>
      </c>
    </row>
    <row r="2713" spans="1:23" s="75" customFormat="1" hidden="1" x14ac:dyDescent="0.35">
      <c r="A2713" s="75">
        <v>2709</v>
      </c>
      <c r="B2713" s="75">
        <v>2710</v>
      </c>
      <c r="C2713">
        <v>146.00261</v>
      </c>
      <c r="D2713">
        <v>-17.501086820000001</v>
      </c>
      <c r="F2713" s="75" t="str">
        <f>HYPERLINK("E:\Data From Lucan\2024\Johnstone\Frames_for_Analysis\2710_20240610_0003_L_4959.jpg","2710_20240610_0003_L_4959.jpg")</f>
        <v>2710_20240610_0003_L_4959.jpg</v>
      </c>
      <c r="G2713" s="75">
        <v>10</v>
      </c>
      <c r="I2713">
        <f t="shared" si="42"/>
        <v>0</v>
      </c>
      <c r="J2713" s="75">
        <v>0</v>
      </c>
      <c r="K2713" s="77"/>
      <c r="L2713" s="77"/>
      <c r="M2713" s="77"/>
      <c r="N2713" s="77"/>
      <c r="O2713" s="75">
        <v>1</v>
      </c>
      <c r="P2713" s="75">
        <v>0</v>
      </c>
      <c r="Q2713" s="75">
        <v>0</v>
      </c>
      <c r="R2713" s="75">
        <v>0</v>
      </c>
      <c r="S2713" s="75">
        <v>0</v>
      </c>
      <c r="T2713" s="75">
        <v>0</v>
      </c>
      <c r="U2713" s="75">
        <v>0</v>
      </c>
      <c r="V2713" s="75">
        <v>0</v>
      </c>
      <c r="W2713" s="78">
        <v>0</v>
      </c>
    </row>
    <row r="2714" spans="1:23" s="75" customFormat="1" hidden="1" x14ac:dyDescent="0.35">
      <c r="A2714" s="75">
        <v>2710</v>
      </c>
      <c r="B2714" s="75">
        <v>2711</v>
      </c>
      <c r="C2714">
        <v>146.0026163</v>
      </c>
      <c r="D2714">
        <v>-17.501180909999999</v>
      </c>
      <c r="F2714" s="75" t="str">
        <f>HYPERLINK("E:\Data From Lucan\2024\Johnstone\Frames_for_Analysis\2711_20240610_0003_L_4961.jpg","2711_20240610_0003_L_4961.jpg")</f>
        <v>2711_20240610_0003_L_4961.jpg</v>
      </c>
      <c r="G2714" s="75">
        <v>10</v>
      </c>
      <c r="I2714">
        <f t="shared" si="42"/>
        <v>0</v>
      </c>
      <c r="J2714" s="75">
        <v>0</v>
      </c>
      <c r="K2714" s="77"/>
      <c r="L2714" s="77"/>
      <c r="M2714" s="77"/>
      <c r="N2714" s="77"/>
      <c r="O2714" s="75">
        <v>1</v>
      </c>
      <c r="P2714" s="75">
        <v>0</v>
      </c>
      <c r="Q2714" s="75">
        <v>0</v>
      </c>
      <c r="R2714" s="75">
        <v>0</v>
      </c>
      <c r="S2714" s="75">
        <v>0</v>
      </c>
      <c r="T2714" s="75">
        <v>0</v>
      </c>
      <c r="U2714" s="75">
        <v>0</v>
      </c>
      <c r="V2714" s="75">
        <v>0</v>
      </c>
      <c r="W2714" s="78">
        <v>0</v>
      </c>
    </row>
    <row r="2715" spans="1:23" s="75" customFormat="1" hidden="1" x14ac:dyDescent="0.35">
      <c r="A2715" s="75">
        <v>2711</v>
      </c>
      <c r="B2715" s="75">
        <v>2712</v>
      </c>
      <c r="C2715">
        <v>146.0026226</v>
      </c>
      <c r="D2715">
        <v>-17.501275010000001</v>
      </c>
      <c r="F2715" s="75" t="str">
        <f>HYPERLINK("E:\Data From Lucan\2024\Johnstone\Frames_for_Analysis\2712_20240610_0003_L_4964.jpg","2712_20240610_0003_L_4964.jpg")</f>
        <v>2712_20240610_0003_L_4964.jpg</v>
      </c>
      <c r="G2715" s="75">
        <v>10</v>
      </c>
      <c r="I2715">
        <f t="shared" si="42"/>
        <v>0</v>
      </c>
      <c r="J2715" s="75">
        <v>0</v>
      </c>
      <c r="K2715" s="77"/>
      <c r="L2715" s="77"/>
      <c r="M2715" s="77"/>
      <c r="N2715" s="77"/>
      <c r="O2715" s="75">
        <v>1</v>
      </c>
      <c r="P2715" s="75">
        <v>0</v>
      </c>
      <c r="Q2715" s="75">
        <v>0</v>
      </c>
      <c r="R2715" s="75">
        <v>0</v>
      </c>
      <c r="S2715" s="75">
        <v>0</v>
      </c>
      <c r="T2715" s="75">
        <v>0</v>
      </c>
      <c r="U2715" s="75">
        <v>0</v>
      </c>
      <c r="V2715" s="75">
        <v>0</v>
      </c>
      <c r="W2715" s="78">
        <v>0</v>
      </c>
    </row>
    <row r="2716" spans="1:23" s="75" customFormat="1" hidden="1" x14ac:dyDescent="0.35">
      <c r="A2716" s="75">
        <v>2712</v>
      </c>
      <c r="B2716" s="75">
        <v>2713</v>
      </c>
      <c r="C2716">
        <v>146.0026264</v>
      </c>
      <c r="D2716">
        <v>-17.501369220000001</v>
      </c>
      <c r="F2716" s="75" t="str">
        <f>HYPERLINK("E:\Data From Lucan\2024\Johnstone\Frames_for_Analysis\2713_20240610_0003_L_4967.jpg","2713_20240610_0003_L_4967.jpg")</f>
        <v>2713_20240610_0003_L_4967.jpg</v>
      </c>
      <c r="G2716" s="75">
        <v>10</v>
      </c>
      <c r="I2716">
        <f t="shared" si="42"/>
        <v>0</v>
      </c>
      <c r="J2716" s="75">
        <v>0</v>
      </c>
      <c r="K2716" s="77"/>
      <c r="L2716" s="77"/>
      <c r="M2716" s="77"/>
      <c r="N2716" s="77"/>
      <c r="O2716" s="75">
        <v>1</v>
      </c>
      <c r="P2716" s="75">
        <v>0</v>
      </c>
      <c r="Q2716" s="75">
        <v>0</v>
      </c>
      <c r="R2716" s="75">
        <v>0</v>
      </c>
      <c r="S2716" s="75">
        <v>0</v>
      </c>
      <c r="T2716" s="75">
        <v>0</v>
      </c>
      <c r="U2716" s="75">
        <v>0</v>
      </c>
      <c r="V2716" s="75">
        <v>0</v>
      </c>
      <c r="W2716" s="78">
        <v>0</v>
      </c>
    </row>
    <row r="2717" spans="1:23" s="75" customFormat="1" hidden="1" x14ac:dyDescent="0.35">
      <c r="A2717" s="75">
        <v>2713</v>
      </c>
      <c r="B2717" s="75">
        <v>2714</v>
      </c>
      <c r="C2717">
        <v>146.00262910000001</v>
      </c>
      <c r="D2717">
        <v>-17.501463480000002</v>
      </c>
      <c r="F2717" s="75" t="str">
        <f>HYPERLINK("E:\Data From Lucan\2024\Johnstone\Frames_for_Analysis\2714_20240610_0003_L_4970.jpg","2714_20240610_0003_L_4970.jpg")</f>
        <v>2714_20240610_0003_L_4970.jpg</v>
      </c>
      <c r="G2717" s="75">
        <v>10</v>
      </c>
      <c r="I2717">
        <f t="shared" si="42"/>
        <v>0</v>
      </c>
      <c r="J2717" s="75">
        <v>0</v>
      </c>
      <c r="K2717" s="77"/>
      <c r="L2717" s="77"/>
      <c r="M2717" s="77"/>
      <c r="N2717" s="77"/>
      <c r="O2717" s="75">
        <v>1</v>
      </c>
      <c r="P2717" s="75">
        <v>0</v>
      </c>
      <c r="Q2717" s="75">
        <v>0</v>
      </c>
      <c r="R2717" s="75">
        <v>0</v>
      </c>
      <c r="S2717" s="75">
        <v>0</v>
      </c>
      <c r="T2717" s="75">
        <v>0</v>
      </c>
      <c r="U2717" s="75">
        <v>0</v>
      </c>
      <c r="V2717" s="75">
        <v>0</v>
      </c>
      <c r="W2717" s="78">
        <v>0</v>
      </c>
    </row>
    <row r="2718" spans="1:23" s="75" customFormat="1" hidden="1" x14ac:dyDescent="0.35">
      <c r="A2718" s="75">
        <v>2714</v>
      </c>
      <c r="B2718" s="75">
        <v>2715</v>
      </c>
      <c r="C2718">
        <v>146.00263169999999</v>
      </c>
      <c r="D2718">
        <v>-17.50155775</v>
      </c>
      <c r="F2718" s="75" t="str">
        <f>HYPERLINK("E:\Data From Lucan\2024\Johnstone\Frames_for_Analysis\2715_20240610_0003_L_4974.jpg","2715_20240610_0003_L_4974.jpg")</f>
        <v>2715_20240610_0003_L_4974.jpg</v>
      </c>
      <c r="G2718" s="75">
        <v>10</v>
      </c>
      <c r="I2718">
        <f t="shared" si="42"/>
        <v>0</v>
      </c>
      <c r="J2718" s="75">
        <v>0</v>
      </c>
      <c r="K2718" s="77"/>
      <c r="L2718" s="77"/>
      <c r="M2718" s="77"/>
      <c r="N2718" s="77"/>
      <c r="O2718" s="75">
        <v>1</v>
      </c>
      <c r="P2718" s="75">
        <v>0</v>
      </c>
      <c r="Q2718" s="75">
        <v>0</v>
      </c>
      <c r="R2718" s="75">
        <v>0</v>
      </c>
      <c r="S2718" s="75">
        <v>0</v>
      </c>
      <c r="T2718" s="75">
        <v>0</v>
      </c>
      <c r="U2718" s="75">
        <v>0</v>
      </c>
      <c r="V2718" s="75">
        <v>0</v>
      </c>
      <c r="W2718" s="78">
        <v>0</v>
      </c>
    </row>
    <row r="2719" spans="1:23" s="75" customFormat="1" hidden="1" x14ac:dyDescent="0.35">
      <c r="A2719" s="75">
        <v>2715</v>
      </c>
      <c r="B2719" s="75">
        <v>2716</v>
      </c>
      <c r="C2719">
        <v>146.00263430000001</v>
      </c>
      <c r="D2719">
        <v>-17.501652020000002</v>
      </c>
      <c r="F2719" s="75" t="str">
        <f>HYPERLINK("E:\Data From Lucan\2024\Johnstone\Frames_for_Analysis\2716_20240610_0003_L_4978.jpg","2716_20240610_0003_L_4978.jpg")</f>
        <v>2716_20240610_0003_L_4978.jpg</v>
      </c>
      <c r="G2719" s="75">
        <v>10</v>
      </c>
      <c r="I2719">
        <f t="shared" si="42"/>
        <v>0</v>
      </c>
      <c r="J2719" s="75">
        <v>0</v>
      </c>
      <c r="K2719" s="77"/>
      <c r="L2719" s="77"/>
      <c r="M2719" s="77"/>
      <c r="N2719" s="77"/>
      <c r="O2719" s="75">
        <v>1</v>
      </c>
      <c r="P2719" s="75">
        <v>0</v>
      </c>
      <c r="Q2719" s="75">
        <v>0</v>
      </c>
      <c r="R2719" s="75">
        <v>0</v>
      </c>
      <c r="S2719" s="75">
        <v>0</v>
      </c>
      <c r="T2719" s="75">
        <v>0</v>
      </c>
      <c r="U2719" s="75">
        <v>0</v>
      </c>
      <c r="V2719" s="75">
        <v>1</v>
      </c>
      <c r="W2719" s="78">
        <v>0</v>
      </c>
    </row>
    <row r="2720" spans="1:23" s="75" customFormat="1" hidden="1" x14ac:dyDescent="0.35">
      <c r="A2720" s="75">
        <v>2716</v>
      </c>
      <c r="B2720" s="75">
        <v>2717</v>
      </c>
      <c r="C2720">
        <v>146.00263699999999</v>
      </c>
      <c r="D2720">
        <v>-17.501746279999999</v>
      </c>
      <c r="F2720" s="75" t="str">
        <f>HYPERLINK("E:\Data From Lucan\2024\Johnstone\Frames_for_Analysis\2717_20240610_0003_L_4983.jpg","2717_20240610_0003_L_4983.jpg")</f>
        <v>2717_20240610_0003_L_4983.jpg</v>
      </c>
      <c r="G2720" s="75">
        <v>10</v>
      </c>
      <c r="I2720">
        <f t="shared" si="42"/>
        <v>0</v>
      </c>
      <c r="J2720" s="75">
        <v>0</v>
      </c>
      <c r="K2720" s="77"/>
      <c r="L2720" s="77"/>
      <c r="M2720" s="77"/>
      <c r="N2720" s="77"/>
      <c r="O2720" s="75">
        <v>1</v>
      </c>
      <c r="P2720" s="75">
        <v>0</v>
      </c>
      <c r="Q2720" s="75">
        <v>0</v>
      </c>
      <c r="R2720" s="75">
        <v>0</v>
      </c>
      <c r="S2720" s="75">
        <v>0</v>
      </c>
      <c r="T2720" s="75">
        <v>0</v>
      </c>
      <c r="U2720" s="75">
        <v>0</v>
      </c>
      <c r="V2720" s="75">
        <v>1</v>
      </c>
      <c r="W2720" s="78">
        <v>0</v>
      </c>
    </row>
    <row r="2721" spans="1:23" s="75" customFormat="1" hidden="1" x14ac:dyDescent="0.35">
      <c r="A2721" s="75">
        <v>2717</v>
      </c>
      <c r="B2721" s="75">
        <v>2718</v>
      </c>
      <c r="C2721">
        <v>146.00263960000001</v>
      </c>
      <c r="D2721">
        <v>-17.501840550000001</v>
      </c>
      <c r="F2721" s="75" t="str">
        <f>HYPERLINK("E:\Data From Lucan\2024\Johnstone\Frames_for_Analysis\2718_20240610_0003_L_4988.jpg","2718_20240610_0003_L_4988.jpg")</f>
        <v>2718_20240610_0003_L_4988.jpg</v>
      </c>
      <c r="G2721" s="75">
        <v>10</v>
      </c>
      <c r="I2721">
        <f t="shared" si="42"/>
        <v>0</v>
      </c>
      <c r="J2721" s="75">
        <v>0</v>
      </c>
      <c r="K2721" s="77"/>
      <c r="L2721" s="77"/>
      <c r="M2721" s="77"/>
      <c r="N2721" s="77"/>
      <c r="O2721" s="75">
        <v>1</v>
      </c>
      <c r="P2721" s="75">
        <v>0</v>
      </c>
      <c r="Q2721" s="75">
        <v>0</v>
      </c>
      <c r="R2721" s="75">
        <v>0</v>
      </c>
      <c r="S2721" s="75">
        <v>0</v>
      </c>
      <c r="T2721" s="75">
        <v>0</v>
      </c>
      <c r="U2721" s="75">
        <v>0</v>
      </c>
      <c r="V2721" s="75">
        <v>1</v>
      </c>
      <c r="W2721" s="78">
        <v>0</v>
      </c>
    </row>
    <row r="2722" spans="1:23" s="75" customFormat="1" hidden="1" x14ac:dyDescent="0.35">
      <c r="A2722" s="75">
        <v>2718</v>
      </c>
      <c r="B2722" s="75">
        <v>2719</v>
      </c>
      <c r="C2722">
        <v>146.0026422</v>
      </c>
      <c r="D2722">
        <v>-17.501934819999999</v>
      </c>
      <c r="F2722" s="75" t="str">
        <f>HYPERLINK("E:\Data From Lucan\2024\Johnstone\Frames_for_Analysis\2719_20240610_0003_L_5000.jpg","2719_20240610_0003_L_5000.jpg")</f>
        <v>2719_20240610_0003_L_5000.jpg</v>
      </c>
      <c r="G2722" s="75">
        <v>10</v>
      </c>
      <c r="I2722">
        <f t="shared" si="42"/>
        <v>0</v>
      </c>
      <c r="J2722" s="75">
        <v>0</v>
      </c>
      <c r="K2722" s="77"/>
      <c r="L2722" s="77"/>
      <c r="M2722" s="77"/>
      <c r="N2722" s="77"/>
      <c r="O2722" s="75">
        <v>1</v>
      </c>
      <c r="P2722" s="75">
        <v>0</v>
      </c>
      <c r="Q2722" s="75">
        <v>0</v>
      </c>
      <c r="R2722" s="75">
        <v>0</v>
      </c>
      <c r="S2722" s="75">
        <v>0</v>
      </c>
      <c r="T2722" s="75">
        <v>0</v>
      </c>
      <c r="U2722" s="75">
        <v>0</v>
      </c>
      <c r="V2722" s="75">
        <v>1</v>
      </c>
      <c r="W2722" s="78">
        <v>0</v>
      </c>
    </row>
    <row r="2723" spans="1:23" s="75" customFormat="1" hidden="1" x14ac:dyDescent="0.35">
      <c r="A2723" s="75">
        <v>2719</v>
      </c>
      <c r="B2723" s="75">
        <v>2720</v>
      </c>
      <c r="C2723">
        <v>146.00264490000001</v>
      </c>
      <c r="D2723">
        <v>-17.50202908</v>
      </c>
      <c r="F2723" s="75" t="str">
        <f>HYPERLINK("E:\Data From Lucan\2024\Johnstone\Frames_for_Analysis\2720_20240610_0003_L_5003.jpg","2720_20240610_0003_L_5003.jpg")</f>
        <v>2720_20240610_0003_L_5003.jpg</v>
      </c>
      <c r="G2723" s="75">
        <v>10</v>
      </c>
      <c r="I2723">
        <f t="shared" si="42"/>
        <v>0</v>
      </c>
      <c r="J2723" s="75">
        <v>0</v>
      </c>
      <c r="K2723" s="77"/>
      <c r="L2723" s="77"/>
      <c r="M2723" s="77"/>
      <c r="N2723" s="77"/>
      <c r="O2723" s="75">
        <v>1</v>
      </c>
      <c r="P2723" s="75">
        <v>0</v>
      </c>
      <c r="Q2723" s="75">
        <v>0</v>
      </c>
      <c r="R2723" s="75">
        <v>0</v>
      </c>
      <c r="S2723" s="75">
        <v>0</v>
      </c>
      <c r="T2723" s="75">
        <v>0</v>
      </c>
      <c r="U2723" s="75">
        <v>0</v>
      </c>
      <c r="V2723" s="75">
        <v>1</v>
      </c>
      <c r="W2723" s="78">
        <v>0</v>
      </c>
    </row>
    <row r="2724" spans="1:23" s="75" customFormat="1" hidden="1" x14ac:dyDescent="0.35">
      <c r="A2724" s="75">
        <v>2720</v>
      </c>
      <c r="B2724" s="75">
        <v>2721</v>
      </c>
      <c r="C2724">
        <v>146.00264749999999</v>
      </c>
      <c r="D2724">
        <v>-17.502123350000002</v>
      </c>
      <c r="F2724" s="75" t="str">
        <f>HYPERLINK("E:\Data From Lucan\2024\Johnstone\Frames_for_Analysis\2721_20240610_0003_L_5010.jpg","2721_20240610_0003_L_5010.jpg")</f>
        <v>2721_20240610_0003_L_5010.jpg</v>
      </c>
      <c r="G2724" s="75">
        <v>10</v>
      </c>
      <c r="I2724">
        <f t="shared" si="42"/>
        <v>0</v>
      </c>
      <c r="J2724" s="75">
        <v>0</v>
      </c>
      <c r="K2724" s="77"/>
      <c r="L2724" s="77"/>
      <c r="M2724" s="77"/>
      <c r="N2724" s="77"/>
      <c r="O2724" s="75">
        <v>2</v>
      </c>
      <c r="P2724" s="75">
        <v>0</v>
      </c>
      <c r="Q2724" s="75">
        <v>0</v>
      </c>
      <c r="R2724" s="75">
        <v>0</v>
      </c>
      <c r="S2724" s="75">
        <v>0</v>
      </c>
      <c r="T2724" s="75">
        <v>0</v>
      </c>
      <c r="U2724" s="75">
        <v>0</v>
      </c>
      <c r="V2724" s="75">
        <v>0</v>
      </c>
      <c r="W2724" s="78">
        <v>1</v>
      </c>
    </row>
    <row r="2725" spans="1:23" s="75" customFormat="1" hidden="1" x14ac:dyDescent="0.35">
      <c r="A2725" s="75">
        <v>2721</v>
      </c>
      <c r="B2725" s="75">
        <v>2722</v>
      </c>
      <c r="C2725">
        <v>146.00265010000001</v>
      </c>
      <c r="D2725">
        <v>-17.50221762</v>
      </c>
      <c r="F2725" s="75" t="str">
        <f>HYPERLINK("E:\Data From Lucan\2024\Johnstone\Frames_for_Analysis\2722_20240610_0003_L_5009.jpg","2722_20240610_0003_L_5009.jpg")</f>
        <v>2722_20240610_0003_L_5009.jpg</v>
      </c>
      <c r="G2725" s="75">
        <v>10</v>
      </c>
      <c r="I2725">
        <f t="shared" si="42"/>
        <v>0</v>
      </c>
      <c r="J2725" s="75">
        <v>0</v>
      </c>
      <c r="K2725" s="77"/>
      <c r="L2725" s="77"/>
      <c r="M2725" s="77"/>
      <c r="N2725" s="77"/>
      <c r="O2725" s="75">
        <v>2</v>
      </c>
      <c r="P2725" s="75">
        <v>0</v>
      </c>
      <c r="Q2725" s="75">
        <v>0</v>
      </c>
      <c r="R2725" s="75">
        <v>0</v>
      </c>
      <c r="S2725" s="75">
        <v>0</v>
      </c>
      <c r="T2725" s="75">
        <v>0</v>
      </c>
      <c r="U2725" s="75">
        <v>0</v>
      </c>
      <c r="V2725" s="75">
        <v>0</v>
      </c>
      <c r="W2725" s="78">
        <v>1</v>
      </c>
    </row>
    <row r="2726" spans="1:23" s="75" customFormat="1" hidden="1" x14ac:dyDescent="0.35">
      <c r="A2726" s="75">
        <v>2722</v>
      </c>
      <c r="B2726" s="75">
        <v>2723</v>
      </c>
      <c r="C2726">
        <v>146.00265279999999</v>
      </c>
      <c r="D2726">
        <v>-17.502311880000001</v>
      </c>
      <c r="F2726" s="75" t="str">
        <f>HYPERLINK("E:\Data From Lucan\2024\Johnstone\Frames_for_Analysis\2723_20240610_0003_L_5016.jpg","2723_20240610_0003_L_5016.jpg")</f>
        <v>2723_20240610_0003_L_5016.jpg</v>
      </c>
      <c r="G2726" s="75">
        <v>10</v>
      </c>
      <c r="I2726">
        <f t="shared" si="42"/>
        <v>0</v>
      </c>
      <c r="J2726" s="75">
        <v>0</v>
      </c>
      <c r="K2726" s="77"/>
      <c r="L2726" s="77"/>
      <c r="M2726" s="77"/>
      <c r="N2726" s="77"/>
      <c r="O2726" s="75">
        <v>1</v>
      </c>
      <c r="P2726" s="75">
        <v>0</v>
      </c>
      <c r="Q2726" s="75">
        <v>0</v>
      </c>
      <c r="R2726" s="75">
        <v>0</v>
      </c>
      <c r="S2726" s="75">
        <v>0</v>
      </c>
      <c r="T2726" s="75">
        <v>0</v>
      </c>
      <c r="U2726" s="75">
        <v>0</v>
      </c>
      <c r="V2726" s="75">
        <v>0</v>
      </c>
      <c r="W2726" s="78">
        <v>0</v>
      </c>
    </row>
    <row r="2727" spans="1:23" s="75" customFormat="1" hidden="1" x14ac:dyDescent="0.35">
      <c r="A2727" s="75">
        <v>2723</v>
      </c>
      <c r="B2727" s="75">
        <v>2724</v>
      </c>
      <c r="C2727">
        <v>146.00265540000001</v>
      </c>
      <c r="D2727">
        <v>-17.502406149999999</v>
      </c>
      <c r="F2727" s="75" t="str">
        <f>HYPERLINK("E:\Data From Lucan\2024\Johnstone\Frames_for_Analysis\2724_20240610_0003_L_5019.jpg","2724_20240610_0003_L_5019.jpg")</f>
        <v>2724_20240610_0003_L_5019.jpg</v>
      </c>
      <c r="G2727" s="75">
        <v>10</v>
      </c>
      <c r="I2727">
        <f t="shared" si="42"/>
        <v>0</v>
      </c>
      <c r="J2727" s="75">
        <v>0</v>
      </c>
      <c r="K2727" s="77"/>
      <c r="L2727" s="77"/>
      <c r="M2727" s="77"/>
      <c r="N2727" s="77"/>
      <c r="O2727" s="75">
        <v>1</v>
      </c>
      <c r="P2727" s="75">
        <v>0</v>
      </c>
      <c r="Q2727" s="75">
        <v>0</v>
      </c>
      <c r="R2727" s="75">
        <v>0</v>
      </c>
      <c r="S2727" s="75">
        <v>0</v>
      </c>
      <c r="T2727" s="75">
        <v>0</v>
      </c>
      <c r="U2727" s="75">
        <v>0</v>
      </c>
      <c r="V2727" s="75">
        <v>1</v>
      </c>
      <c r="W2727" s="78">
        <v>0</v>
      </c>
    </row>
    <row r="2728" spans="1:23" s="75" customFormat="1" hidden="1" x14ac:dyDescent="0.35">
      <c r="A2728" s="75">
        <v>2724</v>
      </c>
      <c r="B2728" s="75">
        <v>2725</v>
      </c>
      <c r="C2728">
        <v>146.002658</v>
      </c>
      <c r="D2728">
        <v>-17.502500420000001</v>
      </c>
      <c r="F2728" s="75" t="str">
        <f>HYPERLINK("E:\Data From Lucan\2024\Johnstone\Frames_for_Analysis\2725_20240610_0003_L_5021.jpg","2725_20240610_0003_L_5021.jpg")</f>
        <v>2725_20240610_0003_L_5021.jpg</v>
      </c>
      <c r="G2728" s="75">
        <v>10</v>
      </c>
      <c r="I2728">
        <f t="shared" si="42"/>
        <v>0</v>
      </c>
      <c r="J2728" s="75">
        <v>0</v>
      </c>
      <c r="K2728" s="77"/>
      <c r="L2728" s="77"/>
      <c r="M2728" s="77"/>
      <c r="N2728" s="77"/>
      <c r="O2728" s="75">
        <v>1</v>
      </c>
      <c r="P2728" s="75">
        <v>0</v>
      </c>
      <c r="Q2728" s="75">
        <v>0</v>
      </c>
      <c r="R2728" s="75">
        <v>0</v>
      </c>
      <c r="S2728" s="75">
        <v>0</v>
      </c>
      <c r="T2728" s="75">
        <v>0</v>
      </c>
      <c r="U2728" s="75">
        <v>0</v>
      </c>
      <c r="V2728" s="75">
        <v>1</v>
      </c>
      <c r="W2728" s="78">
        <v>0</v>
      </c>
    </row>
    <row r="2729" spans="1:23" s="75" customFormat="1" hidden="1" x14ac:dyDescent="0.35">
      <c r="A2729" s="75">
        <v>2725</v>
      </c>
      <c r="B2729" s="75">
        <v>2726</v>
      </c>
      <c r="C2729">
        <v>146.00266070000001</v>
      </c>
      <c r="D2729">
        <v>-17.502594689999999</v>
      </c>
      <c r="F2729" s="75" t="str">
        <f>HYPERLINK("E:\Data From Lucan\2024\Johnstone\Frames_for_Analysis\2726_20240610_0003_L_5026.jpg","2726_20240610_0003_L_5026.jpg")</f>
        <v>2726_20240610_0003_L_5026.jpg</v>
      </c>
      <c r="G2729" s="75">
        <v>10</v>
      </c>
      <c r="I2729">
        <f t="shared" si="42"/>
        <v>0</v>
      </c>
      <c r="J2729" s="75">
        <v>0</v>
      </c>
      <c r="K2729" s="77"/>
      <c r="L2729" s="77"/>
      <c r="M2729" s="77"/>
      <c r="N2729" s="77"/>
      <c r="O2729" s="75">
        <v>1</v>
      </c>
      <c r="P2729" s="75">
        <v>0</v>
      </c>
      <c r="Q2729" s="75">
        <v>0</v>
      </c>
      <c r="R2729" s="75">
        <v>0</v>
      </c>
      <c r="S2729" s="75">
        <v>0</v>
      </c>
      <c r="T2729" s="75">
        <v>0</v>
      </c>
      <c r="U2729" s="75">
        <v>0</v>
      </c>
      <c r="V2729" s="75">
        <v>0</v>
      </c>
      <c r="W2729" s="78">
        <v>0</v>
      </c>
    </row>
    <row r="2730" spans="1:23" s="75" customFormat="1" hidden="1" x14ac:dyDescent="0.35">
      <c r="A2730" s="75">
        <v>2726</v>
      </c>
      <c r="B2730" s="75">
        <v>2727</v>
      </c>
      <c r="C2730">
        <v>146.00266329999999</v>
      </c>
      <c r="D2730">
        <v>-17.50268895</v>
      </c>
      <c r="F2730" s="75" t="str">
        <f>HYPERLINK("E:\Data From Lucan\2024\Johnstone\Frames_for_Analysis\2727_20240610_0003_L_5030.jpg","2727_20240610_0003_L_5030.jpg")</f>
        <v>2727_20240610_0003_L_5030.jpg</v>
      </c>
      <c r="G2730" s="75">
        <v>10</v>
      </c>
      <c r="I2730">
        <f t="shared" si="42"/>
        <v>0</v>
      </c>
      <c r="J2730" s="75">
        <v>0</v>
      </c>
      <c r="K2730" s="77"/>
      <c r="L2730" s="77"/>
      <c r="M2730" s="77"/>
      <c r="N2730" s="77"/>
      <c r="O2730" s="75">
        <v>1</v>
      </c>
      <c r="P2730" s="75">
        <v>0</v>
      </c>
      <c r="Q2730" s="75">
        <v>0</v>
      </c>
      <c r="R2730" s="75">
        <v>0</v>
      </c>
      <c r="S2730" s="75">
        <v>0</v>
      </c>
      <c r="T2730" s="75">
        <v>0</v>
      </c>
      <c r="U2730" s="75">
        <v>0</v>
      </c>
      <c r="V2730" s="75">
        <v>0</v>
      </c>
      <c r="W2730" s="78">
        <v>0</v>
      </c>
    </row>
    <row r="2731" spans="1:23" s="75" customFormat="1" hidden="1" x14ac:dyDescent="0.35">
      <c r="A2731" s="75">
        <v>2727</v>
      </c>
      <c r="B2731" s="75">
        <v>2728</v>
      </c>
      <c r="C2731">
        <v>146.00266590000001</v>
      </c>
      <c r="D2731">
        <v>-17.502783220000001</v>
      </c>
      <c r="F2731" s="75" t="str">
        <f>HYPERLINK("E:\Data From Lucan\2024\Johnstone\Frames_for_Analysis\2728_20240610_0003_L_5033.jpg","2728_20240610_0003_L_5033.jpg")</f>
        <v>2728_20240610_0003_L_5033.jpg</v>
      </c>
      <c r="G2731" s="75">
        <v>10</v>
      </c>
      <c r="I2731">
        <f t="shared" si="42"/>
        <v>0</v>
      </c>
      <c r="J2731" s="75">
        <v>0</v>
      </c>
      <c r="K2731" s="77"/>
      <c r="L2731" s="77"/>
      <c r="M2731" s="77"/>
      <c r="N2731" s="77"/>
      <c r="O2731" s="75">
        <v>1</v>
      </c>
      <c r="P2731" s="75">
        <v>0</v>
      </c>
      <c r="Q2731" s="75">
        <v>0</v>
      </c>
      <c r="R2731" s="75">
        <v>0</v>
      </c>
      <c r="S2731" s="75">
        <v>0</v>
      </c>
      <c r="T2731" s="75">
        <v>0</v>
      </c>
      <c r="U2731" s="75">
        <v>0</v>
      </c>
      <c r="V2731" s="75">
        <v>0</v>
      </c>
      <c r="W2731" s="78">
        <v>0</v>
      </c>
    </row>
    <row r="2732" spans="1:23" s="75" customFormat="1" hidden="1" x14ac:dyDescent="0.35">
      <c r="A2732" s="75">
        <v>2728</v>
      </c>
      <c r="B2732" s="75">
        <v>2729</v>
      </c>
      <c r="C2732">
        <v>146.00266859999999</v>
      </c>
      <c r="D2732">
        <v>-17.502877479999999</v>
      </c>
      <c r="F2732" s="75" t="str">
        <f>HYPERLINK("E:\Data From Lucan\2024\Johnstone\Frames_for_Analysis\2729_20240610_0003_L_5036.jpg","2729_20240610_0003_L_5036.jpg")</f>
        <v>2729_20240610_0003_L_5036.jpg</v>
      </c>
      <c r="G2732" s="75">
        <v>10</v>
      </c>
      <c r="I2732">
        <f t="shared" si="42"/>
        <v>0</v>
      </c>
      <c r="J2732" s="75">
        <v>0</v>
      </c>
      <c r="K2732" s="77"/>
      <c r="L2732" s="77"/>
      <c r="M2732" s="77"/>
      <c r="N2732" s="77"/>
      <c r="O2732" s="75">
        <v>1</v>
      </c>
      <c r="P2732" s="75">
        <v>0</v>
      </c>
      <c r="Q2732" s="75">
        <v>0</v>
      </c>
      <c r="R2732" s="75">
        <v>0</v>
      </c>
      <c r="S2732" s="75">
        <v>0</v>
      </c>
      <c r="T2732" s="75">
        <v>0</v>
      </c>
      <c r="U2732" s="75">
        <v>0</v>
      </c>
      <c r="V2732" s="75">
        <v>0</v>
      </c>
      <c r="W2732" s="78">
        <v>0</v>
      </c>
    </row>
    <row r="2733" spans="1:23" s="75" customFormat="1" hidden="1" x14ac:dyDescent="0.35">
      <c r="A2733" s="75">
        <v>2729</v>
      </c>
      <c r="B2733" s="75">
        <v>2730</v>
      </c>
      <c r="C2733">
        <v>146.00267120000001</v>
      </c>
      <c r="D2733">
        <v>-17.50297175</v>
      </c>
      <c r="F2733" s="75" t="str">
        <f>HYPERLINK("E:\Data From Lucan\2024\Johnstone\Frames_for_Analysis\2730_20240610_0003_L_5040.jpg","2730_20240610_0003_L_5040.jpg")</f>
        <v>2730_20240610_0003_L_5040.jpg</v>
      </c>
      <c r="G2733" s="75">
        <v>10</v>
      </c>
      <c r="I2733">
        <f t="shared" si="42"/>
        <v>0</v>
      </c>
      <c r="J2733" s="75">
        <v>0</v>
      </c>
      <c r="K2733" s="77"/>
      <c r="L2733" s="77"/>
      <c r="M2733" s="77"/>
      <c r="N2733" s="77"/>
      <c r="O2733" s="75">
        <v>1</v>
      </c>
      <c r="P2733" s="75">
        <v>0</v>
      </c>
      <c r="Q2733" s="75">
        <v>0</v>
      </c>
      <c r="R2733" s="75">
        <v>0</v>
      </c>
      <c r="S2733" s="75">
        <v>0</v>
      </c>
      <c r="T2733" s="75">
        <v>0</v>
      </c>
      <c r="U2733" s="75">
        <v>0</v>
      </c>
      <c r="V2733" s="75">
        <v>1</v>
      </c>
      <c r="W2733" s="78">
        <v>0</v>
      </c>
    </row>
    <row r="2734" spans="1:23" s="75" customFormat="1" hidden="1" x14ac:dyDescent="0.35">
      <c r="A2734" s="75">
        <v>2730</v>
      </c>
      <c r="B2734" s="75">
        <v>2731</v>
      </c>
      <c r="C2734">
        <v>146.0026738</v>
      </c>
      <c r="D2734">
        <v>-17.503066019999999</v>
      </c>
      <c r="F2734" s="75" t="str">
        <f>HYPERLINK("E:\Data From Lucan\2024\Johnstone\Frames_for_Analysis\2731_20240610_0003_L_5043.jpg","2731_20240610_0003_L_5043.jpg")</f>
        <v>2731_20240610_0003_L_5043.jpg</v>
      </c>
      <c r="G2734" s="75">
        <v>10</v>
      </c>
      <c r="I2734">
        <f t="shared" si="42"/>
        <v>0</v>
      </c>
      <c r="J2734" s="75">
        <v>0</v>
      </c>
      <c r="K2734" s="77"/>
      <c r="L2734" s="77"/>
      <c r="M2734" s="77"/>
      <c r="N2734" s="77"/>
      <c r="O2734" s="75">
        <v>1</v>
      </c>
      <c r="P2734" s="75">
        <v>0</v>
      </c>
      <c r="Q2734" s="75">
        <v>0</v>
      </c>
      <c r="R2734" s="75">
        <v>0</v>
      </c>
      <c r="S2734" s="75">
        <v>0</v>
      </c>
      <c r="T2734" s="75">
        <v>0</v>
      </c>
      <c r="U2734" s="75">
        <v>0</v>
      </c>
      <c r="V2734" s="75">
        <v>1</v>
      </c>
      <c r="W2734" s="78">
        <v>0</v>
      </c>
    </row>
    <row r="2735" spans="1:23" s="75" customFormat="1" hidden="1" x14ac:dyDescent="0.35">
      <c r="A2735" s="75">
        <v>2731</v>
      </c>
      <c r="B2735" s="75">
        <v>2732</v>
      </c>
      <c r="C2735">
        <v>146.00267650000001</v>
      </c>
      <c r="D2735">
        <v>-17.50316029</v>
      </c>
      <c r="F2735" s="75" t="str">
        <f>HYPERLINK("E:\Data From Lucan\2024\Johnstone\Frames_for_Analysis\2732_20240610_0003_L_5046.jpg","2732_20240610_0003_L_5046.jpg")</f>
        <v>2732_20240610_0003_L_5046.jpg</v>
      </c>
      <c r="G2735" s="75">
        <v>10</v>
      </c>
      <c r="I2735">
        <f t="shared" si="42"/>
        <v>0</v>
      </c>
      <c r="J2735" s="75">
        <v>0</v>
      </c>
      <c r="K2735" s="77"/>
      <c r="L2735" s="77"/>
      <c r="M2735" s="77"/>
      <c r="N2735" s="77"/>
      <c r="O2735" s="75">
        <v>1</v>
      </c>
      <c r="P2735" s="75">
        <v>0</v>
      </c>
      <c r="Q2735" s="75">
        <v>0</v>
      </c>
      <c r="R2735" s="75">
        <v>0</v>
      </c>
      <c r="S2735" s="75">
        <v>0</v>
      </c>
      <c r="T2735" s="75">
        <v>0</v>
      </c>
      <c r="U2735" s="75">
        <v>0</v>
      </c>
      <c r="V2735" s="75">
        <v>1</v>
      </c>
      <c r="W2735" s="78">
        <v>0</v>
      </c>
    </row>
    <row r="2736" spans="1:23" s="75" customFormat="1" hidden="1" x14ac:dyDescent="0.35">
      <c r="A2736" s="75">
        <v>2732</v>
      </c>
      <c r="B2736" s="75">
        <v>2733</v>
      </c>
      <c r="C2736">
        <v>146.00267909999999</v>
      </c>
      <c r="D2736">
        <v>-17.503254550000001</v>
      </c>
      <c r="F2736" s="75" t="str">
        <f>HYPERLINK("E:\Data From Lucan\2024\Johnstone\Frames_for_Analysis\2733_20240610_0003_L_5049.jpg","2733_20240610_0003_L_5049.jpg")</f>
        <v>2733_20240610_0003_L_5049.jpg</v>
      </c>
      <c r="G2736" s="75">
        <v>10</v>
      </c>
      <c r="I2736">
        <f t="shared" si="42"/>
        <v>0</v>
      </c>
      <c r="J2736" s="75">
        <v>0</v>
      </c>
      <c r="K2736" s="77"/>
      <c r="L2736" s="77"/>
      <c r="M2736" s="77"/>
      <c r="N2736" s="77"/>
      <c r="O2736" s="75">
        <v>1</v>
      </c>
      <c r="P2736" s="75">
        <v>0</v>
      </c>
      <c r="Q2736" s="75">
        <v>0</v>
      </c>
      <c r="R2736" s="75">
        <v>0</v>
      </c>
      <c r="S2736" s="75">
        <v>0</v>
      </c>
      <c r="T2736" s="75">
        <v>0</v>
      </c>
      <c r="U2736" s="75">
        <v>0</v>
      </c>
      <c r="V2736" s="75">
        <v>1</v>
      </c>
      <c r="W2736" s="78">
        <v>0</v>
      </c>
    </row>
    <row r="2737" spans="1:23" s="75" customFormat="1" hidden="1" x14ac:dyDescent="0.35">
      <c r="A2737" s="75">
        <v>2733</v>
      </c>
      <c r="B2737" s="75">
        <v>2734</v>
      </c>
      <c r="C2737">
        <v>146.00268170000001</v>
      </c>
      <c r="D2737">
        <v>-17.503348819999999</v>
      </c>
      <c r="F2737" s="75" t="str">
        <f>HYPERLINK("E:\Data From Lucan\2024\Johnstone\Frames_for_Analysis\2734_20240610_0003_L_5054.jpg","2734_20240610_0003_L_5054.jpg")</f>
        <v>2734_20240610_0003_L_5054.jpg</v>
      </c>
      <c r="G2737" s="75">
        <v>10</v>
      </c>
      <c r="I2737">
        <f t="shared" si="42"/>
        <v>0</v>
      </c>
      <c r="J2737" s="75">
        <v>0</v>
      </c>
      <c r="K2737" s="77"/>
      <c r="L2737" s="77"/>
      <c r="M2737" s="77"/>
      <c r="N2737" s="77"/>
      <c r="O2737" s="75">
        <v>1</v>
      </c>
      <c r="P2737" s="75">
        <v>0</v>
      </c>
      <c r="Q2737" s="75">
        <v>0</v>
      </c>
      <c r="R2737" s="75">
        <v>0</v>
      </c>
      <c r="S2737" s="75">
        <v>0</v>
      </c>
      <c r="T2737" s="75">
        <v>1</v>
      </c>
      <c r="U2737" s="75">
        <v>0</v>
      </c>
      <c r="V2737" s="75">
        <v>1</v>
      </c>
      <c r="W2737" s="78">
        <v>0</v>
      </c>
    </row>
    <row r="2738" spans="1:23" s="75" customFormat="1" hidden="1" x14ac:dyDescent="0.35">
      <c r="A2738" s="75">
        <v>2734</v>
      </c>
      <c r="B2738" s="75">
        <v>2735</v>
      </c>
      <c r="C2738">
        <v>146.00268439999999</v>
      </c>
      <c r="D2738">
        <v>-17.503443090000001</v>
      </c>
      <c r="F2738" s="75" t="str">
        <f>HYPERLINK("E:\Data From Lucan\2024\Johnstone\Frames_for_Analysis\2735_20240610_0003_L_5057.jpg","2735_20240610_0003_L_5057.jpg")</f>
        <v>2735_20240610_0003_L_5057.jpg</v>
      </c>
      <c r="G2738" s="75">
        <v>10</v>
      </c>
      <c r="I2738">
        <f t="shared" si="42"/>
        <v>0</v>
      </c>
      <c r="J2738" s="75">
        <v>0</v>
      </c>
      <c r="K2738" s="77"/>
      <c r="L2738" s="77"/>
      <c r="M2738" s="77"/>
      <c r="N2738" s="77"/>
      <c r="O2738" s="75">
        <v>1</v>
      </c>
      <c r="P2738" s="75">
        <v>0</v>
      </c>
      <c r="Q2738" s="75">
        <v>0</v>
      </c>
      <c r="R2738" s="75">
        <v>0</v>
      </c>
      <c r="S2738" s="75">
        <v>0</v>
      </c>
      <c r="T2738" s="75">
        <v>0</v>
      </c>
      <c r="U2738" s="75">
        <v>0</v>
      </c>
      <c r="V2738" s="75">
        <v>0</v>
      </c>
      <c r="W2738" s="78">
        <v>0</v>
      </c>
    </row>
    <row r="2739" spans="1:23" s="75" customFormat="1" hidden="1" x14ac:dyDescent="0.35">
      <c r="A2739" s="75">
        <v>2735</v>
      </c>
      <c r="B2739" s="75">
        <v>2736</v>
      </c>
      <c r="C2739">
        <v>146.00268700000001</v>
      </c>
      <c r="D2739">
        <v>-17.503537349999998</v>
      </c>
      <c r="G2739" s="75">
        <v>10</v>
      </c>
      <c r="H2739" s="75" t="s">
        <v>26</v>
      </c>
      <c r="I2739" t="str">
        <f t="shared" si="42"/>
        <v>X</v>
      </c>
      <c r="K2739" s="77"/>
      <c r="L2739" s="77"/>
      <c r="M2739" s="77"/>
      <c r="N2739" s="77"/>
      <c r="W2739" s="78"/>
    </row>
    <row r="2740" spans="1:23" s="75" customFormat="1" hidden="1" x14ac:dyDescent="0.35">
      <c r="A2740" s="75">
        <v>2736</v>
      </c>
      <c r="B2740" s="75">
        <v>2737</v>
      </c>
      <c r="C2740">
        <v>146.00268969999999</v>
      </c>
      <c r="D2740">
        <v>-17.50363162</v>
      </c>
      <c r="G2740" s="75">
        <v>10</v>
      </c>
      <c r="H2740" s="75" t="s">
        <v>26</v>
      </c>
      <c r="I2740" t="str">
        <f t="shared" si="42"/>
        <v>X</v>
      </c>
      <c r="K2740" s="77"/>
      <c r="L2740" s="77"/>
      <c r="M2740" s="77"/>
      <c r="N2740" s="77"/>
      <c r="W2740" s="78"/>
    </row>
    <row r="2741" spans="1:23" s="75" customFormat="1" hidden="1" x14ac:dyDescent="0.35">
      <c r="A2741" s="75">
        <v>2737</v>
      </c>
      <c r="B2741" s="75">
        <v>2738</v>
      </c>
      <c r="C2741">
        <v>146.00269230000001</v>
      </c>
      <c r="D2741">
        <v>-17.503725889999998</v>
      </c>
      <c r="G2741" s="75">
        <v>10</v>
      </c>
      <c r="H2741" s="75" t="s">
        <v>26</v>
      </c>
      <c r="I2741" t="str">
        <f t="shared" si="42"/>
        <v>X</v>
      </c>
      <c r="K2741" s="77"/>
      <c r="L2741" s="77"/>
      <c r="M2741" s="77"/>
      <c r="N2741" s="77"/>
      <c r="W2741" s="78"/>
    </row>
    <row r="2742" spans="1:23" s="75" customFormat="1" hidden="1" x14ac:dyDescent="0.35">
      <c r="A2742" s="75">
        <v>2738</v>
      </c>
      <c r="B2742" s="75">
        <v>2739</v>
      </c>
      <c r="C2742">
        <v>146.00269489999999</v>
      </c>
      <c r="D2742">
        <v>-17.503820149999999</v>
      </c>
      <c r="G2742" s="75">
        <v>10</v>
      </c>
      <c r="H2742" s="75" t="s">
        <v>26</v>
      </c>
      <c r="I2742" t="str">
        <f t="shared" si="42"/>
        <v>X</v>
      </c>
      <c r="K2742" s="77"/>
      <c r="L2742" s="77"/>
      <c r="M2742" s="77"/>
      <c r="N2742" s="77"/>
      <c r="W2742" s="78"/>
    </row>
    <row r="2743" spans="1:23" s="75" customFormat="1" hidden="1" x14ac:dyDescent="0.35">
      <c r="A2743" s="75">
        <v>2739</v>
      </c>
      <c r="B2743" s="75">
        <v>2740</v>
      </c>
      <c r="C2743">
        <v>146.0026976</v>
      </c>
      <c r="D2743">
        <v>-17.503914420000001</v>
      </c>
      <c r="G2743" s="75">
        <v>10</v>
      </c>
      <c r="H2743" s="75" t="s">
        <v>26</v>
      </c>
      <c r="I2743" t="str">
        <f t="shared" si="42"/>
        <v>X</v>
      </c>
      <c r="K2743" s="77"/>
      <c r="L2743" s="77"/>
      <c r="M2743" s="77"/>
      <c r="N2743" s="77"/>
      <c r="W2743" s="78"/>
    </row>
    <row r="2744" spans="1:23" s="75" customFormat="1" hidden="1" x14ac:dyDescent="0.35">
      <c r="A2744" s="75">
        <v>2740</v>
      </c>
      <c r="B2744" s="75">
        <v>2741</v>
      </c>
      <c r="C2744">
        <v>146.00270019999999</v>
      </c>
      <c r="D2744">
        <v>-17.504008689999999</v>
      </c>
      <c r="G2744" s="75">
        <v>10</v>
      </c>
      <c r="H2744" s="75" t="s">
        <v>26</v>
      </c>
      <c r="I2744" t="str">
        <f t="shared" si="42"/>
        <v>X</v>
      </c>
      <c r="K2744" s="77"/>
      <c r="L2744" s="77"/>
      <c r="M2744" s="77"/>
      <c r="N2744" s="77"/>
      <c r="W2744" s="78"/>
    </row>
    <row r="2745" spans="1:23" s="75" customFormat="1" hidden="1" x14ac:dyDescent="0.35">
      <c r="A2745" s="75">
        <v>2741</v>
      </c>
      <c r="B2745" s="75">
        <v>2742</v>
      </c>
      <c r="C2745">
        <v>146.00270280000001</v>
      </c>
      <c r="D2745">
        <v>-17.50410295</v>
      </c>
      <c r="G2745" s="75">
        <v>10</v>
      </c>
      <c r="H2745" s="75" t="s">
        <v>26</v>
      </c>
      <c r="I2745" t="str">
        <f t="shared" si="42"/>
        <v>X</v>
      </c>
      <c r="K2745" s="77"/>
      <c r="L2745" s="77"/>
      <c r="M2745" s="77"/>
      <c r="N2745" s="77"/>
      <c r="W2745" s="78"/>
    </row>
    <row r="2746" spans="1:23" s="75" customFormat="1" hidden="1" x14ac:dyDescent="0.35">
      <c r="A2746" s="75">
        <v>2742</v>
      </c>
      <c r="B2746" s="75">
        <v>2743</v>
      </c>
      <c r="C2746">
        <v>146.00270549999999</v>
      </c>
      <c r="D2746">
        <v>-17.504197219999998</v>
      </c>
      <c r="G2746" s="75">
        <v>10</v>
      </c>
      <c r="H2746" s="75" t="s">
        <v>26</v>
      </c>
      <c r="I2746" t="str">
        <f t="shared" si="42"/>
        <v>X</v>
      </c>
      <c r="K2746" s="77"/>
      <c r="L2746" s="77"/>
      <c r="M2746" s="77"/>
      <c r="N2746" s="77"/>
      <c r="W2746" s="78"/>
    </row>
    <row r="2747" spans="1:23" s="75" customFormat="1" hidden="1" x14ac:dyDescent="0.35">
      <c r="A2747" s="75">
        <v>2743</v>
      </c>
      <c r="B2747" s="75">
        <v>2744</v>
      </c>
      <c r="C2747">
        <v>146.00270810000001</v>
      </c>
      <c r="D2747">
        <v>-17.50429149</v>
      </c>
      <c r="G2747" s="75">
        <v>10</v>
      </c>
      <c r="H2747" s="75" t="s">
        <v>26</v>
      </c>
      <c r="I2747" t="str">
        <f t="shared" si="42"/>
        <v>X</v>
      </c>
      <c r="K2747" s="77"/>
      <c r="L2747" s="77"/>
      <c r="M2747" s="77"/>
      <c r="N2747" s="77"/>
      <c r="W2747" s="78"/>
    </row>
    <row r="2748" spans="1:23" s="75" customFormat="1" hidden="1" x14ac:dyDescent="0.35">
      <c r="A2748" s="75">
        <v>2744</v>
      </c>
      <c r="B2748" s="75">
        <v>2745</v>
      </c>
      <c r="C2748">
        <v>146.00271069999999</v>
      </c>
      <c r="D2748">
        <v>-17.504385750000001</v>
      </c>
      <c r="G2748" s="75">
        <v>10</v>
      </c>
      <c r="H2748" s="75" t="s">
        <v>26</v>
      </c>
      <c r="I2748" t="str">
        <f t="shared" si="42"/>
        <v>X</v>
      </c>
      <c r="K2748" s="77"/>
      <c r="L2748" s="77"/>
      <c r="M2748" s="77"/>
      <c r="N2748" s="77"/>
      <c r="W2748" s="78"/>
    </row>
    <row r="2749" spans="1:23" s="75" customFormat="1" hidden="1" x14ac:dyDescent="0.35">
      <c r="A2749" s="75">
        <v>2745</v>
      </c>
      <c r="B2749" s="75">
        <v>2746</v>
      </c>
      <c r="C2749">
        <v>146.0027134</v>
      </c>
      <c r="D2749">
        <v>-17.504480019999999</v>
      </c>
      <c r="G2749" s="75">
        <v>10</v>
      </c>
      <c r="H2749" s="75" t="s">
        <v>26</v>
      </c>
      <c r="I2749" t="str">
        <f t="shared" si="42"/>
        <v>X</v>
      </c>
      <c r="K2749" s="77"/>
      <c r="L2749" s="77"/>
      <c r="M2749" s="77"/>
      <c r="N2749" s="77"/>
      <c r="W2749" s="78"/>
    </row>
    <row r="2750" spans="1:23" s="75" customFormat="1" hidden="1" x14ac:dyDescent="0.35">
      <c r="A2750" s="75">
        <v>2746</v>
      </c>
      <c r="B2750" s="75">
        <v>2747</v>
      </c>
      <c r="C2750">
        <v>146.00272129999999</v>
      </c>
      <c r="D2750">
        <v>-17.504573990000001</v>
      </c>
      <c r="G2750" s="75">
        <v>10</v>
      </c>
      <c r="H2750" s="75" t="s">
        <v>26</v>
      </c>
      <c r="I2750" t="str">
        <f t="shared" si="42"/>
        <v>X</v>
      </c>
      <c r="K2750" s="77"/>
      <c r="L2750" s="77"/>
      <c r="M2750" s="77"/>
      <c r="N2750" s="77"/>
      <c r="W2750" s="78"/>
    </row>
    <row r="2751" spans="1:23" s="75" customFormat="1" hidden="1" x14ac:dyDescent="0.35">
      <c r="A2751" s="75">
        <v>2747</v>
      </c>
      <c r="B2751" s="75">
        <v>2748</v>
      </c>
      <c r="C2751">
        <v>146.0027292</v>
      </c>
      <c r="D2751">
        <v>-17.504667959999999</v>
      </c>
      <c r="G2751" s="75">
        <v>10</v>
      </c>
      <c r="H2751" s="75" t="s">
        <v>26</v>
      </c>
      <c r="I2751" t="str">
        <f t="shared" si="42"/>
        <v>X</v>
      </c>
      <c r="K2751" s="77"/>
      <c r="L2751" s="77"/>
      <c r="M2751" s="77"/>
      <c r="N2751" s="77"/>
      <c r="W2751" s="78"/>
    </row>
    <row r="2752" spans="1:23" s="75" customFormat="1" hidden="1" x14ac:dyDescent="0.35">
      <c r="A2752" s="75">
        <v>2748</v>
      </c>
      <c r="B2752" s="75">
        <v>2749</v>
      </c>
      <c r="C2752">
        <v>146.00273720000001</v>
      </c>
      <c r="D2752">
        <v>-17.504761930000001</v>
      </c>
      <c r="G2752" s="75">
        <v>10</v>
      </c>
      <c r="H2752" s="75" t="s">
        <v>26</v>
      </c>
      <c r="I2752" t="str">
        <f t="shared" si="42"/>
        <v>X</v>
      </c>
      <c r="K2752" s="77"/>
      <c r="L2752" s="77"/>
      <c r="M2752" s="77"/>
      <c r="N2752" s="77"/>
      <c r="W2752" s="78"/>
    </row>
    <row r="2753" spans="1:23" s="75" customFormat="1" hidden="1" x14ac:dyDescent="0.35">
      <c r="A2753" s="75">
        <v>2749</v>
      </c>
      <c r="B2753" s="75">
        <v>2750</v>
      </c>
      <c r="C2753">
        <v>146.0027451</v>
      </c>
      <c r="D2753">
        <v>-17.504855899999999</v>
      </c>
      <c r="G2753" s="75">
        <v>10</v>
      </c>
      <c r="H2753" s="75" t="s">
        <v>26</v>
      </c>
      <c r="I2753" t="str">
        <f t="shared" si="42"/>
        <v>X</v>
      </c>
      <c r="K2753" s="77"/>
      <c r="L2753" s="77"/>
      <c r="M2753" s="77"/>
      <c r="N2753" s="77"/>
      <c r="W2753" s="78"/>
    </row>
    <row r="2754" spans="1:23" s="75" customFormat="1" hidden="1" x14ac:dyDescent="0.35">
      <c r="A2754" s="75">
        <v>2750</v>
      </c>
      <c r="B2754" s="75">
        <v>2751</v>
      </c>
      <c r="C2754">
        <v>146.00275300000001</v>
      </c>
      <c r="D2754">
        <v>-17.504949870000001</v>
      </c>
      <c r="G2754" s="75">
        <v>10</v>
      </c>
      <c r="H2754" s="75" t="s">
        <v>26</v>
      </c>
      <c r="I2754" t="str">
        <f t="shared" si="42"/>
        <v>X</v>
      </c>
      <c r="K2754" s="77"/>
      <c r="L2754" s="77"/>
      <c r="M2754" s="77"/>
      <c r="N2754" s="77"/>
      <c r="W2754" s="78"/>
    </row>
    <row r="2755" spans="1:23" s="75" customFormat="1" hidden="1" x14ac:dyDescent="0.35">
      <c r="A2755" s="75">
        <v>2751</v>
      </c>
      <c r="B2755" s="75">
        <v>2752</v>
      </c>
      <c r="C2755">
        <v>146.00276099999999</v>
      </c>
      <c r="D2755">
        <v>-17.505043839999999</v>
      </c>
      <c r="G2755" s="75">
        <v>10</v>
      </c>
      <c r="H2755" s="75" t="s">
        <v>26</v>
      </c>
      <c r="I2755" t="str">
        <f t="shared" si="42"/>
        <v>X</v>
      </c>
      <c r="K2755" s="77"/>
      <c r="L2755" s="77"/>
      <c r="M2755" s="77"/>
      <c r="N2755" s="77"/>
      <c r="W2755" s="78"/>
    </row>
    <row r="2756" spans="1:23" s="75" customFormat="1" hidden="1" x14ac:dyDescent="0.35">
      <c r="A2756" s="75">
        <v>2752</v>
      </c>
      <c r="B2756" s="75">
        <v>2753</v>
      </c>
      <c r="C2756">
        <v>146.00276890000001</v>
      </c>
      <c r="D2756">
        <v>-17.505137810000001</v>
      </c>
      <c r="G2756" s="75">
        <v>10</v>
      </c>
      <c r="H2756" s="75" t="s">
        <v>26</v>
      </c>
      <c r="I2756" t="str">
        <f t="shared" si="42"/>
        <v>X</v>
      </c>
      <c r="K2756" s="77"/>
      <c r="L2756" s="77"/>
      <c r="M2756" s="77"/>
      <c r="N2756" s="77"/>
      <c r="W2756" s="78"/>
    </row>
    <row r="2757" spans="1:23" s="75" customFormat="1" hidden="1" x14ac:dyDescent="0.35">
      <c r="A2757" s="75">
        <v>2753</v>
      </c>
      <c r="B2757" s="75">
        <v>2754</v>
      </c>
      <c r="C2757">
        <v>146.00277679999999</v>
      </c>
      <c r="D2757">
        <v>-17.505231779999999</v>
      </c>
      <c r="G2757" s="75">
        <v>10</v>
      </c>
      <c r="H2757" s="75" t="s">
        <v>26</v>
      </c>
      <c r="I2757" t="str">
        <f t="shared" ref="I2757:I2820" si="43">IF(H2757="X","X",IF(J2757="NA","X",IF(J2757="","X",J2757)))</f>
        <v>X</v>
      </c>
      <c r="K2757" s="77"/>
      <c r="L2757" s="77"/>
      <c r="M2757" s="77"/>
      <c r="N2757" s="77"/>
      <c r="W2757" s="78"/>
    </row>
    <row r="2758" spans="1:23" s="75" customFormat="1" hidden="1" x14ac:dyDescent="0.35">
      <c r="A2758" s="75">
        <v>2754</v>
      </c>
      <c r="B2758" s="75">
        <v>2755</v>
      </c>
      <c r="C2758">
        <v>146.00277800000001</v>
      </c>
      <c r="D2758">
        <v>-17.50532553</v>
      </c>
      <c r="G2758" s="75">
        <v>10</v>
      </c>
      <c r="H2758" s="75" t="s">
        <v>26</v>
      </c>
      <c r="I2758" t="str">
        <f t="shared" si="43"/>
        <v>X</v>
      </c>
      <c r="K2758" s="77"/>
      <c r="L2758" s="77"/>
      <c r="M2758" s="77"/>
      <c r="N2758" s="77"/>
      <c r="W2758" s="78"/>
    </row>
    <row r="2759" spans="1:23" s="75" customFormat="1" hidden="1" x14ac:dyDescent="0.35">
      <c r="A2759" s="75">
        <v>2755</v>
      </c>
      <c r="B2759" s="75">
        <v>2756</v>
      </c>
      <c r="C2759">
        <v>146.00276389999999</v>
      </c>
      <c r="D2759">
        <v>-17.505418769999999</v>
      </c>
      <c r="G2759" s="75">
        <v>10</v>
      </c>
      <c r="H2759" s="75" t="s">
        <v>26</v>
      </c>
      <c r="I2759" t="str">
        <f t="shared" si="43"/>
        <v>X</v>
      </c>
      <c r="K2759" s="77"/>
      <c r="L2759" s="77"/>
      <c r="M2759" s="77"/>
      <c r="N2759" s="77"/>
      <c r="W2759" s="78"/>
    </row>
    <row r="2760" spans="1:23" s="75" customFormat="1" hidden="1" x14ac:dyDescent="0.35">
      <c r="A2760" s="75">
        <v>2756</v>
      </c>
      <c r="B2760" s="75">
        <v>2757</v>
      </c>
      <c r="C2760">
        <v>146.0027498</v>
      </c>
      <c r="D2760">
        <v>-17.50551201</v>
      </c>
      <c r="G2760" s="75">
        <v>10</v>
      </c>
      <c r="H2760" s="75" t="s">
        <v>26</v>
      </c>
      <c r="I2760" t="str">
        <f t="shared" si="43"/>
        <v>X</v>
      </c>
      <c r="K2760" s="77"/>
      <c r="L2760" s="77"/>
      <c r="M2760" s="77"/>
      <c r="N2760" s="77"/>
      <c r="W2760" s="78"/>
    </row>
    <row r="2761" spans="1:23" s="75" customFormat="1" hidden="1" x14ac:dyDescent="0.35">
      <c r="A2761" s="75">
        <v>2757</v>
      </c>
      <c r="B2761" s="75">
        <v>2758</v>
      </c>
      <c r="C2761">
        <v>146.00273569999999</v>
      </c>
      <c r="D2761">
        <v>-17.505605240000001</v>
      </c>
      <c r="G2761" s="75">
        <v>10</v>
      </c>
      <c r="H2761" s="75" t="s">
        <v>26</v>
      </c>
      <c r="I2761" t="str">
        <f t="shared" si="43"/>
        <v>X</v>
      </c>
      <c r="K2761" s="77"/>
      <c r="L2761" s="77"/>
      <c r="M2761" s="77"/>
      <c r="N2761" s="77"/>
      <c r="W2761" s="78"/>
    </row>
    <row r="2762" spans="1:23" s="75" customFormat="1" hidden="1" x14ac:dyDescent="0.35">
      <c r="A2762" s="75">
        <v>2758</v>
      </c>
      <c r="B2762" s="75">
        <v>2759</v>
      </c>
      <c r="C2762">
        <v>146.0027254</v>
      </c>
      <c r="D2762">
        <v>-17.505698970000001</v>
      </c>
      <c r="G2762" s="75">
        <v>10</v>
      </c>
      <c r="H2762" s="75" t="s">
        <v>26</v>
      </c>
      <c r="I2762" t="str">
        <f t="shared" si="43"/>
        <v>X</v>
      </c>
      <c r="K2762" s="77"/>
      <c r="L2762" s="77"/>
      <c r="M2762" s="77"/>
      <c r="N2762" s="77"/>
      <c r="W2762" s="78"/>
    </row>
    <row r="2763" spans="1:23" s="75" customFormat="1" hidden="1" x14ac:dyDescent="0.35">
      <c r="A2763" s="75">
        <v>2759</v>
      </c>
      <c r="B2763" s="75">
        <v>2760</v>
      </c>
      <c r="C2763">
        <v>146.00271599999999</v>
      </c>
      <c r="D2763">
        <v>-17.505792809999999</v>
      </c>
      <c r="G2763" s="75">
        <v>10</v>
      </c>
      <c r="H2763" s="75" t="s">
        <v>26</v>
      </c>
      <c r="I2763" t="str">
        <f t="shared" si="43"/>
        <v>X</v>
      </c>
      <c r="K2763" s="77"/>
      <c r="L2763" s="77"/>
      <c r="M2763" s="77"/>
      <c r="N2763" s="77"/>
      <c r="W2763" s="78"/>
    </row>
    <row r="2764" spans="1:23" s="75" customFormat="1" hidden="1" x14ac:dyDescent="0.35">
      <c r="A2764" s="75">
        <v>2760</v>
      </c>
      <c r="B2764" s="75">
        <v>2761</v>
      </c>
      <c r="C2764">
        <v>146.00270660000001</v>
      </c>
      <c r="D2764">
        <v>-17.50588664</v>
      </c>
      <c r="G2764" s="75">
        <v>10</v>
      </c>
      <c r="H2764" s="75" t="s">
        <v>26</v>
      </c>
      <c r="I2764" t="str">
        <f t="shared" si="43"/>
        <v>X</v>
      </c>
      <c r="K2764" s="77"/>
      <c r="L2764" s="77"/>
      <c r="M2764" s="77"/>
      <c r="N2764" s="77"/>
      <c r="W2764" s="78"/>
    </row>
    <row r="2765" spans="1:23" s="75" customFormat="1" hidden="1" x14ac:dyDescent="0.35">
      <c r="A2765" s="75">
        <v>2761</v>
      </c>
      <c r="B2765" s="75">
        <v>2762</v>
      </c>
      <c r="C2765">
        <v>146.0026972</v>
      </c>
      <c r="D2765">
        <v>-17.505980480000002</v>
      </c>
      <c r="G2765" s="75">
        <v>10</v>
      </c>
      <c r="H2765" s="75" t="s">
        <v>26</v>
      </c>
      <c r="I2765" t="str">
        <f t="shared" si="43"/>
        <v>X</v>
      </c>
      <c r="K2765" s="77"/>
      <c r="L2765" s="77"/>
      <c r="M2765" s="77"/>
      <c r="N2765" s="77"/>
      <c r="W2765" s="78"/>
    </row>
    <row r="2766" spans="1:23" s="75" customFormat="1" hidden="1" x14ac:dyDescent="0.35">
      <c r="A2766" s="75">
        <v>2762</v>
      </c>
      <c r="B2766" s="75">
        <v>2763</v>
      </c>
      <c r="C2766">
        <v>146.00268790000001</v>
      </c>
      <c r="D2766">
        <v>-17.506074309999999</v>
      </c>
      <c r="G2766" s="75">
        <v>10</v>
      </c>
      <c r="H2766" s="75" t="s">
        <v>26</v>
      </c>
      <c r="I2766" t="str">
        <f t="shared" si="43"/>
        <v>X</v>
      </c>
      <c r="K2766" s="77"/>
      <c r="L2766" s="77"/>
      <c r="M2766" s="77"/>
      <c r="N2766" s="77"/>
      <c r="W2766" s="78"/>
    </row>
    <row r="2767" spans="1:23" s="75" customFormat="1" hidden="1" x14ac:dyDescent="0.35">
      <c r="A2767" s="75">
        <v>2763</v>
      </c>
      <c r="B2767" s="75">
        <v>2764</v>
      </c>
      <c r="C2767">
        <v>146.0026838</v>
      </c>
      <c r="D2767">
        <v>-17.506168410000001</v>
      </c>
      <c r="G2767" s="75">
        <v>10</v>
      </c>
      <c r="H2767" s="75" t="s">
        <v>26</v>
      </c>
      <c r="I2767" t="str">
        <f t="shared" si="43"/>
        <v>X</v>
      </c>
      <c r="K2767" s="77"/>
      <c r="L2767" s="77"/>
      <c r="M2767" s="77"/>
      <c r="N2767" s="77"/>
      <c r="W2767" s="78"/>
    </row>
    <row r="2768" spans="1:23" s="75" customFormat="1" hidden="1" x14ac:dyDescent="0.35">
      <c r="A2768" s="75">
        <v>2764</v>
      </c>
      <c r="B2768" s="75">
        <v>2765</v>
      </c>
      <c r="C2768">
        <v>146.0026838</v>
      </c>
      <c r="D2768">
        <v>-17.506262719999999</v>
      </c>
      <c r="G2768" s="75">
        <v>10</v>
      </c>
      <c r="H2768" s="75" t="s">
        <v>26</v>
      </c>
      <c r="I2768" t="str">
        <f t="shared" si="43"/>
        <v>X</v>
      </c>
      <c r="K2768" s="77"/>
      <c r="L2768" s="77"/>
      <c r="M2768" s="77"/>
      <c r="N2768" s="77"/>
      <c r="W2768" s="78"/>
    </row>
    <row r="2769" spans="1:23" s="75" customFormat="1" hidden="1" x14ac:dyDescent="0.35">
      <c r="A2769" s="75">
        <v>2765</v>
      </c>
      <c r="B2769" s="75">
        <v>2766</v>
      </c>
      <c r="C2769">
        <v>146.0026838</v>
      </c>
      <c r="D2769">
        <v>-17.506357019999999</v>
      </c>
      <c r="G2769" s="75">
        <v>10</v>
      </c>
      <c r="H2769" s="75" t="s">
        <v>26</v>
      </c>
      <c r="I2769" t="str">
        <f t="shared" si="43"/>
        <v>X</v>
      </c>
      <c r="K2769" s="77"/>
      <c r="L2769" s="77"/>
      <c r="M2769" s="77"/>
      <c r="N2769" s="77"/>
      <c r="W2769" s="78"/>
    </row>
    <row r="2770" spans="1:23" s="75" customFormat="1" hidden="1" x14ac:dyDescent="0.35">
      <c r="A2770" s="75">
        <v>2766</v>
      </c>
      <c r="B2770" s="75">
        <v>2767</v>
      </c>
      <c r="C2770">
        <v>146.00264809999999</v>
      </c>
      <c r="D2770">
        <v>-17.506436539999999</v>
      </c>
      <c r="G2770" s="75">
        <v>10</v>
      </c>
      <c r="H2770" s="75" t="s">
        <v>26</v>
      </c>
      <c r="I2770" t="str">
        <f t="shared" si="43"/>
        <v>X</v>
      </c>
      <c r="K2770" s="77"/>
      <c r="L2770" s="77"/>
      <c r="M2770" s="77"/>
      <c r="N2770" s="77"/>
      <c r="W2770" s="78"/>
    </row>
    <row r="2771" spans="1:23" s="75" customFormat="1" hidden="1" x14ac:dyDescent="0.35">
      <c r="A2771" s="75">
        <v>2767</v>
      </c>
      <c r="B2771" s="75">
        <v>2768</v>
      </c>
      <c r="C2771">
        <v>146.0025814</v>
      </c>
      <c r="D2771">
        <v>-17.506503219999999</v>
      </c>
      <c r="G2771" s="75">
        <v>10</v>
      </c>
      <c r="H2771" s="75" t="s">
        <v>26</v>
      </c>
      <c r="I2771" t="str">
        <f t="shared" si="43"/>
        <v>X</v>
      </c>
      <c r="K2771" s="77"/>
      <c r="L2771" s="77"/>
      <c r="M2771" s="77"/>
      <c r="N2771" s="77"/>
      <c r="W2771" s="78"/>
    </row>
    <row r="2772" spans="1:23" s="75" customFormat="1" hidden="1" x14ac:dyDescent="0.35">
      <c r="A2772" s="75">
        <v>2768</v>
      </c>
      <c r="B2772" s="75">
        <v>2769</v>
      </c>
      <c r="C2772">
        <v>146.00251470000001</v>
      </c>
      <c r="D2772">
        <v>-17.506569899999999</v>
      </c>
      <c r="G2772" s="75">
        <v>10</v>
      </c>
      <c r="H2772" s="75" t="s">
        <v>26</v>
      </c>
      <c r="I2772" t="str">
        <f t="shared" si="43"/>
        <v>X</v>
      </c>
      <c r="K2772" s="77"/>
      <c r="L2772" s="77"/>
      <c r="M2772" s="77"/>
      <c r="N2772" s="77"/>
      <c r="W2772" s="78"/>
    </row>
    <row r="2773" spans="1:23" s="75" customFormat="1" hidden="1" x14ac:dyDescent="0.35">
      <c r="A2773" s="75">
        <v>2769</v>
      </c>
      <c r="B2773" s="75">
        <v>2770</v>
      </c>
      <c r="C2773">
        <v>146.0024507</v>
      </c>
      <c r="D2773">
        <v>-17.506638599999999</v>
      </c>
      <c r="G2773" s="75">
        <v>10</v>
      </c>
      <c r="H2773" s="75" t="s">
        <v>26</v>
      </c>
      <c r="I2773" t="str">
        <f t="shared" si="43"/>
        <v>X</v>
      </c>
      <c r="K2773" s="77"/>
      <c r="L2773" s="77"/>
      <c r="M2773" s="77"/>
      <c r="N2773" s="77"/>
      <c r="W2773" s="78"/>
    </row>
    <row r="2774" spans="1:23" s="75" customFormat="1" hidden="1" x14ac:dyDescent="0.35">
      <c r="A2774" s="75">
        <v>2770</v>
      </c>
      <c r="B2774" s="75">
        <v>2771</v>
      </c>
      <c r="C2774">
        <v>146.00240310000001</v>
      </c>
      <c r="D2774">
        <v>-17.506720059999999</v>
      </c>
      <c r="G2774" s="75">
        <v>10</v>
      </c>
      <c r="H2774" s="75" t="s">
        <v>26</v>
      </c>
      <c r="I2774" t="str">
        <f t="shared" si="43"/>
        <v>X</v>
      </c>
      <c r="K2774" s="77"/>
      <c r="L2774" s="77"/>
      <c r="M2774" s="77"/>
      <c r="N2774" s="77"/>
      <c r="W2774" s="78"/>
    </row>
    <row r="2775" spans="1:23" s="75" customFormat="1" hidden="1" x14ac:dyDescent="0.35">
      <c r="A2775" s="75">
        <v>2771</v>
      </c>
      <c r="B2775" s="75">
        <v>2772</v>
      </c>
      <c r="C2775">
        <v>146.00235559999999</v>
      </c>
      <c r="D2775">
        <v>-17.50680152</v>
      </c>
      <c r="G2775" s="75">
        <v>10</v>
      </c>
      <c r="H2775" s="75" t="s">
        <v>26</v>
      </c>
      <c r="I2775" t="str">
        <f t="shared" si="43"/>
        <v>X</v>
      </c>
      <c r="K2775" s="77"/>
      <c r="L2775" s="77"/>
      <c r="M2775" s="77"/>
      <c r="N2775" s="77"/>
      <c r="W2775" s="78"/>
    </row>
    <row r="2776" spans="1:23" s="75" customFormat="1" hidden="1" x14ac:dyDescent="0.35">
      <c r="A2776" s="75">
        <v>2772</v>
      </c>
      <c r="B2776" s="75">
        <v>2773</v>
      </c>
      <c r="C2776">
        <v>146.00231450000001</v>
      </c>
      <c r="D2776">
        <v>-17.506885459999999</v>
      </c>
      <c r="G2776" s="75">
        <v>10</v>
      </c>
      <c r="H2776" s="75" t="s">
        <v>26</v>
      </c>
      <c r="I2776" t="str">
        <f t="shared" si="43"/>
        <v>X</v>
      </c>
      <c r="K2776" s="77"/>
      <c r="L2776" s="77"/>
      <c r="M2776" s="77"/>
      <c r="N2776" s="77"/>
      <c r="W2776" s="78"/>
    </row>
    <row r="2777" spans="1:23" s="75" customFormat="1" hidden="1" x14ac:dyDescent="0.35">
      <c r="A2777" s="75">
        <v>2773</v>
      </c>
      <c r="B2777" s="75">
        <v>2774</v>
      </c>
      <c r="C2777">
        <v>146.00229429999999</v>
      </c>
      <c r="D2777">
        <v>-17.50697757</v>
      </c>
      <c r="G2777" s="75">
        <v>10</v>
      </c>
      <c r="H2777" s="75" t="s">
        <v>26</v>
      </c>
      <c r="I2777" t="str">
        <f t="shared" si="43"/>
        <v>X</v>
      </c>
      <c r="K2777" s="77"/>
      <c r="L2777" s="77"/>
      <c r="M2777" s="77"/>
      <c r="N2777" s="77"/>
      <c r="W2777" s="78"/>
    </row>
    <row r="2778" spans="1:23" s="75" customFormat="1" hidden="1" x14ac:dyDescent="0.35">
      <c r="A2778" s="75">
        <v>2774</v>
      </c>
      <c r="B2778" s="75">
        <v>2775</v>
      </c>
      <c r="C2778">
        <v>146.002274</v>
      </c>
      <c r="D2778">
        <v>-17.507069680000001</v>
      </c>
      <c r="G2778" s="75">
        <v>10</v>
      </c>
      <c r="H2778" s="75" t="s">
        <v>26</v>
      </c>
      <c r="I2778" t="str">
        <f t="shared" si="43"/>
        <v>X</v>
      </c>
      <c r="K2778" s="77"/>
      <c r="L2778" s="77"/>
      <c r="M2778" s="77"/>
      <c r="N2778" s="77"/>
      <c r="W2778" s="78"/>
    </row>
    <row r="2779" spans="1:23" s="75" customFormat="1" hidden="1" x14ac:dyDescent="0.35">
      <c r="A2779" s="75">
        <v>2775</v>
      </c>
      <c r="B2779" s="75">
        <v>2776</v>
      </c>
      <c r="C2779">
        <v>146.00225380000001</v>
      </c>
      <c r="D2779">
        <v>-17.507161790000001</v>
      </c>
      <c r="G2779" s="75">
        <v>10</v>
      </c>
      <c r="H2779" s="75" t="s">
        <v>26</v>
      </c>
      <c r="I2779" t="str">
        <f t="shared" si="43"/>
        <v>X</v>
      </c>
      <c r="K2779" s="77"/>
      <c r="L2779" s="77"/>
      <c r="M2779" s="77"/>
      <c r="N2779" s="77"/>
      <c r="W2779" s="78"/>
    </row>
    <row r="2780" spans="1:23" s="75" customFormat="1" hidden="1" x14ac:dyDescent="0.35">
      <c r="A2780" s="75">
        <v>2776</v>
      </c>
      <c r="B2780" s="75">
        <v>2777</v>
      </c>
      <c r="C2780">
        <v>146.00223360000001</v>
      </c>
      <c r="D2780">
        <v>-17.507253909999999</v>
      </c>
      <c r="G2780" s="75">
        <v>10</v>
      </c>
      <c r="H2780" s="75" t="s">
        <v>26</v>
      </c>
      <c r="I2780" t="str">
        <f t="shared" si="43"/>
        <v>X</v>
      </c>
      <c r="K2780" s="77"/>
      <c r="L2780" s="77"/>
      <c r="M2780" s="77"/>
      <c r="N2780" s="77"/>
      <c r="W2780" s="78"/>
    </row>
    <row r="2781" spans="1:23" s="75" customFormat="1" hidden="1" x14ac:dyDescent="0.35">
      <c r="A2781" s="75">
        <v>2777</v>
      </c>
      <c r="B2781" s="75">
        <v>2778</v>
      </c>
      <c r="C2781">
        <v>146.0022228</v>
      </c>
      <c r="D2781">
        <v>-17.507347500000002</v>
      </c>
      <c r="G2781" s="75">
        <v>10</v>
      </c>
      <c r="H2781" s="75" t="s">
        <v>26</v>
      </c>
      <c r="I2781" t="str">
        <f t="shared" si="43"/>
        <v>X</v>
      </c>
      <c r="K2781" s="77"/>
      <c r="L2781" s="77"/>
      <c r="M2781" s="77"/>
      <c r="N2781" s="77"/>
      <c r="W2781" s="78"/>
    </row>
    <row r="2782" spans="1:23" s="75" customFormat="1" hidden="1" x14ac:dyDescent="0.35">
      <c r="A2782" s="75">
        <v>2778</v>
      </c>
      <c r="B2782" s="75">
        <v>2779</v>
      </c>
      <c r="C2782">
        <v>146.0022137</v>
      </c>
      <c r="D2782">
        <v>-17.507441360000001</v>
      </c>
      <c r="G2782" s="75">
        <v>10</v>
      </c>
      <c r="H2782" s="75" t="s">
        <v>26</v>
      </c>
      <c r="I2782" t="str">
        <f t="shared" si="43"/>
        <v>X</v>
      </c>
      <c r="K2782" s="77"/>
      <c r="L2782" s="77"/>
      <c r="M2782" s="77"/>
      <c r="N2782" s="77"/>
      <c r="W2782" s="78"/>
    </row>
    <row r="2783" spans="1:23" s="75" customFormat="1" hidden="1" x14ac:dyDescent="0.35">
      <c r="A2783" s="75">
        <v>2779</v>
      </c>
      <c r="B2783" s="75">
        <v>2780</v>
      </c>
      <c r="C2783">
        <v>146.00219899999999</v>
      </c>
      <c r="D2783">
        <v>-17.507532749999999</v>
      </c>
      <c r="G2783" s="75">
        <v>10</v>
      </c>
      <c r="H2783" s="75" t="s">
        <v>26</v>
      </c>
      <c r="I2783" t="str">
        <f t="shared" si="43"/>
        <v>X</v>
      </c>
      <c r="K2783" s="77"/>
      <c r="L2783" s="77"/>
      <c r="M2783" s="77"/>
      <c r="N2783" s="77"/>
      <c r="W2783" s="78"/>
    </row>
    <row r="2784" spans="1:23" s="75" customFormat="1" hidden="1" x14ac:dyDescent="0.35">
      <c r="A2784" s="75">
        <v>2780</v>
      </c>
      <c r="B2784" s="75">
        <v>2781</v>
      </c>
      <c r="C2784">
        <v>146.0021333</v>
      </c>
      <c r="D2784">
        <v>-17.507600310000001</v>
      </c>
      <c r="G2784" s="75">
        <v>10</v>
      </c>
      <c r="H2784" s="75" t="s">
        <v>26</v>
      </c>
      <c r="I2784" t="str">
        <f t="shared" si="43"/>
        <v>X</v>
      </c>
      <c r="K2784" s="77"/>
      <c r="L2784" s="77"/>
      <c r="M2784" s="77"/>
      <c r="N2784" s="77"/>
      <c r="W2784" s="78"/>
    </row>
    <row r="2785" spans="1:23" s="75" customFormat="1" hidden="1" x14ac:dyDescent="0.35">
      <c r="A2785" s="75">
        <v>2781</v>
      </c>
      <c r="B2785" s="75">
        <v>2782</v>
      </c>
      <c r="C2785">
        <v>146.00206439999999</v>
      </c>
      <c r="D2785">
        <v>-17.507664699999999</v>
      </c>
      <c r="G2785" s="75">
        <v>10</v>
      </c>
      <c r="H2785" s="75" t="s">
        <v>26</v>
      </c>
      <c r="I2785" t="str">
        <f t="shared" si="43"/>
        <v>X</v>
      </c>
      <c r="K2785" s="77"/>
      <c r="L2785" s="77"/>
      <c r="M2785" s="77"/>
      <c r="N2785" s="77"/>
      <c r="W2785" s="78"/>
    </row>
    <row r="2786" spans="1:23" s="75" customFormat="1" hidden="1" x14ac:dyDescent="0.35">
      <c r="A2786" s="75">
        <v>2782</v>
      </c>
      <c r="B2786" s="75">
        <v>2783</v>
      </c>
      <c r="C2786">
        <v>146.00199549999999</v>
      </c>
      <c r="D2786">
        <v>-17.507729090000002</v>
      </c>
      <c r="G2786" s="75">
        <v>10</v>
      </c>
      <c r="H2786" s="75" t="s">
        <v>26</v>
      </c>
      <c r="I2786" t="str">
        <f t="shared" si="43"/>
        <v>X</v>
      </c>
      <c r="K2786" s="77"/>
      <c r="L2786" s="77"/>
      <c r="M2786" s="77"/>
      <c r="N2786" s="77"/>
      <c r="W2786" s="78"/>
    </row>
    <row r="2787" spans="1:23" s="75" customFormat="1" hidden="1" x14ac:dyDescent="0.35">
      <c r="A2787" s="75">
        <v>2783</v>
      </c>
      <c r="B2787" s="75">
        <v>2784</v>
      </c>
      <c r="C2787">
        <v>146.00192659999999</v>
      </c>
      <c r="D2787">
        <v>-17.507793490000001</v>
      </c>
      <c r="G2787" s="75">
        <v>10</v>
      </c>
      <c r="H2787" s="75" t="s">
        <v>26</v>
      </c>
      <c r="I2787" t="str">
        <f t="shared" si="43"/>
        <v>X</v>
      </c>
      <c r="K2787" s="77"/>
      <c r="L2787" s="77"/>
      <c r="M2787" s="77"/>
      <c r="N2787" s="77"/>
      <c r="W2787" s="78"/>
    </row>
    <row r="2788" spans="1:23" s="75" customFormat="1" hidden="1" x14ac:dyDescent="0.35">
      <c r="A2788" s="75">
        <v>2784</v>
      </c>
      <c r="B2788" s="75">
        <v>2785</v>
      </c>
      <c r="C2788">
        <v>146.00185769999999</v>
      </c>
      <c r="D2788">
        <v>-17.50785788</v>
      </c>
      <c r="G2788" s="75">
        <v>10</v>
      </c>
      <c r="H2788" s="75" t="s">
        <v>26</v>
      </c>
      <c r="I2788" t="str">
        <f t="shared" si="43"/>
        <v>X</v>
      </c>
      <c r="K2788" s="77"/>
      <c r="L2788" s="77"/>
      <c r="M2788" s="77"/>
      <c r="N2788" s="77"/>
      <c r="W2788" s="78"/>
    </row>
    <row r="2789" spans="1:23" s="75" customFormat="1" hidden="1" x14ac:dyDescent="0.35">
      <c r="A2789" s="75">
        <v>2785</v>
      </c>
      <c r="B2789" s="75">
        <v>2786</v>
      </c>
      <c r="C2789">
        <v>146.00178880000001</v>
      </c>
      <c r="D2789">
        <v>-17.507922270000002</v>
      </c>
      <c r="G2789" s="75">
        <v>10</v>
      </c>
      <c r="H2789" s="75" t="s">
        <v>26</v>
      </c>
      <c r="I2789" t="str">
        <f t="shared" si="43"/>
        <v>X</v>
      </c>
      <c r="K2789" s="77"/>
      <c r="L2789" s="77"/>
      <c r="M2789" s="77"/>
      <c r="N2789" s="77"/>
      <c r="W2789" s="78"/>
    </row>
    <row r="2790" spans="1:23" s="75" customFormat="1" hidden="1" x14ac:dyDescent="0.35">
      <c r="A2790" s="75">
        <v>2786</v>
      </c>
      <c r="B2790" s="75">
        <v>2787</v>
      </c>
      <c r="C2790">
        <v>146.0017062</v>
      </c>
      <c r="D2790">
        <v>-17.507966849999999</v>
      </c>
      <c r="G2790" s="75">
        <v>10</v>
      </c>
      <c r="H2790" s="75" t="s">
        <v>26</v>
      </c>
      <c r="I2790" t="str">
        <f t="shared" si="43"/>
        <v>X</v>
      </c>
      <c r="K2790" s="77"/>
      <c r="L2790" s="77"/>
      <c r="M2790" s="77"/>
      <c r="N2790" s="77"/>
      <c r="W2790" s="78"/>
    </row>
    <row r="2791" spans="1:23" s="75" customFormat="1" hidden="1" x14ac:dyDescent="0.35">
      <c r="A2791" s="75">
        <v>2787</v>
      </c>
      <c r="B2791" s="75">
        <v>2788</v>
      </c>
      <c r="C2791">
        <v>146.00162159999999</v>
      </c>
      <c r="D2791">
        <v>-17.508008490000002</v>
      </c>
      <c r="G2791" s="75">
        <v>10</v>
      </c>
      <c r="H2791" s="75" t="s">
        <v>26</v>
      </c>
      <c r="I2791" t="str">
        <f t="shared" si="43"/>
        <v>X</v>
      </c>
      <c r="K2791" s="77"/>
      <c r="L2791" s="77"/>
      <c r="M2791" s="77"/>
      <c r="N2791" s="77"/>
      <c r="W2791" s="78"/>
    </row>
    <row r="2792" spans="1:23" s="75" customFormat="1" hidden="1" x14ac:dyDescent="0.35">
      <c r="A2792" s="75">
        <v>2788</v>
      </c>
      <c r="B2792" s="75">
        <v>2789</v>
      </c>
      <c r="C2792">
        <v>146.00153700000001</v>
      </c>
      <c r="D2792">
        <v>-17.508050130000001</v>
      </c>
      <c r="G2792" s="75">
        <v>10</v>
      </c>
      <c r="H2792" s="75" t="s">
        <v>26</v>
      </c>
      <c r="I2792" t="str">
        <f t="shared" si="43"/>
        <v>X</v>
      </c>
      <c r="K2792" s="77"/>
      <c r="L2792" s="77"/>
      <c r="M2792" s="77"/>
      <c r="N2792" s="77"/>
      <c r="W2792" s="78"/>
    </row>
    <row r="2793" spans="1:23" s="75" customFormat="1" hidden="1" x14ac:dyDescent="0.35">
      <c r="A2793" s="75">
        <v>2789</v>
      </c>
      <c r="B2793" s="75">
        <v>2790</v>
      </c>
      <c r="C2793">
        <v>146.00145130000001</v>
      </c>
      <c r="D2793">
        <v>-17.50808889</v>
      </c>
      <c r="G2793" s="75">
        <v>10</v>
      </c>
      <c r="H2793" s="75" t="s">
        <v>26</v>
      </c>
      <c r="I2793" t="str">
        <f t="shared" si="43"/>
        <v>X</v>
      </c>
      <c r="K2793" s="77"/>
      <c r="L2793" s="77"/>
      <c r="M2793" s="77"/>
      <c r="N2793" s="77"/>
      <c r="W2793" s="78"/>
    </row>
    <row r="2794" spans="1:23" s="75" customFormat="1" hidden="1" x14ac:dyDescent="0.35">
      <c r="A2794" s="75">
        <v>2790</v>
      </c>
      <c r="B2794" s="75">
        <v>2791</v>
      </c>
      <c r="C2794">
        <v>146.00135990000001</v>
      </c>
      <c r="D2794">
        <v>-17.508111920000001</v>
      </c>
      <c r="G2794" s="75">
        <v>10</v>
      </c>
      <c r="H2794" s="75" t="s">
        <v>26</v>
      </c>
      <c r="I2794" t="str">
        <f t="shared" si="43"/>
        <v>X</v>
      </c>
      <c r="K2794" s="77"/>
      <c r="L2794" s="77"/>
      <c r="M2794" s="77"/>
      <c r="N2794" s="77"/>
      <c r="W2794" s="78"/>
    </row>
    <row r="2795" spans="1:23" s="75" customFormat="1" hidden="1" x14ac:dyDescent="0.35">
      <c r="A2795" s="75">
        <v>2791</v>
      </c>
      <c r="B2795" s="75">
        <v>2792</v>
      </c>
      <c r="C2795">
        <v>146.00126850000001</v>
      </c>
      <c r="D2795">
        <v>-17.50813496</v>
      </c>
      <c r="G2795" s="75">
        <v>10</v>
      </c>
      <c r="H2795" s="75" t="s">
        <v>26</v>
      </c>
      <c r="I2795" t="str">
        <f t="shared" si="43"/>
        <v>X</v>
      </c>
      <c r="K2795" s="77"/>
      <c r="L2795" s="77"/>
      <c r="M2795" s="77"/>
      <c r="N2795" s="77"/>
      <c r="W2795" s="78"/>
    </row>
    <row r="2796" spans="1:23" s="75" customFormat="1" hidden="1" x14ac:dyDescent="0.35">
      <c r="A2796" s="75">
        <v>2792</v>
      </c>
      <c r="B2796" s="75">
        <v>2793</v>
      </c>
      <c r="C2796">
        <v>146.00117700000001</v>
      </c>
      <c r="D2796">
        <v>-17.508157990000001</v>
      </c>
      <c r="G2796" s="75">
        <v>10</v>
      </c>
      <c r="H2796" s="75" t="s">
        <v>26</v>
      </c>
      <c r="I2796" t="str">
        <f t="shared" si="43"/>
        <v>X</v>
      </c>
      <c r="K2796" s="77"/>
      <c r="L2796" s="77"/>
      <c r="M2796" s="77"/>
      <c r="N2796" s="77"/>
      <c r="W2796" s="78"/>
    </row>
    <row r="2797" spans="1:23" s="75" customFormat="1" hidden="1" x14ac:dyDescent="0.35">
      <c r="A2797" s="75">
        <v>2793</v>
      </c>
      <c r="B2797" s="75">
        <v>2794</v>
      </c>
      <c r="C2797">
        <v>146.00108549999999</v>
      </c>
      <c r="D2797">
        <v>-17.508180889999998</v>
      </c>
      <c r="G2797" s="75">
        <v>10</v>
      </c>
      <c r="H2797" s="75" t="s">
        <v>26</v>
      </c>
      <c r="I2797" t="str">
        <f t="shared" si="43"/>
        <v>X</v>
      </c>
      <c r="K2797" s="77"/>
      <c r="L2797" s="77"/>
      <c r="M2797" s="77"/>
      <c r="N2797" s="77"/>
      <c r="W2797" s="78"/>
    </row>
    <row r="2798" spans="1:23" s="75" customFormat="1" hidden="1" x14ac:dyDescent="0.35">
      <c r="A2798" s="75">
        <v>2794</v>
      </c>
      <c r="B2798" s="75">
        <v>2795</v>
      </c>
      <c r="C2798">
        <v>146.0009939</v>
      </c>
      <c r="D2798">
        <v>-17.50820319</v>
      </c>
      <c r="G2798" s="75">
        <v>10</v>
      </c>
      <c r="H2798" s="75" t="s">
        <v>26</v>
      </c>
      <c r="I2798" t="str">
        <f t="shared" si="43"/>
        <v>X</v>
      </c>
      <c r="K2798" s="77"/>
      <c r="L2798" s="77"/>
      <c r="M2798" s="77"/>
      <c r="N2798" s="77"/>
      <c r="W2798" s="78"/>
    </row>
    <row r="2799" spans="1:23" s="75" customFormat="1" hidden="1" x14ac:dyDescent="0.35">
      <c r="A2799" s="75">
        <v>2795</v>
      </c>
      <c r="B2799" s="75">
        <v>2796</v>
      </c>
      <c r="C2799">
        <v>146.00090420000001</v>
      </c>
      <c r="D2799">
        <v>-17.508231689999999</v>
      </c>
      <c r="G2799" s="75">
        <v>10</v>
      </c>
      <c r="H2799" s="75" t="s">
        <v>26</v>
      </c>
      <c r="I2799" t="str">
        <f t="shared" si="43"/>
        <v>X</v>
      </c>
      <c r="K2799" s="77"/>
      <c r="L2799" s="77"/>
      <c r="M2799" s="77"/>
      <c r="N2799" s="77"/>
      <c r="W2799" s="78"/>
    </row>
    <row r="2800" spans="1:23" s="75" customFormat="1" hidden="1" x14ac:dyDescent="0.35">
      <c r="A2800" s="75">
        <v>2796</v>
      </c>
      <c r="B2800" s="75">
        <v>2797</v>
      </c>
      <c r="C2800">
        <v>146.00081589999999</v>
      </c>
      <c r="D2800">
        <v>-17.50826485</v>
      </c>
      <c r="G2800" s="75">
        <v>10</v>
      </c>
      <c r="H2800" s="75" t="s">
        <v>26</v>
      </c>
      <c r="I2800" t="str">
        <f t="shared" si="43"/>
        <v>X</v>
      </c>
      <c r="K2800" s="77"/>
      <c r="L2800" s="77"/>
      <c r="M2800" s="77"/>
      <c r="N2800" s="77"/>
      <c r="W2800" s="78"/>
    </row>
    <row r="2801" spans="1:23" s="75" customFormat="1" hidden="1" x14ac:dyDescent="0.35">
      <c r="A2801" s="75">
        <v>2797</v>
      </c>
      <c r="B2801" s="75">
        <v>2798</v>
      </c>
      <c r="C2801">
        <v>146.0007276</v>
      </c>
      <c r="D2801">
        <v>-17.508298020000002</v>
      </c>
      <c r="G2801" s="75">
        <v>10</v>
      </c>
      <c r="H2801" s="75" t="s">
        <v>26</v>
      </c>
      <c r="I2801" t="str">
        <f t="shared" si="43"/>
        <v>X</v>
      </c>
      <c r="K2801" s="77"/>
      <c r="L2801" s="77"/>
      <c r="M2801" s="77"/>
      <c r="N2801" s="77"/>
      <c r="W2801" s="78"/>
    </row>
    <row r="2802" spans="1:23" s="75" customFormat="1" hidden="1" x14ac:dyDescent="0.35">
      <c r="A2802" s="75">
        <v>2798</v>
      </c>
      <c r="B2802" s="75">
        <v>2799</v>
      </c>
      <c r="C2802">
        <v>146.00063929999999</v>
      </c>
      <c r="D2802">
        <v>-17.508331179999999</v>
      </c>
      <c r="G2802" s="75">
        <v>10</v>
      </c>
      <c r="H2802" s="75" t="s">
        <v>26</v>
      </c>
      <c r="I2802" t="str">
        <f t="shared" si="43"/>
        <v>X</v>
      </c>
      <c r="K2802" s="77"/>
      <c r="L2802" s="77"/>
      <c r="M2802" s="77"/>
      <c r="N2802" s="77"/>
      <c r="W2802" s="78"/>
    </row>
    <row r="2803" spans="1:23" s="75" customFormat="1" hidden="1" x14ac:dyDescent="0.35">
      <c r="A2803" s="75">
        <v>2799</v>
      </c>
      <c r="B2803" s="75">
        <v>2800</v>
      </c>
      <c r="C2803">
        <v>146.0005511</v>
      </c>
      <c r="D2803">
        <v>-17.508364350000001</v>
      </c>
      <c r="G2803" s="75">
        <v>10</v>
      </c>
      <c r="H2803" s="75" t="s">
        <v>26</v>
      </c>
      <c r="I2803" t="str">
        <f t="shared" si="43"/>
        <v>X</v>
      </c>
      <c r="K2803" s="77"/>
      <c r="L2803" s="77"/>
      <c r="M2803" s="77"/>
      <c r="N2803" s="77"/>
      <c r="W2803" s="78"/>
    </row>
    <row r="2804" spans="1:23" s="75" customFormat="1" hidden="1" x14ac:dyDescent="0.35">
      <c r="A2804" s="75">
        <v>2800</v>
      </c>
      <c r="B2804" s="75">
        <v>2801</v>
      </c>
      <c r="C2804">
        <v>146.00045729999999</v>
      </c>
      <c r="D2804">
        <v>-17.508371969999999</v>
      </c>
      <c r="G2804" s="75">
        <v>10</v>
      </c>
      <c r="H2804" s="75" t="s">
        <v>26</v>
      </c>
      <c r="I2804" t="str">
        <f t="shared" si="43"/>
        <v>X</v>
      </c>
      <c r="K2804" s="77"/>
      <c r="L2804" s="77"/>
      <c r="M2804" s="77"/>
      <c r="N2804" s="77"/>
      <c r="W2804" s="78"/>
    </row>
    <row r="2805" spans="1:23" s="75" customFormat="1" hidden="1" x14ac:dyDescent="0.35">
      <c r="A2805" s="75">
        <v>2801</v>
      </c>
      <c r="B2805" s="75">
        <v>2802</v>
      </c>
      <c r="C2805">
        <v>146.00036320000001</v>
      </c>
      <c r="D2805">
        <v>-17.50837769</v>
      </c>
      <c r="G2805" s="75">
        <v>10</v>
      </c>
      <c r="H2805" s="75" t="s">
        <v>26</v>
      </c>
      <c r="I2805" t="str">
        <f t="shared" si="43"/>
        <v>X</v>
      </c>
      <c r="K2805" s="77"/>
      <c r="L2805" s="77"/>
      <c r="M2805" s="77"/>
      <c r="N2805" s="77"/>
      <c r="W2805" s="78"/>
    </row>
    <row r="2806" spans="1:23" s="75" customFormat="1" hidden="1" x14ac:dyDescent="0.35">
      <c r="A2806" s="75">
        <v>2802</v>
      </c>
      <c r="B2806" s="75">
        <v>2803</v>
      </c>
      <c r="C2806">
        <v>146.0002691</v>
      </c>
      <c r="D2806">
        <v>-17.50838341</v>
      </c>
      <c r="G2806" s="75">
        <v>10</v>
      </c>
      <c r="H2806" s="75" t="s">
        <v>26</v>
      </c>
      <c r="I2806" t="str">
        <f t="shared" si="43"/>
        <v>X</v>
      </c>
      <c r="K2806" s="77"/>
      <c r="L2806" s="77"/>
      <c r="M2806" s="77"/>
      <c r="N2806" s="77"/>
      <c r="W2806" s="78"/>
    </row>
    <row r="2807" spans="1:23" s="75" customFormat="1" hidden="1" x14ac:dyDescent="0.35">
      <c r="A2807" s="75">
        <v>2803</v>
      </c>
      <c r="B2807" s="75">
        <v>2804</v>
      </c>
      <c r="C2807">
        <v>146.00017489999999</v>
      </c>
      <c r="D2807">
        <v>-17.508389130000001</v>
      </c>
      <c r="G2807" s="75">
        <v>10</v>
      </c>
      <c r="H2807" s="75" t="s">
        <v>26</v>
      </c>
      <c r="I2807" t="str">
        <f t="shared" si="43"/>
        <v>X</v>
      </c>
      <c r="K2807" s="77"/>
      <c r="L2807" s="77"/>
      <c r="M2807" s="77"/>
      <c r="N2807" s="77"/>
      <c r="W2807" s="78"/>
    </row>
    <row r="2808" spans="1:23" s="75" customFormat="1" hidden="1" x14ac:dyDescent="0.35">
      <c r="A2808" s="75">
        <v>2804</v>
      </c>
      <c r="B2808" s="75">
        <v>2805</v>
      </c>
      <c r="C2808">
        <v>146.00008080000001</v>
      </c>
      <c r="D2808">
        <v>-17.508394849999998</v>
      </c>
      <c r="G2808" s="75">
        <v>10</v>
      </c>
      <c r="H2808" s="75" t="s">
        <v>26</v>
      </c>
      <c r="I2808" t="str">
        <f t="shared" si="43"/>
        <v>X</v>
      </c>
      <c r="K2808" s="77"/>
      <c r="L2808" s="77"/>
      <c r="M2808" s="77"/>
      <c r="N2808" s="77"/>
      <c r="W2808" s="78"/>
    </row>
    <row r="2809" spans="1:23" s="75" customFormat="1" hidden="1" x14ac:dyDescent="0.35">
      <c r="A2809" s="75">
        <v>2805</v>
      </c>
      <c r="B2809" s="75">
        <v>2806</v>
      </c>
      <c r="C2809">
        <v>145.99998669999999</v>
      </c>
      <c r="D2809">
        <v>-17.50840058</v>
      </c>
      <c r="G2809" s="75">
        <v>10</v>
      </c>
      <c r="H2809" s="75" t="s">
        <v>26</v>
      </c>
      <c r="I2809" t="str">
        <f t="shared" si="43"/>
        <v>X</v>
      </c>
      <c r="K2809" s="77"/>
      <c r="L2809" s="77"/>
      <c r="M2809" s="77"/>
      <c r="N2809" s="77"/>
      <c r="W2809" s="78"/>
    </row>
    <row r="2810" spans="1:23" s="75" customFormat="1" hidden="1" x14ac:dyDescent="0.35">
      <c r="A2810" s="75">
        <v>2806</v>
      </c>
      <c r="B2810" s="75">
        <v>2807</v>
      </c>
      <c r="C2810">
        <v>145.99989260000001</v>
      </c>
      <c r="D2810">
        <v>-17.508406300000001</v>
      </c>
      <c r="G2810" s="75">
        <v>10</v>
      </c>
      <c r="H2810" s="75" t="s">
        <v>26</v>
      </c>
      <c r="I2810" t="str">
        <f t="shared" si="43"/>
        <v>X</v>
      </c>
      <c r="K2810" s="77"/>
      <c r="L2810" s="77"/>
      <c r="M2810" s="77"/>
      <c r="N2810" s="77"/>
      <c r="W2810" s="78"/>
    </row>
    <row r="2811" spans="1:23" s="75" customFormat="1" hidden="1" x14ac:dyDescent="0.35">
      <c r="A2811" s="75">
        <v>2807</v>
      </c>
      <c r="B2811" s="75">
        <v>2808</v>
      </c>
      <c r="C2811">
        <v>145.9997984</v>
      </c>
      <c r="D2811">
        <v>-17.508412020000002</v>
      </c>
      <c r="G2811" s="75">
        <v>10</v>
      </c>
      <c r="H2811" s="75" t="s">
        <v>26</v>
      </c>
      <c r="I2811" t="str">
        <f t="shared" si="43"/>
        <v>X</v>
      </c>
      <c r="K2811" s="77"/>
      <c r="L2811" s="77"/>
      <c r="M2811" s="77"/>
      <c r="N2811" s="77"/>
      <c r="W2811" s="78"/>
    </row>
    <row r="2812" spans="1:23" s="75" customFormat="1" hidden="1" x14ac:dyDescent="0.35">
      <c r="A2812" s="75">
        <v>2808</v>
      </c>
      <c r="B2812" s="75">
        <v>2809</v>
      </c>
      <c r="C2812">
        <v>145.99970429999999</v>
      </c>
      <c r="D2812">
        <v>-17.508417739999999</v>
      </c>
      <c r="G2812" s="75">
        <v>10</v>
      </c>
      <c r="H2812" s="75" t="s">
        <v>26</v>
      </c>
      <c r="I2812" t="str">
        <f t="shared" si="43"/>
        <v>X</v>
      </c>
      <c r="K2812" s="77"/>
      <c r="L2812" s="77"/>
      <c r="M2812" s="77"/>
      <c r="N2812" s="77"/>
      <c r="W2812" s="78"/>
    </row>
    <row r="2813" spans="1:23" s="75" customFormat="1" hidden="1" x14ac:dyDescent="0.35">
      <c r="A2813" s="75">
        <v>2809</v>
      </c>
      <c r="B2813" s="75">
        <v>2810</v>
      </c>
      <c r="C2813">
        <v>145.99961020000001</v>
      </c>
      <c r="D2813">
        <v>-17.50842347</v>
      </c>
      <c r="G2813" s="75">
        <v>10</v>
      </c>
      <c r="H2813" s="75" t="s">
        <v>26</v>
      </c>
      <c r="I2813" t="str">
        <f t="shared" si="43"/>
        <v>X</v>
      </c>
      <c r="K2813" s="77"/>
      <c r="L2813" s="77"/>
      <c r="M2813" s="77"/>
      <c r="N2813" s="77"/>
      <c r="W2813" s="78"/>
    </row>
    <row r="2814" spans="1:23" s="75" customFormat="1" hidden="1" x14ac:dyDescent="0.35">
      <c r="A2814" s="75">
        <v>2810</v>
      </c>
      <c r="B2814" s="75">
        <v>2811</v>
      </c>
      <c r="C2814">
        <v>145.999516</v>
      </c>
      <c r="D2814">
        <v>-17.508429190000001</v>
      </c>
      <c r="G2814" s="75">
        <v>10</v>
      </c>
      <c r="H2814" s="75" t="s">
        <v>26</v>
      </c>
      <c r="I2814" t="str">
        <f t="shared" si="43"/>
        <v>X</v>
      </c>
      <c r="K2814" s="77"/>
      <c r="L2814" s="77"/>
      <c r="M2814" s="77"/>
      <c r="N2814" s="77"/>
      <c r="W2814" s="78"/>
    </row>
    <row r="2815" spans="1:23" s="75" customFormat="1" hidden="1" x14ac:dyDescent="0.35">
      <c r="A2815" s="75">
        <v>2811</v>
      </c>
      <c r="B2815" s="75">
        <v>2812</v>
      </c>
      <c r="C2815">
        <v>145.99942189999999</v>
      </c>
      <c r="D2815">
        <v>-17.508434909999998</v>
      </c>
      <c r="G2815" s="75">
        <v>10</v>
      </c>
      <c r="H2815" s="75" t="s">
        <v>26</v>
      </c>
      <c r="I2815" t="str">
        <f t="shared" si="43"/>
        <v>X</v>
      </c>
      <c r="K2815" s="77"/>
      <c r="L2815" s="77"/>
      <c r="M2815" s="77"/>
      <c r="N2815" s="77"/>
      <c r="W2815" s="78"/>
    </row>
    <row r="2816" spans="1:23" s="75" customFormat="1" hidden="1" x14ac:dyDescent="0.35">
      <c r="A2816" s="75">
        <v>2812</v>
      </c>
      <c r="B2816" s="75">
        <v>2813</v>
      </c>
      <c r="C2816">
        <v>145.99932759999999</v>
      </c>
      <c r="D2816">
        <v>-17.508434019999999</v>
      </c>
      <c r="G2816" s="75">
        <v>10</v>
      </c>
      <c r="H2816" s="75" t="s">
        <v>26</v>
      </c>
      <c r="I2816" t="str">
        <f t="shared" si="43"/>
        <v>X</v>
      </c>
      <c r="K2816" s="77"/>
      <c r="L2816" s="77"/>
      <c r="M2816" s="77"/>
      <c r="N2816" s="77"/>
      <c r="W2816" s="78"/>
    </row>
    <row r="2817" spans="1:23" s="75" customFormat="1" hidden="1" x14ac:dyDescent="0.35">
      <c r="A2817" s="75">
        <v>2813</v>
      </c>
      <c r="B2817" s="75">
        <v>2814</v>
      </c>
      <c r="C2817">
        <v>145.99923340000001</v>
      </c>
      <c r="D2817">
        <v>-17.508432060000001</v>
      </c>
      <c r="G2817" s="75">
        <v>10</v>
      </c>
      <c r="H2817" s="75" t="s">
        <v>26</v>
      </c>
      <c r="I2817" t="str">
        <f t="shared" si="43"/>
        <v>X</v>
      </c>
      <c r="K2817" s="77"/>
      <c r="L2817" s="77"/>
      <c r="M2817" s="77"/>
      <c r="N2817" s="77"/>
      <c r="W2817" s="78"/>
    </row>
    <row r="2818" spans="1:23" s="75" customFormat="1" hidden="1" x14ac:dyDescent="0.35">
      <c r="A2818" s="75">
        <v>2814</v>
      </c>
      <c r="B2818" s="75">
        <v>2815</v>
      </c>
      <c r="C2818">
        <v>145.99913910000001</v>
      </c>
      <c r="D2818">
        <v>-17.508430100000002</v>
      </c>
      <c r="G2818" s="75">
        <v>10</v>
      </c>
      <c r="H2818" s="75" t="s">
        <v>26</v>
      </c>
      <c r="I2818" t="str">
        <f t="shared" si="43"/>
        <v>X</v>
      </c>
      <c r="K2818" s="77"/>
      <c r="L2818" s="77"/>
      <c r="M2818" s="77"/>
      <c r="N2818" s="77"/>
      <c r="W2818" s="78"/>
    </row>
    <row r="2819" spans="1:23" s="75" customFormat="1" hidden="1" x14ac:dyDescent="0.35">
      <c r="A2819" s="75">
        <v>2815</v>
      </c>
      <c r="B2819" s="75">
        <v>2816</v>
      </c>
      <c r="C2819">
        <v>145.99904480000001</v>
      </c>
      <c r="D2819">
        <v>-17.508428139999999</v>
      </c>
      <c r="G2819" s="75">
        <v>10</v>
      </c>
      <c r="H2819" s="75" t="s">
        <v>26</v>
      </c>
      <c r="I2819" t="str">
        <f t="shared" si="43"/>
        <v>X</v>
      </c>
      <c r="K2819" s="77"/>
      <c r="L2819" s="77"/>
      <c r="M2819" s="77"/>
      <c r="N2819" s="77"/>
      <c r="W2819" s="78"/>
    </row>
    <row r="2820" spans="1:23" s="75" customFormat="1" hidden="1" x14ac:dyDescent="0.35">
      <c r="A2820" s="75">
        <v>2816</v>
      </c>
      <c r="B2820" s="75">
        <v>2817</v>
      </c>
      <c r="C2820">
        <v>145.99895050000001</v>
      </c>
      <c r="D2820">
        <v>-17.508426180000001</v>
      </c>
      <c r="G2820" s="75">
        <v>10</v>
      </c>
      <c r="H2820" s="75" t="s">
        <v>26</v>
      </c>
      <c r="I2820" t="str">
        <f t="shared" si="43"/>
        <v>X</v>
      </c>
      <c r="K2820" s="77"/>
      <c r="L2820" s="77"/>
      <c r="M2820" s="77"/>
      <c r="N2820" s="77"/>
      <c r="W2820" s="78"/>
    </row>
    <row r="2821" spans="1:23" s="75" customFormat="1" hidden="1" x14ac:dyDescent="0.35">
      <c r="A2821" s="75">
        <v>2817</v>
      </c>
      <c r="B2821" s="75">
        <v>2818</v>
      </c>
      <c r="C2821">
        <v>145.99885620000001</v>
      </c>
      <c r="D2821">
        <v>-17.508424219999998</v>
      </c>
      <c r="G2821" s="75">
        <v>10</v>
      </c>
      <c r="H2821" s="75" t="s">
        <v>26</v>
      </c>
      <c r="I2821" t="str">
        <f t="shared" ref="I2821:I2884" si="44">IF(H2821="X","X",IF(J2821="NA","X",IF(J2821="","X",J2821)))</f>
        <v>X</v>
      </c>
      <c r="K2821" s="77"/>
      <c r="L2821" s="77"/>
      <c r="M2821" s="77"/>
      <c r="N2821" s="77"/>
      <c r="W2821" s="78"/>
    </row>
    <row r="2822" spans="1:23" s="75" customFormat="1" hidden="1" x14ac:dyDescent="0.35">
      <c r="A2822" s="75">
        <v>2818</v>
      </c>
      <c r="B2822" s="75">
        <v>2819</v>
      </c>
      <c r="C2822">
        <v>145.99876190000001</v>
      </c>
      <c r="D2822">
        <v>-17.50842226</v>
      </c>
      <c r="G2822" s="75">
        <v>10</v>
      </c>
      <c r="H2822" s="75" t="s">
        <v>26</v>
      </c>
      <c r="I2822" t="str">
        <f t="shared" si="44"/>
        <v>X</v>
      </c>
      <c r="K2822" s="77"/>
      <c r="L2822" s="77"/>
      <c r="M2822" s="77"/>
      <c r="N2822" s="77"/>
      <c r="W2822" s="78"/>
    </row>
    <row r="2823" spans="1:23" s="75" customFormat="1" hidden="1" x14ac:dyDescent="0.35">
      <c r="A2823" s="75">
        <v>2819</v>
      </c>
      <c r="B2823" s="75">
        <v>2820</v>
      </c>
      <c r="C2823">
        <v>145.99866969999999</v>
      </c>
      <c r="D2823">
        <v>-17.50840586</v>
      </c>
      <c r="G2823" s="75">
        <v>10</v>
      </c>
      <c r="H2823" s="75" t="s">
        <v>26</v>
      </c>
      <c r="I2823" t="str">
        <f t="shared" si="44"/>
        <v>X</v>
      </c>
      <c r="K2823" s="77"/>
      <c r="L2823" s="77"/>
      <c r="M2823" s="77"/>
      <c r="N2823" s="77"/>
      <c r="W2823" s="78"/>
    </row>
    <row r="2824" spans="1:23" s="75" customFormat="1" hidden="1" x14ac:dyDescent="0.35">
      <c r="A2824" s="75">
        <v>2820</v>
      </c>
      <c r="B2824" s="75">
        <v>2821</v>
      </c>
      <c r="C2824">
        <v>145.99857850000001</v>
      </c>
      <c r="D2824">
        <v>-17.50838195</v>
      </c>
      <c r="G2824" s="75">
        <v>10</v>
      </c>
      <c r="H2824" s="75" t="s">
        <v>26</v>
      </c>
      <c r="I2824" t="str">
        <f t="shared" si="44"/>
        <v>X</v>
      </c>
      <c r="K2824" s="77"/>
      <c r="L2824" s="77"/>
      <c r="M2824" s="77"/>
      <c r="N2824" s="77"/>
      <c r="W2824" s="78"/>
    </row>
    <row r="2825" spans="1:23" s="75" customFormat="1" hidden="1" x14ac:dyDescent="0.35">
      <c r="A2825" s="75">
        <v>2821</v>
      </c>
      <c r="B2825" s="75">
        <v>2822</v>
      </c>
      <c r="C2825">
        <v>145.9984872</v>
      </c>
      <c r="D2825">
        <v>-17.50835803</v>
      </c>
      <c r="G2825" s="75">
        <v>10</v>
      </c>
      <c r="H2825" s="75" t="s">
        <v>26</v>
      </c>
      <c r="I2825" t="str">
        <f t="shared" si="44"/>
        <v>X</v>
      </c>
      <c r="K2825" s="77"/>
      <c r="L2825" s="77"/>
      <c r="M2825" s="77"/>
      <c r="N2825" s="77"/>
      <c r="W2825" s="78"/>
    </row>
    <row r="2826" spans="1:23" s="75" customFormat="1" hidden="1" x14ac:dyDescent="0.35">
      <c r="A2826" s="75">
        <v>2822</v>
      </c>
      <c r="B2826" s="75">
        <v>2823</v>
      </c>
      <c r="C2826">
        <v>145.99839600000001</v>
      </c>
      <c r="D2826">
        <v>-17.50833411</v>
      </c>
      <c r="G2826" s="75">
        <v>10</v>
      </c>
      <c r="H2826" s="75" t="s">
        <v>26</v>
      </c>
      <c r="I2826" t="str">
        <f t="shared" si="44"/>
        <v>X</v>
      </c>
      <c r="K2826" s="77"/>
      <c r="L2826" s="77"/>
      <c r="M2826" s="77"/>
      <c r="N2826" s="77"/>
      <c r="W2826" s="78"/>
    </row>
    <row r="2827" spans="1:23" s="75" customFormat="1" hidden="1" x14ac:dyDescent="0.35">
      <c r="A2827" s="75">
        <v>2823</v>
      </c>
      <c r="B2827" s="75">
        <v>2824</v>
      </c>
      <c r="C2827">
        <v>145.9983048</v>
      </c>
      <c r="D2827">
        <v>-17.5083102</v>
      </c>
      <c r="G2827" s="75">
        <v>10</v>
      </c>
      <c r="H2827" s="75" t="s">
        <v>26</v>
      </c>
      <c r="I2827" t="str">
        <f t="shared" si="44"/>
        <v>X</v>
      </c>
      <c r="K2827" s="77"/>
      <c r="L2827" s="77"/>
      <c r="M2827" s="77"/>
      <c r="N2827" s="77"/>
      <c r="W2827" s="78"/>
    </row>
    <row r="2828" spans="1:23" s="75" customFormat="1" hidden="1" x14ac:dyDescent="0.35">
      <c r="A2828" s="75">
        <v>2824</v>
      </c>
      <c r="B2828" s="75">
        <v>2825</v>
      </c>
      <c r="C2828">
        <v>145.99821209999999</v>
      </c>
      <c r="D2828">
        <v>-17.50829517</v>
      </c>
      <c r="G2828" s="75">
        <v>10</v>
      </c>
      <c r="H2828" s="75" t="s">
        <v>26</v>
      </c>
      <c r="I2828" t="str">
        <f t="shared" si="44"/>
        <v>X</v>
      </c>
      <c r="K2828" s="77"/>
      <c r="L2828" s="77"/>
      <c r="M2828" s="77"/>
      <c r="N2828" s="77"/>
      <c r="W2828" s="78"/>
    </row>
    <row r="2829" spans="1:23" s="75" customFormat="1" hidden="1" x14ac:dyDescent="0.35">
      <c r="A2829" s="75">
        <v>2825</v>
      </c>
      <c r="B2829" s="75">
        <v>2826</v>
      </c>
      <c r="C2829">
        <v>145.9981181</v>
      </c>
      <c r="D2829">
        <v>-17.50828782</v>
      </c>
      <c r="G2829" s="75">
        <v>10</v>
      </c>
      <c r="H2829" s="75" t="s">
        <v>26</v>
      </c>
      <c r="I2829" t="str">
        <f t="shared" si="44"/>
        <v>X</v>
      </c>
      <c r="K2829" s="77"/>
      <c r="L2829" s="77"/>
      <c r="M2829" s="77"/>
      <c r="N2829" s="77"/>
      <c r="W2829" s="78"/>
    </row>
    <row r="2830" spans="1:23" s="75" customFormat="1" hidden="1" x14ac:dyDescent="0.35">
      <c r="A2830" s="75">
        <v>2826</v>
      </c>
      <c r="B2830" s="75">
        <v>2827</v>
      </c>
      <c r="C2830">
        <v>145.99802399999999</v>
      </c>
      <c r="D2830">
        <v>-17.508280460000002</v>
      </c>
      <c r="G2830" s="75">
        <v>10</v>
      </c>
      <c r="H2830" s="75" t="s">
        <v>26</v>
      </c>
      <c r="I2830" t="str">
        <f t="shared" si="44"/>
        <v>X</v>
      </c>
      <c r="K2830" s="77"/>
      <c r="L2830" s="77"/>
      <c r="M2830" s="77"/>
      <c r="N2830" s="77"/>
      <c r="W2830" s="78"/>
    </row>
    <row r="2831" spans="1:23" s="75" customFormat="1" hidden="1" x14ac:dyDescent="0.35">
      <c r="A2831" s="75">
        <v>2827</v>
      </c>
      <c r="B2831" s="75">
        <v>2828</v>
      </c>
      <c r="C2831">
        <v>145.99793</v>
      </c>
      <c r="D2831">
        <v>-17.5082731</v>
      </c>
      <c r="G2831" s="75">
        <v>10</v>
      </c>
      <c r="H2831" s="75" t="s">
        <v>26</v>
      </c>
      <c r="I2831" t="str">
        <f t="shared" si="44"/>
        <v>X</v>
      </c>
      <c r="K2831" s="77"/>
      <c r="L2831" s="77"/>
      <c r="M2831" s="77"/>
      <c r="N2831" s="77"/>
      <c r="W2831" s="78"/>
    </row>
    <row r="2832" spans="1:23" s="75" customFormat="1" hidden="1" x14ac:dyDescent="0.35">
      <c r="A2832" s="75">
        <v>2828</v>
      </c>
      <c r="B2832" s="75">
        <v>2829</v>
      </c>
      <c r="C2832">
        <v>145.997838</v>
      </c>
      <c r="D2832">
        <v>-17.50825571</v>
      </c>
      <c r="G2832" s="75">
        <v>10</v>
      </c>
      <c r="H2832" s="75" t="s">
        <v>26</v>
      </c>
      <c r="I2832" t="str">
        <f t="shared" si="44"/>
        <v>X</v>
      </c>
      <c r="K2832" s="77"/>
      <c r="L2832" s="77"/>
      <c r="M2832" s="77"/>
      <c r="N2832" s="77"/>
      <c r="W2832" s="78"/>
    </row>
    <row r="2833" spans="1:23" s="75" customFormat="1" hidden="1" x14ac:dyDescent="0.35">
      <c r="A2833" s="75">
        <v>2829</v>
      </c>
      <c r="B2833" s="75">
        <v>2830</v>
      </c>
      <c r="C2833">
        <v>145.99774840000001</v>
      </c>
      <c r="D2833">
        <v>-17.508226229999998</v>
      </c>
      <c r="G2833" s="75">
        <v>10</v>
      </c>
      <c r="H2833" s="75" t="s">
        <v>26</v>
      </c>
      <c r="I2833" t="str">
        <f t="shared" si="44"/>
        <v>X</v>
      </c>
      <c r="K2833" s="77"/>
      <c r="L2833" s="77"/>
      <c r="M2833" s="77"/>
      <c r="N2833" s="77"/>
      <c r="W2833" s="78"/>
    </row>
    <row r="2834" spans="1:23" s="75" customFormat="1" hidden="1" x14ac:dyDescent="0.35">
      <c r="A2834" s="75">
        <v>2830</v>
      </c>
      <c r="B2834" s="75">
        <v>2831</v>
      </c>
      <c r="C2834">
        <v>145.9976589</v>
      </c>
      <c r="D2834">
        <v>-17.50819675</v>
      </c>
      <c r="G2834" s="75">
        <v>10</v>
      </c>
      <c r="H2834" s="75" t="s">
        <v>26</v>
      </c>
      <c r="I2834" t="str">
        <f t="shared" si="44"/>
        <v>X</v>
      </c>
      <c r="K2834" s="77"/>
      <c r="L2834" s="77"/>
      <c r="M2834" s="77"/>
      <c r="N2834" s="77"/>
      <c r="W2834" s="78"/>
    </row>
    <row r="2835" spans="1:23" s="75" customFormat="1" hidden="1" x14ac:dyDescent="0.35">
      <c r="A2835" s="75">
        <v>2831</v>
      </c>
      <c r="B2835" s="75">
        <v>2832</v>
      </c>
      <c r="C2835">
        <v>145.99756930000001</v>
      </c>
      <c r="D2835">
        <v>-17.508167270000001</v>
      </c>
      <c r="G2835" s="75">
        <v>10</v>
      </c>
      <c r="H2835" s="75" t="s">
        <v>26</v>
      </c>
      <c r="I2835" t="str">
        <f t="shared" si="44"/>
        <v>X</v>
      </c>
      <c r="K2835" s="77"/>
      <c r="L2835" s="77"/>
      <c r="M2835" s="77"/>
      <c r="N2835" s="77"/>
      <c r="W2835" s="78"/>
    </row>
    <row r="2836" spans="1:23" s="75" customFormat="1" hidden="1" x14ac:dyDescent="0.35">
      <c r="A2836" s="75">
        <v>2832</v>
      </c>
      <c r="B2836" s="75">
        <v>2833</v>
      </c>
      <c r="C2836">
        <v>145.99747970000001</v>
      </c>
      <c r="D2836">
        <v>-17.5081378</v>
      </c>
      <c r="G2836" s="75">
        <v>10</v>
      </c>
      <c r="H2836" s="75" t="s">
        <v>26</v>
      </c>
      <c r="I2836" t="str">
        <f t="shared" si="44"/>
        <v>X</v>
      </c>
      <c r="K2836" s="77"/>
      <c r="L2836" s="77"/>
      <c r="M2836" s="77"/>
      <c r="N2836" s="77"/>
      <c r="W2836" s="78"/>
    </row>
    <row r="2837" spans="1:23" s="75" customFormat="1" hidden="1" x14ac:dyDescent="0.35">
      <c r="A2837" s="75">
        <v>2833</v>
      </c>
      <c r="B2837" s="75">
        <v>2834</v>
      </c>
      <c r="C2837">
        <v>145.99739009999999</v>
      </c>
      <c r="D2837">
        <v>-17.508108320000002</v>
      </c>
      <c r="G2837" s="75">
        <v>10</v>
      </c>
      <c r="H2837" s="75" t="s">
        <v>26</v>
      </c>
      <c r="I2837" t="str">
        <f t="shared" si="44"/>
        <v>X</v>
      </c>
      <c r="K2837" s="77"/>
      <c r="L2837" s="77"/>
      <c r="M2837" s="77"/>
      <c r="N2837" s="77"/>
      <c r="W2837" s="78"/>
    </row>
    <row r="2838" spans="1:23" s="75" customFormat="1" hidden="1" x14ac:dyDescent="0.35">
      <c r="A2838" s="75">
        <v>2834</v>
      </c>
      <c r="B2838" s="75">
        <v>2835</v>
      </c>
      <c r="C2838">
        <v>145.99730059999999</v>
      </c>
      <c r="D2838">
        <v>-17.50807884</v>
      </c>
      <c r="G2838" s="75">
        <v>10</v>
      </c>
      <c r="H2838" s="75" t="s">
        <v>26</v>
      </c>
      <c r="I2838" t="str">
        <f t="shared" si="44"/>
        <v>X</v>
      </c>
      <c r="K2838" s="77"/>
      <c r="L2838" s="77"/>
      <c r="M2838" s="77"/>
      <c r="N2838" s="77"/>
      <c r="W2838" s="78"/>
    </row>
    <row r="2839" spans="1:23" s="75" customFormat="1" hidden="1" x14ac:dyDescent="0.35">
      <c r="A2839" s="75">
        <v>2835</v>
      </c>
      <c r="B2839" s="75">
        <v>2836</v>
      </c>
      <c r="C2839">
        <v>145.99721099999999</v>
      </c>
      <c r="D2839">
        <v>-17.508049369999998</v>
      </c>
      <c r="G2839" s="75">
        <v>10</v>
      </c>
      <c r="H2839" s="75" t="s">
        <v>26</v>
      </c>
      <c r="I2839" t="str">
        <f t="shared" si="44"/>
        <v>X</v>
      </c>
      <c r="K2839" s="77"/>
      <c r="L2839" s="77"/>
      <c r="M2839" s="77"/>
      <c r="N2839" s="77"/>
      <c r="W2839" s="78"/>
    </row>
    <row r="2840" spans="1:23" s="75" customFormat="1" hidden="1" x14ac:dyDescent="0.35">
      <c r="A2840" s="75">
        <v>2836</v>
      </c>
      <c r="B2840" s="75">
        <v>2837</v>
      </c>
      <c r="C2840">
        <v>145.9971214</v>
      </c>
      <c r="D2840">
        <v>-17.50801989</v>
      </c>
      <c r="G2840" s="75">
        <v>10</v>
      </c>
      <c r="H2840" s="75" t="s">
        <v>26</v>
      </c>
      <c r="I2840" t="str">
        <f t="shared" si="44"/>
        <v>X</v>
      </c>
      <c r="K2840" s="77"/>
      <c r="L2840" s="77"/>
      <c r="M2840" s="77"/>
      <c r="N2840" s="77"/>
      <c r="W2840" s="78"/>
    </row>
    <row r="2841" spans="1:23" s="75" customFormat="1" hidden="1" x14ac:dyDescent="0.35">
      <c r="A2841" s="75">
        <v>2837</v>
      </c>
      <c r="B2841" s="75">
        <v>2838</v>
      </c>
      <c r="C2841">
        <v>145.9970318</v>
      </c>
      <c r="D2841">
        <v>-17.507990410000001</v>
      </c>
      <c r="G2841" s="75">
        <v>10</v>
      </c>
      <c r="H2841" s="75" t="s">
        <v>26</v>
      </c>
      <c r="I2841" t="str">
        <f t="shared" si="44"/>
        <v>X</v>
      </c>
      <c r="K2841" s="77"/>
      <c r="L2841" s="77"/>
      <c r="M2841" s="77"/>
      <c r="N2841" s="77"/>
      <c r="W2841" s="78"/>
    </row>
    <row r="2842" spans="1:23" s="75" customFormat="1" hidden="1" x14ac:dyDescent="0.35">
      <c r="A2842" s="75">
        <v>2838</v>
      </c>
      <c r="B2842" s="75">
        <v>2839</v>
      </c>
      <c r="C2842">
        <v>145.99694220000001</v>
      </c>
      <c r="D2842">
        <v>-17.507960929999999</v>
      </c>
      <c r="G2842" s="75">
        <v>10</v>
      </c>
      <c r="H2842" s="75" t="s">
        <v>26</v>
      </c>
      <c r="I2842" t="str">
        <f t="shared" si="44"/>
        <v>X</v>
      </c>
      <c r="K2842" s="77"/>
      <c r="L2842" s="77"/>
      <c r="M2842" s="77"/>
      <c r="N2842" s="77"/>
      <c r="W2842" s="78"/>
    </row>
    <row r="2843" spans="1:23" s="75" customFormat="1" hidden="1" x14ac:dyDescent="0.35">
      <c r="A2843" s="75">
        <v>2839</v>
      </c>
      <c r="B2843" s="75">
        <v>2840</v>
      </c>
      <c r="C2843">
        <v>145.9968523</v>
      </c>
      <c r="D2843">
        <v>-17.507932660000002</v>
      </c>
      <c r="G2843" s="75">
        <v>10</v>
      </c>
      <c r="H2843" s="75" t="s">
        <v>26</v>
      </c>
      <c r="I2843" t="str">
        <f t="shared" si="44"/>
        <v>X</v>
      </c>
      <c r="K2843" s="77"/>
      <c r="L2843" s="77"/>
      <c r="M2843" s="77"/>
      <c r="N2843" s="77"/>
      <c r="W2843" s="78"/>
    </row>
    <row r="2844" spans="1:23" s="75" customFormat="1" hidden="1" x14ac:dyDescent="0.35">
      <c r="A2844" s="75">
        <v>2840</v>
      </c>
      <c r="B2844" s="75">
        <v>2841</v>
      </c>
      <c r="C2844">
        <v>145.9967618</v>
      </c>
      <c r="D2844">
        <v>-17.50790611</v>
      </c>
      <c r="G2844" s="75">
        <v>10</v>
      </c>
      <c r="H2844" s="75" t="s">
        <v>26</v>
      </c>
      <c r="I2844" t="str">
        <f t="shared" si="44"/>
        <v>X</v>
      </c>
      <c r="K2844" s="77"/>
      <c r="L2844" s="77"/>
      <c r="M2844" s="77"/>
      <c r="N2844" s="77"/>
      <c r="W2844" s="78"/>
    </row>
    <row r="2845" spans="1:23" s="75" customFormat="1" hidden="1" x14ac:dyDescent="0.35">
      <c r="A2845" s="75">
        <v>2841</v>
      </c>
      <c r="B2845" s="75">
        <v>2842</v>
      </c>
      <c r="C2845">
        <v>145.9966713</v>
      </c>
      <c r="D2845">
        <v>-17.507879559999999</v>
      </c>
      <c r="G2845" s="75">
        <v>10</v>
      </c>
      <c r="H2845" s="75" t="s">
        <v>26</v>
      </c>
      <c r="I2845" t="str">
        <f t="shared" si="44"/>
        <v>X</v>
      </c>
      <c r="K2845" s="77"/>
      <c r="L2845" s="77"/>
      <c r="M2845" s="77"/>
      <c r="N2845" s="77"/>
      <c r="W2845" s="78"/>
    </row>
    <row r="2846" spans="1:23" s="75" customFormat="1" hidden="1" x14ac:dyDescent="0.35">
      <c r="A2846" s="75">
        <v>2842</v>
      </c>
      <c r="B2846" s="75">
        <v>2843</v>
      </c>
      <c r="C2846">
        <v>145.9965808</v>
      </c>
      <c r="D2846">
        <v>-17.507853019999999</v>
      </c>
      <c r="G2846" s="75">
        <v>10</v>
      </c>
      <c r="H2846" s="75" t="s">
        <v>26</v>
      </c>
      <c r="I2846" t="str">
        <f t="shared" si="44"/>
        <v>X</v>
      </c>
      <c r="K2846" s="77"/>
      <c r="L2846" s="77"/>
      <c r="M2846" s="77"/>
      <c r="N2846" s="77"/>
      <c r="W2846" s="78"/>
    </row>
    <row r="2847" spans="1:23" s="75" customFormat="1" hidden="1" x14ac:dyDescent="0.35">
      <c r="A2847" s="75">
        <v>2843</v>
      </c>
      <c r="B2847" s="75">
        <v>2844</v>
      </c>
      <c r="C2847">
        <v>145.9964903</v>
      </c>
      <c r="D2847">
        <v>-17.507826470000001</v>
      </c>
      <c r="G2847" s="75">
        <v>10</v>
      </c>
      <c r="H2847" s="75" t="s">
        <v>26</v>
      </c>
      <c r="I2847" t="str">
        <f t="shared" si="44"/>
        <v>X</v>
      </c>
      <c r="K2847" s="77"/>
      <c r="L2847" s="77"/>
      <c r="M2847" s="77"/>
      <c r="N2847" s="77"/>
      <c r="W2847" s="78"/>
    </row>
    <row r="2848" spans="1:23" s="75" customFormat="1" hidden="1" x14ac:dyDescent="0.35">
      <c r="A2848" s="75">
        <v>2844</v>
      </c>
      <c r="B2848" s="75">
        <v>2845</v>
      </c>
      <c r="C2848">
        <v>145.99639980000001</v>
      </c>
      <c r="D2848">
        <v>-17.50779992</v>
      </c>
      <c r="G2848" s="75">
        <v>10</v>
      </c>
      <c r="H2848" s="75" t="s">
        <v>26</v>
      </c>
      <c r="I2848" t="str">
        <f t="shared" si="44"/>
        <v>X</v>
      </c>
      <c r="K2848" s="77"/>
      <c r="L2848" s="77"/>
      <c r="M2848" s="77"/>
      <c r="N2848" s="77"/>
      <c r="W2848" s="78"/>
    </row>
    <row r="2849" spans="1:23" s="75" customFormat="1" hidden="1" x14ac:dyDescent="0.35">
      <c r="A2849" s="75">
        <v>2845</v>
      </c>
      <c r="B2849" s="75">
        <v>2846</v>
      </c>
      <c r="C2849">
        <v>145.99630930000001</v>
      </c>
      <c r="D2849">
        <v>-17.507773369999999</v>
      </c>
      <c r="G2849" s="75">
        <v>10</v>
      </c>
      <c r="H2849" s="75" t="s">
        <v>26</v>
      </c>
      <c r="I2849" t="str">
        <f t="shared" si="44"/>
        <v>X</v>
      </c>
      <c r="K2849" s="77"/>
      <c r="L2849" s="77"/>
      <c r="M2849" s="77"/>
      <c r="N2849" s="77"/>
      <c r="W2849" s="78"/>
    </row>
    <row r="2850" spans="1:23" s="75" customFormat="1" hidden="1" x14ac:dyDescent="0.35">
      <c r="A2850" s="75">
        <v>2846</v>
      </c>
      <c r="B2850" s="75">
        <v>2847</v>
      </c>
      <c r="C2850">
        <v>145.9962189</v>
      </c>
      <c r="D2850">
        <v>-17.507746820000001</v>
      </c>
      <c r="G2850" s="75">
        <v>10</v>
      </c>
      <c r="H2850" s="75" t="s">
        <v>26</v>
      </c>
      <c r="I2850" t="str">
        <f t="shared" si="44"/>
        <v>X</v>
      </c>
      <c r="K2850" s="77"/>
      <c r="L2850" s="77"/>
      <c r="M2850" s="77"/>
      <c r="N2850" s="77"/>
      <c r="W2850" s="78"/>
    </row>
    <row r="2851" spans="1:23" s="75" customFormat="1" hidden="1" x14ac:dyDescent="0.35">
      <c r="A2851" s="75">
        <v>2847</v>
      </c>
      <c r="B2851" s="75">
        <v>2848</v>
      </c>
      <c r="C2851">
        <v>145.9961284</v>
      </c>
      <c r="D2851">
        <v>-17.507720280000001</v>
      </c>
      <c r="G2851" s="75">
        <v>10</v>
      </c>
      <c r="H2851" s="75" t="s">
        <v>26</v>
      </c>
      <c r="I2851" t="str">
        <f t="shared" si="44"/>
        <v>X</v>
      </c>
      <c r="K2851" s="77"/>
      <c r="L2851" s="77"/>
      <c r="M2851" s="77"/>
      <c r="N2851" s="77"/>
      <c r="W2851" s="78"/>
    </row>
    <row r="2852" spans="1:23" s="75" customFormat="1" hidden="1" x14ac:dyDescent="0.35">
      <c r="A2852" s="75">
        <v>2848</v>
      </c>
      <c r="B2852" s="75">
        <v>2849</v>
      </c>
      <c r="C2852">
        <v>145.9960379</v>
      </c>
      <c r="D2852">
        <v>-17.50769373</v>
      </c>
      <c r="G2852" s="75">
        <v>10</v>
      </c>
      <c r="H2852" s="75" t="s">
        <v>26</v>
      </c>
      <c r="I2852" t="str">
        <f t="shared" si="44"/>
        <v>X</v>
      </c>
      <c r="K2852" s="77"/>
      <c r="L2852" s="77"/>
      <c r="M2852" s="77"/>
      <c r="N2852" s="77"/>
      <c r="W2852" s="78"/>
    </row>
    <row r="2853" spans="1:23" s="75" customFormat="1" hidden="1" x14ac:dyDescent="0.35">
      <c r="A2853" s="75">
        <v>2849</v>
      </c>
      <c r="B2853" s="75">
        <v>2850</v>
      </c>
      <c r="C2853">
        <v>145.99594740000001</v>
      </c>
      <c r="D2853">
        <v>-17.507667179999999</v>
      </c>
      <c r="G2853" s="75">
        <v>10</v>
      </c>
      <c r="H2853" s="75" t="s">
        <v>26</v>
      </c>
      <c r="I2853" t="str">
        <f t="shared" si="44"/>
        <v>X</v>
      </c>
      <c r="K2853" s="77"/>
      <c r="L2853" s="77"/>
      <c r="M2853" s="77"/>
      <c r="N2853" s="77"/>
      <c r="W2853" s="78"/>
    </row>
    <row r="2854" spans="1:23" s="75" customFormat="1" hidden="1" x14ac:dyDescent="0.35">
      <c r="A2854" s="75">
        <v>2850</v>
      </c>
      <c r="B2854" s="75">
        <v>2851</v>
      </c>
      <c r="C2854">
        <v>145.99585690000001</v>
      </c>
      <c r="D2854">
        <v>-17.507640630000001</v>
      </c>
      <c r="G2854" s="75">
        <v>10</v>
      </c>
      <c r="H2854" s="75" t="s">
        <v>26</v>
      </c>
      <c r="I2854" t="str">
        <f t="shared" si="44"/>
        <v>X</v>
      </c>
      <c r="K2854" s="77"/>
      <c r="L2854" s="77"/>
      <c r="M2854" s="77"/>
      <c r="N2854" s="77"/>
      <c r="W2854" s="78"/>
    </row>
    <row r="2855" spans="1:23" s="75" customFormat="1" hidden="1" x14ac:dyDescent="0.35">
      <c r="A2855" s="75">
        <v>2851</v>
      </c>
      <c r="B2855" s="75">
        <v>2852</v>
      </c>
      <c r="C2855">
        <v>145.99576640000001</v>
      </c>
      <c r="D2855">
        <v>-17.50761408</v>
      </c>
      <c r="G2855" s="75">
        <v>10</v>
      </c>
      <c r="H2855" s="75" t="s">
        <v>26</v>
      </c>
      <c r="I2855" t="str">
        <f t="shared" si="44"/>
        <v>X</v>
      </c>
      <c r="K2855" s="77"/>
      <c r="L2855" s="77"/>
      <c r="M2855" s="77"/>
      <c r="N2855" s="77"/>
      <c r="W2855" s="78"/>
    </row>
    <row r="2856" spans="1:23" s="75" customFormat="1" hidden="1" x14ac:dyDescent="0.35">
      <c r="A2856" s="75">
        <v>2852</v>
      </c>
      <c r="B2856" s="75">
        <v>2853</v>
      </c>
      <c r="C2856">
        <v>145.99567590000001</v>
      </c>
      <c r="D2856">
        <v>-17.507587539999999</v>
      </c>
      <c r="G2856" s="75">
        <v>10</v>
      </c>
      <c r="H2856" s="75" t="s">
        <v>26</v>
      </c>
      <c r="I2856" t="str">
        <f t="shared" si="44"/>
        <v>X</v>
      </c>
      <c r="K2856" s="77"/>
      <c r="L2856" s="77"/>
      <c r="M2856" s="77"/>
      <c r="N2856" s="77"/>
      <c r="W2856" s="78"/>
    </row>
    <row r="2857" spans="1:23" s="75" customFormat="1" hidden="1" x14ac:dyDescent="0.35">
      <c r="A2857" s="75">
        <v>2853</v>
      </c>
      <c r="B2857" s="75">
        <v>2854</v>
      </c>
      <c r="C2857">
        <v>145.99558540000001</v>
      </c>
      <c r="D2857">
        <v>-17.507560990000002</v>
      </c>
      <c r="G2857" s="75">
        <v>10</v>
      </c>
      <c r="H2857" s="75" t="s">
        <v>26</v>
      </c>
      <c r="I2857" t="str">
        <f t="shared" si="44"/>
        <v>X</v>
      </c>
      <c r="K2857" s="77"/>
      <c r="L2857" s="77"/>
      <c r="M2857" s="77"/>
      <c r="N2857" s="77"/>
      <c r="W2857" s="78"/>
    </row>
    <row r="2858" spans="1:23" s="75" customFormat="1" hidden="1" x14ac:dyDescent="0.35">
      <c r="A2858" s="75">
        <v>2854</v>
      </c>
      <c r="B2858" s="75">
        <v>2855</v>
      </c>
      <c r="C2858">
        <v>145.99549490000001</v>
      </c>
      <c r="D2858">
        <v>-17.507534440000001</v>
      </c>
      <c r="G2858" s="75">
        <v>10</v>
      </c>
      <c r="H2858" s="75" t="s">
        <v>26</v>
      </c>
      <c r="I2858" t="str">
        <f t="shared" si="44"/>
        <v>X</v>
      </c>
      <c r="K2858" s="77"/>
      <c r="L2858" s="77"/>
      <c r="M2858" s="77"/>
      <c r="N2858" s="77"/>
      <c r="W2858" s="78"/>
    </row>
    <row r="2859" spans="1:23" s="75" customFormat="1" hidden="1" x14ac:dyDescent="0.35">
      <c r="A2859" s="75">
        <v>2855</v>
      </c>
      <c r="B2859" s="75">
        <v>2856</v>
      </c>
      <c r="C2859">
        <v>145.99540450000001</v>
      </c>
      <c r="D2859">
        <v>-17.507507889999999</v>
      </c>
      <c r="G2859" s="75">
        <v>10</v>
      </c>
      <c r="H2859" s="75" t="s">
        <v>26</v>
      </c>
      <c r="I2859" t="str">
        <f t="shared" si="44"/>
        <v>X</v>
      </c>
      <c r="K2859" s="77"/>
      <c r="L2859" s="77"/>
      <c r="M2859" s="77"/>
      <c r="N2859" s="77"/>
      <c r="W2859" s="78"/>
    </row>
    <row r="2860" spans="1:23" s="75" customFormat="1" hidden="1" x14ac:dyDescent="0.35">
      <c r="A2860" s="75">
        <v>2856</v>
      </c>
      <c r="B2860" s="75">
        <v>2857</v>
      </c>
      <c r="C2860">
        <v>145.9953141</v>
      </c>
      <c r="D2860">
        <v>-17.507480910000002</v>
      </c>
      <c r="G2860" s="75">
        <v>10</v>
      </c>
      <c r="H2860" s="75" t="s">
        <v>26</v>
      </c>
      <c r="I2860" t="str">
        <f t="shared" si="44"/>
        <v>X</v>
      </c>
      <c r="K2860" s="77"/>
      <c r="L2860" s="77"/>
      <c r="M2860" s="77"/>
      <c r="N2860" s="77"/>
      <c r="W2860" s="78"/>
    </row>
    <row r="2861" spans="1:23" s="75" customFormat="1" hidden="1" x14ac:dyDescent="0.35">
      <c r="A2861" s="75">
        <v>2857</v>
      </c>
      <c r="B2861" s="75">
        <v>2858</v>
      </c>
      <c r="C2861">
        <v>145.9952242</v>
      </c>
      <c r="D2861">
        <v>-17.507452270000002</v>
      </c>
      <c r="G2861" s="75">
        <v>10</v>
      </c>
      <c r="H2861" s="75" t="s">
        <v>26</v>
      </c>
      <c r="I2861" t="str">
        <f t="shared" si="44"/>
        <v>X</v>
      </c>
      <c r="K2861" s="77"/>
      <c r="L2861" s="77"/>
      <c r="M2861" s="77"/>
      <c r="N2861" s="77"/>
      <c r="W2861" s="78"/>
    </row>
    <row r="2862" spans="1:23" s="75" customFormat="1" hidden="1" x14ac:dyDescent="0.35">
      <c r="A2862" s="75">
        <v>2858</v>
      </c>
      <c r="B2862" s="75">
        <v>2859</v>
      </c>
      <c r="C2862">
        <v>145.99513440000001</v>
      </c>
      <c r="D2862">
        <v>-17.507423630000002</v>
      </c>
      <c r="G2862" s="75">
        <v>10</v>
      </c>
      <c r="H2862" s="75" t="s">
        <v>26</v>
      </c>
      <c r="I2862" t="str">
        <f t="shared" si="44"/>
        <v>X</v>
      </c>
      <c r="K2862" s="77"/>
      <c r="L2862" s="77"/>
      <c r="M2862" s="77"/>
      <c r="N2862" s="77"/>
      <c r="W2862" s="78"/>
    </row>
    <row r="2863" spans="1:23" s="75" customFormat="1" hidden="1" x14ac:dyDescent="0.35">
      <c r="A2863" s="75">
        <v>2859</v>
      </c>
      <c r="B2863" s="75">
        <v>2860</v>
      </c>
      <c r="C2863">
        <v>145.99504450000001</v>
      </c>
      <c r="D2863">
        <v>-17.507394990000002</v>
      </c>
      <c r="G2863" s="75">
        <v>10</v>
      </c>
      <c r="H2863" s="75" t="s">
        <v>26</v>
      </c>
      <c r="I2863" t="str">
        <f t="shared" si="44"/>
        <v>X</v>
      </c>
      <c r="K2863" s="77"/>
      <c r="L2863" s="77"/>
      <c r="M2863" s="77"/>
      <c r="N2863" s="77"/>
      <c r="W2863" s="78"/>
    </row>
    <row r="2864" spans="1:23" s="75" customFormat="1" hidden="1" x14ac:dyDescent="0.35">
      <c r="A2864" s="75">
        <v>2860</v>
      </c>
      <c r="B2864" s="75">
        <v>2861</v>
      </c>
      <c r="C2864">
        <v>145.99495469999999</v>
      </c>
      <c r="D2864">
        <v>-17.507366359999999</v>
      </c>
      <c r="G2864" s="75">
        <v>10</v>
      </c>
      <c r="H2864" s="75" t="s">
        <v>26</v>
      </c>
      <c r="I2864" t="str">
        <f t="shared" si="44"/>
        <v>X</v>
      </c>
      <c r="K2864" s="77"/>
      <c r="L2864" s="77"/>
      <c r="M2864" s="77"/>
      <c r="N2864" s="77"/>
      <c r="W2864" s="78"/>
    </row>
    <row r="2865" spans="1:23" s="75" customFormat="1" hidden="1" x14ac:dyDescent="0.35">
      <c r="A2865" s="75">
        <v>2861</v>
      </c>
      <c r="B2865" s="75">
        <v>2862</v>
      </c>
      <c r="C2865">
        <v>145.99486479999999</v>
      </c>
      <c r="D2865">
        <v>-17.507337719999999</v>
      </c>
      <c r="G2865" s="75">
        <v>10</v>
      </c>
      <c r="H2865" s="75" t="s">
        <v>26</v>
      </c>
      <c r="I2865" t="str">
        <f t="shared" si="44"/>
        <v>X</v>
      </c>
      <c r="K2865" s="77"/>
      <c r="L2865" s="77"/>
      <c r="M2865" s="77"/>
      <c r="N2865" s="77"/>
      <c r="W2865" s="78"/>
    </row>
    <row r="2866" spans="1:23" s="75" customFormat="1" hidden="1" x14ac:dyDescent="0.35">
      <c r="A2866" s="75">
        <v>2862</v>
      </c>
      <c r="B2866" s="75">
        <v>2863</v>
      </c>
      <c r="C2866">
        <v>145.994775</v>
      </c>
      <c r="D2866">
        <v>-17.507309079999999</v>
      </c>
      <c r="G2866" s="75">
        <v>10</v>
      </c>
      <c r="H2866" s="75" t="s">
        <v>26</v>
      </c>
      <c r="I2866" t="str">
        <f t="shared" si="44"/>
        <v>X</v>
      </c>
      <c r="K2866" s="77"/>
      <c r="L2866" s="77"/>
      <c r="M2866" s="77"/>
      <c r="N2866" s="77"/>
      <c r="W2866" s="78"/>
    </row>
    <row r="2867" spans="1:23" s="75" customFormat="1" hidden="1" x14ac:dyDescent="0.35">
      <c r="A2867" s="75">
        <v>2863</v>
      </c>
      <c r="B2867" s="75">
        <v>2864</v>
      </c>
      <c r="C2867">
        <v>145.9946851</v>
      </c>
      <c r="D2867">
        <v>-17.50728045</v>
      </c>
      <c r="G2867" s="75">
        <v>10</v>
      </c>
      <c r="H2867" s="75" t="s">
        <v>26</v>
      </c>
      <c r="I2867" t="str">
        <f t="shared" si="44"/>
        <v>X</v>
      </c>
      <c r="K2867" s="77"/>
      <c r="L2867" s="77"/>
      <c r="M2867" s="77"/>
      <c r="N2867" s="77"/>
      <c r="W2867" s="78"/>
    </row>
    <row r="2868" spans="1:23" s="75" customFormat="1" hidden="1" x14ac:dyDescent="0.35">
      <c r="A2868" s="75">
        <v>2864</v>
      </c>
      <c r="B2868" s="75">
        <v>2865</v>
      </c>
      <c r="C2868">
        <v>145.99459529999999</v>
      </c>
      <c r="D2868">
        <v>-17.50725181</v>
      </c>
      <c r="G2868" s="75">
        <v>10</v>
      </c>
      <c r="H2868" s="75" t="s">
        <v>26</v>
      </c>
      <c r="I2868" t="str">
        <f t="shared" si="44"/>
        <v>X</v>
      </c>
      <c r="K2868" s="77"/>
      <c r="L2868" s="77"/>
      <c r="M2868" s="77"/>
      <c r="N2868" s="77"/>
      <c r="W2868" s="78"/>
    </row>
    <row r="2869" spans="1:23" s="75" customFormat="1" hidden="1" x14ac:dyDescent="0.35">
      <c r="A2869" s="75">
        <v>2865</v>
      </c>
      <c r="B2869" s="75">
        <v>2866</v>
      </c>
      <c r="C2869">
        <v>145.99450540000001</v>
      </c>
      <c r="D2869">
        <v>-17.50722317</v>
      </c>
      <c r="G2869" s="75">
        <v>10</v>
      </c>
      <c r="H2869" s="75" t="s">
        <v>26</v>
      </c>
      <c r="I2869" t="str">
        <f t="shared" si="44"/>
        <v>X</v>
      </c>
      <c r="K2869" s="77"/>
      <c r="L2869" s="77"/>
      <c r="M2869" s="77"/>
      <c r="N2869" s="77"/>
      <c r="W2869" s="78"/>
    </row>
    <row r="2870" spans="1:23" s="75" customFormat="1" hidden="1" x14ac:dyDescent="0.35">
      <c r="A2870" s="75">
        <v>2866</v>
      </c>
      <c r="B2870" s="75">
        <v>2867</v>
      </c>
      <c r="C2870">
        <v>145.9944156</v>
      </c>
      <c r="D2870">
        <v>-17.50719453</v>
      </c>
      <c r="G2870" s="75">
        <v>10</v>
      </c>
      <c r="H2870" s="75" t="s">
        <v>26</v>
      </c>
      <c r="I2870" t="str">
        <f t="shared" si="44"/>
        <v>X</v>
      </c>
      <c r="K2870" s="77"/>
      <c r="L2870" s="77"/>
      <c r="M2870" s="77"/>
      <c r="N2870" s="77"/>
      <c r="W2870" s="78"/>
    </row>
    <row r="2871" spans="1:23" s="75" customFormat="1" hidden="1" x14ac:dyDescent="0.35">
      <c r="A2871" s="75">
        <v>2867</v>
      </c>
      <c r="B2871" s="75">
        <v>2868</v>
      </c>
      <c r="C2871">
        <v>145.99432569999999</v>
      </c>
      <c r="D2871">
        <v>-17.5071659</v>
      </c>
      <c r="G2871" s="75">
        <v>10</v>
      </c>
      <c r="H2871" s="75" t="s">
        <v>26</v>
      </c>
      <c r="I2871" t="str">
        <f t="shared" si="44"/>
        <v>X</v>
      </c>
      <c r="K2871" s="77"/>
      <c r="L2871" s="77"/>
      <c r="M2871" s="77"/>
      <c r="N2871" s="77"/>
      <c r="W2871" s="78"/>
    </row>
    <row r="2872" spans="1:23" s="75" customFormat="1" hidden="1" x14ac:dyDescent="0.35">
      <c r="A2872" s="75">
        <v>2868</v>
      </c>
      <c r="B2872" s="75">
        <v>2869</v>
      </c>
      <c r="C2872">
        <v>145.99423490000001</v>
      </c>
      <c r="D2872">
        <v>-17.507140799999998</v>
      </c>
      <c r="G2872" s="75">
        <v>10</v>
      </c>
      <c r="H2872" s="75" t="s">
        <v>26</v>
      </c>
      <c r="I2872" t="str">
        <f t="shared" si="44"/>
        <v>X</v>
      </c>
      <c r="K2872" s="77"/>
      <c r="L2872" s="77"/>
      <c r="M2872" s="77"/>
      <c r="N2872" s="77"/>
      <c r="W2872" s="78"/>
    </row>
    <row r="2873" spans="1:23" s="75" customFormat="1" hidden="1" x14ac:dyDescent="0.35">
      <c r="A2873" s="75">
        <v>2869</v>
      </c>
      <c r="B2873" s="75">
        <v>2870</v>
      </c>
      <c r="C2873">
        <v>145.99414300000001</v>
      </c>
      <c r="D2873">
        <v>-17.507119889999998</v>
      </c>
      <c r="G2873" s="75">
        <v>10</v>
      </c>
      <c r="H2873" s="75" t="s">
        <v>26</v>
      </c>
      <c r="I2873" t="str">
        <f t="shared" si="44"/>
        <v>X</v>
      </c>
      <c r="K2873" s="77"/>
      <c r="L2873" s="77"/>
      <c r="M2873" s="77"/>
      <c r="N2873" s="77"/>
      <c r="W2873" s="78"/>
    </row>
    <row r="2874" spans="1:23" s="75" customFormat="1" hidden="1" x14ac:dyDescent="0.35">
      <c r="A2874" s="75">
        <v>2870</v>
      </c>
      <c r="B2874" s="75">
        <v>2871</v>
      </c>
      <c r="C2874">
        <v>145.99405100000001</v>
      </c>
      <c r="D2874">
        <v>-17.507098970000001</v>
      </c>
      <c r="G2874" s="75">
        <v>10</v>
      </c>
      <c r="H2874" s="75" t="s">
        <v>26</v>
      </c>
      <c r="I2874" t="str">
        <f t="shared" si="44"/>
        <v>X</v>
      </c>
      <c r="K2874" s="77"/>
      <c r="L2874" s="77"/>
      <c r="M2874" s="77"/>
      <c r="N2874" s="77"/>
      <c r="W2874" s="78"/>
    </row>
    <row r="2875" spans="1:23" s="75" customFormat="1" hidden="1" x14ac:dyDescent="0.35">
      <c r="A2875" s="75">
        <v>2871</v>
      </c>
      <c r="B2875" s="75">
        <v>2872</v>
      </c>
      <c r="C2875">
        <v>145.99395910000001</v>
      </c>
      <c r="D2875">
        <v>-17.507078050000001</v>
      </c>
      <c r="G2875" s="75">
        <v>10</v>
      </c>
      <c r="H2875" s="75" t="s">
        <v>26</v>
      </c>
      <c r="I2875" t="str">
        <f t="shared" si="44"/>
        <v>X</v>
      </c>
      <c r="K2875" s="77"/>
      <c r="L2875" s="77"/>
      <c r="M2875" s="77"/>
      <c r="N2875" s="77"/>
      <c r="W2875" s="78"/>
    </row>
    <row r="2876" spans="1:23" s="75" customFormat="1" hidden="1" x14ac:dyDescent="0.35">
      <c r="A2876" s="75">
        <v>2872</v>
      </c>
      <c r="B2876" s="75">
        <v>2873</v>
      </c>
      <c r="C2876">
        <v>145.99386709999999</v>
      </c>
      <c r="D2876">
        <v>-17.507057140000001</v>
      </c>
      <c r="G2876" s="75">
        <v>10</v>
      </c>
      <c r="H2876" s="75" t="s">
        <v>26</v>
      </c>
      <c r="I2876" t="str">
        <f t="shared" si="44"/>
        <v>X</v>
      </c>
      <c r="K2876" s="77"/>
      <c r="L2876" s="77"/>
      <c r="M2876" s="77"/>
      <c r="N2876" s="77"/>
      <c r="W2876" s="78"/>
    </row>
    <row r="2877" spans="1:23" s="75" customFormat="1" hidden="1" x14ac:dyDescent="0.35">
      <c r="A2877" s="75">
        <v>2873</v>
      </c>
      <c r="B2877" s="75">
        <v>2874</v>
      </c>
      <c r="C2877">
        <v>145.99377519999999</v>
      </c>
      <c r="D2877">
        <v>-17.50703622</v>
      </c>
      <c r="G2877" s="75">
        <v>10</v>
      </c>
      <c r="H2877" s="75" t="s">
        <v>26</v>
      </c>
      <c r="I2877" t="str">
        <f t="shared" si="44"/>
        <v>X</v>
      </c>
      <c r="K2877" s="77"/>
      <c r="L2877" s="77"/>
      <c r="M2877" s="77"/>
      <c r="N2877" s="77"/>
      <c r="W2877" s="78"/>
    </row>
    <row r="2878" spans="1:23" s="75" customFormat="1" hidden="1" x14ac:dyDescent="0.35">
      <c r="A2878" s="75">
        <v>2874</v>
      </c>
      <c r="B2878" s="75">
        <v>2875</v>
      </c>
      <c r="C2878">
        <v>145.99368319999999</v>
      </c>
      <c r="D2878">
        <v>-17.50701531</v>
      </c>
      <c r="G2878" s="75">
        <v>10</v>
      </c>
      <c r="H2878" s="75" t="s">
        <v>26</v>
      </c>
      <c r="I2878" t="str">
        <f t="shared" si="44"/>
        <v>X</v>
      </c>
      <c r="K2878" s="77"/>
      <c r="L2878" s="77"/>
      <c r="M2878" s="77"/>
      <c r="N2878" s="77"/>
      <c r="W2878" s="78"/>
    </row>
    <row r="2879" spans="1:23" s="75" customFormat="1" hidden="1" x14ac:dyDescent="0.35">
      <c r="A2879" s="75">
        <v>2875</v>
      </c>
      <c r="B2879" s="75">
        <v>2876</v>
      </c>
      <c r="C2879">
        <v>145.9935912</v>
      </c>
      <c r="D2879">
        <v>-17.506994389999999</v>
      </c>
      <c r="G2879" s="75">
        <v>10</v>
      </c>
      <c r="H2879" s="75" t="s">
        <v>26</v>
      </c>
      <c r="I2879" t="str">
        <f t="shared" si="44"/>
        <v>X</v>
      </c>
      <c r="K2879" s="77"/>
      <c r="L2879" s="77"/>
      <c r="M2879" s="77"/>
      <c r="N2879" s="77"/>
      <c r="W2879" s="78"/>
    </row>
    <row r="2880" spans="1:23" s="75" customFormat="1" hidden="1" x14ac:dyDescent="0.35">
      <c r="A2880" s="75">
        <v>2876</v>
      </c>
      <c r="B2880" s="75">
        <v>2877</v>
      </c>
      <c r="C2880">
        <v>145.9934993</v>
      </c>
      <c r="D2880">
        <v>-17.506973469999998</v>
      </c>
      <c r="G2880" s="75">
        <v>10</v>
      </c>
      <c r="H2880" s="75" t="s">
        <v>26</v>
      </c>
      <c r="I2880" t="str">
        <f t="shared" si="44"/>
        <v>X</v>
      </c>
      <c r="K2880" s="77"/>
      <c r="L2880" s="77"/>
      <c r="M2880" s="77"/>
      <c r="N2880" s="77"/>
      <c r="W2880" s="78"/>
    </row>
    <row r="2881" spans="1:23" s="75" customFormat="1" hidden="1" x14ac:dyDescent="0.35">
      <c r="A2881" s="75">
        <v>2877</v>
      </c>
      <c r="B2881" s="75">
        <v>2878</v>
      </c>
      <c r="C2881">
        <v>145.9934073</v>
      </c>
      <c r="D2881">
        <v>-17.506952559999998</v>
      </c>
      <c r="G2881" s="75">
        <v>10</v>
      </c>
      <c r="H2881" s="75" t="s">
        <v>26</v>
      </c>
      <c r="I2881" t="str">
        <f t="shared" si="44"/>
        <v>X</v>
      </c>
      <c r="K2881" s="77"/>
      <c r="L2881" s="77"/>
      <c r="M2881" s="77"/>
      <c r="N2881" s="77"/>
      <c r="W2881" s="78"/>
    </row>
    <row r="2882" spans="1:23" s="75" customFormat="1" hidden="1" x14ac:dyDescent="0.35">
      <c r="A2882" s="75">
        <v>2878</v>
      </c>
      <c r="B2882" s="75">
        <v>2879</v>
      </c>
      <c r="C2882">
        <v>145.9933154</v>
      </c>
      <c r="D2882">
        <v>-17.506931640000001</v>
      </c>
      <c r="G2882" s="75">
        <v>10</v>
      </c>
      <c r="H2882" s="75" t="s">
        <v>26</v>
      </c>
      <c r="I2882" t="str">
        <f t="shared" si="44"/>
        <v>X</v>
      </c>
      <c r="K2882" s="77"/>
      <c r="L2882" s="77"/>
      <c r="M2882" s="77"/>
      <c r="N2882" s="77"/>
      <c r="W2882" s="78"/>
    </row>
    <row r="2883" spans="1:23" s="75" customFormat="1" hidden="1" x14ac:dyDescent="0.35">
      <c r="A2883" s="75">
        <v>2879</v>
      </c>
      <c r="B2883" s="75">
        <v>2880</v>
      </c>
      <c r="C2883">
        <v>145.99322340000001</v>
      </c>
      <c r="D2883">
        <v>-17.506910730000001</v>
      </c>
      <c r="G2883" s="75">
        <v>10</v>
      </c>
      <c r="H2883" s="75" t="s">
        <v>26</v>
      </c>
      <c r="I2883" t="str">
        <f t="shared" si="44"/>
        <v>X</v>
      </c>
      <c r="K2883" s="77"/>
      <c r="L2883" s="77"/>
      <c r="M2883" s="77"/>
      <c r="N2883" s="77"/>
      <c r="W2883" s="78"/>
    </row>
    <row r="2884" spans="1:23" s="75" customFormat="1" hidden="1" x14ac:dyDescent="0.35">
      <c r="A2884" s="75">
        <v>2880</v>
      </c>
      <c r="B2884" s="75">
        <v>2881</v>
      </c>
      <c r="C2884">
        <v>145.9931315</v>
      </c>
      <c r="D2884">
        <v>-17.506889810000001</v>
      </c>
      <c r="G2884" s="75">
        <v>10</v>
      </c>
      <c r="H2884" s="75" t="s">
        <v>26</v>
      </c>
      <c r="I2884" t="str">
        <f t="shared" si="44"/>
        <v>X</v>
      </c>
      <c r="K2884" s="77"/>
      <c r="L2884" s="77"/>
      <c r="M2884" s="77"/>
      <c r="N2884" s="77"/>
      <c r="W2884" s="78"/>
    </row>
    <row r="2885" spans="1:23" s="75" customFormat="1" hidden="1" x14ac:dyDescent="0.35">
      <c r="A2885" s="75">
        <v>2881</v>
      </c>
      <c r="B2885" s="75">
        <v>2882</v>
      </c>
      <c r="C2885">
        <v>145.9930406</v>
      </c>
      <c r="D2885">
        <v>-17.506865059999999</v>
      </c>
      <c r="G2885" s="75">
        <v>10</v>
      </c>
      <c r="H2885" s="75" t="s">
        <v>26</v>
      </c>
      <c r="I2885" t="str">
        <f t="shared" ref="I2885:I2948" si="45">IF(H2885="X","X",IF(J2885="NA","X",IF(J2885="","X",J2885)))</f>
        <v>X</v>
      </c>
      <c r="K2885" s="77"/>
      <c r="L2885" s="77"/>
      <c r="M2885" s="77"/>
      <c r="N2885" s="77"/>
      <c r="W2885" s="78"/>
    </row>
    <row r="2886" spans="1:23" s="75" customFormat="1" hidden="1" x14ac:dyDescent="0.35">
      <c r="A2886" s="75">
        <v>2882</v>
      </c>
      <c r="B2886" s="75">
        <v>2883</v>
      </c>
      <c r="C2886">
        <v>145.99295140000001</v>
      </c>
      <c r="D2886">
        <v>-17.5068345</v>
      </c>
      <c r="G2886" s="75">
        <v>10</v>
      </c>
      <c r="H2886" s="75" t="s">
        <v>26</v>
      </c>
      <c r="I2886" t="str">
        <f t="shared" si="45"/>
        <v>X</v>
      </c>
      <c r="K2886" s="77"/>
      <c r="L2886" s="77"/>
      <c r="M2886" s="77"/>
      <c r="N2886" s="77"/>
      <c r="W2886" s="78"/>
    </row>
    <row r="2887" spans="1:23" s="75" customFormat="1" hidden="1" x14ac:dyDescent="0.35">
      <c r="A2887" s="75">
        <v>2883</v>
      </c>
      <c r="B2887" s="75">
        <v>2884</v>
      </c>
      <c r="C2887">
        <v>145.99286219999999</v>
      </c>
      <c r="D2887">
        <v>-17.50680393</v>
      </c>
      <c r="G2887" s="75">
        <v>10</v>
      </c>
      <c r="H2887" s="75" t="s">
        <v>26</v>
      </c>
      <c r="I2887" t="str">
        <f t="shared" si="45"/>
        <v>X</v>
      </c>
      <c r="K2887" s="77"/>
      <c r="L2887" s="77"/>
      <c r="M2887" s="77"/>
      <c r="N2887" s="77"/>
      <c r="W2887" s="78"/>
    </row>
    <row r="2888" spans="1:23" s="75" customFormat="1" hidden="1" x14ac:dyDescent="0.35">
      <c r="A2888" s="75">
        <v>2884</v>
      </c>
      <c r="B2888" s="75">
        <v>2885</v>
      </c>
      <c r="C2888">
        <v>145.99278580000001</v>
      </c>
      <c r="D2888">
        <v>-17.506764310000001</v>
      </c>
      <c r="H2888" s="75" t="s">
        <v>26</v>
      </c>
      <c r="I2888" t="str">
        <f t="shared" si="45"/>
        <v>X</v>
      </c>
      <c r="K2888" s="77"/>
      <c r="L2888" s="77"/>
      <c r="M2888" s="77"/>
      <c r="N2888" s="77"/>
      <c r="W2888" s="78"/>
    </row>
    <row r="2889" spans="1:23" s="75" customFormat="1" hidden="1" x14ac:dyDescent="0.35">
      <c r="A2889" s="75">
        <v>2885</v>
      </c>
      <c r="B2889" s="75">
        <v>2886</v>
      </c>
      <c r="C2889">
        <v>145.99279530000001</v>
      </c>
      <c r="D2889">
        <v>-17.505727010000001</v>
      </c>
      <c r="H2889" s="75" t="s">
        <v>26</v>
      </c>
      <c r="I2889" t="str">
        <f t="shared" si="45"/>
        <v>X</v>
      </c>
      <c r="K2889" s="77"/>
      <c r="L2889" s="77"/>
      <c r="M2889" s="77"/>
      <c r="N2889" s="77"/>
      <c r="W2889" s="78"/>
    </row>
    <row r="2890" spans="1:23" s="75" customFormat="1" hidden="1" x14ac:dyDescent="0.35">
      <c r="A2890" s="75">
        <v>2886</v>
      </c>
      <c r="B2890" s="75">
        <v>2887</v>
      </c>
      <c r="C2890">
        <v>145.99288129999999</v>
      </c>
      <c r="D2890">
        <v>-17.505758480000001</v>
      </c>
      <c r="G2890" s="75">
        <v>10</v>
      </c>
      <c r="H2890" s="75" t="s">
        <v>26</v>
      </c>
      <c r="I2890" t="str">
        <f t="shared" si="45"/>
        <v>X</v>
      </c>
      <c r="K2890" s="77"/>
      <c r="L2890" s="77"/>
      <c r="M2890" s="77"/>
      <c r="N2890" s="77"/>
      <c r="W2890" s="78"/>
    </row>
    <row r="2891" spans="1:23" s="75" customFormat="1" hidden="1" x14ac:dyDescent="0.35">
      <c r="A2891" s="75">
        <v>2887</v>
      </c>
      <c r="B2891" s="75">
        <v>2888</v>
      </c>
      <c r="C2891">
        <v>145.9929692</v>
      </c>
      <c r="D2891">
        <v>-17.50579273</v>
      </c>
      <c r="G2891" s="75">
        <v>10</v>
      </c>
      <c r="H2891" s="75" t="s">
        <v>26</v>
      </c>
      <c r="I2891" t="str">
        <f t="shared" si="45"/>
        <v>X</v>
      </c>
      <c r="K2891" s="77"/>
      <c r="L2891" s="77"/>
      <c r="M2891" s="77"/>
      <c r="N2891" s="77"/>
      <c r="W2891" s="78"/>
    </row>
    <row r="2892" spans="1:23" s="75" customFormat="1" hidden="1" x14ac:dyDescent="0.35">
      <c r="A2892" s="75">
        <v>2888</v>
      </c>
      <c r="B2892" s="75">
        <v>2889</v>
      </c>
      <c r="C2892">
        <v>145.99305709999999</v>
      </c>
      <c r="D2892">
        <v>-17.505826970000001</v>
      </c>
      <c r="G2892" s="75">
        <v>10</v>
      </c>
      <c r="H2892" s="75" t="s">
        <v>26</v>
      </c>
      <c r="I2892" t="str">
        <f t="shared" si="45"/>
        <v>X</v>
      </c>
      <c r="K2892" s="77"/>
      <c r="L2892" s="77"/>
      <c r="M2892" s="77"/>
      <c r="N2892" s="77"/>
      <c r="W2892" s="78"/>
    </row>
    <row r="2893" spans="1:23" s="75" customFormat="1" hidden="1" x14ac:dyDescent="0.35">
      <c r="A2893" s="75">
        <v>2889</v>
      </c>
      <c r="B2893" s="75">
        <v>2890</v>
      </c>
      <c r="C2893">
        <v>145.9931449</v>
      </c>
      <c r="D2893">
        <v>-17.505861209999999</v>
      </c>
      <c r="G2893" s="75">
        <v>10</v>
      </c>
      <c r="H2893" s="75" t="s">
        <v>26</v>
      </c>
      <c r="I2893" t="str">
        <f t="shared" si="45"/>
        <v>X</v>
      </c>
      <c r="K2893" s="77"/>
      <c r="L2893" s="77"/>
      <c r="M2893" s="77"/>
      <c r="N2893" s="77"/>
      <c r="W2893" s="78"/>
    </row>
    <row r="2894" spans="1:23" s="75" customFormat="1" hidden="1" x14ac:dyDescent="0.35">
      <c r="A2894" s="75">
        <v>2890</v>
      </c>
      <c r="B2894" s="75">
        <v>2891</v>
      </c>
      <c r="C2894">
        <v>145.99323279999999</v>
      </c>
      <c r="D2894">
        <v>-17.505895450000001</v>
      </c>
      <c r="G2894" s="75">
        <v>10</v>
      </c>
      <c r="H2894" s="75" t="s">
        <v>26</v>
      </c>
      <c r="I2894" t="str">
        <f t="shared" si="45"/>
        <v>X</v>
      </c>
      <c r="K2894" s="77"/>
      <c r="L2894" s="77"/>
      <c r="M2894" s="77"/>
      <c r="N2894" s="77"/>
      <c r="W2894" s="78"/>
    </row>
    <row r="2895" spans="1:23" s="75" customFormat="1" hidden="1" x14ac:dyDescent="0.35">
      <c r="A2895" s="75">
        <v>2891</v>
      </c>
      <c r="B2895" s="75">
        <v>2892</v>
      </c>
      <c r="C2895">
        <v>145.9933207</v>
      </c>
      <c r="D2895">
        <v>-17.505929699999999</v>
      </c>
      <c r="G2895" s="75">
        <v>10</v>
      </c>
      <c r="H2895" s="75" t="s">
        <v>26</v>
      </c>
      <c r="I2895" t="str">
        <f t="shared" si="45"/>
        <v>X</v>
      </c>
      <c r="K2895" s="77"/>
      <c r="L2895" s="77"/>
      <c r="M2895" s="77"/>
      <c r="N2895" s="77"/>
      <c r="W2895" s="78"/>
    </row>
    <row r="2896" spans="1:23" s="75" customFormat="1" hidden="1" x14ac:dyDescent="0.35">
      <c r="A2896" s="75">
        <v>2892</v>
      </c>
      <c r="B2896" s="75">
        <v>2893</v>
      </c>
      <c r="C2896">
        <v>145.9934093</v>
      </c>
      <c r="D2896">
        <v>-17.505961670000001</v>
      </c>
      <c r="G2896" s="75">
        <v>10</v>
      </c>
      <c r="H2896" s="75" t="s">
        <v>26</v>
      </c>
      <c r="I2896" t="str">
        <f t="shared" si="45"/>
        <v>X</v>
      </c>
      <c r="K2896" s="77"/>
      <c r="L2896" s="77"/>
      <c r="M2896" s="77"/>
      <c r="N2896" s="77"/>
      <c r="W2896" s="78"/>
    </row>
    <row r="2897" spans="1:23" s="75" customFormat="1" hidden="1" x14ac:dyDescent="0.35">
      <c r="A2897" s="75">
        <v>2893</v>
      </c>
      <c r="B2897" s="75">
        <v>2894</v>
      </c>
      <c r="C2897">
        <v>145.99349910000001</v>
      </c>
      <c r="D2897">
        <v>-17.505990629999999</v>
      </c>
      <c r="G2897" s="75">
        <v>10</v>
      </c>
      <c r="H2897" s="75" t="s">
        <v>26</v>
      </c>
      <c r="I2897" t="str">
        <f t="shared" si="45"/>
        <v>X</v>
      </c>
      <c r="K2897" s="77"/>
      <c r="L2897" s="77"/>
      <c r="M2897" s="77"/>
      <c r="N2897" s="77"/>
      <c r="W2897" s="78"/>
    </row>
    <row r="2898" spans="1:23" s="75" customFormat="1" hidden="1" x14ac:dyDescent="0.35">
      <c r="A2898" s="75">
        <v>2894</v>
      </c>
      <c r="B2898" s="75">
        <v>2895</v>
      </c>
      <c r="C2898">
        <v>145.9935888</v>
      </c>
      <c r="D2898">
        <v>-17.506019599999998</v>
      </c>
      <c r="G2898" s="75">
        <v>10</v>
      </c>
      <c r="H2898" s="75" t="s">
        <v>26</v>
      </c>
      <c r="I2898" t="str">
        <f t="shared" si="45"/>
        <v>X</v>
      </c>
      <c r="K2898" s="77"/>
      <c r="L2898" s="77"/>
      <c r="M2898" s="77"/>
      <c r="N2898" s="77"/>
      <c r="W2898" s="78"/>
    </row>
    <row r="2899" spans="1:23" s="75" customFormat="1" hidden="1" x14ac:dyDescent="0.35">
      <c r="A2899" s="75">
        <v>2895</v>
      </c>
      <c r="B2899" s="75">
        <v>2896</v>
      </c>
      <c r="C2899">
        <v>145.99367860000001</v>
      </c>
      <c r="D2899">
        <v>-17.506048570000001</v>
      </c>
      <c r="G2899" s="75">
        <v>10</v>
      </c>
      <c r="H2899" s="75" t="s">
        <v>26</v>
      </c>
      <c r="I2899" t="str">
        <f t="shared" si="45"/>
        <v>X</v>
      </c>
      <c r="K2899" s="77"/>
      <c r="L2899" s="77"/>
      <c r="M2899" s="77"/>
      <c r="N2899" s="77"/>
      <c r="W2899" s="78"/>
    </row>
    <row r="2900" spans="1:23" s="75" customFormat="1" hidden="1" x14ac:dyDescent="0.35">
      <c r="A2900" s="75">
        <v>2896</v>
      </c>
      <c r="B2900" s="75">
        <v>2897</v>
      </c>
      <c r="C2900">
        <v>145.9937683</v>
      </c>
      <c r="D2900">
        <v>-17.506077529999999</v>
      </c>
      <c r="G2900" s="75">
        <v>10</v>
      </c>
      <c r="H2900" s="75" t="s">
        <v>26</v>
      </c>
      <c r="I2900" t="str">
        <f t="shared" si="45"/>
        <v>X</v>
      </c>
      <c r="K2900" s="77"/>
      <c r="L2900" s="77"/>
      <c r="M2900" s="77"/>
      <c r="N2900" s="77"/>
      <c r="W2900" s="78"/>
    </row>
    <row r="2901" spans="1:23" s="75" customFormat="1" hidden="1" x14ac:dyDescent="0.35">
      <c r="A2901" s="75">
        <v>2897</v>
      </c>
      <c r="B2901" s="75">
        <v>2898</v>
      </c>
      <c r="C2901">
        <v>145.99385810000001</v>
      </c>
      <c r="D2901">
        <v>-17.506106500000001</v>
      </c>
      <c r="G2901" s="75">
        <v>10</v>
      </c>
      <c r="H2901" s="75" t="s">
        <v>26</v>
      </c>
      <c r="I2901" t="str">
        <f t="shared" si="45"/>
        <v>X</v>
      </c>
      <c r="K2901" s="77"/>
      <c r="L2901" s="77"/>
      <c r="M2901" s="77"/>
      <c r="N2901" s="77"/>
      <c r="W2901" s="78"/>
    </row>
    <row r="2902" spans="1:23" s="75" customFormat="1" hidden="1" x14ac:dyDescent="0.35">
      <c r="A2902" s="75">
        <v>2898</v>
      </c>
      <c r="B2902" s="75">
        <v>2899</v>
      </c>
      <c r="C2902">
        <v>145.9939478</v>
      </c>
      <c r="D2902">
        <v>-17.506135459999999</v>
      </c>
      <c r="G2902" s="75">
        <v>10</v>
      </c>
      <c r="H2902" s="75" t="s">
        <v>26</v>
      </c>
      <c r="I2902" t="str">
        <f t="shared" si="45"/>
        <v>X</v>
      </c>
      <c r="K2902" s="77"/>
      <c r="L2902" s="77"/>
      <c r="M2902" s="77"/>
      <c r="N2902" s="77"/>
      <c r="W2902" s="78"/>
    </row>
    <row r="2903" spans="1:23" s="75" customFormat="1" hidden="1" x14ac:dyDescent="0.35">
      <c r="A2903" s="75">
        <v>2899</v>
      </c>
      <c r="B2903" s="75">
        <v>2900</v>
      </c>
      <c r="C2903">
        <v>145.99403760000001</v>
      </c>
      <c r="D2903">
        <v>-17.506164429999998</v>
      </c>
      <c r="G2903" s="75">
        <v>10</v>
      </c>
      <c r="H2903" s="75" t="s">
        <v>26</v>
      </c>
      <c r="I2903" t="str">
        <f t="shared" si="45"/>
        <v>X</v>
      </c>
      <c r="K2903" s="77"/>
      <c r="L2903" s="77"/>
      <c r="M2903" s="77"/>
      <c r="N2903" s="77"/>
      <c r="W2903" s="78"/>
    </row>
    <row r="2904" spans="1:23" s="75" customFormat="1" hidden="1" x14ac:dyDescent="0.35">
      <c r="A2904" s="75">
        <v>2900</v>
      </c>
      <c r="B2904" s="75">
        <v>2901</v>
      </c>
      <c r="C2904">
        <v>145.9941273</v>
      </c>
      <c r="D2904">
        <v>-17.506193400000001</v>
      </c>
      <c r="G2904" s="75">
        <v>10</v>
      </c>
      <c r="H2904" s="75" t="s">
        <v>26</v>
      </c>
      <c r="I2904" t="str">
        <f t="shared" si="45"/>
        <v>X</v>
      </c>
      <c r="K2904" s="77"/>
      <c r="L2904" s="77"/>
      <c r="M2904" s="77"/>
      <c r="N2904" s="77"/>
      <c r="W2904" s="78"/>
    </row>
    <row r="2905" spans="1:23" s="75" customFormat="1" hidden="1" x14ac:dyDescent="0.35">
      <c r="A2905" s="75">
        <v>2901</v>
      </c>
      <c r="B2905" s="75">
        <v>2902</v>
      </c>
      <c r="C2905">
        <v>145.99421709999999</v>
      </c>
      <c r="D2905">
        <v>-17.506222359999999</v>
      </c>
      <c r="G2905" s="75">
        <v>10</v>
      </c>
      <c r="H2905" s="75" t="s">
        <v>26</v>
      </c>
      <c r="I2905" t="str">
        <f t="shared" si="45"/>
        <v>X</v>
      </c>
      <c r="K2905" s="77"/>
      <c r="L2905" s="77"/>
      <c r="M2905" s="77"/>
      <c r="N2905" s="77"/>
      <c r="W2905" s="78"/>
    </row>
    <row r="2906" spans="1:23" s="75" customFormat="1" hidden="1" x14ac:dyDescent="0.35">
      <c r="A2906" s="75">
        <v>2902</v>
      </c>
      <c r="B2906" s="75">
        <v>2903</v>
      </c>
      <c r="C2906">
        <v>145.9943068</v>
      </c>
      <c r="D2906">
        <v>-17.506251330000001</v>
      </c>
      <c r="G2906" s="75">
        <v>10</v>
      </c>
      <c r="H2906" s="75" t="s">
        <v>26</v>
      </c>
      <c r="I2906" t="str">
        <f t="shared" si="45"/>
        <v>X</v>
      </c>
      <c r="K2906" s="77"/>
      <c r="L2906" s="77"/>
      <c r="M2906" s="77"/>
      <c r="N2906" s="77"/>
      <c r="W2906" s="78"/>
    </row>
    <row r="2907" spans="1:23" s="75" customFormat="1" hidden="1" x14ac:dyDescent="0.35">
      <c r="A2907" s="75">
        <v>2903</v>
      </c>
      <c r="B2907" s="75">
        <v>2904</v>
      </c>
      <c r="C2907">
        <v>145.99439649999999</v>
      </c>
      <c r="D2907">
        <v>-17.5062803</v>
      </c>
      <c r="G2907" s="75">
        <v>10</v>
      </c>
      <c r="H2907" s="75" t="s">
        <v>26</v>
      </c>
      <c r="I2907" t="str">
        <f t="shared" si="45"/>
        <v>X</v>
      </c>
      <c r="K2907" s="77"/>
      <c r="L2907" s="77"/>
      <c r="M2907" s="77"/>
      <c r="N2907" s="77"/>
      <c r="W2907" s="78"/>
    </row>
    <row r="2908" spans="1:23" s="75" customFormat="1" hidden="1" x14ac:dyDescent="0.35">
      <c r="A2908" s="75">
        <v>2904</v>
      </c>
      <c r="B2908" s="75">
        <v>2905</v>
      </c>
      <c r="C2908">
        <v>145.99448630000001</v>
      </c>
      <c r="D2908">
        <v>-17.506309259999998</v>
      </c>
      <c r="G2908" s="75">
        <v>10</v>
      </c>
      <c r="H2908" s="75" t="s">
        <v>26</v>
      </c>
      <c r="I2908" t="str">
        <f t="shared" si="45"/>
        <v>X</v>
      </c>
      <c r="K2908" s="77"/>
      <c r="L2908" s="77"/>
      <c r="M2908" s="77"/>
      <c r="N2908" s="77"/>
      <c r="W2908" s="78"/>
    </row>
    <row r="2909" spans="1:23" s="75" customFormat="1" hidden="1" x14ac:dyDescent="0.35">
      <c r="A2909" s="75">
        <v>2905</v>
      </c>
      <c r="B2909" s="75">
        <v>2906</v>
      </c>
      <c r="C2909">
        <v>145.994576</v>
      </c>
      <c r="D2909">
        <v>-17.506338230000001</v>
      </c>
      <c r="G2909" s="75">
        <v>10</v>
      </c>
      <c r="H2909" s="75" t="s">
        <v>26</v>
      </c>
      <c r="I2909" t="str">
        <f t="shared" si="45"/>
        <v>X</v>
      </c>
      <c r="K2909" s="77"/>
      <c r="L2909" s="77"/>
      <c r="M2909" s="77"/>
      <c r="N2909" s="77"/>
      <c r="W2909" s="78"/>
    </row>
    <row r="2910" spans="1:23" s="75" customFormat="1" hidden="1" x14ac:dyDescent="0.35">
      <c r="A2910" s="75">
        <v>2906</v>
      </c>
      <c r="B2910" s="75">
        <v>2907</v>
      </c>
      <c r="C2910">
        <v>145.99466580000001</v>
      </c>
      <c r="D2910">
        <v>-17.5063672</v>
      </c>
      <c r="G2910" s="75">
        <v>10</v>
      </c>
      <c r="H2910" s="75" t="s">
        <v>26</v>
      </c>
      <c r="I2910" t="str">
        <f t="shared" si="45"/>
        <v>X</v>
      </c>
      <c r="K2910" s="77"/>
      <c r="L2910" s="77"/>
      <c r="M2910" s="77"/>
      <c r="N2910" s="77"/>
      <c r="W2910" s="78"/>
    </row>
    <row r="2911" spans="1:23" s="75" customFormat="1" hidden="1" x14ac:dyDescent="0.35">
      <c r="A2911" s="75">
        <v>2907</v>
      </c>
      <c r="B2911" s="75">
        <v>2908</v>
      </c>
      <c r="C2911">
        <v>145.9947578</v>
      </c>
      <c r="D2911">
        <v>-17.506387149999998</v>
      </c>
      <c r="G2911" s="75">
        <v>10</v>
      </c>
      <c r="H2911" s="75" t="s">
        <v>26</v>
      </c>
      <c r="I2911" t="str">
        <f t="shared" si="45"/>
        <v>X</v>
      </c>
      <c r="K2911" s="77"/>
      <c r="L2911" s="77"/>
      <c r="M2911" s="77"/>
      <c r="N2911" s="77"/>
      <c r="W2911" s="78"/>
    </row>
    <row r="2912" spans="1:23" s="75" customFormat="1" hidden="1" x14ac:dyDescent="0.35">
      <c r="A2912" s="75">
        <v>2908</v>
      </c>
      <c r="B2912" s="75">
        <v>2909</v>
      </c>
      <c r="C2912">
        <v>145.99484720000001</v>
      </c>
      <c r="D2912">
        <v>-17.506415950000001</v>
      </c>
      <c r="G2912" s="75">
        <v>10</v>
      </c>
      <c r="H2912" s="75" t="s">
        <v>26</v>
      </c>
      <c r="I2912" t="str">
        <f t="shared" si="45"/>
        <v>X</v>
      </c>
      <c r="K2912" s="77"/>
      <c r="L2912" s="77"/>
      <c r="M2912" s="77"/>
      <c r="N2912" s="77"/>
      <c r="W2912" s="78"/>
    </row>
    <row r="2913" spans="1:23" s="75" customFormat="1" hidden="1" x14ac:dyDescent="0.35">
      <c r="A2913" s="75">
        <v>2909</v>
      </c>
      <c r="B2913" s="75">
        <v>2910</v>
      </c>
      <c r="C2913">
        <v>145.9949345</v>
      </c>
      <c r="D2913">
        <v>-17.50645149</v>
      </c>
      <c r="G2913" s="75">
        <v>10</v>
      </c>
      <c r="H2913" s="75" t="s">
        <v>26</v>
      </c>
      <c r="I2913" t="str">
        <f t="shared" si="45"/>
        <v>X</v>
      </c>
      <c r="K2913" s="77"/>
      <c r="L2913" s="77"/>
      <c r="M2913" s="77"/>
      <c r="N2913" s="77"/>
      <c r="W2913" s="78"/>
    </row>
    <row r="2914" spans="1:23" s="75" customFormat="1" hidden="1" x14ac:dyDescent="0.35">
      <c r="A2914" s="75">
        <v>2910</v>
      </c>
      <c r="B2914" s="75">
        <v>2911</v>
      </c>
      <c r="C2914">
        <v>145.99502190000001</v>
      </c>
      <c r="D2914">
        <v>-17.506487029999999</v>
      </c>
      <c r="G2914" s="75">
        <v>10</v>
      </c>
      <c r="H2914" s="75" t="s">
        <v>26</v>
      </c>
      <c r="I2914" t="str">
        <f t="shared" si="45"/>
        <v>X</v>
      </c>
      <c r="K2914" s="77"/>
      <c r="L2914" s="77"/>
      <c r="M2914" s="77"/>
      <c r="N2914" s="77"/>
      <c r="W2914" s="78"/>
    </row>
    <row r="2915" spans="1:23" s="75" customFormat="1" hidden="1" x14ac:dyDescent="0.35">
      <c r="A2915" s="75">
        <v>2911</v>
      </c>
      <c r="B2915" s="75">
        <v>2912</v>
      </c>
      <c r="C2915">
        <v>145.9951092</v>
      </c>
      <c r="D2915">
        <v>-17.506522570000001</v>
      </c>
      <c r="G2915" s="75">
        <v>10</v>
      </c>
      <c r="H2915" s="75" t="s">
        <v>26</v>
      </c>
      <c r="I2915" t="str">
        <f t="shared" si="45"/>
        <v>X</v>
      </c>
      <c r="K2915" s="77"/>
      <c r="L2915" s="77"/>
      <c r="M2915" s="77"/>
      <c r="N2915" s="77"/>
      <c r="W2915" s="78"/>
    </row>
    <row r="2916" spans="1:23" s="75" customFormat="1" hidden="1" x14ac:dyDescent="0.35">
      <c r="A2916" s="75">
        <v>2912</v>
      </c>
      <c r="B2916" s="75">
        <v>2913</v>
      </c>
      <c r="C2916">
        <v>145.99519660000001</v>
      </c>
      <c r="D2916">
        <v>-17.506558120000001</v>
      </c>
      <c r="G2916" s="75">
        <v>10</v>
      </c>
      <c r="H2916" s="75" t="s">
        <v>26</v>
      </c>
      <c r="I2916" t="str">
        <f t="shared" si="45"/>
        <v>X</v>
      </c>
      <c r="K2916" s="77"/>
      <c r="L2916" s="77"/>
      <c r="M2916" s="77"/>
      <c r="N2916" s="77"/>
      <c r="W2916" s="78"/>
    </row>
    <row r="2917" spans="1:23" s="75" customFormat="1" hidden="1" x14ac:dyDescent="0.35">
      <c r="A2917" s="75">
        <v>2913</v>
      </c>
      <c r="B2917" s="75">
        <v>2914</v>
      </c>
      <c r="C2917">
        <v>145.9952839</v>
      </c>
      <c r="D2917">
        <v>-17.50659366</v>
      </c>
      <c r="G2917" s="75">
        <v>10</v>
      </c>
      <c r="H2917" s="75" t="s">
        <v>26</v>
      </c>
      <c r="I2917" t="str">
        <f t="shared" si="45"/>
        <v>X</v>
      </c>
      <c r="K2917" s="77"/>
      <c r="L2917" s="77"/>
      <c r="M2917" s="77"/>
      <c r="N2917" s="77"/>
      <c r="W2917" s="78"/>
    </row>
    <row r="2918" spans="1:23" s="75" customFormat="1" hidden="1" x14ac:dyDescent="0.35">
      <c r="A2918" s="75">
        <v>2914</v>
      </c>
      <c r="B2918" s="75">
        <v>2915</v>
      </c>
      <c r="C2918">
        <v>145.9953726</v>
      </c>
      <c r="D2918">
        <v>-17.50662522</v>
      </c>
      <c r="G2918" s="75">
        <v>10</v>
      </c>
      <c r="H2918" s="75" t="s">
        <v>26</v>
      </c>
      <c r="I2918" t="str">
        <f t="shared" si="45"/>
        <v>X</v>
      </c>
      <c r="K2918" s="77"/>
      <c r="L2918" s="77"/>
      <c r="M2918" s="77"/>
      <c r="N2918" s="77"/>
      <c r="W2918" s="78"/>
    </row>
    <row r="2919" spans="1:23" s="75" customFormat="1" hidden="1" x14ac:dyDescent="0.35">
      <c r="A2919" s="75">
        <v>2915</v>
      </c>
      <c r="B2919" s="75">
        <v>2916</v>
      </c>
      <c r="C2919">
        <v>145.995464</v>
      </c>
      <c r="D2919">
        <v>-17.50664854</v>
      </c>
      <c r="G2919" s="75">
        <v>10</v>
      </c>
      <c r="H2919" s="75" t="s">
        <v>26</v>
      </c>
      <c r="I2919" t="str">
        <f t="shared" si="45"/>
        <v>X</v>
      </c>
      <c r="K2919" s="77"/>
      <c r="L2919" s="77"/>
      <c r="M2919" s="77"/>
      <c r="N2919" s="77"/>
      <c r="W2919" s="78"/>
    </row>
    <row r="2920" spans="1:23" s="75" customFormat="1" hidden="1" x14ac:dyDescent="0.35">
      <c r="A2920" s="75">
        <v>2916</v>
      </c>
      <c r="B2920" s="75">
        <v>2917</v>
      </c>
      <c r="C2920">
        <v>145.99555530000001</v>
      </c>
      <c r="D2920">
        <v>-17.506671860000001</v>
      </c>
      <c r="G2920" s="75">
        <v>10</v>
      </c>
      <c r="H2920" s="75" t="s">
        <v>26</v>
      </c>
      <c r="I2920" t="str">
        <f t="shared" si="45"/>
        <v>X</v>
      </c>
      <c r="K2920" s="77"/>
      <c r="L2920" s="77"/>
      <c r="M2920" s="77"/>
      <c r="N2920" s="77"/>
      <c r="W2920" s="78"/>
    </row>
    <row r="2921" spans="1:23" s="75" customFormat="1" hidden="1" x14ac:dyDescent="0.35">
      <c r="A2921" s="75">
        <v>2917</v>
      </c>
      <c r="B2921" s="75">
        <v>2918</v>
      </c>
      <c r="C2921">
        <v>145.99564670000001</v>
      </c>
      <c r="D2921">
        <v>-17.506695180000001</v>
      </c>
      <c r="G2921" s="75">
        <v>10</v>
      </c>
      <c r="H2921" s="75" t="s">
        <v>26</v>
      </c>
      <c r="I2921" t="str">
        <f t="shared" si="45"/>
        <v>X</v>
      </c>
      <c r="K2921" s="77"/>
      <c r="L2921" s="77"/>
      <c r="M2921" s="77"/>
      <c r="N2921" s="77"/>
      <c r="W2921" s="78"/>
    </row>
    <row r="2922" spans="1:23" s="75" customFormat="1" hidden="1" x14ac:dyDescent="0.35">
      <c r="A2922" s="75">
        <v>2918</v>
      </c>
      <c r="B2922" s="75">
        <v>2919</v>
      </c>
      <c r="C2922">
        <v>145.99573810000001</v>
      </c>
      <c r="D2922">
        <v>-17.506718500000002</v>
      </c>
      <c r="G2922" s="75">
        <v>10</v>
      </c>
      <c r="H2922" s="75" t="s">
        <v>26</v>
      </c>
      <c r="I2922" t="str">
        <f t="shared" si="45"/>
        <v>X</v>
      </c>
      <c r="K2922" s="77"/>
      <c r="L2922" s="77"/>
      <c r="M2922" s="77"/>
      <c r="N2922" s="77"/>
      <c r="W2922" s="78"/>
    </row>
    <row r="2923" spans="1:23" s="75" customFormat="1" hidden="1" x14ac:dyDescent="0.35">
      <c r="A2923" s="75">
        <v>2919</v>
      </c>
      <c r="B2923" s="75">
        <v>2920</v>
      </c>
      <c r="C2923">
        <v>145.99582950000001</v>
      </c>
      <c r="D2923">
        <v>-17.506741810000001</v>
      </c>
      <c r="G2923" s="75">
        <v>10</v>
      </c>
      <c r="H2923" s="75" t="s">
        <v>26</v>
      </c>
      <c r="I2923" t="str">
        <f t="shared" si="45"/>
        <v>X</v>
      </c>
      <c r="K2923" s="77"/>
      <c r="L2923" s="77"/>
      <c r="M2923" s="77"/>
      <c r="N2923" s="77"/>
      <c r="W2923" s="78"/>
    </row>
    <row r="2924" spans="1:23" s="75" customFormat="1" hidden="1" x14ac:dyDescent="0.35">
      <c r="A2924" s="75">
        <v>2920</v>
      </c>
      <c r="B2924" s="75">
        <v>2921</v>
      </c>
      <c r="C2924">
        <v>145.99592079999999</v>
      </c>
      <c r="D2924">
        <v>-17.506765139999999</v>
      </c>
      <c r="G2924" s="75">
        <v>10</v>
      </c>
      <c r="H2924" s="75" t="s">
        <v>26</v>
      </c>
      <c r="I2924" t="str">
        <f t="shared" si="45"/>
        <v>X</v>
      </c>
      <c r="K2924" s="77"/>
      <c r="L2924" s="77"/>
      <c r="M2924" s="77"/>
      <c r="N2924" s="77"/>
      <c r="W2924" s="78"/>
    </row>
    <row r="2925" spans="1:23" s="75" customFormat="1" hidden="1" x14ac:dyDescent="0.35">
      <c r="A2925" s="75">
        <v>2921</v>
      </c>
      <c r="B2925" s="75">
        <v>2922</v>
      </c>
      <c r="C2925">
        <v>145.9960122</v>
      </c>
      <c r="D2925">
        <v>-17.506788449999998</v>
      </c>
      <c r="G2925" s="75">
        <v>10</v>
      </c>
      <c r="H2925" s="75" t="s">
        <v>26</v>
      </c>
      <c r="I2925" t="str">
        <f t="shared" si="45"/>
        <v>X</v>
      </c>
      <c r="K2925" s="77"/>
      <c r="L2925" s="77"/>
      <c r="M2925" s="77"/>
      <c r="N2925" s="77"/>
      <c r="W2925" s="78"/>
    </row>
    <row r="2926" spans="1:23" s="75" customFormat="1" hidden="1" x14ac:dyDescent="0.35">
      <c r="A2926" s="75">
        <v>2922</v>
      </c>
      <c r="B2926" s="75">
        <v>2923</v>
      </c>
      <c r="C2926">
        <v>145.9961036</v>
      </c>
      <c r="D2926">
        <v>-17.506811769999999</v>
      </c>
      <c r="G2926" s="75">
        <v>10</v>
      </c>
      <c r="H2926" s="75" t="s">
        <v>26</v>
      </c>
      <c r="I2926" t="str">
        <f t="shared" si="45"/>
        <v>X</v>
      </c>
      <c r="K2926" s="77"/>
      <c r="L2926" s="77"/>
      <c r="M2926" s="77"/>
      <c r="N2926" s="77"/>
      <c r="W2926" s="78"/>
    </row>
    <row r="2927" spans="1:23" s="75" customFormat="1" hidden="1" x14ac:dyDescent="0.35">
      <c r="A2927" s="75">
        <v>2923</v>
      </c>
      <c r="B2927" s="75">
        <v>2924</v>
      </c>
      <c r="C2927">
        <v>145.996195</v>
      </c>
      <c r="D2927">
        <v>-17.506835089999999</v>
      </c>
      <c r="G2927" s="75">
        <v>10</v>
      </c>
      <c r="H2927" s="75" t="s">
        <v>26</v>
      </c>
      <c r="I2927" t="str">
        <f t="shared" si="45"/>
        <v>X</v>
      </c>
      <c r="K2927" s="77"/>
      <c r="L2927" s="77"/>
      <c r="M2927" s="77"/>
      <c r="N2927" s="77"/>
      <c r="W2927" s="78"/>
    </row>
    <row r="2928" spans="1:23" s="75" customFormat="1" hidden="1" x14ac:dyDescent="0.35">
      <c r="A2928" s="75">
        <v>2924</v>
      </c>
      <c r="B2928" s="75">
        <v>2925</v>
      </c>
      <c r="C2928">
        <v>145.99628630000001</v>
      </c>
      <c r="D2928">
        <v>-17.50685841</v>
      </c>
      <c r="G2928" s="75">
        <v>10</v>
      </c>
      <c r="H2928" s="75" t="s">
        <v>26</v>
      </c>
      <c r="I2928" t="str">
        <f t="shared" si="45"/>
        <v>X</v>
      </c>
      <c r="K2928" s="77"/>
      <c r="L2928" s="77"/>
      <c r="M2928" s="77"/>
      <c r="N2928" s="77"/>
      <c r="W2928" s="78"/>
    </row>
    <row r="2929" spans="1:23" s="75" customFormat="1" hidden="1" x14ac:dyDescent="0.35">
      <c r="A2929" s="75">
        <v>2925</v>
      </c>
      <c r="B2929" s="75">
        <v>2926</v>
      </c>
      <c r="C2929">
        <v>145.99637770000001</v>
      </c>
      <c r="D2929">
        <v>-17.50688173</v>
      </c>
      <c r="G2929" s="75">
        <v>10</v>
      </c>
      <c r="H2929" s="75" t="s">
        <v>26</v>
      </c>
      <c r="I2929" t="str">
        <f t="shared" si="45"/>
        <v>X</v>
      </c>
      <c r="K2929" s="77"/>
      <c r="L2929" s="77"/>
      <c r="M2929" s="77"/>
      <c r="N2929" s="77"/>
      <c r="W2929" s="78"/>
    </row>
    <row r="2930" spans="1:23" s="75" customFormat="1" hidden="1" x14ac:dyDescent="0.35">
      <c r="A2930" s="75">
        <v>2926</v>
      </c>
      <c r="B2930" s="75">
        <v>2927</v>
      </c>
      <c r="C2930">
        <v>145.99646910000001</v>
      </c>
      <c r="D2930">
        <v>-17.50690505</v>
      </c>
      <c r="G2930" s="75">
        <v>10</v>
      </c>
      <c r="H2930" s="75" t="s">
        <v>26</v>
      </c>
      <c r="I2930" t="str">
        <f t="shared" si="45"/>
        <v>X</v>
      </c>
      <c r="K2930" s="77"/>
      <c r="L2930" s="77"/>
      <c r="M2930" s="77"/>
      <c r="N2930" s="77"/>
      <c r="W2930" s="78"/>
    </row>
    <row r="2931" spans="1:23" s="75" customFormat="1" hidden="1" x14ac:dyDescent="0.35">
      <c r="A2931" s="75">
        <v>2927</v>
      </c>
      <c r="B2931" s="75">
        <v>2928</v>
      </c>
      <c r="C2931">
        <v>145.99656049999999</v>
      </c>
      <c r="D2931">
        <v>-17.506928370000001</v>
      </c>
      <c r="G2931" s="75">
        <v>10</v>
      </c>
      <c r="H2931" s="75" t="s">
        <v>26</v>
      </c>
      <c r="I2931" t="str">
        <f t="shared" si="45"/>
        <v>X</v>
      </c>
      <c r="K2931" s="77"/>
      <c r="L2931" s="77"/>
      <c r="M2931" s="77"/>
      <c r="N2931" s="77"/>
      <c r="W2931" s="78"/>
    </row>
    <row r="2932" spans="1:23" s="75" customFormat="1" hidden="1" x14ac:dyDescent="0.35">
      <c r="A2932" s="75">
        <v>2928</v>
      </c>
      <c r="B2932" s="75">
        <v>2929</v>
      </c>
      <c r="C2932">
        <v>145.9966518</v>
      </c>
      <c r="D2932">
        <v>-17.506951690000001</v>
      </c>
      <c r="G2932" s="75">
        <v>10</v>
      </c>
      <c r="H2932" s="75" t="s">
        <v>26</v>
      </c>
      <c r="I2932" t="str">
        <f t="shared" si="45"/>
        <v>X</v>
      </c>
      <c r="K2932" s="77"/>
      <c r="L2932" s="77"/>
      <c r="M2932" s="77"/>
      <c r="N2932" s="77"/>
      <c r="W2932" s="78"/>
    </row>
    <row r="2933" spans="1:23" s="75" customFormat="1" hidden="1" x14ac:dyDescent="0.35">
      <c r="A2933" s="75">
        <v>2929</v>
      </c>
      <c r="B2933" s="75">
        <v>2930</v>
      </c>
      <c r="C2933">
        <v>145.9967432</v>
      </c>
      <c r="D2933">
        <v>-17.506975010000001</v>
      </c>
      <c r="G2933" s="75">
        <v>10</v>
      </c>
      <c r="H2933" s="75" t="s">
        <v>26</v>
      </c>
      <c r="I2933" t="str">
        <f t="shared" si="45"/>
        <v>X</v>
      </c>
      <c r="K2933" s="77"/>
      <c r="L2933" s="77"/>
      <c r="M2933" s="77"/>
      <c r="N2933" s="77"/>
      <c r="W2933" s="78"/>
    </row>
    <row r="2934" spans="1:23" s="75" customFormat="1" hidden="1" x14ac:dyDescent="0.35">
      <c r="A2934" s="75">
        <v>2930</v>
      </c>
      <c r="B2934" s="75">
        <v>2931</v>
      </c>
      <c r="C2934">
        <v>145.9968346</v>
      </c>
      <c r="D2934">
        <v>-17.506998329999998</v>
      </c>
      <c r="G2934" s="75">
        <v>10</v>
      </c>
      <c r="H2934" s="75" t="s">
        <v>26</v>
      </c>
      <c r="I2934" t="str">
        <f t="shared" si="45"/>
        <v>X</v>
      </c>
      <c r="K2934" s="77"/>
      <c r="L2934" s="77"/>
      <c r="M2934" s="77"/>
      <c r="N2934" s="77"/>
      <c r="W2934" s="78"/>
    </row>
    <row r="2935" spans="1:23" s="75" customFormat="1" hidden="1" x14ac:dyDescent="0.35">
      <c r="A2935" s="75">
        <v>2931</v>
      </c>
      <c r="B2935" s="75">
        <v>2932</v>
      </c>
      <c r="C2935">
        <v>145.996926</v>
      </c>
      <c r="D2935">
        <v>-17.507021649999999</v>
      </c>
      <c r="G2935" s="75">
        <v>10</v>
      </c>
      <c r="H2935" s="75" t="s">
        <v>26</v>
      </c>
      <c r="I2935" t="str">
        <f t="shared" si="45"/>
        <v>X</v>
      </c>
      <c r="K2935" s="77"/>
      <c r="L2935" s="77"/>
      <c r="M2935" s="77"/>
      <c r="N2935" s="77"/>
      <c r="W2935" s="78"/>
    </row>
    <row r="2936" spans="1:23" s="75" customFormat="1" hidden="1" x14ac:dyDescent="0.35">
      <c r="A2936" s="75">
        <v>2932</v>
      </c>
      <c r="B2936" s="75">
        <v>2933</v>
      </c>
      <c r="C2936">
        <v>145.99701730000001</v>
      </c>
      <c r="D2936">
        <v>-17.507044969999999</v>
      </c>
      <c r="G2936" s="75">
        <v>10</v>
      </c>
      <c r="H2936" s="75" t="s">
        <v>26</v>
      </c>
      <c r="I2936" t="str">
        <f t="shared" si="45"/>
        <v>X</v>
      </c>
      <c r="K2936" s="77"/>
      <c r="L2936" s="77"/>
      <c r="M2936" s="77"/>
      <c r="N2936" s="77"/>
      <c r="W2936" s="78"/>
    </row>
    <row r="2937" spans="1:23" s="75" customFormat="1" hidden="1" x14ac:dyDescent="0.35">
      <c r="A2937" s="75">
        <v>2933</v>
      </c>
      <c r="B2937" s="75">
        <v>2934</v>
      </c>
      <c r="C2937">
        <v>145.99710870000001</v>
      </c>
      <c r="D2937">
        <v>-17.507068289999999</v>
      </c>
      <c r="G2937" s="75">
        <v>10</v>
      </c>
      <c r="H2937" s="75" t="s">
        <v>26</v>
      </c>
      <c r="I2937" t="str">
        <f t="shared" si="45"/>
        <v>X</v>
      </c>
      <c r="K2937" s="77"/>
      <c r="L2937" s="77"/>
      <c r="M2937" s="77"/>
      <c r="N2937" s="77"/>
      <c r="W2937" s="78"/>
    </row>
    <row r="2938" spans="1:23" s="75" customFormat="1" hidden="1" x14ac:dyDescent="0.35">
      <c r="A2938" s="75">
        <v>2934</v>
      </c>
      <c r="B2938" s="75">
        <v>2935</v>
      </c>
      <c r="C2938">
        <v>145.99720009999999</v>
      </c>
      <c r="D2938">
        <v>-17.50709161</v>
      </c>
      <c r="G2938" s="75">
        <v>10</v>
      </c>
      <c r="H2938" s="75" t="s">
        <v>26</v>
      </c>
      <c r="I2938" t="str">
        <f t="shared" si="45"/>
        <v>X</v>
      </c>
      <c r="K2938" s="77"/>
      <c r="L2938" s="77"/>
      <c r="M2938" s="77"/>
      <c r="N2938" s="77"/>
      <c r="W2938" s="78"/>
    </row>
    <row r="2939" spans="1:23" s="75" customFormat="1" hidden="1" x14ac:dyDescent="0.35">
      <c r="A2939" s="75">
        <v>2935</v>
      </c>
      <c r="B2939" s="75">
        <v>2936</v>
      </c>
      <c r="C2939">
        <v>145.99729160000001</v>
      </c>
      <c r="D2939">
        <v>-17.507114550000001</v>
      </c>
      <c r="G2939" s="75">
        <v>10</v>
      </c>
      <c r="H2939" s="75" t="s">
        <v>26</v>
      </c>
      <c r="I2939" t="str">
        <f t="shared" si="45"/>
        <v>X</v>
      </c>
      <c r="K2939" s="77"/>
      <c r="L2939" s="77"/>
      <c r="M2939" s="77"/>
      <c r="N2939" s="77"/>
      <c r="W2939" s="78"/>
    </row>
    <row r="2940" spans="1:23" s="75" customFormat="1" hidden="1" x14ac:dyDescent="0.35">
      <c r="A2940" s="75">
        <v>2936</v>
      </c>
      <c r="B2940" s="75">
        <v>2937</v>
      </c>
      <c r="C2940">
        <v>145.99738310000001</v>
      </c>
      <c r="D2940">
        <v>-17.50713726</v>
      </c>
      <c r="G2940" s="75">
        <v>10</v>
      </c>
      <c r="H2940" s="75" t="s">
        <v>26</v>
      </c>
      <c r="I2940" t="str">
        <f t="shared" si="45"/>
        <v>X</v>
      </c>
      <c r="K2940" s="77"/>
      <c r="L2940" s="77"/>
      <c r="M2940" s="77"/>
      <c r="N2940" s="77"/>
      <c r="W2940" s="78"/>
    </row>
    <row r="2941" spans="1:23" s="75" customFormat="1" hidden="1" x14ac:dyDescent="0.35">
      <c r="A2941" s="75">
        <v>2937</v>
      </c>
      <c r="B2941" s="75">
        <v>2938</v>
      </c>
      <c r="C2941">
        <v>145.9974746</v>
      </c>
      <c r="D2941">
        <v>-17.50715997</v>
      </c>
      <c r="G2941" s="75">
        <v>10</v>
      </c>
      <c r="H2941" s="75" t="s">
        <v>26</v>
      </c>
      <c r="I2941" t="str">
        <f t="shared" si="45"/>
        <v>X</v>
      </c>
      <c r="K2941" s="77"/>
      <c r="L2941" s="77"/>
      <c r="M2941" s="77"/>
      <c r="N2941" s="77"/>
      <c r="W2941" s="78"/>
    </row>
    <row r="2942" spans="1:23" s="75" customFormat="1" hidden="1" x14ac:dyDescent="0.35">
      <c r="A2942" s="75">
        <v>2938</v>
      </c>
      <c r="B2942" s="75">
        <v>2939</v>
      </c>
      <c r="C2942">
        <v>145.99756619999999</v>
      </c>
      <c r="D2942">
        <v>-17.50718268</v>
      </c>
      <c r="G2942" s="75">
        <v>10</v>
      </c>
      <c r="H2942" s="75" t="s">
        <v>26</v>
      </c>
      <c r="I2942" t="str">
        <f t="shared" si="45"/>
        <v>X</v>
      </c>
      <c r="K2942" s="77"/>
      <c r="L2942" s="77"/>
      <c r="M2942" s="77"/>
      <c r="N2942" s="77"/>
      <c r="W2942" s="78"/>
    </row>
    <row r="2943" spans="1:23" s="75" customFormat="1" hidden="1" x14ac:dyDescent="0.35">
      <c r="A2943" s="75">
        <v>2939</v>
      </c>
      <c r="B2943" s="75">
        <v>2940</v>
      </c>
      <c r="C2943">
        <v>145.99765769999999</v>
      </c>
      <c r="D2943">
        <v>-17.507205389999999</v>
      </c>
      <c r="G2943" s="75">
        <v>10</v>
      </c>
      <c r="H2943" s="75" t="s">
        <v>26</v>
      </c>
      <c r="I2943" t="str">
        <f t="shared" si="45"/>
        <v>X</v>
      </c>
      <c r="K2943" s="77"/>
      <c r="L2943" s="77"/>
      <c r="M2943" s="77"/>
      <c r="N2943" s="77"/>
      <c r="W2943" s="78"/>
    </row>
    <row r="2944" spans="1:23" s="75" customFormat="1" hidden="1" x14ac:dyDescent="0.35">
      <c r="A2944" s="75">
        <v>2940</v>
      </c>
      <c r="B2944" s="75">
        <v>2941</v>
      </c>
      <c r="C2944">
        <v>145.99774919999999</v>
      </c>
      <c r="D2944">
        <v>-17.507228099999999</v>
      </c>
      <c r="G2944" s="75">
        <v>10</v>
      </c>
      <c r="H2944" s="75" t="s">
        <v>26</v>
      </c>
      <c r="I2944" t="str">
        <f t="shared" si="45"/>
        <v>X</v>
      </c>
      <c r="K2944" s="77"/>
      <c r="L2944" s="77"/>
      <c r="M2944" s="77"/>
      <c r="N2944" s="77"/>
      <c r="W2944" s="78"/>
    </row>
    <row r="2945" spans="1:23" s="75" customFormat="1" hidden="1" x14ac:dyDescent="0.35">
      <c r="A2945" s="75">
        <v>2941</v>
      </c>
      <c r="B2945" s="75">
        <v>2942</v>
      </c>
      <c r="C2945">
        <v>145.99784070000001</v>
      </c>
      <c r="D2945">
        <v>-17.507250809999999</v>
      </c>
      <c r="G2945" s="75">
        <v>10</v>
      </c>
      <c r="H2945" s="75" t="s">
        <v>26</v>
      </c>
      <c r="I2945" t="str">
        <f t="shared" si="45"/>
        <v>X</v>
      </c>
      <c r="K2945" s="77"/>
      <c r="L2945" s="77"/>
      <c r="M2945" s="77"/>
      <c r="N2945" s="77"/>
      <c r="W2945" s="78"/>
    </row>
    <row r="2946" spans="1:23" s="75" customFormat="1" hidden="1" x14ac:dyDescent="0.35">
      <c r="A2946" s="75">
        <v>2942</v>
      </c>
      <c r="B2946" s="75">
        <v>2943</v>
      </c>
      <c r="C2946">
        <v>145.9979323</v>
      </c>
      <c r="D2946">
        <v>-17.507273519999998</v>
      </c>
      <c r="G2946" s="75">
        <v>10</v>
      </c>
      <c r="H2946" s="75" t="s">
        <v>26</v>
      </c>
      <c r="I2946" t="str">
        <f t="shared" si="45"/>
        <v>X</v>
      </c>
      <c r="K2946" s="77"/>
      <c r="L2946" s="77"/>
      <c r="M2946" s="77"/>
      <c r="N2946" s="77"/>
      <c r="W2946" s="78"/>
    </row>
    <row r="2947" spans="1:23" s="75" customFormat="1" hidden="1" x14ac:dyDescent="0.35">
      <c r="A2947" s="75">
        <v>2943</v>
      </c>
      <c r="B2947" s="75">
        <v>2944</v>
      </c>
      <c r="C2947">
        <v>145.9980238</v>
      </c>
      <c r="D2947">
        <v>-17.507296230000001</v>
      </c>
      <c r="G2947" s="75">
        <v>10</v>
      </c>
      <c r="H2947" s="75" t="s">
        <v>26</v>
      </c>
      <c r="I2947" t="str">
        <f t="shared" si="45"/>
        <v>X</v>
      </c>
      <c r="K2947" s="77"/>
      <c r="L2947" s="77"/>
      <c r="M2947" s="77"/>
      <c r="N2947" s="77"/>
      <c r="W2947" s="78"/>
    </row>
    <row r="2948" spans="1:23" s="75" customFormat="1" hidden="1" x14ac:dyDescent="0.35">
      <c r="A2948" s="75">
        <v>2944</v>
      </c>
      <c r="B2948" s="75">
        <v>2945</v>
      </c>
      <c r="C2948">
        <v>145.99811529999999</v>
      </c>
      <c r="D2948">
        <v>-17.507318940000001</v>
      </c>
      <c r="G2948" s="75">
        <v>10</v>
      </c>
      <c r="H2948" s="75" t="s">
        <v>26</v>
      </c>
      <c r="I2948" t="str">
        <f t="shared" si="45"/>
        <v>X</v>
      </c>
      <c r="K2948" s="77"/>
      <c r="L2948" s="77"/>
      <c r="M2948" s="77"/>
      <c r="N2948" s="77"/>
      <c r="W2948" s="78"/>
    </row>
    <row r="2949" spans="1:23" s="75" customFormat="1" hidden="1" x14ac:dyDescent="0.35">
      <c r="A2949" s="75">
        <v>2945</v>
      </c>
      <c r="B2949" s="75">
        <v>2946</v>
      </c>
      <c r="C2949">
        <v>145.99820679999999</v>
      </c>
      <c r="D2949">
        <v>-17.507341650000001</v>
      </c>
      <c r="G2949" s="75">
        <v>10</v>
      </c>
      <c r="H2949" s="75" t="s">
        <v>26</v>
      </c>
      <c r="I2949" t="str">
        <f t="shared" ref="I2949:I3012" si="46">IF(H2949="X","X",IF(J2949="NA","X",IF(J2949="","X",J2949)))</f>
        <v>X</v>
      </c>
      <c r="K2949" s="77"/>
      <c r="L2949" s="77"/>
      <c r="M2949" s="77"/>
      <c r="N2949" s="77"/>
      <c r="W2949" s="78"/>
    </row>
    <row r="2950" spans="1:23" s="75" customFormat="1" hidden="1" x14ac:dyDescent="0.35">
      <c r="A2950" s="75">
        <v>2946</v>
      </c>
      <c r="B2950" s="75">
        <v>2947</v>
      </c>
      <c r="C2950">
        <v>145.99829840000001</v>
      </c>
      <c r="D2950">
        <v>-17.50736436</v>
      </c>
      <c r="G2950" s="75">
        <v>10</v>
      </c>
      <c r="H2950" s="75" t="s">
        <v>26</v>
      </c>
      <c r="I2950" t="str">
        <f t="shared" si="46"/>
        <v>X</v>
      </c>
      <c r="K2950" s="77"/>
      <c r="L2950" s="77"/>
      <c r="M2950" s="77"/>
      <c r="N2950" s="77"/>
      <c r="W2950" s="78"/>
    </row>
    <row r="2951" spans="1:23" s="75" customFormat="1" hidden="1" x14ac:dyDescent="0.35">
      <c r="A2951" s="75">
        <v>2947</v>
      </c>
      <c r="B2951" s="75">
        <v>2948</v>
      </c>
      <c r="C2951">
        <v>145.99838990000001</v>
      </c>
      <c r="D2951">
        <v>-17.50738707</v>
      </c>
      <c r="G2951" s="75">
        <v>10</v>
      </c>
      <c r="H2951" s="75" t="s">
        <v>26</v>
      </c>
      <c r="I2951" t="str">
        <f t="shared" si="46"/>
        <v>X</v>
      </c>
      <c r="K2951" s="77"/>
      <c r="L2951" s="77"/>
      <c r="M2951" s="77"/>
      <c r="N2951" s="77"/>
      <c r="W2951" s="78"/>
    </row>
    <row r="2952" spans="1:23" s="75" customFormat="1" hidden="1" x14ac:dyDescent="0.35">
      <c r="A2952" s="75">
        <v>2948</v>
      </c>
      <c r="B2952" s="75">
        <v>2949</v>
      </c>
      <c r="C2952">
        <v>145.9984814</v>
      </c>
      <c r="D2952">
        <v>-17.50740978</v>
      </c>
      <c r="G2952" s="75">
        <v>10</v>
      </c>
      <c r="H2952" s="75" t="s">
        <v>26</v>
      </c>
      <c r="I2952" t="str">
        <f t="shared" si="46"/>
        <v>X</v>
      </c>
      <c r="K2952" s="77"/>
      <c r="L2952" s="77"/>
      <c r="M2952" s="77"/>
      <c r="N2952" s="77"/>
      <c r="W2952" s="78"/>
    </row>
    <row r="2953" spans="1:23" s="75" customFormat="1" hidden="1" x14ac:dyDescent="0.35">
      <c r="A2953" s="75">
        <v>2949</v>
      </c>
      <c r="B2953" s="75">
        <v>2950</v>
      </c>
      <c r="C2953">
        <v>145.99857370000001</v>
      </c>
      <c r="D2953">
        <v>-17.50742799</v>
      </c>
      <c r="G2953" s="75">
        <v>10</v>
      </c>
      <c r="H2953" s="75" t="s">
        <v>26</v>
      </c>
      <c r="I2953" t="str">
        <f t="shared" si="46"/>
        <v>X</v>
      </c>
      <c r="K2953" s="77"/>
      <c r="L2953" s="77"/>
      <c r="M2953" s="77"/>
      <c r="N2953" s="77"/>
      <c r="W2953" s="78"/>
    </row>
    <row r="2954" spans="1:23" s="75" customFormat="1" hidden="1" x14ac:dyDescent="0.35">
      <c r="A2954" s="75">
        <v>2950</v>
      </c>
      <c r="B2954" s="75">
        <v>2951</v>
      </c>
      <c r="C2954">
        <v>145.9986677</v>
      </c>
      <c r="D2954">
        <v>-17.507435820000001</v>
      </c>
      <c r="G2954" s="75">
        <v>10</v>
      </c>
      <c r="H2954" s="75" t="s">
        <v>26</v>
      </c>
      <c r="I2954" t="str">
        <f t="shared" si="46"/>
        <v>X</v>
      </c>
      <c r="K2954" s="77"/>
      <c r="L2954" s="77"/>
      <c r="M2954" s="77"/>
      <c r="N2954" s="77"/>
      <c r="W2954" s="78"/>
    </row>
    <row r="2955" spans="1:23" s="75" customFormat="1" hidden="1" x14ac:dyDescent="0.35">
      <c r="A2955" s="75">
        <v>2951</v>
      </c>
      <c r="B2955" s="75">
        <v>2952</v>
      </c>
      <c r="C2955">
        <v>145.99876169999999</v>
      </c>
      <c r="D2955">
        <v>-17.507443649999999</v>
      </c>
      <c r="G2955" s="75">
        <v>10</v>
      </c>
      <c r="H2955" s="75" t="s">
        <v>26</v>
      </c>
      <c r="I2955" t="str">
        <f t="shared" si="46"/>
        <v>X</v>
      </c>
      <c r="K2955" s="77"/>
      <c r="L2955" s="77"/>
      <c r="M2955" s="77"/>
      <c r="N2955" s="77"/>
      <c r="W2955" s="78"/>
    </row>
    <row r="2956" spans="1:23" s="75" customFormat="1" hidden="1" x14ac:dyDescent="0.35">
      <c r="A2956" s="75">
        <v>2952</v>
      </c>
      <c r="B2956" s="75">
        <v>2953</v>
      </c>
      <c r="C2956">
        <v>145.99885560000001</v>
      </c>
      <c r="D2956">
        <v>-17.50745148</v>
      </c>
      <c r="G2956" s="75">
        <v>10</v>
      </c>
      <c r="H2956" s="75" t="s">
        <v>26</v>
      </c>
      <c r="I2956" t="str">
        <f t="shared" si="46"/>
        <v>X</v>
      </c>
      <c r="K2956" s="77"/>
      <c r="L2956" s="77"/>
      <c r="M2956" s="77"/>
      <c r="N2956" s="77"/>
      <c r="W2956" s="78"/>
    </row>
    <row r="2957" spans="1:23" s="75" customFormat="1" hidden="1" x14ac:dyDescent="0.35">
      <c r="A2957" s="75">
        <v>2953</v>
      </c>
      <c r="B2957" s="75">
        <v>2954</v>
      </c>
      <c r="C2957">
        <v>145.9989496</v>
      </c>
      <c r="D2957">
        <v>-17.507459310000002</v>
      </c>
      <c r="G2957" s="75">
        <v>10</v>
      </c>
      <c r="H2957" s="75" t="s">
        <v>26</v>
      </c>
      <c r="I2957" t="str">
        <f t="shared" si="46"/>
        <v>X</v>
      </c>
      <c r="K2957" s="77"/>
      <c r="L2957" s="77"/>
      <c r="M2957" s="77"/>
      <c r="N2957" s="77"/>
      <c r="W2957" s="78"/>
    </row>
    <row r="2958" spans="1:23" s="75" customFormat="1" hidden="1" x14ac:dyDescent="0.35">
      <c r="A2958" s="75">
        <v>2954</v>
      </c>
      <c r="B2958" s="75">
        <v>2955</v>
      </c>
      <c r="C2958">
        <v>145.99904359999999</v>
      </c>
      <c r="D2958">
        <v>-17.50746715</v>
      </c>
      <c r="G2958" s="75">
        <v>10</v>
      </c>
      <c r="H2958" s="75" t="s">
        <v>26</v>
      </c>
      <c r="I2958" t="str">
        <f t="shared" si="46"/>
        <v>X</v>
      </c>
      <c r="K2958" s="77"/>
      <c r="L2958" s="77"/>
      <c r="M2958" s="77"/>
      <c r="N2958" s="77"/>
      <c r="W2958" s="78"/>
    </row>
    <row r="2959" spans="1:23" s="75" customFormat="1" hidden="1" x14ac:dyDescent="0.35">
      <c r="A2959" s="75">
        <v>2955</v>
      </c>
      <c r="B2959" s="75">
        <v>2956</v>
      </c>
      <c r="C2959">
        <v>145.99913760000001</v>
      </c>
      <c r="D2959">
        <v>-17.507474980000001</v>
      </c>
      <c r="G2959" s="75">
        <v>10</v>
      </c>
      <c r="H2959" s="75" t="s">
        <v>26</v>
      </c>
      <c r="I2959" t="str">
        <f t="shared" si="46"/>
        <v>X</v>
      </c>
      <c r="K2959" s="77"/>
      <c r="L2959" s="77"/>
      <c r="M2959" s="77"/>
      <c r="N2959" s="77"/>
      <c r="W2959" s="78"/>
    </row>
    <row r="2960" spans="1:23" s="75" customFormat="1" hidden="1" x14ac:dyDescent="0.35">
      <c r="A2960" s="75">
        <v>2956</v>
      </c>
      <c r="B2960" s="75">
        <v>2957</v>
      </c>
      <c r="C2960">
        <v>145.99923150000001</v>
      </c>
      <c r="D2960">
        <v>-17.507482809999999</v>
      </c>
      <c r="G2960" s="75">
        <v>10</v>
      </c>
      <c r="H2960" s="75" t="s">
        <v>26</v>
      </c>
      <c r="I2960" t="str">
        <f t="shared" si="46"/>
        <v>X</v>
      </c>
      <c r="K2960" s="77"/>
      <c r="L2960" s="77"/>
      <c r="M2960" s="77"/>
      <c r="N2960" s="77"/>
      <c r="W2960" s="78"/>
    </row>
    <row r="2961" spans="1:23" s="75" customFormat="1" hidden="1" x14ac:dyDescent="0.35">
      <c r="A2961" s="75">
        <v>2957</v>
      </c>
      <c r="B2961" s="75">
        <v>2958</v>
      </c>
      <c r="C2961">
        <v>145.9993255</v>
      </c>
      <c r="D2961">
        <v>-17.50749064</v>
      </c>
      <c r="G2961" s="75">
        <v>10</v>
      </c>
      <c r="H2961" s="75" t="s">
        <v>26</v>
      </c>
      <c r="I2961" t="str">
        <f t="shared" si="46"/>
        <v>X</v>
      </c>
      <c r="K2961" s="77"/>
      <c r="L2961" s="77"/>
      <c r="M2961" s="77"/>
      <c r="N2961" s="77"/>
      <c r="W2961" s="78"/>
    </row>
    <row r="2962" spans="1:23" s="75" customFormat="1" hidden="1" x14ac:dyDescent="0.35">
      <c r="A2962" s="75">
        <v>2958</v>
      </c>
      <c r="B2962" s="75">
        <v>2959</v>
      </c>
      <c r="C2962">
        <v>145.99941949999999</v>
      </c>
      <c r="D2962">
        <v>-17.507498470000002</v>
      </c>
      <c r="G2962" s="75">
        <v>10</v>
      </c>
      <c r="H2962" s="75" t="s">
        <v>26</v>
      </c>
      <c r="I2962" t="str">
        <f t="shared" si="46"/>
        <v>X</v>
      </c>
      <c r="K2962" s="77"/>
      <c r="L2962" s="77"/>
      <c r="M2962" s="77"/>
      <c r="N2962" s="77"/>
      <c r="W2962" s="78"/>
    </row>
    <row r="2963" spans="1:23" s="75" customFormat="1" hidden="1" x14ac:dyDescent="0.35">
      <c r="A2963" s="75">
        <v>2959</v>
      </c>
      <c r="B2963" s="75">
        <v>2960</v>
      </c>
      <c r="C2963">
        <v>145.99951350000001</v>
      </c>
      <c r="D2963">
        <v>-17.507506299999999</v>
      </c>
      <c r="G2963" s="75">
        <v>10</v>
      </c>
      <c r="H2963" s="75" t="s">
        <v>26</v>
      </c>
      <c r="I2963" t="str">
        <f t="shared" si="46"/>
        <v>X</v>
      </c>
      <c r="K2963" s="77"/>
      <c r="L2963" s="77"/>
      <c r="M2963" s="77"/>
      <c r="N2963" s="77"/>
      <c r="W2963" s="78"/>
    </row>
    <row r="2964" spans="1:23" s="75" customFormat="1" hidden="1" x14ac:dyDescent="0.35">
      <c r="A2964" s="75">
        <v>2960</v>
      </c>
      <c r="B2964" s="75">
        <v>2961</v>
      </c>
      <c r="C2964">
        <v>145.9996075</v>
      </c>
      <c r="D2964">
        <v>-17.507514130000001</v>
      </c>
      <c r="G2964" s="75">
        <v>10</v>
      </c>
      <c r="H2964" s="75" t="s">
        <v>26</v>
      </c>
      <c r="I2964" t="str">
        <f t="shared" si="46"/>
        <v>X</v>
      </c>
      <c r="K2964" s="77"/>
      <c r="L2964" s="77"/>
      <c r="M2964" s="77"/>
      <c r="N2964" s="77"/>
      <c r="W2964" s="78"/>
    </row>
    <row r="2965" spans="1:23" s="75" customFormat="1" hidden="1" x14ac:dyDescent="0.35">
      <c r="A2965" s="75">
        <v>2961</v>
      </c>
      <c r="B2965" s="75">
        <v>2962</v>
      </c>
      <c r="C2965">
        <v>145.99970139999999</v>
      </c>
      <c r="D2965">
        <v>-17.507521969999999</v>
      </c>
      <c r="G2965" s="75">
        <v>10</v>
      </c>
      <c r="H2965" s="75" t="s">
        <v>26</v>
      </c>
      <c r="I2965" t="str">
        <f t="shared" si="46"/>
        <v>X</v>
      </c>
      <c r="K2965" s="77"/>
      <c r="L2965" s="77"/>
      <c r="M2965" s="77"/>
      <c r="N2965" s="77"/>
      <c r="W2965" s="78"/>
    </row>
    <row r="2966" spans="1:23" s="75" customFormat="1" hidden="1" x14ac:dyDescent="0.35">
      <c r="A2966" s="75">
        <v>2962</v>
      </c>
      <c r="B2966" s="75">
        <v>2963</v>
      </c>
      <c r="C2966">
        <v>145.99979440000001</v>
      </c>
      <c r="D2966">
        <v>-17.507511350000001</v>
      </c>
      <c r="G2966" s="75">
        <v>10</v>
      </c>
      <c r="H2966" s="75" t="s">
        <v>26</v>
      </c>
      <c r="I2966" t="str">
        <f t="shared" si="46"/>
        <v>X</v>
      </c>
      <c r="K2966" s="77"/>
      <c r="L2966" s="77"/>
      <c r="M2966" s="77"/>
      <c r="N2966" s="77"/>
      <c r="W2966" s="78"/>
    </row>
    <row r="2967" spans="1:23" s="75" customFormat="1" hidden="1" x14ac:dyDescent="0.35">
      <c r="A2967" s="75">
        <v>2963</v>
      </c>
      <c r="B2967" s="75">
        <v>2964</v>
      </c>
      <c r="C2967">
        <v>145.999887</v>
      </c>
      <c r="D2967">
        <v>-17.507493570000001</v>
      </c>
      <c r="G2967" s="75">
        <v>10</v>
      </c>
      <c r="H2967" s="75" t="s">
        <v>26</v>
      </c>
      <c r="I2967" t="str">
        <f t="shared" si="46"/>
        <v>X</v>
      </c>
      <c r="K2967" s="77"/>
      <c r="L2967" s="77"/>
      <c r="M2967" s="77"/>
      <c r="N2967" s="77"/>
      <c r="W2967" s="78"/>
    </row>
    <row r="2968" spans="1:23" s="75" customFormat="1" hidden="1" x14ac:dyDescent="0.35">
      <c r="A2968" s="75">
        <v>2964</v>
      </c>
      <c r="B2968" s="75">
        <v>2965</v>
      </c>
      <c r="C2968">
        <v>145.99997970000001</v>
      </c>
      <c r="D2968">
        <v>-17.507475800000002</v>
      </c>
      <c r="G2968" s="75">
        <v>10</v>
      </c>
      <c r="H2968" s="75" t="s">
        <v>26</v>
      </c>
      <c r="I2968" t="str">
        <f t="shared" si="46"/>
        <v>X</v>
      </c>
      <c r="K2968" s="77"/>
      <c r="L2968" s="77"/>
      <c r="M2968" s="77"/>
      <c r="N2968" s="77"/>
      <c r="W2968" s="78"/>
    </row>
    <row r="2969" spans="1:23" s="75" customFormat="1" hidden="1" x14ac:dyDescent="0.35">
      <c r="A2969" s="75">
        <v>2965</v>
      </c>
      <c r="B2969" s="75">
        <v>2966</v>
      </c>
      <c r="C2969">
        <v>146.0000723</v>
      </c>
      <c r="D2969">
        <v>-17.507458020000001</v>
      </c>
      <c r="G2969" s="75">
        <v>10</v>
      </c>
      <c r="H2969" s="75" t="s">
        <v>26</v>
      </c>
      <c r="I2969" t="str">
        <f t="shared" si="46"/>
        <v>X</v>
      </c>
      <c r="K2969" s="77"/>
      <c r="L2969" s="77"/>
      <c r="M2969" s="77"/>
      <c r="N2969" s="77"/>
      <c r="W2969" s="78"/>
    </row>
    <row r="2970" spans="1:23" s="75" customFormat="1" hidden="1" x14ac:dyDescent="0.35">
      <c r="A2970" s="75">
        <v>2966</v>
      </c>
      <c r="B2970" s="75">
        <v>2967</v>
      </c>
      <c r="C2970">
        <v>146.00016489999999</v>
      </c>
      <c r="D2970">
        <v>-17.507440249999998</v>
      </c>
      <c r="G2970" s="75">
        <v>10</v>
      </c>
      <c r="H2970" s="75" t="s">
        <v>26</v>
      </c>
      <c r="I2970" t="str">
        <f t="shared" si="46"/>
        <v>X</v>
      </c>
      <c r="K2970" s="77"/>
      <c r="L2970" s="77"/>
      <c r="M2970" s="77"/>
      <c r="N2970" s="77"/>
      <c r="W2970" s="78"/>
    </row>
    <row r="2971" spans="1:23" s="75" customFormat="1" hidden="1" x14ac:dyDescent="0.35">
      <c r="A2971" s="75">
        <v>2967</v>
      </c>
      <c r="B2971" s="75">
        <v>2968</v>
      </c>
      <c r="C2971">
        <v>146.0002575</v>
      </c>
      <c r="D2971">
        <v>-17.507422470000002</v>
      </c>
      <c r="G2971" s="75">
        <v>10</v>
      </c>
      <c r="H2971" s="75" t="s">
        <v>26</v>
      </c>
      <c r="I2971" t="str">
        <f t="shared" si="46"/>
        <v>X</v>
      </c>
      <c r="K2971" s="77"/>
      <c r="L2971" s="77"/>
      <c r="M2971" s="77"/>
      <c r="N2971" s="77"/>
      <c r="W2971" s="78"/>
    </row>
    <row r="2972" spans="1:23" s="75" customFormat="1" hidden="1" x14ac:dyDescent="0.35">
      <c r="A2972" s="75">
        <v>2968</v>
      </c>
      <c r="B2972" s="75">
        <v>2969</v>
      </c>
      <c r="C2972">
        <v>146.00035009999999</v>
      </c>
      <c r="D2972">
        <v>-17.507404699999999</v>
      </c>
      <c r="G2972" s="75">
        <v>10</v>
      </c>
      <c r="H2972" s="75" t="s">
        <v>26</v>
      </c>
      <c r="I2972" t="str">
        <f t="shared" si="46"/>
        <v>X</v>
      </c>
      <c r="K2972" s="77"/>
      <c r="L2972" s="77"/>
      <c r="M2972" s="77"/>
      <c r="N2972" s="77"/>
      <c r="W2972" s="78"/>
    </row>
    <row r="2973" spans="1:23" s="75" customFormat="1" hidden="1" x14ac:dyDescent="0.35">
      <c r="A2973" s="75">
        <v>2969</v>
      </c>
      <c r="B2973" s="75">
        <v>2970</v>
      </c>
      <c r="C2973">
        <v>146.00044270000001</v>
      </c>
      <c r="D2973">
        <v>-17.507386919999998</v>
      </c>
      <c r="G2973" s="75">
        <v>10</v>
      </c>
      <c r="H2973" s="75" t="s">
        <v>26</v>
      </c>
      <c r="I2973" t="str">
        <f t="shared" si="46"/>
        <v>X</v>
      </c>
      <c r="K2973" s="77"/>
      <c r="L2973" s="77"/>
      <c r="M2973" s="77"/>
      <c r="N2973" s="77"/>
      <c r="W2973" s="78"/>
    </row>
    <row r="2974" spans="1:23" s="75" customFormat="1" hidden="1" x14ac:dyDescent="0.35">
      <c r="A2974" s="75">
        <v>2970</v>
      </c>
      <c r="B2974" s="75">
        <v>2971</v>
      </c>
      <c r="C2974">
        <v>146.0005353</v>
      </c>
      <c r="D2974">
        <v>-17.507369149999999</v>
      </c>
      <c r="G2974" s="75">
        <v>10</v>
      </c>
      <c r="H2974" s="75" t="s">
        <v>26</v>
      </c>
      <c r="I2974" t="str">
        <f t="shared" si="46"/>
        <v>X</v>
      </c>
      <c r="K2974" s="77"/>
      <c r="L2974" s="77"/>
      <c r="M2974" s="77"/>
      <c r="N2974" s="77"/>
      <c r="W2974" s="78"/>
    </row>
    <row r="2975" spans="1:23" s="75" customFormat="1" hidden="1" x14ac:dyDescent="0.35">
      <c r="A2975" s="75">
        <v>2971</v>
      </c>
      <c r="B2975" s="75">
        <v>2972</v>
      </c>
      <c r="C2975">
        <v>146.00062800000001</v>
      </c>
      <c r="D2975">
        <v>-17.507351379999999</v>
      </c>
      <c r="G2975" s="75">
        <v>10</v>
      </c>
      <c r="H2975" s="75" t="s">
        <v>26</v>
      </c>
      <c r="I2975" t="str">
        <f t="shared" si="46"/>
        <v>X</v>
      </c>
      <c r="K2975" s="77"/>
      <c r="L2975" s="77"/>
      <c r="M2975" s="77"/>
      <c r="N2975" s="77"/>
      <c r="W2975" s="78"/>
    </row>
    <row r="2976" spans="1:23" s="75" customFormat="1" hidden="1" x14ac:dyDescent="0.35">
      <c r="A2976" s="75">
        <v>2972</v>
      </c>
      <c r="B2976" s="75">
        <v>2973</v>
      </c>
      <c r="C2976">
        <v>146.00071919999999</v>
      </c>
      <c r="D2976">
        <v>-17.507329469999998</v>
      </c>
      <c r="G2976" s="75">
        <v>10</v>
      </c>
      <c r="H2976" s="75" t="s">
        <v>26</v>
      </c>
      <c r="I2976" t="str">
        <f t="shared" si="46"/>
        <v>X</v>
      </c>
      <c r="K2976" s="77"/>
      <c r="L2976" s="77"/>
      <c r="M2976" s="77"/>
      <c r="N2976" s="77"/>
      <c r="W2976" s="78"/>
    </row>
    <row r="2977" spans="1:23" s="75" customFormat="1" hidden="1" x14ac:dyDescent="0.35">
      <c r="A2977" s="75">
        <v>2973</v>
      </c>
      <c r="B2977" s="75">
        <v>2974</v>
      </c>
      <c r="C2977">
        <v>146.0008047</v>
      </c>
      <c r="D2977">
        <v>-17.507289660000001</v>
      </c>
      <c r="G2977" s="75">
        <v>10</v>
      </c>
      <c r="H2977" s="75" t="s">
        <v>26</v>
      </c>
      <c r="I2977" t="str">
        <f t="shared" si="46"/>
        <v>X</v>
      </c>
      <c r="K2977" s="77"/>
      <c r="L2977" s="77"/>
      <c r="M2977" s="77"/>
      <c r="N2977" s="77"/>
      <c r="W2977" s="78"/>
    </row>
    <row r="2978" spans="1:23" s="75" customFormat="1" hidden="1" x14ac:dyDescent="0.35">
      <c r="A2978" s="75">
        <v>2974</v>
      </c>
      <c r="B2978" s="75">
        <v>2975</v>
      </c>
      <c r="C2978">
        <v>146.00089019999999</v>
      </c>
      <c r="D2978">
        <v>-17.50724984</v>
      </c>
      <c r="G2978" s="75">
        <v>10</v>
      </c>
      <c r="H2978" s="75" t="s">
        <v>26</v>
      </c>
      <c r="I2978" t="str">
        <f t="shared" si="46"/>
        <v>X</v>
      </c>
      <c r="K2978" s="77"/>
      <c r="L2978" s="77"/>
      <c r="M2978" s="77"/>
      <c r="N2978" s="77"/>
      <c r="W2978" s="78"/>
    </row>
    <row r="2979" spans="1:23" s="75" customFormat="1" hidden="1" x14ac:dyDescent="0.35">
      <c r="A2979" s="75">
        <v>2975</v>
      </c>
      <c r="B2979" s="75">
        <v>2976</v>
      </c>
      <c r="C2979">
        <v>146.0009757</v>
      </c>
      <c r="D2979">
        <v>-17.507210019999999</v>
      </c>
      <c r="G2979" s="75">
        <v>10</v>
      </c>
      <c r="H2979" s="75" t="s">
        <v>26</v>
      </c>
      <c r="I2979" t="str">
        <f t="shared" si="46"/>
        <v>X</v>
      </c>
      <c r="K2979" s="77"/>
      <c r="L2979" s="77"/>
      <c r="M2979" s="77"/>
      <c r="N2979" s="77"/>
      <c r="W2979" s="78"/>
    </row>
    <row r="2980" spans="1:23" s="75" customFormat="1" hidden="1" x14ac:dyDescent="0.35">
      <c r="A2980" s="75">
        <v>2976</v>
      </c>
      <c r="B2980" s="75">
        <v>2977</v>
      </c>
      <c r="C2980">
        <v>146.00106120000001</v>
      </c>
      <c r="D2980">
        <v>-17.507170210000002</v>
      </c>
      <c r="G2980" s="75">
        <v>10</v>
      </c>
      <c r="H2980" s="75" t="s">
        <v>26</v>
      </c>
      <c r="I2980" t="str">
        <f t="shared" si="46"/>
        <v>X</v>
      </c>
      <c r="K2980" s="77"/>
      <c r="L2980" s="77"/>
      <c r="M2980" s="77"/>
      <c r="N2980" s="77"/>
      <c r="W2980" s="78"/>
    </row>
    <row r="2981" spans="1:23" s="75" customFormat="1" hidden="1" x14ac:dyDescent="0.35">
      <c r="A2981" s="75">
        <v>2977</v>
      </c>
      <c r="B2981" s="75">
        <v>2978</v>
      </c>
      <c r="C2981">
        <v>146.00114669999999</v>
      </c>
      <c r="D2981">
        <v>-17.50713039</v>
      </c>
      <c r="G2981" s="75">
        <v>10</v>
      </c>
      <c r="H2981" s="75" t="s">
        <v>26</v>
      </c>
      <c r="I2981" t="str">
        <f t="shared" si="46"/>
        <v>X</v>
      </c>
      <c r="K2981" s="77"/>
      <c r="L2981" s="77"/>
      <c r="M2981" s="77"/>
      <c r="N2981" s="77"/>
      <c r="W2981" s="78"/>
    </row>
    <row r="2982" spans="1:23" s="75" customFormat="1" hidden="1" x14ac:dyDescent="0.35">
      <c r="A2982" s="75">
        <v>2978</v>
      </c>
      <c r="B2982" s="75">
        <v>2979</v>
      </c>
      <c r="C2982">
        <v>146.00123210000001</v>
      </c>
      <c r="D2982">
        <v>-17.50709058</v>
      </c>
      <c r="G2982" s="75">
        <v>10</v>
      </c>
      <c r="H2982" s="75" t="s">
        <v>26</v>
      </c>
      <c r="I2982" t="str">
        <f t="shared" si="46"/>
        <v>X</v>
      </c>
      <c r="K2982" s="77"/>
      <c r="L2982" s="77"/>
      <c r="M2982" s="77"/>
      <c r="N2982" s="77"/>
      <c r="W2982" s="78"/>
    </row>
    <row r="2983" spans="1:23" s="75" customFormat="1" hidden="1" x14ac:dyDescent="0.35">
      <c r="A2983" s="75">
        <v>2979</v>
      </c>
      <c r="B2983" s="75">
        <v>2980</v>
      </c>
      <c r="C2983">
        <v>146.00131759999999</v>
      </c>
      <c r="D2983">
        <v>-17.507050759999998</v>
      </c>
      <c r="G2983" s="75">
        <v>10</v>
      </c>
      <c r="H2983" s="75" t="s">
        <v>26</v>
      </c>
      <c r="I2983" t="str">
        <f t="shared" si="46"/>
        <v>X</v>
      </c>
      <c r="K2983" s="77"/>
      <c r="L2983" s="77"/>
      <c r="M2983" s="77"/>
      <c r="N2983" s="77"/>
      <c r="W2983" s="78"/>
    </row>
    <row r="2984" spans="1:23" s="75" customFormat="1" hidden="1" x14ac:dyDescent="0.35">
      <c r="A2984" s="75">
        <v>2980</v>
      </c>
      <c r="B2984" s="75">
        <v>2981</v>
      </c>
      <c r="C2984">
        <v>146.0014031</v>
      </c>
      <c r="D2984">
        <v>-17.507010950000002</v>
      </c>
      <c r="G2984" s="75">
        <v>10</v>
      </c>
      <c r="H2984" s="75" t="s">
        <v>26</v>
      </c>
      <c r="I2984" t="str">
        <f t="shared" si="46"/>
        <v>X</v>
      </c>
      <c r="K2984" s="77"/>
      <c r="L2984" s="77"/>
      <c r="M2984" s="77"/>
      <c r="N2984" s="77"/>
      <c r="W2984" s="78"/>
    </row>
    <row r="2985" spans="1:23" s="75" customFormat="1" hidden="1" x14ac:dyDescent="0.35">
      <c r="A2985" s="75">
        <v>2981</v>
      </c>
      <c r="B2985" s="75">
        <v>2982</v>
      </c>
      <c r="C2985">
        <v>146.00146079999999</v>
      </c>
      <c r="D2985">
        <v>-17.506939849999998</v>
      </c>
      <c r="G2985" s="75">
        <v>10</v>
      </c>
      <c r="H2985" s="75" t="s">
        <v>26</v>
      </c>
      <c r="I2985" t="str">
        <f t="shared" si="46"/>
        <v>X</v>
      </c>
      <c r="K2985" s="77"/>
      <c r="L2985" s="77"/>
      <c r="M2985" s="77"/>
      <c r="N2985" s="77"/>
      <c r="W2985" s="78"/>
    </row>
    <row r="2986" spans="1:23" s="75" customFormat="1" hidden="1" x14ac:dyDescent="0.35">
      <c r="A2986" s="75">
        <v>2982</v>
      </c>
      <c r="B2986" s="75">
        <v>2983</v>
      </c>
      <c r="C2986">
        <v>146.00151020000001</v>
      </c>
      <c r="D2986">
        <v>-17.50685957</v>
      </c>
      <c r="G2986" s="75">
        <v>10</v>
      </c>
      <c r="H2986" s="75" t="s">
        <v>26</v>
      </c>
      <c r="I2986" t="str">
        <f t="shared" si="46"/>
        <v>X</v>
      </c>
      <c r="K2986" s="77"/>
      <c r="L2986" s="77"/>
      <c r="M2986" s="77"/>
      <c r="N2986" s="77"/>
      <c r="W2986" s="78"/>
    </row>
    <row r="2987" spans="1:23" s="75" customFormat="1" hidden="1" x14ac:dyDescent="0.35">
      <c r="A2987" s="75">
        <v>2983</v>
      </c>
      <c r="B2987" s="75">
        <v>2984</v>
      </c>
      <c r="C2987">
        <v>146.0015597</v>
      </c>
      <c r="D2987">
        <v>-17.50677928</v>
      </c>
      <c r="G2987" s="75">
        <v>10</v>
      </c>
      <c r="H2987" s="75" t="s">
        <v>26</v>
      </c>
      <c r="I2987" t="str">
        <f t="shared" si="46"/>
        <v>X</v>
      </c>
      <c r="K2987" s="77"/>
      <c r="L2987" s="77"/>
      <c r="M2987" s="77"/>
      <c r="N2987" s="77"/>
      <c r="W2987" s="78"/>
    </row>
    <row r="2988" spans="1:23" s="75" customFormat="1" hidden="1" x14ac:dyDescent="0.35">
      <c r="A2988" s="75">
        <v>2984</v>
      </c>
      <c r="B2988" s="75">
        <v>2985</v>
      </c>
      <c r="C2988">
        <v>146.00160919999999</v>
      </c>
      <c r="D2988">
        <v>-17.506699000000001</v>
      </c>
      <c r="G2988" s="75">
        <v>10</v>
      </c>
      <c r="H2988" s="75" t="s">
        <v>26</v>
      </c>
      <c r="I2988" t="str">
        <f t="shared" si="46"/>
        <v>X</v>
      </c>
      <c r="K2988" s="77"/>
      <c r="L2988" s="77"/>
      <c r="M2988" s="77"/>
      <c r="N2988" s="77"/>
      <c r="W2988" s="78"/>
    </row>
    <row r="2989" spans="1:23" s="75" customFormat="1" hidden="1" x14ac:dyDescent="0.35">
      <c r="A2989" s="75">
        <v>2985</v>
      </c>
      <c r="B2989" s="75">
        <v>2986</v>
      </c>
      <c r="C2989">
        <v>146.00165870000001</v>
      </c>
      <c r="D2989">
        <v>-17.506618719999999</v>
      </c>
      <c r="G2989" s="75">
        <v>10</v>
      </c>
      <c r="H2989" s="75" t="s">
        <v>26</v>
      </c>
      <c r="I2989" t="str">
        <f t="shared" si="46"/>
        <v>X</v>
      </c>
      <c r="K2989" s="77"/>
      <c r="L2989" s="77"/>
      <c r="M2989" s="77"/>
      <c r="N2989" s="77"/>
      <c r="W2989" s="78"/>
    </row>
    <row r="2990" spans="1:23" s="75" customFormat="1" hidden="1" x14ac:dyDescent="0.35">
      <c r="A2990" s="75">
        <v>2986</v>
      </c>
      <c r="B2990" s="75">
        <v>2987</v>
      </c>
      <c r="C2990">
        <v>146.0017081</v>
      </c>
      <c r="D2990">
        <v>-17.50653844</v>
      </c>
      <c r="G2990" s="75">
        <v>10</v>
      </c>
      <c r="H2990" s="75" t="s">
        <v>26</v>
      </c>
      <c r="I2990" t="str">
        <f t="shared" si="46"/>
        <v>X</v>
      </c>
      <c r="K2990" s="77"/>
      <c r="L2990" s="77"/>
      <c r="M2990" s="77"/>
      <c r="N2990" s="77"/>
      <c r="W2990" s="78"/>
    </row>
    <row r="2991" spans="1:23" s="75" customFormat="1" hidden="1" x14ac:dyDescent="0.35">
      <c r="A2991" s="75">
        <v>2987</v>
      </c>
      <c r="B2991" s="75">
        <v>2988</v>
      </c>
      <c r="C2991">
        <v>146.00175759999999</v>
      </c>
      <c r="D2991">
        <v>-17.506458160000001</v>
      </c>
      <c r="G2991" s="75">
        <v>10</v>
      </c>
      <c r="H2991" s="75" t="s">
        <v>26</v>
      </c>
      <c r="I2991" t="str">
        <f t="shared" si="46"/>
        <v>X</v>
      </c>
      <c r="K2991" s="77"/>
      <c r="L2991" s="77"/>
      <c r="M2991" s="77"/>
      <c r="N2991" s="77"/>
      <c r="W2991" s="78"/>
    </row>
    <row r="2992" spans="1:23" s="75" customFormat="1" hidden="1" x14ac:dyDescent="0.35">
      <c r="A2992" s="75">
        <v>2988</v>
      </c>
      <c r="B2992" s="75">
        <v>2989</v>
      </c>
      <c r="C2992">
        <v>146.00180710000001</v>
      </c>
      <c r="D2992">
        <v>-17.506377870000001</v>
      </c>
      <c r="G2992" s="75">
        <v>10</v>
      </c>
      <c r="H2992" s="75" t="s">
        <v>26</v>
      </c>
      <c r="I2992" t="str">
        <f t="shared" si="46"/>
        <v>X</v>
      </c>
      <c r="K2992" s="77"/>
      <c r="L2992" s="77"/>
      <c r="M2992" s="77"/>
      <c r="N2992" s="77"/>
      <c r="W2992" s="78"/>
    </row>
    <row r="2993" spans="1:23" s="75" customFormat="1" hidden="1" x14ac:dyDescent="0.35">
      <c r="A2993" s="75">
        <v>2989</v>
      </c>
      <c r="B2993" s="75">
        <v>2990</v>
      </c>
      <c r="C2993">
        <v>146.0018566</v>
      </c>
      <c r="D2993">
        <v>-17.506297589999999</v>
      </c>
      <c r="G2993" s="75">
        <v>10</v>
      </c>
      <c r="H2993" s="75" t="s">
        <v>26</v>
      </c>
      <c r="I2993" t="str">
        <f t="shared" si="46"/>
        <v>X</v>
      </c>
      <c r="K2993" s="77"/>
      <c r="L2993" s="77"/>
      <c r="M2993" s="77"/>
      <c r="N2993" s="77"/>
      <c r="W2993" s="78"/>
    </row>
    <row r="2994" spans="1:23" s="75" customFormat="1" hidden="1" x14ac:dyDescent="0.35">
      <c r="A2994" s="75">
        <v>2990</v>
      </c>
      <c r="B2994" s="75">
        <v>2991</v>
      </c>
      <c r="C2994">
        <v>146.00190610000001</v>
      </c>
      <c r="D2994">
        <v>-17.50621731</v>
      </c>
      <c r="G2994" s="75">
        <v>10</v>
      </c>
      <c r="H2994" s="75" t="s">
        <v>26</v>
      </c>
      <c r="I2994" t="str">
        <f t="shared" si="46"/>
        <v>X</v>
      </c>
      <c r="K2994" s="77"/>
      <c r="L2994" s="77"/>
      <c r="M2994" s="77"/>
      <c r="N2994" s="77"/>
      <c r="W2994" s="78"/>
    </row>
    <row r="2995" spans="1:23" s="75" customFormat="1" hidden="1" x14ac:dyDescent="0.35">
      <c r="A2995" s="75">
        <v>2991</v>
      </c>
      <c r="B2995" s="75">
        <v>2992</v>
      </c>
      <c r="C2995">
        <v>146.00194479999999</v>
      </c>
      <c r="D2995">
        <v>-17.50613397</v>
      </c>
      <c r="G2995" s="75">
        <v>10</v>
      </c>
      <c r="H2995" s="75" t="s">
        <v>26</v>
      </c>
      <c r="I2995" t="str">
        <f t="shared" si="46"/>
        <v>X</v>
      </c>
      <c r="K2995" s="77"/>
      <c r="L2995" s="77"/>
      <c r="M2995" s="77"/>
      <c r="N2995" s="77"/>
      <c r="W2995" s="78"/>
    </row>
    <row r="2996" spans="1:23" s="75" customFormat="1" hidden="1" x14ac:dyDescent="0.35">
      <c r="A2996" s="75">
        <v>2992</v>
      </c>
      <c r="B2996" s="75">
        <v>2993</v>
      </c>
      <c r="C2996">
        <v>146.00194479999999</v>
      </c>
      <c r="D2996">
        <v>-17.50603967</v>
      </c>
      <c r="G2996" s="75">
        <v>10</v>
      </c>
      <c r="H2996" s="75" t="s">
        <v>26</v>
      </c>
      <c r="I2996" t="str">
        <f t="shared" si="46"/>
        <v>X</v>
      </c>
      <c r="K2996" s="77"/>
      <c r="L2996" s="77"/>
      <c r="M2996" s="77"/>
      <c r="N2996" s="77"/>
      <c r="W2996" s="78"/>
    </row>
    <row r="2997" spans="1:23" s="75" customFormat="1" hidden="1" x14ac:dyDescent="0.35">
      <c r="A2997" s="75">
        <v>2993</v>
      </c>
      <c r="B2997" s="75">
        <v>2994</v>
      </c>
      <c r="C2997">
        <v>146.00194479999999</v>
      </c>
      <c r="D2997">
        <v>-17.505945369999999</v>
      </c>
      <c r="G2997" s="75">
        <v>10</v>
      </c>
      <c r="H2997" s="75" t="s">
        <v>26</v>
      </c>
      <c r="I2997" t="str">
        <f t="shared" si="46"/>
        <v>X</v>
      </c>
      <c r="K2997" s="77"/>
      <c r="L2997" s="77"/>
      <c r="M2997" s="77"/>
      <c r="N2997" s="77"/>
      <c r="W2997" s="78"/>
    </row>
    <row r="2998" spans="1:23" s="75" customFormat="1" hidden="1" x14ac:dyDescent="0.35">
      <c r="A2998" s="75">
        <v>2994</v>
      </c>
      <c r="B2998" s="75">
        <v>2995</v>
      </c>
      <c r="C2998">
        <v>146.00194479999999</v>
      </c>
      <c r="D2998">
        <v>-17.505851060000001</v>
      </c>
      <c r="G2998" s="75">
        <v>10</v>
      </c>
      <c r="H2998" s="75" t="s">
        <v>26</v>
      </c>
      <c r="I2998" t="str">
        <f t="shared" si="46"/>
        <v>X</v>
      </c>
      <c r="K2998" s="77"/>
      <c r="L2998" s="77"/>
      <c r="M2998" s="77"/>
      <c r="N2998" s="77"/>
      <c r="W2998" s="78"/>
    </row>
    <row r="2999" spans="1:23" s="75" customFormat="1" hidden="1" x14ac:dyDescent="0.35">
      <c r="A2999" s="75">
        <v>2995</v>
      </c>
      <c r="B2999" s="75">
        <v>2996</v>
      </c>
      <c r="C2999">
        <v>146.00194479999999</v>
      </c>
      <c r="D2999">
        <v>-17.505756760000001</v>
      </c>
      <c r="G2999" s="75">
        <v>10</v>
      </c>
      <c r="H2999" s="75" t="s">
        <v>26</v>
      </c>
      <c r="I2999" t="str">
        <f t="shared" si="46"/>
        <v>X</v>
      </c>
      <c r="K2999" s="77"/>
      <c r="L2999" s="77"/>
      <c r="M2999" s="77"/>
      <c r="N2999" s="77"/>
      <c r="W2999" s="78"/>
    </row>
    <row r="3000" spans="1:23" s="75" customFormat="1" hidden="1" x14ac:dyDescent="0.35">
      <c r="A3000" s="75">
        <v>2996</v>
      </c>
      <c r="B3000" s="75">
        <v>2997</v>
      </c>
      <c r="C3000">
        <v>146.00194479999999</v>
      </c>
      <c r="D3000">
        <v>-17.50566246</v>
      </c>
      <c r="G3000" s="75">
        <v>10</v>
      </c>
      <c r="H3000" s="75" t="s">
        <v>26</v>
      </c>
      <c r="I3000" t="str">
        <f t="shared" si="46"/>
        <v>X</v>
      </c>
      <c r="K3000" s="77"/>
      <c r="L3000" s="77"/>
      <c r="M3000" s="77"/>
      <c r="N3000" s="77"/>
      <c r="W3000" s="78"/>
    </row>
    <row r="3001" spans="1:23" s="75" customFormat="1" hidden="1" x14ac:dyDescent="0.35">
      <c r="A3001" s="75">
        <v>2997</v>
      </c>
      <c r="B3001" s="75">
        <v>2998</v>
      </c>
      <c r="C3001">
        <v>146.00194350000001</v>
      </c>
      <c r="D3001">
        <v>-17.505568199999999</v>
      </c>
      <c r="G3001" s="75">
        <v>10</v>
      </c>
      <c r="H3001" s="75" t="s">
        <v>26</v>
      </c>
      <c r="I3001" t="str">
        <f t="shared" si="46"/>
        <v>X</v>
      </c>
      <c r="K3001" s="77"/>
      <c r="L3001" s="77"/>
      <c r="M3001" s="77"/>
      <c r="N3001" s="77"/>
      <c r="W3001" s="78"/>
    </row>
    <row r="3002" spans="1:23" s="75" customFormat="1" hidden="1" x14ac:dyDescent="0.35">
      <c r="A3002" s="75">
        <v>2998</v>
      </c>
      <c r="B3002" s="75">
        <v>2999</v>
      </c>
      <c r="C3002">
        <v>146.00193569999999</v>
      </c>
      <c r="D3002">
        <v>-17.505474230000001</v>
      </c>
      <c r="G3002" s="75">
        <v>10</v>
      </c>
      <c r="H3002" s="75" t="s">
        <v>26</v>
      </c>
      <c r="I3002" t="str">
        <f t="shared" si="46"/>
        <v>X</v>
      </c>
      <c r="K3002" s="77"/>
      <c r="L3002" s="77"/>
      <c r="M3002" s="77"/>
      <c r="N3002" s="77"/>
      <c r="W3002" s="78"/>
    </row>
    <row r="3003" spans="1:23" s="75" customFormat="1" hidden="1" x14ac:dyDescent="0.35">
      <c r="A3003" s="75">
        <v>2999</v>
      </c>
      <c r="B3003" s="75">
        <v>3000</v>
      </c>
      <c r="C3003">
        <v>146.0019279</v>
      </c>
      <c r="D3003">
        <v>-17.505380250000002</v>
      </c>
      <c r="G3003" s="75">
        <v>10</v>
      </c>
      <c r="H3003" s="75" t="s">
        <v>26</v>
      </c>
      <c r="I3003" t="str">
        <f t="shared" si="46"/>
        <v>X</v>
      </c>
      <c r="K3003" s="77"/>
      <c r="L3003" s="77"/>
      <c r="M3003" s="77"/>
      <c r="N3003" s="77"/>
      <c r="W3003" s="78"/>
    </row>
    <row r="3004" spans="1:23" s="75" customFormat="1" hidden="1" x14ac:dyDescent="0.35">
      <c r="A3004" s="75">
        <v>3000</v>
      </c>
      <c r="B3004" s="75">
        <v>3001</v>
      </c>
      <c r="C3004">
        <v>146.00192000000001</v>
      </c>
      <c r="D3004">
        <v>-17.505286269999999</v>
      </c>
      <c r="G3004" s="75">
        <v>10</v>
      </c>
      <c r="H3004" s="75" t="s">
        <v>26</v>
      </c>
      <c r="I3004" t="str">
        <f t="shared" si="46"/>
        <v>X</v>
      </c>
      <c r="K3004" s="77"/>
      <c r="L3004" s="77"/>
      <c r="M3004" s="77"/>
      <c r="N3004" s="77"/>
      <c r="W3004" s="78"/>
    </row>
    <row r="3005" spans="1:23" s="75" customFormat="1" hidden="1" x14ac:dyDescent="0.35">
      <c r="A3005" s="75">
        <v>3001</v>
      </c>
      <c r="B3005" s="75">
        <v>3002</v>
      </c>
      <c r="C3005">
        <v>146.00191219999999</v>
      </c>
      <c r="D3005">
        <v>-17.50519229</v>
      </c>
      <c r="G3005" s="75">
        <v>10</v>
      </c>
      <c r="H3005" s="75" t="s">
        <v>26</v>
      </c>
      <c r="I3005" t="str">
        <f t="shared" si="46"/>
        <v>X</v>
      </c>
      <c r="K3005" s="77"/>
      <c r="L3005" s="77"/>
      <c r="M3005" s="77"/>
      <c r="N3005" s="77"/>
      <c r="W3005" s="78"/>
    </row>
    <row r="3006" spans="1:23" s="75" customFormat="1" hidden="1" x14ac:dyDescent="0.35">
      <c r="A3006" s="75">
        <v>3002</v>
      </c>
      <c r="B3006" s="75">
        <v>3003</v>
      </c>
      <c r="C3006">
        <v>146.0019005</v>
      </c>
      <c r="D3006">
        <v>-17.505099340000001</v>
      </c>
      <c r="G3006" s="75">
        <v>10</v>
      </c>
      <c r="H3006" s="75" t="s">
        <v>26</v>
      </c>
      <c r="I3006" t="str">
        <f t="shared" si="46"/>
        <v>X</v>
      </c>
      <c r="K3006" s="77"/>
      <c r="L3006" s="77"/>
      <c r="M3006" s="77"/>
      <c r="N3006" s="77"/>
      <c r="W3006" s="78"/>
    </row>
    <row r="3007" spans="1:23" s="75" customFormat="1" hidden="1" x14ac:dyDescent="0.35">
      <c r="A3007" s="75">
        <v>3003</v>
      </c>
      <c r="B3007" s="75">
        <v>3004</v>
      </c>
      <c r="C3007">
        <v>146.00186110000001</v>
      </c>
      <c r="D3007">
        <v>-17.505013640000001</v>
      </c>
      <c r="G3007" s="75">
        <v>10</v>
      </c>
      <c r="H3007" s="75" t="s">
        <v>26</v>
      </c>
      <c r="I3007" t="str">
        <f t="shared" si="46"/>
        <v>X</v>
      </c>
      <c r="K3007" s="77"/>
      <c r="L3007" s="77"/>
      <c r="M3007" s="77"/>
      <c r="N3007" s="77"/>
      <c r="W3007" s="78"/>
    </row>
    <row r="3008" spans="1:23" s="75" customFormat="1" hidden="1" x14ac:dyDescent="0.35">
      <c r="A3008" s="75">
        <v>3004</v>
      </c>
      <c r="B3008" s="75">
        <v>3005</v>
      </c>
      <c r="C3008">
        <v>146.00182179999999</v>
      </c>
      <c r="D3008">
        <v>-17.504927930000001</v>
      </c>
      <c r="G3008" s="75">
        <v>10</v>
      </c>
      <c r="H3008" s="75" t="s">
        <v>26</v>
      </c>
      <c r="I3008" t="str">
        <f t="shared" si="46"/>
        <v>X</v>
      </c>
      <c r="K3008" s="77"/>
      <c r="L3008" s="77"/>
      <c r="M3008" s="77"/>
      <c r="N3008" s="77"/>
      <c r="W3008" s="78"/>
    </row>
    <row r="3009" spans="1:23" s="75" customFormat="1" hidden="1" x14ac:dyDescent="0.35">
      <c r="A3009" s="75">
        <v>3005</v>
      </c>
      <c r="B3009" s="75">
        <v>3006</v>
      </c>
      <c r="C3009">
        <v>146.00181749999999</v>
      </c>
      <c r="D3009">
        <v>-17.504834259999999</v>
      </c>
      <c r="G3009" s="75">
        <v>10</v>
      </c>
      <c r="H3009" s="75" t="s">
        <v>26</v>
      </c>
      <c r="I3009" t="str">
        <f t="shared" si="46"/>
        <v>X</v>
      </c>
      <c r="K3009" s="77"/>
      <c r="L3009" s="77"/>
      <c r="M3009" s="77"/>
      <c r="N3009" s="77"/>
      <c r="W3009" s="78"/>
    </row>
    <row r="3010" spans="1:23" s="75" customFormat="1" hidden="1" x14ac:dyDescent="0.35">
      <c r="A3010" s="75">
        <v>3006</v>
      </c>
      <c r="B3010" s="75">
        <v>3007</v>
      </c>
      <c r="C3010">
        <v>146.00180599999999</v>
      </c>
      <c r="D3010">
        <v>-17.504740850000001</v>
      </c>
      <c r="G3010" s="75">
        <v>10</v>
      </c>
      <c r="H3010" s="75" t="s">
        <v>26</v>
      </c>
      <c r="I3010" t="str">
        <f t="shared" si="46"/>
        <v>X</v>
      </c>
      <c r="K3010" s="77"/>
      <c r="L3010" s="77"/>
      <c r="M3010" s="77"/>
      <c r="N3010" s="77"/>
      <c r="W3010" s="78"/>
    </row>
    <row r="3011" spans="1:23" s="75" customFormat="1" hidden="1" x14ac:dyDescent="0.35">
      <c r="A3011" s="75">
        <v>3007</v>
      </c>
      <c r="B3011" s="75">
        <v>3008</v>
      </c>
      <c r="C3011">
        <v>146.001791</v>
      </c>
      <c r="D3011">
        <v>-17.504647739999999</v>
      </c>
      <c r="G3011" s="75">
        <v>10</v>
      </c>
      <c r="H3011" s="75" t="s">
        <v>26</v>
      </c>
      <c r="I3011" t="str">
        <f t="shared" si="46"/>
        <v>X</v>
      </c>
      <c r="K3011" s="77"/>
      <c r="L3011" s="77"/>
      <c r="M3011" s="77"/>
      <c r="N3011" s="77"/>
      <c r="W3011" s="78"/>
    </row>
    <row r="3012" spans="1:23" s="75" customFormat="1" hidden="1" x14ac:dyDescent="0.35">
      <c r="A3012" s="75">
        <v>3008</v>
      </c>
      <c r="B3012" s="75">
        <v>3009</v>
      </c>
      <c r="C3012">
        <v>146.00177600000001</v>
      </c>
      <c r="D3012">
        <v>-17.504554630000001</v>
      </c>
      <c r="G3012" s="75">
        <v>10</v>
      </c>
      <c r="H3012" s="75" t="s">
        <v>26</v>
      </c>
      <c r="I3012" t="str">
        <f t="shared" si="46"/>
        <v>X</v>
      </c>
      <c r="K3012" s="77"/>
      <c r="L3012" s="77"/>
      <c r="M3012" s="77"/>
      <c r="N3012" s="77"/>
      <c r="W3012" s="78"/>
    </row>
    <row r="3013" spans="1:23" s="75" customFormat="1" hidden="1" x14ac:dyDescent="0.35">
      <c r="A3013" s="75">
        <v>3009</v>
      </c>
      <c r="B3013" s="75">
        <v>3010</v>
      </c>
      <c r="C3013">
        <v>146.00176110000001</v>
      </c>
      <c r="D3013">
        <v>-17.50446152</v>
      </c>
      <c r="G3013" s="75">
        <v>10</v>
      </c>
      <c r="H3013" s="75" t="s">
        <v>26</v>
      </c>
      <c r="I3013" t="str">
        <f t="shared" ref="I3013:I3076" si="47">IF(H3013="X","X",IF(J3013="NA","X",IF(J3013="","X",J3013)))</f>
        <v>X</v>
      </c>
      <c r="K3013" s="77"/>
      <c r="L3013" s="77"/>
      <c r="M3013" s="77"/>
      <c r="N3013" s="77"/>
      <c r="W3013" s="78"/>
    </row>
    <row r="3014" spans="1:23" s="75" customFormat="1" hidden="1" x14ac:dyDescent="0.35">
      <c r="A3014" s="75">
        <v>3010</v>
      </c>
      <c r="B3014" s="75">
        <v>3011</v>
      </c>
      <c r="C3014">
        <v>146.00174609999999</v>
      </c>
      <c r="D3014">
        <v>-17.504368410000001</v>
      </c>
      <c r="G3014" s="75">
        <v>10</v>
      </c>
      <c r="H3014" s="75" t="s">
        <v>26</v>
      </c>
      <c r="I3014" t="str">
        <f t="shared" si="47"/>
        <v>X</v>
      </c>
      <c r="K3014" s="77"/>
      <c r="L3014" s="77"/>
      <c r="M3014" s="77"/>
      <c r="N3014" s="77"/>
      <c r="W3014" s="78"/>
    </row>
    <row r="3015" spans="1:23" s="75" customFormat="1" hidden="1" x14ac:dyDescent="0.35">
      <c r="A3015" s="75">
        <v>3011</v>
      </c>
      <c r="B3015" s="75">
        <v>3012</v>
      </c>
      <c r="C3015">
        <v>146.00173119999999</v>
      </c>
      <c r="D3015">
        <v>-17.5042753</v>
      </c>
      <c r="G3015" s="75">
        <v>10</v>
      </c>
      <c r="H3015" s="75" t="s">
        <v>26</v>
      </c>
      <c r="I3015" t="str">
        <f t="shared" si="47"/>
        <v>X</v>
      </c>
      <c r="K3015" s="77"/>
      <c r="L3015" s="77"/>
      <c r="M3015" s="77"/>
      <c r="N3015" s="77"/>
      <c r="W3015" s="78"/>
    </row>
    <row r="3016" spans="1:23" s="75" customFormat="1" hidden="1" x14ac:dyDescent="0.35">
      <c r="A3016" s="75">
        <v>3012</v>
      </c>
      <c r="B3016" s="75">
        <v>3013</v>
      </c>
      <c r="C3016">
        <v>146.0017162</v>
      </c>
      <c r="D3016">
        <v>-17.504182190000002</v>
      </c>
      <c r="G3016" s="75">
        <v>10</v>
      </c>
      <c r="H3016" s="75" t="s">
        <v>26</v>
      </c>
      <c r="I3016" t="str">
        <f t="shared" si="47"/>
        <v>X</v>
      </c>
      <c r="K3016" s="77"/>
      <c r="L3016" s="77"/>
      <c r="M3016" s="77"/>
      <c r="N3016" s="77"/>
      <c r="W3016" s="78"/>
    </row>
    <row r="3017" spans="1:23" s="75" customFormat="1" hidden="1" x14ac:dyDescent="0.35">
      <c r="A3017" s="75">
        <v>3013</v>
      </c>
      <c r="B3017" s="75">
        <v>3014</v>
      </c>
      <c r="C3017">
        <v>146.00170120000001</v>
      </c>
      <c r="D3017">
        <v>-17.50408908</v>
      </c>
      <c r="G3017" s="75">
        <v>10</v>
      </c>
      <c r="H3017" s="75" t="s">
        <v>26</v>
      </c>
      <c r="I3017" t="str">
        <f t="shared" si="47"/>
        <v>X</v>
      </c>
      <c r="K3017" s="77"/>
      <c r="L3017" s="77"/>
      <c r="M3017" s="77"/>
      <c r="N3017" s="77"/>
      <c r="W3017" s="78"/>
    </row>
    <row r="3018" spans="1:23" s="75" customFormat="1" hidden="1" x14ac:dyDescent="0.35">
      <c r="A3018" s="75">
        <v>3014</v>
      </c>
      <c r="B3018" s="75">
        <v>3015</v>
      </c>
      <c r="C3018">
        <v>146.00168629999999</v>
      </c>
      <c r="D3018">
        <v>-17.503995969999998</v>
      </c>
      <c r="G3018" s="75">
        <v>10</v>
      </c>
      <c r="H3018" s="75" t="s">
        <v>26</v>
      </c>
      <c r="I3018" t="str">
        <f t="shared" si="47"/>
        <v>X</v>
      </c>
      <c r="K3018" s="77"/>
      <c r="L3018" s="77"/>
      <c r="M3018" s="77"/>
      <c r="N3018" s="77"/>
      <c r="W3018" s="78"/>
    </row>
    <row r="3019" spans="1:23" s="75" customFormat="1" hidden="1" x14ac:dyDescent="0.35">
      <c r="A3019" s="75">
        <v>3015</v>
      </c>
      <c r="B3019" s="75">
        <v>3016</v>
      </c>
      <c r="C3019">
        <v>146.0016713</v>
      </c>
      <c r="D3019">
        <v>-17.50390286</v>
      </c>
      <c r="G3019" s="75">
        <v>10</v>
      </c>
      <c r="H3019" s="75" t="s">
        <v>26</v>
      </c>
      <c r="I3019" t="str">
        <f t="shared" si="47"/>
        <v>X</v>
      </c>
      <c r="K3019" s="77"/>
      <c r="L3019" s="77"/>
      <c r="M3019" s="77"/>
      <c r="N3019" s="77"/>
      <c r="W3019" s="78"/>
    </row>
    <row r="3020" spans="1:23" s="75" customFormat="1" hidden="1" x14ac:dyDescent="0.35">
      <c r="A3020" s="75">
        <v>3016</v>
      </c>
      <c r="B3020" s="75">
        <v>3017</v>
      </c>
      <c r="C3020">
        <v>146.00165630000001</v>
      </c>
      <c r="D3020">
        <v>-17.503809759999999</v>
      </c>
      <c r="G3020" s="75">
        <v>10</v>
      </c>
      <c r="H3020" s="75" t="s">
        <v>26</v>
      </c>
      <c r="I3020" t="str">
        <f t="shared" si="47"/>
        <v>X</v>
      </c>
      <c r="K3020" s="77"/>
      <c r="L3020" s="77"/>
      <c r="M3020" s="77"/>
      <c r="N3020" s="77"/>
      <c r="W3020" s="78"/>
    </row>
    <row r="3021" spans="1:23" s="75" customFormat="1" hidden="1" x14ac:dyDescent="0.35">
      <c r="A3021" s="75">
        <v>3017</v>
      </c>
      <c r="B3021" s="75">
        <v>3018</v>
      </c>
      <c r="C3021">
        <v>146.00164319999999</v>
      </c>
      <c r="D3021">
        <v>-17.503716369999999</v>
      </c>
      <c r="F3021" s="75" t="str">
        <f>HYPERLINK("E:\Data From Lucan\2024\Johnstone\Frames_for_Analysis\3018_20240610_0004_L_0001.jpg","3018_20240610_0004_L_0001.jpg")</f>
        <v>3018_20240610_0004_L_0001.jpg</v>
      </c>
      <c r="G3021" s="75">
        <v>10</v>
      </c>
      <c r="I3021">
        <f t="shared" si="47"/>
        <v>0</v>
      </c>
      <c r="J3021" s="75">
        <v>0</v>
      </c>
      <c r="K3021" s="77"/>
      <c r="L3021" s="77"/>
      <c r="M3021" s="77"/>
      <c r="N3021" s="77"/>
      <c r="O3021" s="75">
        <v>2</v>
      </c>
      <c r="P3021" s="75">
        <v>0</v>
      </c>
      <c r="Q3021" s="75">
        <v>0</v>
      </c>
      <c r="R3021" s="75">
        <v>0</v>
      </c>
      <c r="S3021" s="75">
        <v>0</v>
      </c>
      <c r="T3021" s="75">
        <v>0</v>
      </c>
      <c r="U3021" s="75">
        <v>0</v>
      </c>
      <c r="V3021" s="75">
        <v>0</v>
      </c>
      <c r="W3021" s="78">
        <v>1</v>
      </c>
    </row>
    <row r="3022" spans="1:23" s="75" customFormat="1" hidden="1" x14ac:dyDescent="0.35">
      <c r="A3022" s="75">
        <v>3018</v>
      </c>
      <c r="B3022" s="75">
        <v>3019</v>
      </c>
      <c r="C3022">
        <v>146.00163019999999</v>
      </c>
      <c r="D3022">
        <v>-17.503622979999999</v>
      </c>
      <c r="F3022" s="75" t="str">
        <f>HYPERLINK("E:\Data From Lucan\2024\Johnstone\Frames_for_Analysis\3019_20240610_0004_L_0005.jpg","3019_20240610_0004_L_0005.jpg")</f>
        <v>3019_20240610_0004_L_0005.jpg</v>
      </c>
      <c r="G3022" s="75">
        <v>10</v>
      </c>
      <c r="I3022">
        <f t="shared" si="47"/>
        <v>0</v>
      </c>
      <c r="J3022" s="75">
        <v>0</v>
      </c>
      <c r="K3022" s="77"/>
      <c r="L3022" s="77"/>
      <c r="M3022" s="77"/>
      <c r="N3022" s="77"/>
      <c r="O3022" s="75">
        <v>2</v>
      </c>
      <c r="P3022" s="75">
        <v>0</v>
      </c>
      <c r="Q3022" s="75">
        <v>0</v>
      </c>
      <c r="R3022" s="75">
        <v>0</v>
      </c>
      <c r="S3022" s="75">
        <v>0</v>
      </c>
      <c r="T3022" s="75">
        <v>0</v>
      </c>
      <c r="U3022" s="75">
        <v>0</v>
      </c>
      <c r="V3022" s="75">
        <v>0</v>
      </c>
      <c r="W3022" s="78">
        <v>1</v>
      </c>
    </row>
    <row r="3023" spans="1:23" s="75" customFormat="1" hidden="1" x14ac:dyDescent="0.35">
      <c r="A3023" s="75">
        <v>3019</v>
      </c>
      <c r="B3023" s="75">
        <v>3020</v>
      </c>
      <c r="C3023">
        <v>146.0016171</v>
      </c>
      <c r="D3023">
        <v>-17.503529579999999</v>
      </c>
      <c r="F3023" s="75" t="str">
        <f>HYPERLINK("E:\Data From Lucan\2024\Johnstone\Frames_for_Analysis\3020_20240610_0004_L_0008.jpg","3020_20240610_0004_L_0008.jpg")</f>
        <v>3020_20240610_0004_L_0008.jpg</v>
      </c>
      <c r="G3023" s="75">
        <v>10</v>
      </c>
      <c r="I3023">
        <f t="shared" si="47"/>
        <v>0</v>
      </c>
      <c r="J3023" s="75">
        <v>0</v>
      </c>
      <c r="K3023" s="77"/>
      <c r="L3023" s="77"/>
      <c r="M3023" s="77"/>
      <c r="N3023" s="77"/>
      <c r="O3023" s="75">
        <v>2</v>
      </c>
      <c r="P3023" s="75">
        <v>0</v>
      </c>
      <c r="Q3023" s="75">
        <v>0</v>
      </c>
      <c r="R3023" s="75">
        <v>0</v>
      </c>
      <c r="S3023" s="75">
        <v>0</v>
      </c>
      <c r="T3023" s="75">
        <v>0</v>
      </c>
      <c r="U3023" s="75">
        <v>0</v>
      </c>
      <c r="V3023" s="75">
        <v>0</v>
      </c>
      <c r="W3023" s="78">
        <v>1</v>
      </c>
    </row>
    <row r="3024" spans="1:23" s="75" customFormat="1" hidden="1" x14ac:dyDescent="0.35">
      <c r="A3024" s="75">
        <v>3020</v>
      </c>
      <c r="B3024" s="75">
        <v>3021</v>
      </c>
      <c r="C3024">
        <v>146.00160410000001</v>
      </c>
      <c r="D3024">
        <v>-17.503436180000001</v>
      </c>
      <c r="F3024" s="75" t="str">
        <f>HYPERLINK("E:\Data From Lucan\2024\Johnstone\Frames_for_Analysis\3021_20240610_0004_L_0013.jpg","3021_20240610_0004_L_0013.jpg")</f>
        <v>3021_20240610_0004_L_0013.jpg</v>
      </c>
      <c r="G3024" s="75">
        <v>10</v>
      </c>
      <c r="I3024">
        <f t="shared" si="47"/>
        <v>0</v>
      </c>
      <c r="J3024" s="75">
        <v>0</v>
      </c>
      <c r="K3024" s="77"/>
      <c r="L3024" s="77"/>
      <c r="M3024" s="77"/>
      <c r="N3024" s="77"/>
      <c r="O3024" s="75">
        <v>2</v>
      </c>
      <c r="P3024" s="75">
        <v>0</v>
      </c>
      <c r="Q3024" s="75">
        <v>0</v>
      </c>
      <c r="R3024" s="75">
        <v>0</v>
      </c>
      <c r="S3024" s="75">
        <v>0</v>
      </c>
      <c r="T3024" s="75">
        <v>0</v>
      </c>
      <c r="U3024" s="75">
        <v>0</v>
      </c>
      <c r="V3024" s="75">
        <v>0</v>
      </c>
      <c r="W3024" s="78">
        <v>1</v>
      </c>
    </row>
    <row r="3025" spans="1:23" s="75" customFormat="1" hidden="1" x14ac:dyDescent="0.35">
      <c r="A3025" s="75">
        <v>3021</v>
      </c>
      <c r="B3025" s="75">
        <v>3022</v>
      </c>
      <c r="C3025">
        <v>146.00159099999999</v>
      </c>
      <c r="D3025">
        <v>-17.503342790000001</v>
      </c>
      <c r="F3025" s="75" t="str">
        <f>HYPERLINK("E:\Data From Lucan\2024\Johnstone\Frames_for_Analysis\3022_20240610_0004_L_0018.jpg","3022_20240610_0004_L_0018.jpg")</f>
        <v>3022_20240610_0004_L_0018.jpg</v>
      </c>
      <c r="G3025" s="75">
        <v>10</v>
      </c>
      <c r="I3025">
        <f t="shared" si="47"/>
        <v>0</v>
      </c>
      <c r="J3025" s="75">
        <v>0</v>
      </c>
      <c r="K3025" s="77"/>
      <c r="L3025" s="77"/>
      <c r="M3025" s="77"/>
      <c r="N3025" s="77"/>
      <c r="O3025" s="75">
        <v>2</v>
      </c>
      <c r="P3025" s="75">
        <v>0</v>
      </c>
      <c r="Q3025" s="75">
        <v>0</v>
      </c>
      <c r="R3025" s="75">
        <v>0</v>
      </c>
      <c r="S3025" s="75">
        <v>0</v>
      </c>
      <c r="T3025" s="75">
        <v>0</v>
      </c>
      <c r="U3025" s="75">
        <v>0</v>
      </c>
      <c r="V3025" s="75">
        <v>0</v>
      </c>
      <c r="W3025" s="78">
        <v>1</v>
      </c>
    </row>
    <row r="3026" spans="1:23" s="75" customFormat="1" hidden="1" x14ac:dyDescent="0.35">
      <c r="A3026" s="75">
        <v>3022</v>
      </c>
      <c r="B3026" s="75">
        <v>3023</v>
      </c>
      <c r="C3026">
        <v>146.00157799999999</v>
      </c>
      <c r="D3026">
        <v>-17.503249390000001</v>
      </c>
      <c r="F3026" s="75" t="str">
        <f>HYPERLINK("E:\Data From Lucan\2024\Johnstone\Frames_for_Analysis\3023_20240610_0004_L_0022.jpg","3023_20240610_0004_L_0022.jpg")</f>
        <v>3023_20240610_0004_L_0022.jpg</v>
      </c>
      <c r="G3026" s="75">
        <v>10</v>
      </c>
      <c r="I3026">
        <f t="shared" si="47"/>
        <v>0</v>
      </c>
      <c r="J3026" s="75">
        <v>0</v>
      </c>
      <c r="K3026" s="77"/>
      <c r="L3026" s="77"/>
      <c r="M3026" s="77"/>
      <c r="N3026" s="77"/>
      <c r="O3026" s="75">
        <v>2</v>
      </c>
      <c r="P3026" s="75">
        <v>0</v>
      </c>
      <c r="Q3026" s="75">
        <v>0</v>
      </c>
      <c r="R3026" s="75">
        <v>0</v>
      </c>
      <c r="S3026" s="75">
        <v>0</v>
      </c>
      <c r="T3026" s="75">
        <v>0</v>
      </c>
      <c r="U3026" s="75">
        <v>0</v>
      </c>
      <c r="V3026" s="75">
        <v>0</v>
      </c>
      <c r="W3026" s="78">
        <v>1</v>
      </c>
    </row>
    <row r="3027" spans="1:23" s="75" customFormat="1" hidden="1" x14ac:dyDescent="0.35">
      <c r="A3027" s="75">
        <v>3023</v>
      </c>
      <c r="B3027" s="75">
        <v>3024</v>
      </c>
      <c r="C3027">
        <v>146.00156490000001</v>
      </c>
      <c r="D3027">
        <v>-17.50315599</v>
      </c>
      <c r="F3027" s="75" t="str">
        <f>HYPERLINK("E:\Data From Lucan\2024\Johnstone\Frames_for_Analysis\3024_20240610_0004_L_0028.jpg","3024_20240610_0004_L_0028.jpg")</f>
        <v>3024_20240610_0004_L_0028.jpg</v>
      </c>
      <c r="G3027" s="75">
        <v>10</v>
      </c>
      <c r="I3027">
        <f t="shared" si="47"/>
        <v>0</v>
      </c>
      <c r="J3027" s="75">
        <v>0</v>
      </c>
      <c r="K3027" s="77"/>
      <c r="L3027" s="77"/>
      <c r="M3027" s="77"/>
      <c r="N3027" s="77"/>
      <c r="O3027" s="75">
        <v>2</v>
      </c>
      <c r="P3027" s="75">
        <v>0</v>
      </c>
      <c r="Q3027" s="75">
        <v>0</v>
      </c>
      <c r="R3027" s="75">
        <v>0</v>
      </c>
      <c r="S3027" s="75">
        <v>0</v>
      </c>
      <c r="T3027" s="75">
        <v>0</v>
      </c>
      <c r="U3027" s="75">
        <v>0</v>
      </c>
      <c r="V3027" s="75">
        <v>0</v>
      </c>
      <c r="W3027" s="78">
        <v>1</v>
      </c>
    </row>
    <row r="3028" spans="1:23" s="75" customFormat="1" hidden="1" x14ac:dyDescent="0.35">
      <c r="A3028" s="75">
        <v>3024</v>
      </c>
      <c r="B3028" s="75">
        <v>3025</v>
      </c>
      <c r="C3028">
        <v>146.00155190000001</v>
      </c>
      <c r="D3028">
        <v>-17.503062589999999</v>
      </c>
      <c r="F3028" s="75" t="str">
        <f>HYPERLINK("E:\Data From Lucan\2024\Johnstone\Frames_for_Analysis\3025_20240610_0004_L_0031.jpg","3025_20240610_0004_L_0031.jpg")</f>
        <v>3025_20240610_0004_L_0031.jpg</v>
      </c>
      <c r="G3028" s="75">
        <v>10</v>
      </c>
      <c r="I3028">
        <f t="shared" si="47"/>
        <v>0</v>
      </c>
      <c r="J3028" s="75">
        <v>0</v>
      </c>
      <c r="K3028" s="77"/>
      <c r="L3028" s="77"/>
      <c r="M3028" s="77"/>
      <c r="N3028" s="77"/>
      <c r="O3028" s="75">
        <v>2</v>
      </c>
      <c r="P3028" s="75">
        <v>0</v>
      </c>
      <c r="Q3028" s="75">
        <v>0</v>
      </c>
      <c r="R3028" s="75">
        <v>0</v>
      </c>
      <c r="S3028" s="75">
        <v>0</v>
      </c>
      <c r="T3028" s="75">
        <v>0</v>
      </c>
      <c r="U3028" s="75">
        <v>0</v>
      </c>
      <c r="V3028" s="75">
        <v>0</v>
      </c>
      <c r="W3028" s="78">
        <v>1</v>
      </c>
    </row>
    <row r="3029" spans="1:23" s="75" customFormat="1" hidden="1" x14ac:dyDescent="0.35">
      <c r="A3029" s="75">
        <v>3025</v>
      </c>
      <c r="B3029" s="75">
        <v>3026</v>
      </c>
      <c r="C3029">
        <v>146.00153890000001</v>
      </c>
      <c r="D3029">
        <v>-17.502969199999999</v>
      </c>
      <c r="F3029" s="75" t="str">
        <f>HYPERLINK("E:\Data From Lucan\2024\Johnstone\Frames_for_Analysis\3026_20240610_0004_L_0035.jpg","3026_20240610_0004_L_0035.jpg")</f>
        <v>3026_20240610_0004_L_0035.jpg</v>
      </c>
      <c r="G3029" s="75">
        <v>10</v>
      </c>
      <c r="I3029">
        <f t="shared" si="47"/>
        <v>0</v>
      </c>
      <c r="J3029" s="75">
        <v>0</v>
      </c>
      <c r="K3029" s="77"/>
      <c r="L3029" s="77"/>
      <c r="M3029" s="77"/>
      <c r="N3029" s="77"/>
      <c r="O3029" s="75">
        <v>2</v>
      </c>
      <c r="P3029" s="75">
        <v>0</v>
      </c>
      <c r="Q3029" s="75">
        <v>0</v>
      </c>
      <c r="R3029" s="75">
        <v>0</v>
      </c>
      <c r="S3029" s="75">
        <v>0</v>
      </c>
      <c r="T3029" s="75">
        <v>0</v>
      </c>
      <c r="U3029" s="75">
        <v>0</v>
      </c>
      <c r="V3029" s="75">
        <v>0</v>
      </c>
      <c r="W3029" s="78">
        <v>1</v>
      </c>
    </row>
    <row r="3030" spans="1:23" s="75" customFormat="1" hidden="1" x14ac:dyDescent="0.35">
      <c r="A3030" s="75">
        <v>3026</v>
      </c>
      <c r="B3030" s="75">
        <v>3027</v>
      </c>
      <c r="C3030">
        <v>146.0015258</v>
      </c>
      <c r="D3030">
        <v>-17.502875800000002</v>
      </c>
      <c r="F3030" s="75" t="str">
        <f>HYPERLINK("E:\Data From Lucan\2024\Johnstone\Frames_for_Analysis\3027_20240610_0004_L_0038.jpg","3027_20240610_0004_L_0038.jpg")</f>
        <v>3027_20240610_0004_L_0038.jpg</v>
      </c>
      <c r="G3030" s="75">
        <v>10</v>
      </c>
      <c r="I3030">
        <f t="shared" si="47"/>
        <v>0</v>
      </c>
      <c r="J3030" s="75">
        <v>0</v>
      </c>
      <c r="K3030" s="77"/>
      <c r="L3030" s="77"/>
      <c r="M3030" s="77"/>
      <c r="N3030" s="77"/>
      <c r="O3030" s="75">
        <v>2</v>
      </c>
      <c r="P3030" s="75">
        <v>0</v>
      </c>
      <c r="Q3030" s="75">
        <v>0</v>
      </c>
      <c r="R3030" s="75">
        <v>0</v>
      </c>
      <c r="S3030" s="75">
        <v>0</v>
      </c>
      <c r="T3030" s="75">
        <v>0</v>
      </c>
      <c r="U3030" s="75">
        <v>0</v>
      </c>
      <c r="V3030" s="75">
        <v>0</v>
      </c>
      <c r="W3030" s="78">
        <v>1</v>
      </c>
    </row>
    <row r="3031" spans="1:23" s="75" customFormat="1" hidden="1" x14ac:dyDescent="0.35">
      <c r="A3031" s="75">
        <v>3027</v>
      </c>
      <c r="B3031" s="75">
        <v>3028</v>
      </c>
      <c r="C3031">
        <v>146.0015128</v>
      </c>
      <c r="D3031">
        <v>-17.502782400000001</v>
      </c>
      <c r="F3031" s="75" t="str">
        <f>HYPERLINK("E:\Data From Lucan\2024\Johnstone\Frames_for_Analysis\3028_20240610_0004_L_0041.jpg","3028_20240610_0004_L_0041.jpg")</f>
        <v>3028_20240610_0004_L_0041.jpg</v>
      </c>
      <c r="G3031" s="75">
        <v>10</v>
      </c>
      <c r="I3031">
        <f t="shared" si="47"/>
        <v>0</v>
      </c>
      <c r="J3031" s="75">
        <v>0</v>
      </c>
      <c r="K3031" s="77"/>
      <c r="L3031" s="77"/>
      <c r="M3031" s="77"/>
      <c r="N3031" s="77"/>
      <c r="O3031" s="75">
        <v>2</v>
      </c>
      <c r="P3031" s="75">
        <v>0</v>
      </c>
      <c r="Q3031" s="75">
        <v>0</v>
      </c>
      <c r="R3031" s="75">
        <v>0</v>
      </c>
      <c r="S3031" s="75">
        <v>0</v>
      </c>
      <c r="T3031" s="75">
        <v>0</v>
      </c>
      <c r="U3031" s="75">
        <v>0</v>
      </c>
      <c r="V3031" s="75">
        <v>0</v>
      </c>
      <c r="W3031" s="78">
        <v>1</v>
      </c>
    </row>
    <row r="3032" spans="1:23" s="75" customFormat="1" hidden="1" x14ac:dyDescent="0.35">
      <c r="A3032" s="75">
        <v>3028</v>
      </c>
      <c r="B3032" s="75">
        <v>3029</v>
      </c>
      <c r="C3032">
        <v>146.00149970000001</v>
      </c>
      <c r="D3032">
        <v>-17.502689010000001</v>
      </c>
      <c r="F3032" s="75" t="str">
        <f>HYPERLINK("E:\Data From Lucan\2024\Johnstone\Frames_for_Analysis\3029_20240610_0004_L_0045.jpg","3029_20240610_0004_L_0045.jpg")</f>
        <v>3029_20240610_0004_L_0045.jpg</v>
      </c>
      <c r="G3032" s="75">
        <v>10</v>
      </c>
      <c r="I3032">
        <f t="shared" si="47"/>
        <v>0</v>
      </c>
      <c r="J3032" s="75">
        <v>0</v>
      </c>
      <c r="K3032" s="77"/>
      <c r="L3032" s="77"/>
      <c r="M3032" s="77"/>
      <c r="N3032" s="77"/>
      <c r="O3032" s="75">
        <v>2</v>
      </c>
      <c r="P3032" s="75">
        <v>0</v>
      </c>
      <c r="Q3032" s="75">
        <v>0</v>
      </c>
      <c r="R3032" s="75">
        <v>0</v>
      </c>
      <c r="S3032" s="75">
        <v>0</v>
      </c>
      <c r="T3032" s="75">
        <v>0</v>
      </c>
      <c r="U3032" s="75">
        <v>0</v>
      </c>
      <c r="V3032" s="75">
        <v>0</v>
      </c>
      <c r="W3032" s="78">
        <v>1</v>
      </c>
    </row>
    <row r="3033" spans="1:23" s="75" customFormat="1" hidden="1" x14ac:dyDescent="0.35">
      <c r="A3033" s="75">
        <v>3029</v>
      </c>
      <c r="B3033" s="75">
        <v>3030</v>
      </c>
      <c r="C3033">
        <v>146.00148669999999</v>
      </c>
      <c r="D3033">
        <v>-17.50259561</v>
      </c>
      <c r="F3033" s="75" t="str">
        <f>HYPERLINK("E:\Data From Lucan\2024\Johnstone\Frames_for_Analysis\3030_20240610_0004_L_0048.jpg","3030_20240610_0004_L_0048.jpg")</f>
        <v>3030_20240610_0004_L_0048.jpg</v>
      </c>
      <c r="G3033" s="75">
        <v>10</v>
      </c>
      <c r="I3033">
        <f t="shared" si="47"/>
        <v>0</v>
      </c>
      <c r="J3033" s="75">
        <v>0</v>
      </c>
      <c r="K3033" s="77"/>
      <c r="L3033" s="77"/>
      <c r="M3033" s="77"/>
      <c r="N3033" s="77"/>
      <c r="O3033" s="75">
        <v>2</v>
      </c>
      <c r="P3033" s="75">
        <v>0</v>
      </c>
      <c r="Q3033" s="75">
        <v>0</v>
      </c>
      <c r="R3033" s="75">
        <v>0</v>
      </c>
      <c r="S3033" s="75">
        <v>0</v>
      </c>
      <c r="T3033" s="75">
        <v>0</v>
      </c>
      <c r="U3033" s="75">
        <v>0</v>
      </c>
      <c r="V3033" s="75">
        <v>0</v>
      </c>
      <c r="W3033" s="78">
        <v>1</v>
      </c>
    </row>
    <row r="3034" spans="1:23" s="75" customFormat="1" hidden="1" x14ac:dyDescent="0.35">
      <c r="A3034" s="75">
        <v>3030</v>
      </c>
      <c r="B3034" s="75">
        <v>3031</v>
      </c>
      <c r="C3034">
        <v>146.0014736</v>
      </c>
      <c r="D3034">
        <v>-17.502502209999999</v>
      </c>
      <c r="F3034" s="75" t="str">
        <f>HYPERLINK("E:\Data From Lucan\2024\Johnstone\Frames_for_Analysis\3031_20240610_0004_L_0051.jpg","3031_20240610_0004_L_0051.jpg")</f>
        <v>3031_20240610_0004_L_0051.jpg</v>
      </c>
      <c r="G3034" s="75">
        <v>10</v>
      </c>
      <c r="I3034">
        <f t="shared" si="47"/>
        <v>0</v>
      </c>
      <c r="J3034" s="75">
        <v>0</v>
      </c>
      <c r="K3034" s="77"/>
      <c r="L3034" s="77"/>
      <c r="M3034" s="77"/>
      <c r="N3034" s="77"/>
      <c r="O3034" s="75">
        <v>2</v>
      </c>
      <c r="P3034" s="75">
        <v>0</v>
      </c>
      <c r="Q3034" s="75">
        <v>0</v>
      </c>
      <c r="R3034" s="75">
        <v>0</v>
      </c>
      <c r="S3034" s="75">
        <v>0</v>
      </c>
      <c r="T3034" s="75">
        <v>0</v>
      </c>
      <c r="U3034" s="75">
        <v>0</v>
      </c>
      <c r="V3034" s="75">
        <v>1</v>
      </c>
      <c r="W3034" s="78">
        <v>1</v>
      </c>
    </row>
    <row r="3035" spans="1:23" s="75" customFormat="1" hidden="1" x14ac:dyDescent="0.35">
      <c r="A3035" s="75">
        <v>3031</v>
      </c>
      <c r="B3035" s="75">
        <v>3032</v>
      </c>
      <c r="C3035">
        <v>146.00147029999999</v>
      </c>
      <c r="D3035">
        <v>-17.502407980000001</v>
      </c>
      <c r="F3035" s="75" t="str">
        <f>HYPERLINK("E:\Data From Lucan\2024\Johnstone\Frames_for_Analysis\3032_20240610_0004_L_0054.jpg","3032_20240610_0004_L_0054.jpg")</f>
        <v>3032_20240610_0004_L_0054.jpg</v>
      </c>
      <c r="G3035" s="75">
        <v>10</v>
      </c>
      <c r="I3035">
        <f t="shared" si="47"/>
        <v>0</v>
      </c>
      <c r="J3035" s="75">
        <v>0</v>
      </c>
      <c r="K3035" s="77"/>
      <c r="L3035" s="77"/>
      <c r="M3035" s="77"/>
      <c r="N3035" s="77"/>
      <c r="O3035" s="75">
        <v>2</v>
      </c>
      <c r="P3035" s="75">
        <v>0</v>
      </c>
      <c r="Q3035" s="75">
        <v>0</v>
      </c>
      <c r="R3035" s="75">
        <v>0</v>
      </c>
      <c r="S3035" s="75">
        <v>0</v>
      </c>
      <c r="T3035" s="75">
        <v>0</v>
      </c>
      <c r="U3035" s="75">
        <v>0</v>
      </c>
      <c r="V3035" s="75">
        <v>0</v>
      </c>
      <c r="W3035" s="78">
        <v>1</v>
      </c>
    </row>
    <row r="3036" spans="1:23" s="75" customFormat="1" hidden="1" x14ac:dyDescent="0.35">
      <c r="A3036" s="75">
        <v>3032</v>
      </c>
      <c r="B3036" s="75">
        <v>3033</v>
      </c>
      <c r="C3036">
        <v>146.00146720000001</v>
      </c>
      <c r="D3036">
        <v>-17.50231372</v>
      </c>
      <c r="F3036" s="75" t="str">
        <f>HYPERLINK("E:\Data From Lucan\2024\Johnstone\Frames_for_Analysis\3033_20240610_0004_L_0057.jpg","3033_20240610_0004_L_0057.jpg")</f>
        <v>3033_20240610_0004_L_0057.jpg</v>
      </c>
      <c r="G3036" s="75">
        <v>10</v>
      </c>
      <c r="I3036">
        <f t="shared" si="47"/>
        <v>0</v>
      </c>
      <c r="J3036" s="75">
        <v>0</v>
      </c>
      <c r="K3036" s="77"/>
      <c r="L3036" s="77"/>
      <c r="M3036" s="77"/>
      <c r="N3036" s="77"/>
      <c r="O3036" s="75">
        <v>1</v>
      </c>
      <c r="P3036" s="75">
        <v>0</v>
      </c>
      <c r="Q3036" s="75">
        <v>0</v>
      </c>
      <c r="R3036" s="75">
        <v>0</v>
      </c>
      <c r="S3036" s="75">
        <v>0</v>
      </c>
      <c r="T3036" s="75">
        <v>0</v>
      </c>
      <c r="U3036" s="75">
        <v>0</v>
      </c>
      <c r="V3036" s="75">
        <v>0</v>
      </c>
      <c r="W3036" s="78">
        <v>0</v>
      </c>
    </row>
    <row r="3037" spans="1:23" s="75" customFormat="1" hidden="1" x14ac:dyDescent="0.35">
      <c r="A3037" s="75">
        <v>3033</v>
      </c>
      <c r="B3037" s="75">
        <v>3034</v>
      </c>
      <c r="C3037">
        <v>146.00146409999999</v>
      </c>
      <c r="D3037">
        <v>-17.50221947</v>
      </c>
      <c r="F3037" s="75" t="str">
        <f>HYPERLINK("E:\Data From Lucan\2024\Johnstone\Frames_for_Analysis\3034_20240610_0004_L_0059.jpg","3034_20240610_0004_L_0059.jpg")</f>
        <v>3034_20240610_0004_L_0059.jpg</v>
      </c>
      <c r="G3037" s="75">
        <v>10</v>
      </c>
      <c r="I3037">
        <f t="shared" si="47"/>
        <v>0</v>
      </c>
      <c r="J3037" s="75">
        <v>0</v>
      </c>
      <c r="K3037" s="77"/>
      <c r="L3037" s="77"/>
      <c r="M3037" s="77"/>
      <c r="N3037" s="77"/>
      <c r="O3037" s="75">
        <v>1</v>
      </c>
      <c r="P3037" s="75">
        <v>0</v>
      </c>
      <c r="Q3037" s="75">
        <v>0</v>
      </c>
      <c r="R3037" s="75">
        <v>0</v>
      </c>
      <c r="S3037" s="75">
        <v>0</v>
      </c>
      <c r="T3037" s="75">
        <v>0</v>
      </c>
      <c r="U3037" s="75">
        <v>0</v>
      </c>
      <c r="V3037" s="75">
        <v>0</v>
      </c>
      <c r="W3037" s="78">
        <v>0</v>
      </c>
    </row>
    <row r="3038" spans="1:23" s="75" customFormat="1" hidden="1" x14ac:dyDescent="0.35">
      <c r="A3038" s="75">
        <v>3034</v>
      </c>
      <c r="B3038" s="75">
        <v>3035</v>
      </c>
      <c r="C3038">
        <v>146.00146100000001</v>
      </c>
      <c r="D3038">
        <v>-17.50212522</v>
      </c>
      <c r="F3038" s="75" t="str">
        <f>HYPERLINK("E:\Data From Lucan\2024\Johnstone\Frames_for_Analysis\3035_20240610_0004_L_0062.jpg","3035_20240610_0004_L_0062.jpg")</f>
        <v>3035_20240610_0004_L_0062.jpg</v>
      </c>
      <c r="G3038" s="75">
        <v>10</v>
      </c>
      <c r="I3038">
        <f t="shared" si="47"/>
        <v>0</v>
      </c>
      <c r="J3038" s="75">
        <v>0</v>
      </c>
      <c r="K3038" s="77"/>
      <c r="L3038" s="77"/>
      <c r="M3038" s="77"/>
      <c r="N3038" s="77"/>
      <c r="O3038" s="75">
        <v>1</v>
      </c>
      <c r="P3038" s="75">
        <v>0</v>
      </c>
      <c r="Q3038" s="75">
        <v>0</v>
      </c>
      <c r="R3038" s="75">
        <v>0</v>
      </c>
      <c r="S3038" s="75">
        <v>0</v>
      </c>
      <c r="T3038" s="75">
        <v>0</v>
      </c>
      <c r="U3038" s="75">
        <v>0</v>
      </c>
      <c r="V3038" s="75">
        <v>0</v>
      </c>
      <c r="W3038" s="78">
        <v>0</v>
      </c>
    </row>
    <row r="3039" spans="1:23" s="75" customFormat="1" hidden="1" x14ac:dyDescent="0.35">
      <c r="A3039" s="75">
        <v>3035</v>
      </c>
      <c r="B3039" s="75">
        <v>3036</v>
      </c>
      <c r="C3039">
        <v>146.0014578</v>
      </c>
      <c r="D3039">
        <v>-17.50203097</v>
      </c>
      <c r="F3039" s="75" t="str">
        <f>HYPERLINK("E:\Data From Lucan\2024\Johnstone\Frames_for_Analysis\3036_20240610_0004_L_0065.jpg","3036_20240610_0004_L_0065.jpg")</f>
        <v>3036_20240610_0004_L_0065.jpg</v>
      </c>
      <c r="G3039" s="75">
        <v>10</v>
      </c>
      <c r="I3039">
        <f t="shared" si="47"/>
        <v>0</v>
      </c>
      <c r="J3039" s="75">
        <v>0</v>
      </c>
      <c r="K3039" s="77"/>
      <c r="L3039" s="77"/>
      <c r="M3039" s="77"/>
      <c r="N3039" s="77"/>
      <c r="O3039" s="75">
        <v>1</v>
      </c>
      <c r="P3039" s="75">
        <v>0</v>
      </c>
      <c r="Q3039" s="75">
        <v>0</v>
      </c>
      <c r="R3039" s="75">
        <v>0</v>
      </c>
      <c r="S3039" s="75">
        <v>0</v>
      </c>
      <c r="T3039" s="75">
        <v>0</v>
      </c>
      <c r="U3039" s="75">
        <v>0</v>
      </c>
      <c r="V3039" s="75">
        <v>0</v>
      </c>
      <c r="W3039" s="78">
        <v>0</v>
      </c>
    </row>
    <row r="3040" spans="1:23" s="75" customFormat="1" hidden="1" x14ac:dyDescent="0.35">
      <c r="A3040" s="75">
        <v>3036</v>
      </c>
      <c r="B3040" s="75">
        <v>3037</v>
      </c>
      <c r="C3040">
        <v>146.00145470000001</v>
      </c>
      <c r="D3040">
        <v>-17.50193672</v>
      </c>
      <c r="F3040" s="75" t="str">
        <f>HYPERLINK("E:\Data From Lucan\2024\Johnstone\Frames_for_Analysis\3037_20240610_0004_L_0068.jpg","3037_20240610_0004_L_0068.jpg")</f>
        <v>3037_20240610_0004_L_0068.jpg</v>
      </c>
      <c r="G3040" s="75">
        <v>10</v>
      </c>
      <c r="I3040">
        <f t="shared" si="47"/>
        <v>0</v>
      </c>
      <c r="J3040" s="75">
        <v>0</v>
      </c>
      <c r="K3040" s="77"/>
      <c r="L3040" s="77"/>
      <c r="M3040" s="77"/>
      <c r="N3040" s="77"/>
      <c r="O3040" s="75">
        <v>1</v>
      </c>
      <c r="P3040" s="75">
        <v>0</v>
      </c>
      <c r="Q3040" s="75">
        <v>0</v>
      </c>
      <c r="R3040" s="75">
        <v>0</v>
      </c>
      <c r="S3040" s="75">
        <v>0</v>
      </c>
      <c r="T3040" s="75">
        <v>0</v>
      </c>
      <c r="U3040" s="75">
        <v>0</v>
      </c>
      <c r="V3040" s="75">
        <v>0</v>
      </c>
      <c r="W3040" s="78">
        <v>0</v>
      </c>
    </row>
    <row r="3041" spans="1:23" s="75" customFormat="1" hidden="1" x14ac:dyDescent="0.35">
      <c r="A3041" s="75">
        <v>3037</v>
      </c>
      <c r="B3041" s="75">
        <v>3038</v>
      </c>
      <c r="C3041">
        <v>146.0014516</v>
      </c>
      <c r="D3041">
        <v>-17.50184247</v>
      </c>
      <c r="F3041" s="75" t="str">
        <f>HYPERLINK("E:\Data From Lucan\2024\Johnstone\Frames_for_Analysis\3038_20240610_0004_L_0071.jpg","3038_20240610_0004_L_0071.jpg")</f>
        <v>3038_20240610_0004_L_0071.jpg</v>
      </c>
      <c r="G3041" s="75">
        <v>10</v>
      </c>
      <c r="I3041">
        <f t="shared" si="47"/>
        <v>0</v>
      </c>
      <c r="J3041" s="75">
        <v>0</v>
      </c>
      <c r="K3041" s="77"/>
      <c r="L3041" s="77"/>
      <c r="M3041" s="77"/>
      <c r="N3041" s="77"/>
      <c r="O3041" s="75">
        <v>2</v>
      </c>
      <c r="P3041" s="75">
        <v>0</v>
      </c>
      <c r="Q3041" s="75">
        <v>0</v>
      </c>
      <c r="R3041" s="75">
        <v>0</v>
      </c>
      <c r="S3041" s="75">
        <v>0</v>
      </c>
      <c r="T3041" s="75">
        <v>0</v>
      </c>
      <c r="U3041" s="75">
        <v>0</v>
      </c>
      <c r="V3041" s="75">
        <v>0</v>
      </c>
      <c r="W3041" s="78">
        <v>1</v>
      </c>
    </row>
    <row r="3042" spans="1:23" s="75" customFormat="1" hidden="1" x14ac:dyDescent="0.35">
      <c r="A3042" s="75">
        <v>3038</v>
      </c>
      <c r="B3042" s="75">
        <v>3039</v>
      </c>
      <c r="C3042">
        <v>146.00144850000001</v>
      </c>
      <c r="D3042">
        <v>-17.501748209999999</v>
      </c>
      <c r="F3042" s="75" t="str">
        <f>HYPERLINK("E:\Data From Lucan\2024\Johnstone\Frames_for_Analysis\3039_20240610_0004_L_0075.jpg","3039_20240610_0004_L_0075.jpg")</f>
        <v>3039_20240610_0004_L_0075.jpg</v>
      </c>
      <c r="G3042" s="75">
        <v>10</v>
      </c>
      <c r="I3042">
        <f t="shared" si="47"/>
        <v>0</v>
      </c>
      <c r="J3042" s="75">
        <v>0</v>
      </c>
      <c r="K3042" s="77"/>
      <c r="L3042" s="77"/>
      <c r="M3042" s="77"/>
      <c r="N3042" s="77"/>
      <c r="O3042" s="75">
        <v>2</v>
      </c>
      <c r="P3042" s="75">
        <v>0</v>
      </c>
      <c r="Q3042" s="75">
        <v>0</v>
      </c>
      <c r="R3042" s="75">
        <v>0</v>
      </c>
      <c r="S3042" s="75">
        <v>0</v>
      </c>
      <c r="T3042" s="75">
        <v>0</v>
      </c>
      <c r="U3042" s="75">
        <v>0</v>
      </c>
      <c r="V3042" s="75">
        <v>0</v>
      </c>
      <c r="W3042" s="78">
        <v>1</v>
      </c>
    </row>
    <row r="3043" spans="1:23" s="75" customFormat="1" hidden="1" x14ac:dyDescent="0.35">
      <c r="A3043" s="75">
        <v>3039</v>
      </c>
      <c r="B3043" s="75">
        <v>3040</v>
      </c>
      <c r="C3043">
        <v>146.0014453</v>
      </c>
      <c r="D3043">
        <v>-17.501653959999999</v>
      </c>
      <c r="F3043" s="75" t="str">
        <f>HYPERLINK("E:\Data From Lucan\2024\Johnstone\Frames_for_Analysis\3040_20240610_0004_L_0078.jpg","3040_20240610_0004_L_0078.jpg")</f>
        <v>3040_20240610_0004_L_0078.jpg</v>
      </c>
      <c r="G3043" s="75">
        <v>10</v>
      </c>
      <c r="I3043">
        <f t="shared" si="47"/>
        <v>0</v>
      </c>
      <c r="J3043" s="75">
        <v>0</v>
      </c>
      <c r="K3043" s="77"/>
      <c r="L3043" s="77"/>
      <c r="M3043" s="77"/>
      <c r="N3043" s="77"/>
      <c r="O3043" s="75">
        <v>1</v>
      </c>
      <c r="P3043" s="75">
        <v>0</v>
      </c>
      <c r="Q3043" s="75">
        <v>0</v>
      </c>
      <c r="R3043" s="75">
        <v>0</v>
      </c>
      <c r="S3043" s="75">
        <v>0</v>
      </c>
      <c r="T3043" s="75">
        <v>0</v>
      </c>
      <c r="U3043" s="75">
        <v>0</v>
      </c>
      <c r="V3043" s="75">
        <v>0</v>
      </c>
      <c r="W3043" s="78">
        <v>0</v>
      </c>
    </row>
    <row r="3044" spans="1:23" s="75" customFormat="1" hidden="1" x14ac:dyDescent="0.35">
      <c r="A3044" s="75">
        <v>3040</v>
      </c>
      <c r="B3044" s="75">
        <v>3041</v>
      </c>
      <c r="C3044">
        <v>146.00144220000001</v>
      </c>
      <c r="D3044">
        <v>-17.501559709999999</v>
      </c>
      <c r="F3044" s="75" t="str">
        <f>HYPERLINK("E:\Data From Lucan\2024\Johnstone\Frames_for_Analysis\3041_20240610_0004_L_0081.jpg","3041_20240610_0004_L_0081.jpg")</f>
        <v>3041_20240610_0004_L_0081.jpg</v>
      </c>
      <c r="G3044" s="75">
        <v>10</v>
      </c>
      <c r="I3044">
        <f t="shared" si="47"/>
        <v>0</v>
      </c>
      <c r="J3044" s="75">
        <v>0</v>
      </c>
      <c r="K3044" s="77"/>
      <c r="L3044" s="77"/>
      <c r="M3044" s="77"/>
      <c r="N3044" s="77"/>
      <c r="O3044" s="75">
        <v>1</v>
      </c>
      <c r="P3044" s="75">
        <v>0</v>
      </c>
      <c r="Q3044" s="75">
        <v>0</v>
      </c>
      <c r="R3044" s="75">
        <v>0</v>
      </c>
      <c r="S3044" s="75">
        <v>0</v>
      </c>
      <c r="T3044" s="75">
        <v>0</v>
      </c>
      <c r="U3044" s="75">
        <v>0</v>
      </c>
      <c r="V3044" s="75">
        <v>0</v>
      </c>
      <c r="W3044" s="78">
        <v>0</v>
      </c>
    </row>
    <row r="3045" spans="1:23" s="75" customFormat="1" hidden="1" x14ac:dyDescent="0.35">
      <c r="A3045" s="75">
        <v>3041</v>
      </c>
      <c r="B3045" s="75">
        <v>3042</v>
      </c>
      <c r="C3045">
        <v>146.0014391</v>
      </c>
      <c r="D3045">
        <v>-17.501465459999999</v>
      </c>
      <c r="F3045" s="75" t="str">
        <f>HYPERLINK("E:\Data From Lucan\2024\Johnstone\Frames_for_Analysis\3042_20240610_0004_L_0085.jpg","3042_20240610_0004_L_0085.jpg")</f>
        <v>3042_20240610_0004_L_0085.jpg</v>
      </c>
      <c r="G3045" s="75">
        <v>10</v>
      </c>
      <c r="I3045">
        <f t="shared" si="47"/>
        <v>0</v>
      </c>
      <c r="J3045" s="75">
        <v>0</v>
      </c>
      <c r="K3045" s="77"/>
      <c r="L3045" s="77"/>
      <c r="M3045" s="77"/>
      <c r="N3045" s="77"/>
      <c r="O3045" s="75">
        <v>1</v>
      </c>
      <c r="P3045" s="75">
        <v>0</v>
      </c>
      <c r="Q3045" s="75">
        <v>0</v>
      </c>
      <c r="R3045" s="75">
        <v>0</v>
      </c>
      <c r="S3045" s="75">
        <v>0</v>
      </c>
      <c r="T3045" s="75">
        <v>0</v>
      </c>
      <c r="U3045" s="75">
        <v>0</v>
      </c>
      <c r="V3045" s="75">
        <v>0</v>
      </c>
      <c r="W3045" s="78">
        <v>0</v>
      </c>
    </row>
    <row r="3046" spans="1:23" s="75" customFormat="1" hidden="1" x14ac:dyDescent="0.35">
      <c r="A3046" s="75">
        <v>3042</v>
      </c>
      <c r="B3046" s="75">
        <v>3043</v>
      </c>
      <c r="C3046">
        <v>146.00143600000001</v>
      </c>
      <c r="D3046">
        <v>-17.501371200000001</v>
      </c>
      <c r="F3046" s="75" t="str">
        <f>HYPERLINK("E:\Data From Lucan\2024\Johnstone\Frames_for_Analysis\3043_20240610_0004_L_0089.jpg","3043_20240610_0004_L_0089.jpg")</f>
        <v>3043_20240610_0004_L_0089.jpg</v>
      </c>
      <c r="G3046" s="75">
        <v>10</v>
      </c>
      <c r="I3046">
        <f t="shared" si="47"/>
        <v>0</v>
      </c>
      <c r="J3046" s="75">
        <v>0</v>
      </c>
      <c r="K3046" s="77"/>
      <c r="L3046" s="77"/>
      <c r="M3046" s="77"/>
      <c r="N3046" s="77"/>
      <c r="O3046" s="75">
        <v>1</v>
      </c>
      <c r="P3046" s="75">
        <v>0</v>
      </c>
      <c r="Q3046" s="75">
        <v>0</v>
      </c>
      <c r="R3046" s="75">
        <v>0</v>
      </c>
      <c r="S3046" s="75">
        <v>0</v>
      </c>
      <c r="T3046" s="75">
        <v>0</v>
      </c>
      <c r="U3046" s="75">
        <v>0</v>
      </c>
      <c r="V3046" s="75">
        <v>0</v>
      </c>
      <c r="W3046" s="78">
        <v>0</v>
      </c>
    </row>
    <row r="3047" spans="1:23" s="75" customFormat="1" hidden="1" x14ac:dyDescent="0.35">
      <c r="A3047" s="75">
        <v>3043</v>
      </c>
      <c r="B3047" s="75">
        <v>3044</v>
      </c>
      <c r="C3047">
        <v>146.0014328</v>
      </c>
      <c r="D3047">
        <v>-17.501276950000001</v>
      </c>
      <c r="F3047" s="75" t="str">
        <f>HYPERLINK("E:\Data From Lucan\2024\Johnstone\Frames_for_Analysis\3044_20240610_0004_L_0092.jpg","3044_20240610_0004_L_0092.jpg")</f>
        <v>3044_20240610_0004_L_0092.jpg</v>
      </c>
      <c r="G3047" s="75">
        <v>10</v>
      </c>
      <c r="I3047">
        <f t="shared" si="47"/>
        <v>0</v>
      </c>
      <c r="J3047" s="75">
        <v>0</v>
      </c>
      <c r="K3047" s="77"/>
      <c r="L3047" s="77"/>
      <c r="M3047" s="77"/>
      <c r="N3047" s="77"/>
      <c r="O3047" s="75">
        <v>1</v>
      </c>
      <c r="P3047" s="75">
        <v>0</v>
      </c>
      <c r="Q3047" s="75">
        <v>0</v>
      </c>
      <c r="R3047" s="75">
        <v>0</v>
      </c>
      <c r="S3047" s="75">
        <v>0</v>
      </c>
      <c r="T3047" s="75">
        <v>0</v>
      </c>
      <c r="U3047" s="75">
        <v>0</v>
      </c>
      <c r="V3047" s="75">
        <v>0</v>
      </c>
      <c r="W3047" s="78">
        <v>0</v>
      </c>
    </row>
    <row r="3048" spans="1:23" s="75" customFormat="1" hidden="1" x14ac:dyDescent="0.35">
      <c r="A3048" s="75">
        <v>3044</v>
      </c>
      <c r="B3048" s="75">
        <v>3045</v>
      </c>
      <c r="C3048">
        <v>146.00142969999999</v>
      </c>
      <c r="D3048">
        <v>-17.501182700000001</v>
      </c>
      <c r="F3048" s="75" t="str">
        <f>HYPERLINK("E:\Data From Lucan\2024\Johnstone\Frames_for_Analysis\3045_20240610_0004_L_0096.jpg","3045_20240610_0004_L_0096.jpg")</f>
        <v>3045_20240610_0004_L_0096.jpg</v>
      </c>
      <c r="G3048" s="75">
        <v>10</v>
      </c>
      <c r="I3048">
        <f t="shared" si="47"/>
        <v>0</v>
      </c>
      <c r="J3048" s="75">
        <v>0</v>
      </c>
      <c r="K3048" s="77"/>
      <c r="L3048" s="77"/>
      <c r="M3048" s="77"/>
      <c r="N3048" s="77"/>
      <c r="O3048" s="75">
        <v>1</v>
      </c>
      <c r="P3048" s="75">
        <v>0</v>
      </c>
      <c r="Q3048" s="75">
        <v>0</v>
      </c>
      <c r="R3048" s="75">
        <v>0</v>
      </c>
      <c r="S3048" s="75">
        <v>0</v>
      </c>
      <c r="T3048" s="75">
        <v>0</v>
      </c>
      <c r="U3048" s="75">
        <v>0</v>
      </c>
      <c r="V3048" s="75">
        <v>0</v>
      </c>
      <c r="W3048" s="78">
        <v>0</v>
      </c>
    </row>
    <row r="3049" spans="1:23" s="75" customFormat="1" hidden="1" x14ac:dyDescent="0.35">
      <c r="A3049" s="75">
        <v>3045</v>
      </c>
      <c r="B3049" s="75">
        <v>3046</v>
      </c>
      <c r="C3049">
        <v>146.0014266</v>
      </c>
      <c r="D3049">
        <v>-17.501088450000001</v>
      </c>
      <c r="F3049" s="75" t="str">
        <f>HYPERLINK("E:\Data From Lucan\2024\Johnstone\Frames_for_Analysis\3046_20240610_0004_L_0098.jpg","3046_20240610_0004_L_0098.jpg")</f>
        <v>3046_20240610_0004_L_0098.jpg</v>
      </c>
      <c r="G3049" s="75">
        <v>9</v>
      </c>
      <c r="I3049">
        <f t="shared" si="47"/>
        <v>0</v>
      </c>
      <c r="J3049" s="75">
        <v>0</v>
      </c>
      <c r="K3049" s="77"/>
      <c r="L3049" s="77"/>
      <c r="M3049" s="77"/>
      <c r="N3049" s="77"/>
      <c r="O3049" s="75">
        <v>1</v>
      </c>
      <c r="P3049" s="75">
        <v>0</v>
      </c>
      <c r="Q3049" s="75">
        <v>0</v>
      </c>
      <c r="R3049" s="75">
        <v>0</v>
      </c>
      <c r="S3049" s="75">
        <v>0</v>
      </c>
      <c r="T3049" s="75">
        <v>0</v>
      </c>
      <c r="U3049" s="75">
        <v>0</v>
      </c>
      <c r="V3049" s="75">
        <v>0</v>
      </c>
      <c r="W3049" s="78">
        <v>0</v>
      </c>
    </row>
    <row r="3050" spans="1:23" s="75" customFormat="1" hidden="1" x14ac:dyDescent="0.35">
      <c r="A3050" s="75">
        <v>3046</v>
      </c>
      <c r="B3050" s="75">
        <v>3047</v>
      </c>
      <c r="C3050">
        <v>146.00142779999999</v>
      </c>
      <c r="D3050">
        <v>-17.500994200000001</v>
      </c>
      <c r="F3050" s="75" t="str">
        <f>HYPERLINK("E:\Data From Lucan\2024\Johnstone\Frames_for_Analysis\3047_20240610_0004_L_0101.jpg","3047_20240610_0004_L_0101.jpg")</f>
        <v>3047_20240610_0004_L_0101.jpg</v>
      </c>
      <c r="G3050" s="75">
        <v>9</v>
      </c>
      <c r="I3050">
        <f t="shared" si="47"/>
        <v>0</v>
      </c>
      <c r="J3050" s="75">
        <v>0</v>
      </c>
      <c r="K3050" s="77"/>
      <c r="L3050" s="77"/>
      <c r="M3050" s="77"/>
      <c r="N3050" s="77"/>
      <c r="O3050" s="75">
        <v>1</v>
      </c>
      <c r="P3050" s="75">
        <v>0</v>
      </c>
      <c r="Q3050" s="75">
        <v>0</v>
      </c>
      <c r="R3050" s="75">
        <v>0</v>
      </c>
      <c r="S3050" s="75">
        <v>0</v>
      </c>
      <c r="T3050" s="75">
        <v>0</v>
      </c>
      <c r="U3050" s="75">
        <v>0</v>
      </c>
      <c r="V3050" s="75">
        <v>0</v>
      </c>
      <c r="W3050" s="78">
        <v>0</v>
      </c>
    </row>
    <row r="3051" spans="1:23" s="75" customFormat="1" hidden="1" x14ac:dyDescent="0.35">
      <c r="A3051" s="75">
        <v>3047</v>
      </c>
      <c r="B3051" s="75">
        <v>3048</v>
      </c>
      <c r="C3051">
        <v>146.001431</v>
      </c>
      <c r="D3051">
        <v>-17.500899950000001</v>
      </c>
      <c r="F3051" s="75" t="str">
        <f>HYPERLINK("E:\Data From Lucan\2024\Johnstone\Frames_for_Analysis\3048_20240610_0004_L_0105.jpg","3048_20240610_0004_L_0105.jpg")</f>
        <v>3048_20240610_0004_L_0105.jpg</v>
      </c>
      <c r="G3051" s="75">
        <v>9</v>
      </c>
      <c r="I3051">
        <f t="shared" si="47"/>
        <v>0</v>
      </c>
      <c r="J3051" s="75">
        <v>0</v>
      </c>
      <c r="K3051" s="77"/>
      <c r="L3051" s="77"/>
      <c r="M3051" s="77"/>
      <c r="N3051" s="77"/>
      <c r="O3051" s="75">
        <v>1</v>
      </c>
      <c r="P3051" s="75">
        <v>0</v>
      </c>
      <c r="Q3051" s="75">
        <v>0</v>
      </c>
      <c r="R3051" s="75">
        <v>0</v>
      </c>
      <c r="S3051" s="75">
        <v>0</v>
      </c>
      <c r="T3051" s="75">
        <v>0</v>
      </c>
      <c r="U3051" s="75">
        <v>0</v>
      </c>
      <c r="V3051" s="75">
        <v>0</v>
      </c>
      <c r="W3051" s="78">
        <v>0</v>
      </c>
    </row>
    <row r="3052" spans="1:23" s="75" customFormat="1" hidden="1" x14ac:dyDescent="0.35">
      <c r="A3052" s="75">
        <v>3048</v>
      </c>
      <c r="B3052" s="75">
        <v>3049</v>
      </c>
      <c r="C3052">
        <v>146.00143420000001</v>
      </c>
      <c r="D3052">
        <v>-17.500805700000001</v>
      </c>
      <c r="F3052" s="75" t="str">
        <f>HYPERLINK("E:\Data From Lucan\2024\Johnstone\Frames_for_Analysis\3049_20240610_0004_L_0108.jpg","3049_20240610_0004_L_0108.jpg")</f>
        <v>3049_20240610_0004_L_0108.jpg</v>
      </c>
      <c r="G3052" s="75">
        <v>9</v>
      </c>
      <c r="I3052">
        <f t="shared" si="47"/>
        <v>0</v>
      </c>
      <c r="J3052" s="75">
        <v>0</v>
      </c>
      <c r="K3052" s="77"/>
      <c r="L3052" s="77"/>
      <c r="M3052" s="77"/>
      <c r="N3052" s="77"/>
      <c r="O3052" s="75">
        <v>1</v>
      </c>
      <c r="P3052" s="75">
        <v>0</v>
      </c>
      <c r="Q3052" s="75">
        <v>0</v>
      </c>
      <c r="R3052" s="75">
        <v>0</v>
      </c>
      <c r="S3052" s="75">
        <v>0</v>
      </c>
      <c r="T3052" s="75">
        <v>0</v>
      </c>
      <c r="U3052" s="75">
        <v>0</v>
      </c>
      <c r="V3052" s="75">
        <v>0</v>
      </c>
      <c r="W3052" s="78">
        <v>0</v>
      </c>
    </row>
    <row r="3053" spans="1:23" s="75" customFormat="1" hidden="1" x14ac:dyDescent="0.35">
      <c r="A3053" s="75">
        <v>3049</v>
      </c>
      <c r="B3053" s="75">
        <v>3050</v>
      </c>
      <c r="C3053">
        <v>146.00143739999999</v>
      </c>
      <c r="D3053">
        <v>-17.500711450000001</v>
      </c>
      <c r="F3053" s="75" t="str">
        <f>HYPERLINK("E:\Data From Lucan\2024\Johnstone\Frames_for_Analysis\3050_20240610_0004_L_0112.jpg","3050_20240610_0004_L_0112.jpg")</f>
        <v>3050_20240610_0004_L_0112.jpg</v>
      </c>
      <c r="G3053" s="75">
        <v>9</v>
      </c>
      <c r="I3053">
        <f t="shared" si="47"/>
        <v>0</v>
      </c>
      <c r="J3053" s="75">
        <v>0</v>
      </c>
      <c r="K3053" s="77"/>
      <c r="L3053" s="77"/>
      <c r="M3053" s="77"/>
      <c r="N3053" s="77"/>
      <c r="O3053" s="75">
        <v>1</v>
      </c>
      <c r="P3053" s="75">
        <v>0</v>
      </c>
      <c r="Q3053" s="75">
        <v>0</v>
      </c>
      <c r="R3053" s="75">
        <v>0</v>
      </c>
      <c r="S3053" s="75">
        <v>0</v>
      </c>
      <c r="T3053" s="75">
        <v>0</v>
      </c>
      <c r="U3053" s="75">
        <v>0</v>
      </c>
      <c r="V3053" s="75">
        <v>0</v>
      </c>
      <c r="W3053" s="78">
        <v>0</v>
      </c>
    </row>
    <row r="3054" spans="1:23" s="75" customFormat="1" hidden="1" x14ac:dyDescent="0.35">
      <c r="A3054" s="75">
        <v>3050</v>
      </c>
      <c r="B3054" s="75">
        <v>3051</v>
      </c>
      <c r="C3054">
        <v>146.00144069999999</v>
      </c>
      <c r="D3054">
        <v>-17.500617210000001</v>
      </c>
      <c r="F3054" s="75" t="str">
        <f>HYPERLINK("E:\Data From Lucan\2024\Johnstone\Frames_for_Analysis\3051_20240610_0004_L_0115.jpg","3051_20240610_0004_L_0115.jpg")</f>
        <v>3051_20240610_0004_L_0115.jpg</v>
      </c>
      <c r="G3054" s="75">
        <v>9</v>
      </c>
      <c r="I3054">
        <f t="shared" si="47"/>
        <v>0</v>
      </c>
      <c r="J3054" s="75">
        <v>0</v>
      </c>
      <c r="K3054" s="77"/>
      <c r="L3054" s="77"/>
      <c r="M3054" s="77"/>
      <c r="N3054" s="77"/>
      <c r="O3054" s="75">
        <v>1</v>
      </c>
      <c r="P3054" s="75">
        <v>0</v>
      </c>
      <c r="Q3054" s="75">
        <v>0</v>
      </c>
      <c r="R3054" s="75">
        <v>0</v>
      </c>
      <c r="S3054" s="75">
        <v>0</v>
      </c>
      <c r="T3054" s="75">
        <v>0</v>
      </c>
      <c r="U3054" s="75">
        <v>0</v>
      </c>
      <c r="V3054" s="75">
        <v>0</v>
      </c>
      <c r="W3054" s="78">
        <v>0</v>
      </c>
    </row>
    <row r="3055" spans="1:23" s="75" customFormat="1" hidden="1" x14ac:dyDescent="0.35">
      <c r="A3055" s="75">
        <v>3051</v>
      </c>
      <c r="B3055" s="75">
        <v>3052</v>
      </c>
      <c r="C3055">
        <v>146.0014439</v>
      </c>
      <c r="D3055">
        <v>-17.500522960000001</v>
      </c>
      <c r="F3055" s="75" t="str">
        <f>HYPERLINK("E:\Data From Lucan\2024\Johnstone\Frames_for_Analysis\3052_20240610_0004_L_0118.jpg","3052_20240610_0004_L_0118.jpg")</f>
        <v>3052_20240610_0004_L_0118.jpg</v>
      </c>
      <c r="G3055" s="75">
        <v>9</v>
      </c>
      <c r="I3055">
        <f t="shared" si="47"/>
        <v>0</v>
      </c>
      <c r="J3055" s="75">
        <v>0</v>
      </c>
      <c r="K3055" s="77"/>
      <c r="L3055" s="77"/>
      <c r="M3055" s="77"/>
      <c r="N3055" s="77"/>
      <c r="O3055" s="75">
        <v>1</v>
      </c>
      <c r="P3055" s="75">
        <v>0</v>
      </c>
      <c r="Q3055" s="75">
        <v>0</v>
      </c>
      <c r="R3055" s="75">
        <v>0</v>
      </c>
      <c r="S3055" s="75">
        <v>0</v>
      </c>
      <c r="T3055" s="75">
        <v>0</v>
      </c>
      <c r="U3055" s="75">
        <v>0</v>
      </c>
      <c r="V3055" s="75">
        <v>0</v>
      </c>
      <c r="W3055" s="78">
        <v>0</v>
      </c>
    </row>
    <row r="3056" spans="1:23" s="75" customFormat="1" hidden="1" x14ac:dyDescent="0.35">
      <c r="A3056" s="75">
        <v>3052</v>
      </c>
      <c r="B3056" s="75">
        <v>3053</v>
      </c>
      <c r="C3056">
        <v>146.00144710000001</v>
      </c>
      <c r="D3056">
        <v>-17.500428710000001</v>
      </c>
      <c r="F3056" s="75" t="str">
        <f>HYPERLINK("E:\Data From Lucan\2024\Johnstone\Frames_for_Analysis\3053_20240610_0004_L_0121.jpg","3053_20240610_0004_L_0121.jpg")</f>
        <v>3053_20240610_0004_L_0121.jpg</v>
      </c>
      <c r="G3056" s="75">
        <v>9</v>
      </c>
      <c r="I3056">
        <f t="shared" si="47"/>
        <v>0</v>
      </c>
      <c r="J3056" s="75">
        <v>0</v>
      </c>
      <c r="K3056" s="77"/>
      <c r="L3056" s="77"/>
      <c r="M3056" s="77"/>
      <c r="N3056" s="77"/>
      <c r="O3056" s="75">
        <v>1</v>
      </c>
      <c r="P3056" s="75">
        <v>0</v>
      </c>
      <c r="Q3056" s="75">
        <v>0</v>
      </c>
      <c r="R3056" s="75">
        <v>0</v>
      </c>
      <c r="S3056" s="75">
        <v>0</v>
      </c>
      <c r="T3056" s="75">
        <v>0</v>
      </c>
      <c r="U3056" s="75">
        <v>0</v>
      </c>
      <c r="V3056" s="75">
        <v>0</v>
      </c>
      <c r="W3056" s="78">
        <v>0</v>
      </c>
    </row>
    <row r="3057" spans="1:23" s="75" customFormat="1" hidden="1" x14ac:dyDescent="0.35">
      <c r="A3057" s="75">
        <v>3053</v>
      </c>
      <c r="B3057" s="75">
        <v>3054</v>
      </c>
      <c r="C3057">
        <v>146.00145029999999</v>
      </c>
      <c r="D3057">
        <v>-17.500334460000001</v>
      </c>
      <c r="F3057" s="75" t="str">
        <f>HYPERLINK("E:\Data From Lucan\2024\Johnstone\Frames_for_Analysis\3054_20240610_0004_L_0125.jpg","3054_20240610_0004_L_0125.jpg")</f>
        <v>3054_20240610_0004_L_0125.jpg</v>
      </c>
      <c r="G3057" s="75">
        <v>9</v>
      </c>
      <c r="I3057">
        <f t="shared" si="47"/>
        <v>0</v>
      </c>
      <c r="J3057" s="75">
        <v>0</v>
      </c>
      <c r="K3057" s="77"/>
      <c r="L3057" s="77"/>
      <c r="M3057" s="77"/>
      <c r="N3057" s="77"/>
      <c r="O3057" s="75">
        <v>1</v>
      </c>
      <c r="P3057" s="75">
        <v>0</v>
      </c>
      <c r="Q3057" s="75">
        <v>0</v>
      </c>
      <c r="R3057" s="75">
        <v>0</v>
      </c>
      <c r="S3057" s="75">
        <v>0</v>
      </c>
      <c r="T3057" s="75">
        <v>0</v>
      </c>
      <c r="U3057" s="75">
        <v>0</v>
      </c>
      <c r="V3057" s="75">
        <v>0</v>
      </c>
      <c r="W3057" s="78">
        <v>0</v>
      </c>
    </row>
    <row r="3058" spans="1:23" s="75" customFormat="1" hidden="1" x14ac:dyDescent="0.35">
      <c r="A3058" s="75">
        <v>3054</v>
      </c>
      <c r="B3058" s="75">
        <v>3055</v>
      </c>
      <c r="C3058">
        <v>146.00145359999999</v>
      </c>
      <c r="D3058">
        <v>-17.500240210000001</v>
      </c>
      <c r="F3058" s="75" t="str">
        <f>HYPERLINK("E:\Data From Lucan\2024\Johnstone\Frames_for_Analysis\3055_20240610_0004_L_0128.jpg","3055_20240610_0004_L_0128.jpg")</f>
        <v>3055_20240610_0004_L_0128.jpg</v>
      </c>
      <c r="G3058" s="75">
        <v>9</v>
      </c>
      <c r="I3058">
        <f t="shared" si="47"/>
        <v>0</v>
      </c>
      <c r="J3058" s="75">
        <v>0</v>
      </c>
      <c r="K3058" s="77"/>
      <c r="L3058" s="77"/>
      <c r="M3058" s="77"/>
      <c r="N3058" s="77"/>
      <c r="O3058" s="75">
        <v>2</v>
      </c>
      <c r="P3058" s="75">
        <v>0</v>
      </c>
      <c r="Q3058" s="75">
        <v>0</v>
      </c>
      <c r="R3058" s="75">
        <v>0</v>
      </c>
      <c r="S3058" s="75">
        <v>0</v>
      </c>
      <c r="T3058" s="75">
        <v>0</v>
      </c>
      <c r="U3058" s="75">
        <v>0</v>
      </c>
      <c r="V3058" s="75">
        <v>0</v>
      </c>
      <c r="W3058" s="78">
        <v>1</v>
      </c>
    </row>
    <row r="3059" spans="1:23" s="75" customFormat="1" hidden="1" x14ac:dyDescent="0.35">
      <c r="A3059" s="75">
        <v>3055</v>
      </c>
      <c r="B3059" s="75">
        <v>3056</v>
      </c>
      <c r="C3059">
        <v>146.0014568</v>
      </c>
      <c r="D3059">
        <v>-17.500145960000001</v>
      </c>
      <c r="F3059" s="75" t="str">
        <f>HYPERLINK("E:\Data From Lucan\2024\Johnstone\Frames_for_Analysis\3056_20240610_0004_L_0131.jpg","3056_20240610_0004_L_0131.jpg")</f>
        <v>3056_20240610_0004_L_0131.jpg</v>
      </c>
      <c r="G3059" s="75">
        <v>9</v>
      </c>
      <c r="I3059">
        <f t="shared" si="47"/>
        <v>0</v>
      </c>
      <c r="J3059" s="75">
        <v>0</v>
      </c>
      <c r="K3059" s="77"/>
      <c r="L3059" s="77"/>
      <c r="M3059" s="77"/>
      <c r="N3059" s="77"/>
      <c r="O3059" s="75">
        <v>2</v>
      </c>
      <c r="P3059" s="75">
        <v>0</v>
      </c>
      <c r="Q3059" s="75">
        <v>0</v>
      </c>
      <c r="R3059" s="75">
        <v>0</v>
      </c>
      <c r="S3059" s="75">
        <v>0</v>
      </c>
      <c r="T3059" s="75">
        <v>0</v>
      </c>
      <c r="U3059" s="75">
        <v>0</v>
      </c>
      <c r="V3059" s="75">
        <v>0</v>
      </c>
      <c r="W3059" s="78">
        <v>1</v>
      </c>
    </row>
    <row r="3060" spans="1:23" s="75" customFormat="1" hidden="1" x14ac:dyDescent="0.35">
      <c r="A3060" s="75">
        <v>3056</v>
      </c>
      <c r="B3060" s="75">
        <v>3057</v>
      </c>
      <c r="C3060">
        <v>146.00146000000001</v>
      </c>
      <c r="D3060">
        <v>-17.500051719999998</v>
      </c>
      <c r="F3060" s="75" t="str">
        <f>HYPERLINK("E:\Data From Lucan\2024\Johnstone\Frames_for_Analysis\3057_20240610_0004_L_0135.jpg","3057_20240610_0004_L_0135.jpg")</f>
        <v>3057_20240610_0004_L_0135.jpg</v>
      </c>
      <c r="G3060" s="75">
        <v>9</v>
      </c>
      <c r="I3060">
        <f t="shared" si="47"/>
        <v>0</v>
      </c>
      <c r="J3060" s="75">
        <v>0</v>
      </c>
      <c r="K3060" s="77"/>
      <c r="L3060" s="77"/>
      <c r="M3060" s="77"/>
      <c r="N3060" s="77"/>
      <c r="O3060" s="75">
        <v>1</v>
      </c>
      <c r="P3060" s="75">
        <v>0</v>
      </c>
      <c r="Q3060" s="75">
        <v>0</v>
      </c>
      <c r="R3060" s="75">
        <v>0</v>
      </c>
      <c r="S3060" s="75">
        <v>0</v>
      </c>
      <c r="T3060" s="75">
        <v>0</v>
      </c>
      <c r="U3060" s="75">
        <v>0</v>
      </c>
      <c r="V3060" s="75">
        <v>0</v>
      </c>
      <c r="W3060" s="78">
        <v>0</v>
      </c>
    </row>
    <row r="3061" spans="1:23" s="75" customFormat="1" hidden="1" x14ac:dyDescent="0.35">
      <c r="A3061" s="75">
        <v>3057</v>
      </c>
      <c r="B3061" s="75">
        <v>3058</v>
      </c>
      <c r="C3061">
        <v>146.00146319999999</v>
      </c>
      <c r="D3061">
        <v>-17.499957469999998</v>
      </c>
      <c r="F3061" s="75" t="str">
        <f>HYPERLINK("E:\Data From Lucan\2024\Johnstone\Frames_for_Analysis\3058_20240610_0004_L_0137.jpg","3058_20240610_0004_L_0137.jpg")</f>
        <v>3058_20240610_0004_L_0137.jpg</v>
      </c>
      <c r="G3061" s="75">
        <v>9</v>
      </c>
      <c r="I3061">
        <f t="shared" si="47"/>
        <v>0</v>
      </c>
      <c r="J3061" s="75">
        <v>0</v>
      </c>
      <c r="K3061" s="77"/>
      <c r="L3061" s="77"/>
      <c r="M3061" s="77"/>
      <c r="N3061" s="77"/>
      <c r="O3061" s="75">
        <v>1</v>
      </c>
      <c r="P3061" s="75">
        <v>0</v>
      </c>
      <c r="Q3061" s="75">
        <v>0</v>
      </c>
      <c r="R3061" s="75">
        <v>0</v>
      </c>
      <c r="S3061" s="75">
        <v>0</v>
      </c>
      <c r="T3061" s="75">
        <v>0</v>
      </c>
      <c r="U3061" s="75">
        <v>0</v>
      </c>
      <c r="V3061" s="75">
        <v>0</v>
      </c>
      <c r="W3061" s="78">
        <v>0</v>
      </c>
    </row>
    <row r="3062" spans="1:23" s="75" customFormat="1" hidden="1" x14ac:dyDescent="0.35">
      <c r="A3062" s="75">
        <v>3058</v>
      </c>
      <c r="B3062" s="75">
        <v>3059</v>
      </c>
      <c r="C3062">
        <v>146.00146649999999</v>
      </c>
      <c r="D3062">
        <v>-17.499863220000002</v>
      </c>
      <c r="F3062" s="75" t="str">
        <f>HYPERLINK("E:\Data From Lucan\2024\Johnstone\Frames_for_Analysis\3059_20240610_0004_L_0140.jpg","3059_20240610_0004_L_0140.jpg")</f>
        <v>3059_20240610_0004_L_0140.jpg</v>
      </c>
      <c r="G3062" s="75">
        <v>9</v>
      </c>
      <c r="I3062">
        <f t="shared" si="47"/>
        <v>0</v>
      </c>
      <c r="J3062" s="75">
        <v>0</v>
      </c>
      <c r="K3062" s="77"/>
      <c r="L3062" s="77"/>
      <c r="M3062" s="77"/>
      <c r="N3062" s="77"/>
      <c r="O3062" s="75">
        <v>1</v>
      </c>
      <c r="P3062" s="75">
        <v>0</v>
      </c>
      <c r="Q3062" s="75">
        <v>0</v>
      </c>
      <c r="R3062" s="75">
        <v>0</v>
      </c>
      <c r="S3062" s="75">
        <v>0</v>
      </c>
      <c r="T3062" s="75">
        <v>0</v>
      </c>
      <c r="U3062" s="75">
        <v>0</v>
      </c>
      <c r="V3062" s="75">
        <v>0</v>
      </c>
      <c r="W3062" s="78">
        <v>0</v>
      </c>
    </row>
    <row r="3063" spans="1:23" s="75" customFormat="1" hidden="1" x14ac:dyDescent="0.35">
      <c r="A3063" s="75">
        <v>3059</v>
      </c>
      <c r="B3063" s="75">
        <v>3060</v>
      </c>
      <c r="C3063">
        <v>146.0014697</v>
      </c>
      <c r="D3063">
        <v>-17.499768970000002</v>
      </c>
      <c r="F3063" s="75" t="str">
        <f>HYPERLINK("E:\Data From Lucan\2024\Johnstone\Frames_for_Analysis\3060_20240610_0004_L_0143.jpg","3060_20240610_0004_L_0143.jpg")</f>
        <v>3060_20240610_0004_L_0143.jpg</v>
      </c>
      <c r="G3063" s="75">
        <v>9</v>
      </c>
      <c r="I3063">
        <f t="shared" si="47"/>
        <v>0</v>
      </c>
      <c r="J3063" s="75">
        <v>0</v>
      </c>
      <c r="K3063" s="77"/>
      <c r="L3063" s="77"/>
      <c r="M3063" s="77"/>
      <c r="N3063" s="77"/>
      <c r="O3063" s="75">
        <v>1</v>
      </c>
      <c r="P3063" s="75">
        <v>0</v>
      </c>
      <c r="Q3063" s="75">
        <v>0</v>
      </c>
      <c r="R3063" s="75">
        <v>0</v>
      </c>
      <c r="S3063" s="75">
        <v>0</v>
      </c>
      <c r="T3063" s="75">
        <v>0</v>
      </c>
      <c r="U3063" s="75">
        <v>0</v>
      </c>
      <c r="V3063" s="75">
        <v>0</v>
      </c>
      <c r="W3063" s="78">
        <v>0</v>
      </c>
    </row>
    <row r="3064" spans="1:23" s="75" customFormat="1" hidden="1" x14ac:dyDescent="0.35">
      <c r="A3064" s="75">
        <v>3060</v>
      </c>
      <c r="B3064" s="75">
        <v>3061</v>
      </c>
      <c r="C3064">
        <v>146.00147290000001</v>
      </c>
      <c r="D3064">
        <v>-17.499674720000002</v>
      </c>
      <c r="F3064" s="75" t="str">
        <f>HYPERLINK("E:\Data From Lucan\2024\Johnstone\Frames_for_Analysis\3061_20240610_0004_L_0147.jpg","3061_20240610_0004_L_0147.jpg")</f>
        <v>3061_20240610_0004_L_0147.jpg</v>
      </c>
      <c r="G3064" s="75">
        <v>9</v>
      </c>
      <c r="I3064">
        <f t="shared" si="47"/>
        <v>0</v>
      </c>
      <c r="J3064" s="75">
        <v>0</v>
      </c>
      <c r="K3064" s="77"/>
      <c r="L3064" s="77"/>
      <c r="M3064" s="77"/>
      <c r="N3064" s="77"/>
      <c r="O3064" s="75">
        <v>1</v>
      </c>
      <c r="P3064" s="75">
        <v>0</v>
      </c>
      <c r="Q3064" s="75">
        <v>0</v>
      </c>
      <c r="R3064" s="75">
        <v>0</v>
      </c>
      <c r="S3064" s="75">
        <v>0</v>
      </c>
      <c r="T3064" s="75">
        <v>0</v>
      </c>
      <c r="U3064" s="75">
        <v>0</v>
      </c>
      <c r="V3064" s="75">
        <v>0</v>
      </c>
      <c r="W3064" s="78">
        <v>0</v>
      </c>
    </row>
    <row r="3065" spans="1:23" s="75" customFormat="1" hidden="1" x14ac:dyDescent="0.35">
      <c r="A3065" s="75">
        <v>3061</v>
      </c>
      <c r="B3065" s="75">
        <v>3062</v>
      </c>
      <c r="C3065">
        <v>146.00147609999999</v>
      </c>
      <c r="D3065">
        <v>-17.499580470000001</v>
      </c>
      <c r="F3065" s="75" t="str">
        <f>HYPERLINK("E:\Data From Lucan\2024\Johnstone\Frames_for_Analysis\3062_20240610_0004_L_0149.jpg","3062_20240610_0004_L_0149.jpg")</f>
        <v>3062_20240610_0004_L_0149.jpg</v>
      </c>
      <c r="G3065" s="75">
        <v>9</v>
      </c>
      <c r="I3065">
        <f t="shared" si="47"/>
        <v>0</v>
      </c>
      <c r="J3065" s="75">
        <v>0</v>
      </c>
      <c r="K3065" s="77"/>
      <c r="L3065" s="77"/>
      <c r="M3065" s="77"/>
      <c r="N3065" s="77"/>
      <c r="O3065" s="75">
        <v>1</v>
      </c>
      <c r="P3065" s="75">
        <v>0</v>
      </c>
      <c r="Q3065" s="75">
        <v>0</v>
      </c>
      <c r="R3065" s="75">
        <v>0</v>
      </c>
      <c r="S3065" s="75">
        <v>0</v>
      </c>
      <c r="T3065" s="75">
        <v>0</v>
      </c>
      <c r="U3065" s="75">
        <v>0</v>
      </c>
      <c r="V3065" s="75">
        <v>0</v>
      </c>
      <c r="W3065" s="78">
        <v>0</v>
      </c>
    </row>
    <row r="3066" spans="1:23" s="75" customFormat="1" hidden="1" x14ac:dyDescent="0.35">
      <c r="A3066" s="75">
        <v>3062</v>
      </c>
      <c r="B3066" s="75">
        <v>3063</v>
      </c>
      <c r="C3066">
        <v>146.00147799999999</v>
      </c>
      <c r="D3066">
        <v>-17.499486220000001</v>
      </c>
      <c r="F3066" s="75" t="str">
        <f>HYPERLINK("E:\Data From Lucan\2024\Johnstone\Frames_for_Analysis\3063_20240610_0004_L_0152.jpg","3063_20240610_0004_L_0152.jpg")</f>
        <v>3063_20240610_0004_L_0152.jpg</v>
      </c>
      <c r="G3066" s="75">
        <v>9</v>
      </c>
      <c r="I3066">
        <f t="shared" si="47"/>
        <v>0</v>
      </c>
      <c r="J3066" s="75">
        <v>0</v>
      </c>
      <c r="K3066" s="77"/>
      <c r="L3066" s="77"/>
      <c r="M3066" s="77"/>
      <c r="N3066" s="77"/>
      <c r="O3066" s="75">
        <v>1</v>
      </c>
      <c r="P3066" s="75">
        <v>0</v>
      </c>
      <c r="Q3066" s="75">
        <v>0</v>
      </c>
      <c r="R3066" s="75">
        <v>0</v>
      </c>
      <c r="S3066" s="75">
        <v>0</v>
      </c>
      <c r="T3066" s="75">
        <v>0</v>
      </c>
      <c r="U3066" s="75">
        <v>0</v>
      </c>
      <c r="V3066" s="75">
        <v>1</v>
      </c>
      <c r="W3066" s="78">
        <v>0</v>
      </c>
    </row>
    <row r="3067" spans="1:23" s="75" customFormat="1" hidden="1" x14ac:dyDescent="0.35">
      <c r="A3067" s="75">
        <v>3063</v>
      </c>
      <c r="B3067" s="75">
        <v>3064</v>
      </c>
      <c r="C3067">
        <v>146.00147559999999</v>
      </c>
      <c r="D3067">
        <v>-17.49939195</v>
      </c>
      <c r="F3067" s="75" t="str">
        <f>HYPERLINK("E:\Data From Lucan\2024\Johnstone\Frames_for_Analysis\3064_20240610_0004_L_0154.jpg","3064_20240610_0004_L_0154.jpg")</f>
        <v>3064_20240610_0004_L_0154.jpg</v>
      </c>
      <c r="G3067" s="75">
        <v>9</v>
      </c>
      <c r="I3067">
        <f t="shared" si="47"/>
        <v>0</v>
      </c>
      <c r="J3067" s="75">
        <v>0</v>
      </c>
      <c r="K3067" s="77"/>
      <c r="L3067" s="77"/>
      <c r="M3067" s="77"/>
      <c r="N3067" s="77"/>
      <c r="O3067" s="75">
        <v>1</v>
      </c>
      <c r="P3067" s="75">
        <v>0</v>
      </c>
      <c r="Q3067" s="75">
        <v>0</v>
      </c>
      <c r="R3067" s="75">
        <v>0</v>
      </c>
      <c r="S3067" s="75">
        <v>0</v>
      </c>
      <c r="T3067" s="75">
        <v>0</v>
      </c>
      <c r="U3067" s="75">
        <v>0</v>
      </c>
      <c r="V3067" s="75">
        <v>1</v>
      </c>
      <c r="W3067" s="78">
        <v>0</v>
      </c>
    </row>
    <row r="3068" spans="1:23" s="75" customFormat="1" hidden="1" x14ac:dyDescent="0.35">
      <c r="A3068" s="75">
        <v>3064</v>
      </c>
      <c r="B3068" s="75">
        <v>3065</v>
      </c>
      <c r="C3068">
        <v>146.00147329999999</v>
      </c>
      <c r="D3068">
        <v>-17.499297670000001</v>
      </c>
      <c r="F3068" s="75" t="str">
        <f>HYPERLINK("E:\Data From Lucan\2024\Johnstone\Frames_for_Analysis\3065_20240610_0004_L_0157.jpg","3065_20240610_0004_L_0157.jpg")</f>
        <v>3065_20240610_0004_L_0157.jpg</v>
      </c>
      <c r="G3068" s="75">
        <v>9</v>
      </c>
      <c r="I3068">
        <f t="shared" si="47"/>
        <v>0</v>
      </c>
      <c r="J3068" s="75">
        <v>0</v>
      </c>
      <c r="K3068" s="77"/>
      <c r="L3068" s="77"/>
      <c r="M3068" s="77"/>
      <c r="N3068" s="77"/>
      <c r="O3068" s="75">
        <v>1</v>
      </c>
      <c r="P3068" s="75">
        <v>0</v>
      </c>
      <c r="Q3068" s="75">
        <v>0</v>
      </c>
      <c r="R3068" s="75">
        <v>0</v>
      </c>
      <c r="S3068" s="75">
        <v>0</v>
      </c>
      <c r="T3068" s="75">
        <v>0</v>
      </c>
      <c r="U3068" s="75">
        <v>0</v>
      </c>
      <c r="V3068" s="75">
        <v>0</v>
      </c>
      <c r="W3068" s="78">
        <v>0</v>
      </c>
    </row>
    <row r="3069" spans="1:23" s="75" customFormat="1" hidden="1" x14ac:dyDescent="0.35">
      <c r="A3069" s="75">
        <v>3065</v>
      </c>
      <c r="B3069" s="75">
        <v>3066</v>
      </c>
      <c r="C3069">
        <v>146.00147089999999</v>
      </c>
      <c r="D3069">
        <v>-17.499203399999999</v>
      </c>
      <c r="F3069" s="75" t="str">
        <f>HYPERLINK("E:\Data From Lucan\2024\Johnstone\Frames_for_Analysis\3066_20240610_0004_L_0160.jpg","3066_20240610_0004_L_0160.jpg")</f>
        <v>3066_20240610_0004_L_0160.jpg</v>
      </c>
      <c r="G3069" s="75">
        <v>9</v>
      </c>
      <c r="I3069">
        <f t="shared" si="47"/>
        <v>0</v>
      </c>
      <c r="J3069" s="75">
        <v>0</v>
      </c>
      <c r="K3069" s="77"/>
      <c r="L3069" s="77"/>
      <c r="M3069" s="77"/>
      <c r="N3069" s="77"/>
      <c r="O3069" s="75">
        <v>2</v>
      </c>
      <c r="P3069" s="75">
        <v>0</v>
      </c>
      <c r="Q3069" s="75">
        <v>0</v>
      </c>
      <c r="R3069" s="75">
        <v>0</v>
      </c>
      <c r="S3069" s="75">
        <v>0</v>
      </c>
      <c r="T3069" s="75">
        <v>0</v>
      </c>
      <c r="U3069" s="75">
        <v>0</v>
      </c>
      <c r="V3069" s="75">
        <v>0</v>
      </c>
      <c r="W3069" s="78">
        <v>1</v>
      </c>
    </row>
    <row r="3070" spans="1:23" s="75" customFormat="1" hidden="1" x14ac:dyDescent="0.35">
      <c r="A3070" s="75">
        <v>3066</v>
      </c>
      <c r="B3070" s="75">
        <v>3067</v>
      </c>
      <c r="C3070">
        <v>146.00146849999999</v>
      </c>
      <c r="D3070">
        <v>-17.499109130000001</v>
      </c>
      <c r="F3070" s="75" t="str">
        <f>HYPERLINK("E:\Data From Lucan\2024\Johnstone\Frames_for_Analysis\3067_20240610_0004_L_0163.jpg","3067_20240610_0004_L_0163.jpg")</f>
        <v>3067_20240610_0004_L_0163.jpg</v>
      </c>
      <c r="G3070" s="75">
        <v>9</v>
      </c>
      <c r="I3070">
        <f t="shared" si="47"/>
        <v>0</v>
      </c>
      <c r="J3070" s="75">
        <v>0</v>
      </c>
      <c r="K3070" s="77"/>
      <c r="L3070" s="77"/>
      <c r="M3070" s="77"/>
      <c r="N3070" s="77"/>
      <c r="O3070" s="75">
        <v>1</v>
      </c>
      <c r="P3070" s="75">
        <v>0</v>
      </c>
      <c r="Q3070" s="75">
        <v>0</v>
      </c>
      <c r="R3070" s="75">
        <v>0</v>
      </c>
      <c r="S3070" s="75">
        <v>0</v>
      </c>
      <c r="T3070" s="75">
        <v>0</v>
      </c>
      <c r="U3070" s="75">
        <v>0</v>
      </c>
      <c r="V3070" s="75">
        <v>0</v>
      </c>
      <c r="W3070" s="78">
        <v>0</v>
      </c>
    </row>
    <row r="3071" spans="1:23" s="75" customFormat="1" hidden="1" x14ac:dyDescent="0.35">
      <c r="A3071" s="75">
        <v>3067</v>
      </c>
      <c r="B3071" s="75">
        <v>3068</v>
      </c>
      <c r="C3071">
        <v>146.00146609999999</v>
      </c>
      <c r="D3071">
        <v>-17.499014849999998</v>
      </c>
      <c r="F3071" s="75" t="str">
        <f>HYPERLINK("E:\Data From Lucan\2024\Johnstone\Frames_for_Analysis\3068_20240610_0004_L_0166.jpg","3068_20240610_0004_L_0166.jpg")</f>
        <v>3068_20240610_0004_L_0166.jpg</v>
      </c>
      <c r="G3071" s="75">
        <v>9</v>
      </c>
      <c r="I3071">
        <f t="shared" si="47"/>
        <v>0</v>
      </c>
      <c r="J3071" s="75">
        <v>0</v>
      </c>
      <c r="K3071" s="77"/>
      <c r="L3071" s="77"/>
      <c r="M3071" s="77"/>
      <c r="N3071" s="77"/>
      <c r="O3071" s="75">
        <v>1</v>
      </c>
      <c r="P3071" s="75">
        <v>0</v>
      </c>
      <c r="Q3071" s="75">
        <v>0</v>
      </c>
      <c r="R3071" s="75">
        <v>0</v>
      </c>
      <c r="S3071" s="75">
        <v>0</v>
      </c>
      <c r="T3071" s="75">
        <v>0</v>
      </c>
      <c r="U3071" s="75">
        <v>0</v>
      </c>
      <c r="V3071" s="75">
        <v>0</v>
      </c>
      <c r="W3071" s="78">
        <v>0</v>
      </c>
    </row>
    <row r="3072" spans="1:23" s="75" customFormat="1" hidden="1" x14ac:dyDescent="0.35">
      <c r="A3072" s="75">
        <v>3068</v>
      </c>
      <c r="B3072" s="75">
        <v>3069</v>
      </c>
      <c r="C3072">
        <v>146.00146380000001</v>
      </c>
      <c r="D3072">
        <v>-17.49892058</v>
      </c>
      <c r="F3072" s="75" t="str">
        <f>HYPERLINK("E:\Data From Lucan\2024\Johnstone\Frames_for_Analysis\3069_20240610_0004_L_0170.jpg","3069_20240610_0004_L_0170.jpg")</f>
        <v>3069_20240610_0004_L_0170.jpg</v>
      </c>
      <c r="G3072" s="75">
        <v>9</v>
      </c>
      <c r="I3072">
        <f t="shared" si="47"/>
        <v>0</v>
      </c>
      <c r="J3072" s="75">
        <v>0</v>
      </c>
      <c r="K3072" s="77"/>
      <c r="L3072" s="77"/>
      <c r="M3072" s="77"/>
      <c r="N3072" s="77"/>
      <c r="O3072" s="75">
        <v>1</v>
      </c>
      <c r="P3072" s="75">
        <v>0</v>
      </c>
      <c r="Q3072" s="75">
        <v>0</v>
      </c>
      <c r="R3072" s="75">
        <v>0</v>
      </c>
      <c r="S3072" s="75">
        <v>0</v>
      </c>
      <c r="T3072" s="75">
        <v>0</v>
      </c>
      <c r="U3072" s="75">
        <v>0</v>
      </c>
      <c r="V3072" s="75">
        <v>0</v>
      </c>
      <c r="W3072" s="78">
        <v>0</v>
      </c>
    </row>
    <row r="3073" spans="1:23" s="75" customFormat="1" hidden="1" x14ac:dyDescent="0.35">
      <c r="A3073" s="75">
        <v>3069</v>
      </c>
      <c r="B3073" s="75">
        <v>3070</v>
      </c>
      <c r="C3073">
        <v>146.00146140000001</v>
      </c>
      <c r="D3073">
        <v>-17.498826300000001</v>
      </c>
      <c r="F3073" s="75" t="str">
        <f>HYPERLINK("E:\Data From Lucan\2024\Johnstone\Frames_for_Analysis\3070_20240610_0004_L_0173.jpg","3070_20240610_0004_L_0173.jpg")</f>
        <v>3070_20240610_0004_L_0173.jpg</v>
      </c>
      <c r="G3073" s="75">
        <v>9</v>
      </c>
      <c r="I3073">
        <f t="shared" si="47"/>
        <v>0</v>
      </c>
      <c r="J3073" s="75">
        <v>0</v>
      </c>
      <c r="K3073" s="77"/>
      <c r="L3073" s="77"/>
      <c r="M3073" s="77"/>
      <c r="N3073" s="77"/>
      <c r="O3073" s="75">
        <v>1</v>
      </c>
      <c r="P3073" s="75">
        <v>0</v>
      </c>
      <c r="Q3073" s="75">
        <v>0</v>
      </c>
      <c r="R3073" s="75">
        <v>0</v>
      </c>
      <c r="S3073" s="75">
        <v>0</v>
      </c>
      <c r="T3073" s="75">
        <v>0</v>
      </c>
      <c r="U3073" s="75">
        <v>0</v>
      </c>
      <c r="V3073" s="75">
        <v>0</v>
      </c>
      <c r="W3073" s="78">
        <v>0</v>
      </c>
    </row>
    <row r="3074" spans="1:23" s="75" customFormat="1" hidden="1" x14ac:dyDescent="0.35">
      <c r="A3074" s="75">
        <v>3070</v>
      </c>
      <c r="B3074" s="75">
        <v>3071</v>
      </c>
      <c r="C3074">
        <v>146.00145900000001</v>
      </c>
      <c r="D3074">
        <v>-17.498732029999999</v>
      </c>
      <c r="F3074" s="75" t="str">
        <f>HYPERLINK("E:\Data From Lucan\2024\Johnstone\Frames_for_Analysis\3071_20240610_0004_L_0176.jpg","3071_20240610_0004_L_0176.jpg")</f>
        <v>3071_20240610_0004_L_0176.jpg</v>
      </c>
      <c r="G3074" s="75">
        <v>9</v>
      </c>
      <c r="I3074">
        <f t="shared" si="47"/>
        <v>0</v>
      </c>
      <c r="J3074" s="75">
        <v>0</v>
      </c>
      <c r="K3074" s="77"/>
      <c r="L3074" s="77"/>
      <c r="M3074" s="77"/>
      <c r="N3074" s="77"/>
      <c r="O3074" s="75">
        <v>1</v>
      </c>
      <c r="P3074" s="75">
        <v>0</v>
      </c>
      <c r="Q3074" s="75">
        <v>0</v>
      </c>
      <c r="R3074" s="75">
        <v>0</v>
      </c>
      <c r="S3074" s="75">
        <v>0</v>
      </c>
      <c r="T3074" s="75">
        <v>0</v>
      </c>
      <c r="U3074" s="75">
        <v>0</v>
      </c>
      <c r="V3074" s="75">
        <v>0</v>
      </c>
      <c r="W3074" s="78">
        <v>0</v>
      </c>
    </row>
    <row r="3075" spans="1:23" s="75" customFormat="1" hidden="1" x14ac:dyDescent="0.35">
      <c r="A3075" s="75">
        <v>3071</v>
      </c>
      <c r="B3075" s="75">
        <v>3072</v>
      </c>
      <c r="C3075">
        <v>146.00145660000001</v>
      </c>
      <c r="D3075">
        <v>-17.498637760000001</v>
      </c>
      <c r="F3075" s="75" t="str">
        <f>HYPERLINK("E:\Data From Lucan\2024\Johnstone\Frames_for_Analysis\3072_20240610_0004_L_0179.jpg","3072_20240610_0004_L_0179.jpg")</f>
        <v>3072_20240610_0004_L_0179.jpg</v>
      </c>
      <c r="G3075" s="75">
        <v>9</v>
      </c>
      <c r="I3075">
        <f t="shared" si="47"/>
        <v>0</v>
      </c>
      <c r="J3075" s="75">
        <v>0</v>
      </c>
      <c r="K3075" s="77"/>
      <c r="L3075" s="77"/>
      <c r="M3075" s="77"/>
      <c r="N3075" s="77"/>
      <c r="O3075" s="75">
        <v>1</v>
      </c>
      <c r="P3075" s="75">
        <v>0</v>
      </c>
      <c r="Q3075" s="75">
        <v>0</v>
      </c>
      <c r="R3075" s="75">
        <v>0</v>
      </c>
      <c r="S3075" s="75">
        <v>0</v>
      </c>
      <c r="T3075" s="75">
        <v>0</v>
      </c>
      <c r="U3075" s="75">
        <v>0</v>
      </c>
      <c r="V3075" s="75">
        <v>0</v>
      </c>
      <c r="W3075" s="78">
        <v>0</v>
      </c>
    </row>
    <row r="3076" spans="1:23" s="75" customFormat="1" hidden="1" x14ac:dyDescent="0.35">
      <c r="A3076" s="75">
        <v>3072</v>
      </c>
      <c r="B3076" s="75">
        <v>3073</v>
      </c>
      <c r="C3076">
        <v>146.00145430000001</v>
      </c>
      <c r="D3076">
        <v>-17.498543479999999</v>
      </c>
      <c r="F3076" s="75" t="str">
        <f>HYPERLINK("E:\Data From Lucan\2024\Johnstone\Frames_for_Analysis\3073_20240610_0004_L_0183.jpg","3073_20240610_0004_L_0183.jpg")</f>
        <v>3073_20240610_0004_L_0183.jpg</v>
      </c>
      <c r="G3076" s="75">
        <v>9</v>
      </c>
      <c r="I3076">
        <f t="shared" si="47"/>
        <v>0</v>
      </c>
      <c r="J3076" s="75">
        <v>0</v>
      </c>
      <c r="K3076" s="77"/>
      <c r="L3076" s="77"/>
      <c r="M3076" s="77"/>
      <c r="N3076" s="77"/>
      <c r="O3076" s="75">
        <v>1</v>
      </c>
      <c r="P3076" s="75">
        <v>0</v>
      </c>
      <c r="Q3076" s="75">
        <v>0</v>
      </c>
      <c r="R3076" s="75">
        <v>0</v>
      </c>
      <c r="S3076" s="75">
        <v>0</v>
      </c>
      <c r="T3076" s="75">
        <v>0</v>
      </c>
      <c r="U3076" s="75">
        <v>0</v>
      </c>
      <c r="V3076" s="75">
        <v>0</v>
      </c>
      <c r="W3076" s="78">
        <v>0</v>
      </c>
    </row>
    <row r="3077" spans="1:23" s="75" customFormat="1" hidden="1" x14ac:dyDescent="0.35">
      <c r="A3077" s="75">
        <v>3073</v>
      </c>
      <c r="B3077" s="75">
        <v>3074</v>
      </c>
      <c r="C3077">
        <v>146.00145190000001</v>
      </c>
      <c r="D3077">
        <v>-17.49844921</v>
      </c>
      <c r="F3077" s="75" t="str">
        <f>HYPERLINK("E:\Data From Lucan\2024\Johnstone\Frames_for_Analysis\3074_20240610_0004_L_0186.jpg","3074_20240610_0004_L_0186.jpg")</f>
        <v>3074_20240610_0004_L_0186.jpg</v>
      </c>
      <c r="G3077" s="75">
        <v>9</v>
      </c>
      <c r="I3077">
        <f t="shared" ref="I3077:I3140" si="48">IF(H3077="X","X",IF(J3077="NA","X",IF(J3077="","X",J3077)))</f>
        <v>0</v>
      </c>
      <c r="J3077" s="75">
        <v>0</v>
      </c>
      <c r="K3077" s="77"/>
      <c r="L3077" s="77"/>
      <c r="M3077" s="77"/>
      <c r="N3077" s="77"/>
      <c r="O3077" s="75">
        <v>2</v>
      </c>
      <c r="P3077" s="75">
        <v>0</v>
      </c>
      <c r="Q3077" s="75">
        <v>0</v>
      </c>
      <c r="R3077" s="75">
        <v>0</v>
      </c>
      <c r="S3077" s="75">
        <v>0</v>
      </c>
      <c r="T3077" s="75">
        <v>0</v>
      </c>
      <c r="U3077" s="75">
        <v>0</v>
      </c>
      <c r="V3077" s="75">
        <v>0</v>
      </c>
      <c r="W3077" s="78">
        <v>1</v>
      </c>
    </row>
    <row r="3078" spans="1:23" s="75" customFormat="1" hidden="1" x14ac:dyDescent="0.35">
      <c r="A3078" s="75">
        <v>3074</v>
      </c>
      <c r="B3078" s="75">
        <v>3075</v>
      </c>
      <c r="C3078">
        <v>146.00144950000001</v>
      </c>
      <c r="D3078">
        <v>-17.498354939999999</v>
      </c>
      <c r="F3078" s="75" t="str">
        <f>HYPERLINK("E:\Data From Lucan\2024\Johnstone\Frames_for_Analysis\3075_20240610_0004_L_0190.jpg","3075_20240610_0004_L_0190.jpg")</f>
        <v>3075_20240610_0004_L_0190.jpg</v>
      </c>
      <c r="G3078" s="75">
        <v>9</v>
      </c>
      <c r="I3078">
        <f t="shared" si="48"/>
        <v>0</v>
      </c>
      <c r="J3078" s="75">
        <v>0</v>
      </c>
      <c r="K3078" s="77"/>
      <c r="L3078" s="77"/>
      <c r="M3078" s="77"/>
      <c r="N3078" s="77"/>
      <c r="O3078" s="75">
        <v>2</v>
      </c>
      <c r="P3078" s="75">
        <v>0</v>
      </c>
      <c r="Q3078" s="75">
        <v>0</v>
      </c>
      <c r="R3078" s="75">
        <v>0</v>
      </c>
      <c r="S3078" s="75">
        <v>0</v>
      </c>
      <c r="T3078" s="75">
        <v>0</v>
      </c>
      <c r="U3078" s="75">
        <v>0</v>
      </c>
      <c r="V3078" s="75">
        <v>0</v>
      </c>
      <c r="W3078" s="78">
        <v>1</v>
      </c>
    </row>
    <row r="3079" spans="1:23" s="75" customFormat="1" hidden="1" x14ac:dyDescent="0.35">
      <c r="A3079" s="75">
        <v>3075</v>
      </c>
      <c r="B3079" s="75">
        <v>3076</v>
      </c>
      <c r="C3079">
        <v>146.00144710000001</v>
      </c>
      <c r="D3079">
        <v>-17.49826066</v>
      </c>
      <c r="F3079" s="75" t="str">
        <f>HYPERLINK("E:\Data From Lucan\2024\Johnstone\Frames_for_Analysis\3076_20240610_0004_L_0193.jpg","3076_20240610_0004_L_0193.jpg")</f>
        <v>3076_20240610_0004_L_0193.jpg</v>
      </c>
      <c r="G3079" s="75">
        <v>9</v>
      </c>
      <c r="I3079">
        <f t="shared" si="48"/>
        <v>0</v>
      </c>
      <c r="J3079" s="75">
        <v>0</v>
      </c>
      <c r="K3079" s="77"/>
      <c r="L3079" s="77"/>
      <c r="M3079" s="77"/>
      <c r="N3079" s="77"/>
      <c r="O3079" s="75">
        <v>1</v>
      </c>
      <c r="P3079" s="75">
        <v>0</v>
      </c>
      <c r="Q3079" s="75">
        <v>0</v>
      </c>
      <c r="R3079" s="75">
        <v>0</v>
      </c>
      <c r="S3079" s="75">
        <v>0</v>
      </c>
      <c r="T3079" s="75">
        <v>0</v>
      </c>
      <c r="U3079" s="75">
        <v>0</v>
      </c>
      <c r="V3079" s="75">
        <v>0</v>
      </c>
      <c r="W3079" s="78">
        <v>0</v>
      </c>
    </row>
    <row r="3080" spans="1:23" s="75" customFormat="1" hidden="1" x14ac:dyDescent="0.35">
      <c r="A3080" s="75">
        <v>3076</v>
      </c>
      <c r="B3080" s="75">
        <v>3077</v>
      </c>
      <c r="C3080">
        <v>146.0014448</v>
      </c>
      <c r="D3080">
        <v>-17.498166390000002</v>
      </c>
      <c r="F3080" s="75" t="str">
        <f>HYPERLINK("E:\Data From Lucan\2024\Johnstone\Frames_for_Analysis\3077_20240610_0004_L_0197.jpg","3077_20240610_0004_L_0197.jpg")</f>
        <v>3077_20240610_0004_L_0197.jpg</v>
      </c>
      <c r="G3080" s="75">
        <v>9</v>
      </c>
      <c r="I3080">
        <f t="shared" si="48"/>
        <v>0</v>
      </c>
      <c r="J3080" s="75">
        <v>0</v>
      </c>
      <c r="K3080" s="77"/>
      <c r="L3080" s="77"/>
      <c r="M3080" s="77"/>
      <c r="N3080" s="77"/>
      <c r="O3080" s="75">
        <v>1</v>
      </c>
      <c r="P3080" s="75">
        <v>0</v>
      </c>
      <c r="Q3080" s="75">
        <v>0</v>
      </c>
      <c r="R3080" s="75">
        <v>0</v>
      </c>
      <c r="S3080" s="75">
        <v>0</v>
      </c>
      <c r="T3080" s="75">
        <v>0</v>
      </c>
      <c r="U3080" s="75">
        <v>0</v>
      </c>
      <c r="V3080" s="75">
        <v>0</v>
      </c>
      <c r="W3080" s="78">
        <v>0</v>
      </c>
    </row>
    <row r="3081" spans="1:23" s="75" customFormat="1" hidden="1" x14ac:dyDescent="0.35">
      <c r="A3081" s="75">
        <v>3077</v>
      </c>
      <c r="B3081" s="75">
        <v>3078</v>
      </c>
      <c r="C3081">
        <v>146.0014424</v>
      </c>
      <c r="D3081">
        <v>-17.498072109999999</v>
      </c>
      <c r="F3081" s="75" t="str">
        <f>HYPERLINK("E:\Data From Lucan\2024\Johnstone\Frames_for_Analysis\3078_20240610_0004_L_0200.jpg","3078_20240610_0004_L_0200.jpg")</f>
        <v>3078_20240610_0004_L_0200.jpg</v>
      </c>
      <c r="G3081" s="75">
        <v>9</v>
      </c>
      <c r="I3081">
        <f t="shared" si="48"/>
        <v>0</v>
      </c>
      <c r="J3081" s="75">
        <v>0</v>
      </c>
      <c r="K3081" s="77"/>
      <c r="L3081" s="77"/>
      <c r="M3081" s="77"/>
      <c r="N3081" s="77"/>
      <c r="O3081" s="75">
        <v>1</v>
      </c>
      <c r="P3081" s="75">
        <v>0</v>
      </c>
      <c r="Q3081" s="75">
        <v>0</v>
      </c>
      <c r="R3081" s="75">
        <v>0</v>
      </c>
      <c r="S3081" s="75">
        <v>0</v>
      </c>
      <c r="T3081" s="75">
        <v>0</v>
      </c>
      <c r="U3081" s="75">
        <v>0</v>
      </c>
      <c r="V3081" s="75">
        <v>0</v>
      </c>
      <c r="W3081" s="78">
        <v>0</v>
      </c>
    </row>
    <row r="3082" spans="1:23" s="75" customFormat="1" hidden="1" x14ac:dyDescent="0.35">
      <c r="A3082" s="75">
        <v>3078</v>
      </c>
      <c r="B3082" s="75">
        <v>3079</v>
      </c>
      <c r="C3082">
        <v>146.00144</v>
      </c>
      <c r="D3082">
        <v>-17.497977840000001</v>
      </c>
      <c r="F3082" s="75" t="str">
        <f>HYPERLINK("E:\Data From Lucan\2024\Johnstone\Frames_for_Analysis\3079_20240610_0004_L_0202.jpg","3079_20240610_0004_L_0202.jpg")</f>
        <v>3079_20240610_0004_L_0202.jpg</v>
      </c>
      <c r="G3082" s="75">
        <v>9</v>
      </c>
      <c r="I3082">
        <f t="shared" si="48"/>
        <v>0</v>
      </c>
      <c r="J3082" s="75">
        <v>0</v>
      </c>
      <c r="K3082" s="77"/>
      <c r="L3082" s="77"/>
      <c r="M3082" s="77"/>
      <c r="N3082" s="77"/>
      <c r="O3082" s="75">
        <v>2</v>
      </c>
      <c r="P3082" s="75">
        <v>0</v>
      </c>
      <c r="Q3082" s="75">
        <v>0</v>
      </c>
      <c r="R3082" s="75">
        <v>0</v>
      </c>
      <c r="S3082" s="75">
        <v>0</v>
      </c>
      <c r="T3082" s="75">
        <v>0</v>
      </c>
      <c r="U3082" s="75">
        <v>0</v>
      </c>
      <c r="V3082" s="75">
        <v>0</v>
      </c>
      <c r="W3082" s="78">
        <v>1</v>
      </c>
    </row>
    <row r="3083" spans="1:23" s="75" customFormat="1" hidden="1" x14ac:dyDescent="0.35">
      <c r="A3083" s="75">
        <v>3079</v>
      </c>
      <c r="B3083" s="75">
        <v>3080</v>
      </c>
      <c r="C3083">
        <v>146.0014376</v>
      </c>
      <c r="D3083">
        <v>-17.497883569999999</v>
      </c>
      <c r="F3083" s="75" t="str">
        <f>HYPERLINK("E:\Data From Lucan\2024\Johnstone\Frames_for_Analysis\3080_20240610_0004_L_0206.jpg","3080_20240610_0004_L_0206.jpg")</f>
        <v>3080_20240610_0004_L_0206.jpg</v>
      </c>
      <c r="G3083" s="75">
        <v>9</v>
      </c>
      <c r="I3083">
        <f t="shared" si="48"/>
        <v>0</v>
      </c>
      <c r="J3083" s="75">
        <v>0</v>
      </c>
      <c r="K3083" s="77"/>
      <c r="L3083" s="77"/>
      <c r="M3083" s="77"/>
      <c r="N3083" s="77"/>
      <c r="O3083" s="75">
        <v>2</v>
      </c>
      <c r="P3083" s="75">
        <v>0</v>
      </c>
      <c r="Q3083" s="75">
        <v>0</v>
      </c>
      <c r="R3083" s="75">
        <v>0</v>
      </c>
      <c r="S3083" s="75">
        <v>0</v>
      </c>
      <c r="T3083" s="75">
        <v>0</v>
      </c>
      <c r="U3083" s="75">
        <v>0</v>
      </c>
      <c r="V3083" s="75">
        <v>0</v>
      </c>
      <c r="W3083" s="78">
        <v>1</v>
      </c>
    </row>
    <row r="3084" spans="1:23" s="75" customFormat="1" hidden="1" x14ac:dyDescent="0.35">
      <c r="A3084" s="75">
        <v>3080</v>
      </c>
      <c r="B3084" s="75">
        <v>3081</v>
      </c>
      <c r="C3084">
        <v>146.0014352</v>
      </c>
      <c r="D3084">
        <v>-17.497789300000001</v>
      </c>
      <c r="F3084" s="75" t="str">
        <f>HYPERLINK("E:\Data From Lucan\2024\Johnstone\Frames_for_Analysis\3081_20240610_0004_L_0209.jpg","3081_20240610_0004_L_0209.jpg")</f>
        <v>3081_20240610_0004_L_0209.jpg</v>
      </c>
      <c r="G3084" s="75">
        <v>9</v>
      </c>
      <c r="I3084">
        <f t="shared" si="48"/>
        <v>0</v>
      </c>
      <c r="J3084" s="75">
        <v>0</v>
      </c>
      <c r="K3084" s="77"/>
      <c r="L3084" s="77"/>
      <c r="M3084" s="77"/>
      <c r="N3084" s="77"/>
      <c r="O3084" s="75">
        <v>2</v>
      </c>
      <c r="P3084" s="75">
        <v>0</v>
      </c>
      <c r="Q3084" s="75">
        <v>0</v>
      </c>
      <c r="R3084" s="75">
        <v>0</v>
      </c>
      <c r="S3084" s="75">
        <v>0</v>
      </c>
      <c r="T3084" s="75">
        <v>0</v>
      </c>
      <c r="U3084" s="75">
        <v>0</v>
      </c>
      <c r="V3084" s="75">
        <v>0</v>
      </c>
      <c r="W3084" s="78">
        <v>1</v>
      </c>
    </row>
    <row r="3085" spans="1:23" s="75" customFormat="1" hidden="1" x14ac:dyDescent="0.35">
      <c r="A3085" s="75">
        <v>3081</v>
      </c>
      <c r="B3085" s="75">
        <v>3082</v>
      </c>
      <c r="C3085">
        <v>146.0014328</v>
      </c>
      <c r="D3085">
        <v>-17.497695019999998</v>
      </c>
      <c r="F3085" s="75" t="str">
        <f>HYPERLINK("E:\Data From Lucan\2024\Johnstone\Frames_for_Analysis\3082_20240610_0004_L_0212.jpg","3082_20240610_0004_L_0212.jpg")</f>
        <v>3082_20240610_0004_L_0212.jpg</v>
      </c>
      <c r="G3085" s="75">
        <v>9</v>
      </c>
      <c r="I3085">
        <f t="shared" si="48"/>
        <v>0</v>
      </c>
      <c r="J3085" s="75">
        <v>0</v>
      </c>
      <c r="K3085" s="77"/>
      <c r="L3085" s="77"/>
      <c r="M3085" s="77"/>
      <c r="N3085" s="77"/>
      <c r="O3085" s="75">
        <v>2</v>
      </c>
      <c r="P3085" s="75">
        <v>0</v>
      </c>
      <c r="Q3085" s="75">
        <v>0</v>
      </c>
      <c r="R3085" s="75">
        <v>0</v>
      </c>
      <c r="S3085" s="75">
        <v>0</v>
      </c>
      <c r="T3085" s="75">
        <v>0</v>
      </c>
      <c r="U3085" s="75">
        <v>0</v>
      </c>
      <c r="V3085" s="75">
        <v>0</v>
      </c>
      <c r="W3085" s="78">
        <v>1</v>
      </c>
    </row>
    <row r="3086" spans="1:23" s="75" customFormat="1" hidden="1" x14ac:dyDescent="0.35">
      <c r="A3086" s="75">
        <v>3082</v>
      </c>
      <c r="B3086" s="75">
        <v>3083</v>
      </c>
      <c r="C3086">
        <v>146.0014304</v>
      </c>
      <c r="D3086">
        <v>-17.49760075</v>
      </c>
      <c r="F3086" s="75" t="str">
        <f>HYPERLINK("E:\Data From Lucan\2024\Johnstone\Frames_for_Analysis\3083_20240610_0004_L_0215.jpg","3083_20240610_0004_L_0215.jpg")</f>
        <v>3083_20240610_0004_L_0215.jpg</v>
      </c>
      <c r="G3086" s="75">
        <v>9</v>
      </c>
      <c r="I3086">
        <f t="shared" si="48"/>
        <v>0</v>
      </c>
      <c r="J3086" s="75">
        <v>0</v>
      </c>
      <c r="K3086" s="77"/>
      <c r="L3086" s="77"/>
      <c r="M3086" s="77"/>
      <c r="N3086" s="77"/>
      <c r="O3086" s="75">
        <v>2</v>
      </c>
      <c r="P3086" s="75">
        <v>0</v>
      </c>
      <c r="Q3086" s="75">
        <v>0</v>
      </c>
      <c r="R3086" s="75">
        <v>0</v>
      </c>
      <c r="S3086" s="75">
        <v>0</v>
      </c>
      <c r="T3086" s="75">
        <v>0</v>
      </c>
      <c r="U3086" s="75">
        <v>0</v>
      </c>
      <c r="V3086" s="75">
        <v>0</v>
      </c>
      <c r="W3086" s="78">
        <v>1</v>
      </c>
    </row>
    <row r="3087" spans="1:23" s="75" customFormat="1" hidden="1" x14ac:dyDescent="0.35">
      <c r="A3087" s="75">
        <v>3083</v>
      </c>
      <c r="B3087" s="75">
        <v>3084</v>
      </c>
      <c r="C3087">
        <v>146.001428</v>
      </c>
      <c r="D3087">
        <v>-17.497506479999998</v>
      </c>
      <c r="F3087" s="75" t="str">
        <f>HYPERLINK("E:\Data From Lucan\2024\Johnstone\Frames_for_Analysis\3084_20240610_0004_L_0219.jpg","3084_20240610_0004_L_0219.jpg")</f>
        <v>3084_20240610_0004_L_0219.jpg</v>
      </c>
      <c r="G3087" s="75">
        <v>9</v>
      </c>
      <c r="I3087">
        <f t="shared" si="48"/>
        <v>0</v>
      </c>
      <c r="J3087" s="75">
        <v>0</v>
      </c>
      <c r="K3087" s="77"/>
      <c r="L3087" s="77"/>
      <c r="M3087" s="77"/>
      <c r="N3087" s="77"/>
      <c r="O3087" s="75">
        <v>2</v>
      </c>
      <c r="P3087" s="75">
        <v>0</v>
      </c>
      <c r="Q3087" s="75">
        <v>0</v>
      </c>
      <c r="R3087" s="75">
        <v>0</v>
      </c>
      <c r="S3087" s="75">
        <v>0</v>
      </c>
      <c r="T3087" s="75">
        <v>0</v>
      </c>
      <c r="U3087" s="75">
        <v>0</v>
      </c>
      <c r="V3087" s="75">
        <v>0</v>
      </c>
      <c r="W3087" s="78">
        <v>1</v>
      </c>
    </row>
    <row r="3088" spans="1:23" s="75" customFormat="1" hidden="1" x14ac:dyDescent="0.35">
      <c r="A3088" s="75">
        <v>3084</v>
      </c>
      <c r="B3088" s="75">
        <v>3085</v>
      </c>
      <c r="C3088">
        <v>146.0014256</v>
      </c>
      <c r="D3088">
        <v>-17.497412199999999</v>
      </c>
      <c r="F3088" s="75" t="str">
        <f>HYPERLINK("E:\Data From Lucan\2024\Johnstone\Frames_for_Analysis\3085_20240610_0004_L_0222.jpg","3085_20240610_0004_L_0222.jpg")</f>
        <v>3085_20240610_0004_L_0222.jpg</v>
      </c>
      <c r="G3088" s="75">
        <v>9</v>
      </c>
      <c r="I3088">
        <f t="shared" si="48"/>
        <v>0</v>
      </c>
      <c r="J3088" s="75">
        <v>0</v>
      </c>
      <c r="K3088" s="77"/>
      <c r="L3088" s="77"/>
      <c r="M3088" s="77"/>
      <c r="N3088" s="77"/>
      <c r="O3088" s="75">
        <v>1</v>
      </c>
      <c r="P3088" s="75">
        <v>0</v>
      </c>
      <c r="Q3088" s="75">
        <v>0</v>
      </c>
      <c r="R3088" s="75">
        <v>0</v>
      </c>
      <c r="S3088" s="75">
        <v>0</v>
      </c>
      <c r="T3088" s="75">
        <v>0</v>
      </c>
      <c r="U3088" s="75">
        <v>0</v>
      </c>
      <c r="V3088" s="75">
        <v>0</v>
      </c>
      <c r="W3088" s="78">
        <v>0</v>
      </c>
    </row>
    <row r="3089" spans="1:23" s="75" customFormat="1" hidden="1" x14ac:dyDescent="0.35">
      <c r="A3089" s="75">
        <v>3085</v>
      </c>
      <c r="B3089" s="75">
        <v>3086</v>
      </c>
      <c r="C3089">
        <v>146.0014232</v>
      </c>
      <c r="D3089">
        <v>-17.497317930000001</v>
      </c>
      <c r="F3089" s="75" t="str">
        <f>HYPERLINK("E:\Data From Lucan\2024\Johnstone\Frames_for_Analysis\3086_20240610_0004_L_0225.jpg","3086_20240610_0004_L_0225.jpg")</f>
        <v>3086_20240610_0004_L_0225.jpg</v>
      </c>
      <c r="G3089" s="75">
        <v>9</v>
      </c>
      <c r="I3089">
        <f t="shared" si="48"/>
        <v>0</v>
      </c>
      <c r="J3089" s="75">
        <v>0</v>
      </c>
      <c r="K3089" s="77"/>
      <c r="L3089" s="77"/>
      <c r="M3089" s="77"/>
      <c r="N3089" s="77"/>
      <c r="O3089" s="75">
        <v>1</v>
      </c>
      <c r="P3089" s="75">
        <v>0</v>
      </c>
      <c r="Q3089" s="75">
        <v>0</v>
      </c>
      <c r="R3089" s="75">
        <v>0</v>
      </c>
      <c r="S3089" s="75">
        <v>0</v>
      </c>
      <c r="T3089" s="75">
        <v>0</v>
      </c>
      <c r="U3089" s="75">
        <v>0</v>
      </c>
      <c r="V3089" s="75">
        <v>0</v>
      </c>
      <c r="W3089" s="78">
        <v>0</v>
      </c>
    </row>
    <row r="3090" spans="1:23" s="75" customFormat="1" hidden="1" x14ac:dyDescent="0.35">
      <c r="A3090" s="75">
        <v>3086</v>
      </c>
      <c r="B3090" s="75">
        <v>3087</v>
      </c>
      <c r="C3090">
        <v>146.00142080000001</v>
      </c>
      <c r="D3090">
        <v>-17.49722366</v>
      </c>
      <c r="F3090" s="75" t="str">
        <f>HYPERLINK("E:\Data From Lucan\2024\Johnstone\Frames_for_Analysis\3087_20240610_0004_L_0227.jpg","3087_20240610_0004_L_0227.jpg")</f>
        <v>3087_20240610_0004_L_0227.jpg</v>
      </c>
      <c r="G3090" s="75">
        <v>9</v>
      </c>
      <c r="I3090">
        <f t="shared" si="48"/>
        <v>0</v>
      </c>
      <c r="J3090" s="75">
        <v>0</v>
      </c>
      <c r="K3090" s="77"/>
      <c r="L3090" s="77"/>
      <c r="M3090" s="77"/>
      <c r="N3090" s="77"/>
      <c r="O3090" s="75">
        <v>1</v>
      </c>
      <c r="P3090" s="75">
        <v>0</v>
      </c>
      <c r="Q3090" s="75">
        <v>0</v>
      </c>
      <c r="R3090" s="75">
        <v>0</v>
      </c>
      <c r="S3090" s="75">
        <v>0</v>
      </c>
      <c r="T3090" s="75">
        <v>0</v>
      </c>
      <c r="U3090" s="75">
        <v>0</v>
      </c>
      <c r="V3090" s="75">
        <v>1</v>
      </c>
      <c r="W3090" s="78">
        <v>0</v>
      </c>
    </row>
    <row r="3091" spans="1:23" s="75" customFormat="1" hidden="1" x14ac:dyDescent="0.35">
      <c r="A3091" s="75">
        <v>3087</v>
      </c>
      <c r="B3091" s="75">
        <v>3088</v>
      </c>
      <c r="C3091">
        <v>146.00141840000001</v>
      </c>
      <c r="D3091">
        <v>-17.497129380000001</v>
      </c>
      <c r="F3091" s="75" t="str">
        <f>HYPERLINK("E:\Data From Lucan\2024\Johnstone\Frames_for_Analysis\3088_20240610_0004_L_0230.jpg","3088_20240610_0004_L_0230.jpg")</f>
        <v>3088_20240610_0004_L_0230.jpg</v>
      </c>
      <c r="G3091" s="75">
        <v>9</v>
      </c>
      <c r="I3091">
        <f t="shared" si="48"/>
        <v>0</v>
      </c>
      <c r="J3091" s="75">
        <v>0</v>
      </c>
      <c r="K3091" s="77"/>
      <c r="L3091" s="77"/>
      <c r="M3091" s="77"/>
      <c r="N3091" s="77"/>
      <c r="O3091" s="75">
        <v>1</v>
      </c>
      <c r="P3091" s="75">
        <v>0</v>
      </c>
      <c r="Q3091" s="75">
        <v>0</v>
      </c>
      <c r="R3091" s="75">
        <v>0</v>
      </c>
      <c r="S3091" s="75">
        <v>0</v>
      </c>
      <c r="T3091" s="75">
        <v>0</v>
      </c>
      <c r="U3091" s="75">
        <v>0</v>
      </c>
      <c r="V3091" s="75">
        <v>0</v>
      </c>
      <c r="W3091" s="78">
        <v>0</v>
      </c>
    </row>
    <row r="3092" spans="1:23" s="75" customFormat="1" hidden="1" x14ac:dyDescent="0.35">
      <c r="A3092" s="75">
        <v>3088</v>
      </c>
      <c r="B3092" s="75">
        <v>3089</v>
      </c>
      <c r="C3092">
        <v>146.00141600000001</v>
      </c>
      <c r="D3092">
        <v>-17.497035109999999</v>
      </c>
      <c r="F3092" s="75" t="str">
        <f>HYPERLINK("E:\Data From Lucan\2024\Johnstone\Frames_for_Analysis\3089_20240610_0004_L_0234.jpg","3089_20240610_0004_L_0234.jpg")</f>
        <v>3089_20240610_0004_L_0234.jpg</v>
      </c>
      <c r="G3092" s="75">
        <v>9</v>
      </c>
      <c r="I3092">
        <f t="shared" si="48"/>
        <v>0</v>
      </c>
      <c r="J3092" s="75">
        <v>0</v>
      </c>
      <c r="K3092" s="77"/>
      <c r="L3092" s="77"/>
      <c r="M3092" s="77"/>
      <c r="N3092" s="77"/>
      <c r="O3092" s="75">
        <v>1</v>
      </c>
      <c r="P3092" s="75">
        <v>0</v>
      </c>
      <c r="Q3092" s="75">
        <v>0</v>
      </c>
      <c r="R3092" s="75">
        <v>0</v>
      </c>
      <c r="S3092" s="75">
        <v>0</v>
      </c>
      <c r="T3092" s="75">
        <v>0</v>
      </c>
      <c r="U3092" s="75">
        <v>0</v>
      </c>
      <c r="V3092" s="75">
        <v>0</v>
      </c>
      <c r="W3092" s="78">
        <v>0</v>
      </c>
    </row>
    <row r="3093" spans="1:23" s="75" customFormat="1" hidden="1" x14ac:dyDescent="0.35">
      <c r="A3093" s="75">
        <v>3089</v>
      </c>
      <c r="B3093" s="75">
        <v>3090</v>
      </c>
      <c r="C3093">
        <v>146.0014137</v>
      </c>
      <c r="D3093">
        <v>-17.496940840000001</v>
      </c>
      <c r="F3093" s="75" t="str">
        <f>HYPERLINK("E:\Data From Lucan\2024\Johnstone\Frames_for_Analysis\3090_20240610_0004_L_0236.jpg","3090_20240610_0004_L_0236.jpg")</f>
        <v>3090_20240610_0004_L_0236.jpg</v>
      </c>
      <c r="G3093" s="75">
        <v>9</v>
      </c>
      <c r="I3093">
        <f t="shared" si="48"/>
        <v>0</v>
      </c>
      <c r="J3093" s="75">
        <v>0</v>
      </c>
      <c r="K3093" s="77"/>
      <c r="L3093" s="77"/>
      <c r="M3093" s="77"/>
      <c r="N3093" s="77"/>
      <c r="O3093" s="75">
        <v>1</v>
      </c>
      <c r="P3093" s="75">
        <v>0</v>
      </c>
      <c r="Q3093" s="75">
        <v>0</v>
      </c>
      <c r="R3093" s="75">
        <v>0</v>
      </c>
      <c r="S3093" s="75">
        <v>0</v>
      </c>
      <c r="T3093" s="75">
        <v>0</v>
      </c>
      <c r="U3093" s="75">
        <v>0</v>
      </c>
      <c r="V3093" s="75">
        <v>0</v>
      </c>
      <c r="W3093" s="78">
        <v>0</v>
      </c>
    </row>
    <row r="3094" spans="1:23" s="75" customFormat="1" hidden="1" x14ac:dyDescent="0.35">
      <c r="A3094" s="75">
        <v>3090</v>
      </c>
      <c r="B3094" s="75">
        <v>3091</v>
      </c>
      <c r="C3094">
        <v>146.0014113</v>
      </c>
      <c r="D3094">
        <v>-17.496846560000002</v>
      </c>
      <c r="F3094" s="75" t="str">
        <f>HYPERLINK("E:\Data From Lucan\2024\Johnstone\Frames_for_Analysis\3091_20240610_0004_L_0240.jpg","3091_20240610_0004_L_0240.jpg")</f>
        <v>3091_20240610_0004_L_0240.jpg</v>
      </c>
      <c r="G3094" s="75">
        <v>9</v>
      </c>
      <c r="I3094">
        <f t="shared" si="48"/>
        <v>0</v>
      </c>
      <c r="J3094" s="75">
        <v>0</v>
      </c>
      <c r="K3094" s="77"/>
      <c r="L3094" s="77"/>
      <c r="M3094" s="77"/>
      <c r="N3094" s="77"/>
      <c r="O3094" s="75">
        <v>1</v>
      </c>
      <c r="P3094" s="75">
        <v>0</v>
      </c>
      <c r="Q3094" s="75">
        <v>0</v>
      </c>
      <c r="R3094" s="75">
        <v>0</v>
      </c>
      <c r="S3094" s="75">
        <v>0</v>
      </c>
      <c r="T3094" s="75">
        <v>0</v>
      </c>
      <c r="U3094" s="75">
        <v>0</v>
      </c>
      <c r="V3094" s="75">
        <v>0</v>
      </c>
      <c r="W3094" s="78">
        <v>0</v>
      </c>
    </row>
    <row r="3095" spans="1:23" s="75" customFormat="1" hidden="1" x14ac:dyDescent="0.35">
      <c r="A3095" s="75">
        <v>3091</v>
      </c>
      <c r="B3095" s="75">
        <v>3092</v>
      </c>
      <c r="C3095">
        <v>146.0014089</v>
      </c>
      <c r="D3095">
        <v>-17.49675229</v>
      </c>
      <c r="F3095" s="75" t="str">
        <f>HYPERLINK("E:\Data From Lucan\2024\Johnstone\Frames_for_Analysis\3092_20240610_0004_L_0243.jpg","3092_20240610_0004_L_0243.jpg")</f>
        <v>3092_20240610_0004_L_0243.jpg</v>
      </c>
      <c r="G3095" s="75">
        <v>9</v>
      </c>
      <c r="I3095">
        <f t="shared" si="48"/>
        <v>0</v>
      </c>
      <c r="J3095" s="75">
        <v>0</v>
      </c>
      <c r="K3095" s="77"/>
      <c r="L3095" s="77"/>
      <c r="M3095" s="77"/>
      <c r="N3095" s="77"/>
      <c r="O3095" s="75">
        <v>2</v>
      </c>
      <c r="P3095" s="75">
        <v>0</v>
      </c>
      <c r="Q3095" s="75">
        <v>0</v>
      </c>
      <c r="R3095" s="75">
        <v>0</v>
      </c>
      <c r="S3095" s="75">
        <v>0</v>
      </c>
      <c r="T3095" s="75">
        <v>0</v>
      </c>
      <c r="U3095" s="75">
        <v>0</v>
      </c>
      <c r="V3095" s="75">
        <v>0</v>
      </c>
      <c r="W3095" s="78">
        <v>1</v>
      </c>
    </row>
    <row r="3096" spans="1:23" s="75" customFormat="1" hidden="1" x14ac:dyDescent="0.35">
      <c r="A3096" s="75">
        <v>3092</v>
      </c>
      <c r="B3096" s="75">
        <v>3093</v>
      </c>
      <c r="C3096">
        <v>146.0014065</v>
      </c>
      <c r="D3096">
        <v>-17.496658020000002</v>
      </c>
      <c r="F3096" s="75" t="str">
        <f>HYPERLINK("E:\Data From Lucan\2024\Johnstone\Frames_for_Analysis\3093_20240610_0004_L_0247.jpg","3093_20240610_0004_L_0247.jpg")</f>
        <v>3093_20240610_0004_L_0247.jpg</v>
      </c>
      <c r="G3096" s="75">
        <v>9</v>
      </c>
      <c r="I3096">
        <f t="shared" si="48"/>
        <v>0</v>
      </c>
      <c r="J3096" s="75">
        <v>0</v>
      </c>
      <c r="K3096" s="77"/>
      <c r="L3096" s="77"/>
      <c r="M3096" s="77"/>
      <c r="N3096" s="77"/>
      <c r="O3096" s="75">
        <v>2</v>
      </c>
      <c r="P3096" s="75">
        <v>0</v>
      </c>
      <c r="Q3096" s="75">
        <v>0</v>
      </c>
      <c r="R3096" s="75">
        <v>0</v>
      </c>
      <c r="S3096" s="75">
        <v>0</v>
      </c>
      <c r="T3096" s="75">
        <v>0</v>
      </c>
      <c r="U3096" s="75">
        <v>0</v>
      </c>
      <c r="V3096" s="75">
        <v>0</v>
      </c>
      <c r="W3096" s="78">
        <v>1</v>
      </c>
    </row>
    <row r="3097" spans="1:23" s="75" customFormat="1" hidden="1" x14ac:dyDescent="0.35">
      <c r="A3097" s="75">
        <v>3093</v>
      </c>
      <c r="B3097" s="75">
        <v>3094</v>
      </c>
      <c r="C3097">
        <v>146.00140300000001</v>
      </c>
      <c r="D3097">
        <v>-17.496563779999999</v>
      </c>
      <c r="F3097" s="75" t="str">
        <f>HYPERLINK("E:\Data From Lucan\2024\Johnstone\Frames_for_Analysis\3094_20240610_0004_L_0250.jpg","3094_20240610_0004_L_0250.jpg")</f>
        <v>3094_20240610_0004_L_0250.jpg</v>
      </c>
      <c r="G3097" s="75">
        <v>9</v>
      </c>
      <c r="I3097">
        <f t="shared" si="48"/>
        <v>0</v>
      </c>
      <c r="J3097" s="75">
        <v>0</v>
      </c>
      <c r="K3097" s="77"/>
      <c r="L3097" s="77"/>
      <c r="M3097" s="77"/>
      <c r="N3097" s="77"/>
      <c r="O3097" s="75">
        <v>1</v>
      </c>
      <c r="P3097" s="75">
        <v>0</v>
      </c>
      <c r="Q3097" s="75">
        <v>0</v>
      </c>
      <c r="R3097" s="75">
        <v>0</v>
      </c>
      <c r="S3097" s="75">
        <v>0</v>
      </c>
      <c r="T3097" s="75">
        <v>0</v>
      </c>
      <c r="U3097" s="75">
        <v>0</v>
      </c>
      <c r="V3097" s="75">
        <v>0</v>
      </c>
      <c r="W3097" s="78">
        <v>0</v>
      </c>
    </row>
    <row r="3098" spans="1:23" s="75" customFormat="1" hidden="1" x14ac:dyDescent="0.35">
      <c r="A3098" s="75">
        <v>3094</v>
      </c>
      <c r="B3098" s="75">
        <v>3095</v>
      </c>
      <c r="C3098">
        <v>146.00139849999999</v>
      </c>
      <c r="D3098">
        <v>-17.49646959</v>
      </c>
      <c r="F3098" s="75" t="str">
        <f>HYPERLINK("E:\Data From Lucan\2024\Johnstone\Frames_for_Analysis\3095_20240610_0004_L_0254.jpg","3095_20240610_0004_L_0254.jpg")</f>
        <v>3095_20240610_0004_L_0254.jpg</v>
      </c>
      <c r="G3098" s="75">
        <v>9</v>
      </c>
      <c r="I3098">
        <f t="shared" si="48"/>
        <v>0</v>
      </c>
      <c r="J3098" s="75">
        <v>0</v>
      </c>
      <c r="K3098" s="77"/>
      <c r="L3098" s="77"/>
      <c r="M3098" s="77"/>
      <c r="N3098" s="77"/>
      <c r="O3098" s="75">
        <v>1</v>
      </c>
      <c r="P3098" s="75">
        <v>0</v>
      </c>
      <c r="Q3098" s="75">
        <v>0</v>
      </c>
      <c r="R3098" s="75">
        <v>0</v>
      </c>
      <c r="S3098" s="75">
        <v>0</v>
      </c>
      <c r="T3098" s="75">
        <v>0</v>
      </c>
      <c r="U3098" s="75">
        <v>0</v>
      </c>
      <c r="V3098" s="75">
        <v>1</v>
      </c>
      <c r="W3098" s="78">
        <v>0</v>
      </c>
    </row>
    <row r="3099" spans="1:23" s="75" customFormat="1" hidden="1" x14ac:dyDescent="0.35">
      <c r="A3099" s="75">
        <v>3095</v>
      </c>
      <c r="B3099" s="75">
        <v>3096</v>
      </c>
      <c r="C3099">
        <v>146.001394</v>
      </c>
      <c r="D3099">
        <v>-17.496375390000001</v>
      </c>
      <c r="F3099" s="75" t="str">
        <f>HYPERLINK("E:\Data From Lucan\2024\Johnstone\Frames_for_Analysis\3096_20240610_0004_L_0257.jpg","3096_20240610_0004_L_0257.jpg")</f>
        <v>3096_20240610_0004_L_0257.jpg</v>
      </c>
      <c r="G3099" s="75">
        <v>9</v>
      </c>
      <c r="I3099">
        <f t="shared" si="48"/>
        <v>0</v>
      </c>
      <c r="J3099" s="75">
        <v>0</v>
      </c>
      <c r="K3099" s="77"/>
      <c r="L3099" s="77"/>
      <c r="M3099" s="77"/>
      <c r="N3099" s="77"/>
      <c r="O3099" s="75">
        <v>1</v>
      </c>
      <c r="P3099" s="75">
        <v>0</v>
      </c>
      <c r="Q3099" s="75">
        <v>0</v>
      </c>
      <c r="R3099" s="75">
        <v>0</v>
      </c>
      <c r="S3099" s="75">
        <v>0</v>
      </c>
      <c r="T3099" s="75">
        <v>0</v>
      </c>
      <c r="U3099" s="75">
        <v>0</v>
      </c>
      <c r="V3099" s="75">
        <v>0</v>
      </c>
      <c r="W3099" s="78">
        <v>0</v>
      </c>
    </row>
    <row r="3100" spans="1:23" s="75" customFormat="1" hidden="1" x14ac:dyDescent="0.35">
      <c r="A3100" s="75">
        <v>3096</v>
      </c>
      <c r="B3100" s="75">
        <v>3097</v>
      </c>
      <c r="C3100">
        <v>146.00138949999999</v>
      </c>
      <c r="D3100">
        <v>-17.496281199999999</v>
      </c>
      <c r="F3100" s="75" t="str">
        <f>HYPERLINK("E:\Data From Lucan\2024\Johnstone\Frames_for_Analysis\3097_20240610_0004_L_0260.jpg","3097_20240610_0004_L_0260.jpg")</f>
        <v>3097_20240610_0004_L_0260.jpg</v>
      </c>
      <c r="G3100" s="75">
        <v>9</v>
      </c>
      <c r="I3100">
        <f t="shared" si="48"/>
        <v>0</v>
      </c>
      <c r="J3100" s="75">
        <v>0</v>
      </c>
      <c r="K3100" s="77"/>
      <c r="L3100" s="77"/>
      <c r="M3100" s="77"/>
      <c r="N3100" s="77"/>
      <c r="O3100" s="75">
        <v>1</v>
      </c>
      <c r="P3100" s="75">
        <v>0</v>
      </c>
      <c r="Q3100" s="75">
        <v>0</v>
      </c>
      <c r="R3100" s="75">
        <v>0</v>
      </c>
      <c r="S3100" s="75">
        <v>0</v>
      </c>
      <c r="T3100" s="75">
        <v>0</v>
      </c>
      <c r="U3100" s="75">
        <v>0</v>
      </c>
      <c r="V3100" s="75">
        <v>0</v>
      </c>
      <c r="W3100" s="78">
        <v>0</v>
      </c>
    </row>
    <row r="3101" spans="1:23" s="75" customFormat="1" hidden="1" x14ac:dyDescent="0.35">
      <c r="A3101" s="75">
        <v>3097</v>
      </c>
      <c r="B3101" s="75">
        <v>3098</v>
      </c>
      <c r="C3101">
        <v>146.001385</v>
      </c>
      <c r="D3101">
        <v>-17.496186999999999</v>
      </c>
      <c r="F3101" s="75" t="str">
        <f>HYPERLINK("E:\Data From Lucan\2024\Johnstone\Frames_for_Analysis\3098_20240610_0004_L_0263.jpg","3098_20240610_0004_L_0263.jpg")</f>
        <v>3098_20240610_0004_L_0263.jpg</v>
      </c>
      <c r="G3101" s="75">
        <v>9</v>
      </c>
      <c r="I3101">
        <f t="shared" si="48"/>
        <v>0</v>
      </c>
      <c r="J3101" s="75">
        <v>0</v>
      </c>
      <c r="K3101" s="77"/>
      <c r="L3101" s="77"/>
      <c r="M3101" s="77"/>
      <c r="N3101" s="77"/>
      <c r="O3101" s="75">
        <v>1</v>
      </c>
      <c r="P3101" s="75">
        <v>0</v>
      </c>
      <c r="Q3101" s="75">
        <v>0</v>
      </c>
      <c r="R3101" s="75">
        <v>0</v>
      </c>
      <c r="S3101" s="75">
        <v>0</v>
      </c>
      <c r="T3101" s="75">
        <v>0</v>
      </c>
      <c r="U3101" s="75">
        <v>0</v>
      </c>
      <c r="V3101" s="75">
        <v>0</v>
      </c>
      <c r="W3101" s="78">
        <v>0</v>
      </c>
    </row>
    <row r="3102" spans="1:23" s="75" customFormat="1" hidden="1" x14ac:dyDescent="0.35">
      <c r="A3102" s="75">
        <v>3098</v>
      </c>
      <c r="B3102" s="75">
        <v>3099</v>
      </c>
      <c r="C3102">
        <v>146.00138050000001</v>
      </c>
      <c r="D3102">
        <v>-17.4960928</v>
      </c>
      <c r="F3102" s="75" t="str">
        <f>HYPERLINK("E:\Data From Lucan\2024\Johnstone\Frames_for_Analysis\3099_20240610_0004_L_0266.jpg","3099_20240610_0004_L_0266.jpg")</f>
        <v>3099_20240610_0004_L_0266.jpg</v>
      </c>
      <c r="G3102" s="75">
        <v>9</v>
      </c>
      <c r="I3102">
        <f t="shared" si="48"/>
        <v>0</v>
      </c>
      <c r="J3102" s="75">
        <v>0</v>
      </c>
      <c r="K3102" s="77"/>
      <c r="L3102" s="77"/>
      <c r="M3102" s="77"/>
      <c r="N3102" s="77"/>
      <c r="O3102" s="75">
        <v>1</v>
      </c>
      <c r="P3102" s="75">
        <v>0</v>
      </c>
      <c r="Q3102" s="75">
        <v>0</v>
      </c>
      <c r="R3102" s="75">
        <v>0</v>
      </c>
      <c r="S3102" s="75">
        <v>0</v>
      </c>
      <c r="T3102" s="75">
        <v>0</v>
      </c>
      <c r="U3102" s="75">
        <v>0</v>
      </c>
      <c r="V3102" s="75">
        <v>0</v>
      </c>
      <c r="W3102" s="78">
        <v>0</v>
      </c>
    </row>
    <row r="3103" spans="1:23" s="75" customFormat="1" hidden="1" x14ac:dyDescent="0.35">
      <c r="A3103" s="75">
        <v>3099</v>
      </c>
      <c r="B3103" s="75">
        <v>3100</v>
      </c>
      <c r="C3103">
        <v>146.00137599999999</v>
      </c>
      <c r="D3103">
        <v>-17.495998610000001</v>
      </c>
      <c r="F3103" s="75" t="str">
        <f>HYPERLINK("E:\Data From Lucan\2024\Johnstone\Frames_for_Analysis\3100_20240610_0004_L_0270.jpg","3100_20240610_0004_L_0270.jpg")</f>
        <v>3100_20240610_0004_L_0270.jpg</v>
      </c>
      <c r="G3103" s="75">
        <v>9</v>
      </c>
      <c r="I3103">
        <f t="shared" si="48"/>
        <v>0</v>
      </c>
      <c r="J3103" s="75">
        <v>0</v>
      </c>
      <c r="K3103" s="77"/>
      <c r="L3103" s="77"/>
      <c r="M3103" s="77"/>
      <c r="N3103" s="77"/>
      <c r="O3103" s="75">
        <v>1</v>
      </c>
      <c r="P3103" s="75">
        <v>0</v>
      </c>
      <c r="Q3103" s="75">
        <v>0</v>
      </c>
      <c r="R3103" s="75">
        <v>0</v>
      </c>
      <c r="S3103" s="75">
        <v>0</v>
      </c>
      <c r="T3103" s="75">
        <v>0</v>
      </c>
      <c r="U3103" s="75">
        <v>0</v>
      </c>
      <c r="V3103" s="75">
        <v>0</v>
      </c>
      <c r="W3103" s="78">
        <v>0</v>
      </c>
    </row>
    <row r="3104" spans="1:23" s="75" customFormat="1" hidden="1" x14ac:dyDescent="0.35">
      <c r="A3104" s="75">
        <v>3100</v>
      </c>
      <c r="B3104" s="75">
        <v>3101</v>
      </c>
      <c r="C3104">
        <v>146.0013715</v>
      </c>
      <c r="D3104">
        <v>-17.495904410000001</v>
      </c>
      <c r="F3104" s="75" t="str">
        <f>HYPERLINK("E:\Data From Lucan\2024\Johnstone\Frames_for_Analysis\3101_20240610_0004_L_0273.jpg","3101_20240610_0004_L_0273.jpg")</f>
        <v>3101_20240610_0004_L_0273.jpg</v>
      </c>
      <c r="G3104" s="75">
        <v>9</v>
      </c>
      <c r="I3104">
        <f t="shared" si="48"/>
        <v>0</v>
      </c>
      <c r="J3104" s="75">
        <v>0</v>
      </c>
      <c r="K3104" s="77"/>
      <c r="L3104" s="77"/>
      <c r="M3104" s="77"/>
      <c r="N3104" s="77"/>
      <c r="O3104" s="75">
        <v>1</v>
      </c>
      <c r="P3104" s="75">
        <v>0</v>
      </c>
      <c r="Q3104" s="75">
        <v>0</v>
      </c>
      <c r="R3104" s="75">
        <v>0</v>
      </c>
      <c r="S3104" s="75">
        <v>0</v>
      </c>
      <c r="T3104" s="75">
        <v>0</v>
      </c>
      <c r="U3104" s="75">
        <v>0</v>
      </c>
      <c r="V3104" s="75">
        <v>1</v>
      </c>
      <c r="W3104" s="78">
        <v>0</v>
      </c>
    </row>
    <row r="3105" spans="1:23" s="75" customFormat="1" hidden="1" x14ac:dyDescent="0.35">
      <c r="A3105" s="75">
        <v>3101</v>
      </c>
      <c r="B3105" s="75">
        <v>3102</v>
      </c>
      <c r="C3105">
        <v>146.00136699999999</v>
      </c>
      <c r="D3105">
        <v>-17.495810209999998</v>
      </c>
      <c r="F3105" s="75" t="str">
        <f>HYPERLINK("E:\Data From Lucan\2024\Johnstone\Frames_for_Analysis\3102_20240610_0004_L_0276.jpg","3102_20240610_0004_L_0276.jpg")</f>
        <v>3102_20240610_0004_L_0276.jpg</v>
      </c>
      <c r="G3105" s="75">
        <v>9</v>
      </c>
      <c r="I3105">
        <f t="shared" si="48"/>
        <v>0</v>
      </c>
      <c r="J3105" s="75">
        <v>0</v>
      </c>
      <c r="K3105" s="77"/>
      <c r="L3105" s="77"/>
      <c r="M3105" s="77"/>
      <c r="N3105" s="77"/>
      <c r="O3105" s="75">
        <v>1</v>
      </c>
      <c r="P3105" s="75">
        <v>0</v>
      </c>
      <c r="Q3105" s="75">
        <v>0</v>
      </c>
      <c r="R3105" s="75">
        <v>0</v>
      </c>
      <c r="S3105" s="75">
        <v>0</v>
      </c>
      <c r="T3105" s="75">
        <v>0</v>
      </c>
      <c r="U3105" s="75">
        <v>0</v>
      </c>
      <c r="V3105" s="75">
        <v>1</v>
      </c>
      <c r="W3105" s="78">
        <v>0</v>
      </c>
    </row>
    <row r="3106" spans="1:23" s="75" customFormat="1" hidden="1" x14ac:dyDescent="0.35">
      <c r="A3106" s="75">
        <v>3102</v>
      </c>
      <c r="B3106" s="75">
        <v>3103</v>
      </c>
      <c r="C3106">
        <v>146.0013625</v>
      </c>
      <c r="D3106">
        <v>-17.49571602</v>
      </c>
      <c r="F3106" s="75" t="str">
        <f>HYPERLINK("E:\Data From Lucan\2024\Johnstone\Frames_for_Analysis\3103_20240610_0004_L_0280.jpg","3103_20240610_0004_L_0280.jpg")</f>
        <v>3103_20240610_0004_L_0280.jpg</v>
      </c>
      <c r="G3106" s="75">
        <v>9</v>
      </c>
      <c r="I3106">
        <f t="shared" si="48"/>
        <v>0</v>
      </c>
      <c r="J3106" s="75">
        <v>0</v>
      </c>
      <c r="K3106" s="77"/>
      <c r="L3106" s="77"/>
      <c r="M3106" s="77"/>
      <c r="N3106" s="77"/>
      <c r="O3106" s="75">
        <v>1</v>
      </c>
      <c r="P3106" s="75">
        <v>0</v>
      </c>
      <c r="Q3106" s="75">
        <v>0</v>
      </c>
      <c r="R3106" s="75">
        <v>0</v>
      </c>
      <c r="S3106" s="75">
        <v>0</v>
      </c>
      <c r="T3106" s="75">
        <v>0</v>
      </c>
      <c r="U3106" s="75">
        <v>0</v>
      </c>
      <c r="V3106" s="75">
        <v>1</v>
      </c>
      <c r="W3106" s="78">
        <v>0</v>
      </c>
    </row>
    <row r="3107" spans="1:23" s="75" customFormat="1" hidden="1" x14ac:dyDescent="0.35">
      <c r="A3107" s="75">
        <v>3103</v>
      </c>
      <c r="B3107" s="75">
        <v>3104</v>
      </c>
      <c r="C3107">
        <v>146.00135800000001</v>
      </c>
      <c r="D3107">
        <v>-17.49562182</v>
      </c>
      <c r="F3107" s="75" t="str">
        <f>HYPERLINK("E:\Data From Lucan\2024\Johnstone\Frames_for_Analysis\3104_20240610_0004_L_0282.jpg","3104_20240610_0004_L_0282.jpg")</f>
        <v>3104_20240610_0004_L_0282.jpg</v>
      </c>
      <c r="G3107" s="75">
        <v>9</v>
      </c>
      <c r="I3107">
        <f t="shared" si="48"/>
        <v>0</v>
      </c>
      <c r="J3107" s="75">
        <v>0</v>
      </c>
      <c r="K3107" s="77"/>
      <c r="L3107" s="77"/>
      <c r="M3107" s="77"/>
      <c r="N3107" s="77"/>
      <c r="O3107" s="75">
        <v>1</v>
      </c>
      <c r="P3107" s="75">
        <v>0</v>
      </c>
      <c r="Q3107" s="75">
        <v>0</v>
      </c>
      <c r="R3107" s="75">
        <v>0</v>
      </c>
      <c r="S3107" s="75">
        <v>0</v>
      </c>
      <c r="T3107" s="75">
        <v>0</v>
      </c>
      <c r="U3107" s="75">
        <v>0</v>
      </c>
      <c r="V3107" s="75">
        <v>1</v>
      </c>
      <c r="W3107" s="78">
        <v>0</v>
      </c>
    </row>
    <row r="3108" spans="1:23" s="75" customFormat="1" hidden="1" x14ac:dyDescent="0.35">
      <c r="A3108" s="75">
        <v>3104</v>
      </c>
      <c r="B3108" s="75">
        <v>3105</v>
      </c>
      <c r="C3108">
        <v>146.00135349999999</v>
      </c>
      <c r="D3108">
        <v>-17.495527630000002</v>
      </c>
      <c r="F3108" s="75" t="str">
        <f>HYPERLINK("E:\Data From Lucan\2024\Johnstone\Frames_for_Analysis\3105_20240610_0004_L_0285.jpg","3105_20240610_0004_L_0285.jpg")</f>
        <v>3105_20240610_0004_L_0285.jpg</v>
      </c>
      <c r="G3108" s="75">
        <v>9</v>
      </c>
      <c r="I3108">
        <f t="shared" si="48"/>
        <v>0</v>
      </c>
      <c r="J3108" s="75">
        <v>0</v>
      </c>
      <c r="K3108" s="77"/>
      <c r="L3108" s="77"/>
      <c r="M3108" s="77"/>
      <c r="N3108" s="77"/>
      <c r="O3108" s="75">
        <v>1</v>
      </c>
      <c r="P3108" s="75">
        <v>0</v>
      </c>
      <c r="Q3108" s="75">
        <v>0</v>
      </c>
      <c r="R3108" s="75">
        <v>0</v>
      </c>
      <c r="S3108" s="75">
        <v>0</v>
      </c>
      <c r="T3108" s="75">
        <v>0</v>
      </c>
      <c r="U3108" s="75">
        <v>0</v>
      </c>
      <c r="V3108" s="75">
        <v>0</v>
      </c>
      <c r="W3108" s="78">
        <v>0</v>
      </c>
    </row>
    <row r="3109" spans="1:23" s="75" customFormat="1" hidden="1" x14ac:dyDescent="0.35">
      <c r="A3109" s="75">
        <v>3105</v>
      </c>
      <c r="B3109" s="75">
        <v>3106</v>
      </c>
      <c r="C3109">
        <v>146.001349</v>
      </c>
      <c r="D3109">
        <v>-17.495433429999999</v>
      </c>
      <c r="F3109" s="75" t="str">
        <f>HYPERLINK("E:\Data From Lucan\2024\Johnstone\Frames_for_Analysis\3106_20240610_0004_L_0288.jpg","3106_20240610_0004_L_0288.jpg")</f>
        <v>3106_20240610_0004_L_0288.jpg</v>
      </c>
      <c r="G3109" s="75">
        <v>9</v>
      </c>
      <c r="I3109">
        <f t="shared" si="48"/>
        <v>0</v>
      </c>
      <c r="J3109" s="75">
        <v>0</v>
      </c>
      <c r="K3109" s="77"/>
      <c r="L3109" s="77"/>
      <c r="M3109" s="77"/>
      <c r="N3109" s="77"/>
      <c r="O3109" s="75">
        <v>1</v>
      </c>
      <c r="P3109" s="75">
        <v>0</v>
      </c>
      <c r="Q3109" s="75">
        <v>0</v>
      </c>
      <c r="R3109" s="75">
        <v>0</v>
      </c>
      <c r="S3109" s="75">
        <v>0</v>
      </c>
      <c r="T3109" s="75">
        <v>0</v>
      </c>
      <c r="U3109" s="75">
        <v>0</v>
      </c>
      <c r="V3109" s="75">
        <v>1</v>
      </c>
      <c r="W3109" s="78">
        <v>0</v>
      </c>
    </row>
    <row r="3110" spans="1:23" s="75" customFormat="1" hidden="1" x14ac:dyDescent="0.35">
      <c r="A3110" s="75">
        <v>3106</v>
      </c>
      <c r="B3110" s="75">
        <v>3107</v>
      </c>
      <c r="C3110">
        <v>146.00134449999999</v>
      </c>
      <c r="D3110">
        <v>-17.495339229999999</v>
      </c>
      <c r="F3110" s="75" t="str">
        <f>HYPERLINK("E:\Data From Lucan\2024\Johnstone\Frames_for_Analysis\3107_20240610_0004_L_0292.jpg","3107_20240610_0004_L_0292.jpg")</f>
        <v>3107_20240610_0004_L_0292.jpg</v>
      </c>
      <c r="G3110" s="75">
        <v>9</v>
      </c>
      <c r="I3110">
        <f t="shared" si="48"/>
        <v>0</v>
      </c>
      <c r="J3110" s="75">
        <v>0</v>
      </c>
      <c r="K3110" s="77"/>
      <c r="L3110" s="77"/>
      <c r="M3110" s="77"/>
      <c r="N3110" s="77"/>
      <c r="O3110" s="75">
        <v>1</v>
      </c>
      <c r="P3110" s="75">
        <v>0</v>
      </c>
      <c r="Q3110" s="75">
        <v>0</v>
      </c>
      <c r="R3110" s="75">
        <v>0</v>
      </c>
      <c r="S3110" s="75">
        <v>0</v>
      </c>
      <c r="T3110" s="75">
        <v>0</v>
      </c>
      <c r="U3110" s="75">
        <v>0</v>
      </c>
      <c r="V3110" s="75">
        <v>1</v>
      </c>
      <c r="W3110" s="78">
        <v>0</v>
      </c>
    </row>
    <row r="3111" spans="1:23" s="75" customFormat="1" hidden="1" x14ac:dyDescent="0.35">
      <c r="A3111" s="75">
        <v>3107</v>
      </c>
      <c r="B3111" s="75">
        <v>3108</v>
      </c>
      <c r="C3111">
        <v>146.00134</v>
      </c>
      <c r="D3111">
        <v>-17.49524504</v>
      </c>
      <c r="F3111" s="75" t="str">
        <f>HYPERLINK("E:\Data From Lucan\2024\Johnstone\Frames_for_Analysis\3108_20240610_0004_L_0295.jpg","3108_20240610_0004_L_0295.jpg")</f>
        <v>3108_20240610_0004_L_0295.jpg</v>
      </c>
      <c r="G3111" s="75">
        <v>9</v>
      </c>
      <c r="I3111">
        <f t="shared" si="48"/>
        <v>0</v>
      </c>
      <c r="J3111" s="75">
        <v>0</v>
      </c>
      <c r="K3111" s="77"/>
      <c r="L3111" s="77"/>
      <c r="M3111" s="77"/>
      <c r="N3111" s="77"/>
      <c r="O3111" s="75">
        <v>1</v>
      </c>
      <c r="P3111" s="75">
        <v>0</v>
      </c>
      <c r="Q3111" s="75">
        <v>0</v>
      </c>
      <c r="R3111" s="75">
        <v>0</v>
      </c>
      <c r="S3111" s="75">
        <v>0</v>
      </c>
      <c r="T3111" s="75">
        <v>0</v>
      </c>
      <c r="U3111" s="75">
        <v>0</v>
      </c>
      <c r="V3111" s="75">
        <v>0</v>
      </c>
      <c r="W3111" s="78">
        <v>0</v>
      </c>
    </row>
    <row r="3112" spans="1:23" s="75" customFormat="1" hidden="1" x14ac:dyDescent="0.35">
      <c r="A3112" s="75">
        <v>3108</v>
      </c>
      <c r="B3112" s="75">
        <v>3109</v>
      </c>
      <c r="C3112">
        <v>146.00133550000001</v>
      </c>
      <c r="D3112">
        <v>-17.495150840000001</v>
      </c>
      <c r="F3112" s="75" t="str">
        <f>HYPERLINK("E:\Data From Lucan\2024\Johnstone\Frames_for_Analysis\3109_20240610_0004_L_0297.jpg","3109_20240610_0004_L_0297.jpg")</f>
        <v>3109_20240610_0004_L_0297.jpg</v>
      </c>
      <c r="G3112" s="75">
        <v>9</v>
      </c>
      <c r="I3112">
        <f t="shared" si="48"/>
        <v>0</v>
      </c>
      <c r="J3112" s="75">
        <v>0</v>
      </c>
      <c r="K3112" s="77"/>
      <c r="L3112" s="77"/>
      <c r="M3112" s="77"/>
      <c r="N3112" s="77"/>
      <c r="O3112" s="75">
        <v>1</v>
      </c>
      <c r="P3112" s="75">
        <v>0</v>
      </c>
      <c r="Q3112" s="75">
        <v>0</v>
      </c>
      <c r="R3112" s="75">
        <v>0</v>
      </c>
      <c r="S3112" s="75">
        <v>0</v>
      </c>
      <c r="T3112" s="75">
        <v>0</v>
      </c>
      <c r="U3112" s="75">
        <v>0</v>
      </c>
      <c r="V3112" s="75">
        <v>0</v>
      </c>
      <c r="W3112" s="78">
        <v>0</v>
      </c>
    </row>
    <row r="3113" spans="1:23" s="75" customFormat="1" hidden="1" x14ac:dyDescent="0.35">
      <c r="A3113" s="75">
        <v>3109</v>
      </c>
      <c r="B3113" s="75">
        <v>3110</v>
      </c>
      <c r="C3113">
        <v>146.00133030000001</v>
      </c>
      <c r="D3113">
        <v>-17.495056680000001</v>
      </c>
      <c r="F3113" s="75" t="str">
        <f>HYPERLINK("E:\Data From Lucan\2024\Johnstone\Frames_for_Analysis\3110_20240610_0004_L_0301.jpg","3110_20240610_0004_L_0301.jpg")</f>
        <v>3110_20240610_0004_L_0301.jpg</v>
      </c>
      <c r="G3113" s="75">
        <v>9</v>
      </c>
      <c r="I3113">
        <f t="shared" si="48"/>
        <v>0</v>
      </c>
      <c r="J3113" s="75">
        <v>0</v>
      </c>
      <c r="K3113" s="77"/>
      <c r="L3113" s="77"/>
      <c r="M3113" s="77"/>
      <c r="N3113" s="77"/>
      <c r="O3113" s="75">
        <v>1</v>
      </c>
      <c r="P3113" s="75">
        <v>0</v>
      </c>
      <c r="Q3113" s="75">
        <v>0</v>
      </c>
      <c r="R3113" s="75">
        <v>0</v>
      </c>
      <c r="S3113" s="75">
        <v>0</v>
      </c>
      <c r="T3113" s="75">
        <v>0</v>
      </c>
      <c r="U3113" s="75">
        <v>0</v>
      </c>
      <c r="V3113" s="75">
        <v>0</v>
      </c>
      <c r="W3113" s="78">
        <v>0</v>
      </c>
    </row>
    <row r="3114" spans="1:23" s="75" customFormat="1" hidden="1" x14ac:dyDescent="0.35">
      <c r="A3114" s="75">
        <v>3110</v>
      </c>
      <c r="B3114" s="75">
        <v>3111</v>
      </c>
      <c r="C3114">
        <v>146.0013251</v>
      </c>
      <c r="D3114">
        <v>-17.494962520000001</v>
      </c>
      <c r="F3114" s="75" t="str">
        <f>HYPERLINK("E:\Data From Lucan\2024\Johnstone\Frames_for_Analysis\3111_20240610_0004_L_0304.jpg","3111_20240610_0004_L_0304.jpg")</f>
        <v>3111_20240610_0004_L_0304.jpg</v>
      </c>
      <c r="G3114" s="75">
        <v>9</v>
      </c>
      <c r="I3114">
        <f t="shared" si="48"/>
        <v>0</v>
      </c>
      <c r="J3114" s="75">
        <v>0</v>
      </c>
      <c r="K3114" s="77"/>
      <c r="L3114" s="77"/>
      <c r="M3114" s="77"/>
      <c r="N3114" s="77"/>
      <c r="O3114" s="75">
        <v>1</v>
      </c>
      <c r="P3114" s="75">
        <v>0</v>
      </c>
      <c r="Q3114" s="75">
        <v>0</v>
      </c>
      <c r="R3114" s="75">
        <v>0</v>
      </c>
      <c r="S3114" s="75">
        <v>0</v>
      </c>
      <c r="T3114" s="75">
        <v>0</v>
      </c>
      <c r="U3114" s="75">
        <v>0</v>
      </c>
      <c r="V3114" s="75">
        <v>0</v>
      </c>
      <c r="W3114" s="78">
        <v>0</v>
      </c>
    </row>
    <row r="3115" spans="1:23" s="75" customFormat="1" hidden="1" x14ac:dyDescent="0.35">
      <c r="A3115" s="75">
        <v>3111</v>
      </c>
      <c r="B3115" s="75">
        <v>3112</v>
      </c>
      <c r="C3115">
        <v>146.0013198</v>
      </c>
      <c r="D3115">
        <v>-17.494868360000002</v>
      </c>
      <c r="F3115" s="75" t="str">
        <f>HYPERLINK("E:\Data From Lucan\2024\Johnstone\Frames_for_Analysis\3112_20240610_0004_L_0307.jpg","3112_20240610_0004_L_0307.jpg")</f>
        <v>3112_20240610_0004_L_0307.jpg</v>
      </c>
      <c r="G3115" s="75">
        <v>9</v>
      </c>
      <c r="I3115">
        <f t="shared" si="48"/>
        <v>0</v>
      </c>
      <c r="J3115" s="75">
        <v>0</v>
      </c>
      <c r="K3115" s="77"/>
      <c r="L3115" s="77"/>
      <c r="M3115" s="77"/>
      <c r="N3115" s="77"/>
      <c r="O3115" s="75">
        <v>2</v>
      </c>
      <c r="P3115" s="75">
        <v>0</v>
      </c>
      <c r="Q3115" s="75">
        <v>0</v>
      </c>
      <c r="R3115" s="75">
        <v>0</v>
      </c>
      <c r="S3115" s="75">
        <v>0</v>
      </c>
      <c r="T3115" s="75">
        <v>0</v>
      </c>
      <c r="U3115" s="75">
        <v>0</v>
      </c>
      <c r="V3115" s="75">
        <v>0</v>
      </c>
      <c r="W3115" s="78">
        <v>1</v>
      </c>
    </row>
    <row r="3116" spans="1:23" s="75" customFormat="1" hidden="1" x14ac:dyDescent="0.35">
      <c r="A3116" s="75">
        <v>3112</v>
      </c>
      <c r="B3116" s="75">
        <v>3113</v>
      </c>
      <c r="C3116">
        <v>146.0013146</v>
      </c>
      <c r="D3116">
        <v>-17.494774199999998</v>
      </c>
      <c r="F3116" s="75" t="str">
        <f>HYPERLINK("E:\Data From Lucan\2024\Johnstone\Frames_for_Analysis\3113_20240610_0004_L_0310.jpg","3113_20240610_0004_L_0310.jpg")</f>
        <v>3113_20240610_0004_L_0310.jpg</v>
      </c>
      <c r="G3116" s="75">
        <v>9</v>
      </c>
      <c r="I3116">
        <f t="shared" si="48"/>
        <v>0</v>
      </c>
      <c r="J3116" s="75">
        <v>0</v>
      </c>
      <c r="K3116" s="77"/>
      <c r="L3116" s="77"/>
      <c r="M3116" s="77"/>
      <c r="N3116" s="77"/>
      <c r="O3116" s="75">
        <v>2</v>
      </c>
      <c r="P3116" s="75">
        <v>0</v>
      </c>
      <c r="Q3116" s="75">
        <v>0</v>
      </c>
      <c r="R3116" s="75">
        <v>0</v>
      </c>
      <c r="S3116" s="75">
        <v>0</v>
      </c>
      <c r="T3116" s="75">
        <v>0</v>
      </c>
      <c r="U3116" s="75">
        <v>0</v>
      </c>
      <c r="V3116" s="75">
        <v>0</v>
      </c>
      <c r="W3116" s="78">
        <v>1</v>
      </c>
    </row>
    <row r="3117" spans="1:23" s="75" customFormat="1" hidden="1" x14ac:dyDescent="0.35">
      <c r="A3117" s="75">
        <v>3113</v>
      </c>
      <c r="B3117" s="75">
        <v>3114</v>
      </c>
      <c r="C3117">
        <v>146.0013094</v>
      </c>
      <c r="D3117">
        <v>-17.494680039999999</v>
      </c>
      <c r="F3117" s="75" t="str">
        <f>HYPERLINK("E:\Data From Lucan\2024\Johnstone\Frames_for_Analysis\3114_20240610_0004_L_0313.jpg","3114_20240610_0004_L_0313.jpg")</f>
        <v>3114_20240610_0004_L_0313.jpg</v>
      </c>
      <c r="G3117" s="75">
        <v>9</v>
      </c>
      <c r="I3117">
        <f t="shared" si="48"/>
        <v>0</v>
      </c>
      <c r="J3117" s="75">
        <v>0</v>
      </c>
      <c r="K3117" s="77"/>
      <c r="L3117" s="77"/>
      <c r="M3117" s="77"/>
      <c r="N3117" s="77"/>
      <c r="O3117" s="75">
        <v>2</v>
      </c>
      <c r="P3117" s="75">
        <v>0</v>
      </c>
      <c r="Q3117" s="75">
        <v>0</v>
      </c>
      <c r="R3117" s="75">
        <v>0</v>
      </c>
      <c r="S3117" s="75">
        <v>0</v>
      </c>
      <c r="T3117" s="75">
        <v>0</v>
      </c>
      <c r="U3117" s="75">
        <v>0</v>
      </c>
      <c r="V3117" s="75">
        <v>0</v>
      </c>
      <c r="W3117" s="78">
        <v>1</v>
      </c>
    </row>
    <row r="3118" spans="1:23" s="75" customFormat="1" hidden="1" x14ac:dyDescent="0.35">
      <c r="A3118" s="75">
        <v>3114</v>
      </c>
      <c r="B3118" s="75">
        <v>3115</v>
      </c>
      <c r="C3118">
        <v>146.00130419999999</v>
      </c>
      <c r="D3118">
        <v>-17.494585879999999</v>
      </c>
      <c r="F3118" s="75" t="str">
        <f>HYPERLINK("E:\Data From Lucan\2024\Johnstone\Frames_for_Analysis\3115_20240610_0004_L_0316.jpg","3115_20240610_0004_L_0316.jpg")</f>
        <v>3115_20240610_0004_L_0316.jpg</v>
      </c>
      <c r="G3118" s="75">
        <v>9</v>
      </c>
      <c r="I3118">
        <f t="shared" si="48"/>
        <v>0</v>
      </c>
      <c r="J3118" s="75">
        <v>0</v>
      </c>
      <c r="K3118" s="77"/>
      <c r="L3118" s="77"/>
      <c r="M3118" s="77"/>
      <c r="N3118" s="77"/>
      <c r="O3118" s="75">
        <v>2</v>
      </c>
      <c r="P3118" s="75">
        <v>0</v>
      </c>
      <c r="Q3118" s="75">
        <v>0</v>
      </c>
      <c r="R3118" s="75">
        <v>0</v>
      </c>
      <c r="S3118" s="75">
        <v>0</v>
      </c>
      <c r="T3118" s="75">
        <v>0</v>
      </c>
      <c r="U3118" s="75">
        <v>0</v>
      </c>
      <c r="V3118" s="75">
        <v>0</v>
      </c>
      <c r="W3118" s="78">
        <v>1</v>
      </c>
    </row>
    <row r="3119" spans="1:23" s="75" customFormat="1" hidden="1" x14ac:dyDescent="0.35">
      <c r="A3119" s="75">
        <v>3115</v>
      </c>
      <c r="B3119" s="75">
        <v>3116</v>
      </c>
      <c r="C3119">
        <v>146.00129899999999</v>
      </c>
      <c r="D3119">
        <v>-17.49449173</v>
      </c>
      <c r="F3119" s="75" t="str">
        <f>HYPERLINK("E:\Data From Lucan\2024\Johnstone\Frames_for_Analysis\3116_20240610_0004_L_0320.jpg","3116_20240610_0004_L_0320.jpg")</f>
        <v>3116_20240610_0004_L_0320.jpg</v>
      </c>
      <c r="G3119" s="75">
        <v>9</v>
      </c>
      <c r="I3119">
        <f t="shared" si="48"/>
        <v>0</v>
      </c>
      <c r="J3119" s="75">
        <v>0</v>
      </c>
      <c r="K3119" s="77"/>
      <c r="L3119" s="77"/>
      <c r="M3119" s="77"/>
      <c r="N3119" s="77"/>
      <c r="O3119" s="75">
        <v>2</v>
      </c>
      <c r="P3119" s="75">
        <v>0</v>
      </c>
      <c r="Q3119" s="75">
        <v>0</v>
      </c>
      <c r="R3119" s="75">
        <v>0</v>
      </c>
      <c r="S3119" s="75">
        <v>0</v>
      </c>
      <c r="T3119" s="75">
        <v>0</v>
      </c>
      <c r="U3119" s="75">
        <v>0</v>
      </c>
      <c r="V3119" s="75">
        <v>0</v>
      </c>
      <c r="W3119" s="78">
        <v>1</v>
      </c>
    </row>
    <row r="3120" spans="1:23" s="75" customFormat="1" hidden="1" x14ac:dyDescent="0.35">
      <c r="A3120" s="75">
        <v>3116</v>
      </c>
      <c r="B3120" s="75">
        <v>3117</v>
      </c>
      <c r="C3120">
        <v>146.00129380000001</v>
      </c>
      <c r="D3120">
        <v>-17.49439757</v>
      </c>
      <c r="F3120" s="75" t="str">
        <f>HYPERLINK("E:\Data From Lucan\2024\Johnstone\Frames_for_Analysis\3117_20240610_0004_L_0324.jpg","3117_20240610_0004_L_0324.jpg")</f>
        <v>3117_20240610_0004_L_0324.jpg</v>
      </c>
      <c r="G3120" s="75">
        <v>9</v>
      </c>
      <c r="I3120">
        <f t="shared" si="48"/>
        <v>0</v>
      </c>
      <c r="J3120" s="75">
        <v>0</v>
      </c>
      <c r="K3120" s="77"/>
      <c r="L3120" s="77"/>
      <c r="M3120" s="77"/>
      <c r="N3120" s="77"/>
      <c r="O3120" s="75">
        <v>2</v>
      </c>
      <c r="P3120" s="75">
        <v>0</v>
      </c>
      <c r="Q3120" s="75">
        <v>0</v>
      </c>
      <c r="R3120" s="75">
        <v>0</v>
      </c>
      <c r="S3120" s="75">
        <v>0</v>
      </c>
      <c r="T3120" s="75">
        <v>0</v>
      </c>
      <c r="U3120" s="75">
        <v>0</v>
      </c>
      <c r="V3120" s="75">
        <v>0</v>
      </c>
      <c r="W3120" s="78">
        <v>1</v>
      </c>
    </row>
    <row r="3121" spans="1:23" s="75" customFormat="1" hidden="1" x14ac:dyDescent="0.35">
      <c r="A3121" s="75">
        <v>3117</v>
      </c>
      <c r="B3121" s="75">
        <v>3118</v>
      </c>
      <c r="C3121">
        <v>146.00128860000001</v>
      </c>
      <c r="D3121">
        <v>-17.494303410000001</v>
      </c>
      <c r="F3121" s="75" t="str">
        <f>HYPERLINK("E:\Data From Lucan\2024\Johnstone\Frames_for_Analysis\3118_20240610_0004_L_0328.jpg","3118_20240610_0004_L_0328.jpg")</f>
        <v>3118_20240610_0004_L_0328.jpg</v>
      </c>
      <c r="G3121" s="75">
        <v>9</v>
      </c>
      <c r="I3121">
        <f t="shared" si="48"/>
        <v>0</v>
      </c>
      <c r="J3121" s="75">
        <v>0</v>
      </c>
      <c r="K3121" s="77"/>
      <c r="L3121" s="77"/>
      <c r="M3121" s="77"/>
      <c r="N3121" s="77"/>
      <c r="O3121" s="75">
        <v>2</v>
      </c>
      <c r="P3121" s="75">
        <v>0</v>
      </c>
      <c r="Q3121" s="75">
        <v>0</v>
      </c>
      <c r="R3121" s="75">
        <v>0</v>
      </c>
      <c r="S3121" s="75">
        <v>0</v>
      </c>
      <c r="T3121" s="75">
        <v>0</v>
      </c>
      <c r="U3121" s="75">
        <v>0</v>
      </c>
      <c r="V3121" s="75">
        <v>0</v>
      </c>
      <c r="W3121" s="78">
        <v>1</v>
      </c>
    </row>
    <row r="3122" spans="1:23" s="75" customFormat="1" hidden="1" x14ac:dyDescent="0.35">
      <c r="A3122" s="75">
        <v>3118</v>
      </c>
      <c r="B3122" s="75">
        <v>3119</v>
      </c>
      <c r="C3122">
        <v>146.00128330000001</v>
      </c>
      <c r="D3122">
        <v>-17.494209250000001</v>
      </c>
      <c r="F3122" s="75" t="str">
        <f>HYPERLINK("E:\Data From Lucan\2024\Johnstone\Frames_for_Analysis\3119_20240610_0004_L_0331.jpg","3119_20240610_0004_L_0331.jpg")</f>
        <v>3119_20240610_0004_L_0331.jpg</v>
      </c>
      <c r="G3122" s="75">
        <v>9</v>
      </c>
      <c r="I3122">
        <f t="shared" si="48"/>
        <v>0</v>
      </c>
      <c r="J3122" s="75">
        <v>0</v>
      </c>
      <c r="K3122" s="77"/>
      <c r="L3122" s="77"/>
      <c r="M3122" s="77"/>
      <c r="N3122" s="77"/>
      <c r="O3122" s="75">
        <v>2</v>
      </c>
      <c r="P3122" s="75">
        <v>0</v>
      </c>
      <c r="Q3122" s="75">
        <v>0</v>
      </c>
      <c r="R3122" s="75">
        <v>0</v>
      </c>
      <c r="S3122" s="75">
        <v>0</v>
      </c>
      <c r="T3122" s="75">
        <v>0</v>
      </c>
      <c r="U3122" s="75">
        <v>0</v>
      </c>
      <c r="V3122" s="75">
        <v>0</v>
      </c>
      <c r="W3122" s="78">
        <v>1</v>
      </c>
    </row>
    <row r="3123" spans="1:23" s="75" customFormat="1" hidden="1" x14ac:dyDescent="0.35">
      <c r="A3123" s="75">
        <v>3119</v>
      </c>
      <c r="B3123" s="75">
        <v>3120</v>
      </c>
      <c r="C3123">
        <v>146.00127810000001</v>
      </c>
      <c r="D3123">
        <v>-17.494115090000001</v>
      </c>
      <c r="F3123" s="75" t="str">
        <f>HYPERLINK("E:\Data From Lucan\2024\Johnstone\Frames_for_Analysis\3120_20240610_0004_L_0335.jpg","3120_20240610_0004_L_0335.jpg")</f>
        <v>3120_20240610_0004_L_0335.jpg</v>
      </c>
      <c r="G3123" s="75">
        <v>9</v>
      </c>
      <c r="I3123">
        <f t="shared" si="48"/>
        <v>0</v>
      </c>
      <c r="J3123" s="75">
        <v>0</v>
      </c>
      <c r="K3123" s="77"/>
      <c r="L3123" s="77"/>
      <c r="M3123" s="77"/>
      <c r="N3123" s="77"/>
      <c r="O3123" s="75">
        <v>2</v>
      </c>
      <c r="P3123" s="75">
        <v>0</v>
      </c>
      <c r="Q3123" s="75">
        <v>0</v>
      </c>
      <c r="R3123" s="75">
        <v>0</v>
      </c>
      <c r="S3123" s="75">
        <v>1</v>
      </c>
      <c r="T3123" s="75">
        <v>0</v>
      </c>
      <c r="U3123" s="75">
        <v>0</v>
      </c>
      <c r="V3123" s="75">
        <v>0</v>
      </c>
      <c r="W3123" s="78">
        <v>1</v>
      </c>
    </row>
    <row r="3124" spans="1:23" s="75" customFormat="1" hidden="1" x14ac:dyDescent="0.35">
      <c r="A3124" s="75">
        <v>3120</v>
      </c>
      <c r="B3124" s="75">
        <v>3121</v>
      </c>
      <c r="C3124">
        <v>146.0012729</v>
      </c>
      <c r="D3124">
        <v>-17.494020930000001</v>
      </c>
      <c r="F3124" s="75" t="str">
        <f>HYPERLINK("E:\Data From Lucan\2024\Johnstone\Frames_for_Analysis\3121_20240610_0004_L_0339.jpg","3121_20240610_0004_L_0339.jpg")</f>
        <v>3121_20240610_0004_L_0339.jpg</v>
      </c>
      <c r="G3124" s="75">
        <v>9</v>
      </c>
      <c r="I3124">
        <f t="shared" si="48"/>
        <v>0</v>
      </c>
      <c r="J3124" s="75">
        <v>0</v>
      </c>
      <c r="K3124" s="77"/>
      <c r="L3124" s="77"/>
      <c r="M3124" s="77"/>
      <c r="N3124" s="77"/>
      <c r="O3124" s="75">
        <v>2</v>
      </c>
      <c r="P3124" s="75">
        <v>0</v>
      </c>
      <c r="Q3124" s="75">
        <v>0</v>
      </c>
      <c r="R3124" s="75">
        <v>0</v>
      </c>
      <c r="S3124" s="75">
        <v>0</v>
      </c>
      <c r="T3124" s="75">
        <v>0</v>
      </c>
      <c r="U3124" s="75">
        <v>0</v>
      </c>
      <c r="V3124" s="75">
        <v>0</v>
      </c>
      <c r="W3124" s="78">
        <v>1</v>
      </c>
    </row>
    <row r="3125" spans="1:23" s="75" customFormat="1" hidden="1" x14ac:dyDescent="0.35">
      <c r="A3125" s="75">
        <v>3121</v>
      </c>
      <c r="B3125" s="75">
        <v>3122</v>
      </c>
      <c r="C3125">
        <v>146.0012677</v>
      </c>
      <c r="D3125">
        <v>-17.493926770000002</v>
      </c>
      <c r="F3125" s="75" t="str">
        <f>HYPERLINK("E:\Data From Lucan\2024\Johnstone\Frames_for_Analysis\3122_20240610_0004_L_0343.jpg","3122_20240610_0004_L_0343.jpg")</f>
        <v>3122_20240610_0004_L_0343.jpg</v>
      </c>
      <c r="G3125" s="75">
        <v>9</v>
      </c>
      <c r="I3125">
        <f t="shared" si="48"/>
        <v>0</v>
      </c>
      <c r="J3125" s="75">
        <v>0</v>
      </c>
      <c r="K3125" s="77"/>
      <c r="L3125" s="77"/>
      <c r="M3125" s="77"/>
      <c r="N3125" s="77"/>
      <c r="O3125" s="75">
        <v>2</v>
      </c>
      <c r="P3125" s="75">
        <v>0</v>
      </c>
      <c r="Q3125" s="75">
        <v>0</v>
      </c>
      <c r="R3125" s="75">
        <v>0</v>
      </c>
      <c r="S3125" s="75">
        <v>0</v>
      </c>
      <c r="T3125" s="75">
        <v>0</v>
      </c>
      <c r="U3125" s="75">
        <v>0</v>
      </c>
      <c r="V3125" s="75">
        <v>0</v>
      </c>
      <c r="W3125" s="78">
        <v>1</v>
      </c>
    </row>
    <row r="3126" spans="1:23" s="75" customFormat="1" hidden="1" x14ac:dyDescent="0.35">
      <c r="A3126" s="75">
        <v>3122</v>
      </c>
      <c r="B3126" s="75">
        <v>3123</v>
      </c>
      <c r="C3126">
        <v>146.0012625</v>
      </c>
      <c r="D3126">
        <v>-17.493832609999998</v>
      </c>
      <c r="F3126" s="75" t="str">
        <f>HYPERLINK("E:\Data From Lucan\2024\Johnstone\Frames_for_Analysis\3123_20240610_0004_L_0347.jpg","3123_20240610_0004_L_0347.jpg")</f>
        <v>3123_20240610_0004_L_0347.jpg</v>
      </c>
      <c r="G3126" s="75">
        <v>9</v>
      </c>
      <c r="I3126">
        <f t="shared" si="48"/>
        <v>0</v>
      </c>
      <c r="J3126" s="75">
        <v>0</v>
      </c>
      <c r="K3126" s="77"/>
      <c r="L3126" s="77"/>
      <c r="M3126" s="77"/>
      <c r="N3126" s="77"/>
      <c r="O3126" s="75">
        <v>2</v>
      </c>
      <c r="P3126" s="75">
        <v>0</v>
      </c>
      <c r="Q3126" s="75">
        <v>0</v>
      </c>
      <c r="R3126" s="75">
        <v>0</v>
      </c>
      <c r="S3126" s="75">
        <v>0</v>
      </c>
      <c r="T3126" s="75">
        <v>0</v>
      </c>
      <c r="U3126" s="75">
        <v>0</v>
      </c>
      <c r="V3126" s="75">
        <v>0</v>
      </c>
      <c r="W3126" s="78">
        <v>1</v>
      </c>
    </row>
    <row r="3127" spans="1:23" s="75" customFormat="1" hidden="1" x14ac:dyDescent="0.35">
      <c r="A3127" s="75">
        <v>3123</v>
      </c>
      <c r="B3127" s="75">
        <v>3124</v>
      </c>
      <c r="C3127">
        <v>146.00125729999999</v>
      </c>
      <c r="D3127">
        <v>-17.493738449999999</v>
      </c>
      <c r="F3127" s="75" t="str">
        <f>HYPERLINK("E:\Data From Lucan\2024\Johnstone\Frames_for_Analysis\3124_20240610_0004_L_0351.jpg","3124_20240610_0004_L_0351.jpg")</f>
        <v>3124_20240610_0004_L_0351.jpg</v>
      </c>
      <c r="G3127" s="75">
        <v>9</v>
      </c>
      <c r="I3127">
        <f t="shared" si="48"/>
        <v>0</v>
      </c>
      <c r="J3127" s="75">
        <v>0</v>
      </c>
      <c r="K3127" s="77"/>
      <c r="L3127" s="77"/>
      <c r="M3127" s="77"/>
      <c r="N3127" s="77"/>
      <c r="O3127" s="75">
        <v>2</v>
      </c>
      <c r="P3127" s="75">
        <v>0</v>
      </c>
      <c r="Q3127" s="75">
        <v>0</v>
      </c>
      <c r="R3127" s="75">
        <v>0</v>
      </c>
      <c r="S3127" s="75">
        <v>0</v>
      </c>
      <c r="T3127" s="75">
        <v>0</v>
      </c>
      <c r="U3127" s="75">
        <v>0</v>
      </c>
      <c r="V3127" s="75">
        <v>0</v>
      </c>
      <c r="W3127" s="78">
        <v>1</v>
      </c>
    </row>
    <row r="3128" spans="1:23" s="75" customFormat="1" hidden="1" x14ac:dyDescent="0.35">
      <c r="A3128" s="75">
        <v>3124</v>
      </c>
      <c r="B3128" s="75">
        <v>3125</v>
      </c>
      <c r="C3128">
        <v>146.0012523</v>
      </c>
      <c r="D3128">
        <v>-17.493644280000002</v>
      </c>
      <c r="F3128" s="75" t="str">
        <f>HYPERLINK("E:\Data From Lucan\2024\Johnstone\Frames_for_Analysis\3125_20240610_0004_L_0354.jpg","3125_20240610_0004_L_0354.jpg")</f>
        <v>3125_20240610_0004_L_0354.jpg</v>
      </c>
      <c r="G3128" s="75">
        <v>9</v>
      </c>
      <c r="I3128">
        <f t="shared" si="48"/>
        <v>0</v>
      </c>
      <c r="J3128" s="75">
        <v>0</v>
      </c>
      <c r="K3128" s="77"/>
      <c r="L3128" s="77"/>
      <c r="M3128" s="77"/>
      <c r="N3128" s="77"/>
      <c r="O3128" s="75">
        <v>2</v>
      </c>
      <c r="P3128" s="75">
        <v>0</v>
      </c>
      <c r="Q3128" s="75">
        <v>0</v>
      </c>
      <c r="R3128" s="75">
        <v>0</v>
      </c>
      <c r="S3128" s="75">
        <v>0</v>
      </c>
      <c r="T3128" s="75">
        <v>0</v>
      </c>
      <c r="U3128" s="75">
        <v>0</v>
      </c>
      <c r="V3128" s="75">
        <v>0</v>
      </c>
      <c r="W3128" s="78">
        <v>1</v>
      </c>
    </row>
    <row r="3129" spans="1:23" s="75" customFormat="1" hidden="1" x14ac:dyDescent="0.35">
      <c r="A3129" s="75">
        <v>3125</v>
      </c>
      <c r="B3129" s="75">
        <v>3126</v>
      </c>
      <c r="C3129">
        <v>146.00124779999999</v>
      </c>
      <c r="D3129">
        <v>-17.493550079999999</v>
      </c>
      <c r="F3129" s="75" t="str">
        <f>HYPERLINK("E:\Data From Lucan\2024\Johnstone\Frames_for_Analysis\3126_20240610_0004_L_0358.jpg","3126_20240610_0004_L_0358.jpg")</f>
        <v>3126_20240610_0004_L_0358.jpg</v>
      </c>
      <c r="G3129" s="75">
        <v>9</v>
      </c>
      <c r="I3129">
        <f t="shared" si="48"/>
        <v>0</v>
      </c>
      <c r="J3129" s="75">
        <v>0</v>
      </c>
      <c r="K3129" s="77"/>
      <c r="L3129" s="77"/>
      <c r="M3129" s="77"/>
      <c r="N3129" s="77"/>
      <c r="O3129" s="75">
        <v>2</v>
      </c>
      <c r="P3129" s="75">
        <v>0</v>
      </c>
      <c r="Q3129" s="75">
        <v>0</v>
      </c>
      <c r="R3129" s="75">
        <v>0</v>
      </c>
      <c r="S3129" s="75">
        <v>0</v>
      </c>
      <c r="T3129" s="75">
        <v>0</v>
      </c>
      <c r="U3129" s="75">
        <v>0</v>
      </c>
      <c r="V3129" s="75">
        <v>0</v>
      </c>
      <c r="W3129" s="78">
        <v>1</v>
      </c>
    </row>
    <row r="3130" spans="1:23" s="75" customFormat="1" hidden="1" x14ac:dyDescent="0.35">
      <c r="A3130" s="75">
        <v>3126</v>
      </c>
      <c r="B3130" s="75">
        <v>3127</v>
      </c>
      <c r="C3130">
        <v>146.0012432</v>
      </c>
      <c r="D3130">
        <v>-17.49345589</v>
      </c>
      <c r="F3130" s="75" t="str">
        <f>HYPERLINK("E:\Data From Lucan\2024\Johnstone\Frames_for_Analysis\3127_20240610_0004_L_0362.jpg","3127_20240610_0004_L_0362.jpg")</f>
        <v>3127_20240610_0004_L_0362.jpg</v>
      </c>
      <c r="G3130" s="75">
        <v>9</v>
      </c>
      <c r="I3130">
        <f t="shared" si="48"/>
        <v>0</v>
      </c>
      <c r="J3130" s="75">
        <v>0</v>
      </c>
      <c r="K3130" s="77"/>
      <c r="L3130" s="77"/>
      <c r="M3130" s="77"/>
      <c r="N3130" s="77"/>
      <c r="O3130" s="75">
        <v>2</v>
      </c>
      <c r="P3130" s="75">
        <v>0</v>
      </c>
      <c r="Q3130" s="75">
        <v>0</v>
      </c>
      <c r="R3130" s="75">
        <v>0</v>
      </c>
      <c r="S3130" s="75">
        <v>0</v>
      </c>
      <c r="T3130" s="75">
        <v>0</v>
      </c>
      <c r="U3130" s="75">
        <v>0</v>
      </c>
      <c r="V3130" s="75">
        <v>0</v>
      </c>
      <c r="W3130" s="78">
        <v>1</v>
      </c>
    </row>
    <row r="3131" spans="1:23" s="75" customFormat="1" hidden="1" x14ac:dyDescent="0.35">
      <c r="A3131" s="75">
        <v>3127</v>
      </c>
      <c r="B3131" s="75">
        <v>3128</v>
      </c>
      <c r="C3131">
        <v>146.00123869999999</v>
      </c>
      <c r="D3131">
        <v>-17.493361700000001</v>
      </c>
      <c r="F3131" s="75" t="str">
        <f>HYPERLINK("E:\Data From Lucan\2024\Johnstone\Frames_for_Analysis\3128_20240610_0004_L_0365.jpg","3128_20240610_0004_L_0365.jpg")</f>
        <v>3128_20240610_0004_L_0365.jpg</v>
      </c>
      <c r="G3131" s="75">
        <v>9</v>
      </c>
      <c r="I3131">
        <f t="shared" si="48"/>
        <v>0</v>
      </c>
      <c r="J3131" s="75">
        <v>0</v>
      </c>
      <c r="K3131" s="77"/>
      <c r="L3131" s="77"/>
      <c r="M3131" s="77"/>
      <c r="N3131" s="77"/>
      <c r="O3131" s="75">
        <v>2</v>
      </c>
      <c r="P3131" s="75">
        <v>0</v>
      </c>
      <c r="Q3131" s="75">
        <v>0</v>
      </c>
      <c r="R3131" s="75">
        <v>0</v>
      </c>
      <c r="S3131" s="75">
        <v>0</v>
      </c>
      <c r="T3131" s="75">
        <v>0</v>
      </c>
      <c r="U3131" s="75">
        <v>0</v>
      </c>
      <c r="V3131" s="75">
        <v>0</v>
      </c>
      <c r="W3131" s="78">
        <v>1</v>
      </c>
    </row>
    <row r="3132" spans="1:23" s="75" customFormat="1" hidden="1" x14ac:dyDescent="0.35">
      <c r="A3132" s="75">
        <v>3128</v>
      </c>
      <c r="B3132" s="75">
        <v>3129</v>
      </c>
      <c r="C3132">
        <v>146.0012341</v>
      </c>
      <c r="D3132">
        <v>-17.493267500000002</v>
      </c>
      <c r="F3132" s="75" t="str">
        <f>HYPERLINK("E:\Data From Lucan\2024\Johnstone\Frames_for_Analysis\3129_20240610_0004_L_0369.jpg","3129_20240610_0004_L_0369.jpg")</f>
        <v>3129_20240610_0004_L_0369.jpg</v>
      </c>
      <c r="G3132" s="75">
        <v>9</v>
      </c>
      <c r="I3132">
        <f t="shared" si="48"/>
        <v>0</v>
      </c>
      <c r="J3132" s="75">
        <v>0</v>
      </c>
      <c r="K3132" s="77"/>
      <c r="L3132" s="77"/>
      <c r="M3132" s="77"/>
      <c r="N3132" s="77"/>
      <c r="O3132" s="75">
        <v>2</v>
      </c>
      <c r="P3132" s="75">
        <v>0</v>
      </c>
      <c r="Q3132" s="75">
        <v>1</v>
      </c>
      <c r="R3132" s="75">
        <v>0</v>
      </c>
      <c r="S3132" s="75">
        <v>1</v>
      </c>
      <c r="T3132" s="75">
        <v>0</v>
      </c>
      <c r="U3132" s="75">
        <v>0</v>
      </c>
      <c r="V3132" s="75">
        <v>0</v>
      </c>
      <c r="W3132" s="78">
        <v>1</v>
      </c>
    </row>
    <row r="3133" spans="1:23" s="75" customFormat="1" hidden="1" x14ac:dyDescent="0.35">
      <c r="A3133" s="75">
        <v>3129</v>
      </c>
      <c r="B3133" s="75">
        <v>3130</v>
      </c>
      <c r="C3133">
        <v>146.00122959999999</v>
      </c>
      <c r="D3133">
        <v>-17.49317331</v>
      </c>
      <c r="F3133" s="75" t="str">
        <f>HYPERLINK("E:\Data From Lucan\2024\Johnstone\Frames_for_Analysis\3130_20240610_0004_L_0372.jpg","3130_20240610_0004_L_0372.jpg")</f>
        <v>3130_20240610_0004_L_0372.jpg</v>
      </c>
      <c r="G3133" s="75">
        <v>9</v>
      </c>
      <c r="I3133">
        <f t="shared" si="48"/>
        <v>0</v>
      </c>
      <c r="J3133" s="75">
        <v>0</v>
      </c>
      <c r="K3133" s="77"/>
      <c r="L3133" s="77"/>
      <c r="M3133" s="77"/>
      <c r="N3133" s="77"/>
      <c r="O3133" s="75">
        <v>2</v>
      </c>
      <c r="P3133" s="75">
        <v>0</v>
      </c>
      <c r="Q3133" s="75">
        <v>1</v>
      </c>
      <c r="R3133" s="75">
        <v>0</v>
      </c>
      <c r="S3133" s="75">
        <v>0</v>
      </c>
      <c r="T3133" s="75">
        <v>0</v>
      </c>
      <c r="U3133" s="75">
        <v>0</v>
      </c>
      <c r="V3133" s="75">
        <v>0</v>
      </c>
      <c r="W3133" s="78">
        <v>1</v>
      </c>
    </row>
    <row r="3134" spans="1:23" s="75" customFormat="1" hidden="1" x14ac:dyDescent="0.35">
      <c r="A3134" s="75">
        <v>3130</v>
      </c>
      <c r="B3134" s="75">
        <v>3131</v>
      </c>
      <c r="C3134">
        <v>146.00122500000001</v>
      </c>
      <c r="D3134">
        <v>-17.49307911</v>
      </c>
      <c r="F3134" s="75" t="str">
        <f>HYPERLINK("E:\Data From Lucan\2024\Johnstone\Frames_for_Analysis\3131_20240610_0004_L_0376.jpg","3131_20240610_0004_L_0376.jpg")</f>
        <v>3131_20240610_0004_L_0376.jpg</v>
      </c>
      <c r="G3134" s="75">
        <v>9</v>
      </c>
      <c r="I3134">
        <f t="shared" si="48"/>
        <v>0</v>
      </c>
      <c r="J3134" s="75">
        <v>0</v>
      </c>
      <c r="K3134" s="77"/>
      <c r="L3134" s="77"/>
      <c r="M3134" s="77"/>
      <c r="N3134" s="77"/>
      <c r="O3134" s="75">
        <v>2</v>
      </c>
      <c r="P3134" s="75">
        <v>0</v>
      </c>
      <c r="Q3134" s="75">
        <v>1</v>
      </c>
      <c r="R3134" s="75">
        <v>0</v>
      </c>
      <c r="S3134" s="75">
        <v>0</v>
      </c>
      <c r="T3134" s="75">
        <v>0</v>
      </c>
      <c r="U3134" s="75">
        <v>0</v>
      </c>
      <c r="V3134" s="75">
        <v>0</v>
      </c>
      <c r="W3134" s="78">
        <v>1</v>
      </c>
    </row>
    <row r="3135" spans="1:23" s="75" customFormat="1" hidden="1" x14ac:dyDescent="0.35">
      <c r="A3135" s="75">
        <v>3131</v>
      </c>
      <c r="B3135" s="75">
        <v>3132</v>
      </c>
      <c r="C3135">
        <v>146.00122049999999</v>
      </c>
      <c r="D3135">
        <v>-17.492984920000001</v>
      </c>
      <c r="F3135" s="75" t="str">
        <f>HYPERLINK("E:\Data From Lucan\2024\Johnstone\Frames_for_Analysis\3132_20240610_0005_L_0008.jpg","3132_20240610_0005_L_0008.jpg")</f>
        <v>3132_20240610_0005_L_0008.jpg</v>
      </c>
      <c r="G3135" s="75">
        <v>9</v>
      </c>
      <c r="I3135">
        <f t="shared" si="48"/>
        <v>0</v>
      </c>
      <c r="J3135" s="75">
        <v>0</v>
      </c>
      <c r="K3135" s="77"/>
      <c r="L3135" s="77"/>
      <c r="M3135" s="77"/>
      <c r="N3135" s="77"/>
      <c r="O3135" s="75">
        <v>2</v>
      </c>
      <c r="P3135" s="75">
        <v>0</v>
      </c>
      <c r="Q3135" s="75">
        <v>1</v>
      </c>
      <c r="R3135" s="75">
        <v>0</v>
      </c>
      <c r="S3135" s="75">
        <v>0</v>
      </c>
      <c r="T3135" s="75">
        <v>0</v>
      </c>
      <c r="U3135" s="75">
        <v>0</v>
      </c>
      <c r="V3135" s="75">
        <v>0</v>
      </c>
      <c r="W3135" s="78">
        <v>1</v>
      </c>
    </row>
    <row r="3136" spans="1:23" s="75" customFormat="1" hidden="1" x14ac:dyDescent="0.35">
      <c r="A3136" s="75">
        <v>3132</v>
      </c>
      <c r="B3136" s="75">
        <v>3133</v>
      </c>
      <c r="C3136">
        <v>146.00121590000001</v>
      </c>
      <c r="D3136">
        <v>-17.492890729999999</v>
      </c>
      <c r="F3136" s="75" t="str">
        <f>HYPERLINK("E:\Data From Lucan\2024\Johnstone\Frames_for_Analysis\3133_20240610_0004_L_0383.jpg","3133_20240610_0004_L_0383.jpg")</f>
        <v>3133_20240610_0004_L_0383.jpg</v>
      </c>
      <c r="G3136" s="75">
        <v>9</v>
      </c>
      <c r="I3136">
        <f t="shared" si="48"/>
        <v>0</v>
      </c>
      <c r="J3136" s="75">
        <v>0</v>
      </c>
      <c r="K3136" s="77"/>
      <c r="L3136" s="77"/>
      <c r="M3136" s="77"/>
      <c r="N3136" s="77"/>
      <c r="O3136" s="75">
        <v>3</v>
      </c>
      <c r="P3136" s="75">
        <v>1</v>
      </c>
      <c r="Q3136" s="75">
        <v>1</v>
      </c>
      <c r="R3136" s="75">
        <v>0</v>
      </c>
      <c r="S3136" s="75">
        <v>0</v>
      </c>
      <c r="T3136" s="75">
        <v>0</v>
      </c>
      <c r="U3136" s="75">
        <v>0</v>
      </c>
      <c r="V3136" s="75">
        <v>0</v>
      </c>
      <c r="W3136" s="78">
        <v>2</v>
      </c>
    </row>
    <row r="3137" spans="1:23" s="75" customFormat="1" hidden="1" x14ac:dyDescent="0.35">
      <c r="A3137" s="75">
        <v>3133</v>
      </c>
      <c r="B3137" s="75">
        <v>3134</v>
      </c>
      <c r="C3137">
        <v>146.00121139999999</v>
      </c>
      <c r="D3137">
        <v>-17.49279653</v>
      </c>
      <c r="F3137" s="75" t="str">
        <f>HYPERLINK("E:\Data From Lucan\2024\Johnstone\Frames_for_Analysis\3134_20240610_0005_L_0019.jpg","3134_20240610_0005_L_0019.jpg")</f>
        <v>3134_20240610_0005_L_0019.jpg</v>
      </c>
      <c r="G3137" s="75">
        <v>9</v>
      </c>
      <c r="I3137">
        <f t="shared" si="48"/>
        <v>0</v>
      </c>
      <c r="J3137" s="75">
        <v>0</v>
      </c>
      <c r="K3137" s="77"/>
      <c r="L3137" s="77"/>
      <c r="M3137" s="77"/>
      <c r="N3137" s="77"/>
      <c r="O3137" s="75">
        <v>3</v>
      </c>
      <c r="P3137" s="75">
        <v>0</v>
      </c>
      <c r="Q3137" s="75">
        <v>0</v>
      </c>
      <c r="R3137" s="75">
        <v>0</v>
      </c>
      <c r="S3137" s="75">
        <v>0</v>
      </c>
      <c r="T3137" s="75">
        <v>0</v>
      </c>
      <c r="U3137" s="75">
        <v>0</v>
      </c>
      <c r="V3137" s="75">
        <v>0</v>
      </c>
      <c r="W3137" s="78">
        <v>2</v>
      </c>
    </row>
    <row r="3138" spans="1:23" s="75" customFormat="1" hidden="1" x14ac:dyDescent="0.35">
      <c r="A3138" s="75">
        <v>3134</v>
      </c>
      <c r="B3138" s="75">
        <v>3135</v>
      </c>
      <c r="C3138">
        <v>146.00120680000001</v>
      </c>
      <c r="D3138">
        <v>-17.492702340000001</v>
      </c>
      <c r="F3138" s="75" t="str">
        <f>HYPERLINK("E:\Data From Lucan\2024\Johnstone\Frames_for_Analysis\3135_20240610_0005_L_0023.jpg","3135_20240610_0005_L_0023.jpg")</f>
        <v>3135_20240610_0005_L_0023.jpg</v>
      </c>
      <c r="G3138" s="75">
        <v>9</v>
      </c>
      <c r="I3138">
        <f t="shared" si="48"/>
        <v>0</v>
      </c>
      <c r="J3138" s="75">
        <v>0</v>
      </c>
      <c r="K3138" s="77"/>
      <c r="L3138" s="77"/>
      <c r="M3138" s="77"/>
      <c r="N3138" s="77"/>
      <c r="O3138" s="75">
        <v>3</v>
      </c>
      <c r="P3138" s="75">
        <v>1</v>
      </c>
      <c r="Q3138" s="75">
        <v>1</v>
      </c>
      <c r="R3138" s="75">
        <v>0</v>
      </c>
      <c r="S3138" s="75">
        <v>0</v>
      </c>
      <c r="T3138" s="75">
        <v>0</v>
      </c>
      <c r="U3138" s="75">
        <v>0</v>
      </c>
      <c r="V3138" s="75">
        <v>0</v>
      </c>
      <c r="W3138" s="78">
        <v>2</v>
      </c>
    </row>
    <row r="3139" spans="1:23" s="75" customFormat="1" hidden="1" x14ac:dyDescent="0.35">
      <c r="A3139" s="75">
        <v>3135</v>
      </c>
      <c r="B3139" s="75">
        <v>3136</v>
      </c>
      <c r="C3139">
        <v>146.00120229999999</v>
      </c>
      <c r="D3139">
        <v>-17.492608149999999</v>
      </c>
      <c r="F3139" s="75" t="str">
        <f>HYPERLINK("E:\Data From Lucan\2024\Johnstone\Frames_for_Analysis\3136_20240610_0005_L_0026.jpg","3136_20240610_0005_L_0026.jpg")</f>
        <v>3136_20240610_0005_L_0026.jpg</v>
      </c>
      <c r="G3139" s="75">
        <v>9</v>
      </c>
      <c r="I3139">
        <f t="shared" si="48"/>
        <v>0</v>
      </c>
      <c r="J3139" s="75">
        <v>0</v>
      </c>
      <c r="K3139" s="77"/>
      <c r="L3139" s="77"/>
      <c r="M3139" s="77"/>
      <c r="N3139" s="77"/>
      <c r="O3139" s="75">
        <v>1</v>
      </c>
      <c r="P3139" s="75">
        <v>1</v>
      </c>
      <c r="Q3139" s="75">
        <v>1</v>
      </c>
      <c r="R3139" s="75">
        <v>0</v>
      </c>
      <c r="S3139" s="75">
        <v>0</v>
      </c>
      <c r="T3139" s="75">
        <v>0</v>
      </c>
      <c r="U3139" s="75">
        <v>0</v>
      </c>
      <c r="V3139" s="75">
        <v>1</v>
      </c>
      <c r="W3139" s="78">
        <v>0</v>
      </c>
    </row>
    <row r="3140" spans="1:23" s="75" customFormat="1" hidden="1" x14ac:dyDescent="0.35">
      <c r="A3140" s="75">
        <v>3136</v>
      </c>
      <c r="B3140" s="75">
        <v>3137</v>
      </c>
      <c r="C3140">
        <v>146.00119770000001</v>
      </c>
      <c r="D3140">
        <v>-17.492513949999999</v>
      </c>
      <c r="F3140" s="75" t="str">
        <f>HYPERLINK("E:\Data From Lucan\2024\Johnstone\Frames_for_Analysis\3137_20240610_0005_L_0031.jpg","3137_20240610_0005_L_0031.jpg")</f>
        <v>3137_20240610_0005_L_0031.jpg</v>
      </c>
      <c r="G3140" s="75">
        <v>9</v>
      </c>
      <c r="I3140">
        <f t="shared" si="48"/>
        <v>0</v>
      </c>
      <c r="J3140" s="75">
        <v>0</v>
      </c>
      <c r="K3140" s="77"/>
      <c r="L3140" s="77"/>
      <c r="M3140" s="77"/>
      <c r="N3140" s="77"/>
      <c r="O3140" s="75">
        <v>1</v>
      </c>
      <c r="P3140" s="75">
        <v>0</v>
      </c>
      <c r="Q3140" s="75">
        <v>0</v>
      </c>
      <c r="R3140" s="75">
        <v>0</v>
      </c>
      <c r="S3140" s="75">
        <v>0</v>
      </c>
      <c r="T3140" s="75">
        <v>0</v>
      </c>
      <c r="U3140" s="75">
        <v>0</v>
      </c>
      <c r="V3140" s="75">
        <v>1</v>
      </c>
      <c r="W3140" s="78">
        <v>0</v>
      </c>
    </row>
    <row r="3141" spans="1:23" s="75" customFormat="1" hidden="1" x14ac:dyDescent="0.35">
      <c r="A3141" s="75">
        <v>3137</v>
      </c>
      <c r="B3141" s="75">
        <v>3138</v>
      </c>
      <c r="C3141">
        <v>146.00119319999999</v>
      </c>
      <c r="D3141">
        <v>-17.492419760000001</v>
      </c>
      <c r="F3141" s="75" t="str">
        <f>HYPERLINK("E:\Data From Lucan\2024\Johnstone\Frames_for_Analysis\3138_20240610_0005_L_0034.jpg","3138_20240610_0005_L_0034.jpg")</f>
        <v>3138_20240610_0005_L_0034.jpg</v>
      </c>
      <c r="G3141" s="75">
        <v>9</v>
      </c>
      <c r="I3141">
        <f t="shared" ref="I3141:I3204" si="49">IF(H3141="X","X",IF(J3141="NA","X",IF(J3141="","X",J3141)))</f>
        <v>0</v>
      </c>
      <c r="J3141" s="75">
        <v>0</v>
      </c>
      <c r="K3141" s="77"/>
      <c r="L3141" s="77"/>
      <c r="M3141" s="77"/>
      <c r="N3141" s="77"/>
      <c r="O3141" s="75">
        <v>1</v>
      </c>
      <c r="P3141" s="75">
        <v>0</v>
      </c>
      <c r="Q3141" s="75">
        <v>0</v>
      </c>
      <c r="R3141" s="75">
        <v>0</v>
      </c>
      <c r="S3141" s="75">
        <v>0</v>
      </c>
      <c r="T3141" s="75">
        <v>0</v>
      </c>
      <c r="U3141" s="75">
        <v>0</v>
      </c>
      <c r="V3141" s="75">
        <v>1</v>
      </c>
      <c r="W3141" s="78">
        <v>0</v>
      </c>
    </row>
    <row r="3142" spans="1:23" s="75" customFormat="1" hidden="1" x14ac:dyDescent="0.35">
      <c r="A3142" s="75">
        <v>3138</v>
      </c>
      <c r="B3142" s="75">
        <v>3139</v>
      </c>
      <c r="C3142">
        <v>146.00118860000001</v>
      </c>
      <c r="D3142">
        <v>-17.492325569999998</v>
      </c>
      <c r="F3142" s="75" t="str">
        <f>HYPERLINK("E:\Data From Lucan\2024\Johnstone\Frames_for_Analysis\3139_20240610_0005_L_0037.jpg","3139_20240610_0005_L_0037.jpg")</f>
        <v>3139_20240610_0005_L_0037.jpg</v>
      </c>
      <c r="G3142" s="75">
        <v>9</v>
      </c>
      <c r="I3142">
        <f t="shared" si="49"/>
        <v>0</v>
      </c>
      <c r="J3142" s="75">
        <v>0</v>
      </c>
      <c r="K3142" s="77"/>
      <c r="L3142" s="77"/>
      <c r="M3142" s="77"/>
      <c r="N3142" s="77"/>
      <c r="O3142" s="75">
        <v>1</v>
      </c>
      <c r="P3142" s="75">
        <v>0</v>
      </c>
      <c r="Q3142" s="75">
        <v>0</v>
      </c>
      <c r="R3142" s="75">
        <v>0</v>
      </c>
      <c r="S3142" s="75">
        <v>0</v>
      </c>
      <c r="T3142" s="75">
        <v>0</v>
      </c>
      <c r="U3142" s="75">
        <v>0</v>
      </c>
      <c r="V3142" s="75">
        <v>0</v>
      </c>
      <c r="W3142" s="78">
        <v>0</v>
      </c>
    </row>
    <row r="3143" spans="1:23" s="75" customFormat="1" hidden="1" x14ac:dyDescent="0.35">
      <c r="A3143" s="75">
        <v>3139</v>
      </c>
      <c r="B3143" s="75">
        <v>3140</v>
      </c>
      <c r="C3143">
        <v>146.00118409999999</v>
      </c>
      <c r="D3143">
        <v>-17.492231369999999</v>
      </c>
      <c r="F3143" s="75" t="str">
        <f>HYPERLINK("E:\Data From Lucan\2024\Johnstone\Frames_for_Analysis\3140_20240610_0005_L_0040.jpg","3140_20240610_0005_L_0040.jpg")</f>
        <v>3140_20240610_0005_L_0040.jpg</v>
      </c>
      <c r="G3143" s="75">
        <v>9</v>
      </c>
      <c r="I3143">
        <f t="shared" si="49"/>
        <v>0</v>
      </c>
      <c r="J3143" s="75">
        <v>0</v>
      </c>
      <c r="K3143" s="77"/>
      <c r="L3143" s="77"/>
      <c r="M3143" s="77"/>
      <c r="N3143" s="77"/>
      <c r="O3143" s="75">
        <v>1</v>
      </c>
      <c r="P3143" s="75">
        <v>0</v>
      </c>
      <c r="Q3143" s="75">
        <v>0</v>
      </c>
      <c r="R3143" s="75">
        <v>0</v>
      </c>
      <c r="S3143" s="75">
        <v>0</v>
      </c>
      <c r="T3143" s="75">
        <v>0</v>
      </c>
      <c r="U3143" s="75">
        <v>0</v>
      </c>
      <c r="V3143" s="75">
        <v>0</v>
      </c>
      <c r="W3143" s="78">
        <v>0</v>
      </c>
    </row>
    <row r="3144" spans="1:23" s="75" customFormat="1" hidden="1" x14ac:dyDescent="0.35">
      <c r="A3144" s="75">
        <v>3140</v>
      </c>
      <c r="B3144" s="75">
        <v>3141</v>
      </c>
      <c r="C3144">
        <v>146.00117950000001</v>
      </c>
      <c r="D3144">
        <v>-17.49213718</v>
      </c>
      <c r="F3144" s="75" t="str">
        <f>HYPERLINK("E:\Data From Lucan\2024\Johnstone\Frames_for_Analysis\3141_20240610_0005_L_0043.jpg","3141_20240610_0005_L_0043.jpg")</f>
        <v>3141_20240610_0005_L_0043.jpg</v>
      </c>
      <c r="G3144" s="75">
        <v>9</v>
      </c>
      <c r="I3144">
        <f t="shared" si="49"/>
        <v>0</v>
      </c>
      <c r="J3144" s="75">
        <v>0</v>
      </c>
      <c r="K3144" s="77"/>
      <c r="L3144" s="77"/>
      <c r="M3144" s="77"/>
      <c r="N3144" s="77"/>
      <c r="O3144" s="75">
        <v>1</v>
      </c>
      <c r="P3144" s="75">
        <v>0</v>
      </c>
      <c r="Q3144" s="75">
        <v>0</v>
      </c>
      <c r="R3144" s="75">
        <v>0</v>
      </c>
      <c r="S3144" s="75">
        <v>0</v>
      </c>
      <c r="T3144" s="75">
        <v>0</v>
      </c>
      <c r="U3144" s="75">
        <v>0</v>
      </c>
      <c r="V3144" s="75">
        <v>0</v>
      </c>
      <c r="W3144" s="78">
        <v>0</v>
      </c>
    </row>
    <row r="3145" spans="1:23" s="75" customFormat="1" hidden="1" x14ac:dyDescent="0.35">
      <c r="A3145" s="75">
        <v>3141</v>
      </c>
      <c r="B3145" s="75">
        <v>3142</v>
      </c>
      <c r="C3145">
        <v>146.00117499999999</v>
      </c>
      <c r="D3145">
        <v>-17.492042980000001</v>
      </c>
      <c r="F3145" s="75" t="str">
        <f>HYPERLINK("E:\Data From Lucan\2024\Johnstone\Frames_for_Analysis\3142_20240610_0005_L_0047.jpg","3142_20240610_0005_L_0047.jpg")</f>
        <v>3142_20240610_0005_L_0047.jpg</v>
      </c>
      <c r="G3145" s="75">
        <v>9</v>
      </c>
      <c r="I3145">
        <f t="shared" si="49"/>
        <v>0</v>
      </c>
      <c r="J3145" s="75">
        <v>0</v>
      </c>
      <c r="K3145" s="77"/>
      <c r="L3145" s="77"/>
      <c r="M3145" s="77"/>
      <c r="N3145" s="77"/>
      <c r="O3145" s="75">
        <v>1</v>
      </c>
      <c r="P3145" s="75">
        <v>0</v>
      </c>
      <c r="Q3145" s="75">
        <v>0</v>
      </c>
      <c r="R3145" s="75">
        <v>0</v>
      </c>
      <c r="S3145" s="75">
        <v>0</v>
      </c>
      <c r="T3145" s="75">
        <v>0</v>
      </c>
      <c r="U3145" s="75">
        <v>0</v>
      </c>
      <c r="V3145" s="75">
        <v>0</v>
      </c>
      <c r="W3145" s="78">
        <v>0</v>
      </c>
    </row>
    <row r="3146" spans="1:23" s="75" customFormat="1" hidden="1" x14ac:dyDescent="0.35">
      <c r="A3146" s="75">
        <v>3142</v>
      </c>
      <c r="B3146" s="75">
        <v>3143</v>
      </c>
      <c r="C3146">
        <v>146.00116510000001</v>
      </c>
      <c r="D3146">
        <v>-17.491949229999999</v>
      </c>
      <c r="F3146" s="75" t="str">
        <f>HYPERLINK("E:\Data From Lucan\2024\Johnstone\Frames_for_Analysis\3143_20240610_0005_L_0050.jpg","3143_20240610_0005_L_0050.jpg")</f>
        <v>3143_20240610_0005_L_0050.jpg</v>
      </c>
      <c r="G3146" s="75">
        <v>9</v>
      </c>
      <c r="I3146">
        <f t="shared" si="49"/>
        <v>0</v>
      </c>
      <c r="J3146" s="75">
        <v>0</v>
      </c>
      <c r="K3146" s="77"/>
      <c r="L3146" s="77"/>
      <c r="M3146" s="77"/>
      <c r="N3146" s="77"/>
      <c r="O3146" s="75">
        <v>1</v>
      </c>
      <c r="P3146" s="75">
        <v>0</v>
      </c>
      <c r="Q3146" s="75">
        <v>0</v>
      </c>
      <c r="R3146" s="75">
        <v>0</v>
      </c>
      <c r="S3146" s="75">
        <v>0</v>
      </c>
      <c r="T3146" s="75">
        <v>0</v>
      </c>
      <c r="U3146" s="75">
        <v>0</v>
      </c>
      <c r="V3146" s="75">
        <v>0</v>
      </c>
      <c r="W3146" s="78">
        <v>0</v>
      </c>
    </row>
    <row r="3147" spans="1:23" s="75" customFormat="1" hidden="1" x14ac:dyDescent="0.35">
      <c r="A3147" s="75">
        <v>3143</v>
      </c>
      <c r="B3147" s="75">
        <v>3144</v>
      </c>
      <c r="C3147">
        <v>146.0011543</v>
      </c>
      <c r="D3147">
        <v>-17.49185555</v>
      </c>
      <c r="F3147" s="75" t="str">
        <f>HYPERLINK("E:\Data From Lucan\2024\Johnstone\Frames_for_Analysis\3144_20240610_0005_L_0052.jpg","3144_20240610_0005_L_0052.jpg")</f>
        <v>3144_20240610_0005_L_0052.jpg</v>
      </c>
      <c r="G3147" s="75">
        <v>9</v>
      </c>
      <c r="I3147">
        <f t="shared" si="49"/>
        <v>0</v>
      </c>
      <c r="J3147" s="75">
        <v>0</v>
      </c>
      <c r="K3147" s="77"/>
      <c r="L3147" s="77"/>
      <c r="M3147" s="77"/>
      <c r="N3147" s="77"/>
      <c r="O3147" s="75">
        <v>1</v>
      </c>
      <c r="P3147" s="75">
        <v>0</v>
      </c>
      <c r="Q3147" s="75">
        <v>0</v>
      </c>
      <c r="R3147" s="75">
        <v>0</v>
      </c>
      <c r="S3147" s="75">
        <v>0</v>
      </c>
      <c r="T3147" s="75">
        <v>0</v>
      </c>
      <c r="U3147" s="75">
        <v>0</v>
      </c>
      <c r="V3147" s="75">
        <v>0</v>
      </c>
      <c r="W3147" s="78">
        <v>0</v>
      </c>
    </row>
    <row r="3148" spans="1:23" s="75" customFormat="1" hidden="1" x14ac:dyDescent="0.35">
      <c r="A3148" s="75">
        <v>3144</v>
      </c>
      <c r="B3148" s="75">
        <v>3145</v>
      </c>
      <c r="C3148">
        <v>146.00114350000001</v>
      </c>
      <c r="D3148">
        <v>-17.491761870000001</v>
      </c>
      <c r="F3148" s="75" t="str">
        <f>HYPERLINK("E:\Data From Lucan\2024\Johnstone\Frames_for_Analysis\3145_20240610_0003_L_4377.jpg","3145_20240610_0003_L_4377.jpg")</f>
        <v>3145_20240610_0003_L_4377.jpg</v>
      </c>
      <c r="G3148" s="75">
        <v>9</v>
      </c>
      <c r="I3148">
        <f t="shared" si="49"/>
        <v>0</v>
      </c>
      <c r="J3148" s="75">
        <v>0</v>
      </c>
      <c r="K3148" s="77"/>
      <c r="L3148" s="77"/>
      <c r="M3148" s="77"/>
      <c r="N3148" s="77"/>
      <c r="O3148" s="75">
        <v>1</v>
      </c>
      <c r="P3148" s="75">
        <v>0</v>
      </c>
      <c r="Q3148" s="75">
        <v>0</v>
      </c>
      <c r="R3148" s="75">
        <v>0</v>
      </c>
      <c r="S3148" s="75">
        <v>0</v>
      </c>
      <c r="T3148" s="75">
        <v>0</v>
      </c>
      <c r="U3148" s="75">
        <v>0</v>
      </c>
      <c r="V3148" s="75">
        <v>0</v>
      </c>
      <c r="W3148" s="78">
        <v>0</v>
      </c>
    </row>
    <row r="3149" spans="1:23" s="75" customFormat="1" hidden="1" x14ac:dyDescent="0.35">
      <c r="A3149" s="75">
        <v>3145</v>
      </c>
      <c r="B3149" s="75">
        <v>3146</v>
      </c>
      <c r="C3149">
        <v>146.00113260000001</v>
      </c>
      <c r="D3149">
        <v>-17.491668189999999</v>
      </c>
      <c r="F3149" s="75" t="str">
        <f>HYPERLINK("E:\Data From Lucan\2024\Johnstone\Frames_for_Analysis\3146_20240610_0005_L_0058.jpg","3146_20240610_0005_L_0058.jpg")</f>
        <v>3146_20240610_0005_L_0058.jpg</v>
      </c>
      <c r="G3149" s="75">
        <v>9</v>
      </c>
      <c r="I3149">
        <f t="shared" si="49"/>
        <v>0</v>
      </c>
      <c r="J3149" s="75">
        <v>0</v>
      </c>
      <c r="K3149" s="77"/>
      <c r="L3149" s="77"/>
      <c r="M3149" s="77"/>
      <c r="N3149" s="77"/>
      <c r="O3149" s="75">
        <v>1</v>
      </c>
      <c r="P3149" s="75">
        <v>0</v>
      </c>
      <c r="Q3149" s="75">
        <v>0</v>
      </c>
      <c r="R3149" s="75">
        <v>0</v>
      </c>
      <c r="S3149" s="75">
        <v>0</v>
      </c>
      <c r="T3149" s="75">
        <v>0</v>
      </c>
      <c r="U3149" s="75">
        <v>0</v>
      </c>
      <c r="V3149" s="75">
        <v>0</v>
      </c>
      <c r="W3149" s="78">
        <v>0</v>
      </c>
    </row>
    <row r="3150" spans="1:23" s="75" customFormat="1" hidden="1" x14ac:dyDescent="0.35">
      <c r="A3150" s="75">
        <v>3146</v>
      </c>
      <c r="B3150" s="75">
        <v>3147</v>
      </c>
      <c r="C3150">
        <v>146.00112179999999</v>
      </c>
      <c r="D3150">
        <v>-17.49157451</v>
      </c>
      <c r="F3150" s="75" t="str">
        <f>HYPERLINK("E:\Data From Lucan\2024\Johnstone\Frames_for_Analysis\3147_20240610_0005_L_0060.jpg","3147_20240610_0005_L_0060.jpg")</f>
        <v>3147_20240610_0005_L_0060.jpg</v>
      </c>
      <c r="G3150" s="75">
        <v>9</v>
      </c>
      <c r="I3150">
        <f t="shared" si="49"/>
        <v>0</v>
      </c>
      <c r="J3150" s="75">
        <v>0</v>
      </c>
      <c r="K3150" s="77"/>
      <c r="L3150" s="77"/>
      <c r="M3150" s="77"/>
      <c r="N3150" s="77"/>
      <c r="O3150" s="75">
        <v>1</v>
      </c>
      <c r="P3150" s="75">
        <v>0</v>
      </c>
      <c r="Q3150" s="75">
        <v>0</v>
      </c>
      <c r="R3150" s="75">
        <v>0</v>
      </c>
      <c r="S3150" s="75">
        <v>0</v>
      </c>
      <c r="T3150" s="75">
        <v>0</v>
      </c>
      <c r="U3150" s="75">
        <v>0</v>
      </c>
      <c r="V3150" s="75">
        <v>0</v>
      </c>
      <c r="W3150" s="78">
        <v>0</v>
      </c>
    </row>
    <row r="3151" spans="1:23" s="75" customFormat="1" hidden="1" x14ac:dyDescent="0.35">
      <c r="A3151" s="75">
        <v>3147</v>
      </c>
      <c r="B3151" s="75">
        <v>3148</v>
      </c>
      <c r="C3151">
        <v>146.00111100000001</v>
      </c>
      <c r="D3151">
        <v>-17.49148083</v>
      </c>
      <c r="F3151" s="75" t="str">
        <f>HYPERLINK("E:\Data From Lucan\2024\Johnstone\Frames_for_Analysis\3148_20240610_0005_L_0063.jpg","3148_20240610_0005_L_0063.jpg")</f>
        <v>3148_20240610_0005_L_0063.jpg</v>
      </c>
      <c r="G3151" s="75">
        <v>9</v>
      </c>
      <c r="I3151">
        <f t="shared" si="49"/>
        <v>0</v>
      </c>
      <c r="J3151" s="75">
        <v>0</v>
      </c>
      <c r="K3151" s="77"/>
      <c r="L3151" s="77"/>
      <c r="M3151" s="77"/>
      <c r="N3151" s="77"/>
      <c r="O3151" s="75">
        <v>1</v>
      </c>
      <c r="P3151" s="75">
        <v>0</v>
      </c>
      <c r="Q3151" s="75">
        <v>0</v>
      </c>
      <c r="R3151" s="75">
        <v>0</v>
      </c>
      <c r="S3151" s="75">
        <v>0</v>
      </c>
      <c r="T3151" s="75">
        <v>0</v>
      </c>
      <c r="U3151" s="75">
        <v>0</v>
      </c>
      <c r="V3151" s="75">
        <v>0</v>
      </c>
      <c r="W3151" s="78">
        <v>0</v>
      </c>
    </row>
    <row r="3152" spans="1:23" s="75" customFormat="1" hidden="1" x14ac:dyDescent="0.35">
      <c r="A3152" s="75">
        <v>3148</v>
      </c>
      <c r="B3152" s="75">
        <v>3149</v>
      </c>
      <c r="C3152">
        <v>146.0011001</v>
      </c>
      <c r="D3152">
        <v>-17.491387150000001</v>
      </c>
      <c r="F3152" s="75" t="str">
        <f>HYPERLINK("E:\Data From Lucan\2024\Johnstone\Frames_for_Analysis\3149_20240610_0005_L_0066.jpg","3149_20240610_0005_L_0066.jpg")</f>
        <v>3149_20240610_0005_L_0066.jpg</v>
      </c>
      <c r="G3152" s="75">
        <v>9</v>
      </c>
      <c r="I3152">
        <f t="shared" si="49"/>
        <v>0</v>
      </c>
      <c r="J3152" s="75">
        <v>0</v>
      </c>
      <c r="K3152" s="77"/>
      <c r="L3152" s="77"/>
      <c r="M3152" s="77"/>
      <c r="N3152" s="77"/>
      <c r="O3152" s="75">
        <v>1</v>
      </c>
      <c r="P3152" s="75">
        <v>0</v>
      </c>
      <c r="Q3152" s="75">
        <v>0</v>
      </c>
      <c r="R3152" s="75">
        <v>0</v>
      </c>
      <c r="S3152" s="75">
        <v>0</v>
      </c>
      <c r="T3152" s="75">
        <v>0</v>
      </c>
      <c r="U3152" s="75">
        <v>0</v>
      </c>
      <c r="V3152" s="75">
        <v>0</v>
      </c>
      <c r="W3152" s="78">
        <v>0</v>
      </c>
    </row>
    <row r="3153" spans="1:23" s="75" customFormat="1" hidden="1" x14ac:dyDescent="0.35">
      <c r="A3153" s="75">
        <v>3149</v>
      </c>
      <c r="B3153" s="75">
        <v>3150</v>
      </c>
      <c r="C3153">
        <v>146.00108929999999</v>
      </c>
      <c r="D3153">
        <v>-17.491293469999999</v>
      </c>
      <c r="F3153" s="75" t="str">
        <f>HYPERLINK("E:\Data From Lucan\2024\Johnstone\Frames_for_Analysis\3150_20240610_0005_L_0068.jpg","3150_20240610_0005_L_0068.jpg")</f>
        <v>3150_20240610_0005_L_0068.jpg</v>
      </c>
      <c r="G3153" s="75">
        <v>9</v>
      </c>
      <c r="I3153">
        <f t="shared" si="49"/>
        <v>0</v>
      </c>
      <c r="J3153" s="75">
        <v>0</v>
      </c>
      <c r="K3153" s="77"/>
      <c r="L3153" s="77"/>
      <c r="M3153" s="77"/>
      <c r="N3153" s="77"/>
      <c r="O3153" s="75">
        <v>1</v>
      </c>
      <c r="P3153" s="75">
        <v>0</v>
      </c>
      <c r="Q3153" s="75">
        <v>0</v>
      </c>
      <c r="R3153" s="75">
        <v>0</v>
      </c>
      <c r="S3153" s="75">
        <v>0</v>
      </c>
      <c r="T3153" s="75">
        <v>0</v>
      </c>
      <c r="U3153" s="75">
        <v>0</v>
      </c>
      <c r="V3153" s="75">
        <v>0</v>
      </c>
      <c r="W3153" s="78">
        <v>0</v>
      </c>
    </row>
    <row r="3154" spans="1:23" s="75" customFormat="1" hidden="1" x14ac:dyDescent="0.35">
      <c r="A3154" s="75">
        <v>3150</v>
      </c>
      <c r="B3154" s="75">
        <v>3151</v>
      </c>
      <c r="C3154">
        <v>146.00107850000001</v>
      </c>
      <c r="D3154">
        <v>-17.49119979</v>
      </c>
      <c r="F3154" s="75" t="str">
        <f>HYPERLINK("E:\Data From Lucan\2024\Johnstone\Frames_for_Analysis\3151_20240610_0005_L_0071.jpg","3151_20240610_0005_L_0071.jpg")</f>
        <v>3151_20240610_0005_L_0071.jpg</v>
      </c>
      <c r="G3154" s="75">
        <v>9</v>
      </c>
      <c r="I3154">
        <f t="shared" si="49"/>
        <v>0</v>
      </c>
      <c r="J3154" s="75">
        <v>0</v>
      </c>
      <c r="K3154" s="77"/>
      <c r="L3154" s="77"/>
      <c r="M3154" s="77"/>
      <c r="N3154" s="77"/>
      <c r="O3154" s="75">
        <v>1</v>
      </c>
      <c r="P3154" s="75">
        <v>0</v>
      </c>
      <c r="Q3154" s="75">
        <v>0</v>
      </c>
      <c r="R3154" s="75">
        <v>0</v>
      </c>
      <c r="S3154" s="75">
        <v>0</v>
      </c>
      <c r="T3154" s="75">
        <v>0</v>
      </c>
      <c r="U3154" s="75">
        <v>0</v>
      </c>
      <c r="V3154" s="75">
        <v>0</v>
      </c>
      <c r="W3154" s="78">
        <v>0</v>
      </c>
    </row>
    <row r="3155" spans="1:23" s="75" customFormat="1" hidden="1" x14ac:dyDescent="0.35">
      <c r="A3155" s="75">
        <v>3151</v>
      </c>
      <c r="B3155" s="75">
        <v>3152</v>
      </c>
      <c r="C3155">
        <v>146.0010681</v>
      </c>
      <c r="D3155">
        <v>-17.4911061</v>
      </c>
      <c r="F3155" s="75" t="str">
        <f>HYPERLINK("E:\Data From Lucan\2024\Johnstone\Frames_for_Analysis\3152_20240610_0005_L_0073.jpg","3152_20240610_0005_L_0073.jpg")</f>
        <v>3152_20240610_0005_L_0073.jpg</v>
      </c>
      <c r="G3155" s="75">
        <v>9</v>
      </c>
      <c r="I3155">
        <f t="shared" si="49"/>
        <v>0</v>
      </c>
      <c r="J3155" s="75">
        <v>0</v>
      </c>
      <c r="K3155" s="77"/>
      <c r="L3155" s="77"/>
      <c r="M3155" s="77"/>
      <c r="N3155" s="77"/>
      <c r="O3155" s="75">
        <v>1</v>
      </c>
      <c r="P3155" s="75">
        <v>0</v>
      </c>
      <c r="Q3155" s="75">
        <v>0</v>
      </c>
      <c r="R3155" s="75">
        <v>0</v>
      </c>
      <c r="S3155" s="75">
        <v>0</v>
      </c>
      <c r="T3155" s="75">
        <v>0</v>
      </c>
      <c r="U3155" s="75">
        <v>0</v>
      </c>
      <c r="V3155" s="75">
        <v>0</v>
      </c>
      <c r="W3155" s="78">
        <v>0</v>
      </c>
    </row>
    <row r="3156" spans="1:23" s="75" customFormat="1" hidden="1" x14ac:dyDescent="0.35">
      <c r="A3156" s="75">
        <v>3152</v>
      </c>
      <c r="B3156" s="75">
        <v>3153</v>
      </c>
      <c r="C3156">
        <v>146.0010719</v>
      </c>
      <c r="D3156">
        <v>-17.491011870000001</v>
      </c>
      <c r="F3156" s="75" t="str">
        <f>HYPERLINK("E:\Data From Lucan\2024\Johnstone\Frames_for_Analysis\3153_20240610_0005_L_0076.jpg","3153_20240610_0005_L_0076.jpg")</f>
        <v>3153_20240610_0005_L_0076.jpg</v>
      </c>
      <c r="G3156" s="75">
        <v>9</v>
      </c>
      <c r="I3156">
        <f t="shared" si="49"/>
        <v>0</v>
      </c>
      <c r="J3156" s="75">
        <v>0</v>
      </c>
      <c r="K3156" s="77"/>
      <c r="L3156" s="77"/>
      <c r="M3156" s="77"/>
      <c r="N3156" s="77"/>
      <c r="O3156" s="75">
        <v>1</v>
      </c>
      <c r="P3156" s="75">
        <v>0</v>
      </c>
      <c r="Q3156" s="75">
        <v>0</v>
      </c>
      <c r="R3156" s="75">
        <v>0</v>
      </c>
      <c r="S3156" s="75">
        <v>0</v>
      </c>
      <c r="T3156" s="75">
        <v>0</v>
      </c>
      <c r="U3156" s="75">
        <v>0</v>
      </c>
      <c r="V3156" s="75">
        <v>0</v>
      </c>
      <c r="W3156" s="78">
        <v>0</v>
      </c>
    </row>
    <row r="3157" spans="1:23" s="75" customFormat="1" hidden="1" x14ac:dyDescent="0.35">
      <c r="A3157" s="75">
        <v>3153</v>
      </c>
      <c r="B3157" s="75">
        <v>3154</v>
      </c>
      <c r="C3157">
        <v>146.0010757</v>
      </c>
      <c r="D3157">
        <v>-17.490917639999999</v>
      </c>
      <c r="F3157" s="75" t="str">
        <f>HYPERLINK("E:\Data From Lucan\2024\Johnstone\Frames_for_Analysis\3154_20240610_0005_L_0078.jpg","3154_20240610_0005_L_0078.jpg")</f>
        <v>3154_20240610_0005_L_0078.jpg</v>
      </c>
      <c r="G3157" s="75">
        <v>9</v>
      </c>
      <c r="I3157">
        <f t="shared" si="49"/>
        <v>0</v>
      </c>
      <c r="J3157" s="75">
        <v>0</v>
      </c>
      <c r="K3157" s="77"/>
      <c r="L3157" s="77"/>
      <c r="M3157" s="77"/>
      <c r="N3157" s="77"/>
      <c r="O3157" s="75">
        <v>1</v>
      </c>
      <c r="P3157" s="75">
        <v>0</v>
      </c>
      <c r="Q3157" s="75">
        <v>0</v>
      </c>
      <c r="R3157" s="75">
        <v>0</v>
      </c>
      <c r="S3157" s="75">
        <v>0</v>
      </c>
      <c r="T3157" s="75">
        <v>0</v>
      </c>
      <c r="U3157" s="75">
        <v>0</v>
      </c>
      <c r="V3157" s="75">
        <v>0</v>
      </c>
      <c r="W3157" s="78">
        <v>0</v>
      </c>
    </row>
    <row r="3158" spans="1:23" s="75" customFormat="1" hidden="1" x14ac:dyDescent="0.35">
      <c r="A3158" s="75">
        <v>3154</v>
      </c>
      <c r="B3158" s="75">
        <v>3155</v>
      </c>
      <c r="C3158">
        <v>146.0010795</v>
      </c>
      <c r="D3158">
        <v>-17.490823410000001</v>
      </c>
      <c r="F3158" s="75" t="str">
        <f>HYPERLINK("E:\Data From Lucan\2024\Johnstone\Frames_for_Analysis\3155_20240610_0005_L_0084.jpg","3155_20240610_0005_L_0084.jpg")</f>
        <v>3155_20240610_0005_L_0084.jpg</v>
      </c>
      <c r="G3158" s="75">
        <v>9</v>
      </c>
      <c r="I3158">
        <f t="shared" si="49"/>
        <v>0</v>
      </c>
      <c r="J3158" s="75">
        <v>0</v>
      </c>
      <c r="K3158" s="77"/>
      <c r="L3158" s="77"/>
      <c r="M3158" s="77"/>
      <c r="N3158" s="77"/>
      <c r="O3158" s="75">
        <v>1</v>
      </c>
      <c r="P3158" s="75">
        <v>0</v>
      </c>
      <c r="Q3158" s="75">
        <v>0</v>
      </c>
      <c r="R3158" s="75">
        <v>0</v>
      </c>
      <c r="S3158" s="75">
        <v>0</v>
      </c>
      <c r="T3158" s="75">
        <v>0</v>
      </c>
      <c r="U3158" s="75">
        <v>0</v>
      </c>
      <c r="V3158" s="75">
        <v>0</v>
      </c>
      <c r="W3158" s="78">
        <v>0</v>
      </c>
    </row>
    <row r="3159" spans="1:23" s="75" customFormat="1" hidden="1" x14ac:dyDescent="0.35">
      <c r="A3159" s="75">
        <v>3155</v>
      </c>
      <c r="B3159" s="75">
        <v>3156</v>
      </c>
      <c r="C3159">
        <v>146.00108320000001</v>
      </c>
      <c r="D3159">
        <v>-17.49072919</v>
      </c>
      <c r="F3159" s="75" t="str">
        <f>HYPERLINK("E:\Data From Lucan\2024\Johnstone\Frames_for_Analysis\3156_20240610_0005_L_0087.jpg","3156_20240610_0005_L_0087.jpg")</f>
        <v>3156_20240610_0005_L_0087.jpg</v>
      </c>
      <c r="G3159" s="75">
        <v>9</v>
      </c>
      <c r="I3159">
        <f t="shared" si="49"/>
        <v>0</v>
      </c>
      <c r="J3159" s="75">
        <v>0</v>
      </c>
      <c r="K3159" s="77"/>
      <c r="L3159" s="77"/>
      <c r="M3159" s="77"/>
      <c r="N3159" s="77"/>
      <c r="O3159" s="75">
        <v>1</v>
      </c>
      <c r="P3159" s="75">
        <v>0</v>
      </c>
      <c r="Q3159" s="75">
        <v>0</v>
      </c>
      <c r="R3159" s="75">
        <v>0</v>
      </c>
      <c r="S3159" s="75">
        <v>0</v>
      </c>
      <c r="T3159" s="75">
        <v>0</v>
      </c>
      <c r="U3159" s="75">
        <v>0</v>
      </c>
      <c r="V3159" s="75">
        <v>0</v>
      </c>
      <c r="W3159" s="78">
        <v>0</v>
      </c>
    </row>
    <row r="3160" spans="1:23" s="75" customFormat="1" hidden="1" x14ac:dyDescent="0.35">
      <c r="A3160" s="75">
        <v>3156</v>
      </c>
      <c r="B3160" s="75">
        <v>3157</v>
      </c>
      <c r="C3160">
        <v>146.00108700000001</v>
      </c>
      <c r="D3160">
        <v>-17.490634960000001</v>
      </c>
      <c r="F3160" s="75" t="str">
        <f>HYPERLINK("E:\Data From Lucan\2024\Johnstone\Frames_for_Analysis\3157_20240610_0003_L_4376.jpg","3157_20240610_0003_L_4376.jpg")</f>
        <v>3157_20240610_0003_L_4376.jpg</v>
      </c>
      <c r="G3160" s="75">
        <v>9</v>
      </c>
      <c r="I3160">
        <f t="shared" si="49"/>
        <v>0</v>
      </c>
      <c r="J3160" s="75">
        <v>0</v>
      </c>
      <c r="K3160" s="77"/>
      <c r="L3160" s="77"/>
      <c r="M3160" s="77"/>
      <c r="N3160" s="77"/>
      <c r="O3160" s="75">
        <v>1</v>
      </c>
      <c r="P3160" s="75">
        <v>0</v>
      </c>
      <c r="Q3160" s="75">
        <v>0</v>
      </c>
      <c r="R3160" s="75">
        <v>0</v>
      </c>
      <c r="S3160" s="75">
        <v>0</v>
      </c>
      <c r="T3160" s="75">
        <v>0</v>
      </c>
      <c r="U3160" s="75">
        <v>0</v>
      </c>
      <c r="V3160" s="75">
        <v>0</v>
      </c>
      <c r="W3160" s="78">
        <v>0</v>
      </c>
    </row>
    <row r="3161" spans="1:23" s="75" customFormat="1" hidden="1" x14ac:dyDescent="0.35">
      <c r="A3161" s="75">
        <v>3157</v>
      </c>
      <c r="B3161" s="75">
        <v>3158</v>
      </c>
      <c r="C3161">
        <v>146.00109079999999</v>
      </c>
      <c r="D3161">
        <v>-17.490540729999999</v>
      </c>
      <c r="F3161" s="75" t="str">
        <f>HYPERLINK("E:\Data From Lucan\2024\Johnstone\Frames_for_Analysis\3158_20240610_0005_L_0095.jpg","3158_20240610_0005_L_0095.jpg")</f>
        <v>3158_20240610_0005_L_0095.jpg</v>
      </c>
      <c r="G3161" s="75">
        <v>9</v>
      </c>
      <c r="I3161">
        <f t="shared" si="49"/>
        <v>0</v>
      </c>
      <c r="J3161" s="75">
        <v>0</v>
      </c>
      <c r="K3161" s="77"/>
      <c r="L3161" s="77"/>
      <c r="M3161" s="77"/>
      <c r="N3161" s="77"/>
      <c r="O3161" s="75">
        <v>1</v>
      </c>
      <c r="P3161" s="75">
        <v>0</v>
      </c>
      <c r="Q3161" s="75">
        <v>0</v>
      </c>
      <c r="R3161" s="75">
        <v>0</v>
      </c>
      <c r="S3161" s="75">
        <v>0</v>
      </c>
      <c r="T3161" s="75">
        <v>0</v>
      </c>
      <c r="U3161" s="75">
        <v>0</v>
      </c>
      <c r="V3161" s="75">
        <v>0</v>
      </c>
      <c r="W3161" s="78">
        <v>0</v>
      </c>
    </row>
    <row r="3162" spans="1:23" s="75" customFormat="1" hidden="1" x14ac:dyDescent="0.35">
      <c r="A3162" s="75">
        <v>3158</v>
      </c>
      <c r="B3162" s="75">
        <v>3159</v>
      </c>
      <c r="C3162">
        <v>146.00109459999999</v>
      </c>
      <c r="D3162">
        <v>-17.490446500000001</v>
      </c>
      <c r="F3162" s="75" t="str">
        <f>HYPERLINK("E:\Data From Lucan\2024\Johnstone\Frames_for_Analysis\3159_20240610_0005_L_0098.jpg","3159_20240610_0005_L_0098.jpg")</f>
        <v>3159_20240610_0005_L_0098.jpg</v>
      </c>
      <c r="G3162" s="75">
        <v>9</v>
      </c>
      <c r="I3162">
        <f t="shared" si="49"/>
        <v>0</v>
      </c>
      <c r="J3162" s="75">
        <v>0</v>
      </c>
      <c r="K3162" s="77"/>
      <c r="L3162" s="77"/>
      <c r="M3162" s="77"/>
      <c r="N3162" s="77"/>
      <c r="O3162" s="75">
        <v>1</v>
      </c>
      <c r="P3162" s="75">
        <v>0</v>
      </c>
      <c r="Q3162" s="75">
        <v>0</v>
      </c>
      <c r="R3162" s="75">
        <v>0</v>
      </c>
      <c r="S3162" s="75">
        <v>0</v>
      </c>
      <c r="T3162" s="75">
        <v>0</v>
      </c>
      <c r="U3162" s="75">
        <v>0</v>
      </c>
      <c r="V3162" s="75">
        <v>0</v>
      </c>
      <c r="W3162" s="78">
        <v>0</v>
      </c>
    </row>
    <row r="3163" spans="1:23" s="75" customFormat="1" hidden="1" x14ac:dyDescent="0.35">
      <c r="A3163" s="75">
        <v>3159</v>
      </c>
      <c r="B3163" s="75">
        <v>3160</v>
      </c>
      <c r="C3163">
        <v>146.00109839999999</v>
      </c>
      <c r="D3163">
        <v>-17.49035228</v>
      </c>
      <c r="F3163" s="75" t="str">
        <f>HYPERLINK("E:\Data From Lucan\2024\Johnstone\Frames_for_Analysis\3160_20240610_0005_L_0100.jpg","3160_20240610_0005_L_0100.jpg")</f>
        <v>3160_20240610_0005_L_0100.jpg</v>
      </c>
      <c r="G3163" s="75">
        <v>9</v>
      </c>
      <c r="I3163">
        <f t="shared" si="49"/>
        <v>0</v>
      </c>
      <c r="J3163" s="75">
        <v>0</v>
      </c>
      <c r="K3163" s="77"/>
      <c r="L3163" s="77"/>
      <c r="M3163" s="77"/>
      <c r="N3163" s="77"/>
      <c r="O3163" s="75">
        <v>1</v>
      </c>
      <c r="P3163" s="75">
        <v>0</v>
      </c>
      <c r="Q3163" s="75">
        <v>0</v>
      </c>
      <c r="R3163" s="75">
        <v>0</v>
      </c>
      <c r="S3163" s="75">
        <v>0</v>
      </c>
      <c r="T3163" s="75">
        <v>0</v>
      </c>
      <c r="U3163" s="75">
        <v>0</v>
      </c>
      <c r="V3163" s="75">
        <v>0</v>
      </c>
      <c r="W3163" s="78">
        <v>0</v>
      </c>
    </row>
    <row r="3164" spans="1:23" s="75" customFormat="1" hidden="1" x14ac:dyDescent="0.35">
      <c r="A3164" s="75">
        <v>3160</v>
      </c>
      <c r="B3164" s="75">
        <v>3161</v>
      </c>
      <c r="C3164">
        <v>146.00110219999999</v>
      </c>
      <c r="D3164">
        <v>-17.490258050000001</v>
      </c>
      <c r="F3164" s="75" t="str">
        <f>HYPERLINK("E:\Data From Lucan\2024\Johnstone\Frames_for_Analysis\3161_20240610_0003_L_4371.jpg","3161_20240610_0003_L_4371.jpg")</f>
        <v>3161_20240610_0003_L_4371.jpg</v>
      </c>
      <c r="G3164" s="75">
        <v>9</v>
      </c>
      <c r="I3164">
        <f t="shared" si="49"/>
        <v>0</v>
      </c>
      <c r="J3164" s="75">
        <v>0</v>
      </c>
      <c r="K3164" s="77"/>
      <c r="L3164" s="77"/>
      <c r="M3164" s="77"/>
      <c r="N3164" s="77"/>
      <c r="O3164" s="75">
        <v>1</v>
      </c>
      <c r="P3164" s="75">
        <v>0</v>
      </c>
      <c r="Q3164" s="75">
        <v>0</v>
      </c>
      <c r="R3164" s="75">
        <v>0</v>
      </c>
      <c r="S3164" s="75">
        <v>0</v>
      </c>
      <c r="T3164" s="75">
        <v>0</v>
      </c>
      <c r="U3164" s="75">
        <v>0</v>
      </c>
      <c r="V3164" s="75">
        <v>0</v>
      </c>
      <c r="W3164" s="78">
        <v>0</v>
      </c>
    </row>
    <row r="3165" spans="1:23" s="75" customFormat="1" hidden="1" x14ac:dyDescent="0.35">
      <c r="A3165" s="75">
        <v>3161</v>
      </c>
      <c r="B3165" s="75">
        <v>3162</v>
      </c>
      <c r="C3165">
        <v>146.00110599999999</v>
      </c>
      <c r="D3165">
        <v>-17.490163819999999</v>
      </c>
      <c r="F3165" s="75" t="str">
        <f>HYPERLINK("E:\Data From Lucan\2024\Johnstone\Frames_for_Analysis\3162_20240610_0003_L_4373.jpg","3162_20240610_0003_L_4373.jpg")</f>
        <v>3162_20240610_0003_L_4373.jpg</v>
      </c>
      <c r="G3165" s="75">
        <v>9</v>
      </c>
      <c r="I3165">
        <f t="shared" si="49"/>
        <v>0</v>
      </c>
      <c r="J3165" s="75">
        <v>0</v>
      </c>
      <c r="K3165" s="77"/>
      <c r="L3165" s="77"/>
      <c r="M3165" s="77"/>
      <c r="N3165" s="77"/>
      <c r="O3165" s="75">
        <v>1</v>
      </c>
      <c r="P3165" s="75">
        <v>0</v>
      </c>
      <c r="Q3165" s="75">
        <v>0</v>
      </c>
      <c r="R3165" s="75">
        <v>0</v>
      </c>
      <c r="S3165" s="75">
        <v>0</v>
      </c>
      <c r="T3165" s="75">
        <v>0</v>
      </c>
      <c r="U3165" s="75">
        <v>0</v>
      </c>
      <c r="V3165" s="75">
        <v>0</v>
      </c>
      <c r="W3165" s="78">
        <v>0</v>
      </c>
    </row>
    <row r="3166" spans="1:23" s="75" customFormat="1" hidden="1" x14ac:dyDescent="0.35">
      <c r="A3166" s="75">
        <v>3162</v>
      </c>
      <c r="B3166" s="75">
        <v>3163</v>
      </c>
      <c r="C3166">
        <v>146.00112179999999</v>
      </c>
      <c r="D3166">
        <v>-17.490071019999998</v>
      </c>
      <c r="F3166" s="75" t="str">
        <f>HYPERLINK("E:\Data From Lucan\2024\Johnstone\Frames_for_Analysis\3163_20240610_0005_L_0109.jpg","3163_20240610_0005_L_0109.jpg")</f>
        <v>3163_20240610_0005_L_0109.jpg</v>
      </c>
      <c r="G3166" s="75">
        <v>9</v>
      </c>
      <c r="I3166">
        <f t="shared" si="49"/>
        <v>0</v>
      </c>
      <c r="J3166" s="75">
        <v>0</v>
      </c>
      <c r="K3166" s="77"/>
      <c r="L3166" s="77"/>
      <c r="M3166" s="77"/>
      <c r="N3166" s="77"/>
      <c r="O3166" s="75">
        <v>1</v>
      </c>
      <c r="P3166" s="75">
        <v>0</v>
      </c>
      <c r="Q3166" s="75">
        <v>0</v>
      </c>
      <c r="R3166" s="75">
        <v>0</v>
      </c>
      <c r="S3166" s="75">
        <v>0</v>
      </c>
      <c r="T3166" s="75">
        <v>0</v>
      </c>
      <c r="U3166" s="75">
        <v>0</v>
      </c>
      <c r="V3166" s="75">
        <v>0</v>
      </c>
      <c r="W3166" s="78">
        <v>0</v>
      </c>
    </row>
    <row r="3167" spans="1:23" s="75" customFormat="1" hidden="1" x14ac:dyDescent="0.35">
      <c r="A3167" s="75">
        <v>3163</v>
      </c>
      <c r="B3167" s="75">
        <v>3164</v>
      </c>
      <c r="C3167">
        <v>146.00114020000001</v>
      </c>
      <c r="D3167">
        <v>-17.489978520000001</v>
      </c>
      <c r="F3167" s="75" t="str">
        <f>HYPERLINK("E:\Data From Lucan\2024\Johnstone\Frames_for_Analysis\3164_20240610_0005_L_0112.jpg","3164_20240610_0005_L_0112.jpg")</f>
        <v>3164_20240610_0005_L_0112.jpg</v>
      </c>
      <c r="G3167" s="75">
        <v>9</v>
      </c>
      <c r="I3167">
        <f t="shared" si="49"/>
        <v>0</v>
      </c>
      <c r="J3167" s="75">
        <v>0</v>
      </c>
      <c r="K3167" s="77"/>
      <c r="L3167" s="77"/>
      <c r="M3167" s="77"/>
      <c r="N3167" s="77"/>
      <c r="O3167" s="75">
        <v>1</v>
      </c>
      <c r="P3167" s="75">
        <v>0</v>
      </c>
      <c r="Q3167" s="75">
        <v>0</v>
      </c>
      <c r="R3167" s="75">
        <v>0</v>
      </c>
      <c r="S3167" s="75">
        <v>0</v>
      </c>
      <c r="T3167" s="75">
        <v>0</v>
      </c>
      <c r="U3167" s="75">
        <v>0</v>
      </c>
      <c r="V3167" s="75">
        <v>0</v>
      </c>
      <c r="W3167" s="78">
        <v>0</v>
      </c>
    </row>
    <row r="3168" spans="1:23" s="75" customFormat="1" hidden="1" x14ac:dyDescent="0.35">
      <c r="A3168" s="75">
        <v>3164</v>
      </c>
      <c r="B3168" s="75">
        <v>3165</v>
      </c>
      <c r="C3168">
        <v>146.0011585</v>
      </c>
      <c r="D3168">
        <v>-17.48988602</v>
      </c>
      <c r="F3168" s="75" t="str">
        <f>HYPERLINK("E:\Data From Lucan\2024\Johnstone\Frames_for_Analysis\3165_20240610_0005_L_0115.jpg","3165_20240610_0005_L_0115.jpg")</f>
        <v>3165_20240610_0005_L_0115.jpg</v>
      </c>
      <c r="G3168" s="75">
        <v>9</v>
      </c>
      <c r="I3168">
        <f t="shared" si="49"/>
        <v>0</v>
      </c>
      <c r="J3168" s="75">
        <v>0</v>
      </c>
      <c r="K3168" s="77"/>
      <c r="L3168" s="77"/>
      <c r="M3168" s="77"/>
      <c r="N3168" s="77"/>
      <c r="O3168" s="75">
        <v>1</v>
      </c>
      <c r="P3168" s="75">
        <v>0</v>
      </c>
      <c r="Q3168" s="75">
        <v>0</v>
      </c>
      <c r="R3168" s="75">
        <v>0</v>
      </c>
      <c r="S3168" s="75">
        <v>0</v>
      </c>
      <c r="T3168" s="75">
        <v>0</v>
      </c>
      <c r="U3168" s="75">
        <v>0</v>
      </c>
      <c r="V3168" s="75">
        <v>0</v>
      </c>
      <c r="W3168" s="78">
        <v>0</v>
      </c>
    </row>
    <row r="3169" spans="1:23" s="75" customFormat="1" hidden="1" x14ac:dyDescent="0.35">
      <c r="A3169" s="75">
        <v>3165</v>
      </c>
      <c r="B3169" s="75">
        <v>3166</v>
      </c>
      <c r="C3169">
        <v>146.00117689999999</v>
      </c>
      <c r="D3169">
        <v>-17.489793519999999</v>
      </c>
      <c r="F3169" s="75" t="str">
        <f>HYPERLINK("E:\Data From Lucan\2024\Johnstone\Frames_for_Analysis\3166_20240610_0005_L_0117.jpg","3166_20240610_0005_L_0117.jpg")</f>
        <v>3166_20240610_0005_L_0117.jpg</v>
      </c>
      <c r="G3169" s="75">
        <v>9</v>
      </c>
      <c r="I3169">
        <f t="shared" si="49"/>
        <v>0</v>
      </c>
      <c r="J3169" s="75">
        <v>0</v>
      </c>
      <c r="K3169" s="77"/>
      <c r="L3169" s="77"/>
      <c r="M3169" s="77"/>
      <c r="N3169" s="77"/>
      <c r="O3169" s="75">
        <v>1</v>
      </c>
      <c r="P3169" s="75">
        <v>0</v>
      </c>
      <c r="Q3169" s="75">
        <v>0</v>
      </c>
      <c r="R3169" s="75">
        <v>0</v>
      </c>
      <c r="S3169" s="75">
        <v>0</v>
      </c>
      <c r="T3169" s="75">
        <v>0</v>
      </c>
      <c r="U3169" s="75">
        <v>0</v>
      </c>
      <c r="V3169" s="75">
        <v>0</v>
      </c>
      <c r="W3169" s="78">
        <v>0</v>
      </c>
    </row>
    <row r="3170" spans="1:23" s="75" customFormat="1" hidden="1" x14ac:dyDescent="0.35">
      <c r="A3170" s="75">
        <v>3166</v>
      </c>
      <c r="B3170" s="75">
        <v>3167</v>
      </c>
      <c r="C3170">
        <v>146.00119520000001</v>
      </c>
      <c r="D3170">
        <v>-17.489701010000001</v>
      </c>
      <c r="F3170" s="75" t="str">
        <f>HYPERLINK("E:\Data From Lucan\2024\Johnstone\Frames_for_Analysis\3167_20240610_0003_L_4363.jpg","3167_20240610_0003_L_4363.jpg")</f>
        <v>3167_20240610_0003_L_4363.jpg</v>
      </c>
      <c r="G3170" s="75">
        <v>9</v>
      </c>
      <c r="I3170">
        <f t="shared" si="49"/>
        <v>0</v>
      </c>
      <c r="J3170" s="75">
        <v>0</v>
      </c>
      <c r="K3170" s="77"/>
      <c r="L3170" s="77"/>
      <c r="M3170" s="77"/>
      <c r="N3170" s="77"/>
      <c r="O3170" s="75">
        <v>1</v>
      </c>
      <c r="P3170" s="75">
        <v>0</v>
      </c>
      <c r="Q3170" s="75">
        <v>0</v>
      </c>
      <c r="R3170" s="75">
        <v>0</v>
      </c>
      <c r="S3170" s="75">
        <v>0</v>
      </c>
      <c r="T3170" s="75">
        <v>0</v>
      </c>
      <c r="U3170" s="75">
        <v>0</v>
      </c>
      <c r="V3170" s="75">
        <v>0</v>
      </c>
      <c r="W3170" s="78">
        <v>0</v>
      </c>
    </row>
    <row r="3171" spans="1:23" s="75" customFormat="1" hidden="1" x14ac:dyDescent="0.35">
      <c r="A3171" s="75">
        <v>3167</v>
      </c>
      <c r="B3171" s="75">
        <v>3168</v>
      </c>
      <c r="C3171">
        <v>146.00121350000001</v>
      </c>
      <c r="D3171">
        <v>-17.48960851</v>
      </c>
      <c r="F3171" s="75" t="str">
        <f>HYPERLINK("E:\Data From Lucan\2024\Johnstone\Frames_for_Analysis\3168_20240610_0005_L_0122.jpg","3168_20240610_0005_L_0122.jpg")</f>
        <v>3168_20240610_0005_L_0122.jpg</v>
      </c>
      <c r="G3171" s="75">
        <v>9</v>
      </c>
      <c r="I3171">
        <f t="shared" si="49"/>
        <v>0</v>
      </c>
      <c r="J3171" s="75">
        <v>0</v>
      </c>
      <c r="K3171" s="77"/>
      <c r="L3171" s="77"/>
      <c r="M3171" s="77"/>
      <c r="N3171" s="77"/>
      <c r="O3171" s="75">
        <v>1</v>
      </c>
      <c r="P3171" s="75">
        <v>0</v>
      </c>
      <c r="Q3171" s="75">
        <v>0</v>
      </c>
      <c r="R3171" s="75">
        <v>0</v>
      </c>
      <c r="S3171" s="75">
        <v>0</v>
      </c>
      <c r="T3171" s="75">
        <v>0</v>
      </c>
      <c r="U3171" s="75">
        <v>0</v>
      </c>
      <c r="V3171" s="75">
        <v>0</v>
      </c>
      <c r="W3171" s="78">
        <v>0</v>
      </c>
    </row>
    <row r="3172" spans="1:23" s="75" customFormat="1" hidden="1" x14ac:dyDescent="0.35">
      <c r="A3172" s="75">
        <v>3168</v>
      </c>
      <c r="B3172" s="75">
        <v>3169</v>
      </c>
      <c r="C3172">
        <v>146.00123189999999</v>
      </c>
      <c r="D3172">
        <v>-17.489516009999999</v>
      </c>
      <c r="F3172" s="75" t="str">
        <f>HYPERLINK("E:\Data From Lucan\2024\Johnstone\Frames_for_Analysis\3169_20240610_0005_L_0125.jpg","3169_20240610_0005_L_0125.jpg")</f>
        <v>3169_20240610_0005_L_0125.jpg</v>
      </c>
      <c r="G3172" s="75">
        <v>9</v>
      </c>
      <c r="I3172">
        <f t="shared" si="49"/>
        <v>0</v>
      </c>
      <c r="J3172" s="75">
        <v>0</v>
      </c>
      <c r="K3172" s="77"/>
      <c r="L3172" s="77"/>
      <c r="M3172" s="77"/>
      <c r="N3172" s="77"/>
      <c r="O3172" s="75">
        <v>1</v>
      </c>
      <c r="P3172" s="75">
        <v>0</v>
      </c>
      <c r="Q3172" s="75">
        <v>0</v>
      </c>
      <c r="R3172" s="75">
        <v>0</v>
      </c>
      <c r="S3172" s="75">
        <v>0</v>
      </c>
      <c r="T3172" s="75">
        <v>0</v>
      </c>
      <c r="U3172" s="75">
        <v>0</v>
      </c>
      <c r="V3172" s="75">
        <v>0</v>
      </c>
      <c r="W3172" s="78">
        <v>0</v>
      </c>
    </row>
    <row r="3173" spans="1:23" s="75" customFormat="1" hidden="1" x14ac:dyDescent="0.35">
      <c r="A3173" s="75">
        <v>3169</v>
      </c>
      <c r="B3173" s="75">
        <v>3170</v>
      </c>
      <c r="C3173">
        <v>146.00125019999999</v>
      </c>
      <c r="D3173">
        <v>-17.489423510000002</v>
      </c>
      <c r="F3173" s="75" t="str">
        <f>HYPERLINK("E:\Data From Lucan\2024\Johnstone\Frames_for_Analysis\3170_20240610_0005_L_0127.jpg","3170_20240610_0005_L_0127.jpg")</f>
        <v>3170_20240610_0005_L_0127.jpg</v>
      </c>
      <c r="G3173" s="75">
        <v>9</v>
      </c>
      <c r="I3173">
        <f t="shared" si="49"/>
        <v>0</v>
      </c>
      <c r="J3173" s="75">
        <v>0</v>
      </c>
      <c r="K3173" s="77"/>
      <c r="L3173" s="77"/>
      <c r="M3173" s="77"/>
      <c r="N3173" s="77"/>
      <c r="O3173" s="75">
        <v>1</v>
      </c>
      <c r="P3173" s="75">
        <v>0</v>
      </c>
      <c r="Q3173" s="75">
        <v>0</v>
      </c>
      <c r="R3173" s="75">
        <v>0</v>
      </c>
      <c r="S3173" s="75">
        <v>0</v>
      </c>
      <c r="T3173" s="75">
        <v>0</v>
      </c>
      <c r="U3173" s="75">
        <v>0</v>
      </c>
      <c r="V3173" s="75">
        <v>0</v>
      </c>
      <c r="W3173" s="78">
        <v>0</v>
      </c>
    </row>
    <row r="3174" spans="1:23" s="75" customFormat="1" hidden="1" x14ac:dyDescent="0.35">
      <c r="A3174" s="75">
        <v>3170</v>
      </c>
      <c r="B3174" s="75">
        <v>3171</v>
      </c>
      <c r="C3174">
        <v>146.0012686</v>
      </c>
      <c r="D3174">
        <v>-17.489331</v>
      </c>
      <c r="F3174" s="75" t="str">
        <f>HYPERLINK("E:\Data From Lucan\2024\Johnstone\Frames_for_Analysis\3171_20240610_0005_L_0129.jpg","3171_20240610_0005_L_0129.jpg")</f>
        <v>3171_20240610_0005_L_0129.jpg</v>
      </c>
      <c r="G3174" s="75">
        <v>9</v>
      </c>
      <c r="I3174">
        <f t="shared" si="49"/>
        <v>0</v>
      </c>
      <c r="J3174" s="75">
        <v>0</v>
      </c>
      <c r="K3174" s="77"/>
      <c r="L3174" s="77"/>
      <c r="M3174" s="77"/>
      <c r="N3174" s="77"/>
      <c r="O3174" s="75">
        <v>1</v>
      </c>
      <c r="P3174" s="75">
        <v>0</v>
      </c>
      <c r="Q3174" s="75">
        <v>0</v>
      </c>
      <c r="R3174" s="75">
        <v>0</v>
      </c>
      <c r="S3174" s="75">
        <v>0</v>
      </c>
      <c r="T3174" s="75">
        <v>0</v>
      </c>
      <c r="U3174" s="75">
        <v>0</v>
      </c>
      <c r="V3174" s="75">
        <v>0</v>
      </c>
      <c r="W3174" s="78">
        <v>0</v>
      </c>
    </row>
    <row r="3175" spans="1:23" s="75" customFormat="1" hidden="1" x14ac:dyDescent="0.35">
      <c r="A3175" s="75">
        <v>3171</v>
      </c>
      <c r="B3175" s="75">
        <v>3172</v>
      </c>
      <c r="C3175">
        <v>146.0012869</v>
      </c>
      <c r="D3175">
        <v>-17.489238499999999</v>
      </c>
      <c r="F3175" s="75" t="str">
        <f>HYPERLINK("E:\Data From Lucan\2024\Johnstone\Frames_for_Analysis\3172_20240610_0005_L_0132.jpg","3172_20240610_0005_L_0132.jpg")</f>
        <v>3172_20240610_0005_L_0132.jpg</v>
      </c>
      <c r="G3175" s="75">
        <v>9</v>
      </c>
      <c r="I3175">
        <f t="shared" si="49"/>
        <v>0</v>
      </c>
      <c r="J3175" s="75">
        <v>0</v>
      </c>
      <c r="K3175" s="77"/>
      <c r="L3175" s="77"/>
      <c r="M3175" s="77"/>
      <c r="N3175" s="77"/>
      <c r="O3175" s="75">
        <v>1</v>
      </c>
      <c r="P3175" s="75">
        <v>0</v>
      </c>
      <c r="Q3175" s="75">
        <v>0</v>
      </c>
      <c r="R3175" s="75">
        <v>0</v>
      </c>
      <c r="S3175" s="75">
        <v>0</v>
      </c>
      <c r="T3175" s="75">
        <v>0</v>
      </c>
      <c r="U3175" s="75">
        <v>0</v>
      </c>
      <c r="V3175" s="75">
        <v>0</v>
      </c>
      <c r="W3175" s="78">
        <v>0</v>
      </c>
    </row>
    <row r="3176" spans="1:23" s="75" customFormat="1" hidden="1" x14ac:dyDescent="0.35">
      <c r="A3176" s="75">
        <v>3172</v>
      </c>
      <c r="B3176" s="75">
        <v>3173</v>
      </c>
      <c r="C3176">
        <v>146.00130530000001</v>
      </c>
      <c r="D3176">
        <v>-17.489146000000002</v>
      </c>
      <c r="F3176" s="75" t="str">
        <f>HYPERLINK("E:\Data From Lucan\2024\Johnstone\Frames_for_Analysis\3173_20240610_0005_L_0134.jpg","3173_20240610_0005_L_0134.jpg")</f>
        <v>3173_20240610_0005_L_0134.jpg</v>
      </c>
      <c r="G3176" s="75">
        <v>9</v>
      </c>
      <c r="I3176">
        <f t="shared" si="49"/>
        <v>0</v>
      </c>
      <c r="J3176" s="75">
        <v>0</v>
      </c>
      <c r="K3176" s="77"/>
      <c r="L3176" s="77"/>
      <c r="M3176" s="77"/>
      <c r="N3176" s="77"/>
      <c r="O3176" s="75">
        <v>1</v>
      </c>
      <c r="P3176" s="75">
        <v>0</v>
      </c>
      <c r="Q3176" s="75">
        <v>0</v>
      </c>
      <c r="R3176" s="75">
        <v>0</v>
      </c>
      <c r="S3176" s="75">
        <v>0</v>
      </c>
      <c r="T3176" s="75">
        <v>0</v>
      </c>
      <c r="U3176" s="75">
        <v>0</v>
      </c>
      <c r="V3176" s="75">
        <v>0</v>
      </c>
      <c r="W3176" s="78">
        <v>0</v>
      </c>
    </row>
    <row r="3177" spans="1:23" s="75" customFormat="1" hidden="1" x14ac:dyDescent="0.35">
      <c r="A3177" s="75">
        <v>3173</v>
      </c>
      <c r="B3177" s="75">
        <v>3174</v>
      </c>
      <c r="C3177">
        <v>146.00132360000001</v>
      </c>
      <c r="D3177">
        <v>-17.489053500000001</v>
      </c>
      <c r="F3177" s="75" t="str">
        <f>HYPERLINK("E:\Data From Lucan\2024\Johnstone\Frames_for_Analysis\3174_20240610_0005_L_0137.jpg","3174_20240610_0005_L_0137.jpg")</f>
        <v>3174_20240610_0005_L_0137.jpg</v>
      </c>
      <c r="G3177" s="75">
        <v>9</v>
      </c>
      <c r="I3177">
        <f t="shared" si="49"/>
        <v>0</v>
      </c>
      <c r="J3177" s="75">
        <v>0</v>
      </c>
      <c r="K3177" s="77"/>
      <c r="L3177" s="77"/>
      <c r="M3177" s="77"/>
      <c r="N3177" s="77"/>
      <c r="O3177" s="75">
        <v>1</v>
      </c>
      <c r="P3177" s="75">
        <v>0</v>
      </c>
      <c r="Q3177" s="75">
        <v>0</v>
      </c>
      <c r="R3177" s="75">
        <v>0</v>
      </c>
      <c r="S3177" s="75">
        <v>0</v>
      </c>
      <c r="T3177" s="75">
        <v>0</v>
      </c>
      <c r="U3177" s="75">
        <v>0</v>
      </c>
      <c r="V3177" s="75">
        <v>0</v>
      </c>
      <c r="W3177" s="78">
        <v>0</v>
      </c>
    </row>
    <row r="3178" spans="1:23" s="75" customFormat="1" hidden="1" x14ac:dyDescent="0.35">
      <c r="A3178" s="75">
        <v>3174</v>
      </c>
      <c r="B3178" s="75">
        <v>3175</v>
      </c>
      <c r="C3178">
        <v>146.0013419</v>
      </c>
      <c r="D3178">
        <v>-17.488961</v>
      </c>
      <c r="F3178" s="75" t="str">
        <f>HYPERLINK("E:\Data From Lucan\2024\Johnstone\Frames_for_Analysis\3175_20240610_0005_L_0139.jpg","3175_20240610_0005_L_0139.jpg")</f>
        <v>3175_20240610_0005_L_0139.jpg</v>
      </c>
      <c r="G3178" s="75">
        <v>9</v>
      </c>
      <c r="I3178">
        <f t="shared" si="49"/>
        <v>0</v>
      </c>
      <c r="J3178" s="75">
        <v>0</v>
      </c>
      <c r="K3178" s="77"/>
      <c r="L3178" s="77"/>
      <c r="M3178" s="77"/>
      <c r="N3178" s="77"/>
      <c r="O3178" s="75">
        <v>1</v>
      </c>
      <c r="P3178" s="75">
        <v>0</v>
      </c>
      <c r="Q3178" s="75">
        <v>0</v>
      </c>
      <c r="R3178" s="75">
        <v>0</v>
      </c>
      <c r="S3178" s="75">
        <v>0</v>
      </c>
      <c r="T3178" s="75">
        <v>0</v>
      </c>
      <c r="U3178" s="75">
        <v>0</v>
      </c>
      <c r="V3178" s="75">
        <v>0</v>
      </c>
      <c r="W3178" s="78">
        <v>0</v>
      </c>
    </row>
    <row r="3179" spans="1:23" s="75" customFormat="1" hidden="1" x14ac:dyDescent="0.35">
      <c r="A3179" s="75">
        <v>3175</v>
      </c>
      <c r="B3179" s="75">
        <v>3176</v>
      </c>
      <c r="C3179">
        <v>146.00136470000001</v>
      </c>
      <c r="D3179">
        <v>-17.488870720000001</v>
      </c>
      <c r="F3179" s="75" t="str">
        <f>HYPERLINK("E:\Data From Lucan\2024\Johnstone\Frames_for_Analysis\3176_20240610_0005_L_0141.jpg","3176_20240610_0005_L_0141.jpg")</f>
        <v>3176_20240610_0005_L_0141.jpg</v>
      </c>
      <c r="G3179" s="75">
        <v>9</v>
      </c>
      <c r="I3179">
        <f t="shared" si="49"/>
        <v>0</v>
      </c>
      <c r="J3179" s="75">
        <v>0</v>
      </c>
      <c r="K3179" s="77"/>
      <c r="L3179" s="77"/>
      <c r="M3179" s="77"/>
      <c r="N3179" s="77"/>
      <c r="O3179" s="75">
        <v>1</v>
      </c>
      <c r="P3179" s="75">
        <v>0</v>
      </c>
      <c r="Q3179" s="75">
        <v>0</v>
      </c>
      <c r="R3179" s="75">
        <v>0</v>
      </c>
      <c r="S3179" s="75">
        <v>0</v>
      </c>
      <c r="T3179" s="75">
        <v>0</v>
      </c>
      <c r="U3179" s="75">
        <v>0</v>
      </c>
      <c r="V3179" s="75">
        <v>0</v>
      </c>
      <c r="W3179" s="78">
        <v>0</v>
      </c>
    </row>
    <row r="3180" spans="1:23" s="75" customFormat="1" hidden="1" x14ac:dyDescent="0.35">
      <c r="A3180" s="75">
        <v>3176</v>
      </c>
      <c r="B3180" s="75">
        <v>3177</v>
      </c>
      <c r="C3180">
        <v>146.0014281</v>
      </c>
      <c r="D3180">
        <v>-17.488800940000001</v>
      </c>
      <c r="F3180" s="75" t="str">
        <f>HYPERLINK("E:\Data From Lucan\2024\Johnstone\Frames_for_Analysis\3177_20240610_0005_L_0143.jpg","3177_20240610_0005_L_0143.jpg")</f>
        <v>3177_20240610_0005_L_0143.jpg</v>
      </c>
      <c r="G3180" s="75">
        <v>9</v>
      </c>
      <c r="I3180">
        <f t="shared" si="49"/>
        <v>0</v>
      </c>
      <c r="J3180" s="75">
        <v>0</v>
      </c>
      <c r="K3180" s="77"/>
      <c r="L3180" s="77"/>
      <c r="M3180" s="77"/>
      <c r="N3180" s="77"/>
      <c r="O3180" s="75">
        <v>1</v>
      </c>
      <c r="P3180" s="75">
        <v>0</v>
      </c>
      <c r="Q3180" s="75">
        <v>0</v>
      </c>
      <c r="R3180" s="75">
        <v>0</v>
      </c>
      <c r="S3180" s="75">
        <v>0</v>
      </c>
      <c r="T3180" s="75">
        <v>0</v>
      </c>
      <c r="U3180" s="75">
        <v>0</v>
      </c>
      <c r="V3180" s="75">
        <v>0</v>
      </c>
      <c r="W3180" s="78">
        <v>0</v>
      </c>
    </row>
    <row r="3181" spans="1:23" s="75" customFormat="1" hidden="1" x14ac:dyDescent="0.35">
      <c r="A3181" s="75">
        <v>3177</v>
      </c>
      <c r="B3181" s="75">
        <v>3178</v>
      </c>
      <c r="C3181">
        <v>146.00149160000001</v>
      </c>
      <c r="D3181">
        <v>-17.48873115</v>
      </c>
      <c r="F3181" s="75" t="str">
        <f>HYPERLINK("E:\Data From Lucan\2024\Johnstone\Frames_for_Analysis\3178_20240610_0005_L_0145.jpg","3178_20240610_0005_L_0145.jpg")</f>
        <v>3178_20240610_0005_L_0145.jpg</v>
      </c>
      <c r="G3181" s="75">
        <v>9</v>
      </c>
      <c r="I3181">
        <f t="shared" si="49"/>
        <v>0</v>
      </c>
      <c r="J3181" s="75">
        <v>0</v>
      </c>
      <c r="K3181" s="77"/>
      <c r="L3181" s="77"/>
      <c r="M3181" s="77"/>
      <c r="N3181" s="77"/>
      <c r="O3181" s="75">
        <v>1</v>
      </c>
      <c r="P3181" s="75">
        <v>0</v>
      </c>
      <c r="Q3181" s="75">
        <v>0</v>
      </c>
      <c r="R3181" s="75">
        <v>0</v>
      </c>
      <c r="S3181" s="75">
        <v>0</v>
      </c>
      <c r="T3181" s="75">
        <v>0</v>
      </c>
      <c r="U3181" s="75">
        <v>0</v>
      </c>
      <c r="V3181" s="75">
        <v>0</v>
      </c>
      <c r="W3181" s="78">
        <v>0</v>
      </c>
    </row>
    <row r="3182" spans="1:23" s="75" customFormat="1" hidden="1" x14ac:dyDescent="0.35">
      <c r="A3182" s="75">
        <v>3178</v>
      </c>
      <c r="B3182" s="75">
        <v>3179</v>
      </c>
      <c r="C3182">
        <v>146.001555</v>
      </c>
      <c r="D3182">
        <v>-17.488661369999999</v>
      </c>
      <c r="F3182" s="75" t="str">
        <f>HYPERLINK("E:\Data From Lucan\2024\Johnstone\Frames_for_Analysis\3179_20240610_0005_L_0147.jpg","3179_20240610_0005_L_0147.jpg")</f>
        <v>3179_20240610_0005_L_0147.jpg</v>
      </c>
      <c r="G3182" s="75">
        <v>9</v>
      </c>
      <c r="I3182">
        <f t="shared" si="49"/>
        <v>0</v>
      </c>
      <c r="J3182" s="75">
        <v>0</v>
      </c>
      <c r="K3182" s="77"/>
      <c r="L3182" s="77"/>
      <c r="M3182" s="77"/>
      <c r="N3182" s="77"/>
      <c r="O3182" s="75">
        <v>1</v>
      </c>
      <c r="P3182" s="75">
        <v>0</v>
      </c>
      <c r="Q3182" s="75">
        <v>0</v>
      </c>
      <c r="R3182" s="75">
        <v>0</v>
      </c>
      <c r="S3182" s="75">
        <v>0</v>
      </c>
      <c r="T3182" s="75">
        <v>0</v>
      </c>
      <c r="U3182" s="75">
        <v>0</v>
      </c>
      <c r="V3182" s="75">
        <v>0</v>
      </c>
      <c r="W3182" s="78">
        <v>0</v>
      </c>
    </row>
    <row r="3183" spans="1:23" s="75" customFormat="1" hidden="1" x14ac:dyDescent="0.35">
      <c r="A3183" s="75">
        <v>3179</v>
      </c>
      <c r="B3183" s="75">
        <v>3180</v>
      </c>
      <c r="C3183">
        <v>146.00161840000001</v>
      </c>
      <c r="D3183">
        <v>-17.488591580000001</v>
      </c>
      <c r="F3183" s="75" t="str">
        <f>HYPERLINK("E:\Data From Lucan\2024\Johnstone\Frames_for_Analysis\3180_20240610_0005_L_0150.jpg","3180_20240610_0005_L_0150.jpg")</f>
        <v>3180_20240610_0005_L_0150.jpg</v>
      </c>
      <c r="G3183" s="75">
        <v>9</v>
      </c>
      <c r="I3183">
        <f t="shared" si="49"/>
        <v>0</v>
      </c>
      <c r="J3183" s="75">
        <v>0</v>
      </c>
      <c r="K3183" s="77"/>
      <c r="L3183" s="77"/>
      <c r="M3183" s="77"/>
      <c r="N3183" s="77"/>
      <c r="O3183" s="75">
        <v>1</v>
      </c>
      <c r="P3183" s="75">
        <v>0</v>
      </c>
      <c r="Q3183" s="75">
        <v>0</v>
      </c>
      <c r="R3183" s="75">
        <v>0</v>
      </c>
      <c r="S3183" s="75">
        <v>0</v>
      </c>
      <c r="T3183" s="75">
        <v>0</v>
      </c>
      <c r="U3183" s="75">
        <v>0</v>
      </c>
      <c r="V3183" s="75">
        <v>0</v>
      </c>
      <c r="W3183" s="78">
        <v>0</v>
      </c>
    </row>
    <row r="3184" spans="1:23" s="75" customFormat="1" hidden="1" x14ac:dyDescent="0.35">
      <c r="A3184" s="75">
        <v>3180</v>
      </c>
      <c r="B3184" s="75">
        <v>3181</v>
      </c>
      <c r="C3184">
        <v>146.00168189999999</v>
      </c>
      <c r="D3184">
        <v>-17.48852179</v>
      </c>
      <c r="F3184" s="75" t="str">
        <f>HYPERLINK("E:\Data From Lucan\2024\Johnstone\Frames_for_Analysis\3181_20240610_0005_L_0152.jpg","3181_20240610_0005_L_0152.jpg")</f>
        <v>3181_20240610_0005_L_0152.jpg</v>
      </c>
      <c r="G3184" s="75">
        <v>9</v>
      </c>
      <c r="I3184">
        <f t="shared" si="49"/>
        <v>0</v>
      </c>
      <c r="J3184" s="75">
        <v>0</v>
      </c>
      <c r="K3184" s="77"/>
      <c r="L3184" s="77"/>
      <c r="M3184" s="77"/>
      <c r="N3184" s="77"/>
      <c r="O3184" s="75">
        <v>1</v>
      </c>
      <c r="P3184" s="75">
        <v>0</v>
      </c>
      <c r="Q3184" s="75">
        <v>0</v>
      </c>
      <c r="R3184" s="75">
        <v>0</v>
      </c>
      <c r="S3184" s="75">
        <v>0</v>
      </c>
      <c r="T3184" s="75">
        <v>0</v>
      </c>
      <c r="U3184" s="75">
        <v>0</v>
      </c>
      <c r="V3184" s="75">
        <v>0</v>
      </c>
      <c r="W3184" s="78">
        <v>0</v>
      </c>
    </row>
    <row r="3185" spans="1:23" s="75" customFormat="1" hidden="1" x14ac:dyDescent="0.35">
      <c r="A3185" s="75">
        <v>3181</v>
      </c>
      <c r="B3185" s="75">
        <v>3182</v>
      </c>
      <c r="C3185">
        <v>146.00174530000001</v>
      </c>
      <c r="D3185">
        <v>-17.48845201</v>
      </c>
      <c r="F3185" s="75" t="str">
        <f>HYPERLINK("E:\Data From Lucan\2024\Johnstone\Frames_for_Analysis\3182_20240610_0005_L_0154.jpg","3182_20240610_0005_L_0154.jpg")</f>
        <v>3182_20240610_0005_L_0154.jpg</v>
      </c>
      <c r="G3185" s="75">
        <v>9</v>
      </c>
      <c r="I3185">
        <f t="shared" si="49"/>
        <v>0</v>
      </c>
      <c r="J3185" s="75">
        <v>0</v>
      </c>
      <c r="K3185" s="77"/>
      <c r="L3185" s="77"/>
      <c r="M3185" s="77"/>
      <c r="N3185" s="77"/>
      <c r="O3185" s="75">
        <v>1</v>
      </c>
      <c r="P3185" s="75">
        <v>0</v>
      </c>
      <c r="Q3185" s="75">
        <v>0</v>
      </c>
      <c r="R3185" s="75">
        <v>0</v>
      </c>
      <c r="S3185" s="75">
        <v>0</v>
      </c>
      <c r="T3185" s="75">
        <v>0</v>
      </c>
      <c r="U3185" s="75">
        <v>0</v>
      </c>
      <c r="V3185" s="75">
        <v>0</v>
      </c>
      <c r="W3185" s="78">
        <v>0</v>
      </c>
    </row>
    <row r="3186" spans="1:23" s="75" customFormat="1" hidden="1" x14ac:dyDescent="0.35">
      <c r="A3186" s="75">
        <v>3182</v>
      </c>
      <c r="B3186" s="75">
        <v>3183</v>
      </c>
      <c r="C3186">
        <v>146.0018087</v>
      </c>
      <c r="D3186">
        <v>-17.488382219999998</v>
      </c>
      <c r="F3186" s="75" t="str">
        <f>HYPERLINK("E:\Data From Lucan\2024\Johnstone\Frames_for_Analysis\3183_20240610_0005_L_0156.jpg","3183_20240610_0005_L_0156.jpg")</f>
        <v>3183_20240610_0005_L_0156.jpg</v>
      </c>
      <c r="G3186" s="75">
        <v>9</v>
      </c>
      <c r="I3186">
        <f t="shared" si="49"/>
        <v>0</v>
      </c>
      <c r="J3186" s="75">
        <v>0</v>
      </c>
      <c r="K3186" s="77"/>
      <c r="L3186" s="77"/>
      <c r="M3186" s="77"/>
      <c r="N3186" s="77"/>
      <c r="O3186" s="75">
        <v>1</v>
      </c>
      <c r="P3186" s="75">
        <v>0</v>
      </c>
      <c r="Q3186" s="75">
        <v>0</v>
      </c>
      <c r="R3186" s="75">
        <v>0</v>
      </c>
      <c r="S3186" s="75">
        <v>0</v>
      </c>
      <c r="T3186" s="75">
        <v>0</v>
      </c>
      <c r="U3186" s="75">
        <v>0</v>
      </c>
      <c r="V3186" s="75">
        <v>0</v>
      </c>
      <c r="W3186" s="78">
        <v>0</v>
      </c>
    </row>
    <row r="3187" spans="1:23" s="75" customFormat="1" hidden="1" x14ac:dyDescent="0.35">
      <c r="A3187" s="75">
        <v>3183</v>
      </c>
      <c r="B3187" s="75">
        <v>3184</v>
      </c>
      <c r="C3187">
        <v>146.00187210000001</v>
      </c>
      <c r="D3187">
        <v>-17.488312440000001</v>
      </c>
      <c r="F3187" s="75" t="str">
        <f>HYPERLINK("E:\Data From Lucan\2024\Johnstone\Frames_for_Analysis\3184_20240610_0005_L_0158.jpg","3184_20240610_0005_L_0158.jpg")</f>
        <v>3184_20240610_0005_L_0158.jpg</v>
      </c>
      <c r="G3187" s="75">
        <v>9</v>
      </c>
      <c r="I3187">
        <f t="shared" si="49"/>
        <v>0</v>
      </c>
      <c r="J3187" s="75">
        <v>0</v>
      </c>
      <c r="K3187" s="77"/>
      <c r="L3187" s="77"/>
      <c r="M3187" s="77"/>
      <c r="N3187" s="77"/>
      <c r="O3187" s="75">
        <v>1</v>
      </c>
      <c r="P3187" s="75">
        <v>0</v>
      </c>
      <c r="Q3187" s="75">
        <v>0</v>
      </c>
      <c r="R3187" s="75">
        <v>0</v>
      </c>
      <c r="S3187" s="75">
        <v>0</v>
      </c>
      <c r="T3187" s="75">
        <v>0</v>
      </c>
      <c r="U3187" s="75">
        <v>0</v>
      </c>
      <c r="V3187" s="75">
        <v>0</v>
      </c>
      <c r="W3187" s="78">
        <v>0</v>
      </c>
    </row>
    <row r="3188" spans="1:23" s="75" customFormat="1" hidden="1" x14ac:dyDescent="0.35">
      <c r="A3188" s="75">
        <v>3184</v>
      </c>
      <c r="B3188" s="75">
        <v>3185</v>
      </c>
      <c r="C3188">
        <v>146.0019356</v>
      </c>
      <c r="D3188">
        <v>-17.48824265</v>
      </c>
      <c r="F3188" s="75" t="str">
        <f>HYPERLINK("E:\Data From Lucan\2024\Johnstone\Frames_for_Analysis\3185_20240610_0005_L_0160.jpg","3185_20240610_0005_L_0160.jpg")</f>
        <v>3185_20240610_0005_L_0160.jpg</v>
      </c>
      <c r="G3188" s="75">
        <v>9</v>
      </c>
      <c r="I3188">
        <f t="shared" si="49"/>
        <v>0</v>
      </c>
      <c r="J3188" s="75">
        <v>0</v>
      </c>
      <c r="K3188" s="77"/>
      <c r="L3188" s="77"/>
      <c r="M3188" s="77"/>
      <c r="N3188" s="77"/>
      <c r="O3188" s="75">
        <v>1</v>
      </c>
      <c r="P3188" s="75">
        <v>0</v>
      </c>
      <c r="Q3188" s="75">
        <v>0</v>
      </c>
      <c r="R3188" s="75">
        <v>0</v>
      </c>
      <c r="S3188" s="75">
        <v>0</v>
      </c>
      <c r="T3188" s="75">
        <v>0</v>
      </c>
      <c r="U3188" s="75">
        <v>0</v>
      </c>
      <c r="V3188" s="75">
        <v>0</v>
      </c>
      <c r="W3188" s="78">
        <v>0</v>
      </c>
    </row>
    <row r="3189" spans="1:23" s="75" customFormat="1" hidden="1" x14ac:dyDescent="0.35">
      <c r="A3189" s="75">
        <v>3185</v>
      </c>
      <c r="B3189" s="75">
        <v>3186</v>
      </c>
      <c r="C3189">
        <v>146.00199900000001</v>
      </c>
      <c r="D3189">
        <v>-17.488172859999999</v>
      </c>
      <c r="F3189" s="75" t="str">
        <f>HYPERLINK("E:\Data From Lucan\2024\Johnstone\Frames_for_Analysis\3186_20240610_0005_L_0161.jpg","3186_20240610_0005_L_0161.jpg")</f>
        <v>3186_20240610_0005_L_0161.jpg</v>
      </c>
      <c r="G3189" s="75">
        <v>9</v>
      </c>
      <c r="I3189">
        <f t="shared" si="49"/>
        <v>0</v>
      </c>
      <c r="J3189" s="75">
        <v>0</v>
      </c>
      <c r="K3189" s="77"/>
      <c r="L3189" s="77"/>
      <c r="M3189" s="77"/>
      <c r="N3189" s="77"/>
      <c r="O3189" s="75">
        <v>1</v>
      </c>
      <c r="P3189" s="75">
        <v>0</v>
      </c>
      <c r="Q3189" s="75">
        <v>0</v>
      </c>
      <c r="R3189" s="75">
        <v>0</v>
      </c>
      <c r="S3189" s="75">
        <v>0</v>
      </c>
      <c r="T3189" s="75">
        <v>0</v>
      </c>
      <c r="U3189" s="75">
        <v>0</v>
      </c>
      <c r="V3189" s="75">
        <v>0</v>
      </c>
      <c r="W3189" s="78">
        <v>0</v>
      </c>
    </row>
    <row r="3190" spans="1:23" s="75" customFormat="1" hidden="1" x14ac:dyDescent="0.35">
      <c r="A3190" s="75">
        <v>3186</v>
      </c>
      <c r="B3190" s="75">
        <v>3187</v>
      </c>
      <c r="C3190">
        <v>146.0020624</v>
      </c>
      <c r="D3190">
        <v>-17.488103079999998</v>
      </c>
      <c r="F3190" s="75" t="str">
        <f>HYPERLINK("E:\Data From Lucan\2024\Johnstone\Frames_for_Analysis\3187_20240610_0005_L_0163.jpg","3187_20240610_0005_L_0163.jpg")</f>
        <v>3187_20240610_0005_L_0163.jpg</v>
      </c>
      <c r="G3190" s="75">
        <v>9</v>
      </c>
      <c r="I3190">
        <f t="shared" si="49"/>
        <v>0</v>
      </c>
      <c r="J3190" s="75">
        <v>0</v>
      </c>
      <c r="K3190" s="77"/>
      <c r="L3190" s="77"/>
      <c r="M3190" s="77"/>
      <c r="N3190" s="77"/>
      <c r="O3190" s="75">
        <v>1</v>
      </c>
      <c r="P3190" s="75">
        <v>0</v>
      </c>
      <c r="Q3190" s="75">
        <v>0</v>
      </c>
      <c r="R3190" s="75">
        <v>0</v>
      </c>
      <c r="S3190" s="75">
        <v>0</v>
      </c>
      <c r="T3190" s="75">
        <v>0</v>
      </c>
      <c r="U3190" s="75">
        <v>0</v>
      </c>
      <c r="V3190" s="75">
        <v>0</v>
      </c>
      <c r="W3190" s="78">
        <v>0</v>
      </c>
    </row>
    <row r="3191" spans="1:23" s="75" customFormat="1" hidden="1" x14ac:dyDescent="0.35">
      <c r="A3191" s="75">
        <v>3187</v>
      </c>
      <c r="B3191" s="75">
        <v>3188</v>
      </c>
      <c r="C3191">
        <v>146.00213600000001</v>
      </c>
      <c r="D3191">
        <v>-17.488044129999999</v>
      </c>
      <c r="F3191" s="75" t="str">
        <f>HYPERLINK("E:\Data From Lucan\2024\Johnstone\Frames_for_Analysis\3188_20240610_0005_L_0165.jpg","3188_20240610_0005_L_0165.jpg")</f>
        <v>3188_20240610_0005_L_0165.jpg</v>
      </c>
      <c r="G3191" s="75">
        <v>9</v>
      </c>
      <c r="I3191">
        <f t="shared" si="49"/>
        <v>0</v>
      </c>
      <c r="J3191" s="75">
        <v>0</v>
      </c>
      <c r="K3191" s="77"/>
      <c r="L3191" s="77"/>
      <c r="M3191" s="77"/>
      <c r="N3191" s="77"/>
      <c r="O3191" s="75">
        <v>1</v>
      </c>
      <c r="P3191" s="75">
        <v>0</v>
      </c>
      <c r="Q3191" s="75">
        <v>0</v>
      </c>
      <c r="R3191" s="75">
        <v>0</v>
      </c>
      <c r="S3191" s="75">
        <v>0</v>
      </c>
      <c r="T3191" s="75">
        <v>0</v>
      </c>
      <c r="U3191" s="75">
        <v>0</v>
      </c>
      <c r="V3191" s="75">
        <v>0</v>
      </c>
      <c r="W3191" s="78">
        <v>0</v>
      </c>
    </row>
    <row r="3192" spans="1:23" s="75" customFormat="1" hidden="1" x14ac:dyDescent="0.35">
      <c r="A3192" s="75">
        <v>3188</v>
      </c>
      <c r="B3192" s="75">
        <v>3189</v>
      </c>
      <c r="C3192">
        <v>146.0022098</v>
      </c>
      <c r="D3192">
        <v>-17.48798549</v>
      </c>
      <c r="F3192" s="75" t="str">
        <f>HYPERLINK("E:\Data From Lucan\2024\Johnstone\Frames_for_Analysis\3189_20240610_0005_L_0166.jpg","3189_20240610_0005_L_0166.jpg")</f>
        <v>3189_20240610_0005_L_0166.jpg</v>
      </c>
      <c r="G3192" s="75">
        <v>9</v>
      </c>
      <c r="I3192">
        <f t="shared" si="49"/>
        <v>0</v>
      </c>
      <c r="J3192" s="75">
        <v>0</v>
      </c>
      <c r="K3192" s="77"/>
      <c r="L3192" s="77"/>
      <c r="M3192" s="77"/>
      <c r="N3192" s="77"/>
      <c r="O3192" s="75">
        <v>1</v>
      </c>
      <c r="P3192" s="75">
        <v>0</v>
      </c>
      <c r="Q3192" s="75">
        <v>0</v>
      </c>
      <c r="R3192" s="75">
        <v>0</v>
      </c>
      <c r="S3192" s="75">
        <v>0</v>
      </c>
      <c r="T3192" s="75">
        <v>0</v>
      </c>
      <c r="U3192" s="75">
        <v>0</v>
      </c>
      <c r="V3192" s="75">
        <v>0</v>
      </c>
      <c r="W3192" s="78">
        <v>0</v>
      </c>
    </row>
    <row r="3193" spans="1:23" s="75" customFormat="1" hidden="1" x14ac:dyDescent="0.35">
      <c r="A3193" s="75">
        <v>3189</v>
      </c>
      <c r="B3193" s="75">
        <v>3190</v>
      </c>
      <c r="C3193">
        <v>146.00228369999999</v>
      </c>
      <c r="D3193">
        <v>-17.48792684</v>
      </c>
      <c r="F3193" s="75" t="str">
        <f>HYPERLINK("E:\Data From Lucan\2024\Johnstone\Frames_for_Analysis\3190_20240610_0005_L_0168.jpg","3190_20240610_0005_L_0168.jpg")</f>
        <v>3190_20240610_0005_L_0168.jpg</v>
      </c>
      <c r="G3193" s="75">
        <v>9</v>
      </c>
      <c r="I3193">
        <f t="shared" si="49"/>
        <v>0</v>
      </c>
      <c r="J3193" s="75">
        <v>0</v>
      </c>
      <c r="K3193" s="77"/>
      <c r="L3193" s="77"/>
      <c r="M3193" s="77"/>
      <c r="N3193" s="77"/>
      <c r="O3193" s="75">
        <v>1</v>
      </c>
      <c r="P3193" s="75">
        <v>0</v>
      </c>
      <c r="Q3193" s="75">
        <v>0</v>
      </c>
      <c r="R3193" s="75">
        <v>0</v>
      </c>
      <c r="S3193" s="75">
        <v>0</v>
      </c>
      <c r="T3193" s="75">
        <v>0</v>
      </c>
      <c r="U3193" s="75">
        <v>0</v>
      </c>
      <c r="V3193" s="75">
        <v>0</v>
      </c>
      <c r="W3193" s="78">
        <v>0</v>
      </c>
    </row>
    <row r="3194" spans="1:23" s="75" customFormat="1" hidden="1" x14ac:dyDescent="0.35">
      <c r="A3194" s="75">
        <v>3190</v>
      </c>
      <c r="B3194" s="75">
        <v>3191</v>
      </c>
      <c r="C3194">
        <v>146.00235749999999</v>
      </c>
      <c r="D3194">
        <v>-17.487868200000001</v>
      </c>
      <c r="F3194" s="75" t="str">
        <f>HYPERLINK("E:\Data From Lucan\2024\Johnstone\Frames_for_Analysis\3191_20240610_0005_L_0169.jpg","3191_20240610_0005_L_0169.jpg")</f>
        <v>3191_20240610_0005_L_0169.jpg</v>
      </c>
      <c r="G3194" s="75">
        <v>9</v>
      </c>
      <c r="I3194">
        <f t="shared" si="49"/>
        <v>0</v>
      </c>
      <c r="J3194" s="75">
        <v>0</v>
      </c>
      <c r="K3194" s="77"/>
      <c r="L3194" s="77"/>
      <c r="M3194" s="77"/>
      <c r="N3194" s="77"/>
      <c r="O3194" s="75">
        <v>1</v>
      </c>
      <c r="P3194" s="75">
        <v>0</v>
      </c>
      <c r="Q3194" s="75">
        <v>0</v>
      </c>
      <c r="R3194" s="75">
        <v>0</v>
      </c>
      <c r="S3194" s="75">
        <v>0</v>
      </c>
      <c r="T3194" s="75">
        <v>0</v>
      </c>
      <c r="U3194" s="75">
        <v>0</v>
      </c>
      <c r="V3194" s="75">
        <v>0</v>
      </c>
      <c r="W3194" s="78">
        <v>0</v>
      </c>
    </row>
    <row r="3195" spans="1:23" s="75" customFormat="1" hidden="1" x14ac:dyDescent="0.35">
      <c r="A3195" s="75">
        <v>3191</v>
      </c>
      <c r="B3195" s="75">
        <v>3192</v>
      </c>
      <c r="C3195">
        <v>146.00244079999999</v>
      </c>
      <c r="D3195">
        <v>-17.48782473</v>
      </c>
      <c r="F3195" s="75" t="str">
        <f>HYPERLINK("E:\Data From Lucan\2024\Johnstone\Frames_for_Analysis\3192_20240610_0005_L_0171.jpg","3192_20240610_0005_L_0171.jpg")</f>
        <v>3192_20240610_0005_L_0171.jpg</v>
      </c>
      <c r="G3195" s="75">
        <v>9</v>
      </c>
      <c r="I3195">
        <f t="shared" si="49"/>
        <v>0</v>
      </c>
      <c r="J3195" s="75">
        <v>0</v>
      </c>
      <c r="K3195" s="77"/>
      <c r="L3195" s="77"/>
      <c r="M3195" s="77"/>
      <c r="N3195" s="77"/>
      <c r="O3195" s="75">
        <v>1</v>
      </c>
      <c r="P3195" s="75">
        <v>0</v>
      </c>
      <c r="Q3195" s="75">
        <v>0</v>
      </c>
      <c r="R3195" s="75">
        <v>0</v>
      </c>
      <c r="S3195" s="75">
        <v>0</v>
      </c>
      <c r="T3195" s="75">
        <v>0</v>
      </c>
      <c r="U3195" s="75">
        <v>0</v>
      </c>
      <c r="V3195" s="75">
        <v>0</v>
      </c>
      <c r="W3195" s="78">
        <v>0</v>
      </c>
    </row>
    <row r="3196" spans="1:23" s="75" customFormat="1" hidden="1" x14ac:dyDescent="0.35">
      <c r="A3196" s="75">
        <v>3192</v>
      </c>
      <c r="B3196" s="75">
        <v>3193</v>
      </c>
      <c r="C3196">
        <v>146.00252620000001</v>
      </c>
      <c r="D3196">
        <v>-17.487784850000001</v>
      </c>
      <c r="F3196" s="75" t="str">
        <f>HYPERLINK("E:\Data From Lucan\2024\Johnstone\Frames_for_Analysis\3193_20240610_0005_L_0173.jpg","3193_20240610_0005_L_0173.jpg")</f>
        <v>3193_20240610_0005_L_0173.jpg</v>
      </c>
      <c r="G3196" s="75">
        <v>9</v>
      </c>
      <c r="I3196">
        <f t="shared" si="49"/>
        <v>0</v>
      </c>
      <c r="J3196" s="75">
        <v>0</v>
      </c>
      <c r="K3196" s="77"/>
      <c r="L3196" s="77"/>
      <c r="M3196" s="77"/>
      <c r="N3196" s="77"/>
      <c r="O3196" s="75">
        <v>1</v>
      </c>
      <c r="P3196" s="75">
        <v>0</v>
      </c>
      <c r="Q3196" s="75">
        <v>0</v>
      </c>
      <c r="R3196" s="75">
        <v>0</v>
      </c>
      <c r="S3196" s="75">
        <v>0</v>
      </c>
      <c r="T3196" s="75">
        <v>0</v>
      </c>
      <c r="U3196" s="75">
        <v>0</v>
      </c>
      <c r="V3196" s="75">
        <v>0</v>
      </c>
      <c r="W3196" s="78">
        <v>0</v>
      </c>
    </row>
    <row r="3197" spans="1:23" s="75" customFormat="1" hidden="1" x14ac:dyDescent="0.35">
      <c r="A3197" s="75">
        <v>3193</v>
      </c>
      <c r="B3197" s="75">
        <v>3194</v>
      </c>
      <c r="C3197">
        <v>146.00261169999999</v>
      </c>
      <c r="D3197">
        <v>-17.487744979999999</v>
      </c>
      <c r="F3197" s="75" t="str">
        <f>HYPERLINK("E:\Data From Lucan\2024\Johnstone\Frames_for_Analysis\3194_20240610_0005_L_0174.jpg","3194_20240610_0005_L_0174.jpg")</f>
        <v>3194_20240610_0005_L_0174.jpg</v>
      </c>
      <c r="G3197" s="75">
        <v>9</v>
      </c>
      <c r="I3197">
        <f t="shared" si="49"/>
        <v>0</v>
      </c>
      <c r="J3197" s="75">
        <v>0</v>
      </c>
      <c r="K3197" s="77"/>
      <c r="L3197" s="77"/>
      <c r="M3197" s="77"/>
      <c r="N3197" s="77"/>
      <c r="O3197" s="75">
        <v>1</v>
      </c>
      <c r="P3197" s="75">
        <v>0</v>
      </c>
      <c r="Q3197" s="75">
        <v>0</v>
      </c>
      <c r="R3197" s="75">
        <v>0</v>
      </c>
      <c r="S3197" s="75">
        <v>0</v>
      </c>
      <c r="T3197" s="75">
        <v>0</v>
      </c>
      <c r="U3197" s="75">
        <v>0</v>
      </c>
      <c r="V3197" s="75">
        <v>0</v>
      </c>
      <c r="W3197" s="78">
        <v>0</v>
      </c>
    </row>
    <row r="3198" spans="1:23" s="75" customFormat="1" hidden="1" x14ac:dyDescent="0.35">
      <c r="A3198" s="75">
        <v>3194</v>
      </c>
      <c r="B3198" s="75">
        <v>3195</v>
      </c>
      <c r="C3198">
        <v>146.0026972</v>
      </c>
      <c r="D3198">
        <v>-17.487705099999999</v>
      </c>
      <c r="F3198" s="75" t="str">
        <f>HYPERLINK("E:\Data From Lucan\2024\Johnstone\Frames_for_Analysis\3195_20240610_0005_L_0175.jpg","3195_20240610_0005_L_0175.jpg")</f>
        <v>3195_20240610_0005_L_0175.jpg</v>
      </c>
      <c r="G3198" s="75">
        <v>9</v>
      </c>
      <c r="I3198">
        <f t="shared" si="49"/>
        <v>0</v>
      </c>
      <c r="J3198" s="75">
        <v>0</v>
      </c>
      <c r="K3198" s="77"/>
      <c r="L3198" s="77"/>
      <c r="M3198" s="77"/>
      <c r="N3198" s="77"/>
      <c r="O3198" s="75">
        <v>1</v>
      </c>
      <c r="P3198" s="75">
        <v>0</v>
      </c>
      <c r="Q3198" s="75">
        <v>0</v>
      </c>
      <c r="R3198" s="75">
        <v>0</v>
      </c>
      <c r="S3198" s="75">
        <v>0</v>
      </c>
      <c r="T3198" s="75">
        <v>0</v>
      </c>
      <c r="U3198" s="75">
        <v>0</v>
      </c>
      <c r="V3198" s="75">
        <v>0</v>
      </c>
      <c r="W3198" s="78">
        <v>0</v>
      </c>
    </row>
    <row r="3199" spans="1:23" s="75" customFormat="1" hidden="1" x14ac:dyDescent="0.35">
      <c r="A3199" s="75">
        <v>3195</v>
      </c>
      <c r="B3199" s="75">
        <v>3196</v>
      </c>
      <c r="C3199">
        <v>146.00278399999999</v>
      </c>
      <c r="D3199">
        <v>-17.487668970000001</v>
      </c>
      <c r="F3199" s="75" t="str">
        <f>HYPERLINK("E:\Data From Lucan\2024\Johnstone\Frames_for_Analysis\3196_20240610_0005_L_0176.jpg","3196_20240610_0005_L_0176.jpg")</f>
        <v>3196_20240610_0005_L_0176.jpg</v>
      </c>
      <c r="G3199" s="75">
        <v>9</v>
      </c>
      <c r="I3199">
        <f t="shared" si="49"/>
        <v>0</v>
      </c>
      <c r="J3199" s="75">
        <v>0</v>
      </c>
      <c r="K3199" s="77"/>
      <c r="L3199" s="77"/>
      <c r="M3199" s="77"/>
      <c r="N3199" s="77"/>
      <c r="O3199" s="75">
        <v>1</v>
      </c>
      <c r="P3199" s="75">
        <v>0</v>
      </c>
      <c r="Q3199" s="75">
        <v>0</v>
      </c>
      <c r="R3199" s="75">
        <v>0</v>
      </c>
      <c r="S3199" s="75">
        <v>0</v>
      </c>
      <c r="T3199" s="75">
        <v>0</v>
      </c>
      <c r="U3199" s="75">
        <v>0</v>
      </c>
      <c r="V3199" s="75">
        <v>0</v>
      </c>
      <c r="W3199" s="78">
        <v>0</v>
      </c>
    </row>
    <row r="3200" spans="1:23" s="75" customFormat="1" hidden="1" x14ac:dyDescent="0.35">
      <c r="A3200" s="75">
        <v>3196</v>
      </c>
      <c r="B3200" s="75">
        <v>3197</v>
      </c>
      <c r="C3200">
        <v>146.0028743</v>
      </c>
      <c r="D3200">
        <v>-17.487641459999999</v>
      </c>
      <c r="F3200" s="75" t="str">
        <f>HYPERLINK("E:\Data From Lucan\2024\Johnstone\Frames_for_Analysis\3197_20240610_0005_L_0178.jpg","3197_20240610_0005_L_0178.jpg")</f>
        <v>3197_20240610_0005_L_0178.jpg</v>
      </c>
      <c r="G3200" s="75">
        <v>9</v>
      </c>
      <c r="I3200">
        <f t="shared" si="49"/>
        <v>0</v>
      </c>
      <c r="J3200" s="75">
        <v>0</v>
      </c>
      <c r="K3200" s="77"/>
      <c r="L3200" s="77"/>
      <c r="M3200" s="77"/>
      <c r="N3200" s="77"/>
      <c r="O3200" s="75">
        <v>1</v>
      </c>
      <c r="P3200" s="75">
        <v>0</v>
      </c>
      <c r="Q3200" s="75">
        <v>0</v>
      </c>
      <c r="R3200" s="75">
        <v>0</v>
      </c>
      <c r="S3200" s="75">
        <v>0</v>
      </c>
      <c r="T3200" s="75">
        <v>0</v>
      </c>
      <c r="U3200" s="75">
        <v>0</v>
      </c>
      <c r="V3200" s="75">
        <v>0</v>
      </c>
      <c r="W3200" s="78">
        <v>0</v>
      </c>
    </row>
    <row r="3201" spans="1:23" s="75" customFormat="1" hidden="1" x14ac:dyDescent="0.35">
      <c r="A3201" s="75">
        <v>3197</v>
      </c>
      <c r="B3201" s="75">
        <v>3198</v>
      </c>
      <c r="C3201">
        <v>146.00296449999999</v>
      </c>
      <c r="D3201">
        <v>-17.487613960000001</v>
      </c>
      <c r="F3201" s="75" t="str">
        <f>HYPERLINK("E:\Data From Lucan\2024\Johnstone\Frames_for_Analysis\3198_20240610_0005_L_0179.jpg","3198_20240610_0005_L_0179.jpg")</f>
        <v>3198_20240610_0005_L_0179.jpg</v>
      </c>
      <c r="G3201" s="75">
        <v>9</v>
      </c>
      <c r="I3201">
        <f t="shared" si="49"/>
        <v>0</v>
      </c>
      <c r="J3201" s="75">
        <v>0</v>
      </c>
      <c r="K3201" s="77"/>
      <c r="L3201" s="77"/>
      <c r="M3201" s="77"/>
      <c r="N3201" s="77"/>
      <c r="O3201" s="75">
        <v>1</v>
      </c>
      <c r="P3201" s="75">
        <v>0</v>
      </c>
      <c r="Q3201" s="75">
        <v>0</v>
      </c>
      <c r="R3201" s="75">
        <v>0</v>
      </c>
      <c r="S3201" s="75">
        <v>0</v>
      </c>
      <c r="T3201" s="75">
        <v>0</v>
      </c>
      <c r="U3201" s="75">
        <v>0</v>
      </c>
      <c r="V3201" s="75">
        <v>0</v>
      </c>
      <c r="W3201" s="78">
        <v>0</v>
      </c>
    </row>
    <row r="3202" spans="1:23" s="75" customFormat="1" hidden="1" x14ac:dyDescent="0.35">
      <c r="A3202" s="75">
        <v>3198</v>
      </c>
      <c r="B3202" s="75">
        <v>3199</v>
      </c>
      <c r="C3202">
        <v>146.00305470000001</v>
      </c>
      <c r="D3202">
        <v>-17.487586449999998</v>
      </c>
      <c r="F3202" s="75" t="str">
        <f>HYPERLINK("E:\Data From Lucan\2024\Johnstone\Frames_for_Analysis\3199_20240610_0005_L_0181.jpg","3199_20240610_0005_L_0181.jpg")</f>
        <v>3199_20240610_0005_L_0181.jpg</v>
      </c>
      <c r="G3202" s="75">
        <v>9</v>
      </c>
      <c r="I3202">
        <f t="shared" si="49"/>
        <v>0</v>
      </c>
      <c r="J3202" s="75">
        <v>0</v>
      </c>
      <c r="K3202" s="77"/>
      <c r="L3202" s="77"/>
      <c r="M3202" s="77"/>
      <c r="N3202" s="77"/>
      <c r="O3202" s="75">
        <v>1</v>
      </c>
      <c r="P3202" s="75">
        <v>0</v>
      </c>
      <c r="Q3202" s="75">
        <v>0</v>
      </c>
      <c r="R3202" s="75">
        <v>0</v>
      </c>
      <c r="S3202" s="75">
        <v>0</v>
      </c>
      <c r="T3202" s="75">
        <v>0</v>
      </c>
      <c r="U3202" s="75">
        <v>0</v>
      </c>
      <c r="V3202" s="75">
        <v>0</v>
      </c>
      <c r="W3202" s="78">
        <v>0</v>
      </c>
    </row>
    <row r="3203" spans="1:23" s="75" customFormat="1" hidden="1" x14ac:dyDescent="0.35">
      <c r="A3203" s="75">
        <v>3199</v>
      </c>
      <c r="B3203" s="75">
        <v>3200</v>
      </c>
      <c r="C3203">
        <v>146.00314460000001</v>
      </c>
      <c r="D3203">
        <v>-17.487558320000002</v>
      </c>
      <c r="F3203" s="75" t="str">
        <f>HYPERLINK("E:\Data From Lucan\2024\Johnstone\Frames_for_Analysis\3200_20240610_0005_L_0182.jpg","3200_20240610_0005_L_0182.jpg")</f>
        <v>3200_20240610_0005_L_0182.jpg</v>
      </c>
      <c r="G3203" s="75">
        <v>9</v>
      </c>
      <c r="I3203">
        <f t="shared" si="49"/>
        <v>0</v>
      </c>
      <c r="J3203" s="75">
        <v>0</v>
      </c>
      <c r="K3203" s="77"/>
      <c r="L3203" s="77"/>
      <c r="M3203" s="77"/>
      <c r="N3203" s="77"/>
      <c r="O3203" s="75">
        <v>1</v>
      </c>
      <c r="P3203" s="75">
        <v>0</v>
      </c>
      <c r="Q3203" s="75">
        <v>0</v>
      </c>
      <c r="R3203" s="75">
        <v>0</v>
      </c>
      <c r="S3203" s="75">
        <v>0</v>
      </c>
      <c r="T3203" s="75">
        <v>0</v>
      </c>
      <c r="U3203" s="75">
        <v>0</v>
      </c>
      <c r="V3203" s="75">
        <v>0</v>
      </c>
      <c r="W3203" s="78">
        <v>0</v>
      </c>
    </row>
    <row r="3204" spans="1:23" s="75" customFormat="1" hidden="1" x14ac:dyDescent="0.35">
      <c r="A3204" s="75">
        <v>3200</v>
      </c>
      <c r="B3204" s="75">
        <v>3201</v>
      </c>
      <c r="C3204">
        <v>146.00323270000001</v>
      </c>
      <c r="D3204">
        <v>-17.48752451</v>
      </c>
      <c r="F3204" s="75" t="str">
        <f>HYPERLINK("E:\Data From Lucan\2024\Johnstone\Frames_for_Analysis\3201_20240610_0005_L_0183.jpg","3201_20240610_0005_L_0183.jpg")</f>
        <v>3201_20240610_0005_L_0183.jpg</v>
      </c>
      <c r="G3204" s="75">
        <v>9</v>
      </c>
      <c r="I3204">
        <f t="shared" si="49"/>
        <v>0</v>
      </c>
      <c r="J3204" s="75">
        <v>0</v>
      </c>
      <c r="K3204" s="77"/>
      <c r="L3204" s="77"/>
      <c r="M3204" s="77"/>
      <c r="N3204" s="77"/>
      <c r="O3204" s="75">
        <v>1</v>
      </c>
      <c r="P3204" s="75">
        <v>0</v>
      </c>
      <c r="Q3204" s="75">
        <v>0</v>
      </c>
      <c r="R3204" s="75">
        <v>0</v>
      </c>
      <c r="S3204" s="75">
        <v>0</v>
      </c>
      <c r="T3204" s="75">
        <v>0</v>
      </c>
      <c r="U3204" s="75">
        <v>0</v>
      </c>
      <c r="V3204" s="75">
        <v>0</v>
      </c>
      <c r="W3204" s="78">
        <v>0</v>
      </c>
    </row>
    <row r="3205" spans="1:23" s="75" customFormat="1" hidden="1" x14ac:dyDescent="0.35">
      <c r="A3205" s="75">
        <v>3201</v>
      </c>
      <c r="B3205" s="75">
        <v>3202</v>
      </c>
      <c r="C3205">
        <v>146.00331449999999</v>
      </c>
      <c r="D3205">
        <v>-17.48748638</v>
      </c>
      <c r="F3205" s="75" t="str">
        <f>HYPERLINK("E:\Data From Lucan\2024\Johnstone\Frames_for_Analysis\3202_20240610_0005_L_0184.jpg","3202_20240610_0005_L_0184.jpg")</f>
        <v>3202_20240610_0005_L_0184.jpg</v>
      </c>
      <c r="G3205" s="75">
        <v>9</v>
      </c>
      <c r="I3205">
        <f t="shared" ref="I3205:I3268" si="50">IF(H3205="X","X",IF(J3205="NA","X",IF(J3205="","X",J3205)))</f>
        <v>0</v>
      </c>
      <c r="J3205" s="75">
        <v>0</v>
      </c>
      <c r="K3205" s="77"/>
      <c r="L3205" s="77"/>
      <c r="M3205" s="77"/>
      <c r="N3205" s="77"/>
      <c r="O3205" s="75">
        <v>1</v>
      </c>
      <c r="P3205" s="75">
        <v>0</v>
      </c>
      <c r="Q3205" s="75">
        <v>0</v>
      </c>
      <c r="R3205" s="75">
        <v>0</v>
      </c>
      <c r="S3205" s="75">
        <v>0</v>
      </c>
      <c r="T3205" s="75">
        <v>0</v>
      </c>
      <c r="U3205" s="75">
        <v>0</v>
      </c>
      <c r="V3205" s="75">
        <v>0</v>
      </c>
      <c r="W3205" s="78">
        <v>0</v>
      </c>
    </row>
    <row r="3206" spans="1:23" s="75" customFormat="1" hidden="1" x14ac:dyDescent="0.35">
      <c r="A3206" s="75">
        <v>3202</v>
      </c>
      <c r="B3206" s="75">
        <v>3203</v>
      </c>
      <c r="C3206">
        <v>146.00329300000001</v>
      </c>
      <c r="D3206">
        <v>-17.487400789999999</v>
      </c>
      <c r="G3206" s="75">
        <v>9</v>
      </c>
      <c r="H3206" s="75" t="s">
        <v>26</v>
      </c>
      <c r="I3206" t="str">
        <f t="shared" si="50"/>
        <v>X</v>
      </c>
      <c r="K3206" s="77"/>
      <c r="L3206" s="77"/>
      <c r="M3206" s="77"/>
      <c r="N3206" s="77"/>
      <c r="W3206" s="78"/>
    </row>
    <row r="3207" spans="1:23" s="75" customFormat="1" hidden="1" x14ac:dyDescent="0.35">
      <c r="A3207" s="75">
        <v>3203</v>
      </c>
      <c r="B3207" s="75">
        <v>3204</v>
      </c>
      <c r="C3207">
        <v>146.003221</v>
      </c>
      <c r="D3207">
        <v>-17.487342779999999</v>
      </c>
      <c r="G3207" s="75">
        <v>9</v>
      </c>
      <c r="H3207" s="75" t="s">
        <v>26</v>
      </c>
      <c r="I3207" t="str">
        <f t="shared" si="50"/>
        <v>X</v>
      </c>
      <c r="K3207" s="77"/>
      <c r="L3207" s="77"/>
      <c r="M3207" s="77"/>
      <c r="N3207" s="77"/>
      <c r="W3207" s="78"/>
    </row>
    <row r="3208" spans="1:23" s="75" customFormat="1" hidden="1" x14ac:dyDescent="0.35">
      <c r="A3208" s="75">
        <v>3204</v>
      </c>
      <c r="B3208" s="75">
        <v>3205</v>
      </c>
      <c r="C3208">
        <v>146.00313360000001</v>
      </c>
      <c r="D3208">
        <v>-17.48730733</v>
      </c>
      <c r="G3208" s="75">
        <v>9</v>
      </c>
      <c r="H3208" s="75" t="s">
        <v>26</v>
      </c>
      <c r="I3208" t="str">
        <f t="shared" si="50"/>
        <v>X</v>
      </c>
      <c r="K3208" s="77"/>
      <c r="L3208" s="77"/>
      <c r="M3208" s="77"/>
      <c r="N3208" s="77"/>
      <c r="W3208" s="78"/>
    </row>
    <row r="3209" spans="1:23" s="75" customFormat="1" hidden="1" x14ac:dyDescent="0.35">
      <c r="A3209" s="75">
        <v>3205</v>
      </c>
      <c r="B3209" s="75">
        <v>3206</v>
      </c>
      <c r="C3209">
        <v>146.0030462</v>
      </c>
      <c r="D3209">
        <v>-17.487271870000001</v>
      </c>
      <c r="G3209" s="75">
        <v>9</v>
      </c>
      <c r="H3209" s="75" t="s">
        <v>26</v>
      </c>
      <c r="I3209" t="str">
        <f t="shared" si="50"/>
        <v>X</v>
      </c>
      <c r="K3209" s="77"/>
      <c r="L3209" s="77"/>
      <c r="M3209" s="77"/>
      <c r="N3209" s="77"/>
      <c r="W3209" s="78"/>
    </row>
    <row r="3210" spans="1:23" s="75" customFormat="1" hidden="1" x14ac:dyDescent="0.35">
      <c r="A3210" s="75">
        <v>3206</v>
      </c>
      <c r="B3210" s="75">
        <v>3207</v>
      </c>
      <c r="C3210">
        <v>146.00295879999999</v>
      </c>
      <c r="D3210">
        <v>-17.487236410000001</v>
      </c>
      <c r="G3210" s="75">
        <v>9</v>
      </c>
      <c r="H3210" s="75" t="s">
        <v>26</v>
      </c>
      <c r="I3210" t="str">
        <f t="shared" si="50"/>
        <v>X</v>
      </c>
      <c r="K3210" s="77"/>
      <c r="L3210" s="77"/>
      <c r="M3210" s="77"/>
      <c r="N3210" s="77"/>
      <c r="W3210" s="78"/>
    </row>
    <row r="3211" spans="1:23" s="75" customFormat="1" hidden="1" x14ac:dyDescent="0.35">
      <c r="A3211" s="75">
        <v>3207</v>
      </c>
      <c r="B3211" s="75">
        <v>3208</v>
      </c>
      <c r="C3211">
        <v>146.0028715</v>
      </c>
      <c r="D3211">
        <v>-17.487200959999999</v>
      </c>
      <c r="G3211" s="75">
        <v>9</v>
      </c>
      <c r="H3211" s="75" t="s">
        <v>26</v>
      </c>
      <c r="I3211" t="str">
        <f t="shared" si="50"/>
        <v>X</v>
      </c>
      <c r="K3211" s="77"/>
      <c r="L3211" s="77"/>
      <c r="M3211" s="77"/>
      <c r="N3211" s="77"/>
      <c r="W3211" s="78"/>
    </row>
    <row r="3212" spans="1:23" s="75" customFormat="1" hidden="1" x14ac:dyDescent="0.35">
      <c r="A3212" s="75">
        <v>3208</v>
      </c>
      <c r="B3212" s="75">
        <v>3209</v>
      </c>
      <c r="C3212">
        <v>146.00278410000001</v>
      </c>
      <c r="D3212">
        <v>-17.4871655</v>
      </c>
      <c r="G3212" s="75">
        <v>9</v>
      </c>
      <c r="H3212" s="75" t="s">
        <v>26</v>
      </c>
      <c r="I3212" t="str">
        <f t="shared" si="50"/>
        <v>X</v>
      </c>
      <c r="K3212" s="77"/>
      <c r="L3212" s="77"/>
      <c r="M3212" s="77"/>
      <c r="N3212" s="77"/>
      <c r="W3212" s="78"/>
    </row>
    <row r="3213" spans="1:23" s="75" customFormat="1" hidden="1" x14ac:dyDescent="0.35">
      <c r="A3213" s="75">
        <v>3209</v>
      </c>
      <c r="B3213" s="75">
        <v>3210</v>
      </c>
      <c r="C3213">
        <v>146.00269230000001</v>
      </c>
      <c r="D3213">
        <v>-17.487144000000001</v>
      </c>
      <c r="G3213" s="75">
        <v>9</v>
      </c>
      <c r="H3213" s="75" t="s">
        <v>26</v>
      </c>
      <c r="I3213" t="str">
        <f t="shared" si="50"/>
        <v>X</v>
      </c>
      <c r="K3213" s="77"/>
      <c r="L3213" s="77"/>
      <c r="M3213" s="77"/>
      <c r="N3213" s="77"/>
      <c r="W3213" s="78"/>
    </row>
    <row r="3214" spans="1:23" s="75" customFormat="1" hidden="1" x14ac:dyDescent="0.35">
      <c r="A3214" s="75">
        <v>3210</v>
      </c>
      <c r="B3214" s="75">
        <v>3211</v>
      </c>
      <c r="C3214">
        <v>146.00260040000001</v>
      </c>
      <c r="D3214">
        <v>-17.48712287</v>
      </c>
      <c r="G3214" s="75">
        <v>9</v>
      </c>
      <c r="H3214" s="75" t="s">
        <v>26</v>
      </c>
      <c r="I3214" t="str">
        <f t="shared" si="50"/>
        <v>X</v>
      </c>
      <c r="K3214" s="77"/>
      <c r="L3214" s="77"/>
      <c r="M3214" s="77"/>
      <c r="N3214" s="77"/>
      <c r="W3214" s="78"/>
    </row>
    <row r="3215" spans="1:23" s="75" customFormat="1" hidden="1" x14ac:dyDescent="0.35">
      <c r="A3215" s="75">
        <v>3211</v>
      </c>
      <c r="B3215" s="75">
        <v>3212</v>
      </c>
      <c r="C3215">
        <v>146.00250819999999</v>
      </c>
      <c r="D3215">
        <v>-17.487104800000001</v>
      </c>
      <c r="G3215" s="75">
        <v>9</v>
      </c>
      <c r="H3215" s="75" t="s">
        <v>26</v>
      </c>
      <c r="I3215" t="str">
        <f t="shared" si="50"/>
        <v>X</v>
      </c>
      <c r="K3215" s="77"/>
      <c r="L3215" s="77"/>
      <c r="M3215" s="77"/>
      <c r="N3215" s="77"/>
      <c r="W3215" s="78"/>
    </row>
    <row r="3216" spans="1:23" s="75" customFormat="1" hidden="1" x14ac:dyDescent="0.35">
      <c r="A3216" s="75">
        <v>3212</v>
      </c>
      <c r="B3216" s="75">
        <v>3213</v>
      </c>
      <c r="C3216">
        <v>146.00241389999999</v>
      </c>
      <c r="D3216">
        <v>-17.48710707</v>
      </c>
      <c r="G3216" s="75">
        <v>9</v>
      </c>
      <c r="H3216" s="75" t="s">
        <v>26</v>
      </c>
      <c r="I3216" t="str">
        <f t="shared" si="50"/>
        <v>X</v>
      </c>
      <c r="K3216" s="77"/>
      <c r="L3216" s="77"/>
      <c r="M3216" s="77"/>
      <c r="N3216" s="77"/>
      <c r="W3216" s="78"/>
    </row>
    <row r="3217" spans="1:23" s="75" customFormat="1" hidden="1" x14ac:dyDescent="0.35">
      <c r="A3217" s="75">
        <v>3213</v>
      </c>
      <c r="B3217" s="75">
        <v>3214</v>
      </c>
      <c r="C3217">
        <v>146.00231959999999</v>
      </c>
      <c r="D3217">
        <v>-17.48710934</v>
      </c>
      <c r="G3217" s="75">
        <v>9</v>
      </c>
      <c r="H3217" s="75" t="s">
        <v>26</v>
      </c>
      <c r="I3217" t="str">
        <f t="shared" si="50"/>
        <v>X</v>
      </c>
      <c r="K3217" s="77"/>
      <c r="L3217" s="77"/>
      <c r="M3217" s="77"/>
      <c r="N3217" s="77"/>
      <c r="W3217" s="78"/>
    </row>
    <row r="3218" spans="1:23" s="75" customFormat="1" hidden="1" x14ac:dyDescent="0.35">
      <c r="A3218" s="75">
        <v>3214</v>
      </c>
      <c r="B3218" s="75">
        <v>3215</v>
      </c>
      <c r="C3218">
        <v>146.00222529999999</v>
      </c>
      <c r="D3218">
        <v>-17.487111609999999</v>
      </c>
      <c r="G3218" s="75">
        <v>9</v>
      </c>
      <c r="H3218" s="75" t="s">
        <v>26</v>
      </c>
      <c r="I3218" t="str">
        <f t="shared" si="50"/>
        <v>X</v>
      </c>
      <c r="K3218" s="77"/>
      <c r="L3218" s="77"/>
      <c r="M3218" s="77"/>
      <c r="N3218" s="77"/>
      <c r="W3218" s="78"/>
    </row>
    <row r="3219" spans="1:23" s="75" customFormat="1" hidden="1" x14ac:dyDescent="0.35">
      <c r="A3219" s="75">
        <v>3215</v>
      </c>
      <c r="B3219" s="75">
        <v>3216</v>
      </c>
      <c r="C3219">
        <v>146.00213120000001</v>
      </c>
      <c r="D3219">
        <v>-17.48711114</v>
      </c>
      <c r="G3219" s="75">
        <v>9</v>
      </c>
      <c r="H3219" s="75" t="s">
        <v>26</v>
      </c>
      <c r="I3219" t="str">
        <f t="shared" si="50"/>
        <v>X</v>
      </c>
      <c r="K3219" s="77"/>
      <c r="L3219" s="77"/>
      <c r="M3219" s="77"/>
      <c r="N3219" s="77"/>
      <c r="W3219" s="78"/>
    </row>
    <row r="3220" spans="1:23" s="75" customFormat="1" hidden="1" x14ac:dyDescent="0.35">
      <c r="A3220" s="75">
        <v>3216</v>
      </c>
      <c r="B3220" s="75">
        <v>3217</v>
      </c>
      <c r="C3220">
        <v>146.00203730000001</v>
      </c>
      <c r="D3220">
        <v>-17.48710166</v>
      </c>
      <c r="G3220" s="75">
        <v>9</v>
      </c>
      <c r="H3220" s="75" t="s">
        <v>26</v>
      </c>
      <c r="I3220" t="str">
        <f t="shared" si="50"/>
        <v>X</v>
      </c>
      <c r="K3220" s="77"/>
      <c r="L3220" s="77"/>
      <c r="M3220" s="77"/>
      <c r="N3220" s="77"/>
      <c r="W3220" s="78"/>
    </row>
    <row r="3221" spans="1:23" s="75" customFormat="1" hidden="1" x14ac:dyDescent="0.35">
      <c r="A3221" s="75">
        <v>3217</v>
      </c>
      <c r="B3221" s="75">
        <v>3218</v>
      </c>
      <c r="C3221">
        <v>146.00194350000001</v>
      </c>
      <c r="D3221">
        <v>-17.487092180000001</v>
      </c>
      <c r="G3221" s="75">
        <v>9</v>
      </c>
      <c r="H3221" s="75" t="s">
        <v>26</v>
      </c>
      <c r="I3221" t="str">
        <f t="shared" si="50"/>
        <v>X</v>
      </c>
      <c r="K3221" s="77"/>
      <c r="L3221" s="77"/>
      <c r="M3221" s="77"/>
      <c r="N3221" s="77"/>
      <c r="W3221" s="78"/>
    </row>
    <row r="3222" spans="1:23" s="75" customFormat="1" hidden="1" x14ac:dyDescent="0.35">
      <c r="A3222" s="75">
        <v>3218</v>
      </c>
      <c r="B3222" s="75">
        <v>3219</v>
      </c>
      <c r="C3222">
        <v>146.00185149999999</v>
      </c>
      <c r="D3222">
        <v>-17.4870755</v>
      </c>
      <c r="G3222" s="75">
        <v>9</v>
      </c>
      <c r="H3222" s="75" t="s">
        <v>26</v>
      </c>
      <c r="I3222" t="str">
        <f t="shared" si="50"/>
        <v>X</v>
      </c>
      <c r="K3222" s="77"/>
      <c r="L3222" s="77"/>
      <c r="M3222" s="77"/>
      <c r="N3222" s="77"/>
      <c r="W3222" s="78"/>
    </row>
    <row r="3223" spans="1:23" s="75" customFormat="1" hidden="1" x14ac:dyDescent="0.35">
      <c r="A3223" s="75">
        <v>3219</v>
      </c>
      <c r="B3223" s="75">
        <v>3220</v>
      </c>
      <c r="C3223">
        <v>146.0018029</v>
      </c>
      <c r="D3223">
        <v>-17.48701792</v>
      </c>
      <c r="G3223" s="75">
        <v>9</v>
      </c>
      <c r="H3223" s="75" t="s">
        <v>26</v>
      </c>
      <c r="I3223" t="str">
        <f t="shared" si="50"/>
        <v>X</v>
      </c>
      <c r="K3223" s="77"/>
      <c r="L3223" s="77"/>
      <c r="M3223" s="77"/>
      <c r="N3223" s="77"/>
      <c r="W3223" s="78"/>
    </row>
    <row r="3224" spans="1:23" s="75" customFormat="1" hidden="1" x14ac:dyDescent="0.35">
      <c r="A3224" s="75">
        <v>3220</v>
      </c>
      <c r="B3224" s="75">
        <v>3221</v>
      </c>
      <c r="C3224">
        <v>146.00186220000001</v>
      </c>
      <c r="D3224">
        <v>-17.486958019999999</v>
      </c>
      <c r="G3224" s="75">
        <v>9</v>
      </c>
      <c r="H3224" s="75" t="s">
        <v>26</v>
      </c>
      <c r="I3224" t="str">
        <f t="shared" si="50"/>
        <v>X</v>
      </c>
      <c r="K3224" s="77"/>
      <c r="L3224" s="77"/>
      <c r="M3224" s="77"/>
      <c r="N3224" s="77"/>
      <c r="W3224" s="78"/>
    </row>
    <row r="3225" spans="1:23" s="75" customFormat="1" hidden="1" x14ac:dyDescent="0.35">
      <c r="A3225" s="75">
        <v>3221</v>
      </c>
      <c r="B3225" s="75">
        <v>3222</v>
      </c>
      <c r="C3225">
        <v>146.0019528</v>
      </c>
      <c r="D3225">
        <v>-17.486934420000001</v>
      </c>
      <c r="G3225" s="75">
        <v>9</v>
      </c>
      <c r="H3225" s="75" t="s">
        <v>26</v>
      </c>
      <c r="I3225" t="str">
        <f t="shared" si="50"/>
        <v>X</v>
      </c>
      <c r="K3225" s="77"/>
      <c r="L3225" s="77"/>
      <c r="M3225" s="77"/>
      <c r="N3225" s="77"/>
      <c r="W3225" s="78"/>
    </row>
    <row r="3226" spans="1:23" s="75" customFormat="1" hidden="1" x14ac:dyDescent="0.35">
      <c r="A3226" s="75">
        <v>3222</v>
      </c>
      <c r="B3226" s="75">
        <v>3223</v>
      </c>
      <c r="C3226">
        <v>146.0020456</v>
      </c>
      <c r="D3226">
        <v>-17.486917590000001</v>
      </c>
      <c r="G3226" s="75">
        <v>9</v>
      </c>
      <c r="H3226" s="75" t="s">
        <v>26</v>
      </c>
      <c r="I3226" t="str">
        <f t="shared" si="50"/>
        <v>X</v>
      </c>
      <c r="K3226" s="77"/>
      <c r="L3226" s="77"/>
      <c r="M3226" s="77"/>
      <c r="N3226" s="77"/>
      <c r="W3226" s="78"/>
    </row>
    <row r="3227" spans="1:23" s="75" customFormat="1" hidden="1" x14ac:dyDescent="0.35">
      <c r="A3227" s="75">
        <v>3223</v>
      </c>
      <c r="B3227" s="75">
        <v>3224</v>
      </c>
      <c r="C3227">
        <v>146.00213919999999</v>
      </c>
      <c r="D3227">
        <v>-17.486907169999999</v>
      </c>
      <c r="G3227" s="75">
        <v>9</v>
      </c>
      <c r="H3227" s="75" t="s">
        <v>26</v>
      </c>
      <c r="I3227" t="str">
        <f t="shared" si="50"/>
        <v>X</v>
      </c>
      <c r="K3227" s="77"/>
      <c r="L3227" s="77"/>
      <c r="M3227" s="77"/>
      <c r="N3227" s="77"/>
      <c r="W3227" s="78"/>
    </row>
    <row r="3228" spans="1:23" s="75" customFormat="1" hidden="1" x14ac:dyDescent="0.35">
      <c r="A3228" s="75">
        <v>3224</v>
      </c>
      <c r="B3228" s="75">
        <v>3225</v>
      </c>
      <c r="C3228">
        <v>146.0022333</v>
      </c>
      <c r="D3228">
        <v>-17.486902000000001</v>
      </c>
      <c r="G3228" s="75">
        <v>9</v>
      </c>
      <c r="H3228" s="75" t="s">
        <v>26</v>
      </c>
      <c r="I3228" t="str">
        <f t="shared" si="50"/>
        <v>X</v>
      </c>
      <c r="K3228" s="77"/>
      <c r="L3228" s="77"/>
      <c r="M3228" s="77"/>
      <c r="N3228" s="77"/>
      <c r="W3228" s="78"/>
    </row>
    <row r="3229" spans="1:23" s="75" customFormat="1" hidden="1" x14ac:dyDescent="0.35">
      <c r="A3229" s="75">
        <v>3225</v>
      </c>
      <c r="B3229" s="75">
        <v>3226</v>
      </c>
      <c r="C3229">
        <v>146.0023276</v>
      </c>
      <c r="D3229">
        <v>-17.486900540000001</v>
      </c>
      <c r="G3229" s="75">
        <v>9</v>
      </c>
      <c r="H3229" s="75" t="s">
        <v>26</v>
      </c>
      <c r="I3229" t="str">
        <f t="shared" si="50"/>
        <v>X</v>
      </c>
      <c r="K3229" s="77"/>
      <c r="L3229" s="77"/>
      <c r="M3229" s="77"/>
      <c r="N3229" s="77"/>
      <c r="W3229" s="78"/>
    </row>
    <row r="3230" spans="1:23" s="75" customFormat="1" hidden="1" x14ac:dyDescent="0.35">
      <c r="A3230" s="75">
        <v>3226</v>
      </c>
      <c r="B3230" s="75">
        <v>3227</v>
      </c>
      <c r="C3230">
        <v>146.0024219</v>
      </c>
      <c r="D3230">
        <v>-17.48690101</v>
      </c>
      <c r="G3230" s="75">
        <v>9</v>
      </c>
      <c r="H3230" s="75" t="s">
        <v>26</v>
      </c>
      <c r="I3230" t="str">
        <f t="shared" si="50"/>
        <v>X</v>
      </c>
      <c r="K3230" s="77"/>
      <c r="L3230" s="77"/>
      <c r="M3230" s="77"/>
      <c r="N3230" s="77"/>
      <c r="W3230" s="78"/>
    </row>
    <row r="3231" spans="1:23" s="75" customFormat="1" hidden="1" x14ac:dyDescent="0.35">
      <c r="A3231" s="75">
        <v>3227</v>
      </c>
      <c r="B3231" s="75">
        <v>3228</v>
      </c>
      <c r="C3231">
        <v>146.0025162</v>
      </c>
      <c r="D3231">
        <v>-17.486901490000001</v>
      </c>
      <c r="G3231" s="75">
        <v>9</v>
      </c>
      <c r="H3231" s="75" t="s">
        <v>26</v>
      </c>
      <c r="I3231" t="str">
        <f t="shared" si="50"/>
        <v>X</v>
      </c>
      <c r="K3231" s="77"/>
      <c r="L3231" s="77"/>
      <c r="M3231" s="77"/>
      <c r="N3231" s="77"/>
      <c r="W3231" s="78"/>
    </row>
    <row r="3232" spans="1:23" s="75" customFormat="1" hidden="1" x14ac:dyDescent="0.35">
      <c r="A3232" s="75">
        <v>3228</v>
      </c>
      <c r="B3232" s="75">
        <v>3229</v>
      </c>
      <c r="C3232">
        <v>146.0026101</v>
      </c>
      <c r="D3232">
        <v>-17.486908809999999</v>
      </c>
      <c r="G3232" s="75">
        <v>9</v>
      </c>
      <c r="H3232" s="75" t="s">
        <v>26</v>
      </c>
      <c r="I3232" t="str">
        <f t="shared" si="50"/>
        <v>X</v>
      </c>
      <c r="K3232" s="77"/>
      <c r="L3232" s="77"/>
      <c r="M3232" s="77"/>
      <c r="N3232" s="77"/>
      <c r="W3232" s="78"/>
    </row>
    <row r="3233" spans="1:23" s="75" customFormat="1" hidden="1" x14ac:dyDescent="0.35">
      <c r="A3233" s="75">
        <v>3229</v>
      </c>
      <c r="B3233" s="75">
        <v>3230</v>
      </c>
      <c r="C3233">
        <v>146.00270370000001</v>
      </c>
      <c r="D3233">
        <v>-17.48691986</v>
      </c>
      <c r="G3233" s="75">
        <v>9</v>
      </c>
      <c r="H3233" s="75" t="s">
        <v>26</v>
      </c>
      <c r="I3233" t="str">
        <f t="shared" si="50"/>
        <v>X</v>
      </c>
      <c r="K3233" s="77"/>
      <c r="L3233" s="77"/>
      <c r="M3233" s="77"/>
      <c r="N3233" s="77"/>
      <c r="W3233" s="78"/>
    </row>
    <row r="3234" spans="1:23" s="75" customFormat="1" hidden="1" x14ac:dyDescent="0.35">
      <c r="A3234" s="75">
        <v>3230</v>
      </c>
      <c r="B3234" s="75">
        <v>3231</v>
      </c>
      <c r="C3234">
        <v>146.00279320000001</v>
      </c>
      <c r="D3234">
        <v>-17.486946769999999</v>
      </c>
      <c r="G3234" s="75">
        <v>9</v>
      </c>
      <c r="H3234" s="75" t="s">
        <v>26</v>
      </c>
      <c r="I3234" t="str">
        <f t="shared" si="50"/>
        <v>X</v>
      </c>
      <c r="K3234" s="77"/>
      <c r="L3234" s="77"/>
      <c r="M3234" s="77"/>
      <c r="N3234" s="77"/>
      <c r="W3234" s="78"/>
    </row>
    <row r="3235" spans="1:23" s="75" customFormat="1" hidden="1" x14ac:dyDescent="0.35">
      <c r="A3235" s="75">
        <v>3231</v>
      </c>
      <c r="B3235" s="75">
        <v>3232</v>
      </c>
      <c r="C3235">
        <v>146.00288019999999</v>
      </c>
      <c r="D3235">
        <v>-17.486983080000002</v>
      </c>
      <c r="G3235" s="75">
        <v>9</v>
      </c>
      <c r="H3235" s="75" t="s">
        <v>26</v>
      </c>
      <c r="I3235" t="str">
        <f t="shared" si="50"/>
        <v>X</v>
      </c>
      <c r="K3235" s="77"/>
      <c r="L3235" s="77"/>
      <c r="M3235" s="77"/>
      <c r="N3235" s="77"/>
      <c r="W3235" s="78"/>
    </row>
    <row r="3236" spans="1:23" s="75" customFormat="1" hidden="1" x14ac:dyDescent="0.35">
      <c r="A3236" s="75">
        <v>3232</v>
      </c>
      <c r="B3236" s="75">
        <v>3233</v>
      </c>
      <c r="C3236">
        <v>146.00296929999999</v>
      </c>
      <c r="D3236">
        <v>-17.48701415</v>
      </c>
      <c r="G3236" s="75">
        <v>9</v>
      </c>
      <c r="H3236" s="75" t="s">
        <v>26</v>
      </c>
      <c r="I3236" t="str">
        <f t="shared" si="50"/>
        <v>X</v>
      </c>
      <c r="K3236" s="77"/>
      <c r="L3236" s="77"/>
      <c r="M3236" s="77"/>
      <c r="N3236" s="77"/>
      <c r="W3236" s="78"/>
    </row>
    <row r="3237" spans="1:23" s="75" customFormat="1" hidden="1" x14ac:dyDescent="0.35">
      <c r="A3237" s="75">
        <v>3233</v>
      </c>
      <c r="B3237" s="75">
        <v>3234</v>
      </c>
      <c r="C3237">
        <v>146.00305850000001</v>
      </c>
      <c r="D3237">
        <v>-17.48704459</v>
      </c>
      <c r="G3237" s="75">
        <v>9</v>
      </c>
      <c r="H3237" s="75" t="s">
        <v>26</v>
      </c>
      <c r="I3237" t="str">
        <f t="shared" si="50"/>
        <v>X</v>
      </c>
      <c r="K3237" s="77"/>
      <c r="L3237" s="77"/>
      <c r="M3237" s="77"/>
      <c r="N3237" s="77"/>
      <c r="W3237" s="78"/>
    </row>
    <row r="3238" spans="1:23" s="75" customFormat="1" hidden="1" x14ac:dyDescent="0.35">
      <c r="A3238" s="75">
        <v>3234</v>
      </c>
      <c r="B3238" s="75">
        <v>3235</v>
      </c>
      <c r="C3238">
        <v>146.0031439</v>
      </c>
      <c r="D3238">
        <v>-17.48708452</v>
      </c>
      <c r="G3238" s="75">
        <v>9</v>
      </c>
      <c r="H3238" s="75" t="s">
        <v>26</v>
      </c>
      <c r="I3238" t="str">
        <f t="shared" si="50"/>
        <v>X</v>
      </c>
      <c r="K3238" s="77"/>
      <c r="L3238" s="77"/>
      <c r="M3238" s="77"/>
      <c r="N3238" s="77"/>
      <c r="W3238" s="78"/>
    </row>
    <row r="3239" spans="1:23" s="75" customFormat="1" hidden="1" x14ac:dyDescent="0.35">
      <c r="A3239" s="75">
        <v>3235</v>
      </c>
      <c r="B3239" s="75">
        <v>3236</v>
      </c>
      <c r="C3239">
        <v>146.003229</v>
      </c>
      <c r="D3239">
        <v>-17.487125160000002</v>
      </c>
      <c r="G3239" s="75">
        <v>9</v>
      </c>
      <c r="H3239" s="75" t="s">
        <v>26</v>
      </c>
      <c r="I3239" t="str">
        <f t="shared" si="50"/>
        <v>X</v>
      </c>
      <c r="K3239" s="77"/>
      <c r="L3239" s="77"/>
      <c r="M3239" s="77"/>
      <c r="N3239" s="77"/>
      <c r="W3239" s="78"/>
    </row>
    <row r="3240" spans="1:23" s="75" customFormat="1" hidden="1" x14ac:dyDescent="0.35">
      <c r="A3240" s="75">
        <v>3236</v>
      </c>
      <c r="B3240" s="75">
        <v>3237</v>
      </c>
      <c r="C3240">
        <v>146.0033128</v>
      </c>
      <c r="D3240">
        <v>-17.487168400000002</v>
      </c>
      <c r="G3240" s="75">
        <v>9</v>
      </c>
      <c r="H3240" s="75" t="s">
        <v>26</v>
      </c>
      <c r="I3240" t="str">
        <f t="shared" si="50"/>
        <v>X</v>
      </c>
      <c r="K3240" s="77"/>
      <c r="L3240" s="77"/>
      <c r="M3240" s="77"/>
      <c r="N3240" s="77"/>
      <c r="W3240" s="78"/>
    </row>
    <row r="3241" spans="1:23" s="75" customFormat="1" hidden="1" x14ac:dyDescent="0.35">
      <c r="A3241" s="75">
        <v>3237</v>
      </c>
      <c r="B3241" s="75">
        <v>3238</v>
      </c>
      <c r="C3241">
        <v>146.00339579999999</v>
      </c>
      <c r="D3241">
        <v>-17.487213189999999</v>
      </c>
      <c r="G3241" s="75">
        <v>9</v>
      </c>
      <c r="H3241" s="75" t="s">
        <v>26</v>
      </c>
      <c r="I3241" t="str">
        <f t="shared" si="50"/>
        <v>X</v>
      </c>
      <c r="K3241" s="77"/>
      <c r="L3241" s="77"/>
      <c r="M3241" s="77"/>
      <c r="N3241" s="77"/>
      <c r="W3241" s="78"/>
    </row>
    <row r="3242" spans="1:23" s="75" customFormat="1" hidden="1" x14ac:dyDescent="0.35">
      <c r="A3242" s="75">
        <v>3238</v>
      </c>
      <c r="B3242" s="75">
        <v>3239</v>
      </c>
      <c r="C3242">
        <v>146.00347729999999</v>
      </c>
      <c r="D3242">
        <v>-17.48726061</v>
      </c>
      <c r="F3242" s="75" t="str">
        <f>HYPERLINK("E:\Data From Lucan\2024\Johnstone\Frames_for_Analysis\3239_20240610_0005_L_0185.jpg","3239_20240610_0005_L_0185.jpg")</f>
        <v>3239_20240610_0005_L_0185.jpg</v>
      </c>
      <c r="G3242" s="75">
        <v>9</v>
      </c>
      <c r="I3242">
        <f t="shared" si="50"/>
        <v>0</v>
      </c>
      <c r="J3242" s="75">
        <v>0</v>
      </c>
      <c r="K3242" s="77"/>
      <c r="L3242" s="77"/>
      <c r="M3242" s="77"/>
      <c r="N3242" s="77"/>
      <c r="O3242" s="75">
        <v>1</v>
      </c>
      <c r="P3242" s="75">
        <v>0</v>
      </c>
      <c r="Q3242" s="75">
        <v>0</v>
      </c>
      <c r="R3242" s="75">
        <v>0</v>
      </c>
      <c r="S3242" s="75">
        <v>0</v>
      </c>
      <c r="T3242" s="75">
        <v>0</v>
      </c>
      <c r="U3242" s="75">
        <v>0</v>
      </c>
      <c r="V3242" s="75">
        <v>0</v>
      </c>
      <c r="W3242" s="78">
        <v>0</v>
      </c>
    </row>
    <row r="3243" spans="1:23" s="75" customFormat="1" hidden="1" x14ac:dyDescent="0.35">
      <c r="A3243" s="75">
        <v>3239</v>
      </c>
      <c r="B3243" s="75">
        <v>3240</v>
      </c>
      <c r="C3243">
        <v>146.00355339999999</v>
      </c>
      <c r="D3243">
        <v>-17.487314569999999</v>
      </c>
      <c r="F3243" s="75" t="str">
        <f>HYPERLINK("E:\Data From Lucan\2024\Johnstone\Frames_for_Analysis\3240_20240610_0005_L_0186.jpg","3240_20240610_0005_L_0186.jpg")</f>
        <v>3240_20240610_0005_L_0186.jpg</v>
      </c>
      <c r="G3243" s="75">
        <v>9</v>
      </c>
      <c r="I3243">
        <f t="shared" si="50"/>
        <v>0</v>
      </c>
      <c r="J3243" s="75">
        <v>0</v>
      </c>
      <c r="K3243" s="77"/>
      <c r="L3243" s="77"/>
      <c r="M3243" s="77"/>
      <c r="N3243" s="77"/>
      <c r="O3243" s="75">
        <v>1</v>
      </c>
      <c r="P3243" s="75">
        <v>0</v>
      </c>
      <c r="Q3243" s="75">
        <v>0</v>
      </c>
      <c r="R3243" s="75">
        <v>0</v>
      </c>
      <c r="S3243" s="75">
        <v>0</v>
      </c>
      <c r="T3243" s="75">
        <v>0</v>
      </c>
      <c r="U3243" s="75">
        <v>0</v>
      </c>
      <c r="V3243" s="75">
        <v>0</v>
      </c>
      <c r="W3243" s="78">
        <v>0</v>
      </c>
    </row>
    <row r="3244" spans="1:23" s="75" customFormat="1" hidden="1" x14ac:dyDescent="0.35">
      <c r="A3244" s="75">
        <v>3240</v>
      </c>
      <c r="B3244" s="75">
        <v>3241</v>
      </c>
      <c r="C3244">
        <v>146.0036145</v>
      </c>
      <c r="D3244">
        <v>-17.487386449999999</v>
      </c>
      <c r="G3244" s="75">
        <v>9</v>
      </c>
      <c r="H3244" s="75" t="s">
        <v>26</v>
      </c>
      <c r="I3244" t="str">
        <f t="shared" si="50"/>
        <v>X</v>
      </c>
      <c r="K3244" s="77"/>
      <c r="L3244" s="77"/>
      <c r="M3244" s="77"/>
      <c r="N3244" s="77"/>
      <c r="W3244" s="78"/>
    </row>
    <row r="3245" spans="1:23" s="75" customFormat="1" hidden="1" x14ac:dyDescent="0.35">
      <c r="A3245" s="75">
        <v>3241</v>
      </c>
      <c r="B3245" s="75">
        <v>3242</v>
      </c>
      <c r="C3245">
        <v>146.00362920000001</v>
      </c>
      <c r="D3245">
        <v>-17.487479329999999</v>
      </c>
      <c r="F3245" s="75" t="str">
        <f>HYPERLINK("E:\Data From Lucan\2024\Johnstone\Frames_for_Analysis\3242_20240610_0005_L_0187.jpg","3242_20240610_0005_L_0187.jpg")</f>
        <v>3242_20240610_0005_L_0187.jpg</v>
      </c>
      <c r="G3245" s="75">
        <v>9</v>
      </c>
      <c r="I3245">
        <f t="shared" si="50"/>
        <v>0</v>
      </c>
      <c r="J3245" s="75">
        <v>0</v>
      </c>
      <c r="K3245" s="77"/>
      <c r="L3245" s="77"/>
      <c r="M3245" s="77"/>
      <c r="N3245" s="77"/>
      <c r="O3245" s="75">
        <v>1</v>
      </c>
      <c r="P3245" s="75">
        <v>0</v>
      </c>
      <c r="Q3245" s="75">
        <v>0</v>
      </c>
      <c r="R3245" s="75">
        <v>0</v>
      </c>
      <c r="S3245" s="75">
        <v>0</v>
      </c>
      <c r="T3245" s="75">
        <v>0</v>
      </c>
      <c r="U3245" s="75">
        <v>0</v>
      </c>
      <c r="V3245" s="75">
        <v>0</v>
      </c>
      <c r="W3245" s="78">
        <v>0</v>
      </c>
    </row>
    <row r="3246" spans="1:23" s="75" customFormat="1" hidden="1" x14ac:dyDescent="0.35">
      <c r="A3246" s="75">
        <v>3242</v>
      </c>
      <c r="B3246" s="75">
        <v>3243</v>
      </c>
      <c r="C3246">
        <v>146.00362430000001</v>
      </c>
      <c r="D3246">
        <v>-17.487570999999999</v>
      </c>
      <c r="G3246" s="75">
        <v>9</v>
      </c>
      <c r="H3246" s="75" t="s">
        <v>26</v>
      </c>
      <c r="I3246" t="str">
        <f t="shared" si="50"/>
        <v>X</v>
      </c>
      <c r="K3246" s="77"/>
      <c r="L3246" s="77"/>
      <c r="M3246" s="77"/>
      <c r="N3246" s="77"/>
      <c r="W3246" s="78"/>
    </row>
    <row r="3247" spans="1:23" s="75" customFormat="1" hidden="1" x14ac:dyDescent="0.35">
      <c r="A3247" s="75">
        <v>3243</v>
      </c>
      <c r="B3247" s="75">
        <v>3244</v>
      </c>
      <c r="C3247">
        <v>146.0035948</v>
      </c>
      <c r="D3247">
        <v>-17.487660569999999</v>
      </c>
      <c r="G3247" s="75">
        <v>9</v>
      </c>
      <c r="H3247" s="75" t="s">
        <v>26</v>
      </c>
      <c r="I3247" t="str">
        <f t="shared" si="50"/>
        <v>X</v>
      </c>
      <c r="K3247" s="77"/>
      <c r="L3247" s="77"/>
      <c r="M3247" s="77"/>
      <c r="N3247" s="77"/>
      <c r="W3247" s="78"/>
    </row>
    <row r="3248" spans="1:23" s="75" customFormat="1" hidden="1" x14ac:dyDescent="0.35">
      <c r="A3248" s="75">
        <v>3244</v>
      </c>
      <c r="B3248" s="75">
        <v>3245</v>
      </c>
      <c r="C3248">
        <v>146.00354350000001</v>
      </c>
      <c r="D3248">
        <v>-17.487738069999999</v>
      </c>
      <c r="G3248" s="75">
        <v>9</v>
      </c>
      <c r="H3248" s="75" t="s">
        <v>26</v>
      </c>
      <c r="I3248" t="str">
        <f t="shared" si="50"/>
        <v>X</v>
      </c>
      <c r="K3248" s="77"/>
      <c r="L3248" s="77"/>
      <c r="M3248" s="77"/>
      <c r="N3248" s="77"/>
      <c r="W3248" s="78"/>
    </row>
    <row r="3249" spans="1:23" s="75" customFormat="1" hidden="1" x14ac:dyDescent="0.35">
      <c r="A3249" s="75">
        <v>3245</v>
      </c>
      <c r="B3249" s="75">
        <v>3246</v>
      </c>
      <c r="C3249">
        <v>146.0035001</v>
      </c>
      <c r="D3249">
        <v>-17.487817339999999</v>
      </c>
      <c r="F3249" s="75" t="str">
        <f>HYPERLINK("E:\Data From Lucan\2024\Johnstone\Frames_for_Analysis\3246_20240610_0005_L_0188.jpg","3246_20240610_0005_L_0188.jpg")</f>
        <v>3246_20240610_0005_L_0188.jpg</v>
      </c>
      <c r="G3249" s="75">
        <v>9</v>
      </c>
      <c r="I3249">
        <f t="shared" si="50"/>
        <v>0</v>
      </c>
      <c r="J3249" s="75">
        <v>0</v>
      </c>
      <c r="K3249" s="77"/>
      <c r="L3249" s="77"/>
      <c r="M3249" s="77"/>
      <c r="N3249" s="77"/>
      <c r="O3249" s="75">
        <v>1</v>
      </c>
      <c r="P3249" s="75">
        <v>0</v>
      </c>
      <c r="Q3249" s="75">
        <v>0</v>
      </c>
      <c r="R3249" s="75">
        <v>0</v>
      </c>
      <c r="S3249" s="75">
        <v>0</v>
      </c>
      <c r="T3249" s="75">
        <v>0</v>
      </c>
      <c r="U3249" s="75">
        <v>0</v>
      </c>
      <c r="V3249" s="75">
        <v>0</v>
      </c>
      <c r="W3249" s="78">
        <v>0</v>
      </c>
    </row>
    <row r="3250" spans="1:23" s="75" customFormat="1" hidden="1" x14ac:dyDescent="0.35">
      <c r="A3250" s="75">
        <v>3246</v>
      </c>
      <c r="B3250" s="75">
        <v>3247</v>
      </c>
      <c r="C3250">
        <v>146.0035718</v>
      </c>
      <c r="D3250">
        <v>-17.487841809999999</v>
      </c>
      <c r="F3250" s="75" t="str">
        <f>HYPERLINK("E:\Data From Lucan\2024\Johnstone\Frames_for_Analysis\3247_20240610_0005_L_0189.jpg","3247_20240610_0005_L_0189.jpg")</f>
        <v>3247_20240610_0005_L_0189.jpg</v>
      </c>
      <c r="G3250" s="75">
        <v>9</v>
      </c>
      <c r="I3250">
        <f t="shared" si="50"/>
        <v>0</v>
      </c>
      <c r="J3250" s="75">
        <v>0</v>
      </c>
      <c r="K3250" s="77"/>
      <c r="L3250" s="77"/>
      <c r="M3250" s="77"/>
      <c r="N3250" s="77"/>
      <c r="O3250" s="75">
        <v>1</v>
      </c>
      <c r="P3250" s="75">
        <v>0</v>
      </c>
      <c r="Q3250" s="75">
        <v>0</v>
      </c>
      <c r="R3250" s="75">
        <v>0</v>
      </c>
      <c r="S3250" s="75">
        <v>0</v>
      </c>
      <c r="T3250" s="75">
        <v>0</v>
      </c>
      <c r="U3250" s="75">
        <v>0</v>
      </c>
      <c r="V3250" s="75">
        <v>0</v>
      </c>
      <c r="W3250" s="78">
        <v>0</v>
      </c>
    </row>
    <row r="3251" spans="1:23" s="75" customFormat="1" hidden="1" x14ac:dyDescent="0.35">
      <c r="A3251" s="75">
        <v>3247</v>
      </c>
      <c r="B3251" s="75">
        <v>3248</v>
      </c>
      <c r="C3251">
        <v>146.00366600000001</v>
      </c>
      <c r="D3251">
        <v>-17.487846210000001</v>
      </c>
      <c r="F3251" s="75" t="str">
        <f>HYPERLINK("E:\Data From Lucan\2024\Johnstone\Frames_for_Analysis\3248_20240610_0005_L_0190.jpg","3248_20240610_0005_L_0190.jpg")</f>
        <v>3248_20240610_0005_L_0190.jpg</v>
      </c>
      <c r="G3251" s="75">
        <v>9</v>
      </c>
      <c r="I3251">
        <f t="shared" si="50"/>
        <v>0</v>
      </c>
      <c r="J3251" s="75">
        <v>0</v>
      </c>
      <c r="K3251" s="77"/>
      <c r="L3251" s="77"/>
      <c r="M3251" s="77"/>
      <c r="N3251" s="77"/>
      <c r="O3251" s="75">
        <v>1</v>
      </c>
      <c r="P3251" s="75">
        <v>0</v>
      </c>
      <c r="Q3251" s="75">
        <v>0</v>
      </c>
      <c r="R3251" s="75">
        <v>0</v>
      </c>
      <c r="S3251" s="75">
        <v>0</v>
      </c>
      <c r="T3251" s="75">
        <v>0</v>
      </c>
      <c r="U3251" s="75">
        <v>0</v>
      </c>
      <c r="V3251" s="75">
        <v>0</v>
      </c>
      <c r="W3251" s="78">
        <v>0</v>
      </c>
    </row>
    <row r="3252" spans="1:23" s="75" customFormat="1" hidden="1" x14ac:dyDescent="0.35">
      <c r="A3252" s="75">
        <v>3248</v>
      </c>
      <c r="B3252" s="75">
        <v>3249</v>
      </c>
      <c r="C3252">
        <v>146.00369169999999</v>
      </c>
      <c r="D3252">
        <v>-17.487915780000002</v>
      </c>
      <c r="F3252" s="75" t="str">
        <f>HYPERLINK("E:\Data From Lucan\2024\Johnstone\Frames_for_Analysis\3249_20240610_0005_L_0191.jpg","3249_20240610_0005_L_0191.jpg")</f>
        <v>3249_20240610_0005_L_0191.jpg</v>
      </c>
      <c r="G3252" s="75">
        <v>9</v>
      </c>
      <c r="I3252">
        <f t="shared" si="50"/>
        <v>0</v>
      </c>
      <c r="J3252" s="75">
        <v>0</v>
      </c>
      <c r="K3252" s="77"/>
      <c r="L3252" s="77"/>
      <c r="M3252" s="77"/>
      <c r="N3252" s="77"/>
      <c r="O3252" s="75">
        <v>1</v>
      </c>
      <c r="P3252" s="75">
        <v>0</v>
      </c>
      <c r="Q3252" s="75">
        <v>0</v>
      </c>
      <c r="R3252" s="75">
        <v>0</v>
      </c>
      <c r="S3252" s="75">
        <v>0</v>
      </c>
      <c r="T3252" s="75">
        <v>0</v>
      </c>
      <c r="U3252" s="75">
        <v>0</v>
      </c>
      <c r="V3252" s="75">
        <v>0</v>
      </c>
      <c r="W3252" s="78">
        <v>0</v>
      </c>
    </row>
    <row r="3253" spans="1:23" s="75" customFormat="1" hidden="1" x14ac:dyDescent="0.35">
      <c r="A3253" s="75">
        <v>3249</v>
      </c>
      <c r="B3253" s="75">
        <v>3250</v>
      </c>
      <c r="C3253">
        <v>146.00369130000001</v>
      </c>
      <c r="D3253">
        <v>-17.48801009</v>
      </c>
      <c r="F3253" s="75" t="str">
        <f>HYPERLINK("E:\Data From Lucan\2024\Johnstone\Frames_for_Analysis\3250_20240610_0005_L_0192.jpg","3250_20240610_0005_L_0192.jpg")</f>
        <v>3250_20240610_0005_L_0192.jpg</v>
      </c>
      <c r="G3253" s="75">
        <v>9</v>
      </c>
      <c r="I3253">
        <f t="shared" si="50"/>
        <v>0</v>
      </c>
      <c r="J3253" s="75">
        <v>0</v>
      </c>
      <c r="K3253" s="77"/>
      <c r="L3253" s="77"/>
      <c r="M3253" s="77"/>
      <c r="N3253" s="77"/>
      <c r="O3253" s="75">
        <v>1</v>
      </c>
      <c r="P3253" s="75">
        <v>0</v>
      </c>
      <c r="Q3253" s="75">
        <v>0</v>
      </c>
      <c r="R3253" s="75">
        <v>0</v>
      </c>
      <c r="S3253" s="75">
        <v>0</v>
      </c>
      <c r="T3253" s="75">
        <v>0</v>
      </c>
      <c r="U3253" s="75">
        <v>0</v>
      </c>
      <c r="V3253" s="75">
        <v>1</v>
      </c>
      <c r="W3253" s="78">
        <v>0</v>
      </c>
    </row>
    <row r="3254" spans="1:23" s="75" customFormat="1" hidden="1" x14ac:dyDescent="0.35">
      <c r="A3254" s="75">
        <v>3250</v>
      </c>
      <c r="B3254" s="75">
        <v>3251</v>
      </c>
      <c r="C3254">
        <v>146.00369090000001</v>
      </c>
      <c r="D3254">
        <v>-17.48810439</v>
      </c>
      <c r="F3254" s="75" t="str">
        <f>HYPERLINK("E:\Data From Lucan\2024\Johnstone\Frames_for_Analysis\3251_20240610_0005_L_0193.jpg","3251_20240610_0005_L_0193.jpg")</f>
        <v>3251_20240610_0005_L_0193.jpg</v>
      </c>
      <c r="G3254" s="75">
        <v>9</v>
      </c>
      <c r="I3254">
        <f t="shared" si="50"/>
        <v>0</v>
      </c>
      <c r="J3254" s="75">
        <v>0</v>
      </c>
      <c r="K3254" s="77"/>
      <c r="L3254" s="77"/>
      <c r="M3254" s="77"/>
      <c r="N3254" s="77"/>
      <c r="O3254" s="75">
        <v>1</v>
      </c>
      <c r="P3254" s="75">
        <v>0</v>
      </c>
      <c r="Q3254" s="75">
        <v>0</v>
      </c>
      <c r="R3254" s="75">
        <v>0</v>
      </c>
      <c r="S3254" s="75">
        <v>0</v>
      </c>
      <c r="T3254" s="75">
        <v>0</v>
      </c>
      <c r="U3254" s="75">
        <v>0</v>
      </c>
      <c r="V3254" s="75">
        <v>1</v>
      </c>
      <c r="W3254" s="78">
        <v>0</v>
      </c>
    </row>
    <row r="3255" spans="1:23" s="75" customFormat="1" hidden="1" x14ac:dyDescent="0.35">
      <c r="A3255" s="75">
        <v>3251</v>
      </c>
      <c r="B3255" s="75">
        <v>3252</v>
      </c>
      <c r="C3255">
        <v>146.00373980000001</v>
      </c>
      <c r="D3255">
        <v>-17.488181640000001</v>
      </c>
      <c r="F3255" s="75" t="str">
        <f>HYPERLINK("E:\Data From Lucan\2024\Johnstone\Frames_for_Analysis\3252_20240610_0005_L_0194.jpg","3252_20240610_0005_L_0194.jpg")</f>
        <v>3252_20240610_0005_L_0194.jpg</v>
      </c>
      <c r="G3255" s="75">
        <v>9</v>
      </c>
      <c r="I3255">
        <f t="shared" si="50"/>
        <v>0</v>
      </c>
      <c r="J3255" s="75">
        <v>0</v>
      </c>
      <c r="K3255" s="77"/>
      <c r="L3255" s="77"/>
      <c r="M3255" s="77"/>
      <c r="N3255" s="77"/>
      <c r="O3255" s="75">
        <v>1</v>
      </c>
      <c r="P3255" s="75">
        <v>0</v>
      </c>
      <c r="Q3255" s="75">
        <v>0</v>
      </c>
      <c r="R3255" s="75">
        <v>0</v>
      </c>
      <c r="S3255" s="75">
        <v>0</v>
      </c>
      <c r="T3255" s="75">
        <v>0</v>
      </c>
      <c r="U3255" s="75">
        <v>0</v>
      </c>
      <c r="V3255" s="75">
        <v>1</v>
      </c>
      <c r="W3255" s="78">
        <v>0</v>
      </c>
    </row>
    <row r="3256" spans="1:23" s="75" customFormat="1" hidden="1" x14ac:dyDescent="0.35">
      <c r="A3256" s="75">
        <v>3252</v>
      </c>
      <c r="B3256" s="75">
        <v>3253</v>
      </c>
      <c r="C3256">
        <v>146.00382579999999</v>
      </c>
      <c r="D3256">
        <v>-17.488213779999999</v>
      </c>
      <c r="F3256" s="75" t="str">
        <f>HYPERLINK("E:\Data From Lucan\2024\Johnstone\Frames_for_Analysis\3253_20240610_0005_L_0196.jpg","3253_20240610_0005_L_0196.jpg")</f>
        <v>3253_20240610_0005_L_0196.jpg</v>
      </c>
      <c r="G3256" s="75">
        <v>9</v>
      </c>
      <c r="I3256">
        <f t="shared" si="50"/>
        <v>0</v>
      </c>
      <c r="J3256" s="75">
        <v>0</v>
      </c>
      <c r="K3256" s="77"/>
      <c r="L3256" s="77"/>
      <c r="M3256" s="77"/>
      <c r="N3256" s="77"/>
      <c r="O3256" s="75">
        <v>1</v>
      </c>
      <c r="P3256" s="75">
        <v>0</v>
      </c>
      <c r="Q3256" s="75">
        <v>0</v>
      </c>
      <c r="R3256" s="75">
        <v>0</v>
      </c>
      <c r="S3256" s="75">
        <v>0</v>
      </c>
      <c r="T3256" s="75">
        <v>0</v>
      </c>
      <c r="U3256" s="75">
        <v>0</v>
      </c>
      <c r="V3256" s="75">
        <v>1</v>
      </c>
      <c r="W3256" s="78">
        <v>0</v>
      </c>
    </row>
    <row r="3257" spans="1:23" s="75" customFormat="1" hidden="1" x14ac:dyDescent="0.35">
      <c r="A3257" s="75">
        <v>3253</v>
      </c>
      <c r="B3257" s="75">
        <v>3254</v>
      </c>
      <c r="C3257">
        <v>146.00391139999999</v>
      </c>
      <c r="D3257">
        <v>-17.488249629999999</v>
      </c>
      <c r="F3257" s="75" t="str">
        <f>HYPERLINK("E:\Data From Lucan\2024\Johnstone\Frames_for_Analysis\3254_20240610_0005_L_0199.jpg","3254_20240610_0005_L_0199.jpg")</f>
        <v>3254_20240610_0005_L_0199.jpg</v>
      </c>
      <c r="G3257" s="75">
        <v>9</v>
      </c>
      <c r="I3257">
        <f t="shared" si="50"/>
        <v>0</v>
      </c>
      <c r="J3257" s="75">
        <v>0</v>
      </c>
      <c r="K3257" s="77"/>
      <c r="L3257" s="77"/>
      <c r="M3257" s="77"/>
      <c r="N3257" s="77"/>
      <c r="O3257" s="75">
        <v>1</v>
      </c>
      <c r="P3257" s="75">
        <v>0</v>
      </c>
      <c r="Q3257" s="75">
        <v>0</v>
      </c>
      <c r="R3257" s="75">
        <v>0</v>
      </c>
      <c r="S3257" s="75">
        <v>0</v>
      </c>
      <c r="T3257" s="75">
        <v>0</v>
      </c>
      <c r="U3257" s="75">
        <v>0</v>
      </c>
      <c r="V3257" s="75">
        <v>1</v>
      </c>
      <c r="W3257" s="78">
        <v>0</v>
      </c>
    </row>
    <row r="3258" spans="1:23" s="75" customFormat="1" hidden="1" x14ac:dyDescent="0.35">
      <c r="A3258" s="75">
        <v>3254</v>
      </c>
      <c r="B3258" s="75">
        <v>3255</v>
      </c>
      <c r="C3258">
        <v>146.00398730000001</v>
      </c>
      <c r="D3258">
        <v>-17.488305709999999</v>
      </c>
      <c r="F3258" s="75" t="str">
        <f>HYPERLINK("E:\Data From Lucan\2024\Johnstone\Frames_for_Analysis\3255_20240610_0005_L_0201.jpg","3255_20240610_0005_L_0201.jpg")</f>
        <v>3255_20240610_0005_L_0201.jpg</v>
      </c>
      <c r="G3258" s="75">
        <v>9</v>
      </c>
      <c r="I3258">
        <f t="shared" si="50"/>
        <v>0</v>
      </c>
      <c r="J3258" s="75">
        <v>0</v>
      </c>
      <c r="K3258" s="77"/>
      <c r="L3258" s="77"/>
      <c r="M3258" s="77"/>
      <c r="N3258" s="77"/>
      <c r="O3258" s="75">
        <v>1</v>
      </c>
      <c r="P3258" s="75">
        <v>0</v>
      </c>
      <c r="Q3258" s="75">
        <v>0</v>
      </c>
      <c r="R3258" s="75">
        <v>0</v>
      </c>
      <c r="S3258" s="75">
        <v>0</v>
      </c>
      <c r="T3258" s="75">
        <v>0</v>
      </c>
      <c r="U3258" s="75">
        <v>0</v>
      </c>
      <c r="V3258" s="75">
        <v>1</v>
      </c>
      <c r="W3258" s="78">
        <v>0</v>
      </c>
    </row>
    <row r="3259" spans="1:23" s="75" customFormat="1" hidden="1" x14ac:dyDescent="0.35">
      <c r="A3259" s="75">
        <v>3255</v>
      </c>
      <c r="B3259" s="75">
        <v>3256</v>
      </c>
      <c r="C3259">
        <v>146.0040631</v>
      </c>
      <c r="D3259">
        <v>-17.488361780000002</v>
      </c>
      <c r="F3259" s="75" t="str">
        <f>HYPERLINK("E:\Data From Lucan\2024\Johnstone\Frames_for_Analysis\3256_20240610_0005_L_0203.jpg","3256_20240610_0005_L_0203.jpg")</f>
        <v>3256_20240610_0005_L_0203.jpg</v>
      </c>
      <c r="G3259" s="75">
        <v>9</v>
      </c>
      <c r="I3259">
        <f t="shared" si="50"/>
        <v>0</v>
      </c>
      <c r="J3259" s="75">
        <v>0</v>
      </c>
      <c r="K3259" s="77"/>
      <c r="L3259" s="77"/>
      <c r="M3259" s="77"/>
      <c r="N3259" s="77"/>
      <c r="O3259" s="75">
        <v>1</v>
      </c>
      <c r="P3259" s="75">
        <v>0</v>
      </c>
      <c r="Q3259" s="75">
        <v>0</v>
      </c>
      <c r="R3259" s="75">
        <v>0</v>
      </c>
      <c r="S3259" s="75">
        <v>0</v>
      </c>
      <c r="T3259" s="75">
        <v>0</v>
      </c>
      <c r="U3259" s="75">
        <v>0</v>
      </c>
      <c r="V3259" s="75">
        <v>1</v>
      </c>
      <c r="W3259" s="78">
        <v>0</v>
      </c>
    </row>
    <row r="3260" spans="1:23" s="75" customFormat="1" hidden="1" x14ac:dyDescent="0.35">
      <c r="A3260" s="75">
        <v>3256</v>
      </c>
      <c r="B3260" s="75">
        <v>3257</v>
      </c>
      <c r="C3260">
        <v>146.00413889999999</v>
      </c>
      <c r="D3260">
        <v>-17.488417850000001</v>
      </c>
      <c r="F3260" s="75" t="str">
        <f>HYPERLINK("E:\Data From Lucan\2024\Johnstone\Frames_for_Analysis\3257_20240610_0005_L_0206.jpg","3257_20240610_0005_L_0206.jpg")</f>
        <v>3257_20240610_0005_L_0206.jpg</v>
      </c>
      <c r="G3260" s="75">
        <v>9</v>
      </c>
      <c r="I3260">
        <f t="shared" si="50"/>
        <v>0</v>
      </c>
      <c r="J3260" s="75">
        <v>0</v>
      </c>
      <c r="K3260" s="77"/>
      <c r="L3260" s="77"/>
      <c r="M3260" s="77"/>
      <c r="N3260" s="77"/>
      <c r="O3260" s="75">
        <v>1</v>
      </c>
      <c r="P3260" s="75">
        <v>0</v>
      </c>
      <c r="Q3260" s="75">
        <v>0</v>
      </c>
      <c r="R3260" s="75">
        <v>0</v>
      </c>
      <c r="S3260" s="75">
        <v>0</v>
      </c>
      <c r="T3260" s="75">
        <v>0</v>
      </c>
      <c r="U3260" s="75">
        <v>0</v>
      </c>
      <c r="V3260" s="75">
        <v>1</v>
      </c>
      <c r="W3260" s="78">
        <v>0</v>
      </c>
    </row>
    <row r="3261" spans="1:23" s="75" customFormat="1" hidden="1" x14ac:dyDescent="0.35">
      <c r="A3261" s="75">
        <v>3257</v>
      </c>
      <c r="B3261" s="75">
        <v>3258</v>
      </c>
      <c r="C3261">
        <v>146.00421800000001</v>
      </c>
      <c r="D3261">
        <v>-17.488466339999999</v>
      </c>
      <c r="F3261" s="75" t="str">
        <f>HYPERLINK("E:\Data From Lucan\2024\Johnstone\Frames_for_Analysis\3258_20240610_0005_L_0208.jpg","3258_20240610_0005_L_0208.jpg")</f>
        <v>3258_20240610_0005_L_0208.jpg</v>
      </c>
      <c r="G3261" s="75">
        <v>9</v>
      </c>
      <c r="I3261">
        <f t="shared" si="50"/>
        <v>0</v>
      </c>
      <c r="J3261" s="75">
        <v>0</v>
      </c>
      <c r="K3261" s="77"/>
      <c r="L3261" s="77"/>
      <c r="M3261" s="77"/>
      <c r="N3261" s="77"/>
      <c r="O3261" s="75">
        <v>1</v>
      </c>
      <c r="P3261" s="75">
        <v>0</v>
      </c>
      <c r="Q3261" s="75">
        <v>0</v>
      </c>
      <c r="R3261" s="75">
        <v>0</v>
      </c>
      <c r="S3261" s="75">
        <v>0</v>
      </c>
      <c r="T3261" s="75">
        <v>0</v>
      </c>
      <c r="U3261" s="75">
        <v>0</v>
      </c>
      <c r="V3261" s="75">
        <v>1</v>
      </c>
      <c r="W3261" s="78">
        <v>0</v>
      </c>
    </row>
    <row r="3262" spans="1:23" s="75" customFormat="1" hidden="1" x14ac:dyDescent="0.35">
      <c r="A3262" s="75">
        <v>3258</v>
      </c>
      <c r="B3262" s="75">
        <v>3259</v>
      </c>
      <c r="C3262">
        <v>146.00431080000001</v>
      </c>
      <c r="D3262">
        <v>-17.488483280000001</v>
      </c>
      <c r="F3262" s="75" t="str">
        <f>HYPERLINK("E:\Data From Lucan\2024\Johnstone\Frames_for_Analysis\3259_20240610_0005_L_0210.jpg","3259_20240610_0005_L_0210.jpg")</f>
        <v>3259_20240610_0005_L_0210.jpg</v>
      </c>
      <c r="G3262" s="75">
        <v>9</v>
      </c>
      <c r="I3262">
        <f t="shared" si="50"/>
        <v>0</v>
      </c>
      <c r="J3262" s="75">
        <v>0</v>
      </c>
      <c r="K3262" s="77"/>
      <c r="L3262" s="77"/>
      <c r="M3262" s="77"/>
      <c r="N3262" s="77"/>
      <c r="O3262" s="75">
        <v>1</v>
      </c>
      <c r="P3262" s="75">
        <v>0</v>
      </c>
      <c r="Q3262" s="75">
        <v>0</v>
      </c>
      <c r="R3262" s="75">
        <v>0</v>
      </c>
      <c r="S3262" s="75">
        <v>0</v>
      </c>
      <c r="T3262" s="75">
        <v>0</v>
      </c>
      <c r="U3262" s="75">
        <v>0</v>
      </c>
      <c r="V3262" s="75">
        <v>0</v>
      </c>
      <c r="W3262" s="78">
        <v>0</v>
      </c>
    </row>
    <row r="3263" spans="1:23" s="75" customFormat="1" hidden="1" x14ac:dyDescent="0.35">
      <c r="A3263" s="75">
        <v>3259</v>
      </c>
      <c r="B3263" s="75">
        <v>3260</v>
      </c>
      <c r="C3263">
        <v>146.0044035</v>
      </c>
      <c r="D3263">
        <v>-17.488500219999999</v>
      </c>
      <c r="F3263" s="75" t="str">
        <f>HYPERLINK("E:\Data From Lucan\2024\Johnstone\Frames_for_Analysis\3260_20240610_0005_L_0213.jpg","3260_20240610_0005_L_0213.jpg")</f>
        <v>3260_20240610_0005_L_0213.jpg</v>
      </c>
      <c r="G3263" s="75">
        <v>9</v>
      </c>
      <c r="I3263">
        <f t="shared" si="50"/>
        <v>0</v>
      </c>
      <c r="J3263" s="75">
        <v>0</v>
      </c>
      <c r="K3263" s="77"/>
      <c r="L3263" s="77"/>
      <c r="M3263" s="77"/>
      <c r="N3263" s="77"/>
      <c r="O3263" s="75">
        <v>1</v>
      </c>
      <c r="P3263" s="75">
        <v>0</v>
      </c>
      <c r="Q3263" s="75">
        <v>0</v>
      </c>
      <c r="R3263" s="75">
        <v>0</v>
      </c>
      <c r="S3263" s="75">
        <v>0</v>
      </c>
      <c r="T3263" s="75">
        <v>0</v>
      </c>
      <c r="U3263" s="75">
        <v>0</v>
      </c>
      <c r="V3263" s="75">
        <v>0</v>
      </c>
      <c r="W3263" s="78">
        <v>0</v>
      </c>
    </row>
    <row r="3264" spans="1:23" s="75" customFormat="1" hidden="1" x14ac:dyDescent="0.35">
      <c r="A3264" s="75">
        <v>3260</v>
      </c>
      <c r="B3264" s="75">
        <v>3261</v>
      </c>
      <c r="C3264">
        <v>146.00449610000001</v>
      </c>
      <c r="D3264">
        <v>-17.488517659999999</v>
      </c>
      <c r="F3264" s="75" t="str">
        <f>HYPERLINK("E:\Data From Lucan\2024\Johnstone\Frames_for_Analysis\3261_20240610_0005_L_0215.jpg","3261_20240610_0005_L_0215.jpg")</f>
        <v>3261_20240610_0005_L_0215.jpg</v>
      </c>
      <c r="G3264" s="75">
        <v>9</v>
      </c>
      <c r="I3264">
        <f t="shared" si="50"/>
        <v>0</v>
      </c>
      <c r="J3264" s="75">
        <v>0</v>
      </c>
      <c r="K3264" s="77"/>
      <c r="L3264" s="77"/>
      <c r="M3264" s="77"/>
      <c r="N3264" s="77"/>
      <c r="O3264" s="75">
        <v>1</v>
      </c>
      <c r="P3264" s="75">
        <v>0</v>
      </c>
      <c r="Q3264" s="75">
        <v>0</v>
      </c>
      <c r="R3264" s="75">
        <v>0</v>
      </c>
      <c r="S3264" s="75">
        <v>0</v>
      </c>
      <c r="T3264" s="75">
        <v>0</v>
      </c>
      <c r="U3264" s="75">
        <v>0</v>
      </c>
      <c r="V3264" s="75">
        <v>0</v>
      </c>
      <c r="W3264" s="78">
        <v>0</v>
      </c>
    </row>
    <row r="3265" spans="1:23" s="75" customFormat="1" hidden="1" x14ac:dyDescent="0.35">
      <c r="A3265" s="75">
        <v>3261</v>
      </c>
      <c r="B3265" s="75">
        <v>3262</v>
      </c>
      <c r="C3265">
        <v>146.00456819999999</v>
      </c>
      <c r="D3265">
        <v>-17.488578400000002</v>
      </c>
      <c r="F3265" s="75" t="str">
        <f>HYPERLINK("E:\Data From Lucan\2024\Johnstone\Frames_for_Analysis\3262_20240610_0005_L_0218.jpg","3262_20240610_0005_L_0218.jpg")</f>
        <v>3262_20240610_0005_L_0218.jpg</v>
      </c>
      <c r="G3265" s="75">
        <v>9</v>
      </c>
      <c r="I3265">
        <f t="shared" si="50"/>
        <v>0</v>
      </c>
      <c r="J3265" s="75">
        <v>0</v>
      </c>
      <c r="K3265" s="77"/>
      <c r="L3265" s="77"/>
      <c r="M3265" s="77"/>
      <c r="N3265" s="77"/>
      <c r="O3265" s="75">
        <v>1</v>
      </c>
      <c r="P3265" s="75">
        <v>0</v>
      </c>
      <c r="Q3265" s="75">
        <v>0</v>
      </c>
      <c r="R3265" s="75">
        <v>0</v>
      </c>
      <c r="S3265" s="75">
        <v>0</v>
      </c>
      <c r="T3265" s="75">
        <v>0</v>
      </c>
      <c r="U3265" s="75">
        <v>0</v>
      </c>
      <c r="V3265" s="75">
        <v>0</v>
      </c>
      <c r="W3265" s="78">
        <v>0</v>
      </c>
    </row>
    <row r="3266" spans="1:23" s="75" customFormat="1" hidden="1" x14ac:dyDescent="0.35">
      <c r="A3266" s="75">
        <v>3262</v>
      </c>
      <c r="B3266" s="75">
        <v>3263</v>
      </c>
      <c r="C3266">
        <v>146.0046404</v>
      </c>
      <c r="D3266">
        <v>-17.488639150000001</v>
      </c>
      <c r="F3266" s="75" t="str">
        <f>HYPERLINK("E:\Data From Lucan\2024\Johnstone\Frames_for_Analysis\3263_20240610_0005_L_0222.jpg","3263_20240610_0005_L_0222.jpg")</f>
        <v>3263_20240610_0005_L_0222.jpg</v>
      </c>
      <c r="G3266" s="75">
        <v>9</v>
      </c>
      <c r="I3266">
        <f t="shared" si="50"/>
        <v>0</v>
      </c>
      <c r="J3266" s="75">
        <v>0</v>
      </c>
      <c r="K3266" s="77"/>
      <c r="L3266" s="77"/>
      <c r="M3266" s="77"/>
      <c r="N3266" s="77"/>
      <c r="O3266" s="75">
        <v>1</v>
      </c>
      <c r="P3266" s="75">
        <v>0</v>
      </c>
      <c r="Q3266" s="75">
        <v>0</v>
      </c>
      <c r="R3266" s="75">
        <v>0</v>
      </c>
      <c r="S3266" s="75">
        <v>0</v>
      </c>
      <c r="T3266" s="75">
        <v>0</v>
      </c>
      <c r="U3266" s="75">
        <v>0</v>
      </c>
      <c r="V3266" s="75">
        <v>0</v>
      </c>
      <c r="W3266" s="78">
        <v>0</v>
      </c>
    </row>
    <row r="3267" spans="1:23" s="75" customFormat="1" hidden="1" x14ac:dyDescent="0.35">
      <c r="A3267" s="75">
        <v>3263</v>
      </c>
      <c r="B3267" s="75">
        <v>3264</v>
      </c>
      <c r="C3267">
        <v>146.0047223</v>
      </c>
      <c r="D3267">
        <v>-17.488685719999999</v>
      </c>
      <c r="F3267" s="75" t="str">
        <f>HYPERLINK("E:\Data From Lucan\2024\Johnstone\Frames_for_Analysis\3264_20240610_0005_L_0224.jpg","3264_20240610_0005_L_0224.jpg")</f>
        <v>3264_20240610_0005_L_0224.jpg</v>
      </c>
      <c r="G3267" s="75">
        <v>9</v>
      </c>
      <c r="I3267">
        <f t="shared" si="50"/>
        <v>0</v>
      </c>
      <c r="J3267" s="75">
        <v>0</v>
      </c>
      <c r="K3267" s="77"/>
      <c r="L3267" s="77"/>
      <c r="M3267" s="77"/>
      <c r="N3267" s="77"/>
      <c r="O3267" s="75">
        <v>1</v>
      </c>
      <c r="P3267" s="75">
        <v>0</v>
      </c>
      <c r="Q3267" s="75">
        <v>0</v>
      </c>
      <c r="R3267" s="75">
        <v>0</v>
      </c>
      <c r="S3267" s="75">
        <v>0</v>
      </c>
      <c r="T3267" s="75">
        <v>0</v>
      </c>
      <c r="U3267" s="75">
        <v>0</v>
      </c>
      <c r="V3267" s="75">
        <v>0</v>
      </c>
      <c r="W3267" s="78">
        <v>0</v>
      </c>
    </row>
    <row r="3268" spans="1:23" s="75" customFormat="1" hidden="1" x14ac:dyDescent="0.35">
      <c r="A3268" s="75">
        <v>3264</v>
      </c>
      <c r="B3268" s="75">
        <v>3265</v>
      </c>
      <c r="C3268">
        <v>146.00480450000001</v>
      </c>
      <c r="D3268">
        <v>-17.488731980000001</v>
      </c>
      <c r="F3268" s="75" t="str">
        <f>HYPERLINK("E:\Data From Lucan\2024\Johnstone\Frames_for_Analysis\3265_20240610_0005_L_0225.jpg","3265_20240610_0005_L_0225.jpg")</f>
        <v>3265_20240610_0005_L_0225.jpg</v>
      </c>
      <c r="G3268" s="75">
        <v>9</v>
      </c>
      <c r="I3268">
        <f t="shared" si="50"/>
        <v>0</v>
      </c>
      <c r="J3268" s="75">
        <v>0</v>
      </c>
      <c r="K3268" s="77"/>
      <c r="L3268" s="77"/>
      <c r="M3268" s="77"/>
      <c r="N3268" s="77"/>
      <c r="O3268" s="75">
        <v>1</v>
      </c>
      <c r="P3268" s="75">
        <v>0</v>
      </c>
      <c r="Q3268" s="75">
        <v>0</v>
      </c>
      <c r="R3268" s="75">
        <v>0</v>
      </c>
      <c r="S3268" s="75">
        <v>0</v>
      </c>
      <c r="T3268" s="75">
        <v>0</v>
      </c>
      <c r="U3268" s="75">
        <v>0</v>
      </c>
      <c r="V3268" s="75">
        <v>0</v>
      </c>
      <c r="W3268" s="78">
        <v>0</v>
      </c>
    </row>
    <row r="3269" spans="1:23" s="75" customFormat="1" hidden="1" x14ac:dyDescent="0.35">
      <c r="A3269" s="75">
        <v>3265</v>
      </c>
      <c r="B3269" s="75">
        <v>3266</v>
      </c>
      <c r="C3269">
        <v>146.00488669999999</v>
      </c>
      <c r="D3269">
        <v>-17.488778249999999</v>
      </c>
      <c r="F3269" s="75" t="str">
        <f>HYPERLINK("E:\Data From Lucan\2024\Johnstone\Frames_for_Analysis\3266_20240610_0005_L_0227.jpg","3266_20240610_0005_L_0227.jpg")</f>
        <v>3266_20240610_0005_L_0227.jpg</v>
      </c>
      <c r="G3269" s="75">
        <v>9</v>
      </c>
      <c r="I3269">
        <f t="shared" ref="I3269:I3332" si="51">IF(H3269="X","X",IF(J3269="NA","X",IF(J3269="","X",J3269)))</f>
        <v>0</v>
      </c>
      <c r="J3269" s="75">
        <v>0</v>
      </c>
      <c r="K3269" s="77"/>
      <c r="L3269" s="77"/>
      <c r="M3269" s="77"/>
      <c r="N3269" s="77"/>
      <c r="O3269" s="75">
        <v>1</v>
      </c>
      <c r="P3269" s="75">
        <v>0</v>
      </c>
      <c r="Q3269" s="75">
        <v>0</v>
      </c>
      <c r="R3269" s="75">
        <v>0</v>
      </c>
      <c r="S3269" s="75">
        <v>0</v>
      </c>
      <c r="T3269" s="75">
        <v>0</v>
      </c>
      <c r="U3269" s="75">
        <v>0</v>
      </c>
      <c r="V3269" s="75">
        <v>0</v>
      </c>
      <c r="W3269" s="78">
        <v>0</v>
      </c>
    </row>
    <row r="3270" spans="1:23" s="75" customFormat="1" hidden="1" x14ac:dyDescent="0.35">
      <c r="A3270" s="75">
        <v>3266</v>
      </c>
      <c r="B3270" s="75">
        <v>3267</v>
      </c>
      <c r="C3270">
        <v>146.00488899999999</v>
      </c>
      <c r="D3270">
        <v>-17.48887225</v>
      </c>
      <c r="F3270" s="75" t="str">
        <f>HYPERLINK("E:\Data From Lucan\2024\Johnstone\Frames_for_Analysis\3267_20240610_0005_L_0230.jpg","3267_20240610_0005_L_0230.jpg")</f>
        <v>3267_20240610_0005_L_0230.jpg</v>
      </c>
      <c r="G3270" s="75">
        <v>9</v>
      </c>
      <c r="I3270">
        <f t="shared" si="51"/>
        <v>0</v>
      </c>
      <c r="J3270" s="75">
        <v>0</v>
      </c>
      <c r="K3270" s="77"/>
      <c r="L3270" s="77"/>
      <c r="M3270" s="77"/>
      <c r="N3270" s="77"/>
      <c r="O3270" s="75">
        <v>1</v>
      </c>
      <c r="P3270" s="75">
        <v>0</v>
      </c>
      <c r="Q3270" s="75">
        <v>0</v>
      </c>
      <c r="R3270" s="75">
        <v>0</v>
      </c>
      <c r="S3270" s="75">
        <v>0</v>
      </c>
      <c r="T3270" s="75">
        <v>0</v>
      </c>
      <c r="U3270" s="75">
        <v>0</v>
      </c>
      <c r="V3270" s="75">
        <v>1</v>
      </c>
      <c r="W3270" s="78">
        <v>0</v>
      </c>
    </row>
    <row r="3271" spans="1:23" s="75" customFormat="1" hidden="1" x14ac:dyDescent="0.35">
      <c r="A3271" s="75">
        <v>3267</v>
      </c>
      <c r="B3271" s="75">
        <v>3268</v>
      </c>
      <c r="C3271">
        <v>146.00489089999999</v>
      </c>
      <c r="D3271">
        <v>-17.48896654</v>
      </c>
      <c r="F3271" s="75" t="str">
        <f>HYPERLINK("E:\Data From Lucan\2024\Johnstone\Frames_for_Analysis\3268_20240610_0005_L_0232.jpg","3268_20240610_0005_L_0232.jpg")</f>
        <v>3268_20240610_0005_L_0232.jpg</v>
      </c>
      <c r="G3271" s="75">
        <v>9</v>
      </c>
      <c r="I3271">
        <f t="shared" si="51"/>
        <v>0</v>
      </c>
      <c r="J3271" s="75">
        <v>0</v>
      </c>
      <c r="K3271" s="77"/>
      <c r="L3271" s="77"/>
      <c r="M3271" s="77"/>
      <c r="N3271" s="77"/>
      <c r="O3271" s="75">
        <v>2</v>
      </c>
      <c r="P3271" s="75">
        <v>1</v>
      </c>
      <c r="Q3271" s="75">
        <v>0</v>
      </c>
      <c r="R3271" s="75">
        <v>0</v>
      </c>
      <c r="S3271" s="75">
        <v>0</v>
      </c>
      <c r="T3271" s="75">
        <v>0</v>
      </c>
      <c r="U3271" s="75">
        <v>0</v>
      </c>
      <c r="V3271" s="75">
        <v>0</v>
      </c>
      <c r="W3271" s="78">
        <v>1</v>
      </c>
    </row>
    <row r="3272" spans="1:23" s="75" customFormat="1" hidden="1" x14ac:dyDescent="0.35">
      <c r="A3272" s="75">
        <v>3268</v>
      </c>
      <c r="B3272" s="75">
        <v>3269</v>
      </c>
      <c r="C3272">
        <v>146.0048812</v>
      </c>
      <c r="D3272">
        <v>-17.48905851</v>
      </c>
      <c r="F3272" s="75" t="str">
        <f>HYPERLINK("E:\Data From Lucan\2024\Johnstone\Frames_for_Analysis\3269_20240610_0005_L_0234.jpg","3269_20240610_0005_L_0234.jpg")</f>
        <v>3269_20240610_0005_L_0234.jpg</v>
      </c>
      <c r="G3272" s="75">
        <v>9</v>
      </c>
      <c r="I3272">
        <f t="shared" si="51"/>
        <v>0</v>
      </c>
      <c r="J3272" s="75">
        <v>0</v>
      </c>
      <c r="K3272" s="77"/>
      <c r="L3272" s="77"/>
      <c r="M3272" s="77"/>
      <c r="N3272" s="77"/>
      <c r="O3272" s="75">
        <v>1</v>
      </c>
      <c r="P3272" s="75">
        <v>0</v>
      </c>
      <c r="Q3272" s="75">
        <v>0</v>
      </c>
      <c r="R3272" s="75">
        <v>0</v>
      </c>
      <c r="S3272" s="75">
        <v>0</v>
      </c>
      <c r="T3272" s="75">
        <v>0</v>
      </c>
      <c r="U3272" s="75">
        <v>0</v>
      </c>
      <c r="V3272" s="75">
        <v>0</v>
      </c>
      <c r="W3272" s="78">
        <v>0</v>
      </c>
    </row>
    <row r="3273" spans="1:23" s="75" customFormat="1" hidden="1" x14ac:dyDescent="0.35">
      <c r="A3273" s="75">
        <v>3269</v>
      </c>
      <c r="B3273" s="75">
        <v>3270</v>
      </c>
      <c r="C3273">
        <v>146.00484320000001</v>
      </c>
      <c r="D3273">
        <v>-17.489144840000002</v>
      </c>
      <c r="F3273" s="75" t="str">
        <f>HYPERLINK("E:\Data From Lucan\2024\Johnstone\Frames_for_Analysis\3270_20240610_0005_L_0236.jpg","3270_20240610_0005_L_0236.jpg")</f>
        <v>3270_20240610_0005_L_0236.jpg</v>
      </c>
      <c r="G3273" s="75">
        <v>9</v>
      </c>
      <c r="I3273">
        <f t="shared" si="51"/>
        <v>0</v>
      </c>
      <c r="J3273" s="75">
        <v>0</v>
      </c>
      <c r="K3273" s="77"/>
      <c r="L3273" s="77"/>
      <c r="M3273" s="77"/>
      <c r="N3273" s="77"/>
      <c r="O3273" s="75">
        <v>1</v>
      </c>
      <c r="P3273" s="75">
        <v>0</v>
      </c>
      <c r="Q3273" s="75">
        <v>0</v>
      </c>
      <c r="R3273" s="75">
        <v>0</v>
      </c>
      <c r="S3273" s="75">
        <v>0</v>
      </c>
      <c r="T3273" s="75">
        <v>0</v>
      </c>
      <c r="U3273" s="75">
        <v>0</v>
      </c>
      <c r="V3273" s="75">
        <v>0</v>
      </c>
      <c r="W3273" s="78">
        <v>0</v>
      </c>
    </row>
    <row r="3274" spans="1:23" s="75" customFormat="1" hidden="1" x14ac:dyDescent="0.35">
      <c r="A3274" s="75">
        <v>3270</v>
      </c>
      <c r="B3274" s="75">
        <v>3271</v>
      </c>
      <c r="C3274">
        <v>146.00480529999999</v>
      </c>
      <c r="D3274">
        <v>-17.489231180000001</v>
      </c>
      <c r="F3274" s="75" t="str">
        <f>HYPERLINK("E:\Data From Lucan\2024\Johnstone\Frames_for_Analysis\3271_20240610_0005_L_0238.jpg","3271_20240610_0005_L_0238.jpg")</f>
        <v>3271_20240610_0005_L_0238.jpg</v>
      </c>
      <c r="G3274" s="75">
        <v>9</v>
      </c>
      <c r="I3274">
        <f t="shared" si="51"/>
        <v>0</v>
      </c>
      <c r="J3274" s="75">
        <v>0</v>
      </c>
      <c r="K3274" s="77"/>
      <c r="L3274" s="77"/>
      <c r="M3274" s="77"/>
      <c r="N3274" s="77"/>
      <c r="O3274" s="75">
        <v>1</v>
      </c>
      <c r="P3274" s="75">
        <v>0</v>
      </c>
      <c r="Q3274" s="75">
        <v>0</v>
      </c>
      <c r="R3274" s="75">
        <v>0</v>
      </c>
      <c r="S3274" s="75">
        <v>0</v>
      </c>
      <c r="T3274" s="75">
        <v>0</v>
      </c>
      <c r="U3274" s="75">
        <v>0</v>
      </c>
      <c r="V3274" s="75">
        <v>1</v>
      </c>
      <c r="W3274" s="78">
        <v>0</v>
      </c>
    </row>
    <row r="3275" spans="1:23" s="75" customFormat="1" hidden="1" x14ac:dyDescent="0.35">
      <c r="A3275" s="75">
        <v>3271</v>
      </c>
      <c r="B3275" s="75">
        <v>3272</v>
      </c>
      <c r="C3275">
        <v>146.00477789999999</v>
      </c>
      <c r="D3275">
        <v>-17.489319819999999</v>
      </c>
      <c r="F3275" s="75" t="str">
        <f>HYPERLINK("E:\Data From Lucan\2024\Johnstone\Frames_for_Analysis\3272_20240610_0005_L_0240.jpg","3272_20240610_0005_L_0240.jpg")</f>
        <v>3272_20240610_0005_L_0240.jpg</v>
      </c>
      <c r="G3275" s="75">
        <v>9</v>
      </c>
      <c r="I3275">
        <f t="shared" si="51"/>
        <v>0</v>
      </c>
      <c r="J3275" s="75">
        <v>0</v>
      </c>
      <c r="K3275" s="77"/>
      <c r="L3275" s="77"/>
      <c r="M3275" s="77"/>
      <c r="N3275" s="77"/>
      <c r="O3275" s="75">
        <v>1</v>
      </c>
      <c r="P3275" s="75">
        <v>0</v>
      </c>
      <c r="Q3275" s="75">
        <v>0</v>
      </c>
      <c r="R3275" s="75">
        <v>0</v>
      </c>
      <c r="S3275" s="75">
        <v>0</v>
      </c>
      <c r="T3275" s="75">
        <v>0</v>
      </c>
      <c r="U3275" s="75">
        <v>0</v>
      </c>
      <c r="V3275" s="75">
        <v>0</v>
      </c>
      <c r="W3275" s="78">
        <v>0</v>
      </c>
    </row>
    <row r="3276" spans="1:23" s="75" customFormat="1" hidden="1" x14ac:dyDescent="0.35">
      <c r="A3276" s="75">
        <v>3272</v>
      </c>
      <c r="B3276" s="75">
        <v>3273</v>
      </c>
      <c r="C3276">
        <v>146.00477670000001</v>
      </c>
      <c r="D3276">
        <v>-17.489414109999998</v>
      </c>
      <c r="F3276" s="75" t="str">
        <f>HYPERLINK("E:\Data From Lucan\2024\Johnstone\Frames_for_Analysis\3273_20240610_0005_L_0242.jpg","3273_20240610_0005_L_0242.jpg")</f>
        <v>3273_20240610_0005_L_0242.jpg</v>
      </c>
      <c r="G3276" s="75">
        <v>9</v>
      </c>
      <c r="I3276">
        <f t="shared" si="51"/>
        <v>0</v>
      </c>
      <c r="J3276" s="75">
        <v>0</v>
      </c>
      <c r="K3276" s="77"/>
      <c r="L3276" s="77"/>
      <c r="M3276" s="77"/>
      <c r="N3276" s="77"/>
      <c r="O3276" s="75">
        <v>1</v>
      </c>
      <c r="P3276" s="75">
        <v>0</v>
      </c>
      <c r="Q3276" s="75">
        <v>0</v>
      </c>
      <c r="R3276" s="75">
        <v>0</v>
      </c>
      <c r="S3276" s="75">
        <v>0</v>
      </c>
      <c r="T3276" s="75">
        <v>0</v>
      </c>
      <c r="U3276" s="75">
        <v>0</v>
      </c>
      <c r="V3276" s="75">
        <v>0</v>
      </c>
      <c r="W3276" s="78">
        <v>0</v>
      </c>
    </row>
    <row r="3277" spans="1:23" s="75" customFormat="1" hidden="1" x14ac:dyDescent="0.35">
      <c r="A3277" s="75">
        <v>3273</v>
      </c>
      <c r="B3277" s="75">
        <v>3274</v>
      </c>
      <c r="C3277">
        <v>146.0047873</v>
      </c>
      <c r="D3277">
        <v>-17.489506630000001</v>
      </c>
      <c r="F3277" s="75" t="str">
        <f>HYPERLINK("E:\Data From Lucan\2024\Johnstone\Frames_for_Analysis\3274_20240610_0005_L_0244.jpg","3274_20240610_0005_L_0244.jpg")</f>
        <v>3274_20240610_0005_L_0244.jpg</v>
      </c>
      <c r="G3277" s="75">
        <v>9</v>
      </c>
      <c r="I3277">
        <f t="shared" si="51"/>
        <v>0</v>
      </c>
      <c r="J3277" s="75">
        <v>0</v>
      </c>
      <c r="K3277" s="77"/>
      <c r="L3277" s="77"/>
      <c r="M3277" s="77"/>
      <c r="N3277" s="77"/>
      <c r="O3277" s="75">
        <v>1</v>
      </c>
      <c r="P3277" s="75">
        <v>0</v>
      </c>
      <c r="Q3277" s="75">
        <v>0</v>
      </c>
      <c r="R3277" s="75">
        <v>0</v>
      </c>
      <c r="S3277" s="75">
        <v>0</v>
      </c>
      <c r="T3277" s="75">
        <v>0</v>
      </c>
      <c r="U3277" s="75">
        <v>0</v>
      </c>
      <c r="V3277" s="75">
        <v>0</v>
      </c>
      <c r="W3277" s="78">
        <v>0</v>
      </c>
    </row>
    <row r="3278" spans="1:23" s="75" customFormat="1" hidden="1" x14ac:dyDescent="0.35">
      <c r="A3278" s="75">
        <v>3274</v>
      </c>
      <c r="B3278" s="75">
        <v>3275</v>
      </c>
      <c r="C3278">
        <v>146.00482220000001</v>
      </c>
      <c r="D3278">
        <v>-17.489594199999999</v>
      </c>
      <c r="F3278" s="75" t="str">
        <f>HYPERLINK("E:\Data From Lucan\2024\Johnstone\Frames_for_Analysis\3275_20240610_0005_L_0247.jpg","3275_20240610_0005_L_0247.jpg")</f>
        <v>3275_20240610_0005_L_0247.jpg</v>
      </c>
      <c r="G3278" s="75">
        <v>9</v>
      </c>
      <c r="I3278">
        <f t="shared" si="51"/>
        <v>0</v>
      </c>
      <c r="J3278" s="75">
        <v>0</v>
      </c>
      <c r="K3278" s="77"/>
      <c r="L3278" s="77"/>
      <c r="M3278" s="77"/>
      <c r="N3278" s="77"/>
      <c r="O3278" s="75">
        <v>1</v>
      </c>
      <c r="P3278" s="75">
        <v>0</v>
      </c>
      <c r="Q3278" s="75">
        <v>0</v>
      </c>
      <c r="R3278" s="75">
        <v>0</v>
      </c>
      <c r="S3278" s="75">
        <v>0</v>
      </c>
      <c r="T3278" s="75">
        <v>0</v>
      </c>
      <c r="U3278" s="75">
        <v>0</v>
      </c>
      <c r="V3278" s="75">
        <v>0</v>
      </c>
      <c r="W3278" s="78">
        <v>0</v>
      </c>
    </row>
    <row r="3279" spans="1:23" s="75" customFormat="1" hidden="1" x14ac:dyDescent="0.35">
      <c r="A3279" s="75">
        <v>3275</v>
      </c>
      <c r="B3279" s="75">
        <v>3276</v>
      </c>
      <c r="C3279">
        <v>146.00486520000001</v>
      </c>
      <c r="D3279">
        <v>-17.489677740000001</v>
      </c>
      <c r="F3279" s="75" t="str">
        <f>HYPERLINK("E:\Data From Lucan\2024\Johnstone\Frames_for_Analysis\3276_20240610_0005_L_0249.jpg","3276_20240610_0005_L_0249.jpg")</f>
        <v>3276_20240610_0005_L_0249.jpg</v>
      </c>
      <c r="G3279" s="75">
        <v>9</v>
      </c>
      <c r="I3279">
        <f t="shared" si="51"/>
        <v>0</v>
      </c>
      <c r="J3279" s="75">
        <v>0</v>
      </c>
      <c r="K3279" s="77"/>
      <c r="L3279" s="77"/>
      <c r="M3279" s="77"/>
      <c r="N3279" s="77"/>
      <c r="O3279" s="75">
        <v>1</v>
      </c>
      <c r="P3279" s="75">
        <v>0</v>
      </c>
      <c r="Q3279" s="75">
        <v>0</v>
      </c>
      <c r="R3279" s="75">
        <v>0</v>
      </c>
      <c r="S3279" s="75">
        <v>0</v>
      </c>
      <c r="T3279" s="75">
        <v>0</v>
      </c>
      <c r="U3279" s="75">
        <v>0</v>
      </c>
      <c r="V3279" s="75">
        <v>0</v>
      </c>
      <c r="W3279" s="78">
        <v>0</v>
      </c>
    </row>
    <row r="3280" spans="1:23" s="75" customFormat="1" hidden="1" x14ac:dyDescent="0.35">
      <c r="A3280" s="75">
        <v>3276</v>
      </c>
      <c r="B3280" s="75">
        <v>3277</v>
      </c>
      <c r="C3280">
        <v>146.00491479999999</v>
      </c>
      <c r="D3280">
        <v>-17.489757950000001</v>
      </c>
      <c r="F3280" s="75" t="str">
        <f>HYPERLINK("E:\Data From Lucan\2024\Johnstone\Frames_for_Analysis\3277_20240610_0005_L_0252.jpg","3277_20240610_0005_L_0252.jpg")</f>
        <v>3277_20240610_0005_L_0252.jpg</v>
      </c>
      <c r="G3280" s="75">
        <v>9</v>
      </c>
      <c r="I3280">
        <f t="shared" si="51"/>
        <v>0</v>
      </c>
      <c r="J3280" s="75">
        <v>0</v>
      </c>
      <c r="K3280" s="77"/>
      <c r="L3280" s="77"/>
      <c r="M3280" s="77"/>
      <c r="N3280" s="77"/>
      <c r="O3280" s="75">
        <v>1</v>
      </c>
      <c r="P3280" s="75">
        <v>0</v>
      </c>
      <c r="Q3280" s="75">
        <v>0</v>
      </c>
      <c r="R3280" s="75">
        <v>0</v>
      </c>
      <c r="S3280" s="75">
        <v>0</v>
      </c>
      <c r="T3280" s="75">
        <v>0</v>
      </c>
      <c r="U3280" s="75">
        <v>0</v>
      </c>
      <c r="V3280" s="75">
        <v>1</v>
      </c>
      <c r="W3280" s="78">
        <v>0</v>
      </c>
    </row>
    <row r="3281" spans="1:23" s="75" customFormat="1" hidden="1" x14ac:dyDescent="0.35">
      <c r="A3281" s="75">
        <v>3277</v>
      </c>
      <c r="B3281" s="75">
        <v>3278</v>
      </c>
      <c r="C3281">
        <v>146.0049717</v>
      </c>
      <c r="D3281">
        <v>-17.489832490000001</v>
      </c>
      <c r="F3281" s="75" t="str">
        <f>HYPERLINK("E:\Data From Lucan\2024\Johnstone\Frames_for_Analysis\3278_20240610_0005_L_0255.jpg","3278_20240610_0005_L_0255.jpg")</f>
        <v>3278_20240610_0005_L_0255.jpg</v>
      </c>
      <c r="G3281" s="75">
        <v>9</v>
      </c>
      <c r="I3281">
        <f t="shared" si="51"/>
        <v>0</v>
      </c>
      <c r="J3281" s="75">
        <v>0</v>
      </c>
      <c r="K3281" s="77"/>
      <c r="L3281" s="77"/>
      <c r="M3281" s="77"/>
      <c r="N3281" s="77"/>
      <c r="O3281" s="75">
        <v>1</v>
      </c>
      <c r="P3281" s="75">
        <v>0</v>
      </c>
      <c r="Q3281" s="75">
        <v>0</v>
      </c>
      <c r="R3281" s="75">
        <v>0</v>
      </c>
      <c r="S3281" s="75">
        <v>0</v>
      </c>
      <c r="T3281" s="75">
        <v>0</v>
      </c>
      <c r="U3281" s="75">
        <v>0</v>
      </c>
      <c r="V3281" s="75">
        <v>1</v>
      </c>
      <c r="W3281" s="78">
        <v>0</v>
      </c>
    </row>
    <row r="3282" spans="1:23" s="75" customFormat="1" hidden="1" x14ac:dyDescent="0.35">
      <c r="A3282" s="75">
        <v>3278</v>
      </c>
      <c r="B3282" s="75">
        <v>3279</v>
      </c>
      <c r="C3282">
        <v>146.00503739999999</v>
      </c>
      <c r="D3282">
        <v>-17.489900089999999</v>
      </c>
      <c r="F3282" s="75" t="str">
        <f>HYPERLINK("E:\Data From Lucan\2024\Johnstone\Frames_for_Analysis\3279_20240610_0005_L_0257.jpg","3279_20240610_0005_L_0257.jpg")</f>
        <v>3279_20240610_0005_L_0257.jpg</v>
      </c>
      <c r="G3282" s="75">
        <v>9</v>
      </c>
      <c r="I3282">
        <f t="shared" si="51"/>
        <v>0</v>
      </c>
      <c r="J3282" s="75">
        <v>0</v>
      </c>
      <c r="K3282" s="77"/>
      <c r="L3282" s="77"/>
      <c r="M3282" s="77"/>
      <c r="N3282" s="77"/>
      <c r="O3282" s="75">
        <v>1</v>
      </c>
      <c r="P3282" s="75">
        <v>0</v>
      </c>
      <c r="Q3282" s="75">
        <v>0</v>
      </c>
      <c r="R3282" s="75">
        <v>0</v>
      </c>
      <c r="S3282" s="75">
        <v>0</v>
      </c>
      <c r="T3282" s="75">
        <v>0</v>
      </c>
      <c r="U3282" s="75">
        <v>0</v>
      </c>
      <c r="V3282" s="75">
        <v>1</v>
      </c>
      <c r="W3282" s="78">
        <v>0</v>
      </c>
    </row>
    <row r="3283" spans="1:23" s="75" customFormat="1" hidden="1" x14ac:dyDescent="0.35">
      <c r="A3283" s="75">
        <v>3279</v>
      </c>
      <c r="B3283" s="75">
        <v>3280</v>
      </c>
      <c r="C3283">
        <v>146.00510320000001</v>
      </c>
      <c r="D3283">
        <v>-17.48996769</v>
      </c>
      <c r="F3283" s="75" t="str">
        <f>HYPERLINK("E:\Data From Lucan\2024\Johnstone\Frames_for_Analysis\3280_20240610_0005_L_0260.jpg","3280_20240610_0005_L_0260.jpg")</f>
        <v>3280_20240610_0005_L_0260.jpg</v>
      </c>
      <c r="G3283" s="75">
        <v>9</v>
      </c>
      <c r="I3283">
        <f t="shared" si="51"/>
        <v>0</v>
      </c>
      <c r="J3283" s="75">
        <v>0</v>
      </c>
      <c r="K3283" s="77"/>
      <c r="L3283" s="77"/>
      <c r="M3283" s="77"/>
      <c r="N3283" s="77"/>
      <c r="O3283" s="75">
        <v>1</v>
      </c>
      <c r="P3283" s="75">
        <v>0</v>
      </c>
      <c r="Q3283" s="75">
        <v>0</v>
      </c>
      <c r="R3283" s="75">
        <v>0</v>
      </c>
      <c r="S3283" s="75">
        <v>0</v>
      </c>
      <c r="T3283" s="75">
        <v>0</v>
      </c>
      <c r="U3283" s="75">
        <v>0</v>
      </c>
      <c r="V3283" s="75">
        <v>0</v>
      </c>
      <c r="W3283" s="78">
        <v>0</v>
      </c>
    </row>
    <row r="3284" spans="1:23" s="75" customFormat="1" hidden="1" x14ac:dyDescent="0.35">
      <c r="A3284" s="75">
        <v>3280</v>
      </c>
      <c r="B3284" s="75">
        <v>3281</v>
      </c>
      <c r="C3284">
        <v>146.005169</v>
      </c>
      <c r="D3284">
        <v>-17.490035280000001</v>
      </c>
      <c r="F3284" s="75" t="str">
        <f>HYPERLINK("E:\Data From Lucan\2024\Johnstone\Frames_for_Analysis\3281_20240610_0005_L_0262.jpg","3281_20240610_0005_L_0262.jpg")</f>
        <v>3281_20240610_0005_L_0262.jpg</v>
      </c>
      <c r="G3284" s="75">
        <v>9</v>
      </c>
      <c r="I3284">
        <f t="shared" si="51"/>
        <v>0</v>
      </c>
      <c r="J3284" s="75">
        <v>0</v>
      </c>
      <c r="K3284" s="77"/>
      <c r="L3284" s="77"/>
      <c r="M3284" s="77"/>
      <c r="N3284" s="77"/>
      <c r="O3284" s="75">
        <v>1</v>
      </c>
      <c r="P3284" s="75">
        <v>0</v>
      </c>
      <c r="Q3284" s="75">
        <v>0</v>
      </c>
      <c r="R3284" s="75">
        <v>0</v>
      </c>
      <c r="S3284" s="75">
        <v>0</v>
      </c>
      <c r="T3284" s="75">
        <v>0</v>
      </c>
      <c r="U3284" s="75">
        <v>0</v>
      </c>
      <c r="V3284" s="75">
        <v>0</v>
      </c>
      <c r="W3284" s="78">
        <v>0</v>
      </c>
    </row>
    <row r="3285" spans="1:23" s="75" customFormat="1" hidden="1" x14ac:dyDescent="0.35">
      <c r="A3285" s="75">
        <v>3281</v>
      </c>
      <c r="B3285" s="75">
        <v>3282</v>
      </c>
      <c r="C3285">
        <v>146.00523469999999</v>
      </c>
      <c r="D3285">
        <v>-17.490102879999998</v>
      </c>
      <c r="F3285" s="75" t="str">
        <f>HYPERLINK("E:\Data From Lucan\2024\Johnstone\Frames_for_Analysis\3282_20240610_0005_L_0264.jpg","3282_20240610_0005_L_0264.jpg")</f>
        <v>3282_20240610_0005_L_0264.jpg</v>
      </c>
      <c r="G3285" s="75">
        <v>8</v>
      </c>
      <c r="I3285">
        <f t="shared" si="51"/>
        <v>0</v>
      </c>
      <c r="J3285" s="75">
        <v>0</v>
      </c>
      <c r="K3285" s="77"/>
      <c r="L3285" s="77"/>
      <c r="M3285" s="77"/>
      <c r="N3285" s="77"/>
      <c r="O3285" s="75">
        <v>1</v>
      </c>
      <c r="P3285" s="75">
        <v>0</v>
      </c>
      <c r="Q3285" s="75">
        <v>0</v>
      </c>
      <c r="R3285" s="75">
        <v>0</v>
      </c>
      <c r="S3285" s="75">
        <v>0</v>
      </c>
      <c r="T3285" s="75">
        <v>0</v>
      </c>
      <c r="U3285" s="75">
        <v>0</v>
      </c>
      <c r="V3285" s="75">
        <v>0</v>
      </c>
      <c r="W3285" s="78">
        <v>0</v>
      </c>
    </row>
    <row r="3286" spans="1:23" s="75" customFormat="1" hidden="1" x14ac:dyDescent="0.35">
      <c r="A3286" s="75">
        <v>3282</v>
      </c>
      <c r="B3286" s="75">
        <v>3283</v>
      </c>
      <c r="C3286">
        <v>146.0052944</v>
      </c>
      <c r="D3286">
        <v>-17.490175669999999</v>
      </c>
      <c r="F3286" s="75" t="str">
        <f>HYPERLINK("E:\Data From Lucan\2024\Johnstone\Frames_for_Analysis\3283_20240610_0005_L_0267.jpg","3283_20240610_0005_L_0267.jpg")</f>
        <v>3283_20240610_0005_L_0267.jpg</v>
      </c>
      <c r="G3286" s="75">
        <v>8</v>
      </c>
      <c r="I3286">
        <f t="shared" si="51"/>
        <v>0</v>
      </c>
      <c r="J3286" s="75">
        <v>0</v>
      </c>
      <c r="K3286" s="77"/>
      <c r="L3286" s="77"/>
      <c r="M3286" s="77"/>
      <c r="N3286" s="77"/>
      <c r="O3286" s="75">
        <v>1</v>
      </c>
      <c r="P3286" s="75">
        <v>0</v>
      </c>
      <c r="Q3286" s="75">
        <v>0</v>
      </c>
      <c r="R3286" s="75">
        <v>0</v>
      </c>
      <c r="S3286" s="75">
        <v>0</v>
      </c>
      <c r="T3286" s="75">
        <v>0</v>
      </c>
      <c r="U3286" s="75">
        <v>0</v>
      </c>
      <c r="V3286" s="75">
        <v>0</v>
      </c>
      <c r="W3286" s="78">
        <v>0</v>
      </c>
    </row>
    <row r="3287" spans="1:23" s="75" customFormat="1" hidden="1" x14ac:dyDescent="0.35">
      <c r="A3287" s="75">
        <v>3283</v>
      </c>
      <c r="B3287" s="75">
        <v>3284</v>
      </c>
      <c r="C3287">
        <v>146.0053509</v>
      </c>
      <c r="D3287">
        <v>-17.490251189999999</v>
      </c>
      <c r="F3287" s="75" t="str">
        <f>HYPERLINK("E:\Data From Lucan\2024\Johnstone\Frames_for_Analysis\3284_20240610_0005_L_0270.jpg","3284_20240610_0005_L_0270.jpg")</f>
        <v>3284_20240610_0005_L_0270.jpg</v>
      </c>
      <c r="G3287" s="75">
        <v>8</v>
      </c>
      <c r="I3287">
        <f t="shared" si="51"/>
        <v>0</v>
      </c>
      <c r="J3287" s="75">
        <v>0</v>
      </c>
      <c r="K3287" s="77"/>
      <c r="L3287" s="77"/>
      <c r="M3287" s="77"/>
      <c r="N3287" s="77"/>
      <c r="O3287" s="75">
        <v>1</v>
      </c>
      <c r="P3287" s="75">
        <v>0</v>
      </c>
      <c r="Q3287" s="75">
        <v>0</v>
      </c>
      <c r="R3287" s="75">
        <v>0</v>
      </c>
      <c r="S3287" s="75">
        <v>0</v>
      </c>
      <c r="T3287" s="75">
        <v>0</v>
      </c>
      <c r="U3287" s="75">
        <v>0</v>
      </c>
      <c r="V3287" s="75">
        <v>0</v>
      </c>
      <c r="W3287" s="78">
        <v>0</v>
      </c>
    </row>
    <row r="3288" spans="1:23" s="75" customFormat="1" hidden="1" x14ac:dyDescent="0.35">
      <c r="A3288" s="75">
        <v>3284</v>
      </c>
      <c r="B3288" s="75">
        <v>3285</v>
      </c>
      <c r="C3288">
        <v>146.00540190000001</v>
      </c>
      <c r="D3288">
        <v>-17.490329819999999</v>
      </c>
      <c r="F3288" s="75" t="str">
        <f>HYPERLINK("E:\Data From Lucan\2024\Johnstone\Frames_for_Analysis\3285_20240610_0005_L_0272.jpg","3285_20240610_0005_L_0272.jpg")</f>
        <v>3285_20240610_0005_L_0272.jpg</v>
      </c>
      <c r="G3288" s="75">
        <v>8</v>
      </c>
      <c r="I3288">
        <f t="shared" si="51"/>
        <v>0</v>
      </c>
      <c r="J3288" s="75">
        <v>0</v>
      </c>
      <c r="K3288" s="77"/>
      <c r="L3288" s="77"/>
      <c r="M3288" s="77"/>
      <c r="N3288" s="77"/>
      <c r="O3288" s="75">
        <v>1</v>
      </c>
      <c r="P3288" s="75">
        <v>0</v>
      </c>
      <c r="Q3288" s="75">
        <v>0</v>
      </c>
      <c r="R3288" s="75">
        <v>0</v>
      </c>
      <c r="S3288" s="75">
        <v>0</v>
      </c>
      <c r="T3288" s="75">
        <v>0</v>
      </c>
      <c r="U3288" s="75">
        <v>0</v>
      </c>
      <c r="V3288" s="75">
        <v>0</v>
      </c>
      <c r="W3288" s="78">
        <v>0</v>
      </c>
    </row>
    <row r="3289" spans="1:23" s="75" customFormat="1" hidden="1" x14ac:dyDescent="0.35">
      <c r="A3289" s="75">
        <v>3285</v>
      </c>
      <c r="B3289" s="75">
        <v>3286</v>
      </c>
      <c r="C3289">
        <v>146.005438</v>
      </c>
      <c r="D3289">
        <v>-17.49041695</v>
      </c>
      <c r="F3289" s="75" t="str">
        <f>HYPERLINK("E:\Data From Lucan\2024\Johnstone\Frames_for_Analysis\3286_20240610_0005_L_0275.jpg","3286_20240610_0005_L_0275.jpg")</f>
        <v>3286_20240610_0005_L_0275.jpg</v>
      </c>
      <c r="G3289" s="75">
        <v>8</v>
      </c>
      <c r="I3289">
        <f t="shared" si="51"/>
        <v>0</v>
      </c>
      <c r="J3289" s="75">
        <v>0</v>
      </c>
      <c r="K3289" s="77"/>
      <c r="L3289" s="77"/>
      <c r="M3289" s="77"/>
      <c r="N3289" s="77"/>
      <c r="O3289" s="75">
        <v>1</v>
      </c>
      <c r="P3289" s="75">
        <v>0</v>
      </c>
      <c r="Q3289" s="75">
        <v>0</v>
      </c>
      <c r="R3289" s="75">
        <v>0</v>
      </c>
      <c r="S3289" s="75">
        <v>0</v>
      </c>
      <c r="T3289" s="75">
        <v>0</v>
      </c>
      <c r="U3289" s="75">
        <v>0</v>
      </c>
      <c r="V3289" s="75">
        <v>0</v>
      </c>
      <c r="W3289" s="78">
        <v>0</v>
      </c>
    </row>
    <row r="3290" spans="1:23" s="75" customFormat="1" hidden="1" x14ac:dyDescent="0.35">
      <c r="A3290" s="75">
        <v>3286</v>
      </c>
      <c r="B3290" s="75">
        <v>3287</v>
      </c>
      <c r="C3290">
        <v>146.00547399999999</v>
      </c>
      <c r="D3290">
        <v>-17.490504080000001</v>
      </c>
      <c r="F3290" s="75" t="str">
        <f>HYPERLINK("E:\Data From Lucan\2024\Johnstone\Frames_for_Analysis\3287_20240610_0005_L_0278.jpg","3287_20240610_0005_L_0278.jpg")</f>
        <v>3287_20240610_0005_L_0278.jpg</v>
      </c>
      <c r="G3290" s="75">
        <v>8</v>
      </c>
      <c r="I3290">
        <f t="shared" si="51"/>
        <v>0</v>
      </c>
      <c r="J3290" s="75">
        <v>0</v>
      </c>
      <c r="K3290" s="77"/>
      <c r="L3290" s="77"/>
      <c r="M3290" s="77"/>
      <c r="N3290" s="77"/>
      <c r="O3290" s="75">
        <v>1</v>
      </c>
      <c r="P3290" s="75">
        <v>0</v>
      </c>
      <c r="Q3290" s="75">
        <v>0</v>
      </c>
      <c r="R3290" s="75">
        <v>0</v>
      </c>
      <c r="S3290" s="75">
        <v>0</v>
      </c>
      <c r="T3290" s="75">
        <v>0</v>
      </c>
      <c r="U3290" s="75">
        <v>0</v>
      </c>
      <c r="V3290" s="75">
        <v>0</v>
      </c>
      <c r="W3290" s="78">
        <v>0</v>
      </c>
    </row>
    <row r="3291" spans="1:23" s="75" customFormat="1" hidden="1" x14ac:dyDescent="0.35">
      <c r="A3291" s="75">
        <v>3287</v>
      </c>
      <c r="B3291" s="75">
        <v>3288</v>
      </c>
      <c r="C3291">
        <v>146.00551010000001</v>
      </c>
      <c r="D3291">
        <v>-17.490591210000002</v>
      </c>
      <c r="F3291" s="75" t="str">
        <f>HYPERLINK("E:\Data From Lucan\2024\Johnstone\Frames_for_Analysis\3288_20240610_0005_L_0280.jpg","3288_20240610_0005_L_0280.jpg")</f>
        <v>3288_20240610_0005_L_0280.jpg</v>
      </c>
      <c r="G3291" s="75">
        <v>8</v>
      </c>
      <c r="I3291">
        <f t="shared" si="51"/>
        <v>0</v>
      </c>
      <c r="J3291" s="75">
        <v>0</v>
      </c>
      <c r="K3291" s="77"/>
      <c r="L3291" s="77"/>
      <c r="M3291" s="77"/>
      <c r="N3291" s="77"/>
      <c r="O3291" s="75">
        <v>1</v>
      </c>
      <c r="P3291" s="75">
        <v>0</v>
      </c>
      <c r="Q3291" s="75">
        <v>0</v>
      </c>
      <c r="R3291" s="75">
        <v>0</v>
      </c>
      <c r="S3291" s="75">
        <v>0</v>
      </c>
      <c r="T3291" s="75">
        <v>0</v>
      </c>
      <c r="U3291" s="75">
        <v>0</v>
      </c>
      <c r="V3291" s="75">
        <v>0</v>
      </c>
      <c r="W3291" s="78">
        <v>0</v>
      </c>
    </row>
    <row r="3292" spans="1:23" s="75" customFormat="1" hidden="1" x14ac:dyDescent="0.35">
      <c r="A3292" s="75">
        <v>3288</v>
      </c>
      <c r="B3292" s="75">
        <v>3289</v>
      </c>
      <c r="C3292">
        <v>146.0055462</v>
      </c>
      <c r="D3292">
        <v>-17.490678339999999</v>
      </c>
      <c r="F3292" s="75" t="str">
        <f>HYPERLINK("E:\Data From Lucan\2024\Johnstone\Frames_for_Analysis\3289_20240610_0005_L_0283.jpg","3289_20240610_0005_L_0283.jpg")</f>
        <v>3289_20240610_0005_L_0283.jpg</v>
      </c>
      <c r="G3292" s="75">
        <v>8</v>
      </c>
      <c r="I3292">
        <f t="shared" si="51"/>
        <v>0</v>
      </c>
      <c r="J3292" s="75">
        <v>0</v>
      </c>
      <c r="K3292" s="77"/>
      <c r="L3292" s="77"/>
      <c r="M3292" s="77"/>
      <c r="N3292" s="77"/>
      <c r="O3292" s="75">
        <v>1</v>
      </c>
      <c r="P3292" s="75">
        <v>0</v>
      </c>
      <c r="Q3292" s="75">
        <v>0</v>
      </c>
      <c r="R3292" s="75">
        <v>0</v>
      </c>
      <c r="S3292" s="75">
        <v>0</v>
      </c>
      <c r="T3292" s="75">
        <v>0</v>
      </c>
      <c r="U3292" s="75">
        <v>0</v>
      </c>
      <c r="V3292" s="75">
        <v>0</v>
      </c>
      <c r="W3292" s="78">
        <v>0</v>
      </c>
    </row>
    <row r="3293" spans="1:23" s="75" customFormat="1" hidden="1" x14ac:dyDescent="0.35">
      <c r="A3293" s="75">
        <v>3289</v>
      </c>
      <c r="B3293" s="75">
        <v>3290</v>
      </c>
      <c r="C3293">
        <v>146.00558229999999</v>
      </c>
      <c r="D3293">
        <v>-17.490765469999999</v>
      </c>
      <c r="F3293" s="75" t="str">
        <f>HYPERLINK("E:\Data From Lucan\2024\Johnstone\Frames_for_Analysis\3290_20240610_0005_L_0286.jpg","3290_20240610_0005_L_0286.jpg")</f>
        <v>3290_20240610_0005_L_0286.jpg</v>
      </c>
      <c r="G3293" s="75">
        <v>8</v>
      </c>
      <c r="I3293">
        <f t="shared" si="51"/>
        <v>0</v>
      </c>
      <c r="J3293" s="75">
        <v>0</v>
      </c>
      <c r="K3293" s="77"/>
      <c r="L3293" s="77"/>
      <c r="M3293" s="77"/>
      <c r="N3293" s="77"/>
      <c r="O3293" s="75">
        <v>1</v>
      </c>
      <c r="P3293" s="75">
        <v>0</v>
      </c>
      <c r="Q3293" s="75">
        <v>0</v>
      </c>
      <c r="R3293" s="75">
        <v>0</v>
      </c>
      <c r="S3293" s="75">
        <v>0</v>
      </c>
      <c r="T3293" s="75">
        <v>0</v>
      </c>
      <c r="U3293" s="75">
        <v>0</v>
      </c>
      <c r="V3293" s="75">
        <v>0</v>
      </c>
      <c r="W3293" s="78">
        <v>0</v>
      </c>
    </row>
    <row r="3294" spans="1:23" s="75" customFormat="1" hidden="1" x14ac:dyDescent="0.35">
      <c r="A3294" s="75">
        <v>3290</v>
      </c>
      <c r="B3294" s="75">
        <v>3291</v>
      </c>
      <c r="C3294">
        <v>146.00561830000001</v>
      </c>
      <c r="D3294">
        <v>-17.4908526</v>
      </c>
      <c r="F3294" s="75" t="str">
        <f>HYPERLINK("E:\Data From Lucan\2024\Johnstone\Frames_for_Analysis\3291_20240610_0005_L_0287.jpg","3291_20240610_0005_L_0287.jpg")</f>
        <v>3291_20240610_0005_L_0287.jpg</v>
      </c>
      <c r="G3294" s="75">
        <v>8</v>
      </c>
      <c r="I3294">
        <f t="shared" si="51"/>
        <v>0</v>
      </c>
      <c r="J3294" s="75">
        <v>0</v>
      </c>
      <c r="K3294" s="77"/>
      <c r="L3294" s="77"/>
      <c r="M3294" s="77"/>
      <c r="N3294" s="77"/>
      <c r="O3294" s="75">
        <v>1</v>
      </c>
      <c r="P3294" s="75">
        <v>0</v>
      </c>
      <c r="Q3294" s="75">
        <v>0</v>
      </c>
      <c r="R3294" s="75">
        <v>0</v>
      </c>
      <c r="S3294" s="75">
        <v>0</v>
      </c>
      <c r="T3294" s="75">
        <v>0</v>
      </c>
      <c r="U3294" s="75">
        <v>0</v>
      </c>
      <c r="V3294" s="75">
        <v>0</v>
      </c>
      <c r="W3294" s="78">
        <v>0</v>
      </c>
    </row>
    <row r="3295" spans="1:23" s="75" customFormat="1" hidden="1" x14ac:dyDescent="0.35">
      <c r="A3295" s="75">
        <v>3291</v>
      </c>
      <c r="B3295" s="75">
        <v>3292</v>
      </c>
      <c r="C3295">
        <v>146.0056544</v>
      </c>
      <c r="D3295">
        <v>-17.490939730000001</v>
      </c>
      <c r="F3295" s="75" t="str">
        <f>HYPERLINK("E:\Data From Lucan\2024\Johnstone\Frames_for_Analysis\3292_20240610_0005_L_0291.jpg","3292_20240610_0005_L_0291.jpg")</f>
        <v>3292_20240610_0005_L_0291.jpg</v>
      </c>
      <c r="G3295" s="75">
        <v>8</v>
      </c>
      <c r="I3295">
        <f t="shared" si="51"/>
        <v>0</v>
      </c>
      <c r="J3295" s="75">
        <v>0</v>
      </c>
      <c r="K3295" s="77"/>
      <c r="L3295" s="77"/>
      <c r="M3295" s="77"/>
      <c r="N3295" s="77"/>
      <c r="O3295" s="75">
        <v>1</v>
      </c>
      <c r="P3295" s="75">
        <v>0</v>
      </c>
      <c r="Q3295" s="75">
        <v>0</v>
      </c>
      <c r="R3295" s="75">
        <v>0</v>
      </c>
      <c r="S3295" s="75">
        <v>0</v>
      </c>
      <c r="T3295" s="75">
        <v>0</v>
      </c>
      <c r="U3295" s="75">
        <v>0</v>
      </c>
      <c r="V3295" s="75">
        <v>0</v>
      </c>
      <c r="W3295" s="78">
        <v>0</v>
      </c>
    </row>
    <row r="3296" spans="1:23" s="75" customFormat="1" hidden="1" x14ac:dyDescent="0.35">
      <c r="A3296" s="75">
        <v>3292</v>
      </c>
      <c r="B3296" s="75">
        <v>3293</v>
      </c>
      <c r="C3296">
        <v>146.00569049999999</v>
      </c>
      <c r="D3296">
        <v>-17.491026860000002</v>
      </c>
      <c r="F3296" s="75" t="str">
        <f>HYPERLINK("E:\Data From Lucan\2024\Johnstone\Frames_for_Analysis\3293_20240610_0005_L_0294.jpg","3293_20240610_0005_L_0294.jpg")</f>
        <v>3293_20240610_0005_L_0294.jpg</v>
      </c>
      <c r="G3296" s="75">
        <v>8</v>
      </c>
      <c r="I3296">
        <f t="shared" si="51"/>
        <v>0</v>
      </c>
      <c r="J3296" s="75">
        <v>0</v>
      </c>
      <c r="K3296" s="77"/>
      <c r="L3296" s="77"/>
      <c r="M3296" s="77"/>
      <c r="N3296" s="77"/>
      <c r="O3296" s="75">
        <v>1</v>
      </c>
      <c r="P3296" s="75">
        <v>0</v>
      </c>
      <c r="Q3296" s="75">
        <v>0</v>
      </c>
      <c r="R3296" s="75">
        <v>0</v>
      </c>
      <c r="S3296" s="75">
        <v>0</v>
      </c>
      <c r="T3296" s="75">
        <v>0</v>
      </c>
      <c r="U3296" s="75">
        <v>0</v>
      </c>
      <c r="V3296" s="75">
        <v>0</v>
      </c>
      <c r="W3296" s="78">
        <v>0</v>
      </c>
    </row>
    <row r="3297" spans="1:23" s="75" customFormat="1" hidden="1" x14ac:dyDescent="0.35">
      <c r="A3297" s="75">
        <v>3293</v>
      </c>
      <c r="B3297" s="75">
        <v>3294</v>
      </c>
      <c r="C3297">
        <v>146.0057266</v>
      </c>
      <c r="D3297">
        <v>-17.491113989999999</v>
      </c>
      <c r="F3297" s="75" t="str">
        <f>HYPERLINK("E:\Data From Lucan\2024\Johnstone\Frames_for_Analysis\3294_20240610_0005_L_0297.jpg","3294_20240610_0005_L_0297.jpg")</f>
        <v>3294_20240610_0005_L_0297.jpg</v>
      </c>
      <c r="G3297" s="75">
        <v>8</v>
      </c>
      <c r="I3297">
        <f t="shared" si="51"/>
        <v>0</v>
      </c>
      <c r="J3297" s="75">
        <v>0</v>
      </c>
      <c r="K3297" s="77"/>
      <c r="L3297" s="77"/>
      <c r="M3297" s="77"/>
      <c r="N3297" s="77"/>
      <c r="O3297" s="75">
        <v>1</v>
      </c>
      <c r="P3297" s="75">
        <v>0</v>
      </c>
      <c r="Q3297" s="75">
        <v>0</v>
      </c>
      <c r="R3297" s="75">
        <v>0</v>
      </c>
      <c r="S3297" s="75">
        <v>0</v>
      </c>
      <c r="T3297" s="75">
        <v>0</v>
      </c>
      <c r="U3297" s="75">
        <v>0</v>
      </c>
      <c r="V3297" s="75">
        <v>0</v>
      </c>
      <c r="W3297" s="78">
        <v>0</v>
      </c>
    </row>
    <row r="3298" spans="1:23" s="75" customFormat="1" hidden="1" x14ac:dyDescent="0.35">
      <c r="A3298" s="75">
        <v>3294</v>
      </c>
      <c r="B3298" s="75">
        <v>3295</v>
      </c>
      <c r="C3298">
        <v>146.0057626</v>
      </c>
      <c r="D3298">
        <v>-17.491201119999999</v>
      </c>
      <c r="F3298" s="75" t="str">
        <f>HYPERLINK("E:\Data From Lucan\2024\Johnstone\Frames_for_Analysis\3295_20240610_0005_L_0300.jpg","3295_20240610_0005_L_0300.jpg")</f>
        <v>3295_20240610_0005_L_0300.jpg</v>
      </c>
      <c r="G3298" s="75">
        <v>8</v>
      </c>
      <c r="I3298">
        <f t="shared" si="51"/>
        <v>0</v>
      </c>
      <c r="J3298" s="75">
        <v>0</v>
      </c>
      <c r="K3298" s="77"/>
      <c r="L3298" s="77"/>
      <c r="M3298" s="77"/>
      <c r="N3298" s="77"/>
      <c r="O3298" s="75">
        <v>1</v>
      </c>
      <c r="P3298" s="75">
        <v>0</v>
      </c>
      <c r="Q3298" s="75">
        <v>0</v>
      </c>
      <c r="R3298" s="75">
        <v>0</v>
      </c>
      <c r="S3298" s="75">
        <v>0</v>
      </c>
      <c r="T3298" s="75">
        <v>0</v>
      </c>
      <c r="U3298" s="75">
        <v>0</v>
      </c>
      <c r="V3298" s="75">
        <v>0</v>
      </c>
      <c r="W3298" s="78">
        <v>0</v>
      </c>
    </row>
    <row r="3299" spans="1:23" s="75" customFormat="1" hidden="1" x14ac:dyDescent="0.35">
      <c r="A3299" s="75">
        <v>3295</v>
      </c>
      <c r="B3299" s="75">
        <v>3296</v>
      </c>
      <c r="C3299">
        <v>146.00579920000001</v>
      </c>
      <c r="D3299">
        <v>-17.491288019999999</v>
      </c>
      <c r="F3299" s="75" t="str">
        <f>HYPERLINK("E:\Data From Lucan\2024\Johnstone\Frames_for_Analysis\3296_20240610_0005_L_0303.jpg","3296_20240610_0005_L_0303.jpg")</f>
        <v>3296_20240610_0005_L_0303.jpg</v>
      </c>
      <c r="G3299" s="75">
        <v>8</v>
      </c>
      <c r="I3299">
        <f t="shared" si="51"/>
        <v>0</v>
      </c>
      <c r="J3299" s="75">
        <v>0</v>
      </c>
      <c r="K3299" s="77"/>
      <c r="L3299" s="77"/>
      <c r="M3299" s="77"/>
      <c r="N3299" s="77"/>
      <c r="O3299" s="75">
        <v>2</v>
      </c>
      <c r="P3299" s="75">
        <v>0</v>
      </c>
      <c r="Q3299" s="75">
        <v>0</v>
      </c>
      <c r="R3299" s="75">
        <v>0</v>
      </c>
      <c r="S3299" s="75">
        <v>0</v>
      </c>
      <c r="T3299" s="75">
        <v>0</v>
      </c>
      <c r="U3299" s="75">
        <v>0</v>
      </c>
      <c r="V3299" s="75">
        <v>0</v>
      </c>
      <c r="W3299" s="78">
        <v>1</v>
      </c>
    </row>
    <row r="3300" spans="1:23" s="75" customFormat="1" hidden="1" x14ac:dyDescent="0.35">
      <c r="A3300" s="75">
        <v>3296</v>
      </c>
      <c r="B3300" s="75">
        <v>3297</v>
      </c>
      <c r="C3300">
        <v>146.00584839999999</v>
      </c>
      <c r="D3300">
        <v>-17.491368439999999</v>
      </c>
      <c r="F3300" s="75" t="str">
        <f>HYPERLINK("E:\Data From Lucan\2024\Johnstone\Frames_for_Analysis\3297_20240610_0005_L_0306.jpg","3297_20240610_0005_L_0306.jpg")</f>
        <v>3297_20240610_0005_L_0306.jpg</v>
      </c>
      <c r="G3300" s="75">
        <v>8</v>
      </c>
      <c r="I3300">
        <f t="shared" si="51"/>
        <v>0</v>
      </c>
      <c r="J3300" s="75">
        <v>0</v>
      </c>
      <c r="K3300" s="77"/>
      <c r="L3300" s="77"/>
      <c r="M3300" s="77"/>
      <c r="N3300" s="77"/>
      <c r="O3300" s="75">
        <v>1</v>
      </c>
      <c r="P3300" s="75">
        <v>0</v>
      </c>
      <c r="Q3300" s="75">
        <v>0</v>
      </c>
      <c r="R3300" s="75">
        <v>0</v>
      </c>
      <c r="S3300" s="75">
        <v>0</v>
      </c>
      <c r="T3300" s="75">
        <v>0</v>
      </c>
      <c r="U3300" s="75">
        <v>0</v>
      </c>
      <c r="V3300" s="75">
        <v>0</v>
      </c>
      <c r="W3300" s="78">
        <v>0</v>
      </c>
    </row>
    <row r="3301" spans="1:23" s="75" customFormat="1" hidden="1" x14ac:dyDescent="0.35">
      <c r="A3301" s="75">
        <v>3297</v>
      </c>
      <c r="B3301" s="75">
        <v>3298</v>
      </c>
      <c r="C3301">
        <v>146.00589769999999</v>
      </c>
      <c r="D3301">
        <v>-17.491448850000001</v>
      </c>
      <c r="F3301" s="75" t="str">
        <f>HYPERLINK("E:\Data From Lucan\2024\Johnstone\Frames_for_Analysis\3298_20240610_0005_L_0309.jpg","3298_20240610_0005_L_0309.jpg")</f>
        <v>3298_20240610_0005_L_0309.jpg</v>
      </c>
      <c r="G3301" s="75">
        <v>8</v>
      </c>
      <c r="I3301">
        <f t="shared" si="51"/>
        <v>0</v>
      </c>
      <c r="J3301" s="75">
        <v>0</v>
      </c>
      <c r="K3301" s="77"/>
      <c r="L3301" s="77"/>
      <c r="M3301" s="77"/>
      <c r="N3301" s="77"/>
      <c r="O3301" s="75">
        <v>1</v>
      </c>
      <c r="P3301" s="75">
        <v>0</v>
      </c>
      <c r="Q3301" s="75">
        <v>0</v>
      </c>
      <c r="R3301" s="75">
        <v>0</v>
      </c>
      <c r="S3301" s="75">
        <v>0</v>
      </c>
      <c r="T3301" s="75">
        <v>0</v>
      </c>
      <c r="U3301" s="75">
        <v>0</v>
      </c>
      <c r="V3301" s="75">
        <v>0</v>
      </c>
      <c r="W3301" s="78">
        <v>0</v>
      </c>
    </row>
    <row r="3302" spans="1:23" s="75" customFormat="1" hidden="1" x14ac:dyDescent="0.35">
      <c r="A3302" s="75">
        <v>3298</v>
      </c>
      <c r="B3302" s="75">
        <v>3299</v>
      </c>
      <c r="C3302">
        <v>146.00594699999999</v>
      </c>
      <c r="D3302">
        <v>-17.49152926</v>
      </c>
      <c r="F3302" s="75" t="str">
        <f>HYPERLINK("E:\Data From Lucan\2024\Johnstone\Frames_for_Analysis\3299_20240610_0005_L_0312.jpg","3299_20240610_0005_L_0312.jpg")</f>
        <v>3299_20240610_0005_L_0312.jpg</v>
      </c>
      <c r="G3302" s="75">
        <v>8</v>
      </c>
      <c r="I3302">
        <f t="shared" si="51"/>
        <v>0</v>
      </c>
      <c r="J3302" s="75">
        <v>0</v>
      </c>
      <c r="K3302" s="77"/>
      <c r="L3302" s="77"/>
      <c r="M3302" s="77"/>
      <c r="N3302" s="77"/>
      <c r="O3302" s="75">
        <v>1</v>
      </c>
      <c r="P3302" s="75">
        <v>0</v>
      </c>
      <c r="Q3302" s="75">
        <v>0</v>
      </c>
      <c r="R3302" s="75">
        <v>0</v>
      </c>
      <c r="S3302" s="75">
        <v>0</v>
      </c>
      <c r="T3302" s="75">
        <v>0</v>
      </c>
      <c r="U3302" s="75">
        <v>0</v>
      </c>
      <c r="V3302" s="75">
        <v>0</v>
      </c>
      <c r="W3302" s="78">
        <v>0</v>
      </c>
    </row>
    <row r="3303" spans="1:23" s="75" customFormat="1" hidden="1" x14ac:dyDescent="0.35">
      <c r="A3303" s="75">
        <v>3299</v>
      </c>
      <c r="B3303" s="75">
        <v>3300</v>
      </c>
      <c r="C3303">
        <v>146.0059962</v>
      </c>
      <c r="D3303">
        <v>-17.491609669999999</v>
      </c>
      <c r="F3303" s="75" t="str">
        <f>HYPERLINK("E:\Data From Lucan\2024\Johnstone\Frames_for_Analysis\3300_20240610_0005_L_0315.jpg","3300_20240610_0005_L_0315.jpg")</f>
        <v>3300_20240610_0005_L_0315.jpg</v>
      </c>
      <c r="G3303" s="75">
        <v>8</v>
      </c>
      <c r="I3303">
        <f t="shared" si="51"/>
        <v>0</v>
      </c>
      <c r="J3303" s="75">
        <v>0</v>
      </c>
      <c r="K3303" s="77"/>
      <c r="L3303" s="77"/>
      <c r="M3303" s="77"/>
      <c r="N3303" s="77"/>
      <c r="O3303" s="75">
        <v>1</v>
      </c>
      <c r="P3303" s="75">
        <v>0</v>
      </c>
      <c r="Q3303" s="75">
        <v>0</v>
      </c>
      <c r="R3303" s="75">
        <v>0</v>
      </c>
      <c r="S3303" s="75">
        <v>0</v>
      </c>
      <c r="T3303" s="75">
        <v>0</v>
      </c>
      <c r="U3303" s="75">
        <v>0</v>
      </c>
      <c r="V3303" s="75">
        <v>0</v>
      </c>
      <c r="W3303" s="78">
        <v>0</v>
      </c>
    </row>
    <row r="3304" spans="1:23" s="75" customFormat="1" hidden="1" x14ac:dyDescent="0.35">
      <c r="A3304" s="75">
        <v>3300</v>
      </c>
      <c r="B3304" s="75">
        <v>3301</v>
      </c>
      <c r="C3304">
        <v>146.0060455</v>
      </c>
      <c r="D3304">
        <v>-17.491690080000001</v>
      </c>
      <c r="F3304" s="75" t="str">
        <f>HYPERLINK("E:\Data From Lucan\2024\Johnstone\Frames_for_Analysis\3301_20240610_0005_L_0319.jpg","3301_20240610_0005_L_0319.jpg")</f>
        <v>3301_20240610_0005_L_0319.jpg</v>
      </c>
      <c r="G3304" s="75">
        <v>8</v>
      </c>
      <c r="I3304">
        <f t="shared" si="51"/>
        <v>0</v>
      </c>
      <c r="J3304" s="75">
        <v>0</v>
      </c>
      <c r="K3304" s="77"/>
      <c r="L3304" s="77"/>
      <c r="M3304" s="77"/>
      <c r="N3304" s="77"/>
      <c r="O3304" s="75">
        <v>1</v>
      </c>
      <c r="P3304" s="75">
        <v>0</v>
      </c>
      <c r="Q3304" s="75">
        <v>0</v>
      </c>
      <c r="R3304" s="75">
        <v>0</v>
      </c>
      <c r="S3304" s="75">
        <v>0</v>
      </c>
      <c r="T3304" s="75">
        <v>0</v>
      </c>
      <c r="U3304" s="75">
        <v>0</v>
      </c>
      <c r="V3304" s="75">
        <v>0</v>
      </c>
      <c r="W3304" s="78">
        <v>0</v>
      </c>
    </row>
    <row r="3305" spans="1:23" s="75" customFormat="1" hidden="1" x14ac:dyDescent="0.35">
      <c r="A3305" s="75">
        <v>3301</v>
      </c>
      <c r="B3305" s="75">
        <v>3302</v>
      </c>
      <c r="C3305">
        <v>146.0060948</v>
      </c>
      <c r="D3305">
        <v>-17.49177049</v>
      </c>
      <c r="F3305" s="75" t="str">
        <f>HYPERLINK("E:\Data From Lucan\2024\Johnstone\Frames_for_Analysis\3302_20240610_0005_L_0322.jpg","3302_20240610_0005_L_0322.jpg")</f>
        <v>3302_20240610_0005_L_0322.jpg</v>
      </c>
      <c r="G3305" s="75">
        <v>8</v>
      </c>
      <c r="I3305">
        <f t="shared" si="51"/>
        <v>0</v>
      </c>
      <c r="J3305" s="75">
        <v>0</v>
      </c>
      <c r="K3305" s="77"/>
      <c r="L3305" s="77"/>
      <c r="M3305" s="77"/>
      <c r="N3305" s="77"/>
      <c r="O3305" s="75">
        <v>1</v>
      </c>
      <c r="P3305" s="75">
        <v>0</v>
      </c>
      <c r="Q3305" s="75">
        <v>0</v>
      </c>
      <c r="R3305" s="75">
        <v>0</v>
      </c>
      <c r="S3305" s="75">
        <v>0</v>
      </c>
      <c r="T3305" s="75">
        <v>0</v>
      </c>
      <c r="U3305" s="75">
        <v>0</v>
      </c>
      <c r="V3305" s="75">
        <v>0</v>
      </c>
      <c r="W3305" s="78">
        <v>0</v>
      </c>
    </row>
    <row r="3306" spans="1:23" s="75" customFormat="1" hidden="1" x14ac:dyDescent="0.35">
      <c r="A3306" s="75">
        <v>3302</v>
      </c>
      <c r="B3306" s="75">
        <v>3303</v>
      </c>
      <c r="C3306">
        <v>146.00614400000001</v>
      </c>
      <c r="D3306">
        <v>-17.491850899999999</v>
      </c>
      <c r="F3306" s="75" t="str">
        <f>HYPERLINK("E:\Data From Lucan\2024\Johnstone\Frames_for_Analysis\3303_20240610_0005_L_0325.jpg","3303_20240610_0005_L_0325.jpg")</f>
        <v>3303_20240610_0005_L_0325.jpg</v>
      </c>
      <c r="G3306" s="75">
        <v>8</v>
      </c>
      <c r="I3306">
        <f t="shared" si="51"/>
        <v>0</v>
      </c>
      <c r="J3306" s="75">
        <v>0</v>
      </c>
      <c r="K3306" s="77"/>
      <c r="L3306" s="77"/>
      <c r="M3306" s="77"/>
      <c r="N3306" s="77"/>
      <c r="O3306" s="75">
        <v>1</v>
      </c>
      <c r="P3306" s="75">
        <v>0</v>
      </c>
      <c r="Q3306" s="75">
        <v>0</v>
      </c>
      <c r="R3306" s="75">
        <v>0</v>
      </c>
      <c r="S3306" s="75">
        <v>0</v>
      </c>
      <c r="T3306" s="75">
        <v>0</v>
      </c>
      <c r="U3306" s="75">
        <v>0</v>
      </c>
      <c r="V3306" s="75">
        <v>0</v>
      </c>
      <c r="W3306" s="78">
        <v>0</v>
      </c>
    </row>
    <row r="3307" spans="1:23" s="75" customFormat="1" hidden="1" x14ac:dyDescent="0.35">
      <c r="A3307" s="75">
        <v>3303</v>
      </c>
      <c r="B3307" s="75">
        <v>3304</v>
      </c>
      <c r="C3307">
        <v>146.00619330000001</v>
      </c>
      <c r="D3307">
        <v>-17.491931309999998</v>
      </c>
      <c r="F3307" s="75" t="str">
        <f>HYPERLINK("E:\Data From Lucan\2024\Johnstone\Frames_for_Analysis\3304_20240610_0005_L_0328.jpg","3304_20240610_0005_L_0328.jpg")</f>
        <v>3304_20240610_0005_L_0328.jpg</v>
      </c>
      <c r="G3307" s="75">
        <v>8</v>
      </c>
      <c r="I3307">
        <f t="shared" si="51"/>
        <v>0</v>
      </c>
      <c r="J3307" s="75">
        <v>0</v>
      </c>
      <c r="K3307" s="77"/>
      <c r="L3307" s="77"/>
      <c r="M3307" s="77"/>
      <c r="N3307" s="77"/>
      <c r="O3307" s="75">
        <v>1</v>
      </c>
      <c r="P3307" s="75">
        <v>0</v>
      </c>
      <c r="Q3307" s="75">
        <v>0</v>
      </c>
      <c r="R3307" s="75">
        <v>0</v>
      </c>
      <c r="S3307" s="75">
        <v>0</v>
      </c>
      <c r="T3307" s="75">
        <v>0</v>
      </c>
      <c r="U3307" s="75">
        <v>0</v>
      </c>
      <c r="V3307" s="75">
        <v>0</v>
      </c>
      <c r="W3307" s="78">
        <v>0</v>
      </c>
    </row>
    <row r="3308" spans="1:23" s="75" customFormat="1" hidden="1" x14ac:dyDescent="0.35">
      <c r="A3308" s="75">
        <v>3304</v>
      </c>
      <c r="B3308" s="75">
        <v>3305</v>
      </c>
      <c r="C3308">
        <v>146.00624260000001</v>
      </c>
      <c r="D3308">
        <v>-17.492011730000002</v>
      </c>
      <c r="F3308" s="75" t="str">
        <f>HYPERLINK("E:\Data From Lucan\2024\Johnstone\Frames_for_Analysis\3305_20240610_0005_L_0330.jpg","3305_20240610_0005_L_0330.jpg")</f>
        <v>3305_20240610_0005_L_0330.jpg</v>
      </c>
      <c r="G3308" s="75">
        <v>8</v>
      </c>
      <c r="I3308">
        <f t="shared" si="51"/>
        <v>0</v>
      </c>
      <c r="J3308" s="75">
        <v>0</v>
      </c>
      <c r="K3308" s="77"/>
      <c r="L3308" s="77"/>
      <c r="M3308" s="77"/>
      <c r="N3308" s="77"/>
      <c r="O3308" s="75">
        <v>1</v>
      </c>
      <c r="P3308" s="75">
        <v>0</v>
      </c>
      <c r="Q3308" s="75">
        <v>0</v>
      </c>
      <c r="R3308" s="75">
        <v>0</v>
      </c>
      <c r="S3308" s="75">
        <v>0</v>
      </c>
      <c r="T3308" s="75">
        <v>0</v>
      </c>
      <c r="U3308" s="75">
        <v>0</v>
      </c>
      <c r="V3308" s="75">
        <v>0</v>
      </c>
      <c r="W3308" s="78">
        <v>0</v>
      </c>
    </row>
    <row r="3309" spans="1:23" s="75" customFormat="1" hidden="1" x14ac:dyDescent="0.35">
      <c r="A3309" s="75">
        <v>3305</v>
      </c>
      <c r="B3309" s="75">
        <v>3306</v>
      </c>
      <c r="C3309">
        <v>146.00629180000001</v>
      </c>
      <c r="D3309">
        <v>-17.49209214</v>
      </c>
      <c r="F3309" s="75" t="str">
        <f>HYPERLINK("E:\Data From Lucan\2024\Johnstone\Frames_for_Analysis\3306_20240610_0005_L_0334.jpg","3306_20240610_0005_L_0334.jpg")</f>
        <v>3306_20240610_0005_L_0334.jpg</v>
      </c>
      <c r="G3309" s="75">
        <v>8</v>
      </c>
      <c r="I3309">
        <f t="shared" si="51"/>
        <v>0</v>
      </c>
      <c r="J3309" s="75">
        <v>0</v>
      </c>
      <c r="K3309" s="77"/>
      <c r="L3309" s="77"/>
      <c r="M3309" s="77"/>
      <c r="N3309" s="77"/>
      <c r="O3309" s="75">
        <v>1</v>
      </c>
      <c r="P3309" s="75">
        <v>0</v>
      </c>
      <c r="Q3309" s="75">
        <v>0</v>
      </c>
      <c r="R3309" s="75">
        <v>0</v>
      </c>
      <c r="S3309" s="75">
        <v>0</v>
      </c>
      <c r="T3309" s="75">
        <v>0</v>
      </c>
      <c r="U3309" s="75">
        <v>0</v>
      </c>
      <c r="V3309" s="75">
        <v>0</v>
      </c>
      <c r="W3309" s="78">
        <v>0</v>
      </c>
    </row>
    <row r="3310" spans="1:23" s="75" customFormat="1" hidden="1" x14ac:dyDescent="0.35">
      <c r="A3310" s="75">
        <v>3306</v>
      </c>
      <c r="B3310" s="75">
        <v>3307</v>
      </c>
      <c r="C3310">
        <v>146.00634109999999</v>
      </c>
      <c r="D3310">
        <v>-17.492172549999999</v>
      </c>
      <c r="F3310" s="75" t="str">
        <f>HYPERLINK("E:\Data From Lucan\2024\Johnstone\Frames_for_Analysis\3307_20240610_0005_L_0337.jpg","3307_20240610_0005_L_0337.jpg")</f>
        <v>3307_20240610_0005_L_0337.jpg</v>
      </c>
      <c r="G3310" s="75">
        <v>8</v>
      </c>
      <c r="I3310">
        <f t="shared" si="51"/>
        <v>0</v>
      </c>
      <c r="J3310" s="75">
        <v>0</v>
      </c>
      <c r="K3310" s="77"/>
      <c r="L3310" s="77"/>
      <c r="M3310" s="77"/>
      <c r="N3310" s="77"/>
      <c r="O3310" s="75">
        <v>1</v>
      </c>
      <c r="P3310" s="75">
        <v>0</v>
      </c>
      <c r="Q3310" s="75">
        <v>0</v>
      </c>
      <c r="R3310" s="75">
        <v>0</v>
      </c>
      <c r="S3310" s="75">
        <v>0</v>
      </c>
      <c r="T3310" s="75">
        <v>0</v>
      </c>
      <c r="U3310" s="75">
        <v>0</v>
      </c>
      <c r="V3310" s="75">
        <v>0</v>
      </c>
      <c r="W3310" s="78">
        <v>0</v>
      </c>
    </row>
    <row r="3311" spans="1:23" s="75" customFormat="1" hidden="1" x14ac:dyDescent="0.35">
      <c r="A3311" s="75">
        <v>3307</v>
      </c>
      <c r="B3311" s="75">
        <v>3308</v>
      </c>
      <c r="C3311">
        <v>146.00639039999999</v>
      </c>
      <c r="D3311">
        <v>-17.492252959999998</v>
      </c>
      <c r="F3311" s="75" t="str">
        <f>HYPERLINK("E:\Data From Lucan\2024\Johnstone\Frames_for_Analysis\3308_20240610_0005_L_0339.jpg","3308_20240610_0005_L_0339.jpg")</f>
        <v>3308_20240610_0005_L_0339.jpg</v>
      </c>
      <c r="G3311" s="75">
        <v>8</v>
      </c>
      <c r="I3311">
        <f t="shared" si="51"/>
        <v>0</v>
      </c>
      <c r="J3311" s="75">
        <v>0</v>
      </c>
      <c r="K3311" s="77"/>
      <c r="L3311" s="77"/>
      <c r="M3311" s="77"/>
      <c r="N3311" s="77"/>
      <c r="O3311" s="75">
        <v>1</v>
      </c>
      <c r="P3311" s="75">
        <v>0</v>
      </c>
      <c r="Q3311" s="75">
        <v>0</v>
      </c>
      <c r="R3311" s="75">
        <v>0</v>
      </c>
      <c r="S3311" s="75">
        <v>0</v>
      </c>
      <c r="T3311" s="75">
        <v>0</v>
      </c>
      <c r="U3311" s="75">
        <v>0</v>
      </c>
      <c r="V3311" s="75">
        <v>0</v>
      </c>
      <c r="W3311" s="78">
        <v>0</v>
      </c>
    </row>
    <row r="3312" spans="1:23" s="75" customFormat="1" hidden="1" x14ac:dyDescent="0.35">
      <c r="A3312" s="75">
        <v>3308</v>
      </c>
      <c r="B3312" s="75">
        <v>3309</v>
      </c>
      <c r="C3312">
        <v>146.00643959999999</v>
      </c>
      <c r="D3312">
        <v>-17.492333370000001</v>
      </c>
      <c r="F3312" s="75" t="str">
        <f>HYPERLINK("E:\Data From Lucan\2024\Johnstone\Frames_for_Analysis\3309_20240610_0005_L_0342.jpg","3309_20240610_0005_L_0342.jpg")</f>
        <v>3309_20240610_0005_L_0342.jpg</v>
      </c>
      <c r="G3312" s="75">
        <v>8</v>
      </c>
      <c r="I3312">
        <f t="shared" si="51"/>
        <v>0</v>
      </c>
      <c r="J3312" s="75">
        <v>0</v>
      </c>
      <c r="K3312" s="77"/>
      <c r="L3312" s="77"/>
      <c r="M3312" s="77"/>
      <c r="N3312" s="77"/>
      <c r="O3312" s="75">
        <v>1</v>
      </c>
      <c r="P3312" s="75">
        <v>0</v>
      </c>
      <c r="Q3312" s="75">
        <v>0</v>
      </c>
      <c r="R3312" s="75">
        <v>0</v>
      </c>
      <c r="S3312" s="75">
        <v>0</v>
      </c>
      <c r="T3312" s="75">
        <v>0</v>
      </c>
      <c r="U3312" s="75">
        <v>0</v>
      </c>
      <c r="V3312" s="75">
        <v>0</v>
      </c>
      <c r="W3312" s="78">
        <v>0</v>
      </c>
    </row>
    <row r="3313" spans="1:23" s="75" customFormat="1" hidden="1" x14ac:dyDescent="0.35">
      <c r="A3313" s="75">
        <v>3309</v>
      </c>
      <c r="B3313" s="75">
        <v>3310</v>
      </c>
      <c r="C3313">
        <v>146.00648889999999</v>
      </c>
      <c r="D3313">
        <v>-17.49241378</v>
      </c>
      <c r="F3313" s="75" t="str">
        <f>HYPERLINK("E:\Data From Lucan\2024\Johnstone\Frames_for_Analysis\3310_20240610_0005_L_0345.jpg","3310_20240610_0005_L_0345.jpg")</f>
        <v>3310_20240610_0005_L_0345.jpg</v>
      </c>
      <c r="G3313" s="75">
        <v>8</v>
      </c>
      <c r="I3313">
        <f t="shared" si="51"/>
        <v>0</v>
      </c>
      <c r="J3313" s="75">
        <v>0</v>
      </c>
      <c r="K3313" s="77"/>
      <c r="L3313" s="77"/>
      <c r="M3313" s="77"/>
      <c r="N3313" s="77"/>
      <c r="O3313" s="75">
        <v>1</v>
      </c>
      <c r="P3313" s="75">
        <v>0</v>
      </c>
      <c r="Q3313" s="75">
        <v>0</v>
      </c>
      <c r="R3313" s="75">
        <v>0</v>
      </c>
      <c r="S3313" s="75">
        <v>0</v>
      </c>
      <c r="T3313" s="75">
        <v>0</v>
      </c>
      <c r="U3313" s="75">
        <v>0</v>
      </c>
      <c r="V3313" s="75">
        <v>0</v>
      </c>
      <c r="W3313" s="78">
        <v>0</v>
      </c>
    </row>
    <row r="3314" spans="1:23" s="75" customFormat="1" hidden="1" x14ac:dyDescent="0.35">
      <c r="A3314" s="75">
        <v>3310</v>
      </c>
      <c r="B3314" s="75">
        <v>3311</v>
      </c>
      <c r="C3314">
        <v>146.00653819999999</v>
      </c>
      <c r="D3314">
        <v>-17.492494189999999</v>
      </c>
      <c r="F3314" s="75" t="str">
        <f>HYPERLINK("E:\Data From Lucan\2024\Johnstone\Frames_for_Analysis\3311_20240610_0005_L_0348.jpg","3311_20240610_0005_L_0348.jpg")</f>
        <v>3311_20240610_0005_L_0348.jpg</v>
      </c>
      <c r="G3314" s="75">
        <v>8</v>
      </c>
      <c r="I3314">
        <f t="shared" si="51"/>
        <v>0</v>
      </c>
      <c r="J3314" s="75">
        <v>0</v>
      </c>
      <c r="K3314" s="77"/>
      <c r="L3314" s="77"/>
      <c r="M3314" s="77"/>
      <c r="N3314" s="77"/>
      <c r="O3314" s="75">
        <v>1</v>
      </c>
      <c r="P3314" s="75">
        <v>0</v>
      </c>
      <c r="Q3314" s="75">
        <v>0</v>
      </c>
      <c r="R3314" s="75">
        <v>0</v>
      </c>
      <c r="S3314" s="75">
        <v>0</v>
      </c>
      <c r="T3314" s="75">
        <v>0</v>
      </c>
      <c r="U3314" s="75">
        <v>0</v>
      </c>
      <c r="V3314" s="75">
        <v>0</v>
      </c>
      <c r="W3314" s="78">
        <v>0</v>
      </c>
    </row>
    <row r="3315" spans="1:23" s="75" customFormat="1" hidden="1" x14ac:dyDescent="0.35">
      <c r="A3315" s="75">
        <v>3311</v>
      </c>
      <c r="B3315" s="75">
        <v>3312</v>
      </c>
      <c r="C3315">
        <v>146.0065874</v>
      </c>
      <c r="D3315">
        <v>-17.492574609999998</v>
      </c>
      <c r="F3315" s="75" t="str">
        <f>HYPERLINK("E:\Data From Lucan\2024\Johnstone\Frames_for_Analysis\3312_20240610_0005_L_0351.jpg","3312_20240610_0005_L_0351.jpg")</f>
        <v>3312_20240610_0005_L_0351.jpg</v>
      </c>
      <c r="G3315" s="75">
        <v>8</v>
      </c>
      <c r="I3315">
        <f t="shared" si="51"/>
        <v>0</v>
      </c>
      <c r="J3315" s="75">
        <v>0</v>
      </c>
      <c r="K3315" s="77"/>
      <c r="L3315" s="77"/>
      <c r="M3315" s="77"/>
      <c r="N3315" s="77"/>
      <c r="O3315" s="75">
        <v>1</v>
      </c>
      <c r="P3315" s="75">
        <v>0</v>
      </c>
      <c r="Q3315" s="75">
        <v>0</v>
      </c>
      <c r="R3315" s="75">
        <v>0</v>
      </c>
      <c r="S3315" s="75">
        <v>0</v>
      </c>
      <c r="T3315" s="75">
        <v>0</v>
      </c>
      <c r="U3315" s="75">
        <v>0</v>
      </c>
      <c r="V3315" s="75">
        <v>0</v>
      </c>
      <c r="W3315" s="78">
        <v>0</v>
      </c>
    </row>
    <row r="3316" spans="1:23" s="75" customFormat="1" hidden="1" x14ac:dyDescent="0.35">
      <c r="A3316" s="75">
        <v>3312</v>
      </c>
      <c r="B3316" s="75">
        <v>3313</v>
      </c>
      <c r="C3316">
        <v>146.0066367</v>
      </c>
      <c r="D3316">
        <v>-17.492655020000001</v>
      </c>
      <c r="F3316" s="75" t="str">
        <f>HYPERLINK("E:\Data From Lucan\2024\Johnstone\Frames_for_Analysis\3313_20240610_0005_L_0354.jpg","3313_20240610_0005_L_0354.jpg")</f>
        <v>3313_20240610_0005_L_0354.jpg</v>
      </c>
      <c r="G3316" s="75">
        <v>8</v>
      </c>
      <c r="I3316">
        <f t="shared" si="51"/>
        <v>0</v>
      </c>
      <c r="J3316" s="75">
        <v>0</v>
      </c>
      <c r="K3316" s="77"/>
      <c r="L3316" s="77"/>
      <c r="M3316" s="77"/>
      <c r="N3316" s="77"/>
      <c r="O3316" s="75">
        <v>1</v>
      </c>
      <c r="P3316" s="75">
        <v>0</v>
      </c>
      <c r="Q3316" s="75">
        <v>0</v>
      </c>
      <c r="R3316" s="75">
        <v>0</v>
      </c>
      <c r="S3316" s="75">
        <v>0</v>
      </c>
      <c r="T3316" s="75">
        <v>0</v>
      </c>
      <c r="U3316" s="75">
        <v>0</v>
      </c>
      <c r="V3316" s="75">
        <v>0</v>
      </c>
      <c r="W3316" s="78">
        <v>0</v>
      </c>
    </row>
    <row r="3317" spans="1:23" s="75" customFormat="1" hidden="1" x14ac:dyDescent="0.35">
      <c r="A3317" s="75">
        <v>3313</v>
      </c>
      <c r="B3317" s="75">
        <v>3314</v>
      </c>
      <c r="C3317">
        <v>146.00669210000001</v>
      </c>
      <c r="D3317">
        <v>-17.492731089999999</v>
      </c>
      <c r="F3317" s="75" t="str">
        <f>HYPERLINK("E:\Data From Lucan\2024\Johnstone\Frames_for_Analysis\3314_20240610_0005_L_0358.jpg","3314_20240610_0005_L_0358.jpg")</f>
        <v>3314_20240610_0005_L_0358.jpg</v>
      </c>
      <c r="G3317" s="75">
        <v>8</v>
      </c>
      <c r="I3317">
        <f t="shared" si="51"/>
        <v>0</v>
      </c>
      <c r="J3317" s="75">
        <v>0</v>
      </c>
      <c r="K3317" s="77"/>
      <c r="L3317" s="77"/>
      <c r="M3317" s="77"/>
      <c r="N3317" s="77"/>
      <c r="O3317" s="75">
        <v>1</v>
      </c>
      <c r="P3317" s="75">
        <v>0</v>
      </c>
      <c r="Q3317" s="75">
        <v>0</v>
      </c>
      <c r="R3317" s="75">
        <v>0</v>
      </c>
      <c r="S3317" s="75">
        <v>0</v>
      </c>
      <c r="T3317" s="75">
        <v>0</v>
      </c>
      <c r="U3317" s="75">
        <v>0</v>
      </c>
      <c r="V3317" s="75">
        <v>0</v>
      </c>
      <c r="W3317" s="78">
        <v>0</v>
      </c>
    </row>
    <row r="3318" spans="1:23" s="75" customFormat="1" hidden="1" x14ac:dyDescent="0.35">
      <c r="A3318" s="75">
        <v>3314</v>
      </c>
      <c r="B3318" s="75">
        <v>3315</v>
      </c>
      <c r="C3318">
        <v>146.0067512</v>
      </c>
      <c r="D3318">
        <v>-17.492804629999998</v>
      </c>
      <c r="F3318" s="75" t="str">
        <f>HYPERLINK("E:\Data From Lucan\2024\Johnstone\Frames_for_Analysis\3315_20240610_0005_L_0361.jpg","3315_20240610_0005_L_0361.jpg")</f>
        <v>3315_20240610_0005_L_0361.jpg</v>
      </c>
      <c r="G3318" s="75">
        <v>8</v>
      </c>
      <c r="I3318">
        <f t="shared" si="51"/>
        <v>0</v>
      </c>
      <c r="J3318" s="75">
        <v>0</v>
      </c>
      <c r="K3318" s="77"/>
      <c r="L3318" s="77"/>
      <c r="M3318" s="77"/>
      <c r="N3318" s="77"/>
      <c r="O3318" s="75">
        <v>1</v>
      </c>
      <c r="P3318" s="75">
        <v>0</v>
      </c>
      <c r="Q3318" s="75">
        <v>0</v>
      </c>
      <c r="R3318" s="75">
        <v>0</v>
      </c>
      <c r="S3318" s="75">
        <v>0</v>
      </c>
      <c r="T3318" s="75">
        <v>0</v>
      </c>
      <c r="U3318" s="75">
        <v>0</v>
      </c>
      <c r="V3318" s="75">
        <v>0</v>
      </c>
      <c r="W3318" s="78">
        <v>0</v>
      </c>
    </row>
    <row r="3319" spans="1:23" s="75" customFormat="1" hidden="1" x14ac:dyDescent="0.35">
      <c r="A3319" s="75">
        <v>3315</v>
      </c>
      <c r="B3319" s="75">
        <v>3316</v>
      </c>
      <c r="C3319">
        <v>146.00681019999999</v>
      </c>
      <c r="D3319">
        <v>-17.492878180000002</v>
      </c>
      <c r="F3319" s="75" t="str">
        <f>HYPERLINK("E:\Data From Lucan\2024\Johnstone\Frames_for_Analysis\3316_20240610_0005_L_0364.jpg","3316_20240610_0005_L_0364.jpg")</f>
        <v>3316_20240610_0005_L_0364.jpg</v>
      </c>
      <c r="G3319" s="75">
        <v>8</v>
      </c>
      <c r="I3319">
        <f t="shared" si="51"/>
        <v>0</v>
      </c>
      <c r="J3319" s="75">
        <v>0</v>
      </c>
      <c r="K3319" s="77"/>
      <c r="L3319" s="77"/>
      <c r="M3319" s="77"/>
      <c r="N3319" s="77"/>
      <c r="O3319" s="75">
        <v>1</v>
      </c>
      <c r="P3319" s="75">
        <v>0</v>
      </c>
      <c r="Q3319" s="75">
        <v>0</v>
      </c>
      <c r="R3319" s="75">
        <v>0</v>
      </c>
      <c r="S3319" s="75">
        <v>0</v>
      </c>
      <c r="T3319" s="75">
        <v>0</v>
      </c>
      <c r="U3319" s="75">
        <v>0</v>
      </c>
      <c r="V3319" s="75">
        <v>0</v>
      </c>
      <c r="W3319" s="78">
        <v>0</v>
      </c>
    </row>
    <row r="3320" spans="1:23" s="75" customFormat="1" hidden="1" x14ac:dyDescent="0.35">
      <c r="A3320" s="75">
        <v>3316</v>
      </c>
      <c r="B3320" s="75">
        <v>3317</v>
      </c>
      <c r="C3320">
        <v>146.00686920000001</v>
      </c>
      <c r="D3320">
        <v>-17.492951720000001</v>
      </c>
      <c r="F3320" s="75" t="str">
        <f>HYPERLINK("E:\Data From Lucan\2024\Johnstone\Frames_for_Analysis\3317_20240610_0005_L_0367.jpg","3317_20240610_0005_L_0367.jpg")</f>
        <v>3317_20240610_0005_L_0367.jpg</v>
      </c>
      <c r="G3320" s="75">
        <v>8</v>
      </c>
      <c r="I3320">
        <f t="shared" si="51"/>
        <v>0</v>
      </c>
      <c r="J3320" s="75">
        <v>0</v>
      </c>
      <c r="K3320" s="77"/>
      <c r="L3320" s="77"/>
      <c r="M3320" s="77"/>
      <c r="N3320" s="77"/>
      <c r="O3320" s="75">
        <v>1</v>
      </c>
      <c r="P3320" s="75">
        <v>0</v>
      </c>
      <c r="Q3320" s="75">
        <v>0</v>
      </c>
      <c r="R3320" s="75">
        <v>0</v>
      </c>
      <c r="S3320" s="75">
        <v>0</v>
      </c>
      <c r="T3320" s="75">
        <v>0</v>
      </c>
      <c r="U3320" s="75">
        <v>0</v>
      </c>
      <c r="V3320" s="75">
        <v>0</v>
      </c>
      <c r="W3320" s="78">
        <v>0</v>
      </c>
    </row>
    <row r="3321" spans="1:23" s="75" customFormat="1" hidden="1" x14ac:dyDescent="0.35">
      <c r="A3321" s="75">
        <v>3317</v>
      </c>
      <c r="B3321" s="75">
        <v>3318</v>
      </c>
      <c r="C3321">
        <v>146.0069282</v>
      </c>
      <c r="D3321">
        <v>-17.49302526</v>
      </c>
      <c r="F3321" s="75" t="str">
        <f>HYPERLINK("E:\Data From Lucan\2024\Johnstone\Frames_for_Analysis\3318_20240610_0005_L_0369.jpg","3318_20240610_0005_L_0369.jpg")</f>
        <v>3318_20240610_0005_L_0369.jpg</v>
      </c>
      <c r="G3321" s="75">
        <v>8</v>
      </c>
      <c r="I3321">
        <f t="shared" si="51"/>
        <v>0</v>
      </c>
      <c r="J3321" s="75">
        <v>0</v>
      </c>
      <c r="K3321" s="77"/>
      <c r="L3321" s="77"/>
      <c r="M3321" s="77"/>
      <c r="N3321" s="77"/>
      <c r="O3321" s="75">
        <v>1</v>
      </c>
      <c r="P3321" s="75">
        <v>0</v>
      </c>
      <c r="Q3321" s="75">
        <v>0</v>
      </c>
      <c r="R3321" s="75">
        <v>0</v>
      </c>
      <c r="S3321" s="75">
        <v>0</v>
      </c>
      <c r="T3321" s="75">
        <v>0</v>
      </c>
      <c r="U3321" s="75">
        <v>0</v>
      </c>
      <c r="V3321" s="75">
        <v>0</v>
      </c>
      <c r="W3321" s="78">
        <v>0</v>
      </c>
    </row>
    <row r="3322" spans="1:23" s="75" customFormat="1" hidden="1" x14ac:dyDescent="0.35">
      <c r="A3322" s="75">
        <v>3318</v>
      </c>
      <c r="B3322" s="75">
        <v>3319</v>
      </c>
      <c r="C3322">
        <v>146.00698729999999</v>
      </c>
      <c r="D3322">
        <v>-17.493098809999999</v>
      </c>
      <c r="F3322" s="75" t="str">
        <f>HYPERLINK("E:\Data From Lucan\2024\Johnstone\Frames_for_Analysis\3319_20240610_0005_L_0372.jpg","3319_20240610_0005_L_0372.jpg")</f>
        <v>3319_20240610_0005_L_0372.jpg</v>
      </c>
      <c r="G3322" s="75">
        <v>8</v>
      </c>
      <c r="I3322">
        <f t="shared" si="51"/>
        <v>0</v>
      </c>
      <c r="J3322" s="75">
        <v>0</v>
      </c>
      <c r="K3322" s="77"/>
      <c r="L3322" s="77"/>
      <c r="M3322" s="77"/>
      <c r="N3322" s="77"/>
      <c r="O3322" s="75">
        <v>1</v>
      </c>
      <c r="P3322" s="75">
        <v>0</v>
      </c>
      <c r="Q3322" s="75">
        <v>0</v>
      </c>
      <c r="R3322" s="75">
        <v>0</v>
      </c>
      <c r="S3322" s="75">
        <v>0</v>
      </c>
      <c r="T3322" s="75">
        <v>0</v>
      </c>
      <c r="U3322" s="75">
        <v>0</v>
      </c>
      <c r="V3322" s="75">
        <v>0</v>
      </c>
      <c r="W3322" s="78">
        <v>0</v>
      </c>
    </row>
    <row r="3323" spans="1:23" s="75" customFormat="1" hidden="1" x14ac:dyDescent="0.35">
      <c r="A3323" s="75">
        <v>3319</v>
      </c>
      <c r="B3323" s="75">
        <v>3320</v>
      </c>
      <c r="C3323">
        <v>146.00704630000001</v>
      </c>
      <c r="D3323">
        <v>-17.493172349999998</v>
      </c>
      <c r="F3323" s="75" t="str">
        <f>HYPERLINK("E:\Data From Lucan\2024\Johnstone\Frames_for_Analysis\3320_20240610_0005_L_0375.jpg","3320_20240610_0005_L_0375.jpg")</f>
        <v>3320_20240610_0005_L_0375.jpg</v>
      </c>
      <c r="G3323" s="75">
        <v>8</v>
      </c>
      <c r="I3323">
        <f t="shared" si="51"/>
        <v>0</v>
      </c>
      <c r="J3323" s="75">
        <v>0</v>
      </c>
      <c r="K3323" s="77"/>
      <c r="L3323" s="77"/>
      <c r="M3323" s="77"/>
      <c r="N3323" s="77"/>
      <c r="O3323" s="75">
        <v>1</v>
      </c>
      <c r="P3323" s="75">
        <v>0</v>
      </c>
      <c r="Q3323" s="75">
        <v>0</v>
      </c>
      <c r="R3323" s="75">
        <v>0</v>
      </c>
      <c r="S3323" s="75">
        <v>0</v>
      </c>
      <c r="T3323" s="75">
        <v>0</v>
      </c>
      <c r="U3323" s="75">
        <v>0</v>
      </c>
      <c r="V3323" s="75">
        <v>0</v>
      </c>
      <c r="W3323" s="78">
        <v>0</v>
      </c>
    </row>
    <row r="3324" spans="1:23" s="75" customFormat="1" hidden="1" x14ac:dyDescent="0.35">
      <c r="A3324" s="75">
        <v>3320</v>
      </c>
      <c r="B3324" s="75">
        <v>3321</v>
      </c>
      <c r="C3324">
        <v>146.00710530000001</v>
      </c>
      <c r="D3324">
        <v>-17.493245900000002</v>
      </c>
      <c r="F3324" s="75" t="str">
        <f>HYPERLINK("E:\Data From Lucan\2024\Johnstone\Frames_for_Analysis\3321_20240610_0005_L_0378.jpg","3321_20240610_0005_L_0378.jpg")</f>
        <v>3321_20240610_0005_L_0378.jpg</v>
      </c>
      <c r="G3324" s="75">
        <v>8</v>
      </c>
      <c r="I3324">
        <f t="shared" si="51"/>
        <v>0</v>
      </c>
      <c r="J3324" s="75">
        <v>0</v>
      </c>
      <c r="K3324" s="77"/>
      <c r="L3324" s="77"/>
      <c r="M3324" s="77"/>
      <c r="N3324" s="77"/>
      <c r="O3324" s="75">
        <v>1</v>
      </c>
      <c r="P3324" s="75">
        <v>0</v>
      </c>
      <c r="Q3324" s="75">
        <v>0</v>
      </c>
      <c r="R3324" s="75">
        <v>0</v>
      </c>
      <c r="S3324" s="75">
        <v>0</v>
      </c>
      <c r="T3324" s="75">
        <v>0</v>
      </c>
      <c r="U3324" s="75">
        <v>0</v>
      </c>
      <c r="V3324" s="75">
        <v>0</v>
      </c>
      <c r="W3324" s="78">
        <v>0</v>
      </c>
    </row>
    <row r="3325" spans="1:23" s="75" customFormat="1" hidden="1" x14ac:dyDescent="0.35">
      <c r="A3325" s="75">
        <v>3321</v>
      </c>
      <c r="B3325" s="75">
        <v>3322</v>
      </c>
      <c r="C3325">
        <v>146.00716439999999</v>
      </c>
      <c r="D3325">
        <v>-17.49331944</v>
      </c>
      <c r="F3325" s="75" t="str">
        <f>HYPERLINK("E:\Data From Lucan\2024\Johnstone\Frames_for_Analysis\3322_20240610_0005_L_0380.jpg","3322_20240610_0005_L_0380.jpg")</f>
        <v>3322_20240610_0005_L_0380.jpg</v>
      </c>
      <c r="G3325" s="75">
        <v>8</v>
      </c>
      <c r="I3325">
        <f t="shared" si="51"/>
        <v>0</v>
      </c>
      <c r="J3325" s="75">
        <v>0</v>
      </c>
      <c r="K3325" s="77"/>
      <c r="L3325" s="77"/>
      <c r="M3325" s="77"/>
      <c r="N3325" s="77"/>
      <c r="O3325" s="75">
        <v>1</v>
      </c>
      <c r="P3325" s="75">
        <v>0</v>
      </c>
      <c r="Q3325" s="75">
        <v>0</v>
      </c>
      <c r="R3325" s="75">
        <v>0</v>
      </c>
      <c r="S3325" s="75">
        <v>0</v>
      </c>
      <c r="T3325" s="75">
        <v>0</v>
      </c>
      <c r="U3325" s="75">
        <v>0</v>
      </c>
      <c r="V3325" s="75">
        <v>0</v>
      </c>
      <c r="W3325" s="78">
        <v>0</v>
      </c>
    </row>
    <row r="3326" spans="1:23" s="75" customFormat="1" hidden="1" x14ac:dyDescent="0.35">
      <c r="A3326" s="75">
        <v>3322</v>
      </c>
      <c r="B3326" s="75">
        <v>3323</v>
      </c>
      <c r="C3326">
        <v>146.00722339999999</v>
      </c>
      <c r="D3326">
        <v>-17.49339299</v>
      </c>
      <c r="F3326" s="75" t="str">
        <f>HYPERLINK("E:\Data From Lucan\2024\Johnstone\Frames_for_Analysis\3323_20240610_0005_L_0383.jpg","3323_20240610_0005_L_0383.jpg")</f>
        <v>3323_20240610_0005_L_0383.jpg</v>
      </c>
      <c r="G3326" s="75">
        <v>8</v>
      </c>
      <c r="I3326">
        <f t="shared" si="51"/>
        <v>0</v>
      </c>
      <c r="J3326" s="75">
        <v>0</v>
      </c>
      <c r="K3326" s="77"/>
      <c r="L3326" s="77"/>
      <c r="M3326" s="77"/>
      <c r="N3326" s="77"/>
      <c r="O3326" s="75">
        <v>1</v>
      </c>
      <c r="P3326" s="75">
        <v>0</v>
      </c>
      <c r="Q3326" s="75">
        <v>0</v>
      </c>
      <c r="R3326" s="75">
        <v>0</v>
      </c>
      <c r="S3326" s="75">
        <v>0</v>
      </c>
      <c r="T3326" s="75">
        <v>0</v>
      </c>
      <c r="U3326" s="75">
        <v>0</v>
      </c>
      <c r="V3326" s="75">
        <v>0</v>
      </c>
      <c r="W3326" s="78">
        <v>0</v>
      </c>
    </row>
    <row r="3327" spans="1:23" s="75" customFormat="1" hidden="1" x14ac:dyDescent="0.35">
      <c r="A3327" s="75">
        <v>3323</v>
      </c>
      <c r="B3327" s="75">
        <v>3324</v>
      </c>
      <c r="C3327">
        <v>146.00729089999999</v>
      </c>
      <c r="D3327">
        <v>-17.493457370000002</v>
      </c>
      <c r="F3327" s="75" t="str">
        <f>HYPERLINK("E:\Data From Lucan\2024\Johnstone\Frames_for_Analysis\3324_20240610_0005_L_0386.jpg","3324_20240610_0005_L_0386.jpg")</f>
        <v>3324_20240610_0005_L_0386.jpg</v>
      </c>
      <c r="G3327" s="75">
        <v>8</v>
      </c>
      <c r="I3327">
        <f t="shared" si="51"/>
        <v>0</v>
      </c>
      <c r="J3327" s="75">
        <v>0</v>
      </c>
      <c r="K3327" s="77"/>
      <c r="L3327" s="77"/>
      <c r="M3327" s="77"/>
      <c r="N3327" s="77"/>
      <c r="O3327" s="75">
        <v>1</v>
      </c>
      <c r="P3327" s="75">
        <v>0</v>
      </c>
      <c r="Q3327" s="75">
        <v>0</v>
      </c>
      <c r="R3327" s="75">
        <v>0</v>
      </c>
      <c r="S3327" s="75">
        <v>0</v>
      </c>
      <c r="T3327" s="75">
        <v>0</v>
      </c>
      <c r="U3327" s="75">
        <v>0</v>
      </c>
      <c r="V3327" s="75">
        <v>0</v>
      </c>
      <c r="W3327" s="78">
        <v>0</v>
      </c>
    </row>
    <row r="3328" spans="1:23" s="75" customFormat="1" hidden="1" x14ac:dyDescent="0.35">
      <c r="A3328" s="75">
        <v>3324</v>
      </c>
      <c r="B3328" s="75">
        <v>3325</v>
      </c>
      <c r="C3328">
        <v>146.00736879999999</v>
      </c>
      <c r="D3328">
        <v>-17.493510560000001</v>
      </c>
      <c r="F3328" s="75" t="str">
        <f>HYPERLINK("E:\Data From Lucan\2024\Johnstone\Frames_for_Analysis\3325_20240610_0005_L_0388.jpg","3325_20240610_0005_L_0388.jpg")</f>
        <v>3325_20240610_0005_L_0388.jpg</v>
      </c>
      <c r="G3328" s="75">
        <v>8</v>
      </c>
      <c r="I3328">
        <f t="shared" si="51"/>
        <v>0</v>
      </c>
      <c r="J3328" s="75">
        <v>0</v>
      </c>
      <c r="K3328" s="77"/>
      <c r="L3328" s="77"/>
      <c r="M3328" s="77"/>
      <c r="N3328" s="77"/>
      <c r="O3328" s="75">
        <v>1</v>
      </c>
      <c r="P3328" s="75">
        <v>0</v>
      </c>
      <c r="Q3328" s="75">
        <v>0</v>
      </c>
      <c r="R3328" s="75">
        <v>0</v>
      </c>
      <c r="S3328" s="75">
        <v>0</v>
      </c>
      <c r="T3328" s="75">
        <v>0</v>
      </c>
      <c r="U3328" s="75">
        <v>0</v>
      </c>
      <c r="V3328" s="75">
        <v>0</v>
      </c>
      <c r="W3328" s="78">
        <v>0</v>
      </c>
    </row>
    <row r="3329" spans="1:23" s="75" customFormat="1" hidden="1" x14ac:dyDescent="0.35">
      <c r="A3329" s="75">
        <v>3325</v>
      </c>
      <c r="B3329" s="75">
        <v>3326</v>
      </c>
      <c r="C3329">
        <v>146.00744660000001</v>
      </c>
      <c r="D3329">
        <v>-17.493563739999999</v>
      </c>
      <c r="F3329" s="75" t="str">
        <f>HYPERLINK("E:\Data From Lucan\2024\Johnstone\Frames_for_Analysis\3326_20240610_0005_L_0390.jpg","3326_20240610_0005_L_0390.jpg")</f>
        <v>3326_20240610_0005_L_0390.jpg</v>
      </c>
      <c r="G3329" s="75">
        <v>8</v>
      </c>
      <c r="I3329">
        <f t="shared" si="51"/>
        <v>0</v>
      </c>
      <c r="J3329" s="75">
        <v>0</v>
      </c>
      <c r="K3329" s="77"/>
      <c r="L3329" s="77"/>
      <c r="M3329" s="77"/>
      <c r="N3329" s="77"/>
      <c r="O3329" s="75">
        <v>1</v>
      </c>
      <c r="P3329" s="75">
        <v>0</v>
      </c>
      <c r="Q3329" s="75">
        <v>0</v>
      </c>
      <c r="R3329" s="75">
        <v>0</v>
      </c>
      <c r="S3329" s="75">
        <v>0</v>
      </c>
      <c r="T3329" s="75">
        <v>0</v>
      </c>
      <c r="U3329" s="75">
        <v>0</v>
      </c>
      <c r="V3329" s="75">
        <v>0</v>
      </c>
      <c r="W3329" s="78">
        <v>0</v>
      </c>
    </row>
    <row r="3330" spans="1:23" s="75" customFormat="1" hidden="1" x14ac:dyDescent="0.35">
      <c r="A3330" s="75">
        <v>3326</v>
      </c>
      <c r="B3330" s="75">
        <v>3327</v>
      </c>
      <c r="C3330">
        <v>146.00752449999999</v>
      </c>
      <c r="D3330">
        <v>-17.493616920000001</v>
      </c>
      <c r="F3330" s="75" t="str">
        <f>HYPERLINK("E:\Data From Lucan\2024\Johnstone\Frames_for_Analysis\3327_20240610_0005_L_0392.jpg","3327_20240610_0005_L_0392.jpg")</f>
        <v>3327_20240610_0005_L_0392.jpg</v>
      </c>
      <c r="G3330" s="75">
        <v>8</v>
      </c>
      <c r="I3330">
        <f t="shared" si="51"/>
        <v>0</v>
      </c>
      <c r="J3330" s="75">
        <v>0</v>
      </c>
      <c r="K3330" s="77"/>
      <c r="L3330" s="77"/>
      <c r="M3330" s="77"/>
      <c r="N3330" s="77"/>
      <c r="O3330" s="75">
        <v>1</v>
      </c>
      <c r="P3330" s="75">
        <v>0</v>
      </c>
      <c r="Q3330" s="75">
        <v>0</v>
      </c>
      <c r="R3330" s="75">
        <v>0</v>
      </c>
      <c r="S3330" s="75">
        <v>0</v>
      </c>
      <c r="T3330" s="75">
        <v>0</v>
      </c>
      <c r="U3330" s="75">
        <v>0</v>
      </c>
      <c r="V3330" s="75">
        <v>0</v>
      </c>
      <c r="W3330" s="78">
        <v>0</v>
      </c>
    </row>
    <row r="3331" spans="1:23" s="75" customFormat="1" hidden="1" x14ac:dyDescent="0.35">
      <c r="A3331" s="75">
        <v>3327</v>
      </c>
      <c r="B3331" s="75">
        <v>3328</v>
      </c>
      <c r="C3331">
        <v>146.0076024</v>
      </c>
      <c r="D3331">
        <v>-17.49367011</v>
      </c>
      <c r="F3331" s="75" t="str">
        <f>HYPERLINK("E:\Data From Lucan\2024\Johnstone\Frames_for_Analysis\3328_20240610_0005_L_0396.jpg","3328_20240610_0005_L_0396.jpg")</f>
        <v>3328_20240610_0005_L_0396.jpg</v>
      </c>
      <c r="G3331" s="75">
        <v>8</v>
      </c>
      <c r="I3331">
        <f t="shared" si="51"/>
        <v>0</v>
      </c>
      <c r="J3331" s="75">
        <v>0</v>
      </c>
      <c r="K3331" s="77"/>
      <c r="L3331" s="77"/>
      <c r="M3331" s="77"/>
      <c r="N3331" s="77"/>
      <c r="O3331" s="75">
        <v>1</v>
      </c>
      <c r="P3331" s="75">
        <v>0</v>
      </c>
      <c r="Q3331" s="75">
        <v>0</v>
      </c>
      <c r="R3331" s="75">
        <v>0</v>
      </c>
      <c r="S3331" s="75">
        <v>0</v>
      </c>
      <c r="T3331" s="75">
        <v>0</v>
      </c>
      <c r="U3331" s="75">
        <v>0</v>
      </c>
      <c r="V3331" s="75">
        <v>0</v>
      </c>
      <c r="W3331" s="78">
        <v>0</v>
      </c>
    </row>
    <row r="3332" spans="1:23" s="75" customFormat="1" hidden="1" x14ac:dyDescent="0.35">
      <c r="A3332" s="75">
        <v>3328</v>
      </c>
      <c r="B3332" s="75">
        <v>3329</v>
      </c>
      <c r="C3332">
        <v>146.0076803</v>
      </c>
      <c r="D3332">
        <v>-17.493723289999998</v>
      </c>
      <c r="F3332" s="75" t="str">
        <f>HYPERLINK("E:\Data From Lucan\2024\Johnstone\Frames_for_Analysis\3329_20240610_0005_L_0399.jpg","3329_20240610_0005_L_0399.jpg")</f>
        <v>3329_20240610_0005_L_0399.jpg</v>
      </c>
      <c r="G3332" s="75">
        <v>8</v>
      </c>
      <c r="I3332">
        <f t="shared" si="51"/>
        <v>0</v>
      </c>
      <c r="J3332" s="75">
        <v>0</v>
      </c>
      <c r="K3332" s="77"/>
      <c r="L3332" s="77"/>
      <c r="M3332" s="77"/>
      <c r="N3332" s="77"/>
      <c r="O3332" s="75">
        <v>1</v>
      </c>
      <c r="P3332" s="75">
        <v>0</v>
      </c>
      <c r="Q3332" s="75">
        <v>0</v>
      </c>
      <c r="R3332" s="75">
        <v>0</v>
      </c>
      <c r="S3332" s="75">
        <v>0</v>
      </c>
      <c r="T3332" s="75">
        <v>0</v>
      </c>
      <c r="U3332" s="75">
        <v>0</v>
      </c>
      <c r="V3332" s="75">
        <v>0</v>
      </c>
      <c r="W3332" s="78">
        <v>0</v>
      </c>
    </row>
    <row r="3333" spans="1:23" s="75" customFormat="1" hidden="1" x14ac:dyDescent="0.35">
      <c r="A3333" s="75">
        <v>3329</v>
      </c>
      <c r="B3333" s="75">
        <v>3330</v>
      </c>
      <c r="C3333">
        <v>146.00775809999999</v>
      </c>
      <c r="D3333">
        <v>-17.49377647</v>
      </c>
      <c r="F3333" s="75" t="str">
        <f>HYPERLINK("E:\Data From Lucan\2024\Johnstone\Frames_for_Analysis\3330_20240610_0005_L_0405.jpg","3330_20240610_0005_L_0405.jpg")</f>
        <v>3330_20240610_0005_L_0405.jpg</v>
      </c>
      <c r="G3333" s="75">
        <v>8</v>
      </c>
      <c r="I3333">
        <f t="shared" ref="I3333:I3396" si="52">IF(H3333="X","X",IF(J3333="NA","X",IF(J3333="","X",J3333)))</f>
        <v>0</v>
      </c>
      <c r="J3333" s="75">
        <v>0</v>
      </c>
      <c r="K3333" s="77"/>
      <c r="L3333" s="77"/>
      <c r="M3333" s="77"/>
      <c r="N3333" s="77"/>
      <c r="O3333" s="75">
        <v>1</v>
      </c>
      <c r="P3333" s="75">
        <v>0</v>
      </c>
      <c r="Q3333" s="75">
        <v>0</v>
      </c>
      <c r="R3333" s="75">
        <v>0</v>
      </c>
      <c r="S3333" s="75">
        <v>0</v>
      </c>
      <c r="T3333" s="75">
        <v>0</v>
      </c>
      <c r="U3333" s="75">
        <v>0</v>
      </c>
      <c r="V3333" s="75">
        <v>0</v>
      </c>
      <c r="W3333" s="78">
        <v>0</v>
      </c>
    </row>
    <row r="3334" spans="1:23" s="75" customFormat="1" hidden="1" x14ac:dyDescent="0.35">
      <c r="A3334" s="75">
        <v>3330</v>
      </c>
      <c r="B3334" s="75">
        <v>3331</v>
      </c>
      <c r="C3334">
        <v>146.007836</v>
      </c>
      <c r="D3334">
        <v>-17.493829659999999</v>
      </c>
      <c r="F3334" s="75" t="str">
        <f>HYPERLINK("E:\Data From Lucan\2024\Johnstone\Frames_for_Analysis\3331_20240610_0005_L_0408.jpg","3331_20240610_0005_L_0408.jpg")</f>
        <v>3331_20240610_0005_L_0408.jpg</v>
      </c>
      <c r="G3334" s="75">
        <v>8</v>
      </c>
      <c r="I3334">
        <f t="shared" si="52"/>
        <v>0</v>
      </c>
      <c r="J3334" s="75">
        <v>0</v>
      </c>
      <c r="K3334" s="77"/>
      <c r="L3334" s="77"/>
      <c r="M3334" s="77"/>
      <c r="N3334" s="77"/>
      <c r="O3334" s="75">
        <v>1</v>
      </c>
      <c r="P3334" s="75">
        <v>0</v>
      </c>
      <c r="Q3334" s="75">
        <v>0</v>
      </c>
      <c r="R3334" s="75">
        <v>0</v>
      </c>
      <c r="S3334" s="75">
        <v>0</v>
      </c>
      <c r="T3334" s="75">
        <v>0</v>
      </c>
      <c r="U3334" s="75">
        <v>0</v>
      </c>
      <c r="V3334" s="75">
        <v>0</v>
      </c>
      <c r="W3334" s="78">
        <v>0</v>
      </c>
    </row>
    <row r="3335" spans="1:23" s="75" customFormat="1" hidden="1" x14ac:dyDescent="0.35">
      <c r="A3335" s="75">
        <v>3331</v>
      </c>
      <c r="B3335" s="75">
        <v>3332</v>
      </c>
      <c r="C3335">
        <v>146.00791390000001</v>
      </c>
      <c r="D3335">
        <v>-17.493882840000001</v>
      </c>
      <c r="F3335" s="75" t="str">
        <f>HYPERLINK("E:\Data From Lucan\2024\Johnstone\Frames_for_Analysis\3332_20240610_0005_L_0412.jpg","3332_20240610_0005_L_0412.jpg")</f>
        <v>3332_20240610_0005_L_0412.jpg</v>
      </c>
      <c r="G3335" s="75">
        <v>8</v>
      </c>
      <c r="I3335">
        <f t="shared" si="52"/>
        <v>0</v>
      </c>
      <c r="J3335" s="75">
        <v>0</v>
      </c>
      <c r="K3335" s="77"/>
      <c r="L3335" s="77"/>
      <c r="M3335" s="77"/>
      <c r="N3335" s="77"/>
      <c r="O3335" s="75">
        <v>1</v>
      </c>
      <c r="P3335" s="75">
        <v>0</v>
      </c>
      <c r="Q3335" s="75">
        <v>0</v>
      </c>
      <c r="R3335" s="75">
        <v>0</v>
      </c>
      <c r="S3335" s="75">
        <v>0</v>
      </c>
      <c r="T3335" s="75">
        <v>0</v>
      </c>
      <c r="U3335" s="75">
        <v>0</v>
      </c>
      <c r="V3335" s="75">
        <v>0</v>
      </c>
      <c r="W3335" s="78">
        <v>0</v>
      </c>
    </row>
    <row r="3336" spans="1:23" s="75" customFormat="1" hidden="1" x14ac:dyDescent="0.35">
      <c r="A3336" s="75">
        <v>3332</v>
      </c>
      <c r="B3336" s="75">
        <v>3333</v>
      </c>
      <c r="C3336">
        <v>146.00799180000001</v>
      </c>
      <c r="D3336">
        <v>-17.49393603</v>
      </c>
      <c r="F3336" s="75" t="str">
        <f>HYPERLINK("E:\Data From Lucan\2024\Johnstone\Frames_for_Analysis\3333_20240610_0005_L_0416.jpg","3333_20240610_0005_L_0416.jpg")</f>
        <v>3333_20240610_0005_L_0416.jpg</v>
      </c>
      <c r="G3336" s="75">
        <v>8</v>
      </c>
      <c r="I3336">
        <f t="shared" si="52"/>
        <v>0</v>
      </c>
      <c r="J3336" s="75">
        <v>0</v>
      </c>
      <c r="K3336" s="77"/>
      <c r="L3336" s="77"/>
      <c r="M3336" s="77"/>
      <c r="N3336" s="77"/>
      <c r="O3336" s="75">
        <v>1</v>
      </c>
      <c r="P3336" s="75">
        <v>0</v>
      </c>
      <c r="Q3336" s="75">
        <v>0</v>
      </c>
      <c r="R3336" s="75">
        <v>0</v>
      </c>
      <c r="S3336" s="75">
        <v>0</v>
      </c>
      <c r="T3336" s="75">
        <v>0</v>
      </c>
      <c r="U3336" s="75">
        <v>0</v>
      </c>
      <c r="V3336" s="75">
        <v>0</v>
      </c>
      <c r="W3336" s="78">
        <v>0</v>
      </c>
    </row>
    <row r="3337" spans="1:23" s="75" customFormat="1" hidden="1" x14ac:dyDescent="0.35">
      <c r="A3337" s="75">
        <v>3333</v>
      </c>
      <c r="B3337" s="75">
        <v>3334</v>
      </c>
      <c r="C3337">
        <v>146.00807069999999</v>
      </c>
      <c r="D3337">
        <v>-17.493986580000001</v>
      </c>
      <c r="F3337" s="75" t="str">
        <f>HYPERLINK("E:\Data From Lucan\2024\Johnstone\Frames_for_Analysis\3334_20240610_0005_L_0419.jpg","3334_20240610_0005_L_0419.jpg")</f>
        <v>3334_20240610_0005_L_0419.jpg</v>
      </c>
      <c r="G3337" s="75">
        <v>8</v>
      </c>
      <c r="I3337">
        <f t="shared" si="52"/>
        <v>0</v>
      </c>
      <c r="J3337" s="75">
        <v>0</v>
      </c>
      <c r="K3337" s="77"/>
      <c r="L3337" s="77"/>
      <c r="M3337" s="77"/>
      <c r="N3337" s="77"/>
      <c r="O3337" s="75">
        <v>1</v>
      </c>
      <c r="P3337" s="75">
        <v>0</v>
      </c>
      <c r="Q3337" s="75">
        <v>0</v>
      </c>
      <c r="R3337" s="75">
        <v>0</v>
      </c>
      <c r="S3337" s="75">
        <v>0</v>
      </c>
      <c r="T3337" s="75">
        <v>0</v>
      </c>
      <c r="U3337" s="75">
        <v>0</v>
      </c>
      <c r="V3337" s="75">
        <v>0</v>
      </c>
      <c r="W3337" s="78">
        <v>0</v>
      </c>
    </row>
    <row r="3338" spans="1:23" s="75" customFormat="1" hidden="1" x14ac:dyDescent="0.35">
      <c r="A3338" s="75">
        <v>3334</v>
      </c>
      <c r="B3338" s="75">
        <v>3335</v>
      </c>
      <c r="C3338">
        <v>146.0081634</v>
      </c>
      <c r="D3338">
        <v>-17.494004390000001</v>
      </c>
      <c r="F3338" s="75" t="str">
        <f>HYPERLINK("E:\Data From Lucan\2024\Johnstone\Frames_for_Analysis\3335_20240610_0005_L_0423.jpg","3335_20240610_0005_L_0423.jpg")</f>
        <v>3335_20240610_0005_L_0423.jpg</v>
      </c>
      <c r="G3338" s="75">
        <v>8</v>
      </c>
      <c r="I3338">
        <f t="shared" si="52"/>
        <v>0</v>
      </c>
      <c r="J3338" s="75">
        <v>0</v>
      </c>
      <c r="K3338" s="77"/>
      <c r="L3338" s="77"/>
      <c r="M3338" s="77"/>
      <c r="N3338" s="77"/>
      <c r="O3338" s="75">
        <v>1</v>
      </c>
      <c r="P3338" s="75">
        <v>0</v>
      </c>
      <c r="Q3338" s="75">
        <v>0</v>
      </c>
      <c r="R3338" s="75">
        <v>0</v>
      </c>
      <c r="S3338" s="75">
        <v>0</v>
      </c>
      <c r="T3338" s="75">
        <v>0</v>
      </c>
      <c r="U3338" s="75">
        <v>0</v>
      </c>
      <c r="V3338" s="75">
        <v>0</v>
      </c>
      <c r="W3338" s="78">
        <v>0</v>
      </c>
    </row>
    <row r="3339" spans="1:23" s="75" customFormat="1" hidden="1" x14ac:dyDescent="0.35">
      <c r="A3339" s="75">
        <v>3335</v>
      </c>
      <c r="B3339" s="75">
        <v>3336</v>
      </c>
      <c r="C3339">
        <v>146.00825599999999</v>
      </c>
      <c r="D3339">
        <v>-17.4940222</v>
      </c>
      <c r="F3339" s="75" t="str">
        <f>HYPERLINK("E:\Data From Lucan\2024\Johnstone\Frames_for_Analysis\3336_20240610_0005_L_0426.jpg","3336_20240610_0005_L_0426.jpg")</f>
        <v>3336_20240610_0005_L_0426.jpg</v>
      </c>
      <c r="G3339" s="75">
        <v>8</v>
      </c>
      <c r="I3339">
        <f t="shared" si="52"/>
        <v>0</v>
      </c>
      <c r="J3339" s="75">
        <v>0</v>
      </c>
      <c r="K3339" s="77"/>
      <c r="L3339" s="77"/>
      <c r="M3339" s="77"/>
      <c r="N3339" s="77"/>
      <c r="O3339" s="75">
        <v>1</v>
      </c>
      <c r="P3339" s="75">
        <v>0</v>
      </c>
      <c r="Q3339" s="75">
        <v>0</v>
      </c>
      <c r="R3339" s="75">
        <v>0</v>
      </c>
      <c r="S3339" s="75">
        <v>0</v>
      </c>
      <c r="T3339" s="75">
        <v>0</v>
      </c>
      <c r="U3339" s="75">
        <v>0</v>
      </c>
      <c r="V3339" s="75">
        <v>0</v>
      </c>
      <c r="W3339" s="78">
        <v>0</v>
      </c>
    </row>
    <row r="3340" spans="1:23" s="75" customFormat="1" hidden="1" x14ac:dyDescent="0.35">
      <c r="A3340" s="75">
        <v>3336</v>
      </c>
      <c r="B3340" s="75">
        <v>3337</v>
      </c>
      <c r="C3340">
        <v>146.00834860000001</v>
      </c>
      <c r="D3340">
        <v>-17.494040009999999</v>
      </c>
      <c r="F3340" s="75" t="str">
        <f>HYPERLINK("E:\Data From Lucan\2024\Johnstone\Frames_for_Analysis\3337_20240610_0005_L_0429.jpg","3337_20240610_0005_L_0429.jpg")</f>
        <v>3337_20240610_0005_L_0429.jpg</v>
      </c>
      <c r="G3340" s="75">
        <v>8</v>
      </c>
      <c r="I3340">
        <f t="shared" si="52"/>
        <v>0</v>
      </c>
      <c r="J3340" s="75">
        <v>0</v>
      </c>
      <c r="O3340" s="75">
        <v>1</v>
      </c>
      <c r="P3340" s="75">
        <v>0</v>
      </c>
      <c r="Q3340" s="75">
        <v>0</v>
      </c>
      <c r="R3340" s="75">
        <v>0</v>
      </c>
      <c r="S3340" s="75">
        <v>0</v>
      </c>
      <c r="T3340" s="75">
        <v>0</v>
      </c>
      <c r="U3340" s="75">
        <v>0</v>
      </c>
      <c r="V3340" s="75">
        <v>0</v>
      </c>
      <c r="W3340" s="78">
        <v>0</v>
      </c>
    </row>
    <row r="3341" spans="1:23" s="75" customFormat="1" hidden="1" x14ac:dyDescent="0.35">
      <c r="A3341" s="75">
        <v>3337</v>
      </c>
      <c r="B3341" s="75">
        <v>3338</v>
      </c>
      <c r="C3341">
        <v>146.00844119999999</v>
      </c>
      <c r="D3341">
        <v>-17.494057819999998</v>
      </c>
      <c r="F3341" s="75" t="str">
        <f>HYPERLINK("E:\Data From Lucan\2024\Johnstone\Frames_for_Analysis\3338_20240610_0005_L_0433.jpg","3338_20240610_0005_L_0433.jpg")</f>
        <v>3338_20240610_0005_L_0433.jpg</v>
      </c>
      <c r="G3341" s="75">
        <v>8</v>
      </c>
      <c r="I3341">
        <f t="shared" si="52"/>
        <v>0</v>
      </c>
      <c r="J3341" s="75">
        <v>0</v>
      </c>
      <c r="O3341" s="75">
        <v>1</v>
      </c>
      <c r="P3341" s="75">
        <v>0</v>
      </c>
      <c r="Q3341" s="75">
        <v>0</v>
      </c>
      <c r="R3341" s="75">
        <v>0</v>
      </c>
      <c r="S3341" s="75">
        <v>0</v>
      </c>
      <c r="T3341" s="75">
        <v>0</v>
      </c>
      <c r="U3341" s="75">
        <v>0</v>
      </c>
      <c r="V3341" s="75">
        <v>0</v>
      </c>
      <c r="W3341" s="78">
        <v>0</v>
      </c>
    </row>
    <row r="3342" spans="1:23" s="75" customFormat="1" hidden="1" x14ac:dyDescent="0.35">
      <c r="A3342" s="75">
        <v>3338</v>
      </c>
      <c r="B3342" s="75">
        <v>3339</v>
      </c>
      <c r="C3342">
        <v>146.00853380000001</v>
      </c>
      <c r="D3342">
        <v>-17.494075630000001</v>
      </c>
      <c r="F3342" s="75" t="str">
        <f>HYPERLINK("E:\Data From Lucan\2024\Johnstone\Frames_for_Analysis\3339_20240610_0005_L_0436.jpg","3339_20240610_0005_L_0436.jpg")</f>
        <v>3339_20240610_0005_L_0436.jpg</v>
      </c>
      <c r="G3342" s="75">
        <v>8</v>
      </c>
      <c r="I3342">
        <f t="shared" si="52"/>
        <v>0</v>
      </c>
      <c r="J3342" s="75">
        <v>0</v>
      </c>
      <c r="O3342" s="75">
        <v>1</v>
      </c>
      <c r="P3342" s="75">
        <v>0</v>
      </c>
      <c r="Q3342" s="75">
        <v>0</v>
      </c>
      <c r="R3342" s="75">
        <v>0</v>
      </c>
      <c r="S3342" s="75">
        <v>0</v>
      </c>
      <c r="T3342" s="75">
        <v>0</v>
      </c>
      <c r="U3342" s="75">
        <v>0</v>
      </c>
      <c r="V3342" s="75">
        <v>0</v>
      </c>
      <c r="W3342" s="78">
        <v>0</v>
      </c>
    </row>
    <row r="3343" spans="1:23" s="75" customFormat="1" hidden="1" x14ac:dyDescent="0.35">
      <c r="A3343" s="75">
        <v>3339</v>
      </c>
      <c r="B3343" s="75">
        <v>3340</v>
      </c>
      <c r="C3343">
        <v>146.0086264</v>
      </c>
      <c r="D3343">
        <v>-17.49409344</v>
      </c>
      <c r="F3343" s="75" t="str">
        <f>HYPERLINK("E:\Data From Lucan\2024\Johnstone\Frames_for_Analysis\3340_20240610_0005_L_0440.jpg","3340_20240610_0005_L_0440.jpg")</f>
        <v>3340_20240610_0005_L_0440.jpg</v>
      </c>
      <c r="G3343" s="75">
        <v>8</v>
      </c>
      <c r="I3343">
        <f t="shared" si="52"/>
        <v>0</v>
      </c>
      <c r="J3343" s="75">
        <v>0</v>
      </c>
      <c r="O3343" s="75">
        <v>1</v>
      </c>
      <c r="P3343" s="75">
        <v>0</v>
      </c>
      <c r="Q3343" s="75">
        <v>0</v>
      </c>
      <c r="R3343" s="75">
        <v>0</v>
      </c>
      <c r="S3343" s="75">
        <v>0</v>
      </c>
      <c r="T3343" s="75">
        <v>0</v>
      </c>
      <c r="U3343" s="75">
        <v>0</v>
      </c>
      <c r="V3343" s="75">
        <v>0</v>
      </c>
      <c r="W3343" s="78">
        <v>0</v>
      </c>
    </row>
    <row r="3344" spans="1:23" s="75" customFormat="1" hidden="1" x14ac:dyDescent="0.35">
      <c r="A3344" s="75">
        <v>3340</v>
      </c>
      <c r="B3344" s="75">
        <v>3341</v>
      </c>
      <c r="C3344">
        <v>146.00871900000001</v>
      </c>
      <c r="D3344">
        <v>-17.494111239999999</v>
      </c>
      <c r="F3344" s="75" t="str">
        <f>HYPERLINK("E:\Data From Lucan\2024\Johnstone\Frames_for_Analysis\3341_20240610_0005_L_0446.jpg","3341_20240610_0005_L_0446.jpg")</f>
        <v>3341_20240610_0005_L_0446.jpg</v>
      </c>
      <c r="G3344" s="75">
        <v>8</v>
      </c>
      <c r="I3344">
        <f t="shared" si="52"/>
        <v>0</v>
      </c>
      <c r="J3344" s="75">
        <v>0</v>
      </c>
      <c r="O3344" s="75">
        <v>1</v>
      </c>
      <c r="P3344" s="75">
        <v>0</v>
      </c>
      <c r="Q3344" s="75">
        <v>0</v>
      </c>
      <c r="R3344" s="75">
        <v>0</v>
      </c>
      <c r="S3344" s="75">
        <v>0</v>
      </c>
      <c r="T3344" s="75">
        <v>0</v>
      </c>
      <c r="U3344" s="75">
        <v>0</v>
      </c>
      <c r="V3344" s="75">
        <v>0</v>
      </c>
      <c r="W3344" s="78">
        <v>0</v>
      </c>
    </row>
    <row r="3345" spans="1:23" s="75" customFormat="1" hidden="1" x14ac:dyDescent="0.35">
      <c r="A3345" s="75">
        <v>3341</v>
      </c>
      <c r="B3345" s="75">
        <v>3342</v>
      </c>
      <c r="C3345">
        <v>146.0088116</v>
      </c>
      <c r="D3345">
        <v>-17.494129050000002</v>
      </c>
      <c r="F3345" s="75" t="str">
        <f>HYPERLINK("E:\Data From Lucan\2024\Johnstone\Frames_for_Analysis\3342_20240610_0005_L_0451.jpg","3342_20240610_0005_L_0451.jpg")</f>
        <v>3342_20240610_0005_L_0451.jpg</v>
      </c>
      <c r="G3345" s="75">
        <v>8</v>
      </c>
      <c r="I3345">
        <f t="shared" si="52"/>
        <v>0</v>
      </c>
      <c r="J3345" s="75">
        <v>0</v>
      </c>
      <c r="O3345" s="75">
        <v>1</v>
      </c>
      <c r="P3345" s="75">
        <v>0</v>
      </c>
      <c r="Q3345" s="75">
        <v>0</v>
      </c>
      <c r="R3345" s="75">
        <v>0</v>
      </c>
      <c r="S3345" s="75">
        <v>0</v>
      </c>
      <c r="T3345" s="75">
        <v>0</v>
      </c>
      <c r="U3345" s="75">
        <v>0</v>
      </c>
      <c r="V3345" s="75">
        <v>0</v>
      </c>
      <c r="W3345" s="78">
        <v>0</v>
      </c>
    </row>
    <row r="3346" spans="1:23" s="75" customFormat="1" hidden="1" x14ac:dyDescent="0.35">
      <c r="A3346" s="75">
        <v>3342</v>
      </c>
      <c r="B3346" s="75">
        <v>3343</v>
      </c>
      <c r="C3346">
        <v>146.0088997</v>
      </c>
      <c r="D3346">
        <v>-17.494104409999998</v>
      </c>
      <c r="F3346" s="75" t="str">
        <f>HYPERLINK("E:\Data From Lucan\2024\Johnstone\Frames_for_Analysis\3343_20240610_0005_L_0454.jpg","3343_20240610_0005_L_0454.jpg")</f>
        <v>3343_20240610_0005_L_0454.jpg</v>
      </c>
      <c r="G3346" s="75">
        <v>8</v>
      </c>
      <c r="I3346">
        <f t="shared" si="52"/>
        <v>0</v>
      </c>
      <c r="J3346" s="75">
        <v>0</v>
      </c>
      <c r="O3346" s="75">
        <v>1</v>
      </c>
      <c r="P3346" s="75">
        <v>0</v>
      </c>
      <c r="Q3346" s="75">
        <v>0</v>
      </c>
      <c r="R3346" s="75">
        <v>0</v>
      </c>
      <c r="S3346" s="75">
        <v>0</v>
      </c>
      <c r="T3346" s="75">
        <v>0</v>
      </c>
      <c r="U3346" s="75">
        <v>0</v>
      </c>
      <c r="V3346" s="75">
        <v>0</v>
      </c>
      <c r="W3346" s="78">
        <v>0</v>
      </c>
    </row>
    <row r="3347" spans="1:23" s="75" customFormat="1" hidden="1" x14ac:dyDescent="0.35">
      <c r="A3347" s="75">
        <v>3343</v>
      </c>
      <c r="B3347" s="75">
        <v>3344</v>
      </c>
      <c r="C3347">
        <v>146.0089864</v>
      </c>
      <c r="D3347">
        <v>-17.494067439999998</v>
      </c>
      <c r="F3347" s="75" t="str">
        <f>HYPERLINK("E:\Data From Lucan\2024\Johnstone\Frames_for_Analysis\3344_20240610_0005_L_0457.jpg","3344_20240610_0005_L_0457.jpg")</f>
        <v>3344_20240610_0005_L_0457.jpg</v>
      </c>
      <c r="G3347" s="75">
        <v>8</v>
      </c>
      <c r="I3347">
        <f t="shared" si="52"/>
        <v>0</v>
      </c>
      <c r="J3347" s="75">
        <v>0</v>
      </c>
      <c r="O3347" s="75">
        <v>1</v>
      </c>
      <c r="P3347" s="75">
        <v>0</v>
      </c>
      <c r="Q3347" s="75">
        <v>0</v>
      </c>
      <c r="R3347" s="75">
        <v>0</v>
      </c>
      <c r="S3347" s="75">
        <v>0</v>
      </c>
      <c r="T3347" s="75">
        <v>0</v>
      </c>
      <c r="U3347" s="75">
        <v>0</v>
      </c>
      <c r="V3347" s="75">
        <v>0</v>
      </c>
      <c r="W3347" s="78">
        <v>0</v>
      </c>
    </row>
    <row r="3348" spans="1:23" s="75" customFormat="1" hidden="1" x14ac:dyDescent="0.35">
      <c r="A3348" s="75">
        <v>3344</v>
      </c>
      <c r="B3348" s="75">
        <v>3345</v>
      </c>
      <c r="C3348">
        <v>146.00907319999999</v>
      </c>
      <c r="D3348">
        <v>-17.494030460000001</v>
      </c>
      <c r="F3348" s="75" t="str">
        <f>HYPERLINK("E:\Data From Lucan\2024\Johnstone\Frames_for_Analysis\3345_20240610_0005_L_0460.jpg","3345_20240610_0005_L_0460.jpg")</f>
        <v>3345_20240610_0005_L_0460.jpg</v>
      </c>
      <c r="G3348" s="75">
        <v>8</v>
      </c>
      <c r="I3348">
        <f t="shared" si="52"/>
        <v>0</v>
      </c>
      <c r="J3348" s="75">
        <v>0</v>
      </c>
      <c r="O3348" s="75">
        <v>1</v>
      </c>
      <c r="P3348" s="75">
        <v>0</v>
      </c>
      <c r="Q3348" s="75">
        <v>0</v>
      </c>
      <c r="R3348" s="75">
        <v>0</v>
      </c>
      <c r="S3348" s="75">
        <v>0</v>
      </c>
      <c r="T3348" s="75">
        <v>0</v>
      </c>
      <c r="U3348" s="75">
        <v>0</v>
      </c>
      <c r="V3348" s="75">
        <v>0</v>
      </c>
      <c r="W3348" s="78">
        <v>0</v>
      </c>
    </row>
    <row r="3349" spans="1:23" s="75" customFormat="1" hidden="1" x14ac:dyDescent="0.35">
      <c r="A3349" s="75">
        <v>3345</v>
      </c>
      <c r="B3349" s="75">
        <v>3346</v>
      </c>
      <c r="C3349">
        <v>146.00915989999999</v>
      </c>
      <c r="D3349">
        <v>-17.493993490000001</v>
      </c>
      <c r="F3349" s="75" t="str">
        <f>HYPERLINK("E:\Data From Lucan\2024\Johnstone\Frames_for_Analysis\3346_20240610_0005_L_0463.jpg","3346_20240610_0005_L_0463.jpg")</f>
        <v>3346_20240610_0005_L_0463.jpg</v>
      </c>
      <c r="G3349" s="75">
        <v>8</v>
      </c>
      <c r="I3349">
        <f t="shared" si="52"/>
        <v>0</v>
      </c>
      <c r="J3349" s="75">
        <v>0</v>
      </c>
      <c r="O3349" s="75">
        <v>1</v>
      </c>
      <c r="P3349" s="75">
        <v>0</v>
      </c>
      <c r="Q3349" s="75">
        <v>0</v>
      </c>
      <c r="R3349" s="75">
        <v>0</v>
      </c>
      <c r="S3349" s="75">
        <v>0</v>
      </c>
      <c r="T3349" s="75">
        <v>0</v>
      </c>
      <c r="U3349" s="75">
        <v>0</v>
      </c>
      <c r="V3349" s="75">
        <v>0</v>
      </c>
      <c r="W3349" s="78">
        <v>0</v>
      </c>
    </row>
    <row r="3350" spans="1:23" s="75" customFormat="1" hidden="1" x14ac:dyDescent="0.35">
      <c r="A3350" s="75">
        <v>3346</v>
      </c>
      <c r="B3350" s="75">
        <v>3347</v>
      </c>
      <c r="C3350">
        <v>146.00924670000001</v>
      </c>
      <c r="D3350">
        <v>-17.49395651</v>
      </c>
      <c r="F3350" s="75" t="str">
        <f>HYPERLINK("E:\Data From Lucan\2024\Johnstone\Frames_for_Analysis\3347_20240610_0005_L_0466.jpg","3347_20240610_0005_L_0466.jpg")</f>
        <v>3347_20240610_0005_L_0466.jpg</v>
      </c>
      <c r="G3350" s="75">
        <v>8</v>
      </c>
      <c r="I3350">
        <f t="shared" si="52"/>
        <v>0</v>
      </c>
      <c r="J3350" s="75">
        <v>0</v>
      </c>
      <c r="O3350" s="75">
        <v>1</v>
      </c>
      <c r="P3350" s="75">
        <v>0</v>
      </c>
      <c r="Q3350" s="75">
        <v>0</v>
      </c>
      <c r="R3350" s="75">
        <v>0</v>
      </c>
      <c r="S3350" s="75">
        <v>0</v>
      </c>
      <c r="T3350" s="75">
        <v>0</v>
      </c>
      <c r="U3350" s="75">
        <v>0</v>
      </c>
      <c r="V3350" s="75">
        <v>0</v>
      </c>
      <c r="W3350" s="78">
        <v>0</v>
      </c>
    </row>
    <row r="3351" spans="1:23" s="75" customFormat="1" hidden="1" x14ac:dyDescent="0.35">
      <c r="A3351" s="75">
        <v>3347</v>
      </c>
      <c r="B3351" s="75">
        <v>3348</v>
      </c>
      <c r="C3351">
        <v>146.0093334</v>
      </c>
      <c r="D3351">
        <v>-17.493919529999999</v>
      </c>
      <c r="F3351" s="75" t="str">
        <f>HYPERLINK("E:\Data From Lucan\2024\Johnstone\Frames_for_Analysis\3348_20240610_0005_L_0468.jpg","3348_20240610_0005_L_0468.jpg")</f>
        <v>3348_20240610_0005_L_0468.jpg</v>
      </c>
      <c r="G3351" s="75">
        <v>8</v>
      </c>
      <c r="I3351">
        <f t="shared" si="52"/>
        <v>0</v>
      </c>
      <c r="J3351" s="75">
        <v>0</v>
      </c>
      <c r="O3351" s="75">
        <v>1</v>
      </c>
      <c r="P3351" s="75">
        <v>0</v>
      </c>
      <c r="Q3351" s="75">
        <v>0</v>
      </c>
      <c r="R3351" s="75">
        <v>0</v>
      </c>
      <c r="S3351" s="75">
        <v>0</v>
      </c>
      <c r="T3351" s="75">
        <v>0</v>
      </c>
      <c r="U3351" s="75">
        <v>0</v>
      </c>
      <c r="V3351" s="75">
        <v>0</v>
      </c>
      <c r="W3351" s="78">
        <v>0</v>
      </c>
    </row>
    <row r="3352" spans="1:23" s="75" customFormat="1" hidden="1" x14ac:dyDescent="0.35">
      <c r="A3352" s="75">
        <v>3348</v>
      </c>
      <c r="B3352" s="75">
        <v>3349</v>
      </c>
      <c r="C3352">
        <v>146.00942019999999</v>
      </c>
      <c r="D3352">
        <v>-17.493882559999999</v>
      </c>
      <c r="F3352" s="75" t="str">
        <f>HYPERLINK("E:\Data From Lucan\2024\Johnstone\Frames_for_Analysis\3349_20240610_0005_L_0471.jpg","3349_20240610_0005_L_0471.jpg")</f>
        <v>3349_20240610_0005_L_0471.jpg</v>
      </c>
      <c r="G3352" s="75">
        <v>8</v>
      </c>
      <c r="I3352">
        <f t="shared" si="52"/>
        <v>0</v>
      </c>
      <c r="J3352" s="75">
        <v>0</v>
      </c>
      <c r="O3352" s="75">
        <v>1</v>
      </c>
      <c r="P3352" s="75">
        <v>0</v>
      </c>
      <c r="Q3352" s="75">
        <v>0</v>
      </c>
      <c r="R3352" s="75">
        <v>0</v>
      </c>
      <c r="S3352" s="75">
        <v>0</v>
      </c>
      <c r="T3352" s="75">
        <v>0</v>
      </c>
      <c r="U3352" s="75">
        <v>0</v>
      </c>
      <c r="V3352" s="75">
        <v>0</v>
      </c>
      <c r="W3352" s="78">
        <v>0</v>
      </c>
    </row>
    <row r="3353" spans="1:23" s="75" customFormat="1" hidden="1" x14ac:dyDescent="0.35">
      <c r="A3353" s="75">
        <v>3349</v>
      </c>
      <c r="B3353" s="75">
        <v>3350</v>
      </c>
      <c r="C3353">
        <v>146.00950810000001</v>
      </c>
      <c r="D3353">
        <v>-17.493848570000001</v>
      </c>
      <c r="F3353" s="75" t="str">
        <f>HYPERLINK("E:\Data From Lucan\2024\Johnstone\Frames_for_Analysis\3350_20240610_0005_L_0473.jpg","3350_20240610_0005_L_0473.jpg")</f>
        <v>3350_20240610_0005_L_0473.jpg</v>
      </c>
      <c r="G3353" s="75">
        <v>8</v>
      </c>
      <c r="I3353">
        <f t="shared" si="52"/>
        <v>0</v>
      </c>
      <c r="J3353" s="75">
        <v>0</v>
      </c>
      <c r="O3353" s="75">
        <v>1</v>
      </c>
      <c r="P3353" s="75">
        <v>0</v>
      </c>
      <c r="Q3353" s="75">
        <v>0</v>
      </c>
      <c r="R3353" s="75">
        <v>0</v>
      </c>
      <c r="S3353" s="75">
        <v>0</v>
      </c>
      <c r="T3353" s="75">
        <v>0</v>
      </c>
      <c r="U3353" s="75">
        <v>0</v>
      </c>
      <c r="V3353" s="75">
        <v>0</v>
      </c>
      <c r="W3353" s="78">
        <v>0</v>
      </c>
    </row>
    <row r="3354" spans="1:23" s="75" customFormat="1" hidden="1" x14ac:dyDescent="0.35">
      <c r="A3354" s="75">
        <v>3350</v>
      </c>
      <c r="B3354" s="75">
        <v>3351</v>
      </c>
      <c r="C3354">
        <v>146.0095963</v>
      </c>
      <c r="D3354">
        <v>-17.493815120000001</v>
      </c>
      <c r="F3354" s="75" t="str">
        <f>HYPERLINK("E:\Data From Lucan\2024\Johnstone\Frames_for_Analysis\3351_20240610_0005_L_0477.jpg","3351_20240610_0005_L_0477.jpg")</f>
        <v>3351_20240610_0005_L_0477.jpg</v>
      </c>
      <c r="G3354" s="75">
        <v>8</v>
      </c>
      <c r="I3354">
        <f t="shared" si="52"/>
        <v>0</v>
      </c>
      <c r="J3354" s="75">
        <v>0</v>
      </c>
      <c r="O3354" s="75">
        <v>1</v>
      </c>
      <c r="P3354" s="75">
        <v>0</v>
      </c>
      <c r="Q3354" s="75">
        <v>0</v>
      </c>
      <c r="R3354" s="75">
        <v>0</v>
      </c>
      <c r="S3354" s="75">
        <v>0</v>
      </c>
      <c r="T3354" s="75">
        <v>0</v>
      </c>
      <c r="U3354" s="75">
        <v>0</v>
      </c>
      <c r="V3354" s="75">
        <v>0</v>
      </c>
      <c r="W3354" s="78">
        <v>0</v>
      </c>
    </row>
    <row r="3355" spans="1:23" s="75" customFormat="1" hidden="1" x14ac:dyDescent="0.35">
      <c r="A3355" s="75">
        <v>3351</v>
      </c>
      <c r="B3355" s="75">
        <v>3352</v>
      </c>
      <c r="C3355">
        <v>146.00968449999999</v>
      </c>
      <c r="D3355">
        <v>-17.493781680000001</v>
      </c>
      <c r="F3355" s="75" t="str">
        <f>HYPERLINK("E:\Data From Lucan\2024\Johnstone\Frames_for_Analysis\3352_20240610_0005_L_0480.jpg","3352_20240610_0005_L_0480.jpg")</f>
        <v>3352_20240610_0005_L_0480.jpg</v>
      </c>
      <c r="G3355" s="75">
        <v>8</v>
      </c>
      <c r="I3355">
        <f t="shared" si="52"/>
        <v>0</v>
      </c>
      <c r="J3355" s="75">
        <v>0</v>
      </c>
      <c r="O3355" s="75">
        <v>2</v>
      </c>
      <c r="P3355" s="75">
        <v>1</v>
      </c>
      <c r="Q3355" s="75">
        <v>1</v>
      </c>
      <c r="R3355" s="75">
        <v>0</v>
      </c>
      <c r="S3355" s="75">
        <v>0</v>
      </c>
      <c r="T3355" s="75">
        <v>0</v>
      </c>
      <c r="U3355" s="75">
        <v>0</v>
      </c>
      <c r="V3355" s="75">
        <v>0</v>
      </c>
      <c r="W3355" s="78">
        <v>1</v>
      </c>
    </row>
    <row r="3356" spans="1:23" s="75" customFormat="1" hidden="1" x14ac:dyDescent="0.35">
      <c r="A3356" s="75">
        <v>3352</v>
      </c>
      <c r="B3356" s="75">
        <v>3353</v>
      </c>
      <c r="C3356">
        <v>146.00977270000001</v>
      </c>
      <c r="D3356">
        <v>-17.493748230000001</v>
      </c>
      <c r="F3356" s="75" t="str">
        <f>HYPERLINK("E:\Data From Lucan\2024\Johnstone\Frames_for_Analysis\3353_20240610_0005_L_0482.jpg","3353_20240610_0005_L_0482.jpg")</f>
        <v>3353_20240610_0005_L_0482.jpg</v>
      </c>
      <c r="G3356" s="75">
        <v>8</v>
      </c>
      <c r="I3356">
        <f t="shared" si="52"/>
        <v>0</v>
      </c>
      <c r="J3356" s="75">
        <v>0</v>
      </c>
      <c r="O3356" s="75">
        <v>1</v>
      </c>
      <c r="P3356" s="75">
        <v>0</v>
      </c>
      <c r="Q3356" s="75">
        <v>0</v>
      </c>
      <c r="R3356" s="75">
        <v>0</v>
      </c>
      <c r="S3356" s="75">
        <v>0</v>
      </c>
      <c r="T3356" s="75">
        <v>0</v>
      </c>
      <c r="U3356" s="75">
        <v>0</v>
      </c>
      <c r="V3356" s="75">
        <v>0</v>
      </c>
      <c r="W3356" s="78">
        <v>0</v>
      </c>
    </row>
    <row r="3357" spans="1:23" s="75" customFormat="1" hidden="1" x14ac:dyDescent="0.35">
      <c r="A3357" s="75">
        <v>3353</v>
      </c>
      <c r="B3357" s="75">
        <v>3354</v>
      </c>
      <c r="C3357">
        <v>146.00986080000001</v>
      </c>
      <c r="D3357">
        <v>-17.493714789999999</v>
      </c>
      <c r="F3357" s="75" t="str">
        <f>HYPERLINK("E:\Data From Lucan\2024\Johnstone\Frames_for_Analysis\3354_20240610_0005_L_0486.jpg","3354_20240610_0005_L_0486.jpg")</f>
        <v>3354_20240610_0005_L_0486.jpg</v>
      </c>
      <c r="G3357" s="75">
        <v>8</v>
      </c>
      <c r="I3357">
        <f t="shared" si="52"/>
        <v>0</v>
      </c>
      <c r="J3357" s="75">
        <v>0</v>
      </c>
      <c r="O3357" s="75">
        <v>1</v>
      </c>
      <c r="P3357" s="75">
        <v>0</v>
      </c>
      <c r="Q3357" s="75">
        <v>0</v>
      </c>
      <c r="R3357" s="75">
        <v>0</v>
      </c>
      <c r="S3357" s="75">
        <v>0</v>
      </c>
      <c r="T3357" s="75">
        <v>0</v>
      </c>
      <c r="U3357" s="75">
        <v>0</v>
      </c>
      <c r="V3357" s="75">
        <v>0</v>
      </c>
      <c r="W3357" s="78">
        <v>0</v>
      </c>
    </row>
    <row r="3358" spans="1:23" s="75" customFormat="1" hidden="1" x14ac:dyDescent="0.35">
      <c r="A3358" s="75">
        <v>3354</v>
      </c>
      <c r="B3358" s="75">
        <v>3355</v>
      </c>
      <c r="C3358">
        <v>146.00994900000001</v>
      </c>
      <c r="D3358">
        <v>-17.493681339999998</v>
      </c>
      <c r="F3358" s="75" t="str">
        <f>HYPERLINK("E:\Data From Lucan\2024\Johnstone\Frames_for_Analysis\3355_20240610_0005_L_0487.jpg","3355_20240610_0005_L_0487.jpg")</f>
        <v>3355_20240610_0005_L_0487.jpg</v>
      </c>
      <c r="G3358" s="75">
        <v>8</v>
      </c>
      <c r="I3358">
        <f t="shared" si="52"/>
        <v>0</v>
      </c>
      <c r="J3358" s="75">
        <v>0</v>
      </c>
      <c r="O3358" s="75">
        <v>1</v>
      </c>
      <c r="P3358" s="75">
        <v>0</v>
      </c>
      <c r="Q3358" s="75">
        <v>0</v>
      </c>
      <c r="R3358" s="75">
        <v>0</v>
      </c>
      <c r="S3358" s="75">
        <v>0</v>
      </c>
      <c r="T3358" s="75">
        <v>0</v>
      </c>
      <c r="U3358" s="75">
        <v>0</v>
      </c>
      <c r="V3358" s="75">
        <v>0</v>
      </c>
      <c r="W3358" s="78">
        <v>0</v>
      </c>
    </row>
    <row r="3359" spans="1:23" s="75" customFormat="1" hidden="1" x14ac:dyDescent="0.35">
      <c r="A3359" s="75">
        <v>3355</v>
      </c>
      <c r="B3359" s="75">
        <v>3356</v>
      </c>
      <c r="C3359">
        <v>146.0100372</v>
      </c>
      <c r="D3359">
        <v>-17.493647899999999</v>
      </c>
      <c r="F3359" s="75" t="str">
        <f>HYPERLINK("E:\Data From Lucan\2024\Johnstone\Frames_for_Analysis\3356_20240610_0005_L_0488.jpg","3356_20240610_0005_L_0488.jpg")</f>
        <v>3356_20240610_0005_L_0488.jpg</v>
      </c>
      <c r="G3359" s="75">
        <v>8</v>
      </c>
      <c r="I3359">
        <f t="shared" si="52"/>
        <v>0</v>
      </c>
      <c r="J3359" s="75">
        <v>0</v>
      </c>
      <c r="O3359" s="75">
        <v>1</v>
      </c>
      <c r="P3359" s="75">
        <v>0</v>
      </c>
      <c r="Q3359" s="75">
        <v>0</v>
      </c>
      <c r="R3359" s="75">
        <v>0</v>
      </c>
      <c r="S3359" s="75">
        <v>0</v>
      </c>
      <c r="T3359" s="75">
        <v>0</v>
      </c>
      <c r="U3359" s="75">
        <v>0</v>
      </c>
      <c r="V3359" s="75">
        <v>0</v>
      </c>
      <c r="W3359" s="78">
        <v>0</v>
      </c>
    </row>
    <row r="3360" spans="1:23" s="75" customFormat="1" hidden="1" x14ac:dyDescent="0.35">
      <c r="A3360" s="75">
        <v>3356</v>
      </c>
      <c r="B3360" s="75">
        <v>3357</v>
      </c>
      <c r="C3360">
        <v>146.01012539999999</v>
      </c>
      <c r="D3360">
        <v>-17.493614449999999</v>
      </c>
      <c r="F3360" s="75" t="str">
        <f>HYPERLINK("E:\Data From Lucan\2024\Johnstone\Frames_for_Analysis\3357_20240610_0005_L_0491.jpg","3357_20240610_0005_L_0491.jpg")</f>
        <v>3357_20240610_0005_L_0491.jpg</v>
      </c>
      <c r="G3360" s="75">
        <v>8</v>
      </c>
      <c r="I3360">
        <f t="shared" si="52"/>
        <v>0</v>
      </c>
      <c r="J3360" s="75">
        <v>0</v>
      </c>
      <c r="O3360" s="75">
        <v>1</v>
      </c>
      <c r="P3360" s="75">
        <v>0</v>
      </c>
      <c r="Q3360" s="75">
        <v>0</v>
      </c>
      <c r="R3360" s="75">
        <v>0</v>
      </c>
      <c r="S3360" s="75">
        <v>0</v>
      </c>
      <c r="T3360" s="75">
        <v>0</v>
      </c>
      <c r="U3360" s="75">
        <v>0</v>
      </c>
      <c r="V3360" s="75">
        <v>0</v>
      </c>
      <c r="W3360" s="78">
        <v>0</v>
      </c>
    </row>
    <row r="3361" spans="1:23" s="75" customFormat="1" hidden="1" x14ac:dyDescent="0.35">
      <c r="A3361" s="75">
        <v>3357</v>
      </c>
      <c r="B3361" s="75">
        <v>3358</v>
      </c>
      <c r="C3361">
        <v>146.01021349999999</v>
      </c>
      <c r="D3361">
        <v>-17.49358101</v>
      </c>
      <c r="F3361" s="75" t="str">
        <f>HYPERLINK("E:\Data From Lucan\2024\Johnstone\Frames_for_Analysis\3358_20240610_0005_L_0493.jpg","3358_20240610_0005_L_0493.jpg")</f>
        <v>3358_20240610_0005_L_0493.jpg</v>
      </c>
      <c r="G3361" s="75">
        <v>8</v>
      </c>
      <c r="I3361">
        <f t="shared" si="52"/>
        <v>0</v>
      </c>
      <c r="J3361" s="75">
        <v>0</v>
      </c>
      <c r="O3361" s="75">
        <v>1</v>
      </c>
      <c r="P3361" s="75">
        <v>0</v>
      </c>
      <c r="Q3361" s="75">
        <v>0</v>
      </c>
      <c r="R3361" s="75">
        <v>0</v>
      </c>
      <c r="S3361" s="75">
        <v>0</v>
      </c>
      <c r="T3361" s="75">
        <v>0</v>
      </c>
      <c r="U3361" s="75">
        <v>0</v>
      </c>
      <c r="V3361" s="75">
        <v>0</v>
      </c>
      <c r="W3361" s="78">
        <v>0</v>
      </c>
    </row>
    <row r="3362" spans="1:23" s="75" customFormat="1" hidden="1" x14ac:dyDescent="0.35">
      <c r="A3362" s="75">
        <v>3358</v>
      </c>
      <c r="B3362" s="75">
        <v>3359</v>
      </c>
      <c r="C3362">
        <v>146.010301</v>
      </c>
      <c r="D3362">
        <v>-17.493546030000001</v>
      </c>
      <c r="F3362" s="75" t="str">
        <f>HYPERLINK("E:\Data From Lucan\2024\Johnstone\Frames_for_Analysis\3359_20240610_0005_L_0496.jpg","3359_20240610_0005_L_0496.jpg")</f>
        <v>3359_20240610_0005_L_0496.jpg</v>
      </c>
      <c r="G3362" s="75">
        <v>8</v>
      </c>
      <c r="I3362">
        <f t="shared" si="52"/>
        <v>0</v>
      </c>
      <c r="J3362" s="75">
        <v>0</v>
      </c>
      <c r="O3362" s="75">
        <v>1</v>
      </c>
      <c r="P3362" s="75">
        <v>0</v>
      </c>
      <c r="Q3362" s="75">
        <v>0</v>
      </c>
      <c r="R3362" s="75">
        <v>0</v>
      </c>
      <c r="S3362" s="75">
        <v>0</v>
      </c>
      <c r="T3362" s="75">
        <v>0</v>
      </c>
      <c r="U3362" s="75">
        <v>0</v>
      </c>
      <c r="V3362" s="75">
        <v>0</v>
      </c>
      <c r="W3362" s="78">
        <v>0</v>
      </c>
    </row>
    <row r="3363" spans="1:23" s="75" customFormat="1" hidden="1" x14ac:dyDescent="0.35">
      <c r="A3363" s="75">
        <v>3359</v>
      </c>
      <c r="B3363" s="75">
        <v>3360</v>
      </c>
      <c r="C3363">
        <v>146.01038339999999</v>
      </c>
      <c r="D3363">
        <v>-17.493500239999999</v>
      </c>
      <c r="F3363" s="75" t="str">
        <f>HYPERLINK("E:\Data From Lucan\2024\Johnstone\Frames_for_Analysis\3360_20240610_0005_L_0498.jpg","3360_20240610_0005_L_0498.jpg")</f>
        <v>3360_20240610_0005_L_0498.jpg</v>
      </c>
      <c r="G3363" s="75">
        <v>8</v>
      </c>
      <c r="I3363">
        <f t="shared" si="52"/>
        <v>0</v>
      </c>
      <c r="J3363" s="75">
        <v>0</v>
      </c>
      <c r="O3363" s="75">
        <v>1</v>
      </c>
      <c r="P3363" s="75">
        <v>0</v>
      </c>
      <c r="Q3363" s="75">
        <v>0</v>
      </c>
      <c r="R3363" s="75">
        <v>0</v>
      </c>
      <c r="S3363" s="75">
        <v>0</v>
      </c>
      <c r="T3363" s="75">
        <v>0</v>
      </c>
      <c r="U3363" s="75">
        <v>0</v>
      </c>
      <c r="V3363" s="75">
        <v>0</v>
      </c>
      <c r="W3363" s="78">
        <v>0</v>
      </c>
    </row>
    <row r="3364" spans="1:23" s="75" customFormat="1" hidden="1" x14ac:dyDescent="0.35">
      <c r="A3364" s="75">
        <v>3360</v>
      </c>
      <c r="B3364" s="75">
        <v>3361</v>
      </c>
      <c r="C3364">
        <v>146.01046590000001</v>
      </c>
      <c r="D3364">
        <v>-17.493454440000001</v>
      </c>
      <c r="F3364" s="75" t="str">
        <f>HYPERLINK("E:\Data From Lucan\2024\Johnstone\Frames_for_Analysis\3361_20240610_0005_L_0501.jpg","3361_20240610_0005_L_0501.jpg")</f>
        <v>3361_20240610_0005_L_0501.jpg</v>
      </c>
      <c r="G3364" s="75">
        <v>8</v>
      </c>
      <c r="I3364">
        <f t="shared" si="52"/>
        <v>0</v>
      </c>
      <c r="J3364" s="75">
        <v>0</v>
      </c>
      <c r="O3364" s="75">
        <v>1</v>
      </c>
      <c r="P3364" s="75">
        <v>0</v>
      </c>
      <c r="Q3364" s="75">
        <v>0</v>
      </c>
      <c r="R3364" s="75">
        <v>0</v>
      </c>
      <c r="S3364" s="75">
        <v>0</v>
      </c>
      <c r="T3364" s="75">
        <v>0</v>
      </c>
      <c r="U3364" s="75">
        <v>0</v>
      </c>
      <c r="V3364" s="75">
        <v>0</v>
      </c>
      <c r="W3364" s="78">
        <v>0</v>
      </c>
    </row>
    <row r="3365" spans="1:23" s="75" customFormat="1" hidden="1" x14ac:dyDescent="0.35">
      <c r="A3365" s="75">
        <v>3361</v>
      </c>
      <c r="B3365" s="75">
        <v>3362</v>
      </c>
      <c r="C3365">
        <v>146.01054830000001</v>
      </c>
      <c r="D3365">
        <v>-17.493408639999998</v>
      </c>
      <c r="F3365" s="75" t="str">
        <f>HYPERLINK("E:\Data From Lucan\2024\Johnstone\Frames_for_Analysis\3362_20240610_0005_L_0504.jpg","3362_20240610_0005_L_0504.jpg")</f>
        <v>3362_20240610_0005_L_0504.jpg</v>
      </c>
      <c r="G3365" s="75">
        <v>8</v>
      </c>
      <c r="I3365">
        <f t="shared" si="52"/>
        <v>0</v>
      </c>
      <c r="J3365" s="75">
        <v>0</v>
      </c>
      <c r="O3365" s="75">
        <v>1</v>
      </c>
      <c r="P3365" s="75">
        <v>0</v>
      </c>
      <c r="Q3365" s="75">
        <v>0</v>
      </c>
      <c r="R3365" s="75">
        <v>0</v>
      </c>
      <c r="S3365" s="75">
        <v>0</v>
      </c>
      <c r="T3365" s="75">
        <v>0</v>
      </c>
      <c r="U3365" s="75">
        <v>0</v>
      </c>
      <c r="V3365" s="75">
        <v>0</v>
      </c>
      <c r="W3365" s="78">
        <v>0</v>
      </c>
    </row>
    <row r="3366" spans="1:23" s="75" customFormat="1" hidden="1" x14ac:dyDescent="0.35">
      <c r="A3366" s="75">
        <v>3362</v>
      </c>
      <c r="B3366" s="75">
        <v>3363</v>
      </c>
      <c r="C3366">
        <v>146.01063070000001</v>
      </c>
      <c r="D3366">
        <v>-17.49336284</v>
      </c>
      <c r="F3366" s="75" t="str">
        <f>HYPERLINK("E:\Data From Lucan\2024\Johnstone\Frames_for_Analysis\3363_20240610_0005_L_0507.jpg","3363_20240610_0005_L_0507.jpg")</f>
        <v>3363_20240610_0005_L_0507.jpg</v>
      </c>
      <c r="G3366" s="75">
        <v>8</v>
      </c>
      <c r="I3366">
        <f t="shared" si="52"/>
        <v>0</v>
      </c>
      <c r="J3366" s="75">
        <v>0</v>
      </c>
      <c r="O3366" s="75">
        <v>1</v>
      </c>
      <c r="P3366" s="75">
        <v>0</v>
      </c>
      <c r="Q3366" s="75">
        <v>0</v>
      </c>
      <c r="R3366" s="75">
        <v>0</v>
      </c>
      <c r="S3366" s="75">
        <v>0</v>
      </c>
      <c r="T3366" s="75">
        <v>0</v>
      </c>
      <c r="U3366" s="75">
        <v>0</v>
      </c>
      <c r="V3366" s="75">
        <v>0</v>
      </c>
      <c r="W3366" s="78">
        <v>0</v>
      </c>
    </row>
    <row r="3367" spans="1:23" s="75" customFormat="1" hidden="1" x14ac:dyDescent="0.35">
      <c r="A3367" s="75">
        <v>3363</v>
      </c>
      <c r="B3367" s="75">
        <v>3364</v>
      </c>
      <c r="C3367">
        <v>146.0107132</v>
      </c>
      <c r="D3367">
        <v>-17.493317040000001</v>
      </c>
      <c r="F3367" s="75" t="str">
        <f>HYPERLINK("E:\Data From Lucan\2024\Johnstone\Frames_for_Analysis\3364_20240610_0005_L_0510.jpg","3364_20240610_0005_L_0510.jpg")</f>
        <v>3364_20240610_0005_L_0510.jpg</v>
      </c>
      <c r="G3367" s="75">
        <v>8</v>
      </c>
      <c r="I3367">
        <f t="shared" si="52"/>
        <v>0</v>
      </c>
      <c r="J3367" s="75">
        <v>0</v>
      </c>
      <c r="O3367" s="75">
        <v>1</v>
      </c>
      <c r="P3367" s="75">
        <v>0</v>
      </c>
      <c r="Q3367" s="75">
        <v>0</v>
      </c>
      <c r="R3367" s="75">
        <v>0</v>
      </c>
      <c r="S3367" s="75">
        <v>0</v>
      </c>
      <c r="T3367" s="75">
        <v>0</v>
      </c>
      <c r="U3367" s="75">
        <v>0</v>
      </c>
      <c r="V3367" s="75">
        <v>0</v>
      </c>
      <c r="W3367" s="78">
        <v>0</v>
      </c>
    </row>
    <row r="3368" spans="1:23" s="75" customFormat="1" hidden="1" x14ac:dyDescent="0.35">
      <c r="A3368" s="75">
        <v>3364</v>
      </c>
      <c r="B3368" s="75">
        <v>3365</v>
      </c>
      <c r="C3368">
        <v>146.010794</v>
      </c>
      <c r="D3368">
        <v>-17.49326842</v>
      </c>
      <c r="F3368" s="75" t="str">
        <f>HYPERLINK("E:\Data From Lucan\2024\Johnstone\Frames_for_Analysis\3365_20240610_0005_L_0515.jpg","3365_20240610_0005_L_0515.jpg")</f>
        <v>3365_20240610_0005_L_0515.jpg</v>
      </c>
      <c r="G3368" s="75">
        <v>8</v>
      </c>
      <c r="I3368">
        <f t="shared" si="52"/>
        <v>0</v>
      </c>
      <c r="J3368" s="75">
        <v>0</v>
      </c>
      <c r="O3368" s="75">
        <v>1</v>
      </c>
      <c r="P3368" s="75">
        <v>0</v>
      </c>
      <c r="Q3368" s="75">
        <v>0</v>
      </c>
      <c r="R3368" s="75">
        <v>0</v>
      </c>
      <c r="S3368" s="75">
        <v>0</v>
      </c>
      <c r="T3368" s="75">
        <v>0</v>
      </c>
      <c r="U3368" s="75">
        <v>0</v>
      </c>
      <c r="V3368" s="75">
        <v>0</v>
      </c>
      <c r="W3368" s="78">
        <v>0</v>
      </c>
    </row>
    <row r="3369" spans="1:23" s="75" customFormat="1" hidden="1" x14ac:dyDescent="0.35">
      <c r="A3369" s="75">
        <v>3365</v>
      </c>
      <c r="B3369" s="75">
        <v>3366</v>
      </c>
      <c r="C3369">
        <v>146.01087419999999</v>
      </c>
      <c r="D3369">
        <v>-17.493218840000001</v>
      </c>
      <c r="F3369" s="75" t="str">
        <f>HYPERLINK("E:\Data From Lucan\2024\Johnstone\Frames_for_Analysis\3366_20240610_0005_L_0516.jpg","3366_20240610_0005_L_0516.jpg")</f>
        <v>3366_20240610_0005_L_0516.jpg</v>
      </c>
      <c r="G3369" s="75">
        <v>8</v>
      </c>
      <c r="I3369">
        <f t="shared" si="52"/>
        <v>0</v>
      </c>
      <c r="J3369" s="75">
        <v>0</v>
      </c>
      <c r="O3369" s="75">
        <v>1</v>
      </c>
      <c r="P3369" s="75">
        <v>0</v>
      </c>
      <c r="Q3369" s="75">
        <v>0</v>
      </c>
      <c r="R3369" s="75">
        <v>0</v>
      </c>
      <c r="S3369" s="75">
        <v>0</v>
      </c>
      <c r="T3369" s="75">
        <v>0</v>
      </c>
      <c r="U3369" s="75">
        <v>0</v>
      </c>
      <c r="V3369" s="75">
        <v>0</v>
      </c>
      <c r="W3369" s="78">
        <v>0</v>
      </c>
    </row>
    <row r="3370" spans="1:23" s="75" customFormat="1" hidden="1" x14ac:dyDescent="0.35">
      <c r="A3370" s="75">
        <v>3366</v>
      </c>
      <c r="B3370" s="75">
        <v>3367</v>
      </c>
      <c r="C3370">
        <v>146.0109544</v>
      </c>
      <c r="D3370">
        <v>-17.493169250000001</v>
      </c>
      <c r="F3370" s="75" t="str">
        <f>HYPERLINK("E:\Data From Lucan\2024\Johnstone\Frames_for_Analysis\3367_20240610_0005_L_0522.jpg","3367_20240610_0005_L_0522.jpg")</f>
        <v>3367_20240610_0005_L_0522.jpg</v>
      </c>
      <c r="G3370" s="75">
        <v>8</v>
      </c>
      <c r="I3370">
        <f t="shared" si="52"/>
        <v>0</v>
      </c>
      <c r="J3370" s="75">
        <v>0</v>
      </c>
      <c r="O3370" s="75">
        <v>1</v>
      </c>
      <c r="P3370" s="75">
        <v>0</v>
      </c>
      <c r="Q3370" s="75">
        <v>0</v>
      </c>
      <c r="R3370" s="75">
        <v>0</v>
      </c>
      <c r="S3370" s="75">
        <v>0</v>
      </c>
      <c r="T3370" s="75">
        <v>0</v>
      </c>
      <c r="U3370" s="75">
        <v>0</v>
      </c>
      <c r="V3370" s="75">
        <v>0</v>
      </c>
      <c r="W3370" s="78">
        <v>0</v>
      </c>
    </row>
    <row r="3371" spans="1:23" s="75" customFormat="1" hidden="1" x14ac:dyDescent="0.35">
      <c r="A3371" s="75">
        <v>3367</v>
      </c>
      <c r="B3371" s="75">
        <v>3368</v>
      </c>
      <c r="C3371">
        <v>146.01103459999999</v>
      </c>
      <c r="D3371">
        <v>-17.493119660000001</v>
      </c>
      <c r="F3371" s="75" t="str">
        <f>HYPERLINK("E:\Data From Lucan\2024\Johnstone\Frames_for_Analysis\3368_20240610_0005_L_0528.jpg","3368_20240610_0005_L_0528.jpg")</f>
        <v>3368_20240610_0005_L_0528.jpg</v>
      </c>
      <c r="G3371" s="75">
        <v>8</v>
      </c>
      <c r="I3371">
        <f t="shared" si="52"/>
        <v>0</v>
      </c>
      <c r="J3371" s="75">
        <v>0</v>
      </c>
      <c r="O3371" s="75">
        <v>1</v>
      </c>
      <c r="P3371" s="75">
        <v>0</v>
      </c>
      <c r="Q3371" s="75">
        <v>0</v>
      </c>
      <c r="R3371" s="75">
        <v>0</v>
      </c>
      <c r="S3371" s="75">
        <v>0</v>
      </c>
      <c r="T3371" s="75">
        <v>0</v>
      </c>
      <c r="U3371" s="75">
        <v>0</v>
      </c>
      <c r="V3371" s="75">
        <v>0</v>
      </c>
      <c r="W3371" s="78">
        <v>0</v>
      </c>
    </row>
    <row r="3372" spans="1:23" s="75" customFormat="1" hidden="1" x14ac:dyDescent="0.35">
      <c r="A3372" s="75">
        <v>3368</v>
      </c>
      <c r="B3372" s="75">
        <v>3369</v>
      </c>
      <c r="C3372">
        <v>146.0111148</v>
      </c>
      <c r="D3372">
        <v>-17.493070079999999</v>
      </c>
      <c r="F3372" s="75" t="str">
        <f>HYPERLINK("E:\Data From Lucan\2024\Johnstone\Frames_for_Analysis\3369_20240610_0005_L_0531.jpg","3369_20240610_0005_L_0531.jpg")</f>
        <v>3369_20240610_0005_L_0531.jpg</v>
      </c>
      <c r="G3372" s="75">
        <v>8</v>
      </c>
      <c r="I3372">
        <f t="shared" si="52"/>
        <v>0</v>
      </c>
      <c r="J3372" s="75">
        <v>0</v>
      </c>
      <c r="O3372" s="75">
        <v>1</v>
      </c>
      <c r="P3372" s="75">
        <v>0</v>
      </c>
      <c r="Q3372" s="75">
        <v>0</v>
      </c>
      <c r="R3372" s="75">
        <v>0</v>
      </c>
      <c r="S3372" s="75">
        <v>0</v>
      </c>
      <c r="T3372" s="75">
        <v>0</v>
      </c>
      <c r="U3372" s="75">
        <v>0</v>
      </c>
      <c r="V3372" s="75">
        <v>0</v>
      </c>
      <c r="W3372" s="78">
        <v>0</v>
      </c>
    </row>
    <row r="3373" spans="1:23" s="75" customFormat="1" hidden="1" x14ac:dyDescent="0.35">
      <c r="A3373" s="75">
        <v>3369</v>
      </c>
      <c r="B3373" s="75">
        <v>3370</v>
      </c>
      <c r="C3373">
        <v>146.01119499999999</v>
      </c>
      <c r="D3373">
        <v>-17.493020489999999</v>
      </c>
      <c r="F3373" s="75" t="str">
        <f>HYPERLINK("E:\Data From Lucan\2024\Johnstone\Frames_for_Analysis\3370_20240610_0005_L_0533.jpg","3370_20240610_0005_L_0533.jpg")</f>
        <v>3370_20240610_0005_L_0533.jpg</v>
      </c>
      <c r="G3373" s="75">
        <v>8</v>
      </c>
      <c r="I3373">
        <f t="shared" si="52"/>
        <v>0</v>
      </c>
      <c r="J3373" s="75">
        <v>0</v>
      </c>
      <c r="O3373" s="75">
        <v>1</v>
      </c>
      <c r="P3373" s="75">
        <v>0</v>
      </c>
      <c r="Q3373" s="75">
        <v>0</v>
      </c>
      <c r="R3373" s="75">
        <v>0</v>
      </c>
      <c r="S3373" s="75">
        <v>0</v>
      </c>
      <c r="T3373" s="75">
        <v>0</v>
      </c>
      <c r="U3373" s="75">
        <v>0</v>
      </c>
      <c r="V3373" s="75">
        <v>0</v>
      </c>
      <c r="W3373" s="78">
        <v>0</v>
      </c>
    </row>
    <row r="3374" spans="1:23" s="75" customFormat="1" hidden="1" x14ac:dyDescent="0.35">
      <c r="A3374" s="75">
        <v>3370</v>
      </c>
      <c r="B3374" s="75">
        <v>3371</v>
      </c>
      <c r="C3374">
        <v>146.0112752</v>
      </c>
      <c r="D3374">
        <v>-17.4929709</v>
      </c>
      <c r="F3374" s="75" t="str">
        <f>HYPERLINK("E:\Data From Lucan\2024\Johnstone\Frames_for_Analysis\3371_20240610_0005_L_0536.jpg","3371_20240610_0005_L_0536.jpg")</f>
        <v>3371_20240610_0005_L_0536.jpg</v>
      </c>
      <c r="G3374" s="75">
        <v>8</v>
      </c>
      <c r="I3374">
        <f t="shared" si="52"/>
        <v>0</v>
      </c>
      <c r="J3374" s="75">
        <v>0</v>
      </c>
      <c r="O3374" s="75">
        <v>1</v>
      </c>
      <c r="P3374" s="75">
        <v>0</v>
      </c>
      <c r="Q3374" s="75">
        <v>0</v>
      </c>
      <c r="R3374" s="75">
        <v>0</v>
      </c>
      <c r="S3374" s="75">
        <v>0</v>
      </c>
      <c r="T3374" s="75">
        <v>0</v>
      </c>
      <c r="U3374" s="75">
        <v>0</v>
      </c>
      <c r="V3374" s="75">
        <v>0</v>
      </c>
      <c r="W3374" s="78">
        <v>0</v>
      </c>
    </row>
    <row r="3375" spans="1:23" s="75" customFormat="1" hidden="1" x14ac:dyDescent="0.35">
      <c r="A3375" s="75">
        <v>3371</v>
      </c>
      <c r="B3375" s="75">
        <v>3372</v>
      </c>
      <c r="C3375">
        <v>146.01133290000001</v>
      </c>
      <c r="D3375">
        <v>-17.49289636</v>
      </c>
      <c r="F3375" s="75" t="str">
        <f>HYPERLINK("E:\Data From Lucan\2024\Johnstone\Frames_for_Analysis\3372_20240610_0005_L_0538.jpg","3372_20240610_0005_L_0538.jpg")</f>
        <v>3372_20240610_0005_L_0538.jpg</v>
      </c>
      <c r="G3375" s="75">
        <v>8</v>
      </c>
      <c r="I3375">
        <f t="shared" si="52"/>
        <v>0</v>
      </c>
      <c r="J3375" s="75">
        <v>0</v>
      </c>
      <c r="O3375" s="75">
        <v>1</v>
      </c>
      <c r="P3375" s="75">
        <v>0</v>
      </c>
      <c r="Q3375" s="75">
        <v>0</v>
      </c>
      <c r="R3375" s="75">
        <v>0</v>
      </c>
      <c r="S3375" s="75">
        <v>0</v>
      </c>
      <c r="T3375" s="75">
        <v>0</v>
      </c>
      <c r="U3375" s="75">
        <v>0</v>
      </c>
      <c r="V3375" s="75">
        <v>1</v>
      </c>
      <c r="W3375" s="78">
        <v>0</v>
      </c>
    </row>
    <row r="3376" spans="1:23" s="75" customFormat="1" hidden="1" x14ac:dyDescent="0.35">
      <c r="A3376" s="75">
        <v>3372</v>
      </c>
      <c r="B3376" s="75">
        <v>3373</v>
      </c>
      <c r="C3376">
        <v>146.01140939999999</v>
      </c>
      <c r="D3376">
        <v>-17.492843520000001</v>
      </c>
      <c r="F3376" s="75" t="str">
        <f>HYPERLINK("E:\Data From Lucan\2024\Johnstone\Frames_for_Analysis\3373_20240610_0005_L_0541.jpg","3373_20240610_0005_L_0541.jpg")</f>
        <v>3373_20240610_0005_L_0541.jpg</v>
      </c>
      <c r="G3376" s="75">
        <v>8</v>
      </c>
      <c r="I3376">
        <f t="shared" si="52"/>
        <v>0</v>
      </c>
      <c r="J3376" s="75">
        <v>0</v>
      </c>
      <c r="O3376" s="75">
        <v>1</v>
      </c>
      <c r="P3376" s="75">
        <v>0</v>
      </c>
      <c r="Q3376" s="75">
        <v>0</v>
      </c>
      <c r="R3376" s="75">
        <v>0</v>
      </c>
      <c r="S3376" s="75">
        <v>0</v>
      </c>
      <c r="T3376" s="75">
        <v>0</v>
      </c>
      <c r="U3376" s="75">
        <v>0</v>
      </c>
      <c r="V3376" s="75">
        <v>1</v>
      </c>
      <c r="W3376" s="78">
        <v>0</v>
      </c>
    </row>
    <row r="3377" spans="1:23" s="75" customFormat="1" hidden="1" x14ac:dyDescent="0.35">
      <c r="A3377" s="75">
        <v>3373</v>
      </c>
      <c r="B3377" s="75">
        <v>3374</v>
      </c>
      <c r="C3377">
        <v>146.01149140000001</v>
      </c>
      <c r="D3377">
        <v>-17.49279688</v>
      </c>
      <c r="F3377" s="75" t="str">
        <f>HYPERLINK("E:\Data From Lucan\2024\Johnstone\Frames_for_Analysis\3374_20240610_0005_L_0544.jpg","3374_20240610_0005_L_0544.jpg")</f>
        <v>3374_20240610_0005_L_0544.jpg</v>
      </c>
      <c r="G3377" s="75">
        <v>8</v>
      </c>
      <c r="I3377">
        <f t="shared" si="52"/>
        <v>0</v>
      </c>
      <c r="J3377" s="75">
        <v>0</v>
      </c>
      <c r="O3377" s="75">
        <v>1</v>
      </c>
      <c r="P3377" s="75">
        <v>0</v>
      </c>
      <c r="Q3377" s="75">
        <v>0</v>
      </c>
      <c r="R3377" s="75">
        <v>0</v>
      </c>
      <c r="S3377" s="75">
        <v>0</v>
      </c>
      <c r="T3377" s="75">
        <v>0</v>
      </c>
      <c r="U3377" s="75">
        <v>0</v>
      </c>
      <c r="V3377" s="75">
        <v>0</v>
      </c>
      <c r="W3377" s="78">
        <v>0</v>
      </c>
    </row>
    <row r="3378" spans="1:23" s="75" customFormat="1" hidden="1" x14ac:dyDescent="0.35">
      <c r="A3378" s="75">
        <v>3374</v>
      </c>
      <c r="B3378" s="75">
        <v>3375</v>
      </c>
      <c r="C3378">
        <v>146.0115734</v>
      </c>
      <c r="D3378">
        <v>-17.492750239999999</v>
      </c>
      <c r="F3378" s="75" t="str">
        <f>HYPERLINK("E:\Data From Lucan\2024\Johnstone\Frames_for_Analysis\3375_20240610_0005_L_0547.jpg","3375_20240610_0005_L_0547.jpg")</f>
        <v>3375_20240610_0005_L_0547.jpg</v>
      </c>
      <c r="G3378" s="75">
        <v>8</v>
      </c>
      <c r="I3378">
        <f t="shared" si="52"/>
        <v>0</v>
      </c>
      <c r="J3378" s="75">
        <v>0</v>
      </c>
      <c r="O3378" s="75">
        <v>1</v>
      </c>
      <c r="P3378" s="75">
        <v>0</v>
      </c>
      <c r="Q3378" s="75">
        <v>0</v>
      </c>
      <c r="R3378" s="75">
        <v>0</v>
      </c>
      <c r="S3378" s="75">
        <v>0</v>
      </c>
      <c r="T3378" s="75">
        <v>0</v>
      </c>
      <c r="U3378" s="75">
        <v>0</v>
      </c>
      <c r="V3378" s="75">
        <v>0</v>
      </c>
      <c r="W3378" s="78">
        <v>0</v>
      </c>
    </row>
    <row r="3379" spans="1:23" s="75" customFormat="1" hidden="1" x14ac:dyDescent="0.35">
      <c r="A3379" s="75">
        <v>3375</v>
      </c>
      <c r="B3379" s="75">
        <v>3376</v>
      </c>
      <c r="C3379">
        <v>146.0116553</v>
      </c>
      <c r="D3379">
        <v>-17.492703599999999</v>
      </c>
      <c r="F3379" s="75" t="str">
        <f>HYPERLINK("E:\Data From Lucan\2024\Johnstone\Frames_for_Analysis\3376_20240610_0005_L_0549.jpg","3376_20240610_0005_L_0549.jpg")</f>
        <v>3376_20240610_0005_L_0549.jpg</v>
      </c>
      <c r="G3379" s="75">
        <v>8</v>
      </c>
      <c r="I3379">
        <f t="shared" si="52"/>
        <v>0</v>
      </c>
      <c r="J3379" s="75">
        <v>0</v>
      </c>
      <c r="O3379" s="75">
        <v>1</v>
      </c>
      <c r="P3379" s="75">
        <v>0</v>
      </c>
      <c r="Q3379" s="75">
        <v>0</v>
      </c>
      <c r="R3379" s="75">
        <v>0</v>
      </c>
      <c r="S3379" s="75">
        <v>0</v>
      </c>
      <c r="T3379" s="75">
        <v>0</v>
      </c>
      <c r="U3379" s="75">
        <v>0</v>
      </c>
      <c r="V3379" s="75">
        <v>0</v>
      </c>
      <c r="W3379" s="78">
        <v>0</v>
      </c>
    </row>
    <row r="3380" spans="1:23" s="75" customFormat="1" hidden="1" x14ac:dyDescent="0.35">
      <c r="A3380" s="75">
        <v>3376</v>
      </c>
      <c r="B3380" s="75">
        <v>3377</v>
      </c>
      <c r="C3380">
        <v>146.01173729999999</v>
      </c>
      <c r="D3380">
        <v>-17.492656960000001</v>
      </c>
      <c r="F3380" s="75" t="str">
        <f>HYPERLINK("E:\Data From Lucan\2024\Johnstone\Frames_for_Analysis\3377_20240610_0005_L_0552.jpg","3377_20240610_0005_L_0552.jpg")</f>
        <v>3377_20240610_0005_L_0552.jpg</v>
      </c>
      <c r="G3380" s="75">
        <v>8</v>
      </c>
      <c r="I3380">
        <f t="shared" si="52"/>
        <v>0</v>
      </c>
      <c r="J3380" s="75">
        <v>0</v>
      </c>
      <c r="O3380" s="75">
        <v>1</v>
      </c>
      <c r="P3380" s="75">
        <v>0</v>
      </c>
      <c r="Q3380" s="75">
        <v>0</v>
      </c>
      <c r="R3380" s="75">
        <v>0</v>
      </c>
      <c r="S3380" s="75">
        <v>0</v>
      </c>
      <c r="T3380" s="75">
        <v>0</v>
      </c>
      <c r="U3380" s="75">
        <v>0</v>
      </c>
      <c r="V3380" s="75">
        <v>0</v>
      </c>
      <c r="W3380" s="78">
        <v>0</v>
      </c>
    </row>
    <row r="3381" spans="1:23" s="75" customFormat="1" hidden="1" x14ac:dyDescent="0.35">
      <c r="A3381" s="75">
        <v>3377</v>
      </c>
      <c r="B3381" s="75">
        <v>3378</v>
      </c>
      <c r="C3381">
        <v>146.01181930000001</v>
      </c>
      <c r="D3381">
        <v>-17.492610320000001</v>
      </c>
      <c r="F3381" s="75" t="str">
        <f>HYPERLINK("E:\Data From Lucan\2024\Johnstone\Frames_for_Analysis\3378_20240610_0005_L_0555.jpg","3378_20240610_0005_L_0555.jpg")</f>
        <v>3378_20240610_0005_L_0555.jpg</v>
      </c>
      <c r="G3381" s="75">
        <v>8</v>
      </c>
      <c r="I3381">
        <f t="shared" si="52"/>
        <v>0</v>
      </c>
      <c r="J3381" s="75">
        <v>0</v>
      </c>
      <c r="O3381" s="75">
        <v>1</v>
      </c>
      <c r="P3381" s="75">
        <v>0</v>
      </c>
      <c r="Q3381" s="75">
        <v>0</v>
      </c>
      <c r="R3381" s="75">
        <v>0</v>
      </c>
      <c r="S3381" s="75">
        <v>0</v>
      </c>
      <c r="T3381" s="75">
        <v>0</v>
      </c>
      <c r="U3381" s="75">
        <v>0</v>
      </c>
      <c r="V3381" s="75">
        <v>0</v>
      </c>
      <c r="W3381" s="78">
        <v>0</v>
      </c>
    </row>
    <row r="3382" spans="1:23" s="75" customFormat="1" hidden="1" x14ac:dyDescent="0.35">
      <c r="A3382" s="75">
        <v>3378</v>
      </c>
      <c r="B3382" s="75">
        <v>3379</v>
      </c>
      <c r="C3382">
        <v>146.01190120000001</v>
      </c>
      <c r="D3382">
        <v>-17.49256368</v>
      </c>
      <c r="F3382" s="75" t="str">
        <f>HYPERLINK("E:\Data From Lucan\2024\Johnstone\Frames_for_Analysis\3379_20240610_0005_L_0558.jpg","3379_20240610_0005_L_0558.jpg")</f>
        <v>3379_20240610_0005_L_0558.jpg</v>
      </c>
      <c r="G3382" s="75">
        <v>8</v>
      </c>
      <c r="I3382">
        <f t="shared" si="52"/>
        <v>0</v>
      </c>
      <c r="J3382" s="75">
        <v>0</v>
      </c>
      <c r="O3382" s="75">
        <v>1</v>
      </c>
      <c r="P3382" s="75">
        <v>0</v>
      </c>
      <c r="Q3382" s="75">
        <v>0</v>
      </c>
      <c r="R3382" s="75">
        <v>0</v>
      </c>
      <c r="S3382" s="75">
        <v>0</v>
      </c>
      <c r="T3382" s="75">
        <v>0</v>
      </c>
      <c r="U3382" s="75">
        <v>0</v>
      </c>
      <c r="V3382" s="75">
        <v>0</v>
      </c>
      <c r="W3382" s="78">
        <v>0</v>
      </c>
    </row>
    <row r="3383" spans="1:23" s="75" customFormat="1" hidden="1" x14ac:dyDescent="0.35">
      <c r="A3383" s="75">
        <v>3379</v>
      </c>
      <c r="B3383" s="75">
        <v>3380</v>
      </c>
      <c r="C3383">
        <v>146.0119832</v>
      </c>
      <c r="D3383">
        <v>-17.49251705</v>
      </c>
      <c r="F3383" s="75" t="str">
        <f>HYPERLINK("E:\Data From Lucan\2024\Johnstone\Frames_for_Analysis\3380_20240610_0005_L_0560.jpg","3380_20240610_0005_L_0560.jpg")</f>
        <v>3380_20240610_0005_L_0560.jpg</v>
      </c>
      <c r="G3383" s="75">
        <v>8</v>
      </c>
      <c r="I3383">
        <f t="shared" si="52"/>
        <v>0</v>
      </c>
      <c r="J3383" s="75">
        <v>0</v>
      </c>
      <c r="O3383" s="75">
        <v>1</v>
      </c>
      <c r="P3383" s="75">
        <v>0</v>
      </c>
      <c r="Q3383" s="75">
        <v>0</v>
      </c>
      <c r="R3383" s="75">
        <v>0</v>
      </c>
      <c r="S3383" s="75">
        <v>0</v>
      </c>
      <c r="T3383" s="75">
        <v>0</v>
      </c>
      <c r="U3383" s="75">
        <v>0</v>
      </c>
      <c r="V3383" s="75">
        <v>0</v>
      </c>
      <c r="W3383" s="78">
        <v>0</v>
      </c>
    </row>
    <row r="3384" spans="1:23" s="75" customFormat="1" hidden="1" x14ac:dyDescent="0.35">
      <c r="A3384" s="75">
        <v>3380</v>
      </c>
      <c r="B3384" s="75">
        <v>3381</v>
      </c>
      <c r="C3384">
        <v>146.0120652</v>
      </c>
      <c r="D3384">
        <v>-17.492470409999999</v>
      </c>
      <c r="F3384" s="75" t="str">
        <f>HYPERLINK("E:\Data From Lucan\2024\Johnstone\Frames_for_Analysis\3381_20240610_0005_L_0563.jpg","3381_20240610_0005_L_0563.jpg")</f>
        <v>3381_20240610_0005_L_0563.jpg</v>
      </c>
      <c r="G3384" s="75">
        <v>8</v>
      </c>
      <c r="I3384">
        <f t="shared" si="52"/>
        <v>0</v>
      </c>
      <c r="J3384" s="75">
        <v>0</v>
      </c>
      <c r="O3384" s="75">
        <v>1</v>
      </c>
      <c r="P3384" s="75">
        <v>0</v>
      </c>
      <c r="Q3384" s="75">
        <v>0</v>
      </c>
      <c r="R3384" s="75">
        <v>0</v>
      </c>
      <c r="S3384" s="75">
        <v>0</v>
      </c>
      <c r="T3384" s="75">
        <v>0</v>
      </c>
      <c r="U3384" s="75">
        <v>0</v>
      </c>
      <c r="V3384" s="75">
        <v>0</v>
      </c>
      <c r="W3384" s="78">
        <v>0</v>
      </c>
    </row>
    <row r="3385" spans="1:23" s="75" customFormat="1" hidden="1" x14ac:dyDescent="0.35">
      <c r="A3385" s="75">
        <v>3381</v>
      </c>
      <c r="B3385" s="75">
        <v>3382</v>
      </c>
      <c r="C3385">
        <v>146.01214479999999</v>
      </c>
      <c r="D3385">
        <v>-17.492420030000002</v>
      </c>
      <c r="F3385" s="75" t="str">
        <f>HYPERLINK("E:\Data From Lucan\2024\Johnstone\Frames_for_Analysis\3382_20240610_0005_L_0566.jpg","3382_20240610_0005_L_0566.jpg")</f>
        <v>3382_20240610_0005_L_0566.jpg</v>
      </c>
      <c r="G3385" s="75">
        <v>8</v>
      </c>
      <c r="I3385">
        <f t="shared" si="52"/>
        <v>0</v>
      </c>
      <c r="J3385" s="75">
        <v>0</v>
      </c>
      <c r="O3385" s="75">
        <v>1</v>
      </c>
      <c r="P3385" s="75">
        <v>0</v>
      </c>
      <c r="Q3385" s="75">
        <v>0</v>
      </c>
      <c r="R3385" s="75">
        <v>0</v>
      </c>
      <c r="S3385" s="75">
        <v>0</v>
      </c>
      <c r="T3385" s="75">
        <v>0</v>
      </c>
      <c r="U3385" s="75">
        <v>0</v>
      </c>
      <c r="V3385" s="75">
        <v>0</v>
      </c>
      <c r="W3385" s="78">
        <v>0</v>
      </c>
    </row>
    <row r="3386" spans="1:23" s="75" customFormat="1" hidden="1" x14ac:dyDescent="0.35">
      <c r="A3386" s="75">
        <v>3382</v>
      </c>
      <c r="B3386" s="75">
        <v>3383</v>
      </c>
      <c r="C3386">
        <v>146.0122236</v>
      </c>
      <c r="D3386">
        <v>-17.492368129999999</v>
      </c>
      <c r="F3386" s="75" t="str">
        <f>HYPERLINK("E:\Data From Lucan\2024\Johnstone\Frames_for_Analysis\3383_20240610_0005_L_0568.jpg","3383_20240610_0005_L_0568.jpg")</f>
        <v>3383_20240610_0005_L_0568.jpg</v>
      </c>
      <c r="G3386" s="75">
        <v>8</v>
      </c>
      <c r="I3386">
        <f t="shared" si="52"/>
        <v>0</v>
      </c>
      <c r="J3386" s="75">
        <v>0</v>
      </c>
      <c r="O3386" s="75">
        <v>1</v>
      </c>
      <c r="P3386" s="75">
        <v>0</v>
      </c>
      <c r="Q3386" s="75">
        <v>0</v>
      </c>
      <c r="R3386" s="75">
        <v>0</v>
      </c>
      <c r="S3386" s="75">
        <v>0</v>
      </c>
      <c r="T3386" s="75">
        <v>0</v>
      </c>
      <c r="U3386" s="75">
        <v>0</v>
      </c>
      <c r="V3386" s="75">
        <v>0</v>
      </c>
      <c r="W3386" s="78">
        <v>0</v>
      </c>
    </row>
    <row r="3387" spans="1:23" s="75" customFormat="1" hidden="1" x14ac:dyDescent="0.35">
      <c r="A3387" s="75">
        <v>3383</v>
      </c>
      <c r="B3387" s="75">
        <v>3384</v>
      </c>
      <c r="C3387">
        <v>146.01230229999999</v>
      </c>
      <c r="D3387">
        <v>-17.492316240000001</v>
      </c>
      <c r="F3387" s="75" t="str">
        <f>HYPERLINK("E:\Data From Lucan\2024\Johnstone\Frames_for_Analysis\3384_20240610_0005_L_0572.jpg","3384_20240610_0005_L_0572.jpg")</f>
        <v>3384_20240610_0005_L_0572.jpg</v>
      </c>
      <c r="G3387" s="75">
        <v>8</v>
      </c>
      <c r="I3387">
        <f t="shared" si="52"/>
        <v>0</v>
      </c>
      <c r="J3387" s="75">
        <v>0</v>
      </c>
      <c r="O3387" s="75">
        <v>1</v>
      </c>
      <c r="P3387" s="75">
        <v>0</v>
      </c>
      <c r="Q3387" s="75">
        <v>0</v>
      </c>
      <c r="R3387" s="75">
        <v>0</v>
      </c>
      <c r="S3387" s="75">
        <v>0</v>
      </c>
      <c r="T3387" s="75">
        <v>0</v>
      </c>
      <c r="U3387" s="75">
        <v>0</v>
      </c>
      <c r="V3387" s="75">
        <v>0</v>
      </c>
      <c r="W3387" s="78">
        <v>0</v>
      </c>
    </row>
    <row r="3388" spans="1:23" s="75" customFormat="1" hidden="1" x14ac:dyDescent="0.35">
      <c r="A3388" s="75">
        <v>3384</v>
      </c>
      <c r="B3388" s="75">
        <v>3385</v>
      </c>
      <c r="C3388">
        <v>146.012381</v>
      </c>
      <c r="D3388">
        <v>-17.492264339999998</v>
      </c>
      <c r="F3388" s="75" t="str">
        <f>HYPERLINK("E:\Data From Lucan\2024\Johnstone\Frames_for_Analysis\3385_20240610_0005_L_0575.jpg","3385_20240610_0005_L_0575.jpg")</f>
        <v>3385_20240610_0005_L_0575.jpg</v>
      </c>
      <c r="G3388" s="75">
        <v>8</v>
      </c>
      <c r="I3388">
        <f t="shared" si="52"/>
        <v>0</v>
      </c>
      <c r="J3388" s="75">
        <v>0</v>
      </c>
      <c r="O3388" s="75">
        <v>1</v>
      </c>
      <c r="P3388" s="75">
        <v>0</v>
      </c>
      <c r="Q3388" s="75">
        <v>0</v>
      </c>
      <c r="R3388" s="75">
        <v>0</v>
      </c>
      <c r="S3388" s="75">
        <v>0</v>
      </c>
      <c r="T3388" s="75">
        <v>0</v>
      </c>
      <c r="U3388" s="75">
        <v>0</v>
      </c>
      <c r="V3388" s="75">
        <v>0</v>
      </c>
      <c r="W3388" s="78">
        <v>0</v>
      </c>
    </row>
    <row r="3389" spans="1:23" s="75" customFormat="1" hidden="1" x14ac:dyDescent="0.35">
      <c r="A3389" s="75">
        <v>3385</v>
      </c>
      <c r="B3389" s="75">
        <v>3386</v>
      </c>
      <c r="C3389">
        <v>146.01245979999999</v>
      </c>
      <c r="D3389">
        <v>-17.49221245</v>
      </c>
      <c r="F3389" s="75" t="str">
        <f>HYPERLINK("E:\Data From Lucan\2024\Johnstone\Frames_for_Analysis\3386_20240610_0005_L_0577.jpg","3386_20240610_0005_L_0577.jpg")</f>
        <v>3386_20240610_0005_L_0577.jpg</v>
      </c>
      <c r="G3389" s="75">
        <v>8</v>
      </c>
      <c r="I3389">
        <f t="shared" si="52"/>
        <v>0</v>
      </c>
      <c r="J3389" s="75">
        <v>0</v>
      </c>
      <c r="O3389" s="75">
        <v>1</v>
      </c>
      <c r="P3389" s="75">
        <v>0</v>
      </c>
      <c r="Q3389" s="75">
        <v>0</v>
      </c>
      <c r="R3389" s="75">
        <v>0</v>
      </c>
      <c r="S3389" s="75">
        <v>0</v>
      </c>
      <c r="T3389" s="75">
        <v>0</v>
      </c>
      <c r="U3389" s="75">
        <v>0</v>
      </c>
      <c r="V3389" s="75">
        <v>0</v>
      </c>
      <c r="W3389" s="78">
        <v>0</v>
      </c>
    </row>
    <row r="3390" spans="1:23" s="75" customFormat="1" hidden="1" x14ac:dyDescent="0.35">
      <c r="A3390" s="75">
        <v>3386</v>
      </c>
      <c r="B3390" s="75">
        <v>3387</v>
      </c>
      <c r="C3390">
        <v>146.01253850000001</v>
      </c>
      <c r="D3390">
        <v>-17.492160550000001</v>
      </c>
      <c r="F3390" s="75" t="str">
        <f>HYPERLINK("E:\Data From Lucan\2024\Johnstone\Frames_for_Analysis\3387_20240610_0005_L_0580.jpg","3387_20240610_0005_L_0580.jpg")</f>
        <v>3387_20240610_0005_L_0580.jpg</v>
      </c>
      <c r="G3390" s="75">
        <v>8</v>
      </c>
      <c r="I3390">
        <f t="shared" si="52"/>
        <v>0</v>
      </c>
      <c r="J3390" s="75">
        <v>0</v>
      </c>
      <c r="O3390" s="75">
        <v>1</v>
      </c>
      <c r="P3390" s="75">
        <v>0</v>
      </c>
      <c r="Q3390" s="75">
        <v>0</v>
      </c>
      <c r="R3390" s="75">
        <v>0</v>
      </c>
      <c r="S3390" s="75">
        <v>0</v>
      </c>
      <c r="T3390" s="75">
        <v>0</v>
      </c>
      <c r="U3390" s="75">
        <v>0</v>
      </c>
      <c r="V3390" s="75">
        <v>0</v>
      </c>
      <c r="W3390" s="78">
        <v>0</v>
      </c>
    </row>
    <row r="3391" spans="1:23" s="75" customFormat="1" hidden="1" x14ac:dyDescent="0.35">
      <c r="A3391" s="75">
        <v>3387</v>
      </c>
      <c r="B3391" s="75">
        <v>3388</v>
      </c>
      <c r="C3391">
        <v>146.01261729999999</v>
      </c>
      <c r="D3391">
        <v>-17.49210866</v>
      </c>
      <c r="F3391" s="75" t="str">
        <f>HYPERLINK("E:\Data From Lucan\2024\Johnstone\Frames_for_Analysis\3388_20240610_0005_L_0583.jpg","3388_20240610_0005_L_0583.jpg")</f>
        <v>3388_20240610_0005_L_0583.jpg</v>
      </c>
      <c r="G3391" s="75">
        <v>8</v>
      </c>
      <c r="I3391">
        <f t="shared" si="52"/>
        <v>0</v>
      </c>
      <c r="J3391" s="75">
        <v>0</v>
      </c>
      <c r="O3391" s="75">
        <v>1</v>
      </c>
      <c r="P3391" s="75">
        <v>0</v>
      </c>
      <c r="Q3391" s="75">
        <v>0</v>
      </c>
      <c r="R3391" s="75">
        <v>0</v>
      </c>
      <c r="S3391" s="75">
        <v>0</v>
      </c>
      <c r="T3391" s="75">
        <v>0</v>
      </c>
      <c r="U3391" s="75">
        <v>0</v>
      </c>
      <c r="V3391" s="75">
        <v>0</v>
      </c>
      <c r="W3391" s="78">
        <v>0</v>
      </c>
    </row>
    <row r="3392" spans="1:23" s="75" customFormat="1" hidden="1" x14ac:dyDescent="0.35">
      <c r="A3392" s="75">
        <v>3388</v>
      </c>
      <c r="B3392" s="75">
        <v>3389</v>
      </c>
      <c r="C3392">
        <v>146.01269600000001</v>
      </c>
      <c r="D3392">
        <v>-17.492056770000001</v>
      </c>
      <c r="F3392" s="75" t="str">
        <f>HYPERLINK("E:\Data From Lucan\2024\Johnstone\Frames_for_Analysis\3389_20240610_0005_L_0586.jpg","3389_20240610_0005_L_0586.jpg")</f>
        <v>3389_20240610_0005_L_0586.jpg</v>
      </c>
      <c r="G3392" s="75">
        <v>8</v>
      </c>
      <c r="I3392">
        <f t="shared" si="52"/>
        <v>0</v>
      </c>
      <c r="J3392" s="75">
        <v>0</v>
      </c>
      <c r="O3392" s="75">
        <v>1</v>
      </c>
      <c r="P3392" s="75">
        <v>0</v>
      </c>
      <c r="Q3392" s="75">
        <v>0</v>
      </c>
      <c r="R3392" s="75">
        <v>0</v>
      </c>
      <c r="S3392" s="75">
        <v>0</v>
      </c>
      <c r="T3392" s="75">
        <v>0</v>
      </c>
      <c r="U3392" s="75">
        <v>0</v>
      </c>
      <c r="V3392" s="75">
        <v>0</v>
      </c>
      <c r="W3392" s="78">
        <v>0</v>
      </c>
    </row>
    <row r="3393" spans="1:23" s="75" customFormat="1" hidden="1" x14ac:dyDescent="0.35">
      <c r="A3393" s="75">
        <v>3389</v>
      </c>
      <c r="B3393" s="75">
        <v>3390</v>
      </c>
      <c r="C3393">
        <v>146.01277469999999</v>
      </c>
      <c r="D3393">
        <v>-17.492004869999999</v>
      </c>
      <c r="F3393" s="75" t="str">
        <f>HYPERLINK("E:\Data From Lucan\2024\Johnstone\Frames_for_Analysis\3390_20240610_0005_L_0588.jpg","3390_20240610_0005_L_0588.jpg")</f>
        <v>3390_20240610_0005_L_0588.jpg</v>
      </c>
      <c r="G3393" s="75">
        <v>8</v>
      </c>
      <c r="I3393">
        <f t="shared" si="52"/>
        <v>0</v>
      </c>
      <c r="J3393" s="75">
        <v>0</v>
      </c>
      <c r="O3393" s="75">
        <v>1</v>
      </c>
      <c r="P3393" s="75">
        <v>0</v>
      </c>
      <c r="Q3393" s="75">
        <v>0</v>
      </c>
      <c r="R3393" s="75">
        <v>0</v>
      </c>
      <c r="S3393" s="75">
        <v>0</v>
      </c>
      <c r="T3393" s="75">
        <v>0</v>
      </c>
      <c r="U3393" s="75">
        <v>0</v>
      </c>
      <c r="V3393" s="75">
        <v>0</v>
      </c>
      <c r="W3393" s="78">
        <v>0</v>
      </c>
    </row>
    <row r="3394" spans="1:23" s="75" customFormat="1" hidden="1" x14ac:dyDescent="0.35">
      <c r="A3394" s="75">
        <v>3390</v>
      </c>
      <c r="B3394" s="75">
        <v>3391</v>
      </c>
      <c r="C3394">
        <v>146.01285350000001</v>
      </c>
      <c r="D3394">
        <v>-17.491952980000001</v>
      </c>
      <c r="F3394" s="75" t="str">
        <f>HYPERLINK("E:\Data From Lucan\2024\Johnstone\Frames_for_Analysis\3391_20240610_0005_L_0591.jpg","3391_20240610_0005_L_0591.jpg")</f>
        <v>3391_20240610_0005_L_0591.jpg</v>
      </c>
      <c r="G3394" s="75">
        <v>8</v>
      </c>
      <c r="I3394">
        <f t="shared" si="52"/>
        <v>0</v>
      </c>
      <c r="J3394" s="75">
        <v>0</v>
      </c>
      <c r="O3394" s="75">
        <v>1</v>
      </c>
      <c r="P3394" s="75">
        <v>0</v>
      </c>
      <c r="Q3394" s="75">
        <v>0</v>
      </c>
      <c r="R3394" s="75">
        <v>0</v>
      </c>
      <c r="S3394" s="75">
        <v>0</v>
      </c>
      <c r="T3394" s="75">
        <v>0</v>
      </c>
      <c r="U3394" s="75">
        <v>0</v>
      </c>
      <c r="V3394" s="75">
        <v>0</v>
      </c>
      <c r="W3394" s="78">
        <v>0</v>
      </c>
    </row>
    <row r="3395" spans="1:23" s="75" customFormat="1" hidden="1" x14ac:dyDescent="0.35">
      <c r="A3395" s="75">
        <v>3391</v>
      </c>
      <c r="B3395" s="75">
        <v>3392</v>
      </c>
      <c r="C3395">
        <v>146.01293219999999</v>
      </c>
      <c r="D3395">
        <v>-17.491901080000002</v>
      </c>
      <c r="F3395" s="75" t="str">
        <f>HYPERLINK("E:\Data From Lucan\2024\Johnstone\Frames_for_Analysis\3392_20240610_0005_L_0594.jpg","3392_20240610_0005_L_0594.jpg")</f>
        <v>3392_20240610_0005_L_0594.jpg</v>
      </c>
      <c r="G3395" s="75">
        <v>8</v>
      </c>
      <c r="I3395">
        <f t="shared" si="52"/>
        <v>0</v>
      </c>
      <c r="J3395" s="75">
        <v>0</v>
      </c>
      <c r="O3395" s="75">
        <v>1</v>
      </c>
      <c r="P3395" s="75">
        <v>0</v>
      </c>
      <c r="Q3395" s="75">
        <v>0</v>
      </c>
      <c r="R3395" s="75">
        <v>0</v>
      </c>
      <c r="S3395" s="75">
        <v>0</v>
      </c>
      <c r="T3395" s="75">
        <v>0</v>
      </c>
      <c r="U3395" s="75">
        <v>0</v>
      </c>
      <c r="V3395" s="75">
        <v>0</v>
      </c>
      <c r="W3395" s="78">
        <v>0</v>
      </c>
    </row>
    <row r="3396" spans="1:23" s="75" customFormat="1" hidden="1" x14ac:dyDescent="0.35">
      <c r="A3396" s="75">
        <v>3392</v>
      </c>
      <c r="B3396" s="75">
        <v>3393</v>
      </c>
      <c r="C3396">
        <v>146.01301100000001</v>
      </c>
      <c r="D3396">
        <v>-17.49184919</v>
      </c>
      <c r="F3396" s="75" t="str">
        <f>HYPERLINK("E:\Data From Lucan\2024\Johnstone\Frames_for_Analysis\3393_20240610_0005_L_0597.jpg","3393_20240610_0005_L_0597.jpg")</f>
        <v>3393_20240610_0005_L_0597.jpg</v>
      </c>
      <c r="G3396" s="75">
        <v>8</v>
      </c>
      <c r="I3396">
        <f t="shared" si="52"/>
        <v>0</v>
      </c>
      <c r="J3396" s="75">
        <v>0</v>
      </c>
      <c r="O3396" s="75">
        <v>1</v>
      </c>
      <c r="P3396" s="75">
        <v>0</v>
      </c>
      <c r="Q3396" s="75">
        <v>0</v>
      </c>
      <c r="R3396" s="75">
        <v>0</v>
      </c>
      <c r="S3396" s="75">
        <v>0</v>
      </c>
      <c r="T3396" s="75">
        <v>0</v>
      </c>
      <c r="U3396" s="75">
        <v>0</v>
      </c>
      <c r="V3396" s="75">
        <v>0</v>
      </c>
      <c r="W3396" s="78">
        <v>0</v>
      </c>
    </row>
    <row r="3397" spans="1:23" s="75" customFormat="1" hidden="1" x14ac:dyDescent="0.35">
      <c r="A3397" s="75">
        <v>3393</v>
      </c>
      <c r="B3397" s="75">
        <v>3394</v>
      </c>
      <c r="C3397">
        <v>146.01308969999999</v>
      </c>
      <c r="D3397">
        <v>-17.491797300000002</v>
      </c>
      <c r="F3397" s="75" t="str">
        <f>HYPERLINK("E:\Data From Lucan\2024\Johnstone\Frames_for_Analysis\3394_20240610_0005_L_0600.jpg","3394_20240610_0005_L_0600.jpg")</f>
        <v>3394_20240610_0005_L_0600.jpg</v>
      </c>
      <c r="G3397" s="75">
        <v>8</v>
      </c>
      <c r="I3397">
        <f t="shared" ref="I3397:I3460" si="53">IF(H3397="X","X",IF(J3397="NA","X",IF(J3397="","X",J3397)))</f>
        <v>0</v>
      </c>
      <c r="J3397" s="75">
        <v>0</v>
      </c>
      <c r="O3397" s="75">
        <v>1</v>
      </c>
      <c r="P3397" s="75">
        <v>0</v>
      </c>
      <c r="Q3397" s="75">
        <v>0</v>
      </c>
      <c r="R3397" s="75">
        <v>0</v>
      </c>
      <c r="S3397" s="75">
        <v>0</v>
      </c>
      <c r="T3397" s="75">
        <v>0</v>
      </c>
      <c r="U3397" s="75">
        <v>0</v>
      </c>
      <c r="V3397" s="75">
        <v>0</v>
      </c>
      <c r="W3397" s="78">
        <v>0</v>
      </c>
    </row>
    <row r="3398" spans="1:23" s="75" customFormat="1" hidden="1" x14ac:dyDescent="0.35">
      <c r="A3398" s="75">
        <v>3394</v>
      </c>
      <c r="B3398" s="75">
        <v>3395</v>
      </c>
      <c r="C3398">
        <v>146.01316850000001</v>
      </c>
      <c r="D3398">
        <v>-17.491745399999999</v>
      </c>
      <c r="F3398" s="75" t="str">
        <f>HYPERLINK("E:\Data From Lucan\2024\Johnstone\Frames_for_Analysis\3395_20240610_0005_L_0602.jpg","3395_20240610_0005_L_0602.jpg")</f>
        <v>3395_20240610_0005_L_0602.jpg</v>
      </c>
      <c r="G3398" s="75">
        <v>8</v>
      </c>
      <c r="I3398">
        <f t="shared" si="53"/>
        <v>0</v>
      </c>
      <c r="J3398" s="75">
        <v>0</v>
      </c>
      <c r="O3398" s="75">
        <v>1</v>
      </c>
      <c r="P3398" s="75">
        <v>0</v>
      </c>
      <c r="Q3398" s="75">
        <v>0</v>
      </c>
      <c r="R3398" s="75">
        <v>0</v>
      </c>
      <c r="S3398" s="75">
        <v>0</v>
      </c>
      <c r="T3398" s="75">
        <v>0</v>
      </c>
      <c r="U3398" s="75">
        <v>0</v>
      </c>
      <c r="V3398" s="75">
        <v>0</v>
      </c>
      <c r="W3398" s="78">
        <v>0</v>
      </c>
    </row>
    <row r="3399" spans="1:23" s="75" customFormat="1" hidden="1" x14ac:dyDescent="0.35">
      <c r="A3399" s="75">
        <v>3395</v>
      </c>
      <c r="B3399" s="75">
        <v>3396</v>
      </c>
      <c r="C3399">
        <v>146.0132472</v>
      </c>
      <c r="D3399">
        <v>-17.491693510000001</v>
      </c>
      <c r="F3399" s="75" t="str">
        <f>HYPERLINK("E:\Data From Lucan\2024\Johnstone\Frames_for_Analysis\3396_20240610_0005_L_0605.jpg","3396_20240610_0005_L_0605.jpg")</f>
        <v>3396_20240610_0005_L_0605.jpg</v>
      </c>
      <c r="G3399" s="75">
        <v>8</v>
      </c>
      <c r="I3399">
        <f t="shared" si="53"/>
        <v>0</v>
      </c>
      <c r="J3399" s="75">
        <v>0</v>
      </c>
      <c r="O3399" s="75">
        <v>1</v>
      </c>
      <c r="P3399" s="75">
        <v>0</v>
      </c>
      <c r="Q3399" s="75">
        <v>0</v>
      </c>
      <c r="R3399" s="75">
        <v>0</v>
      </c>
      <c r="S3399" s="75">
        <v>0</v>
      </c>
      <c r="T3399" s="75">
        <v>0</v>
      </c>
      <c r="U3399" s="75">
        <v>0</v>
      </c>
      <c r="V3399" s="75">
        <v>0</v>
      </c>
      <c r="W3399" s="78">
        <v>0</v>
      </c>
    </row>
    <row r="3400" spans="1:23" s="75" customFormat="1" hidden="1" x14ac:dyDescent="0.35">
      <c r="A3400" s="75">
        <v>3396</v>
      </c>
      <c r="B3400" s="75">
        <v>3397</v>
      </c>
      <c r="C3400">
        <v>146.01332479999999</v>
      </c>
      <c r="D3400">
        <v>-17.49164004</v>
      </c>
      <c r="F3400" s="75" t="str">
        <f>HYPERLINK("E:\Data From Lucan\2024\Johnstone\Frames_for_Analysis\3397_20240610_0005_L_0607.jpg","3397_20240610_0005_L_0607.jpg")</f>
        <v>3397_20240610_0005_L_0607.jpg</v>
      </c>
      <c r="G3400" s="75">
        <v>8</v>
      </c>
      <c r="I3400">
        <f t="shared" si="53"/>
        <v>0</v>
      </c>
      <c r="J3400" s="75">
        <v>0</v>
      </c>
      <c r="O3400" s="75">
        <v>1</v>
      </c>
      <c r="P3400" s="75">
        <v>0</v>
      </c>
      <c r="Q3400" s="75">
        <v>0</v>
      </c>
      <c r="R3400" s="75">
        <v>0</v>
      </c>
      <c r="S3400" s="75">
        <v>0</v>
      </c>
      <c r="T3400" s="75">
        <v>0</v>
      </c>
      <c r="U3400" s="75">
        <v>0</v>
      </c>
      <c r="V3400" s="75">
        <v>1</v>
      </c>
      <c r="W3400" s="78">
        <v>0</v>
      </c>
    </row>
    <row r="3401" spans="1:23" s="75" customFormat="1" hidden="1" x14ac:dyDescent="0.35">
      <c r="A3401" s="75">
        <v>3397</v>
      </c>
      <c r="B3401" s="75">
        <v>3398</v>
      </c>
      <c r="C3401">
        <v>146.0134008</v>
      </c>
      <c r="D3401">
        <v>-17.49158409</v>
      </c>
      <c r="F3401" s="75" t="str">
        <f>HYPERLINK("E:\Data From Lucan\2024\Johnstone\Frames_for_Analysis\3398_20240610_0005_L_0610.jpg","3398_20240610_0005_L_0610.jpg")</f>
        <v>3398_20240610_0005_L_0610.jpg</v>
      </c>
      <c r="G3401" s="75">
        <v>8</v>
      </c>
      <c r="I3401">
        <f t="shared" si="53"/>
        <v>0</v>
      </c>
      <c r="J3401" s="75">
        <v>0</v>
      </c>
      <c r="O3401" s="75">
        <v>1</v>
      </c>
      <c r="P3401" s="75">
        <v>0</v>
      </c>
      <c r="Q3401" s="75">
        <v>0</v>
      </c>
      <c r="R3401" s="75">
        <v>0</v>
      </c>
      <c r="S3401" s="75">
        <v>0</v>
      </c>
      <c r="T3401" s="75">
        <v>0</v>
      </c>
      <c r="U3401" s="75">
        <v>0</v>
      </c>
      <c r="V3401" s="75">
        <v>0</v>
      </c>
      <c r="W3401" s="78">
        <v>0</v>
      </c>
    </row>
    <row r="3402" spans="1:23" s="75" customFormat="1" hidden="1" x14ac:dyDescent="0.35">
      <c r="A3402" s="75">
        <v>3398</v>
      </c>
      <c r="B3402" s="75">
        <v>3399</v>
      </c>
      <c r="C3402">
        <v>146.01347670000001</v>
      </c>
      <c r="D3402">
        <v>-17.49152814</v>
      </c>
      <c r="F3402" s="75" t="str">
        <f>HYPERLINK("E:\Data From Lucan\2024\Johnstone\Frames_for_Analysis\3399_20240610_0005_L_0613.jpg","3399_20240610_0005_L_0613.jpg")</f>
        <v>3399_20240610_0005_L_0613.jpg</v>
      </c>
      <c r="G3402" s="75">
        <v>8</v>
      </c>
      <c r="I3402">
        <f t="shared" si="53"/>
        <v>0</v>
      </c>
      <c r="J3402" s="75">
        <v>0</v>
      </c>
      <c r="O3402" s="75">
        <v>1</v>
      </c>
      <c r="P3402" s="75">
        <v>0</v>
      </c>
      <c r="Q3402" s="75">
        <v>0</v>
      </c>
      <c r="R3402" s="75">
        <v>0</v>
      </c>
      <c r="S3402" s="75">
        <v>0</v>
      </c>
      <c r="T3402" s="75">
        <v>0</v>
      </c>
      <c r="U3402" s="75">
        <v>0</v>
      </c>
      <c r="V3402" s="75">
        <v>0</v>
      </c>
      <c r="W3402" s="78">
        <v>0</v>
      </c>
    </row>
    <row r="3403" spans="1:23" s="75" customFormat="1" hidden="1" x14ac:dyDescent="0.35">
      <c r="A3403" s="75">
        <v>3399</v>
      </c>
      <c r="B3403" s="75">
        <v>3400</v>
      </c>
      <c r="C3403">
        <v>146.0135526</v>
      </c>
      <c r="D3403">
        <v>-17.49147219</v>
      </c>
      <c r="F3403" s="75" t="str">
        <f>HYPERLINK("E:\Data From Lucan\2024\Johnstone\Frames_for_Analysis\3400_20240610_0005_L_0616.jpg","3400_20240610_0005_L_0616.jpg")</f>
        <v>3400_20240610_0005_L_0616.jpg</v>
      </c>
      <c r="G3403" s="75">
        <v>8</v>
      </c>
      <c r="I3403">
        <f t="shared" si="53"/>
        <v>0</v>
      </c>
      <c r="J3403" s="75">
        <v>0</v>
      </c>
      <c r="O3403" s="75">
        <v>1</v>
      </c>
      <c r="P3403" s="75">
        <v>0</v>
      </c>
      <c r="Q3403" s="75">
        <v>0</v>
      </c>
      <c r="R3403" s="75">
        <v>0</v>
      </c>
      <c r="S3403" s="75">
        <v>0</v>
      </c>
      <c r="T3403" s="75">
        <v>0</v>
      </c>
      <c r="U3403" s="75">
        <v>0</v>
      </c>
      <c r="V3403" s="75">
        <v>0</v>
      </c>
      <c r="W3403" s="78">
        <v>0</v>
      </c>
    </row>
    <row r="3404" spans="1:23" s="75" customFormat="1" hidden="1" x14ac:dyDescent="0.35">
      <c r="A3404" s="75">
        <v>3400</v>
      </c>
      <c r="B3404" s="75">
        <v>3401</v>
      </c>
      <c r="C3404">
        <v>146.01362850000001</v>
      </c>
      <c r="D3404">
        <v>-17.49141624</v>
      </c>
      <c r="F3404" s="75" t="str">
        <f>HYPERLINK("E:\Data From Lucan\2024\Johnstone\Frames_for_Analysis\3401_20240610_0005_L_0618.jpg","3401_20240610_0005_L_0618.jpg")</f>
        <v>3401_20240610_0005_L_0618.jpg</v>
      </c>
      <c r="G3404" s="75">
        <v>8</v>
      </c>
      <c r="I3404">
        <f t="shared" si="53"/>
        <v>0</v>
      </c>
      <c r="J3404" s="75">
        <v>0</v>
      </c>
      <c r="O3404" s="75">
        <v>2</v>
      </c>
      <c r="P3404" s="75">
        <v>0</v>
      </c>
      <c r="Q3404" s="75">
        <v>0</v>
      </c>
      <c r="R3404" s="75">
        <v>0</v>
      </c>
      <c r="S3404" s="75">
        <v>0</v>
      </c>
      <c r="T3404" s="75">
        <v>0</v>
      </c>
      <c r="U3404" s="75">
        <v>0</v>
      </c>
      <c r="V3404" s="75">
        <v>0</v>
      </c>
      <c r="W3404" s="78">
        <v>1</v>
      </c>
    </row>
    <row r="3405" spans="1:23" s="75" customFormat="1" hidden="1" x14ac:dyDescent="0.35">
      <c r="A3405" s="75">
        <v>3401</v>
      </c>
      <c r="B3405" s="75">
        <v>3402</v>
      </c>
      <c r="C3405">
        <v>146.01370439999999</v>
      </c>
      <c r="D3405">
        <v>-17.491360289999999</v>
      </c>
      <c r="F3405" s="75" t="str">
        <f>HYPERLINK("E:\Data From Lucan\2024\Johnstone\Frames_for_Analysis\3402_20240610_0005_L_0622.jpg","3402_20240610_0005_L_0622.jpg")</f>
        <v>3402_20240610_0005_L_0622.jpg</v>
      </c>
      <c r="G3405" s="75">
        <v>8</v>
      </c>
      <c r="I3405">
        <f t="shared" si="53"/>
        <v>0</v>
      </c>
      <c r="J3405" s="75">
        <v>0</v>
      </c>
      <c r="O3405" s="75">
        <v>2</v>
      </c>
      <c r="P3405" s="75">
        <v>0</v>
      </c>
      <c r="Q3405" s="75">
        <v>0</v>
      </c>
      <c r="R3405" s="75">
        <v>0</v>
      </c>
      <c r="S3405" s="75">
        <v>0</v>
      </c>
      <c r="T3405" s="75">
        <v>0</v>
      </c>
      <c r="U3405" s="75">
        <v>0</v>
      </c>
      <c r="V3405" s="75">
        <v>0</v>
      </c>
      <c r="W3405" s="78">
        <v>1</v>
      </c>
    </row>
    <row r="3406" spans="1:23" s="75" customFormat="1" hidden="1" x14ac:dyDescent="0.35">
      <c r="A3406" s="75">
        <v>3402</v>
      </c>
      <c r="B3406" s="75">
        <v>3403</v>
      </c>
      <c r="C3406">
        <v>146.01378030000001</v>
      </c>
      <c r="D3406">
        <v>-17.491304339999999</v>
      </c>
      <c r="F3406" s="75" t="str">
        <f>HYPERLINK("E:\Data From Lucan\2024\Johnstone\Frames_for_Analysis\3403_20240610_0005_L_0625.jpg","3403_20240610_0005_L_0625.jpg")</f>
        <v>3403_20240610_0005_L_0625.jpg</v>
      </c>
      <c r="G3406" s="75">
        <v>8</v>
      </c>
      <c r="I3406">
        <f t="shared" si="53"/>
        <v>0</v>
      </c>
      <c r="J3406" s="75">
        <v>0</v>
      </c>
      <c r="O3406" s="75">
        <v>1</v>
      </c>
      <c r="P3406" s="75">
        <v>0</v>
      </c>
      <c r="Q3406" s="75">
        <v>0</v>
      </c>
      <c r="R3406" s="75">
        <v>0</v>
      </c>
      <c r="S3406" s="75">
        <v>0</v>
      </c>
      <c r="T3406" s="75">
        <v>0</v>
      </c>
      <c r="U3406" s="75">
        <v>0</v>
      </c>
      <c r="V3406" s="75">
        <v>0</v>
      </c>
      <c r="W3406" s="78">
        <v>0</v>
      </c>
    </row>
    <row r="3407" spans="1:23" s="75" customFormat="1" hidden="1" x14ac:dyDescent="0.35">
      <c r="A3407" s="75">
        <v>3403</v>
      </c>
      <c r="B3407" s="75">
        <v>3404</v>
      </c>
      <c r="C3407">
        <v>146.01385619999999</v>
      </c>
      <c r="D3407">
        <v>-17.491248389999999</v>
      </c>
      <c r="F3407" s="75" t="str">
        <f>HYPERLINK("E:\Data From Lucan\2024\Johnstone\Frames_for_Analysis\3404_20240610_0005_L_0628.jpg","3404_20240610_0005_L_0628.jpg")</f>
        <v>3404_20240610_0005_L_0628.jpg</v>
      </c>
      <c r="G3407" s="75">
        <v>8</v>
      </c>
      <c r="I3407">
        <f t="shared" si="53"/>
        <v>0</v>
      </c>
      <c r="J3407" s="75">
        <v>0</v>
      </c>
      <c r="O3407" s="75">
        <v>1</v>
      </c>
      <c r="P3407" s="75">
        <v>0</v>
      </c>
      <c r="Q3407" s="75">
        <v>0</v>
      </c>
      <c r="R3407" s="75">
        <v>0</v>
      </c>
      <c r="S3407" s="75">
        <v>0</v>
      </c>
      <c r="T3407" s="75">
        <v>0</v>
      </c>
      <c r="U3407" s="75">
        <v>0</v>
      </c>
      <c r="V3407" s="75">
        <v>0</v>
      </c>
      <c r="W3407" s="78">
        <v>0</v>
      </c>
    </row>
    <row r="3408" spans="1:23" s="75" customFormat="1" hidden="1" x14ac:dyDescent="0.35">
      <c r="A3408" s="75">
        <v>3404</v>
      </c>
      <c r="B3408" s="75">
        <v>3405</v>
      </c>
      <c r="C3408">
        <v>146.01393210000001</v>
      </c>
      <c r="D3408">
        <v>-17.491192439999999</v>
      </c>
      <c r="F3408" s="75" t="str">
        <f>HYPERLINK("E:\Data From Lucan\2024\Johnstone\Frames_for_Analysis\3405_20240610_0005_L_0631.jpg","3405_20240610_0005_L_0631.jpg")</f>
        <v>3405_20240610_0005_L_0631.jpg</v>
      </c>
      <c r="G3408" s="75">
        <v>8</v>
      </c>
      <c r="I3408">
        <f t="shared" si="53"/>
        <v>0</v>
      </c>
      <c r="J3408" s="75">
        <v>0</v>
      </c>
      <c r="O3408" s="75">
        <v>1</v>
      </c>
      <c r="P3408" s="75">
        <v>0</v>
      </c>
      <c r="Q3408" s="75">
        <v>0</v>
      </c>
      <c r="R3408" s="75">
        <v>0</v>
      </c>
      <c r="S3408" s="75">
        <v>0</v>
      </c>
      <c r="T3408" s="75">
        <v>0</v>
      </c>
      <c r="U3408" s="75">
        <v>0</v>
      </c>
      <c r="V3408" s="75">
        <v>0</v>
      </c>
      <c r="W3408" s="78">
        <v>0</v>
      </c>
    </row>
    <row r="3409" spans="1:23" s="75" customFormat="1" hidden="1" x14ac:dyDescent="0.35">
      <c r="A3409" s="75">
        <v>3405</v>
      </c>
      <c r="B3409" s="75">
        <v>3406</v>
      </c>
      <c r="C3409">
        <v>146.01400810000001</v>
      </c>
      <c r="D3409">
        <v>-17.491136489999999</v>
      </c>
      <c r="F3409" s="75" t="str">
        <f>HYPERLINK("E:\Data From Lucan\2024\Johnstone\Frames_for_Analysis\3406_20240610_0005_L_0633.jpg","3406_20240610_0005_L_0633.jpg")</f>
        <v>3406_20240610_0005_L_0633.jpg</v>
      </c>
      <c r="G3409" s="75">
        <v>8</v>
      </c>
      <c r="I3409">
        <f t="shared" si="53"/>
        <v>0</v>
      </c>
      <c r="J3409" s="75">
        <v>0</v>
      </c>
      <c r="O3409" s="75">
        <v>1</v>
      </c>
      <c r="P3409" s="75">
        <v>0</v>
      </c>
      <c r="Q3409" s="75">
        <v>0</v>
      </c>
      <c r="R3409" s="75">
        <v>0</v>
      </c>
      <c r="S3409" s="75">
        <v>0</v>
      </c>
      <c r="T3409" s="75">
        <v>0</v>
      </c>
      <c r="U3409" s="75">
        <v>0</v>
      </c>
      <c r="V3409" s="75">
        <v>0</v>
      </c>
      <c r="W3409" s="78">
        <v>0</v>
      </c>
    </row>
    <row r="3410" spans="1:23" s="75" customFormat="1" hidden="1" x14ac:dyDescent="0.35">
      <c r="A3410" s="75">
        <v>3406</v>
      </c>
      <c r="B3410" s="75">
        <v>3407</v>
      </c>
      <c r="C3410">
        <v>146.014084</v>
      </c>
      <c r="D3410">
        <v>-17.491080539999999</v>
      </c>
      <c r="F3410" s="75" t="str">
        <f>HYPERLINK("E:\Data From Lucan\2024\Johnstone\Frames_for_Analysis\3407_20240610_0005_L_0635.jpg","3407_20240610_0005_L_0635.jpg")</f>
        <v>3407_20240610_0005_L_0635.jpg</v>
      </c>
      <c r="G3410" s="75">
        <v>8</v>
      </c>
      <c r="I3410">
        <f t="shared" si="53"/>
        <v>0</v>
      </c>
      <c r="J3410" s="75">
        <v>0</v>
      </c>
      <c r="O3410" s="75">
        <v>1</v>
      </c>
      <c r="P3410" s="75">
        <v>0</v>
      </c>
      <c r="Q3410" s="75">
        <v>0</v>
      </c>
      <c r="R3410" s="75">
        <v>0</v>
      </c>
      <c r="S3410" s="75">
        <v>0</v>
      </c>
      <c r="T3410" s="75">
        <v>0</v>
      </c>
      <c r="U3410" s="75">
        <v>0</v>
      </c>
      <c r="V3410" s="75">
        <v>0</v>
      </c>
      <c r="W3410" s="78">
        <v>0</v>
      </c>
    </row>
    <row r="3411" spans="1:23" s="75" customFormat="1" hidden="1" x14ac:dyDescent="0.35">
      <c r="A3411" s="75">
        <v>3407</v>
      </c>
      <c r="B3411" s="75">
        <v>3408</v>
      </c>
      <c r="C3411">
        <v>146.01415940000001</v>
      </c>
      <c r="D3411">
        <v>-17.491023989999999</v>
      </c>
      <c r="F3411" s="75" t="str">
        <f>HYPERLINK("E:\Data From Lucan\2024\Johnstone\Frames_for_Analysis\3408_20240610_0005_L_0636.jpg","3408_20240610_0005_L_0636.jpg")</f>
        <v>3408_20240610_0005_L_0636.jpg</v>
      </c>
      <c r="G3411" s="75">
        <v>8</v>
      </c>
      <c r="I3411">
        <f t="shared" si="53"/>
        <v>0</v>
      </c>
      <c r="J3411" s="75">
        <v>0</v>
      </c>
      <c r="O3411" s="75">
        <v>1</v>
      </c>
      <c r="P3411" s="75">
        <v>0</v>
      </c>
      <c r="Q3411" s="75">
        <v>0</v>
      </c>
      <c r="R3411" s="75">
        <v>0</v>
      </c>
      <c r="S3411" s="75">
        <v>0</v>
      </c>
      <c r="T3411" s="75">
        <v>0</v>
      </c>
      <c r="U3411" s="75">
        <v>0</v>
      </c>
      <c r="V3411" s="75">
        <v>0</v>
      </c>
      <c r="W3411" s="78">
        <v>0</v>
      </c>
    </row>
    <row r="3412" spans="1:23" s="75" customFormat="1" hidden="1" x14ac:dyDescent="0.35">
      <c r="A3412" s="75">
        <v>3408</v>
      </c>
      <c r="B3412" s="75">
        <v>3409</v>
      </c>
      <c r="C3412">
        <v>146.01423299999999</v>
      </c>
      <c r="D3412">
        <v>-17.490964980000001</v>
      </c>
      <c r="F3412" s="75" t="str">
        <f>HYPERLINK("E:\Data From Lucan\2024\Johnstone\Frames_for_Analysis\3409_20240610_0005_L_0637.jpg","3409_20240610_0005_L_0637.jpg")</f>
        <v>3409_20240610_0005_L_0637.jpg</v>
      </c>
      <c r="G3412" s="75">
        <v>8</v>
      </c>
      <c r="I3412">
        <f t="shared" si="53"/>
        <v>0</v>
      </c>
      <c r="J3412" s="75">
        <v>0</v>
      </c>
      <c r="O3412" s="75">
        <v>1</v>
      </c>
      <c r="P3412" s="75">
        <v>0</v>
      </c>
      <c r="Q3412" s="75">
        <v>0</v>
      </c>
      <c r="R3412" s="75">
        <v>0</v>
      </c>
      <c r="S3412" s="75">
        <v>0</v>
      </c>
      <c r="T3412" s="75">
        <v>0</v>
      </c>
      <c r="U3412" s="75">
        <v>0</v>
      </c>
      <c r="V3412" s="75">
        <v>0</v>
      </c>
      <c r="W3412" s="78">
        <v>0</v>
      </c>
    </row>
    <row r="3413" spans="1:23" s="75" customFormat="1" hidden="1" x14ac:dyDescent="0.35">
      <c r="A3413" s="75">
        <v>3409</v>
      </c>
      <c r="B3413" s="75">
        <v>3410</v>
      </c>
      <c r="C3413">
        <v>146.0143065</v>
      </c>
      <c r="D3413">
        <v>-17.49090597</v>
      </c>
      <c r="F3413" s="75" t="str">
        <f>HYPERLINK("E:\Data From Lucan\2024\Johnstone\Frames_for_Analysis\3410_20240610_0005_L_0638.jpg","3410_20240610_0005_L_0638.jpg")</f>
        <v>3410_20240610_0005_L_0638.jpg</v>
      </c>
      <c r="G3413" s="75">
        <v>8</v>
      </c>
      <c r="I3413">
        <f t="shared" si="53"/>
        <v>0</v>
      </c>
      <c r="J3413" s="75">
        <v>0</v>
      </c>
      <c r="O3413" s="75">
        <v>1</v>
      </c>
      <c r="P3413" s="75">
        <v>0</v>
      </c>
      <c r="Q3413" s="75">
        <v>0</v>
      </c>
      <c r="R3413" s="75">
        <v>0</v>
      </c>
      <c r="S3413" s="75">
        <v>0</v>
      </c>
      <c r="T3413" s="75">
        <v>0</v>
      </c>
      <c r="U3413" s="75">
        <v>0</v>
      </c>
      <c r="V3413" s="75">
        <v>0</v>
      </c>
      <c r="W3413" s="78">
        <v>0</v>
      </c>
    </row>
    <row r="3414" spans="1:23" s="75" customFormat="1" hidden="1" x14ac:dyDescent="0.35">
      <c r="A3414" s="75">
        <v>3410</v>
      </c>
      <c r="B3414" s="75">
        <v>3411</v>
      </c>
      <c r="C3414">
        <v>146.01438010000001</v>
      </c>
      <c r="D3414">
        <v>-17.490846959999999</v>
      </c>
      <c r="F3414" s="75" t="str">
        <f>HYPERLINK("E:\Data From Lucan\2024\Johnstone\Frames_for_Analysis\3411_20240610_0005_L_0639.jpg","3411_20240610_0005_L_0639.jpg")</f>
        <v>3411_20240610_0005_L_0639.jpg</v>
      </c>
      <c r="G3414" s="75">
        <v>8</v>
      </c>
      <c r="I3414">
        <f t="shared" si="53"/>
        <v>0</v>
      </c>
      <c r="J3414" s="75">
        <v>0</v>
      </c>
      <c r="O3414" s="75">
        <v>1</v>
      </c>
      <c r="P3414" s="75">
        <v>0</v>
      </c>
      <c r="Q3414" s="75">
        <v>0</v>
      </c>
      <c r="R3414" s="75">
        <v>0</v>
      </c>
      <c r="S3414" s="75">
        <v>0</v>
      </c>
      <c r="T3414" s="75">
        <v>0</v>
      </c>
      <c r="U3414" s="75">
        <v>0</v>
      </c>
      <c r="V3414" s="75">
        <v>0</v>
      </c>
      <c r="W3414" s="78">
        <v>0</v>
      </c>
    </row>
    <row r="3415" spans="1:23" s="75" customFormat="1" hidden="1" x14ac:dyDescent="0.35">
      <c r="A3415" s="75">
        <v>3411</v>
      </c>
      <c r="B3415" s="75">
        <v>3412</v>
      </c>
      <c r="C3415">
        <v>146.01445369999999</v>
      </c>
      <c r="D3415">
        <v>-17.490787950000001</v>
      </c>
      <c r="F3415" s="75" t="str">
        <f>HYPERLINK("E:\Data From Lucan\2024\Johnstone\Frames_for_Analysis\3412_20240610_0005_L_0641.jpg","3412_20240610_0005_L_0641.jpg")</f>
        <v>3412_20240610_0005_L_0641.jpg</v>
      </c>
      <c r="G3415" s="75">
        <v>8</v>
      </c>
      <c r="I3415">
        <f t="shared" si="53"/>
        <v>0</v>
      </c>
      <c r="J3415" s="75">
        <v>0</v>
      </c>
      <c r="O3415" s="75">
        <v>1</v>
      </c>
      <c r="P3415" s="75">
        <v>0</v>
      </c>
      <c r="Q3415" s="75">
        <v>0</v>
      </c>
      <c r="R3415" s="75">
        <v>0</v>
      </c>
      <c r="S3415" s="75">
        <v>0</v>
      </c>
      <c r="T3415" s="75">
        <v>0</v>
      </c>
      <c r="U3415" s="75">
        <v>0</v>
      </c>
      <c r="V3415" s="75">
        <v>0</v>
      </c>
      <c r="W3415" s="78">
        <v>0</v>
      </c>
    </row>
    <row r="3416" spans="1:23" s="75" customFormat="1" hidden="1" x14ac:dyDescent="0.35">
      <c r="A3416" s="75">
        <v>3412</v>
      </c>
      <c r="B3416" s="75">
        <v>3413</v>
      </c>
      <c r="C3416">
        <v>146.0145272</v>
      </c>
      <c r="D3416">
        <v>-17.49072893</v>
      </c>
      <c r="F3416" s="75" t="str">
        <f>HYPERLINK("E:\Data From Lucan\2024\Johnstone\Frames_for_Analysis\3413_20240610_0005_L_0642.jpg","3413_20240610_0005_L_0642.jpg")</f>
        <v>3413_20240610_0005_L_0642.jpg</v>
      </c>
      <c r="G3416" s="75">
        <v>8</v>
      </c>
      <c r="I3416">
        <f t="shared" si="53"/>
        <v>0</v>
      </c>
      <c r="J3416" s="75">
        <v>0</v>
      </c>
      <c r="O3416" s="75">
        <v>1</v>
      </c>
      <c r="P3416" s="75">
        <v>0</v>
      </c>
      <c r="Q3416" s="75">
        <v>0</v>
      </c>
      <c r="R3416" s="75">
        <v>0</v>
      </c>
      <c r="S3416" s="75">
        <v>0</v>
      </c>
      <c r="T3416" s="75">
        <v>0</v>
      </c>
      <c r="U3416" s="75">
        <v>0</v>
      </c>
      <c r="V3416" s="75">
        <v>0</v>
      </c>
      <c r="W3416" s="78">
        <v>0</v>
      </c>
    </row>
    <row r="3417" spans="1:23" s="75" customFormat="1" hidden="1" x14ac:dyDescent="0.35">
      <c r="A3417" s="75">
        <v>3413</v>
      </c>
      <c r="B3417" s="75">
        <v>3414</v>
      </c>
      <c r="C3417">
        <v>146.01460080000001</v>
      </c>
      <c r="D3417">
        <v>-17.490669919999998</v>
      </c>
      <c r="F3417" s="75" t="str">
        <f>HYPERLINK("E:\Data From Lucan\2024\Johnstone\Frames_for_Analysis\3414_20240610_0005_L_0643.jpg","3414_20240610_0005_L_0643.jpg")</f>
        <v>3414_20240610_0005_L_0643.jpg</v>
      </c>
      <c r="G3417" s="75">
        <v>8</v>
      </c>
      <c r="I3417">
        <f t="shared" si="53"/>
        <v>0</v>
      </c>
      <c r="J3417" s="75">
        <v>0</v>
      </c>
      <c r="O3417" s="75">
        <v>1</v>
      </c>
      <c r="P3417" s="75">
        <v>0</v>
      </c>
      <c r="Q3417" s="75">
        <v>0</v>
      </c>
      <c r="R3417" s="75">
        <v>0</v>
      </c>
      <c r="S3417" s="75">
        <v>0</v>
      </c>
      <c r="T3417" s="75">
        <v>0</v>
      </c>
      <c r="U3417" s="75">
        <v>0</v>
      </c>
      <c r="V3417" s="75">
        <v>0</v>
      </c>
      <c r="W3417" s="78">
        <v>0</v>
      </c>
    </row>
    <row r="3418" spans="1:23" s="75" customFormat="1" hidden="1" x14ac:dyDescent="0.35">
      <c r="A3418" s="75">
        <v>3414</v>
      </c>
      <c r="B3418" s="75">
        <v>3415</v>
      </c>
      <c r="C3418">
        <v>146.0146743</v>
      </c>
      <c r="D3418">
        <v>-17.490610910000001</v>
      </c>
      <c r="F3418" s="75" t="str">
        <f>HYPERLINK("E:\Data From Lucan\2024\Johnstone\Frames_for_Analysis\3415_20240610_0005_L_0644.jpg","3415_20240610_0005_L_0644.jpg")</f>
        <v>3415_20240610_0005_L_0644.jpg</v>
      </c>
      <c r="G3418" s="75">
        <v>8</v>
      </c>
      <c r="I3418">
        <f t="shared" si="53"/>
        <v>0</v>
      </c>
      <c r="J3418" s="75">
        <v>0</v>
      </c>
      <c r="O3418" s="75">
        <v>1</v>
      </c>
      <c r="P3418" s="75">
        <v>0</v>
      </c>
      <c r="Q3418" s="75">
        <v>0</v>
      </c>
      <c r="R3418" s="75">
        <v>0</v>
      </c>
      <c r="S3418" s="75">
        <v>0</v>
      </c>
      <c r="T3418" s="75">
        <v>0</v>
      </c>
      <c r="U3418" s="75">
        <v>0</v>
      </c>
      <c r="V3418" s="75">
        <v>1</v>
      </c>
      <c r="W3418" s="78">
        <v>0</v>
      </c>
    </row>
    <row r="3419" spans="1:23" s="75" customFormat="1" hidden="1" x14ac:dyDescent="0.35">
      <c r="A3419" s="75">
        <v>3415</v>
      </c>
      <c r="B3419" s="75">
        <v>3416</v>
      </c>
      <c r="C3419">
        <v>146.0147479</v>
      </c>
      <c r="D3419">
        <v>-17.4905519</v>
      </c>
      <c r="F3419" s="75" t="str">
        <f>HYPERLINK("E:\Data From Lucan\2024\Johnstone\Frames_for_Analysis\3416_20240610_0005_L_0646.jpg","3416_20240610_0005_L_0646.jpg")</f>
        <v>3416_20240610_0005_L_0646.jpg</v>
      </c>
      <c r="G3419" s="75">
        <v>8</v>
      </c>
      <c r="I3419">
        <f t="shared" si="53"/>
        <v>0</v>
      </c>
      <c r="J3419" s="75">
        <v>0</v>
      </c>
      <c r="O3419" s="75">
        <v>1</v>
      </c>
      <c r="P3419" s="75">
        <v>0</v>
      </c>
      <c r="Q3419" s="75">
        <v>0</v>
      </c>
      <c r="R3419" s="75">
        <v>0</v>
      </c>
      <c r="S3419" s="75">
        <v>0</v>
      </c>
      <c r="T3419" s="75">
        <v>0</v>
      </c>
      <c r="U3419" s="75">
        <v>0</v>
      </c>
      <c r="V3419" s="75">
        <v>0</v>
      </c>
      <c r="W3419" s="78">
        <v>0</v>
      </c>
    </row>
    <row r="3420" spans="1:23" s="75" customFormat="1" hidden="1" x14ac:dyDescent="0.35">
      <c r="A3420" s="75">
        <v>3416</v>
      </c>
      <c r="B3420" s="75">
        <v>3417</v>
      </c>
      <c r="C3420">
        <v>146.01481419999999</v>
      </c>
      <c r="D3420">
        <v>-17.49048608</v>
      </c>
      <c r="F3420" s="75" t="str">
        <f>HYPERLINK("E:\Data From Lucan\2024\Johnstone\Frames_for_Analysis\3417_20240610_0005_L_0649.jpg","3417_20240610_0005_L_0649.jpg")</f>
        <v>3417_20240610_0005_L_0649.jpg</v>
      </c>
      <c r="G3420" s="75">
        <v>8</v>
      </c>
      <c r="I3420">
        <f t="shared" si="53"/>
        <v>0</v>
      </c>
      <c r="J3420" s="75">
        <v>0</v>
      </c>
      <c r="O3420" s="75">
        <v>1</v>
      </c>
      <c r="P3420" s="75">
        <v>0</v>
      </c>
      <c r="Q3420" s="75">
        <v>0</v>
      </c>
      <c r="R3420" s="75">
        <v>0</v>
      </c>
      <c r="S3420" s="75">
        <v>0</v>
      </c>
      <c r="T3420" s="75">
        <v>0</v>
      </c>
      <c r="U3420" s="75">
        <v>0</v>
      </c>
      <c r="V3420" s="75">
        <v>0</v>
      </c>
      <c r="W3420" s="78">
        <v>0</v>
      </c>
    </row>
    <row r="3421" spans="1:23" s="75" customFormat="1" hidden="1" x14ac:dyDescent="0.35">
      <c r="A3421" s="75">
        <v>3417</v>
      </c>
      <c r="B3421" s="75">
        <v>3418</v>
      </c>
      <c r="C3421">
        <v>146.01486869999999</v>
      </c>
      <c r="D3421">
        <v>-17.490409100000001</v>
      </c>
      <c r="F3421" s="75" t="str">
        <f>HYPERLINK("E:\Data From Lucan\2024\Johnstone\Frames_for_Analysis\3418_20240610_0005_L_0653.jpg","3418_20240610_0005_L_0653.jpg")</f>
        <v>3418_20240610_0005_L_0653.jpg</v>
      </c>
      <c r="G3421" s="75">
        <v>8</v>
      </c>
      <c r="I3421">
        <f t="shared" si="53"/>
        <v>0</v>
      </c>
      <c r="J3421" s="75">
        <v>0</v>
      </c>
      <c r="O3421" s="75">
        <v>1</v>
      </c>
      <c r="P3421" s="75">
        <v>0</v>
      </c>
      <c r="Q3421" s="75">
        <v>0</v>
      </c>
      <c r="R3421" s="75">
        <v>0</v>
      </c>
      <c r="S3421" s="75">
        <v>0</v>
      </c>
      <c r="T3421" s="75">
        <v>0</v>
      </c>
      <c r="U3421" s="75">
        <v>0</v>
      </c>
      <c r="V3421" s="75">
        <v>0</v>
      </c>
      <c r="W3421" s="78">
        <v>0</v>
      </c>
    </row>
    <row r="3422" spans="1:23" s="75" customFormat="1" hidden="1" x14ac:dyDescent="0.35">
      <c r="A3422" s="75">
        <v>3418</v>
      </c>
      <c r="B3422" s="75">
        <v>3419</v>
      </c>
      <c r="C3422">
        <v>146.0149231</v>
      </c>
      <c r="D3422">
        <v>-17.490332120000001</v>
      </c>
      <c r="F3422" s="75" t="str">
        <f>HYPERLINK("E:\Data From Lucan\2024\Johnstone\Frames_for_Analysis\3419_20240610_0005_L_0656.jpg","3419_20240610_0005_L_0656.jpg")</f>
        <v>3419_20240610_0005_L_0656.jpg</v>
      </c>
      <c r="G3422" s="75">
        <v>8</v>
      </c>
      <c r="I3422">
        <f t="shared" si="53"/>
        <v>0</v>
      </c>
      <c r="J3422" s="75">
        <v>0</v>
      </c>
      <c r="O3422" s="75">
        <v>1</v>
      </c>
      <c r="P3422" s="75">
        <v>0</v>
      </c>
      <c r="Q3422" s="75">
        <v>0</v>
      </c>
      <c r="R3422" s="75">
        <v>0</v>
      </c>
      <c r="S3422" s="75">
        <v>0</v>
      </c>
      <c r="T3422" s="75">
        <v>0</v>
      </c>
      <c r="U3422" s="75">
        <v>0</v>
      </c>
      <c r="V3422" s="75">
        <v>0</v>
      </c>
      <c r="W3422" s="78">
        <v>0</v>
      </c>
    </row>
    <row r="3423" spans="1:23" s="75" customFormat="1" hidden="1" x14ac:dyDescent="0.35">
      <c r="A3423" s="75">
        <v>3419</v>
      </c>
      <c r="B3423" s="75">
        <v>3420</v>
      </c>
      <c r="C3423">
        <v>146.01497760000001</v>
      </c>
      <c r="D3423">
        <v>-17.490255130000001</v>
      </c>
      <c r="F3423" s="75" t="str">
        <f>HYPERLINK("E:\Data From Lucan\2024\Johnstone\Frames_for_Analysis\3420_20240610_0005_L_0659.jpg","3420_20240610_0005_L_0659.jpg")</f>
        <v>3420_20240610_0005_L_0659.jpg</v>
      </c>
      <c r="G3423" s="75">
        <v>8</v>
      </c>
      <c r="I3423">
        <f t="shared" si="53"/>
        <v>0</v>
      </c>
      <c r="J3423" s="75">
        <v>0</v>
      </c>
      <c r="O3423" s="75">
        <v>1</v>
      </c>
      <c r="P3423" s="75">
        <v>0</v>
      </c>
      <c r="Q3423" s="75">
        <v>0</v>
      </c>
      <c r="R3423" s="75">
        <v>0</v>
      </c>
      <c r="S3423" s="75">
        <v>0</v>
      </c>
      <c r="T3423" s="75">
        <v>0</v>
      </c>
      <c r="U3423" s="75">
        <v>0</v>
      </c>
      <c r="V3423" s="75">
        <v>0</v>
      </c>
      <c r="W3423" s="78">
        <v>0</v>
      </c>
    </row>
    <row r="3424" spans="1:23" s="75" customFormat="1" hidden="1" x14ac:dyDescent="0.35">
      <c r="A3424" s="75">
        <v>3420</v>
      </c>
      <c r="B3424" s="75">
        <v>3421</v>
      </c>
      <c r="C3424">
        <v>146.01503210000001</v>
      </c>
      <c r="D3424">
        <v>-17.490178149999998</v>
      </c>
      <c r="F3424" s="75" t="str">
        <f>HYPERLINK("E:\Data From Lucan\2024\Johnstone\Frames_for_Analysis\3421_20240610_0005_L_0662.jpg","3421_20240610_0005_L_0662.jpg")</f>
        <v>3421_20240610_0005_L_0662.jpg</v>
      </c>
      <c r="G3424" s="75">
        <v>8</v>
      </c>
      <c r="I3424">
        <f t="shared" si="53"/>
        <v>0</v>
      </c>
      <c r="J3424" s="75">
        <v>0</v>
      </c>
      <c r="O3424" s="75">
        <v>1</v>
      </c>
      <c r="P3424" s="75">
        <v>0</v>
      </c>
      <c r="Q3424" s="75">
        <v>0</v>
      </c>
      <c r="R3424" s="75">
        <v>0</v>
      </c>
      <c r="S3424" s="75">
        <v>0</v>
      </c>
      <c r="T3424" s="75">
        <v>0</v>
      </c>
      <c r="U3424" s="75">
        <v>0</v>
      </c>
      <c r="V3424" s="75">
        <v>0</v>
      </c>
      <c r="W3424" s="78">
        <v>0</v>
      </c>
    </row>
    <row r="3425" spans="1:23" s="75" customFormat="1" hidden="1" x14ac:dyDescent="0.35">
      <c r="A3425" s="75">
        <v>3421</v>
      </c>
      <c r="B3425" s="75">
        <v>3422</v>
      </c>
      <c r="C3425">
        <v>146.01508659999999</v>
      </c>
      <c r="D3425">
        <v>-17.490101169999999</v>
      </c>
      <c r="F3425" s="75" t="str">
        <f>HYPERLINK("E:\Data From Lucan\2024\Johnstone\Frames_for_Analysis\3422_20240610_0005_L_0665.jpg","3422_20240610_0005_L_0665.jpg")</f>
        <v>3422_20240610_0005_L_0665.jpg</v>
      </c>
      <c r="G3425" s="75">
        <v>8</v>
      </c>
      <c r="I3425">
        <f t="shared" si="53"/>
        <v>0</v>
      </c>
      <c r="J3425" s="75">
        <v>0</v>
      </c>
      <c r="O3425" s="75">
        <v>1</v>
      </c>
      <c r="P3425" s="75">
        <v>0</v>
      </c>
      <c r="Q3425" s="75">
        <v>0</v>
      </c>
      <c r="R3425" s="75">
        <v>0</v>
      </c>
      <c r="S3425" s="75">
        <v>0</v>
      </c>
      <c r="T3425" s="75">
        <v>0</v>
      </c>
      <c r="U3425" s="75">
        <v>0</v>
      </c>
      <c r="V3425" s="75">
        <v>0</v>
      </c>
      <c r="W3425" s="78">
        <v>0</v>
      </c>
    </row>
    <row r="3426" spans="1:23" s="75" customFormat="1" hidden="1" x14ac:dyDescent="0.35">
      <c r="A3426" s="75">
        <v>3422</v>
      </c>
      <c r="B3426" s="75">
        <v>3423</v>
      </c>
      <c r="C3426">
        <v>146.015141</v>
      </c>
      <c r="D3426">
        <v>-17.490024179999999</v>
      </c>
      <c r="F3426" s="75" t="str">
        <f>HYPERLINK("E:\Data From Lucan\2024\Johnstone\Frames_for_Analysis\3423_20240610_0005_L_0668.jpg","3423_20240610_0005_L_0668.jpg")</f>
        <v>3423_20240610_0005_L_0668.jpg</v>
      </c>
      <c r="G3426" s="75">
        <v>8</v>
      </c>
      <c r="I3426">
        <f t="shared" si="53"/>
        <v>0</v>
      </c>
      <c r="J3426" s="75">
        <v>0</v>
      </c>
      <c r="O3426" s="75">
        <v>1</v>
      </c>
      <c r="P3426" s="75">
        <v>0</v>
      </c>
      <c r="Q3426" s="75">
        <v>0</v>
      </c>
      <c r="R3426" s="75">
        <v>0</v>
      </c>
      <c r="S3426" s="75">
        <v>0</v>
      </c>
      <c r="T3426" s="75">
        <v>0</v>
      </c>
      <c r="U3426" s="75">
        <v>0</v>
      </c>
      <c r="V3426" s="75">
        <v>0</v>
      </c>
      <c r="W3426" s="78">
        <v>0</v>
      </c>
    </row>
    <row r="3427" spans="1:23" s="75" customFormat="1" hidden="1" x14ac:dyDescent="0.35">
      <c r="A3427" s="75">
        <v>3423</v>
      </c>
      <c r="B3427" s="75">
        <v>3424</v>
      </c>
      <c r="C3427">
        <v>146.0151955</v>
      </c>
      <c r="D3427">
        <v>-17.4899472</v>
      </c>
      <c r="F3427" s="75" t="str">
        <f>HYPERLINK("E:\Data From Lucan\2024\Johnstone\Frames_for_Analysis\3424_20240610_0005_L_0671.jpg","3424_20240610_0005_L_0671.jpg")</f>
        <v>3424_20240610_0005_L_0671.jpg</v>
      </c>
      <c r="G3427" s="75">
        <v>8</v>
      </c>
      <c r="I3427">
        <f t="shared" si="53"/>
        <v>0</v>
      </c>
      <c r="J3427" s="75">
        <v>0</v>
      </c>
      <c r="O3427" s="75">
        <v>1</v>
      </c>
      <c r="P3427" s="75">
        <v>0</v>
      </c>
      <c r="Q3427" s="75">
        <v>0</v>
      </c>
      <c r="R3427" s="75">
        <v>0</v>
      </c>
      <c r="S3427" s="75">
        <v>0</v>
      </c>
      <c r="T3427" s="75">
        <v>0</v>
      </c>
      <c r="U3427" s="75">
        <v>0</v>
      </c>
      <c r="V3427" s="75">
        <v>0</v>
      </c>
      <c r="W3427" s="78">
        <v>0</v>
      </c>
    </row>
    <row r="3428" spans="1:23" s="75" customFormat="1" hidden="1" x14ac:dyDescent="0.35">
      <c r="A3428" s="75">
        <v>3424</v>
      </c>
      <c r="B3428" s="75">
        <v>3425</v>
      </c>
      <c r="C3428">
        <v>146.01525000000001</v>
      </c>
      <c r="D3428">
        <v>-17.48987022</v>
      </c>
      <c r="F3428" s="75" t="str">
        <f>HYPERLINK("E:\Data From Lucan\2024\Johnstone\Frames_for_Analysis\3425_20240610_0005_L_0673.jpg","3425_20240610_0005_L_0673.jpg")</f>
        <v>3425_20240610_0005_L_0673.jpg</v>
      </c>
      <c r="G3428" s="75">
        <v>8</v>
      </c>
      <c r="I3428">
        <f t="shared" si="53"/>
        <v>0</v>
      </c>
      <c r="J3428" s="75">
        <v>0</v>
      </c>
      <c r="O3428" s="75">
        <v>1</v>
      </c>
      <c r="P3428" s="75">
        <v>0</v>
      </c>
      <c r="Q3428" s="75">
        <v>0</v>
      </c>
      <c r="R3428" s="75">
        <v>0</v>
      </c>
      <c r="S3428" s="75">
        <v>0</v>
      </c>
      <c r="T3428" s="75">
        <v>0</v>
      </c>
      <c r="U3428" s="75">
        <v>0</v>
      </c>
      <c r="V3428" s="75">
        <v>0</v>
      </c>
      <c r="W3428" s="78">
        <v>0</v>
      </c>
    </row>
    <row r="3429" spans="1:23" s="75" customFormat="1" hidden="1" x14ac:dyDescent="0.35">
      <c r="A3429" s="75">
        <v>3425</v>
      </c>
      <c r="B3429" s="75">
        <v>3426</v>
      </c>
      <c r="C3429">
        <v>146.01530439999999</v>
      </c>
      <c r="D3429">
        <v>-17.48979323</v>
      </c>
      <c r="F3429" s="75" t="str">
        <f>HYPERLINK("E:\Data From Lucan\2024\Johnstone\Frames_for_Analysis\3426_20240610_0005_L_0676.jpg","3426_20240610_0005_L_0676.jpg")</f>
        <v>3426_20240610_0005_L_0676.jpg</v>
      </c>
      <c r="G3429" s="75">
        <v>8</v>
      </c>
      <c r="I3429">
        <f t="shared" si="53"/>
        <v>0</v>
      </c>
      <c r="J3429" s="75">
        <v>0</v>
      </c>
      <c r="O3429" s="75">
        <v>1</v>
      </c>
      <c r="P3429" s="75">
        <v>0</v>
      </c>
      <c r="Q3429" s="75">
        <v>0</v>
      </c>
      <c r="R3429" s="75">
        <v>0</v>
      </c>
      <c r="S3429" s="75">
        <v>0</v>
      </c>
      <c r="T3429" s="75">
        <v>0</v>
      </c>
      <c r="U3429" s="75">
        <v>0</v>
      </c>
      <c r="V3429" s="75">
        <v>0</v>
      </c>
      <c r="W3429" s="78">
        <v>0</v>
      </c>
    </row>
    <row r="3430" spans="1:23" s="75" customFormat="1" hidden="1" x14ac:dyDescent="0.35">
      <c r="A3430" s="75">
        <v>3426</v>
      </c>
      <c r="B3430" s="75">
        <v>3427</v>
      </c>
      <c r="C3430">
        <v>146.0153565</v>
      </c>
      <c r="D3430">
        <v>-17.48971461</v>
      </c>
      <c r="F3430" s="75" t="str">
        <f>HYPERLINK("E:\Data From Lucan\2024\Johnstone\Frames_for_Analysis\3427_20240610_0005_L_0678.jpg","3427_20240610_0005_L_0678.jpg")</f>
        <v>3427_20240610_0005_L_0678.jpg</v>
      </c>
      <c r="G3430" s="75">
        <v>8</v>
      </c>
      <c r="I3430">
        <f t="shared" si="53"/>
        <v>0</v>
      </c>
      <c r="J3430" s="75">
        <v>0</v>
      </c>
      <c r="O3430" s="75">
        <v>1</v>
      </c>
      <c r="P3430" s="75">
        <v>0</v>
      </c>
      <c r="Q3430" s="75">
        <v>0</v>
      </c>
      <c r="R3430" s="75">
        <v>0</v>
      </c>
      <c r="S3430" s="75">
        <v>0</v>
      </c>
      <c r="T3430" s="75">
        <v>0</v>
      </c>
      <c r="U3430" s="75">
        <v>0</v>
      </c>
      <c r="V3430" s="75">
        <v>0</v>
      </c>
      <c r="W3430" s="78">
        <v>0</v>
      </c>
    </row>
    <row r="3431" spans="1:23" s="75" customFormat="1" hidden="1" x14ac:dyDescent="0.35">
      <c r="A3431" s="75">
        <v>3427</v>
      </c>
      <c r="B3431" s="75">
        <v>3428</v>
      </c>
      <c r="C3431">
        <v>146.01540750000001</v>
      </c>
      <c r="D3431">
        <v>-17.489635289999999</v>
      </c>
      <c r="F3431" s="75" t="str">
        <f>HYPERLINK("E:\Data From Lucan\2024\Johnstone\Frames_for_Analysis\3428_20240610_0005_L_0680.jpg","3428_20240610_0005_L_0680.jpg")</f>
        <v>3428_20240610_0005_L_0680.jpg</v>
      </c>
      <c r="G3431" s="75">
        <v>8</v>
      </c>
      <c r="I3431">
        <f t="shared" si="53"/>
        <v>0</v>
      </c>
      <c r="J3431" s="75">
        <v>0</v>
      </c>
      <c r="O3431" s="75">
        <v>1</v>
      </c>
      <c r="P3431" s="75">
        <v>0</v>
      </c>
      <c r="Q3431" s="75">
        <v>0</v>
      </c>
      <c r="R3431" s="75">
        <v>0</v>
      </c>
      <c r="S3431" s="75">
        <v>0</v>
      </c>
      <c r="T3431" s="75">
        <v>0</v>
      </c>
      <c r="U3431" s="75">
        <v>0</v>
      </c>
      <c r="V3431" s="75">
        <v>0</v>
      </c>
      <c r="W3431" s="78">
        <v>0</v>
      </c>
    </row>
    <row r="3432" spans="1:23" s="75" customFormat="1" hidden="1" x14ac:dyDescent="0.35">
      <c r="A3432" s="75">
        <v>3428</v>
      </c>
      <c r="B3432" s="75">
        <v>3429</v>
      </c>
      <c r="C3432">
        <v>146.01545849999999</v>
      </c>
      <c r="D3432">
        <v>-17.489555960000001</v>
      </c>
      <c r="F3432" s="75" t="str">
        <f>HYPERLINK("E:\Data From Lucan\2024\Johnstone\Frames_for_Analysis\3429_20240610_0005_L_0683.jpg","3429_20240610_0005_L_0683.jpg")</f>
        <v>3429_20240610_0005_L_0683.jpg</v>
      </c>
      <c r="I3432">
        <f t="shared" si="53"/>
        <v>0</v>
      </c>
      <c r="J3432" s="75">
        <v>0</v>
      </c>
      <c r="O3432" s="75">
        <v>1</v>
      </c>
      <c r="P3432" s="75">
        <v>0</v>
      </c>
      <c r="Q3432" s="75">
        <v>0</v>
      </c>
      <c r="R3432" s="75">
        <v>0</v>
      </c>
      <c r="S3432" s="75">
        <v>0</v>
      </c>
      <c r="T3432" s="75">
        <v>0</v>
      </c>
      <c r="U3432" s="75">
        <v>0</v>
      </c>
      <c r="V3432" s="75">
        <v>0</v>
      </c>
      <c r="W3432" s="78">
        <v>0</v>
      </c>
    </row>
    <row r="3433" spans="1:23" s="75" customFormat="1" hidden="1" x14ac:dyDescent="0.35">
      <c r="A3433" s="75">
        <v>3429</v>
      </c>
      <c r="B3433" s="75">
        <v>3430</v>
      </c>
      <c r="C3433">
        <v>146.01550940000001</v>
      </c>
      <c r="D3433">
        <v>-17.489476629999999</v>
      </c>
      <c r="F3433" s="75" t="str">
        <f>HYPERLINK("E:\Data From Lucan\2024\Johnstone\Frames_for_Analysis\3430_20240610_0005_L_0685.jpg","3430_20240610_0005_L_0685.jpg")</f>
        <v>3430_20240610_0005_L_0685.jpg</v>
      </c>
      <c r="I3433">
        <f t="shared" si="53"/>
        <v>0</v>
      </c>
      <c r="J3433" s="75">
        <v>0</v>
      </c>
      <c r="O3433" s="75">
        <v>1</v>
      </c>
      <c r="P3433" s="75">
        <v>0</v>
      </c>
      <c r="Q3433" s="75">
        <v>0</v>
      </c>
      <c r="R3433" s="75">
        <v>0</v>
      </c>
      <c r="S3433" s="75">
        <v>0</v>
      </c>
      <c r="T3433" s="75">
        <v>0</v>
      </c>
      <c r="U3433" s="75">
        <v>0</v>
      </c>
      <c r="V3433" s="75">
        <v>0</v>
      </c>
      <c r="W3433" s="78">
        <v>0</v>
      </c>
    </row>
    <row r="3434" spans="1:23" s="75" customFormat="1" hidden="1" x14ac:dyDescent="0.35">
      <c r="A3434" s="75">
        <v>3430</v>
      </c>
      <c r="B3434" s="75">
        <v>3431</v>
      </c>
      <c r="C3434">
        <v>146.0155604</v>
      </c>
      <c r="D3434">
        <v>-17.4893973</v>
      </c>
      <c r="F3434" s="75" t="str">
        <f>HYPERLINK("E:\Data From Lucan\2024\Johnstone\Frames_for_Analysis\3431_20240610_0005_L_0688.jpg","3431_20240610_0005_L_0688.jpg")</f>
        <v>3431_20240610_0005_L_0688.jpg</v>
      </c>
      <c r="I3434">
        <f t="shared" si="53"/>
        <v>0</v>
      </c>
      <c r="J3434" s="75">
        <v>0</v>
      </c>
      <c r="O3434" s="75">
        <v>1</v>
      </c>
      <c r="P3434" s="75">
        <v>0</v>
      </c>
      <c r="Q3434" s="75">
        <v>0</v>
      </c>
      <c r="R3434" s="75">
        <v>0</v>
      </c>
      <c r="S3434" s="75">
        <v>0</v>
      </c>
      <c r="T3434" s="75">
        <v>0</v>
      </c>
      <c r="U3434" s="75">
        <v>0</v>
      </c>
      <c r="V3434" s="75">
        <v>0</v>
      </c>
      <c r="W3434" s="78">
        <v>0</v>
      </c>
    </row>
    <row r="3435" spans="1:23" s="75" customFormat="1" hidden="1" x14ac:dyDescent="0.35">
      <c r="A3435" s="75">
        <v>3431</v>
      </c>
      <c r="B3435" s="75">
        <v>3432</v>
      </c>
      <c r="C3435">
        <v>146.01561140000001</v>
      </c>
      <c r="D3435">
        <v>-17.489317979999999</v>
      </c>
      <c r="F3435" s="75" t="str">
        <f>HYPERLINK("E:\Data From Lucan\2024\Johnstone\Frames_for_Analysis\3432_20240610_0005_L_0691.jpg","3432_20240610_0005_L_0691.jpg")</f>
        <v>3432_20240610_0005_L_0691.jpg</v>
      </c>
      <c r="I3435">
        <f t="shared" si="53"/>
        <v>0</v>
      </c>
      <c r="J3435" s="75">
        <v>0</v>
      </c>
      <c r="O3435" s="75">
        <v>1</v>
      </c>
      <c r="P3435" s="75">
        <v>0</v>
      </c>
      <c r="Q3435" s="75">
        <v>0</v>
      </c>
      <c r="R3435" s="75">
        <v>0</v>
      </c>
      <c r="S3435" s="75">
        <v>0</v>
      </c>
      <c r="T3435" s="75">
        <v>0</v>
      </c>
      <c r="U3435" s="75">
        <v>0</v>
      </c>
      <c r="V3435" s="75">
        <v>0</v>
      </c>
      <c r="W3435" s="78">
        <v>0</v>
      </c>
    </row>
    <row r="3436" spans="1:23" s="75" customFormat="1" hidden="1" x14ac:dyDescent="0.35">
      <c r="A3436" s="75">
        <v>3432</v>
      </c>
      <c r="B3436" s="75">
        <v>3433</v>
      </c>
      <c r="C3436">
        <v>146.0156624</v>
      </c>
      <c r="D3436">
        <v>-17.489238650000001</v>
      </c>
      <c r="F3436" s="75" t="str">
        <f>HYPERLINK("E:\Data From Lucan\2024\Johnstone\Frames_for_Analysis\3433_20240610_0005_L_0694.jpg","3433_20240610_0005_L_0694.jpg")</f>
        <v>3433_20240610_0005_L_0694.jpg</v>
      </c>
      <c r="I3436">
        <f t="shared" si="53"/>
        <v>0</v>
      </c>
      <c r="J3436" s="75">
        <v>0</v>
      </c>
      <c r="O3436" s="75">
        <v>1</v>
      </c>
      <c r="P3436" s="75">
        <v>0</v>
      </c>
      <c r="Q3436" s="75">
        <v>0</v>
      </c>
      <c r="R3436" s="75">
        <v>0</v>
      </c>
      <c r="S3436" s="75">
        <v>0</v>
      </c>
      <c r="T3436" s="75">
        <v>0</v>
      </c>
      <c r="U3436" s="75">
        <v>0</v>
      </c>
      <c r="V3436" s="75">
        <v>0</v>
      </c>
      <c r="W3436" s="78">
        <v>0</v>
      </c>
    </row>
    <row r="3437" spans="1:23" s="75" customFormat="1" hidden="1" x14ac:dyDescent="0.35">
      <c r="A3437" s="75">
        <v>3433</v>
      </c>
      <c r="B3437" s="75">
        <v>3434</v>
      </c>
      <c r="C3437">
        <v>146.01571340000001</v>
      </c>
      <c r="D3437">
        <v>-17.489159319999999</v>
      </c>
      <c r="F3437" s="75" t="str">
        <f>HYPERLINK("E:\Data From Lucan\2024\Johnstone\Frames_for_Analysis\3434_20240610_0005_L_0696.jpg","3434_20240610_0005_L_0696.jpg")</f>
        <v>3434_20240610_0005_L_0696.jpg</v>
      </c>
      <c r="I3437">
        <f t="shared" si="53"/>
        <v>0</v>
      </c>
      <c r="J3437" s="75">
        <v>0</v>
      </c>
      <c r="O3437" s="75">
        <v>1</v>
      </c>
      <c r="P3437" s="75">
        <v>0</v>
      </c>
      <c r="Q3437" s="75">
        <v>0</v>
      </c>
      <c r="R3437" s="75">
        <v>0</v>
      </c>
      <c r="S3437" s="75">
        <v>0</v>
      </c>
      <c r="T3437" s="75">
        <v>0</v>
      </c>
      <c r="U3437" s="75">
        <v>0</v>
      </c>
      <c r="V3437" s="75">
        <v>0</v>
      </c>
      <c r="W3437" s="78">
        <v>0</v>
      </c>
    </row>
    <row r="3438" spans="1:23" s="75" customFormat="1" hidden="1" x14ac:dyDescent="0.35">
      <c r="A3438" s="75">
        <v>3434</v>
      </c>
      <c r="B3438" s="75">
        <v>3435</v>
      </c>
      <c r="C3438">
        <v>146.01576439999999</v>
      </c>
      <c r="D3438">
        <v>-17.48907999</v>
      </c>
      <c r="F3438" s="75" t="str">
        <f>HYPERLINK("E:\Data From Lucan\2024\Johnstone\Frames_for_Analysis\3435_20240610_0005_L_0698.jpg","3435_20240610_0005_L_0698.jpg")</f>
        <v>3435_20240610_0005_L_0698.jpg</v>
      </c>
      <c r="I3438">
        <f t="shared" si="53"/>
        <v>0</v>
      </c>
      <c r="J3438" s="75">
        <v>0</v>
      </c>
      <c r="O3438" s="75">
        <v>1</v>
      </c>
      <c r="P3438" s="75">
        <v>0</v>
      </c>
      <c r="Q3438" s="75">
        <v>0</v>
      </c>
      <c r="R3438" s="75">
        <v>0</v>
      </c>
      <c r="S3438" s="75">
        <v>0</v>
      </c>
      <c r="T3438" s="75">
        <v>0</v>
      </c>
      <c r="U3438" s="75">
        <v>0</v>
      </c>
      <c r="V3438" s="75">
        <v>1</v>
      </c>
      <c r="W3438" s="78">
        <v>0</v>
      </c>
    </row>
    <row r="3439" spans="1:23" s="75" customFormat="1" hidden="1" x14ac:dyDescent="0.35">
      <c r="A3439" s="75">
        <v>3435</v>
      </c>
      <c r="B3439" s="75">
        <v>3436</v>
      </c>
      <c r="C3439">
        <v>146.01581540000001</v>
      </c>
      <c r="D3439">
        <v>-17.489000659999999</v>
      </c>
      <c r="F3439" s="75" t="str">
        <f>HYPERLINK("E:\Data From Lucan\2024\Johnstone\Frames_for_Analysis\3436_20240610_0005_L_0701.jpg","3436_20240610_0005_L_0701.jpg")</f>
        <v>3436_20240610_0005_L_0701.jpg</v>
      </c>
      <c r="I3439">
        <f t="shared" si="53"/>
        <v>0</v>
      </c>
      <c r="J3439" s="75">
        <v>0</v>
      </c>
      <c r="O3439" s="75">
        <v>1</v>
      </c>
      <c r="P3439" s="75">
        <v>0</v>
      </c>
      <c r="Q3439" s="75">
        <v>0</v>
      </c>
      <c r="R3439" s="75">
        <v>0</v>
      </c>
      <c r="S3439" s="75">
        <v>0</v>
      </c>
      <c r="T3439" s="75">
        <v>0</v>
      </c>
      <c r="U3439" s="75">
        <v>0</v>
      </c>
      <c r="V3439" s="75">
        <v>1</v>
      </c>
      <c r="W3439" s="78">
        <v>0</v>
      </c>
    </row>
    <row r="3440" spans="1:23" s="75" customFormat="1" hidden="1" x14ac:dyDescent="0.35">
      <c r="A3440" s="75">
        <v>3436</v>
      </c>
      <c r="B3440" s="75">
        <v>3437</v>
      </c>
      <c r="C3440">
        <v>146.01586639999999</v>
      </c>
      <c r="D3440">
        <v>-17.488921340000001</v>
      </c>
      <c r="F3440" s="75" t="str">
        <f>HYPERLINK("E:\Data From Lucan\2024\Johnstone\Frames_for_Analysis\3437_20240610_0005_L_0703.jpg","3437_20240610_0005_L_0703.jpg")</f>
        <v>3437_20240610_0005_L_0703.jpg</v>
      </c>
      <c r="I3440">
        <f t="shared" si="53"/>
        <v>0</v>
      </c>
      <c r="J3440" s="75">
        <v>0</v>
      </c>
      <c r="O3440" s="75">
        <v>1</v>
      </c>
      <c r="P3440" s="75">
        <v>0</v>
      </c>
      <c r="Q3440" s="75">
        <v>0</v>
      </c>
      <c r="R3440" s="75">
        <v>0</v>
      </c>
      <c r="S3440" s="75">
        <v>0</v>
      </c>
      <c r="T3440" s="75">
        <v>0</v>
      </c>
      <c r="U3440" s="75">
        <v>0</v>
      </c>
      <c r="V3440" s="75">
        <v>1</v>
      </c>
      <c r="W3440" s="78">
        <v>0</v>
      </c>
    </row>
    <row r="3441" spans="1:23" s="75" customFormat="1" hidden="1" x14ac:dyDescent="0.35">
      <c r="A3441" s="75">
        <v>3437</v>
      </c>
      <c r="B3441" s="75">
        <v>3438</v>
      </c>
      <c r="C3441">
        <v>146.01591740000001</v>
      </c>
      <c r="D3441">
        <v>-17.488842009999999</v>
      </c>
      <c r="F3441" s="75" t="str">
        <f>HYPERLINK("E:\Data From Lucan\2024\Johnstone\Frames_for_Analysis\3438_20240610_0005_L_0705.jpg","3438_20240610_0005_L_0705.jpg")</f>
        <v>3438_20240610_0005_L_0705.jpg</v>
      </c>
      <c r="I3441">
        <f t="shared" si="53"/>
        <v>0</v>
      </c>
      <c r="J3441" s="75">
        <v>0</v>
      </c>
      <c r="O3441" s="75">
        <v>1</v>
      </c>
      <c r="P3441" s="75">
        <v>0</v>
      </c>
      <c r="Q3441" s="75">
        <v>0</v>
      </c>
      <c r="R3441" s="75">
        <v>0</v>
      </c>
      <c r="S3441" s="75">
        <v>0</v>
      </c>
      <c r="T3441" s="75">
        <v>0</v>
      </c>
      <c r="U3441" s="75">
        <v>0</v>
      </c>
      <c r="V3441" s="75">
        <v>1</v>
      </c>
      <c r="W3441" s="78">
        <v>0</v>
      </c>
    </row>
    <row r="3442" spans="1:23" s="75" customFormat="1" hidden="1" x14ac:dyDescent="0.35">
      <c r="A3442" s="75">
        <v>3438</v>
      </c>
      <c r="B3442" s="75">
        <v>3439</v>
      </c>
      <c r="C3442">
        <v>146.01596839999999</v>
      </c>
      <c r="D3442">
        <v>-17.488762680000001</v>
      </c>
      <c r="F3442" s="75" t="str">
        <f>HYPERLINK("E:\Data From Lucan\2024\Johnstone\Frames_for_Analysis\3439_20240610_0005_L_0708.jpg","3439_20240610_0005_L_0708.jpg")</f>
        <v>3439_20240610_0005_L_0708.jpg</v>
      </c>
      <c r="I3442">
        <f t="shared" si="53"/>
        <v>0</v>
      </c>
      <c r="J3442" s="75">
        <v>0</v>
      </c>
      <c r="O3442" s="75">
        <v>1</v>
      </c>
      <c r="P3442" s="75">
        <v>0</v>
      </c>
      <c r="Q3442" s="75">
        <v>0</v>
      </c>
      <c r="R3442" s="75">
        <v>0</v>
      </c>
      <c r="S3442" s="75">
        <v>0</v>
      </c>
      <c r="T3442" s="75">
        <v>0</v>
      </c>
      <c r="U3442" s="75">
        <v>0</v>
      </c>
      <c r="V3442" s="75">
        <v>1</v>
      </c>
      <c r="W3442" s="78">
        <v>0</v>
      </c>
    </row>
    <row r="3443" spans="1:23" s="75" customFormat="1" hidden="1" x14ac:dyDescent="0.35">
      <c r="A3443" s="75">
        <v>3439</v>
      </c>
      <c r="B3443" s="75">
        <v>3440</v>
      </c>
      <c r="C3443">
        <v>146.0160194</v>
      </c>
      <c r="D3443">
        <v>-17.48868336</v>
      </c>
      <c r="F3443" s="75" t="str">
        <f>HYPERLINK("E:\Data From Lucan\2024\Johnstone\Frames_for_Analysis\3440_20240610_0005_L_0711.jpg","3440_20240610_0005_L_0711.jpg")</f>
        <v>3440_20240610_0005_L_0711.jpg</v>
      </c>
      <c r="I3443">
        <f t="shared" si="53"/>
        <v>0</v>
      </c>
      <c r="J3443" s="75">
        <v>0</v>
      </c>
      <c r="O3443" s="75">
        <v>1</v>
      </c>
      <c r="P3443" s="75">
        <v>0</v>
      </c>
      <c r="Q3443" s="75">
        <v>0</v>
      </c>
      <c r="R3443" s="75">
        <v>0</v>
      </c>
      <c r="S3443" s="75">
        <v>0</v>
      </c>
      <c r="T3443" s="75">
        <v>0</v>
      </c>
      <c r="U3443" s="75">
        <v>0</v>
      </c>
      <c r="V3443" s="75">
        <v>1</v>
      </c>
      <c r="W3443" s="78">
        <v>0</v>
      </c>
    </row>
    <row r="3444" spans="1:23" s="75" customFormat="1" hidden="1" x14ac:dyDescent="0.35">
      <c r="A3444" s="75">
        <v>3440</v>
      </c>
      <c r="B3444" s="75">
        <v>3441</v>
      </c>
      <c r="C3444">
        <v>146.01607039999999</v>
      </c>
      <c r="D3444">
        <v>-17.488604030000001</v>
      </c>
      <c r="F3444" s="75" t="str">
        <f>HYPERLINK("E:\Data From Lucan\2024\Johnstone\Frames_for_Analysis\3441_20240610_0005_L_0714.jpg","3441_20240610_0005_L_0714.jpg")</f>
        <v>3441_20240610_0005_L_0714.jpg</v>
      </c>
      <c r="I3444">
        <f t="shared" si="53"/>
        <v>0</v>
      </c>
      <c r="J3444" s="75">
        <v>0</v>
      </c>
      <c r="O3444" s="75">
        <v>1</v>
      </c>
      <c r="P3444" s="75">
        <v>0</v>
      </c>
      <c r="Q3444" s="75">
        <v>0</v>
      </c>
      <c r="R3444" s="75">
        <v>0</v>
      </c>
      <c r="S3444" s="75">
        <v>0</v>
      </c>
      <c r="T3444" s="75">
        <v>0</v>
      </c>
      <c r="U3444" s="75">
        <v>0</v>
      </c>
      <c r="V3444" s="75">
        <v>1</v>
      </c>
      <c r="W3444" s="78">
        <v>0</v>
      </c>
    </row>
    <row r="3445" spans="1:23" s="75" customFormat="1" hidden="1" x14ac:dyDescent="0.35">
      <c r="A3445" s="75">
        <v>3441</v>
      </c>
      <c r="B3445" s="75">
        <v>3442</v>
      </c>
      <c r="C3445">
        <v>146.0161214</v>
      </c>
      <c r="D3445">
        <v>-17.488524699999999</v>
      </c>
      <c r="F3445" s="75" t="str">
        <f>HYPERLINK("E:\Data From Lucan\2024\Johnstone\Frames_for_Analysis\3442_20240610_0005_L_0717.jpg","3442_20240610_0005_L_0717.jpg")</f>
        <v>3442_20240610_0005_L_0717.jpg</v>
      </c>
      <c r="I3445">
        <f t="shared" si="53"/>
        <v>0</v>
      </c>
      <c r="J3445" s="75">
        <v>0</v>
      </c>
      <c r="O3445" s="75">
        <v>1</v>
      </c>
      <c r="P3445" s="75">
        <v>0</v>
      </c>
      <c r="Q3445" s="75">
        <v>0</v>
      </c>
      <c r="R3445" s="75">
        <v>0</v>
      </c>
      <c r="S3445" s="75">
        <v>0</v>
      </c>
      <c r="T3445" s="75">
        <v>0</v>
      </c>
      <c r="U3445" s="75">
        <v>0</v>
      </c>
      <c r="V3445" s="75">
        <v>0</v>
      </c>
      <c r="W3445" s="78">
        <v>0</v>
      </c>
    </row>
    <row r="3446" spans="1:23" s="75" customFormat="1" hidden="1" x14ac:dyDescent="0.35">
      <c r="A3446" s="75">
        <v>3442</v>
      </c>
      <c r="B3446" s="75">
        <v>3443</v>
      </c>
      <c r="C3446">
        <v>146.01617239999999</v>
      </c>
      <c r="D3446">
        <v>-17.488445370000001</v>
      </c>
      <c r="F3446" s="75" t="str">
        <f>HYPERLINK("E:\Data From Lucan\2024\Johnstone\Frames_for_Analysis\3443_20240610_0005_L_0719.jpg","3443_20240610_0005_L_0719.jpg")</f>
        <v>3443_20240610_0005_L_0719.jpg</v>
      </c>
      <c r="I3446">
        <f t="shared" si="53"/>
        <v>0</v>
      </c>
      <c r="J3446" s="75">
        <v>0</v>
      </c>
      <c r="O3446" s="75">
        <v>1</v>
      </c>
      <c r="P3446" s="75">
        <v>0</v>
      </c>
      <c r="Q3446" s="75">
        <v>0</v>
      </c>
      <c r="R3446" s="75">
        <v>0</v>
      </c>
      <c r="S3446" s="75">
        <v>0</v>
      </c>
      <c r="T3446" s="75">
        <v>0</v>
      </c>
      <c r="U3446" s="75">
        <v>0</v>
      </c>
      <c r="V3446" s="75">
        <v>0</v>
      </c>
      <c r="W3446" s="78">
        <v>0</v>
      </c>
    </row>
    <row r="3447" spans="1:23" s="75" customFormat="1" hidden="1" x14ac:dyDescent="0.35">
      <c r="A3447" s="75">
        <v>3443</v>
      </c>
      <c r="B3447" s="75">
        <v>3444</v>
      </c>
      <c r="C3447">
        <v>146.01622330000001</v>
      </c>
      <c r="D3447">
        <v>-17.488366039999999</v>
      </c>
      <c r="F3447" s="75" t="str">
        <f>HYPERLINK("E:\Data From Lucan\2024\Johnstone\Frames_for_Analysis\3444_20240610_0005_L_0723.jpg","3444_20240610_0005_L_0723.jpg")</f>
        <v>3444_20240610_0005_L_0723.jpg</v>
      </c>
      <c r="I3447">
        <f t="shared" si="53"/>
        <v>0</v>
      </c>
      <c r="J3447" s="75">
        <v>0</v>
      </c>
      <c r="O3447" s="75">
        <v>1</v>
      </c>
      <c r="P3447" s="75">
        <v>0</v>
      </c>
      <c r="Q3447" s="75">
        <v>0</v>
      </c>
      <c r="R3447" s="75">
        <v>0</v>
      </c>
      <c r="S3447" s="75">
        <v>0</v>
      </c>
      <c r="T3447" s="75">
        <v>0</v>
      </c>
      <c r="U3447" s="75">
        <v>0</v>
      </c>
      <c r="V3447" s="75">
        <v>0</v>
      </c>
      <c r="W3447" s="78">
        <v>0</v>
      </c>
    </row>
    <row r="3448" spans="1:23" s="75" customFormat="1" hidden="1" x14ac:dyDescent="0.35">
      <c r="A3448" s="75">
        <v>3444</v>
      </c>
      <c r="B3448" s="75">
        <v>3445</v>
      </c>
      <c r="C3448">
        <v>146.01627429999999</v>
      </c>
      <c r="D3448">
        <v>-17.488286720000001</v>
      </c>
      <c r="F3448" s="75" t="str">
        <f>HYPERLINK("E:\Data From Lucan\2024\Johnstone\Frames_for_Analysis\3445_20240610_0005_L_0726.jpg","3445_20240610_0005_L_0726.jpg")</f>
        <v>3445_20240610_0005_L_0726.jpg</v>
      </c>
      <c r="I3448">
        <f t="shared" si="53"/>
        <v>0</v>
      </c>
      <c r="J3448" s="75">
        <v>0</v>
      </c>
      <c r="O3448" s="75">
        <v>1</v>
      </c>
      <c r="P3448" s="75">
        <v>0</v>
      </c>
      <c r="Q3448" s="75">
        <v>0</v>
      </c>
      <c r="R3448" s="75">
        <v>0</v>
      </c>
      <c r="S3448" s="75">
        <v>0</v>
      </c>
      <c r="T3448" s="75">
        <v>0</v>
      </c>
      <c r="U3448" s="75">
        <v>0</v>
      </c>
      <c r="V3448" s="75">
        <v>0</v>
      </c>
      <c r="W3448" s="78">
        <v>0</v>
      </c>
    </row>
    <row r="3449" spans="1:23" s="75" customFormat="1" hidden="1" x14ac:dyDescent="0.35">
      <c r="A3449" s="75">
        <v>3445</v>
      </c>
      <c r="B3449" s="75">
        <v>3446</v>
      </c>
      <c r="C3449">
        <v>146.01632530000001</v>
      </c>
      <c r="D3449">
        <v>-17.488207389999999</v>
      </c>
      <c r="F3449" s="75" t="str">
        <f>HYPERLINK("E:\Data From Lucan\2024\Johnstone\Frames_for_Analysis\3446_20240610_0005_L_0728.jpg","3446_20240610_0005_L_0728.jpg")</f>
        <v>3446_20240610_0005_L_0728.jpg</v>
      </c>
      <c r="I3449">
        <f t="shared" si="53"/>
        <v>0</v>
      </c>
      <c r="J3449" s="75">
        <v>0</v>
      </c>
      <c r="O3449" s="75">
        <v>1</v>
      </c>
      <c r="P3449" s="75">
        <v>0</v>
      </c>
      <c r="Q3449" s="75">
        <v>0</v>
      </c>
      <c r="R3449" s="75">
        <v>0</v>
      </c>
      <c r="S3449" s="75">
        <v>0</v>
      </c>
      <c r="T3449" s="75">
        <v>0</v>
      </c>
      <c r="U3449" s="75">
        <v>0</v>
      </c>
      <c r="V3449" s="75">
        <v>0</v>
      </c>
      <c r="W3449" s="78">
        <v>0</v>
      </c>
    </row>
    <row r="3450" spans="1:23" s="75" customFormat="1" hidden="1" x14ac:dyDescent="0.35">
      <c r="A3450" s="75">
        <v>3446</v>
      </c>
      <c r="B3450" s="75">
        <v>3447</v>
      </c>
      <c r="C3450">
        <v>146.01637629999999</v>
      </c>
      <c r="D3450">
        <v>-17.488128060000001</v>
      </c>
      <c r="F3450" s="75" t="str">
        <f>HYPERLINK("E:\Data From Lucan\2024\Johnstone\Frames_for_Analysis\3447_20240610_0005_L_0731.jpg","3447_20240610_0005_L_0731.jpg")</f>
        <v>3447_20240610_0005_L_0731.jpg</v>
      </c>
      <c r="I3450">
        <f t="shared" si="53"/>
        <v>0</v>
      </c>
      <c r="J3450" s="75">
        <v>0</v>
      </c>
      <c r="O3450" s="75">
        <v>1</v>
      </c>
      <c r="P3450" s="75">
        <v>0</v>
      </c>
      <c r="Q3450" s="75">
        <v>0</v>
      </c>
      <c r="R3450" s="75">
        <v>0</v>
      </c>
      <c r="S3450" s="75">
        <v>0</v>
      </c>
      <c r="T3450" s="75">
        <v>0</v>
      </c>
      <c r="U3450" s="75">
        <v>0</v>
      </c>
      <c r="V3450" s="75">
        <v>0</v>
      </c>
      <c r="W3450" s="78">
        <v>0</v>
      </c>
    </row>
    <row r="3451" spans="1:23" s="75" customFormat="1" hidden="1" x14ac:dyDescent="0.35">
      <c r="A3451" s="75">
        <v>3447</v>
      </c>
      <c r="B3451" s="75">
        <v>3448</v>
      </c>
      <c r="C3451">
        <v>146.0164273</v>
      </c>
      <c r="D3451">
        <v>-17.488048729999999</v>
      </c>
      <c r="F3451" s="75" t="str">
        <f>HYPERLINK("E:\Data From Lucan\2024\Johnstone\Frames_for_Analysis\3448_20240610_0005_L_0733.jpg","3448_20240610_0005_L_0733.jpg")</f>
        <v>3448_20240610_0005_L_0733.jpg</v>
      </c>
      <c r="I3451">
        <f t="shared" si="53"/>
        <v>0</v>
      </c>
      <c r="J3451" s="75">
        <v>0</v>
      </c>
      <c r="O3451" s="75">
        <v>1</v>
      </c>
      <c r="P3451" s="75">
        <v>0</v>
      </c>
      <c r="Q3451" s="75">
        <v>0</v>
      </c>
      <c r="R3451" s="75">
        <v>0</v>
      </c>
      <c r="S3451" s="75">
        <v>0</v>
      </c>
      <c r="T3451" s="75">
        <v>0</v>
      </c>
      <c r="U3451" s="75">
        <v>0</v>
      </c>
      <c r="V3451" s="75">
        <v>0</v>
      </c>
      <c r="W3451" s="78">
        <v>0</v>
      </c>
    </row>
    <row r="3452" spans="1:23" s="75" customFormat="1" hidden="1" x14ac:dyDescent="0.35">
      <c r="A3452" s="75">
        <v>3448</v>
      </c>
      <c r="B3452" s="75">
        <v>3449</v>
      </c>
      <c r="C3452">
        <v>146.0164809</v>
      </c>
      <c r="D3452">
        <v>-17.487971129999998</v>
      </c>
      <c r="F3452" s="75" t="str">
        <f>HYPERLINK("E:\Data From Lucan\2024\Johnstone\Frames_for_Analysis\3449_20240610_0005_L_0736.jpg","3449_20240610_0005_L_0736.jpg")</f>
        <v>3449_20240610_0005_L_0736.jpg</v>
      </c>
      <c r="I3452">
        <f t="shared" si="53"/>
        <v>0</v>
      </c>
      <c r="J3452" s="75">
        <v>0</v>
      </c>
      <c r="O3452" s="75">
        <v>1</v>
      </c>
      <c r="P3452" s="75">
        <v>0</v>
      </c>
      <c r="Q3452" s="75">
        <v>0</v>
      </c>
      <c r="R3452" s="75">
        <v>0</v>
      </c>
      <c r="S3452" s="75">
        <v>0</v>
      </c>
      <c r="T3452" s="75">
        <v>0</v>
      </c>
      <c r="U3452" s="75">
        <v>0</v>
      </c>
      <c r="V3452" s="75">
        <v>1</v>
      </c>
      <c r="W3452" s="78">
        <v>0</v>
      </c>
    </row>
    <row r="3453" spans="1:23" s="75" customFormat="1" hidden="1" x14ac:dyDescent="0.35">
      <c r="A3453" s="75">
        <v>3449</v>
      </c>
      <c r="B3453" s="75">
        <v>3450</v>
      </c>
      <c r="C3453">
        <v>146.0165356</v>
      </c>
      <c r="D3453">
        <v>-17.48789434</v>
      </c>
      <c r="F3453" s="75" t="str">
        <f>HYPERLINK("E:\Data From Lucan\2024\Johnstone\Frames_for_Analysis\3450_20240610_0005_L_0738.jpg","3450_20240610_0005_L_0738.jpg")</f>
        <v>3450_20240610_0005_L_0738.jpg</v>
      </c>
      <c r="I3453">
        <f t="shared" si="53"/>
        <v>0</v>
      </c>
      <c r="J3453" s="75">
        <v>0</v>
      </c>
      <c r="O3453" s="75">
        <v>1</v>
      </c>
      <c r="P3453" s="75">
        <v>0</v>
      </c>
      <c r="Q3453" s="75">
        <v>0</v>
      </c>
      <c r="R3453" s="75">
        <v>0</v>
      </c>
      <c r="S3453" s="75">
        <v>0</v>
      </c>
      <c r="T3453" s="75">
        <v>0</v>
      </c>
      <c r="U3453" s="75">
        <v>0</v>
      </c>
      <c r="V3453" s="75">
        <v>0</v>
      </c>
      <c r="W3453" s="78">
        <v>0</v>
      </c>
    </row>
    <row r="3454" spans="1:23" s="75" customFormat="1" hidden="1" x14ac:dyDescent="0.35">
      <c r="A3454" s="75">
        <v>3450</v>
      </c>
      <c r="B3454" s="75">
        <v>3451</v>
      </c>
      <c r="C3454">
        <v>146.01659029999999</v>
      </c>
      <c r="D3454">
        <v>-17.487817540000002</v>
      </c>
      <c r="F3454" s="75" t="str">
        <f>HYPERLINK("E:\Data From Lucan\2024\Johnstone\Frames_for_Analysis\3451_20240610_0005_L_0741.jpg","3451_20240610_0005_L_0741.jpg")</f>
        <v>3451_20240610_0005_L_0741.jpg</v>
      </c>
      <c r="I3454">
        <f t="shared" si="53"/>
        <v>0</v>
      </c>
      <c r="J3454" s="75">
        <v>0</v>
      </c>
      <c r="O3454" s="75">
        <v>1</v>
      </c>
      <c r="P3454" s="75">
        <v>0</v>
      </c>
      <c r="Q3454" s="75">
        <v>0</v>
      </c>
      <c r="R3454" s="75">
        <v>0</v>
      </c>
      <c r="S3454" s="75">
        <v>0</v>
      </c>
      <c r="T3454" s="75">
        <v>0</v>
      </c>
      <c r="U3454" s="75">
        <v>0</v>
      </c>
      <c r="V3454" s="75">
        <v>0</v>
      </c>
      <c r="W3454" s="78">
        <v>0</v>
      </c>
    </row>
    <row r="3455" spans="1:23" s="75" customFormat="1" hidden="1" x14ac:dyDescent="0.35">
      <c r="A3455" s="75">
        <v>3451</v>
      </c>
      <c r="B3455" s="75">
        <v>3452</v>
      </c>
      <c r="C3455">
        <v>146.01664510000001</v>
      </c>
      <c r="D3455">
        <v>-17.48774075</v>
      </c>
      <c r="F3455" s="75" t="str">
        <f>HYPERLINK("E:\Data From Lucan\2024\Johnstone\Frames_for_Analysis\3452_20240610_0005_L_0744.jpg","3452_20240610_0005_L_0744.jpg")</f>
        <v>3452_20240610_0005_L_0744.jpg</v>
      </c>
      <c r="I3455">
        <f t="shared" si="53"/>
        <v>0</v>
      </c>
      <c r="J3455" s="75">
        <v>0</v>
      </c>
      <c r="O3455" s="75">
        <v>1</v>
      </c>
      <c r="P3455" s="75">
        <v>0</v>
      </c>
      <c r="Q3455" s="75">
        <v>0</v>
      </c>
      <c r="R3455" s="75">
        <v>0</v>
      </c>
      <c r="S3455" s="75">
        <v>0</v>
      </c>
      <c r="T3455" s="75">
        <v>0</v>
      </c>
      <c r="U3455" s="75">
        <v>0</v>
      </c>
      <c r="V3455" s="75">
        <v>0</v>
      </c>
      <c r="W3455" s="78">
        <v>0</v>
      </c>
    </row>
    <row r="3456" spans="1:23" s="75" customFormat="1" hidden="1" x14ac:dyDescent="0.35">
      <c r="A3456" s="75">
        <v>3452</v>
      </c>
      <c r="B3456" s="75">
        <v>3453</v>
      </c>
      <c r="C3456">
        <v>146.0166998</v>
      </c>
      <c r="D3456">
        <v>-17.487663959999999</v>
      </c>
      <c r="F3456" s="75" t="str">
        <f>HYPERLINK("E:\Data From Lucan\2024\Johnstone\Frames_for_Analysis\3453_20240610_0005_L_0746.jpg","3453_20240610_0005_L_0746.jpg")</f>
        <v>3453_20240610_0005_L_0746.jpg</v>
      </c>
      <c r="I3456">
        <f t="shared" si="53"/>
        <v>0</v>
      </c>
      <c r="J3456" s="75">
        <v>0</v>
      </c>
      <c r="O3456" s="75">
        <v>1</v>
      </c>
      <c r="P3456" s="75">
        <v>0</v>
      </c>
      <c r="Q3456" s="75">
        <v>0</v>
      </c>
      <c r="R3456" s="75">
        <v>0</v>
      </c>
      <c r="S3456" s="75">
        <v>0</v>
      </c>
      <c r="T3456" s="75">
        <v>0</v>
      </c>
      <c r="U3456" s="75">
        <v>0</v>
      </c>
      <c r="V3456" s="75">
        <v>0</v>
      </c>
      <c r="W3456" s="78">
        <v>0</v>
      </c>
    </row>
    <row r="3457" spans="1:23" s="75" customFormat="1" hidden="1" x14ac:dyDescent="0.35">
      <c r="A3457" s="75">
        <v>3453</v>
      </c>
      <c r="B3457" s="75">
        <v>3454</v>
      </c>
      <c r="C3457">
        <v>146.01675449999999</v>
      </c>
      <c r="D3457">
        <v>-17.487587170000001</v>
      </c>
      <c r="F3457" s="75" t="str">
        <f>HYPERLINK("E:\Data From Lucan\2024\Johnstone\Frames_for_Analysis\3454_20240610_0005_L_0749.jpg","3454_20240610_0005_L_0749.jpg")</f>
        <v>3454_20240610_0005_L_0749.jpg</v>
      </c>
      <c r="I3457">
        <f t="shared" si="53"/>
        <v>0</v>
      </c>
      <c r="J3457" s="75">
        <v>0</v>
      </c>
      <c r="O3457" s="75">
        <v>1</v>
      </c>
      <c r="P3457" s="75">
        <v>0</v>
      </c>
      <c r="Q3457" s="75">
        <v>0</v>
      </c>
      <c r="R3457" s="75">
        <v>0</v>
      </c>
      <c r="S3457" s="75">
        <v>0</v>
      </c>
      <c r="T3457" s="75">
        <v>0</v>
      </c>
      <c r="U3457" s="75">
        <v>0</v>
      </c>
      <c r="V3457" s="75">
        <v>0</v>
      </c>
      <c r="W3457" s="78">
        <v>0</v>
      </c>
    </row>
    <row r="3458" spans="1:23" s="75" customFormat="1" hidden="1" x14ac:dyDescent="0.35">
      <c r="A3458" s="75">
        <v>3454</v>
      </c>
      <c r="B3458" s="75">
        <v>3455</v>
      </c>
      <c r="C3458">
        <v>146.01680930000001</v>
      </c>
      <c r="D3458">
        <v>-17.487510369999999</v>
      </c>
      <c r="F3458" s="75" t="str">
        <f>HYPERLINK("E:\Data From Lucan\2024\Johnstone\Frames_for_Analysis\3455_20240610_0005_L_0752.jpg","3455_20240610_0005_L_0752.jpg")</f>
        <v>3455_20240610_0005_L_0752.jpg</v>
      </c>
      <c r="I3458">
        <f t="shared" si="53"/>
        <v>0</v>
      </c>
      <c r="J3458" s="75">
        <v>0</v>
      </c>
      <c r="O3458" s="75">
        <v>1</v>
      </c>
      <c r="P3458" s="75">
        <v>0</v>
      </c>
      <c r="Q3458" s="75">
        <v>0</v>
      </c>
      <c r="R3458" s="75">
        <v>0</v>
      </c>
      <c r="S3458" s="75">
        <v>0</v>
      </c>
      <c r="T3458" s="75">
        <v>0</v>
      </c>
      <c r="U3458" s="75">
        <v>0</v>
      </c>
      <c r="V3458" s="75">
        <v>0</v>
      </c>
      <c r="W3458" s="78">
        <v>0</v>
      </c>
    </row>
    <row r="3459" spans="1:23" s="75" customFormat="1" hidden="1" x14ac:dyDescent="0.35">
      <c r="A3459" s="75">
        <v>3455</v>
      </c>
      <c r="B3459" s="75">
        <v>3456</v>
      </c>
      <c r="C3459">
        <v>146.016864</v>
      </c>
      <c r="D3459">
        <v>-17.487433580000001</v>
      </c>
      <c r="F3459" s="75" t="str">
        <f>HYPERLINK("E:\Data From Lucan\2024\Johnstone\Frames_for_Analysis\3456_20240610_0005_L_0755.jpg","3456_20240610_0005_L_0755.jpg")</f>
        <v>3456_20240610_0005_L_0755.jpg</v>
      </c>
      <c r="I3459">
        <f t="shared" si="53"/>
        <v>0</v>
      </c>
      <c r="J3459" s="75">
        <v>0</v>
      </c>
      <c r="O3459" s="75">
        <v>1</v>
      </c>
      <c r="P3459" s="75">
        <v>0</v>
      </c>
      <c r="Q3459" s="75">
        <v>0</v>
      </c>
      <c r="R3459" s="75">
        <v>0</v>
      </c>
      <c r="S3459" s="75">
        <v>0</v>
      </c>
      <c r="T3459" s="75">
        <v>0</v>
      </c>
      <c r="U3459" s="75">
        <v>0</v>
      </c>
      <c r="V3459" s="75">
        <v>0</v>
      </c>
      <c r="W3459" s="78">
        <v>0</v>
      </c>
    </row>
    <row r="3460" spans="1:23" s="75" customFormat="1" hidden="1" x14ac:dyDescent="0.35">
      <c r="A3460" s="75">
        <v>3456</v>
      </c>
      <c r="B3460" s="75">
        <v>3457</v>
      </c>
      <c r="C3460">
        <v>146.01691869999999</v>
      </c>
      <c r="D3460">
        <v>-17.48735679</v>
      </c>
      <c r="F3460" s="75" t="str">
        <f>HYPERLINK("E:\Data From Lucan\2024\Johnstone\Frames_for_Analysis\3457_20240610_0005_L_0758.jpg","3457_20240610_0005_L_0758.jpg")</f>
        <v>3457_20240610_0005_L_0758.jpg</v>
      </c>
      <c r="I3460">
        <f t="shared" si="53"/>
        <v>0</v>
      </c>
      <c r="J3460" s="75">
        <v>0</v>
      </c>
      <c r="O3460" s="75">
        <v>1</v>
      </c>
      <c r="P3460" s="75">
        <v>0</v>
      </c>
      <c r="Q3460" s="75">
        <v>0</v>
      </c>
      <c r="R3460" s="75">
        <v>0</v>
      </c>
      <c r="S3460" s="75">
        <v>0</v>
      </c>
      <c r="T3460" s="75">
        <v>0</v>
      </c>
      <c r="U3460" s="75">
        <v>0</v>
      </c>
      <c r="V3460" s="75">
        <v>0</v>
      </c>
      <c r="W3460" s="78">
        <v>0</v>
      </c>
    </row>
    <row r="3461" spans="1:23" s="75" customFormat="1" hidden="1" x14ac:dyDescent="0.35">
      <c r="A3461" s="75">
        <v>3457</v>
      </c>
      <c r="B3461" s="75">
        <v>3458</v>
      </c>
      <c r="C3461">
        <v>146.01697350000001</v>
      </c>
      <c r="D3461">
        <v>-17.487279999999998</v>
      </c>
      <c r="F3461" s="75" t="str">
        <f>HYPERLINK("E:\Data From Lucan\2024\Johnstone\Frames_for_Analysis\3458_20240610_0005_L_0760.jpg","3458_20240610_0005_L_0760.jpg")</f>
        <v>3458_20240610_0005_L_0760.jpg</v>
      </c>
      <c r="I3461">
        <f t="shared" ref="I3461:I3524" si="54">IF(H3461="X","X",IF(J3461="NA","X",IF(J3461="","X",J3461)))</f>
        <v>0</v>
      </c>
      <c r="J3461" s="75">
        <v>0</v>
      </c>
      <c r="O3461" s="75">
        <v>1</v>
      </c>
      <c r="P3461" s="75">
        <v>0</v>
      </c>
      <c r="Q3461" s="75">
        <v>0</v>
      </c>
      <c r="R3461" s="75">
        <v>0</v>
      </c>
      <c r="S3461" s="75">
        <v>0</v>
      </c>
      <c r="T3461" s="75">
        <v>0</v>
      </c>
      <c r="U3461" s="75">
        <v>0</v>
      </c>
      <c r="V3461" s="75">
        <v>0</v>
      </c>
      <c r="W3461" s="78">
        <v>0</v>
      </c>
    </row>
    <row r="3462" spans="1:23" s="75" customFormat="1" hidden="1" x14ac:dyDescent="0.35">
      <c r="A3462" s="75">
        <v>3458</v>
      </c>
      <c r="B3462" s="75">
        <v>3459</v>
      </c>
      <c r="C3462">
        <v>146.0170282</v>
      </c>
      <c r="D3462">
        <v>-17.487203210000001</v>
      </c>
      <c r="F3462" s="75" t="str">
        <f>HYPERLINK("E:\Data From Lucan\2024\Johnstone\Frames_for_Analysis\3459_20240610_0005_L_0763.jpg","3459_20240610_0005_L_0763.jpg")</f>
        <v>3459_20240610_0005_L_0763.jpg</v>
      </c>
      <c r="I3462">
        <f t="shared" si="54"/>
        <v>0</v>
      </c>
      <c r="J3462" s="75">
        <v>0</v>
      </c>
      <c r="O3462" s="75">
        <v>1</v>
      </c>
      <c r="P3462" s="75">
        <v>0</v>
      </c>
      <c r="Q3462" s="75">
        <v>0</v>
      </c>
      <c r="R3462" s="75">
        <v>0</v>
      </c>
      <c r="S3462" s="75">
        <v>0</v>
      </c>
      <c r="T3462" s="75">
        <v>0</v>
      </c>
      <c r="U3462" s="75">
        <v>0</v>
      </c>
      <c r="V3462" s="75">
        <v>0</v>
      </c>
      <c r="W3462" s="78">
        <v>0</v>
      </c>
    </row>
    <row r="3463" spans="1:23" s="75" customFormat="1" hidden="1" x14ac:dyDescent="0.35">
      <c r="A3463" s="75">
        <v>3459</v>
      </c>
      <c r="B3463" s="75">
        <v>3460</v>
      </c>
      <c r="C3463">
        <v>146.01708300000001</v>
      </c>
      <c r="D3463">
        <v>-17.487126409999998</v>
      </c>
      <c r="F3463" s="75" t="str">
        <f>HYPERLINK("E:\Data From Lucan\2024\Johnstone\Frames_for_Analysis\3460_20240610_0005_L_0766.jpg","3460_20240610_0005_L_0766.jpg")</f>
        <v>3460_20240610_0005_L_0766.jpg</v>
      </c>
      <c r="I3463">
        <f t="shared" si="54"/>
        <v>0</v>
      </c>
      <c r="J3463" s="75">
        <v>0</v>
      </c>
      <c r="O3463" s="75">
        <v>1</v>
      </c>
      <c r="P3463" s="75">
        <v>0</v>
      </c>
      <c r="Q3463" s="75">
        <v>0</v>
      </c>
      <c r="R3463" s="75">
        <v>0</v>
      </c>
      <c r="S3463" s="75">
        <v>0</v>
      </c>
      <c r="T3463" s="75">
        <v>0</v>
      </c>
      <c r="U3463" s="75">
        <v>0</v>
      </c>
      <c r="V3463" s="75">
        <v>0</v>
      </c>
      <c r="W3463" s="78">
        <v>0</v>
      </c>
    </row>
    <row r="3464" spans="1:23" s="75" customFormat="1" hidden="1" x14ac:dyDescent="0.35">
      <c r="A3464" s="75">
        <v>3460</v>
      </c>
      <c r="B3464" s="75">
        <v>3461</v>
      </c>
      <c r="C3464">
        <v>146.01713770000001</v>
      </c>
      <c r="D3464">
        <v>-17.487049620000001</v>
      </c>
      <c r="F3464" s="75" t="str">
        <f>HYPERLINK("E:\Data From Lucan\2024\Johnstone\Frames_for_Analysis\3461_20240610_0005_L_0769.jpg","3461_20240610_0005_L_0769.jpg")</f>
        <v>3461_20240610_0005_L_0769.jpg</v>
      </c>
      <c r="I3464">
        <f t="shared" si="54"/>
        <v>0</v>
      </c>
      <c r="J3464" s="75">
        <v>0</v>
      </c>
      <c r="O3464" s="75">
        <v>1</v>
      </c>
      <c r="P3464" s="75">
        <v>0</v>
      </c>
      <c r="Q3464" s="75">
        <v>0</v>
      </c>
      <c r="R3464" s="75">
        <v>0</v>
      </c>
      <c r="S3464" s="75">
        <v>0</v>
      </c>
      <c r="T3464" s="75">
        <v>1</v>
      </c>
      <c r="U3464" s="75">
        <v>0</v>
      </c>
      <c r="V3464" s="75">
        <v>0</v>
      </c>
      <c r="W3464" s="78">
        <v>0</v>
      </c>
    </row>
    <row r="3465" spans="1:23" s="75" customFormat="1" hidden="1" x14ac:dyDescent="0.35">
      <c r="A3465" s="75">
        <v>3461</v>
      </c>
      <c r="B3465" s="75">
        <v>3462</v>
      </c>
      <c r="C3465">
        <v>146.0171924</v>
      </c>
      <c r="D3465">
        <v>-17.486972829999999</v>
      </c>
      <c r="F3465" s="75" t="str">
        <f>HYPERLINK("E:\Data From Lucan\2024\Johnstone\Frames_for_Analysis\3462_20240610_0005_L_0772.jpg","3462_20240610_0005_L_0772.jpg")</f>
        <v>3462_20240610_0005_L_0772.jpg</v>
      </c>
      <c r="I3465">
        <f t="shared" si="54"/>
        <v>0</v>
      </c>
      <c r="J3465" s="75">
        <v>0</v>
      </c>
      <c r="O3465" s="75">
        <v>1</v>
      </c>
      <c r="P3465" s="75">
        <v>0</v>
      </c>
      <c r="Q3465" s="75">
        <v>0</v>
      </c>
      <c r="R3465" s="75">
        <v>0</v>
      </c>
      <c r="S3465" s="75">
        <v>0</v>
      </c>
      <c r="T3465" s="75">
        <v>0</v>
      </c>
      <c r="U3465" s="75">
        <v>0</v>
      </c>
      <c r="V3465" s="75">
        <v>0</v>
      </c>
      <c r="W3465" s="78">
        <v>0</v>
      </c>
    </row>
    <row r="3466" spans="1:23" s="75" customFormat="1" hidden="1" x14ac:dyDescent="0.35">
      <c r="A3466" s="75">
        <v>3462</v>
      </c>
      <c r="B3466" s="75">
        <v>3463</v>
      </c>
      <c r="C3466">
        <v>146.017247</v>
      </c>
      <c r="D3466">
        <v>-17.486895919999998</v>
      </c>
      <c r="F3466" s="75" t="str">
        <f>HYPERLINK("E:\Data From Lucan\2024\Johnstone\Frames_for_Analysis\3463_20240610_0005_L_0774.jpg","3463_20240610_0005_L_0774.jpg")</f>
        <v>3463_20240610_0005_L_0774.jpg</v>
      </c>
      <c r="I3466">
        <f t="shared" si="54"/>
        <v>0</v>
      </c>
      <c r="J3466" s="75">
        <v>0</v>
      </c>
      <c r="O3466" s="75">
        <v>1</v>
      </c>
      <c r="P3466" s="75">
        <v>0</v>
      </c>
      <c r="Q3466" s="75">
        <v>0</v>
      </c>
      <c r="R3466" s="75">
        <v>0</v>
      </c>
      <c r="S3466" s="75">
        <v>0</v>
      </c>
      <c r="T3466" s="75">
        <v>0</v>
      </c>
      <c r="U3466" s="75">
        <v>0</v>
      </c>
      <c r="V3466" s="75">
        <v>0</v>
      </c>
      <c r="W3466" s="78">
        <v>0</v>
      </c>
    </row>
    <row r="3467" spans="1:23" s="75" customFormat="1" hidden="1" x14ac:dyDescent="0.35">
      <c r="A3467" s="75">
        <v>3463</v>
      </c>
      <c r="B3467" s="75">
        <v>3464</v>
      </c>
      <c r="C3467">
        <v>146.01730140000001</v>
      </c>
      <c r="D3467">
        <v>-17.48681891</v>
      </c>
      <c r="F3467" s="75" t="str">
        <f>HYPERLINK("E:\Data From Lucan\2024\Johnstone\Frames_for_Analysis\3464_20240610_0005_L_0777.jpg","3464_20240610_0005_L_0777.jpg")</f>
        <v>3464_20240610_0005_L_0777.jpg</v>
      </c>
      <c r="I3467">
        <f t="shared" si="54"/>
        <v>0</v>
      </c>
      <c r="J3467" s="75">
        <v>0</v>
      </c>
      <c r="O3467" s="75">
        <v>1</v>
      </c>
      <c r="P3467" s="75">
        <v>0</v>
      </c>
      <c r="Q3467" s="75">
        <v>0</v>
      </c>
      <c r="R3467" s="75">
        <v>0</v>
      </c>
      <c r="S3467" s="75">
        <v>0</v>
      </c>
      <c r="T3467" s="75">
        <v>0</v>
      </c>
      <c r="U3467" s="75">
        <v>0</v>
      </c>
      <c r="V3467" s="75">
        <v>1</v>
      </c>
      <c r="W3467" s="78">
        <v>0</v>
      </c>
    </row>
    <row r="3468" spans="1:23" s="75" customFormat="1" hidden="1" x14ac:dyDescent="0.35">
      <c r="A3468" s="75">
        <v>3464</v>
      </c>
      <c r="B3468" s="75">
        <v>3465</v>
      </c>
      <c r="C3468">
        <v>146.01735590000001</v>
      </c>
      <c r="D3468">
        <v>-17.486741899999998</v>
      </c>
      <c r="F3468" s="75" t="str">
        <f>HYPERLINK("E:\Data From Lucan\2024\Johnstone\Frames_for_Analysis\3465_20240610_0005_L_0779.jpg","3465_20240610_0005_L_0779.jpg")</f>
        <v>3465_20240610_0005_L_0779.jpg</v>
      </c>
      <c r="I3468">
        <f t="shared" si="54"/>
        <v>0</v>
      </c>
      <c r="J3468" s="75">
        <v>0</v>
      </c>
      <c r="O3468" s="75">
        <v>1</v>
      </c>
      <c r="P3468" s="75">
        <v>0</v>
      </c>
      <c r="Q3468" s="75">
        <v>0</v>
      </c>
      <c r="R3468" s="75">
        <v>0</v>
      </c>
      <c r="S3468" s="75">
        <v>0</v>
      </c>
      <c r="T3468" s="75">
        <v>0</v>
      </c>
      <c r="U3468" s="75">
        <v>0</v>
      </c>
      <c r="V3468" s="75">
        <v>0</v>
      </c>
      <c r="W3468" s="78">
        <v>0</v>
      </c>
    </row>
    <row r="3469" spans="1:23" s="75" customFormat="1" hidden="1" x14ac:dyDescent="0.35">
      <c r="A3469" s="75">
        <v>3465</v>
      </c>
      <c r="B3469" s="75">
        <v>3466</v>
      </c>
      <c r="C3469">
        <v>146.01741029999999</v>
      </c>
      <c r="D3469">
        <v>-17.48666489</v>
      </c>
      <c r="F3469" s="75" t="str">
        <f>HYPERLINK("E:\Data From Lucan\2024\Johnstone\Frames_for_Analysis\3466_20240610_0005_L_0781.jpg","3466_20240610_0005_L_0781.jpg")</f>
        <v>3466_20240610_0005_L_0781.jpg</v>
      </c>
      <c r="I3469">
        <f t="shared" si="54"/>
        <v>0</v>
      </c>
      <c r="J3469" s="75">
        <v>0</v>
      </c>
      <c r="O3469" s="75">
        <v>1</v>
      </c>
      <c r="P3469" s="75">
        <v>0</v>
      </c>
      <c r="Q3469" s="75">
        <v>0</v>
      </c>
      <c r="R3469" s="75">
        <v>0</v>
      </c>
      <c r="S3469" s="75">
        <v>0</v>
      </c>
      <c r="T3469" s="75">
        <v>0</v>
      </c>
      <c r="U3469" s="75">
        <v>0</v>
      </c>
      <c r="V3469" s="75">
        <v>0</v>
      </c>
      <c r="W3469" s="78">
        <v>0</v>
      </c>
    </row>
    <row r="3470" spans="1:23" s="75" customFormat="1" hidden="1" x14ac:dyDescent="0.35">
      <c r="A3470" s="75">
        <v>3466</v>
      </c>
      <c r="B3470" s="75">
        <v>3467</v>
      </c>
      <c r="C3470">
        <v>146.0174647</v>
      </c>
      <c r="D3470">
        <v>-17.486587870000001</v>
      </c>
      <c r="F3470" s="75" t="str">
        <f>HYPERLINK("E:\Data From Lucan\2024\Johnstone\Frames_for_Analysis\3467_20240610_0005_L_0783.jpg","3467_20240610_0005_L_0783.jpg")</f>
        <v>3467_20240610_0005_L_0783.jpg</v>
      </c>
      <c r="I3470">
        <f t="shared" si="54"/>
        <v>0</v>
      </c>
      <c r="J3470" s="75">
        <v>0</v>
      </c>
      <c r="O3470" s="75">
        <v>1</v>
      </c>
      <c r="P3470" s="75">
        <v>0</v>
      </c>
      <c r="Q3470" s="75">
        <v>0</v>
      </c>
      <c r="R3470" s="75">
        <v>0</v>
      </c>
      <c r="S3470" s="75">
        <v>0</v>
      </c>
      <c r="T3470" s="75">
        <v>0</v>
      </c>
      <c r="U3470" s="75">
        <v>0</v>
      </c>
      <c r="V3470" s="75">
        <v>0</v>
      </c>
      <c r="W3470" s="78">
        <v>0</v>
      </c>
    </row>
    <row r="3471" spans="1:23" s="75" customFormat="1" hidden="1" x14ac:dyDescent="0.35">
      <c r="A3471" s="75">
        <v>3467</v>
      </c>
      <c r="B3471" s="75">
        <v>3468</v>
      </c>
      <c r="C3471">
        <v>146.01751909999999</v>
      </c>
      <c r="D3471">
        <v>-17.486510859999999</v>
      </c>
      <c r="F3471" s="75" t="str">
        <f>HYPERLINK("E:\Data From Lucan\2024\Johnstone\Frames_for_Analysis\3468_20240610_0005_L_0786.jpg","3468_20240610_0005_L_0786.jpg")</f>
        <v>3468_20240610_0005_L_0786.jpg</v>
      </c>
      <c r="I3471">
        <f t="shared" si="54"/>
        <v>0</v>
      </c>
      <c r="J3471" s="75">
        <v>0</v>
      </c>
      <c r="O3471" s="75">
        <v>1</v>
      </c>
      <c r="P3471" s="75">
        <v>0</v>
      </c>
      <c r="Q3471" s="75">
        <v>0</v>
      </c>
      <c r="R3471" s="75">
        <v>0</v>
      </c>
      <c r="S3471" s="75">
        <v>0</v>
      </c>
      <c r="T3471" s="75">
        <v>0</v>
      </c>
      <c r="U3471" s="75">
        <v>0</v>
      </c>
      <c r="V3471" s="75">
        <v>0</v>
      </c>
      <c r="W3471" s="78">
        <v>0</v>
      </c>
    </row>
    <row r="3472" spans="1:23" s="75" customFormat="1" hidden="1" x14ac:dyDescent="0.35">
      <c r="A3472" s="75">
        <v>3468</v>
      </c>
      <c r="B3472" s="75">
        <v>3469</v>
      </c>
      <c r="C3472">
        <v>146.01757359999999</v>
      </c>
      <c r="D3472">
        <v>-17.486433850000001</v>
      </c>
      <c r="F3472" s="75" t="str">
        <f>HYPERLINK("E:\Data From Lucan\2024\Johnstone\Frames_for_Analysis\3469_20240610_0005_L_0788.jpg","3469_20240610_0005_L_0788.jpg")</f>
        <v>3469_20240610_0005_L_0788.jpg</v>
      </c>
      <c r="I3472">
        <f t="shared" si="54"/>
        <v>0</v>
      </c>
      <c r="J3472" s="75">
        <v>0</v>
      </c>
      <c r="O3472" s="75">
        <v>1</v>
      </c>
      <c r="P3472" s="75">
        <v>0</v>
      </c>
      <c r="Q3472" s="75">
        <v>0</v>
      </c>
      <c r="R3472" s="75">
        <v>0</v>
      </c>
      <c r="S3472" s="75">
        <v>0</v>
      </c>
      <c r="T3472" s="75">
        <v>0</v>
      </c>
      <c r="U3472" s="75">
        <v>0</v>
      </c>
      <c r="V3472" s="75">
        <v>0</v>
      </c>
      <c r="W3472" s="78">
        <v>0</v>
      </c>
    </row>
    <row r="3473" spans="1:23" s="75" customFormat="1" hidden="1" x14ac:dyDescent="0.35">
      <c r="A3473" s="75">
        <v>3469</v>
      </c>
      <c r="B3473" s="75">
        <v>3470</v>
      </c>
      <c r="C3473">
        <v>146.017628</v>
      </c>
      <c r="D3473">
        <v>-17.486356839999999</v>
      </c>
      <c r="F3473" s="75" t="str">
        <f>HYPERLINK("E:\Data From Lucan\2024\Johnstone\Frames_for_Analysis\3470_20240610_0005_L_0791.jpg","3470_20240610_0005_L_0791.jpg")</f>
        <v>3470_20240610_0005_L_0791.jpg</v>
      </c>
      <c r="I3473">
        <f t="shared" si="54"/>
        <v>0</v>
      </c>
      <c r="J3473" s="75">
        <v>0</v>
      </c>
      <c r="O3473" s="75">
        <v>1</v>
      </c>
      <c r="P3473" s="75">
        <v>0</v>
      </c>
      <c r="Q3473" s="75">
        <v>0</v>
      </c>
      <c r="R3473" s="75">
        <v>0</v>
      </c>
      <c r="S3473" s="75">
        <v>0</v>
      </c>
      <c r="T3473" s="75">
        <v>0</v>
      </c>
      <c r="U3473" s="75">
        <v>0</v>
      </c>
      <c r="V3473" s="75">
        <v>0</v>
      </c>
      <c r="W3473" s="78">
        <v>0</v>
      </c>
    </row>
    <row r="3474" spans="1:23" s="75" customFormat="1" hidden="1" x14ac:dyDescent="0.35">
      <c r="A3474" s="75">
        <v>3470</v>
      </c>
      <c r="B3474" s="75">
        <v>3471</v>
      </c>
      <c r="C3474">
        <v>146.01768240000001</v>
      </c>
      <c r="D3474">
        <v>-17.486279830000001</v>
      </c>
      <c r="F3474" s="75" t="str">
        <f>HYPERLINK("E:\Data From Lucan\2024\Johnstone\Frames_for_Analysis\3471_20240610_0005_L_0793.jpg","3471_20240610_0005_L_0793.jpg")</f>
        <v>3471_20240610_0005_L_0793.jpg</v>
      </c>
      <c r="I3474">
        <f t="shared" si="54"/>
        <v>0</v>
      </c>
      <c r="J3474" s="75">
        <v>0</v>
      </c>
      <c r="O3474" s="75">
        <v>1</v>
      </c>
      <c r="P3474" s="75">
        <v>0</v>
      </c>
      <c r="Q3474" s="75">
        <v>0</v>
      </c>
      <c r="R3474" s="75">
        <v>0</v>
      </c>
      <c r="S3474" s="75">
        <v>0</v>
      </c>
      <c r="T3474" s="75">
        <v>0</v>
      </c>
      <c r="U3474" s="75">
        <v>0</v>
      </c>
      <c r="V3474" s="75">
        <v>0</v>
      </c>
      <c r="W3474" s="78">
        <v>0</v>
      </c>
    </row>
    <row r="3475" spans="1:23" s="75" customFormat="1" hidden="1" x14ac:dyDescent="0.35">
      <c r="A3475" s="75">
        <v>3471</v>
      </c>
      <c r="B3475" s="75">
        <v>3472</v>
      </c>
      <c r="C3475">
        <v>146.01773689999999</v>
      </c>
      <c r="D3475">
        <v>-17.486202819999999</v>
      </c>
      <c r="F3475" s="75" t="str">
        <f>HYPERLINK("E:\Data From Lucan\2024\Johnstone\Frames_for_Analysis\3472_20240610_0005_L_0795.jpg","3472_20240610_0005_L_0795.jpg")</f>
        <v>3472_20240610_0005_L_0795.jpg</v>
      </c>
      <c r="I3475">
        <f t="shared" si="54"/>
        <v>0</v>
      </c>
      <c r="J3475" s="75">
        <v>0</v>
      </c>
      <c r="O3475" s="75">
        <v>1</v>
      </c>
      <c r="P3475" s="75">
        <v>0</v>
      </c>
      <c r="Q3475" s="75">
        <v>0</v>
      </c>
      <c r="R3475" s="75">
        <v>0</v>
      </c>
      <c r="S3475" s="75">
        <v>0</v>
      </c>
      <c r="T3475" s="75">
        <v>0</v>
      </c>
      <c r="U3475" s="75">
        <v>0</v>
      </c>
      <c r="V3475" s="75">
        <v>0</v>
      </c>
      <c r="W3475" s="78">
        <v>0</v>
      </c>
    </row>
    <row r="3476" spans="1:23" s="75" customFormat="1" hidden="1" x14ac:dyDescent="0.35">
      <c r="A3476" s="75">
        <v>3472</v>
      </c>
      <c r="B3476" s="75">
        <v>3473</v>
      </c>
      <c r="C3476">
        <v>146.0177913</v>
      </c>
      <c r="D3476">
        <v>-17.486125810000001</v>
      </c>
      <c r="F3476" s="75" t="str">
        <f>HYPERLINK("E:\Data From Lucan\2024\Johnstone\Frames_for_Analysis\3473_20240610_0005_L_0798.jpg","3473_20240610_0005_L_0798.jpg")</f>
        <v>3473_20240610_0005_L_0798.jpg</v>
      </c>
      <c r="I3476">
        <f t="shared" si="54"/>
        <v>0</v>
      </c>
      <c r="J3476" s="75">
        <v>0</v>
      </c>
      <c r="O3476" s="75">
        <v>1</v>
      </c>
      <c r="P3476" s="75">
        <v>0</v>
      </c>
      <c r="Q3476" s="75">
        <v>0</v>
      </c>
      <c r="R3476" s="75">
        <v>0</v>
      </c>
      <c r="S3476" s="75">
        <v>0</v>
      </c>
      <c r="T3476" s="75">
        <v>0</v>
      </c>
      <c r="U3476" s="75">
        <v>0</v>
      </c>
      <c r="V3476" s="75">
        <v>0</v>
      </c>
      <c r="W3476" s="78">
        <v>0</v>
      </c>
    </row>
    <row r="3477" spans="1:23" s="75" customFormat="1" hidden="1" x14ac:dyDescent="0.35">
      <c r="A3477" s="75">
        <v>3473</v>
      </c>
      <c r="B3477" s="75">
        <v>3474</v>
      </c>
      <c r="C3477">
        <v>146.0178483</v>
      </c>
      <c r="D3477">
        <v>-17.486050980000002</v>
      </c>
      <c r="F3477" s="75" t="str">
        <f>HYPERLINK("E:\Data From Lucan\2024\Johnstone\Frames_for_Analysis\3474_20240610_0005_L_0800.jpg","3474_20240610_0005_L_0800.jpg")</f>
        <v>3474_20240610_0005_L_0800.jpg</v>
      </c>
      <c r="I3477">
        <f t="shared" si="54"/>
        <v>0</v>
      </c>
      <c r="J3477" s="75">
        <v>0</v>
      </c>
      <c r="O3477" s="75">
        <v>1</v>
      </c>
      <c r="P3477" s="75">
        <v>0</v>
      </c>
      <c r="Q3477" s="75">
        <v>0</v>
      </c>
      <c r="R3477" s="75">
        <v>0</v>
      </c>
      <c r="S3477" s="75">
        <v>0</v>
      </c>
      <c r="T3477" s="75">
        <v>0</v>
      </c>
      <c r="U3477" s="75">
        <v>0</v>
      </c>
      <c r="V3477" s="75">
        <v>0</v>
      </c>
      <c r="W3477" s="78">
        <v>0</v>
      </c>
    </row>
    <row r="3478" spans="1:23" s="75" customFormat="1" hidden="1" x14ac:dyDescent="0.35">
      <c r="A3478" s="75">
        <v>3474</v>
      </c>
      <c r="B3478" s="75">
        <v>3475</v>
      </c>
      <c r="C3478">
        <v>146.01791549999999</v>
      </c>
      <c r="D3478">
        <v>-17.485984800000001</v>
      </c>
      <c r="F3478" s="75" t="str">
        <f>HYPERLINK("E:\Data From Lucan\2024\Johnstone\Frames_for_Analysis\3475_20240610_0005_L_0803.jpg","3475_20240610_0005_L_0803.jpg")</f>
        <v>3475_20240610_0005_L_0803.jpg</v>
      </c>
      <c r="I3478">
        <f t="shared" si="54"/>
        <v>0</v>
      </c>
      <c r="J3478" s="75">
        <v>0</v>
      </c>
      <c r="O3478" s="75">
        <v>1</v>
      </c>
      <c r="P3478" s="75">
        <v>0</v>
      </c>
      <c r="Q3478" s="75">
        <v>0</v>
      </c>
      <c r="R3478" s="75">
        <v>0</v>
      </c>
      <c r="S3478" s="75">
        <v>0</v>
      </c>
      <c r="T3478" s="75">
        <v>0</v>
      </c>
      <c r="U3478" s="75">
        <v>0</v>
      </c>
      <c r="V3478" s="75">
        <v>0</v>
      </c>
      <c r="W3478" s="78">
        <v>0</v>
      </c>
    </row>
    <row r="3479" spans="1:23" s="75" customFormat="1" hidden="1" x14ac:dyDescent="0.35">
      <c r="A3479" s="75">
        <v>3475</v>
      </c>
      <c r="B3479" s="75">
        <v>3476</v>
      </c>
      <c r="C3479">
        <v>146.0179827</v>
      </c>
      <c r="D3479">
        <v>-17.48591863</v>
      </c>
      <c r="F3479" s="75" t="str">
        <f>HYPERLINK("E:\Data From Lucan\2024\Johnstone\Frames_for_Analysis\3476_20240610_0005_L_0806.jpg","3476_20240610_0005_L_0806.jpg")</f>
        <v>3476_20240610_0005_L_0806.jpg</v>
      </c>
      <c r="I3479">
        <f t="shared" si="54"/>
        <v>0</v>
      </c>
      <c r="J3479" s="75">
        <v>0</v>
      </c>
      <c r="O3479" s="75">
        <v>1</v>
      </c>
      <c r="P3479" s="75">
        <v>0</v>
      </c>
      <c r="Q3479" s="75">
        <v>0</v>
      </c>
      <c r="R3479" s="75">
        <v>0</v>
      </c>
      <c r="S3479" s="75">
        <v>0</v>
      </c>
      <c r="T3479" s="75">
        <v>0</v>
      </c>
      <c r="U3479" s="75">
        <v>0</v>
      </c>
      <c r="V3479" s="75">
        <v>0</v>
      </c>
      <c r="W3479" s="78">
        <v>0</v>
      </c>
    </row>
    <row r="3480" spans="1:23" s="75" customFormat="1" hidden="1" x14ac:dyDescent="0.35">
      <c r="A3480" s="75">
        <v>3476</v>
      </c>
      <c r="B3480" s="75">
        <v>3477</v>
      </c>
      <c r="C3480">
        <v>146.0180498</v>
      </c>
      <c r="D3480">
        <v>-17.485852449999999</v>
      </c>
      <c r="F3480" s="75" t="str">
        <f>HYPERLINK("E:\Data From Lucan\2024\Johnstone\Frames_for_Analysis\3477_20240610_0005_L_0809.jpg","3477_20240610_0005_L_0809.jpg")</f>
        <v>3477_20240610_0005_L_0809.jpg</v>
      </c>
      <c r="I3480">
        <f t="shared" si="54"/>
        <v>0</v>
      </c>
      <c r="J3480" s="75">
        <v>0</v>
      </c>
      <c r="O3480" s="75">
        <v>1</v>
      </c>
      <c r="P3480" s="75">
        <v>0</v>
      </c>
      <c r="Q3480" s="75">
        <v>0</v>
      </c>
      <c r="R3480" s="75">
        <v>0</v>
      </c>
      <c r="S3480" s="75">
        <v>0</v>
      </c>
      <c r="T3480" s="75">
        <v>0</v>
      </c>
      <c r="U3480" s="75">
        <v>0</v>
      </c>
      <c r="V3480" s="75">
        <v>0</v>
      </c>
      <c r="W3480" s="78">
        <v>0</v>
      </c>
    </row>
    <row r="3481" spans="1:23" s="75" customFormat="1" hidden="1" x14ac:dyDescent="0.35">
      <c r="A3481" s="75">
        <v>3477</v>
      </c>
      <c r="B3481" s="75">
        <v>3478</v>
      </c>
      <c r="C3481">
        <v>146.01811699999999</v>
      </c>
      <c r="D3481">
        <v>-17.485786269999998</v>
      </c>
      <c r="F3481" s="75" t="str">
        <f>HYPERLINK("E:\Data From Lucan\2024\Johnstone\Frames_for_Analysis\3478_20240610_0005_L_0811.jpg","3478_20240610_0005_L_0811.jpg")</f>
        <v>3478_20240610_0005_L_0811.jpg</v>
      </c>
      <c r="I3481">
        <f t="shared" si="54"/>
        <v>0</v>
      </c>
      <c r="J3481" s="75">
        <v>0</v>
      </c>
      <c r="O3481" s="75">
        <v>1</v>
      </c>
      <c r="P3481" s="75">
        <v>0</v>
      </c>
      <c r="Q3481" s="75">
        <v>0</v>
      </c>
      <c r="R3481" s="75">
        <v>0</v>
      </c>
      <c r="S3481" s="75">
        <v>0</v>
      </c>
      <c r="T3481" s="75">
        <v>0</v>
      </c>
      <c r="U3481" s="75">
        <v>0</v>
      </c>
      <c r="V3481" s="75">
        <v>0</v>
      </c>
      <c r="W3481" s="78">
        <v>0</v>
      </c>
    </row>
    <row r="3482" spans="1:23" s="75" customFormat="1" hidden="1" x14ac:dyDescent="0.35">
      <c r="A3482" s="75">
        <v>3478</v>
      </c>
      <c r="B3482" s="75">
        <v>3479</v>
      </c>
      <c r="C3482">
        <v>146.01817199999999</v>
      </c>
      <c r="D3482">
        <v>-17.485710310000002</v>
      </c>
      <c r="F3482" s="75" t="str">
        <f>HYPERLINK("E:\Data From Lucan\2024\Johnstone\Frames_for_Analysis\3479_20240610_0005_L_0814.jpg","3479_20240610_0005_L_0814.jpg")</f>
        <v>3479_20240610_0005_L_0814.jpg</v>
      </c>
      <c r="I3482">
        <f t="shared" si="54"/>
        <v>0</v>
      </c>
      <c r="J3482" s="75">
        <v>0</v>
      </c>
      <c r="O3482" s="75">
        <v>1</v>
      </c>
      <c r="P3482" s="75">
        <v>0</v>
      </c>
      <c r="Q3482" s="75">
        <v>0</v>
      </c>
      <c r="R3482" s="75">
        <v>0</v>
      </c>
      <c r="S3482" s="75">
        <v>0</v>
      </c>
      <c r="T3482" s="75">
        <v>0</v>
      </c>
      <c r="U3482" s="75">
        <v>0</v>
      </c>
      <c r="V3482" s="75">
        <v>0</v>
      </c>
      <c r="W3482" s="78">
        <v>0</v>
      </c>
    </row>
    <row r="3483" spans="1:23" s="75" customFormat="1" hidden="1" x14ac:dyDescent="0.35">
      <c r="A3483" s="75">
        <v>3479</v>
      </c>
      <c r="B3483" s="75">
        <v>3480</v>
      </c>
      <c r="C3483">
        <v>146.01822179999999</v>
      </c>
      <c r="D3483">
        <v>-17.485630230000002</v>
      </c>
      <c r="F3483" s="75" t="str">
        <f>HYPERLINK("E:\Data From Lucan\2024\Johnstone\Frames_for_Analysis\3480_20240610_0005_L_0817.jpg","3480_20240610_0005_L_0817.jpg")</f>
        <v>3480_20240610_0005_L_0817.jpg</v>
      </c>
      <c r="I3483">
        <f t="shared" si="54"/>
        <v>0</v>
      </c>
      <c r="J3483" s="75">
        <v>0</v>
      </c>
      <c r="O3483" s="75">
        <v>1</v>
      </c>
      <c r="P3483" s="75">
        <v>0</v>
      </c>
      <c r="Q3483" s="75">
        <v>0</v>
      </c>
      <c r="R3483" s="75">
        <v>0</v>
      </c>
      <c r="S3483" s="75">
        <v>0</v>
      </c>
      <c r="T3483" s="75">
        <v>0</v>
      </c>
      <c r="U3483" s="75">
        <v>0</v>
      </c>
      <c r="V3483" s="75">
        <v>0</v>
      </c>
      <c r="W3483" s="78">
        <v>0</v>
      </c>
    </row>
    <row r="3484" spans="1:23" s="75" customFormat="1" hidden="1" x14ac:dyDescent="0.35">
      <c r="A3484" s="75">
        <v>3480</v>
      </c>
      <c r="B3484" s="75">
        <v>3481</v>
      </c>
      <c r="C3484">
        <v>146.01827159999999</v>
      </c>
      <c r="D3484">
        <v>-17.485550140000001</v>
      </c>
      <c r="F3484" s="75" t="str">
        <f>HYPERLINK("E:\Data From Lucan\2024\Johnstone\Frames_for_Analysis\3481_20240610_0005_L_0819.jpg","3481_20240610_0005_L_0819.jpg")</f>
        <v>3481_20240610_0005_L_0819.jpg</v>
      </c>
      <c r="I3484">
        <f t="shared" si="54"/>
        <v>0</v>
      </c>
      <c r="J3484" s="75">
        <v>0</v>
      </c>
      <c r="O3484" s="75">
        <v>1</v>
      </c>
      <c r="P3484" s="75">
        <v>0</v>
      </c>
      <c r="Q3484" s="75">
        <v>0</v>
      </c>
      <c r="R3484" s="75">
        <v>0</v>
      </c>
      <c r="S3484" s="75">
        <v>0</v>
      </c>
      <c r="T3484" s="75">
        <v>0</v>
      </c>
      <c r="U3484" s="75">
        <v>0</v>
      </c>
      <c r="V3484" s="75">
        <v>0</v>
      </c>
      <c r="W3484" s="78">
        <v>0</v>
      </c>
    </row>
    <row r="3485" spans="1:23" s="75" customFormat="1" hidden="1" x14ac:dyDescent="0.35">
      <c r="A3485" s="75">
        <v>3481</v>
      </c>
      <c r="B3485" s="75">
        <v>3482</v>
      </c>
      <c r="C3485">
        <v>146.01832139999999</v>
      </c>
      <c r="D3485">
        <v>-17.485470060000001</v>
      </c>
      <c r="F3485" s="75" t="str">
        <f>HYPERLINK("E:\Data From Lucan\2024\Johnstone\Frames_for_Analysis\3482_20240610_0005_L_0822.jpg","3482_20240610_0005_L_0822.jpg")</f>
        <v>3482_20240610_0005_L_0822.jpg</v>
      </c>
      <c r="I3485">
        <f t="shared" si="54"/>
        <v>0</v>
      </c>
      <c r="J3485" s="75">
        <v>0</v>
      </c>
      <c r="O3485" s="75">
        <v>1</v>
      </c>
      <c r="P3485" s="75">
        <v>0</v>
      </c>
      <c r="Q3485" s="75">
        <v>0</v>
      </c>
      <c r="R3485" s="75">
        <v>0</v>
      </c>
      <c r="S3485" s="75">
        <v>0</v>
      </c>
      <c r="T3485" s="75">
        <v>0</v>
      </c>
      <c r="U3485" s="75">
        <v>0</v>
      </c>
      <c r="V3485" s="75">
        <v>0</v>
      </c>
      <c r="W3485" s="78">
        <v>0</v>
      </c>
    </row>
    <row r="3486" spans="1:23" s="75" customFormat="1" hidden="1" x14ac:dyDescent="0.35">
      <c r="A3486" s="75">
        <v>3482</v>
      </c>
      <c r="B3486" s="75">
        <v>3483</v>
      </c>
      <c r="C3486">
        <v>146.01837119999999</v>
      </c>
      <c r="D3486">
        <v>-17.485389980000001</v>
      </c>
      <c r="F3486" s="75" t="str">
        <f>HYPERLINK("E:\Data From Lucan\2024\Johnstone\Frames_for_Analysis\3483_20240610_0005_L_0824.jpg","3483_20240610_0005_L_0824.jpg")</f>
        <v>3483_20240610_0005_L_0824.jpg</v>
      </c>
      <c r="I3486">
        <f t="shared" si="54"/>
        <v>0</v>
      </c>
      <c r="J3486" s="75">
        <v>0</v>
      </c>
      <c r="O3486" s="75">
        <v>1</v>
      </c>
      <c r="P3486" s="75">
        <v>0</v>
      </c>
      <c r="Q3486" s="75">
        <v>0</v>
      </c>
      <c r="R3486" s="75">
        <v>0</v>
      </c>
      <c r="S3486" s="75">
        <v>0</v>
      </c>
      <c r="T3486" s="75">
        <v>0</v>
      </c>
      <c r="U3486" s="75">
        <v>0</v>
      </c>
      <c r="V3486" s="75">
        <v>0</v>
      </c>
      <c r="W3486" s="78">
        <v>0</v>
      </c>
    </row>
    <row r="3487" spans="1:23" s="75" customFormat="1" hidden="1" x14ac:dyDescent="0.35">
      <c r="A3487" s="75">
        <v>3483</v>
      </c>
      <c r="B3487" s="75">
        <v>3484</v>
      </c>
      <c r="C3487">
        <v>146.018427</v>
      </c>
      <c r="D3487">
        <v>-17.485314290000002</v>
      </c>
      <c r="F3487" s="75" t="str">
        <f>HYPERLINK("E:\Data From Lucan\2024\Johnstone\Frames_for_Analysis\3484_20240610_0005_L_0826.jpg","3484_20240610_0005_L_0826.jpg")</f>
        <v>3484_20240610_0005_L_0826.jpg</v>
      </c>
      <c r="I3487">
        <f t="shared" si="54"/>
        <v>0</v>
      </c>
      <c r="J3487" s="75">
        <v>0</v>
      </c>
      <c r="O3487" s="75">
        <v>1</v>
      </c>
      <c r="P3487" s="75">
        <v>0</v>
      </c>
      <c r="Q3487" s="75">
        <v>0</v>
      </c>
      <c r="R3487" s="75">
        <v>0</v>
      </c>
      <c r="S3487" s="75">
        <v>0</v>
      </c>
      <c r="T3487" s="75">
        <v>0</v>
      </c>
      <c r="U3487" s="75">
        <v>0</v>
      </c>
      <c r="V3487" s="75">
        <v>0</v>
      </c>
      <c r="W3487" s="78">
        <v>0</v>
      </c>
    </row>
    <row r="3488" spans="1:23" s="75" customFormat="1" hidden="1" x14ac:dyDescent="0.35">
      <c r="A3488" s="75">
        <v>3484</v>
      </c>
      <c r="B3488" s="75">
        <v>3485</v>
      </c>
      <c r="C3488">
        <v>146.0184884</v>
      </c>
      <c r="D3488">
        <v>-17.485242719999999</v>
      </c>
      <c r="F3488" s="75" t="str">
        <f>HYPERLINK("E:\Data From Lucan\2024\Johnstone\Frames_for_Analysis\3485_20240610_0005_L_0829.jpg","3485_20240610_0005_L_0829.jpg")</f>
        <v>3485_20240610_0005_L_0829.jpg</v>
      </c>
      <c r="I3488">
        <f t="shared" si="54"/>
        <v>0</v>
      </c>
      <c r="J3488" s="75">
        <v>0</v>
      </c>
      <c r="O3488" s="75">
        <v>1</v>
      </c>
      <c r="P3488" s="75">
        <v>0</v>
      </c>
      <c r="Q3488" s="75">
        <v>0</v>
      </c>
      <c r="R3488" s="75">
        <v>0</v>
      </c>
      <c r="S3488" s="75">
        <v>0</v>
      </c>
      <c r="T3488" s="75">
        <v>0</v>
      </c>
      <c r="U3488" s="75">
        <v>0</v>
      </c>
      <c r="V3488" s="75">
        <v>0</v>
      </c>
      <c r="W3488" s="78">
        <v>0</v>
      </c>
    </row>
    <row r="3489" spans="1:23" s="75" customFormat="1" hidden="1" x14ac:dyDescent="0.35">
      <c r="A3489" s="75">
        <v>3485</v>
      </c>
      <c r="B3489" s="75">
        <v>3486</v>
      </c>
      <c r="C3489">
        <v>146.01854979999999</v>
      </c>
      <c r="D3489">
        <v>-17.485171149999999</v>
      </c>
      <c r="F3489" s="75" t="str">
        <f>HYPERLINK("E:\Data From Lucan\2024\Johnstone\Frames_for_Analysis\3486_20240610_0005_L_0831.jpg","3486_20240610_0005_L_0831.jpg")</f>
        <v>3486_20240610_0005_L_0831.jpg</v>
      </c>
      <c r="I3489">
        <f t="shared" si="54"/>
        <v>0</v>
      </c>
      <c r="J3489" s="75">
        <v>0</v>
      </c>
      <c r="O3489" s="75">
        <v>1</v>
      </c>
      <c r="P3489" s="75">
        <v>0</v>
      </c>
      <c r="Q3489" s="75">
        <v>0</v>
      </c>
      <c r="R3489" s="75">
        <v>0</v>
      </c>
      <c r="S3489" s="75">
        <v>0</v>
      </c>
      <c r="T3489" s="75">
        <v>0</v>
      </c>
      <c r="U3489" s="75">
        <v>0</v>
      </c>
      <c r="V3489" s="75">
        <v>0</v>
      </c>
      <c r="W3489" s="78">
        <v>0</v>
      </c>
    </row>
    <row r="3490" spans="1:23" s="75" customFormat="1" hidden="1" x14ac:dyDescent="0.35">
      <c r="A3490" s="75">
        <v>3486</v>
      </c>
      <c r="B3490" s="75">
        <v>3487</v>
      </c>
      <c r="C3490">
        <v>146.01861120000001</v>
      </c>
      <c r="D3490">
        <v>-17.48509958</v>
      </c>
      <c r="F3490" s="75" t="str">
        <f>HYPERLINK("E:\Data From Lucan\2024\Johnstone\Frames_for_Analysis\3487_20240610_0005_L_0833.jpg","3487_20240610_0005_L_0833.jpg")</f>
        <v>3487_20240610_0005_L_0833.jpg</v>
      </c>
      <c r="I3490">
        <f t="shared" si="54"/>
        <v>0</v>
      </c>
      <c r="J3490" s="75">
        <v>0</v>
      </c>
      <c r="O3490" s="75">
        <v>1</v>
      </c>
      <c r="P3490" s="75">
        <v>0</v>
      </c>
      <c r="Q3490" s="75">
        <v>0</v>
      </c>
      <c r="R3490" s="75">
        <v>0</v>
      </c>
      <c r="S3490" s="75">
        <v>0</v>
      </c>
      <c r="T3490" s="75">
        <v>0</v>
      </c>
      <c r="U3490" s="75">
        <v>0</v>
      </c>
      <c r="V3490" s="75">
        <v>0</v>
      </c>
      <c r="W3490" s="78">
        <v>0</v>
      </c>
    </row>
    <row r="3491" spans="1:23" s="75" customFormat="1" hidden="1" x14ac:dyDescent="0.35">
      <c r="A3491" s="75">
        <v>3487</v>
      </c>
      <c r="B3491" s="75">
        <v>3488</v>
      </c>
      <c r="C3491">
        <v>146.01867519999999</v>
      </c>
      <c r="D3491">
        <v>-17.485030470000002</v>
      </c>
      <c r="F3491" s="75" t="str">
        <f>HYPERLINK("E:\Data From Lucan\2024\Johnstone\Frames_for_Analysis\3488_20240610_0005_L_0835.jpg","3488_20240610_0005_L_0835.jpg")</f>
        <v>3488_20240610_0005_L_0835.jpg</v>
      </c>
      <c r="I3491">
        <f t="shared" si="54"/>
        <v>0</v>
      </c>
      <c r="J3491" s="75">
        <v>0</v>
      </c>
      <c r="O3491" s="75">
        <v>1</v>
      </c>
      <c r="P3491" s="75">
        <v>0</v>
      </c>
      <c r="Q3491" s="75">
        <v>0</v>
      </c>
      <c r="R3491" s="75">
        <v>0</v>
      </c>
      <c r="S3491" s="75">
        <v>0</v>
      </c>
      <c r="T3491" s="75">
        <v>0</v>
      </c>
      <c r="U3491" s="75">
        <v>0</v>
      </c>
      <c r="V3491" s="75">
        <v>0</v>
      </c>
      <c r="W3491" s="78">
        <v>0</v>
      </c>
    </row>
    <row r="3492" spans="1:23" s="75" customFormat="1" hidden="1" x14ac:dyDescent="0.35">
      <c r="A3492" s="75">
        <v>3488</v>
      </c>
      <c r="B3492" s="75">
        <v>3489</v>
      </c>
      <c r="C3492">
        <v>146.01874190000001</v>
      </c>
      <c r="D3492">
        <v>-17.484963799999999</v>
      </c>
      <c r="F3492" s="75" t="str">
        <f>HYPERLINK("E:\Data From Lucan\2024\Johnstone\Frames_for_Analysis\3489_20240610_0005_L_0838.jpg","3489_20240610_0005_L_0838.jpg")</f>
        <v>3489_20240610_0005_L_0838.jpg</v>
      </c>
      <c r="I3492">
        <f t="shared" si="54"/>
        <v>0</v>
      </c>
      <c r="J3492" s="75">
        <v>0</v>
      </c>
      <c r="O3492" s="75">
        <v>1</v>
      </c>
      <c r="P3492" s="75">
        <v>0</v>
      </c>
      <c r="Q3492" s="75">
        <v>0</v>
      </c>
      <c r="R3492" s="75">
        <v>0</v>
      </c>
      <c r="S3492" s="75">
        <v>0</v>
      </c>
      <c r="T3492" s="75">
        <v>0</v>
      </c>
      <c r="U3492" s="75">
        <v>0</v>
      </c>
      <c r="V3492" s="75">
        <v>0</v>
      </c>
      <c r="W3492" s="78">
        <v>0</v>
      </c>
    </row>
    <row r="3493" spans="1:23" s="75" customFormat="1" hidden="1" x14ac:dyDescent="0.35">
      <c r="A3493" s="75">
        <v>3489</v>
      </c>
      <c r="B3493" s="75">
        <v>3490</v>
      </c>
      <c r="C3493">
        <v>146.0188086</v>
      </c>
      <c r="D3493">
        <v>-17.484897119999999</v>
      </c>
      <c r="F3493" s="75" t="str">
        <f>HYPERLINK("E:\Data From Lucan\2024\Johnstone\Frames_for_Analysis\3490_20240610_0005_L_0840.jpg","3490_20240610_0005_L_0840.jpg")</f>
        <v>3490_20240610_0005_L_0840.jpg</v>
      </c>
      <c r="I3493">
        <f t="shared" si="54"/>
        <v>0</v>
      </c>
      <c r="J3493" s="75">
        <v>0</v>
      </c>
      <c r="O3493" s="75">
        <v>1</v>
      </c>
      <c r="P3493" s="75">
        <v>0</v>
      </c>
      <c r="Q3493" s="75">
        <v>0</v>
      </c>
      <c r="R3493" s="75">
        <v>0</v>
      </c>
      <c r="S3493" s="75">
        <v>0</v>
      </c>
      <c r="T3493" s="75">
        <v>0</v>
      </c>
      <c r="U3493" s="75">
        <v>0</v>
      </c>
      <c r="V3493" s="75">
        <v>0</v>
      </c>
      <c r="W3493" s="78">
        <v>0</v>
      </c>
    </row>
    <row r="3494" spans="1:23" s="75" customFormat="1" hidden="1" x14ac:dyDescent="0.35">
      <c r="A3494" s="75">
        <v>3490</v>
      </c>
      <c r="B3494" s="75">
        <v>3491</v>
      </c>
      <c r="C3494">
        <v>146.01887859999999</v>
      </c>
      <c r="D3494">
        <v>-17.484834370000002</v>
      </c>
      <c r="F3494" s="75" t="str">
        <f>HYPERLINK("E:\Data From Lucan\2024\Johnstone\Frames_for_Analysis\3491_20240610_0005_L_0842.jpg","3491_20240610_0005_L_0842.jpg")</f>
        <v>3491_20240610_0005_L_0842.jpg</v>
      </c>
      <c r="I3494">
        <f t="shared" si="54"/>
        <v>0</v>
      </c>
      <c r="J3494" s="75">
        <v>0</v>
      </c>
      <c r="O3494" s="75">
        <v>1</v>
      </c>
      <c r="P3494" s="75">
        <v>0</v>
      </c>
      <c r="Q3494" s="75">
        <v>0</v>
      </c>
      <c r="R3494" s="75">
        <v>0</v>
      </c>
      <c r="S3494" s="75">
        <v>0</v>
      </c>
      <c r="T3494" s="75">
        <v>0</v>
      </c>
      <c r="U3494" s="75">
        <v>0</v>
      </c>
      <c r="V3494" s="75">
        <v>0</v>
      </c>
      <c r="W3494" s="78">
        <v>0</v>
      </c>
    </row>
    <row r="3495" spans="1:23" s="75" customFormat="1" hidden="1" x14ac:dyDescent="0.35">
      <c r="A3495" s="75">
        <v>3491</v>
      </c>
      <c r="B3495" s="75">
        <v>3492</v>
      </c>
      <c r="C3495">
        <v>146.01895579999999</v>
      </c>
      <c r="D3495">
        <v>-17.484780199999999</v>
      </c>
      <c r="F3495" s="75" t="str">
        <f>HYPERLINK("E:\Data From Lucan\2024\Johnstone\Frames_for_Analysis\3492_20240610_0005_L_0844.jpg","3492_20240610_0005_L_0844.jpg")</f>
        <v>3492_20240610_0005_L_0844.jpg</v>
      </c>
      <c r="I3495">
        <f t="shared" si="54"/>
        <v>0</v>
      </c>
      <c r="J3495" s="75">
        <v>0</v>
      </c>
      <c r="O3495" s="75">
        <v>1</v>
      </c>
      <c r="P3495" s="75">
        <v>0</v>
      </c>
      <c r="Q3495" s="75">
        <v>0</v>
      </c>
      <c r="R3495" s="75">
        <v>0</v>
      </c>
      <c r="S3495" s="75">
        <v>0</v>
      </c>
      <c r="T3495" s="75">
        <v>0</v>
      </c>
      <c r="U3495" s="75">
        <v>0</v>
      </c>
      <c r="V3495" s="75">
        <v>0</v>
      </c>
      <c r="W3495" s="78">
        <v>0</v>
      </c>
    </row>
    <row r="3496" spans="1:23" s="75" customFormat="1" hidden="1" x14ac:dyDescent="0.35">
      <c r="A3496" s="75">
        <v>3492</v>
      </c>
      <c r="B3496" s="75">
        <v>3493</v>
      </c>
      <c r="C3496">
        <v>146.01903300000001</v>
      </c>
      <c r="D3496">
        <v>-17.484726030000001</v>
      </c>
      <c r="F3496" s="75" t="str">
        <f>HYPERLINK("E:\Data From Lucan\2024\Johnstone\Frames_for_Analysis\3493_20240610_0005_L_0846.jpg","3493_20240610_0005_L_0846.jpg")</f>
        <v>3493_20240610_0005_L_0846.jpg</v>
      </c>
      <c r="I3496">
        <f t="shared" si="54"/>
        <v>0</v>
      </c>
      <c r="J3496" s="75">
        <v>0</v>
      </c>
      <c r="O3496" s="75">
        <v>2</v>
      </c>
      <c r="P3496" s="75">
        <v>0</v>
      </c>
      <c r="Q3496" s="75">
        <v>0</v>
      </c>
      <c r="R3496" s="75">
        <v>0</v>
      </c>
      <c r="S3496" s="75">
        <v>0</v>
      </c>
      <c r="T3496" s="75">
        <v>0</v>
      </c>
      <c r="U3496" s="75">
        <v>0</v>
      </c>
      <c r="V3496" s="75">
        <v>0</v>
      </c>
      <c r="W3496" s="78">
        <v>1</v>
      </c>
    </row>
    <row r="3497" spans="1:23" s="75" customFormat="1" hidden="1" x14ac:dyDescent="0.35">
      <c r="A3497" s="75">
        <v>3493</v>
      </c>
      <c r="B3497" s="75">
        <v>3494</v>
      </c>
      <c r="C3497">
        <v>146.0191102</v>
      </c>
      <c r="D3497">
        <v>-17.48467187</v>
      </c>
      <c r="F3497" s="75" t="str">
        <f>HYPERLINK("E:\Data From Lucan\2024\Johnstone\Frames_for_Analysis\3494_20240610_0005_L_0848.jpg","3494_20240610_0005_L_0848.jpg")</f>
        <v>3494_20240610_0005_L_0848.jpg</v>
      </c>
      <c r="I3497">
        <f t="shared" si="54"/>
        <v>0</v>
      </c>
      <c r="J3497" s="75">
        <v>0</v>
      </c>
      <c r="O3497" s="75">
        <v>1</v>
      </c>
      <c r="P3497" s="75">
        <v>0</v>
      </c>
      <c r="Q3497" s="75">
        <v>0</v>
      </c>
      <c r="R3497" s="75">
        <v>0</v>
      </c>
      <c r="S3497" s="75">
        <v>0</v>
      </c>
      <c r="T3497" s="75">
        <v>0</v>
      </c>
      <c r="U3497" s="75">
        <v>0</v>
      </c>
      <c r="V3497" s="75">
        <v>0</v>
      </c>
      <c r="W3497" s="78">
        <v>0</v>
      </c>
    </row>
    <row r="3498" spans="1:23" s="75" customFormat="1" hidden="1" x14ac:dyDescent="0.35">
      <c r="A3498" s="75">
        <v>3494</v>
      </c>
      <c r="B3498" s="75">
        <v>3495</v>
      </c>
      <c r="C3498">
        <v>146.01919720000001</v>
      </c>
      <c r="D3498">
        <v>-17.484635690000001</v>
      </c>
      <c r="F3498" s="75" t="str">
        <f>HYPERLINK("E:\Data From Lucan\2024\Johnstone\Frames_for_Analysis\3495_20240610_0005_L_0850.jpg","3495_20240610_0005_L_0850.jpg")</f>
        <v>3495_20240610_0005_L_0850.jpg</v>
      </c>
      <c r="I3498">
        <f t="shared" si="54"/>
        <v>0</v>
      </c>
      <c r="J3498" s="75">
        <v>0</v>
      </c>
      <c r="O3498" s="75">
        <v>1</v>
      </c>
      <c r="P3498" s="75">
        <v>0</v>
      </c>
      <c r="Q3498" s="75">
        <v>0</v>
      </c>
      <c r="R3498" s="75">
        <v>0</v>
      </c>
      <c r="S3498" s="75">
        <v>0</v>
      </c>
      <c r="T3498" s="75">
        <v>0</v>
      </c>
      <c r="U3498" s="75">
        <v>0</v>
      </c>
      <c r="V3498" s="75">
        <v>0</v>
      </c>
      <c r="W3498" s="78">
        <v>0</v>
      </c>
    </row>
    <row r="3499" spans="1:23" s="75" customFormat="1" hidden="1" x14ac:dyDescent="0.35">
      <c r="A3499" s="75">
        <v>3495</v>
      </c>
      <c r="B3499" s="75">
        <v>3496</v>
      </c>
      <c r="C3499">
        <v>146.0192845</v>
      </c>
      <c r="D3499">
        <v>-17.48459982</v>
      </c>
      <c r="F3499" s="75" t="str">
        <f>HYPERLINK("E:\Data From Lucan\2024\Johnstone\Frames_for_Analysis\3496_20240610_0005_L_0852.jpg","3496_20240610_0005_L_0852.jpg")</f>
        <v>3496_20240610_0005_L_0852.jpg</v>
      </c>
      <c r="I3499">
        <f t="shared" si="54"/>
        <v>0</v>
      </c>
      <c r="J3499" s="75">
        <v>0</v>
      </c>
      <c r="O3499" s="75">
        <v>1</v>
      </c>
      <c r="P3499" s="75">
        <v>0</v>
      </c>
      <c r="Q3499" s="75">
        <v>0</v>
      </c>
      <c r="R3499" s="75">
        <v>0</v>
      </c>
      <c r="S3499" s="75">
        <v>0</v>
      </c>
      <c r="T3499" s="75">
        <v>0</v>
      </c>
      <c r="U3499" s="75">
        <v>0</v>
      </c>
      <c r="V3499" s="75">
        <v>0</v>
      </c>
      <c r="W3499" s="78">
        <v>0</v>
      </c>
    </row>
    <row r="3500" spans="1:23" s="75" customFormat="1" hidden="1" x14ac:dyDescent="0.35">
      <c r="A3500" s="75">
        <v>3496</v>
      </c>
      <c r="B3500" s="75">
        <v>3497</v>
      </c>
      <c r="C3500">
        <v>146.01937190000001</v>
      </c>
      <c r="D3500">
        <v>-17.484565</v>
      </c>
      <c r="F3500" s="75" t="str">
        <f>HYPERLINK("E:\Data From Lucan\2024\Johnstone\Frames_for_Analysis\3497_20240610_0005_L_0854.jpg","3497_20240610_0005_L_0854.jpg")</f>
        <v>3497_20240610_0005_L_0854.jpg</v>
      </c>
      <c r="I3500">
        <f t="shared" si="54"/>
        <v>0</v>
      </c>
      <c r="J3500" s="75">
        <v>0</v>
      </c>
      <c r="O3500" s="75">
        <v>1</v>
      </c>
      <c r="P3500" s="75">
        <v>0</v>
      </c>
      <c r="Q3500" s="75">
        <v>0</v>
      </c>
      <c r="R3500" s="75">
        <v>0</v>
      </c>
      <c r="S3500" s="75">
        <v>0</v>
      </c>
      <c r="T3500" s="75">
        <v>0</v>
      </c>
      <c r="U3500" s="75">
        <v>0</v>
      </c>
      <c r="V3500" s="75">
        <v>0</v>
      </c>
      <c r="W3500" s="78">
        <v>0</v>
      </c>
    </row>
    <row r="3501" spans="1:23" s="75" customFormat="1" hidden="1" x14ac:dyDescent="0.35">
      <c r="A3501" s="75">
        <v>3497</v>
      </c>
      <c r="B3501" s="75">
        <v>3498</v>
      </c>
      <c r="C3501">
        <v>146.01946570000001</v>
      </c>
      <c r="D3501">
        <v>-17.484554880000001</v>
      </c>
      <c r="F3501" s="75" t="str">
        <f>HYPERLINK("E:\Data From Lucan\2024\Johnstone\Frames_for_Analysis\3498_20240610_0005_L_0856.jpg","3498_20240610_0005_L_0856.jpg")</f>
        <v>3498_20240610_0005_L_0856.jpg</v>
      </c>
      <c r="I3501">
        <f t="shared" si="54"/>
        <v>0</v>
      </c>
      <c r="J3501" s="75">
        <v>0</v>
      </c>
      <c r="O3501" s="75">
        <v>1</v>
      </c>
      <c r="P3501" s="75">
        <v>0</v>
      </c>
      <c r="Q3501" s="75">
        <v>0</v>
      </c>
      <c r="R3501" s="75">
        <v>0</v>
      </c>
      <c r="S3501" s="75">
        <v>0</v>
      </c>
      <c r="T3501" s="75">
        <v>0</v>
      </c>
      <c r="U3501" s="75">
        <v>0</v>
      </c>
      <c r="V3501" s="75">
        <v>1</v>
      </c>
      <c r="W3501" s="78">
        <v>0</v>
      </c>
    </row>
    <row r="3502" spans="1:23" s="75" customFormat="1" hidden="1" x14ac:dyDescent="0.35">
      <c r="A3502" s="75">
        <v>3498</v>
      </c>
      <c r="B3502" s="75">
        <v>3499</v>
      </c>
      <c r="C3502">
        <v>146.01955950000001</v>
      </c>
      <c r="D3502">
        <v>-17.484544769999999</v>
      </c>
      <c r="F3502" s="75" t="str">
        <f>HYPERLINK("E:\Data From Lucan\2024\Johnstone\Frames_for_Analysis\3499_20240610_0005_L_0858.jpg","3499_20240610_0005_L_0858.jpg")</f>
        <v>3499_20240610_0005_L_0858.jpg</v>
      </c>
      <c r="I3502">
        <f t="shared" si="54"/>
        <v>0</v>
      </c>
      <c r="J3502" s="75">
        <v>0</v>
      </c>
      <c r="O3502" s="75">
        <v>1</v>
      </c>
      <c r="P3502" s="75">
        <v>0</v>
      </c>
      <c r="Q3502" s="75">
        <v>0</v>
      </c>
      <c r="R3502" s="75">
        <v>0</v>
      </c>
      <c r="S3502" s="75">
        <v>0</v>
      </c>
      <c r="T3502" s="75">
        <v>0</v>
      </c>
      <c r="U3502" s="75">
        <v>0</v>
      </c>
      <c r="V3502" s="75">
        <v>1</v>
      </c>
      <c r="W3502" s="78">
        <v>0</v>
      </c>
    </row>
    <row r="3503" spans="1:23" s="75" customFormat="1" hidden="1" x14ac:dyDescent="0.35">
      <c r="A3503" s="75">
        <v>3499</v>
      </c>
      <c r="B3503" s="75">
        <v>3500</v>
      </c>
      <c r="C3503">
        <v>146.01965319999999</v>
      </c>
      <c r="D3503">
        <v>-17.484534650000001</v>
      </c>
      <c r="F3503" s="75" t="str">
        <f>HYPERLINK("E:\Data From Lucan\2024\Johnstone\Frames_for_Analysis\3500_20240610_0005_L_0860.jpg","3500_20240610_0005_L_0860.jpg")</f>
        <v>3500_20240610_0005_L_0860.jpg</v>
      </c>
      <c r="I3503">
        <f t="shared" si="54"/>
        <v>0</v>
      </c>
      <c r="J3503" s="75">
        <v>0</v>
      </c>
      <c r="O3503" s="75">
        <v>1</v>
      </c>
      <c r="P3503" s="75">
        <v>0</v>
      </c>
      <c r="Q3503" s="75">
        <v>0</v>
      </c>
      <c r="R3503" s="75">
        <v>0</v>
      </c>
      <c r="S3503" s="75">
        <v>0</v>
      </c>
      <c r="T3503" s="75">
        <v>0</v>
      </c>
      <c r="U3503" s="75">
        <v>0</v>
      </c>
      <c r="V3503" s="75">
        <v>1</v>
      </c>
      <c r="W3503" s="78">
        <v>0</v>
      </c>
    </row>
    <row r="3504" spans="1:23" s="75" customFormat="1" hidden="1" x14ac:dyDescent="0.35">
      <c r="A3504" s="75">
        <v>3500</v>
      </c>
      <c r="B3504" s="75">
        <v>3501</v>
      </c>
      <c r="C3504">
        <v>146.019747</v>
      </c>
      <c r="D3504">
        <v>-17.484524530000002</v>
      </c>
      <c r="F3504" s="75" t="str">
        <f>HYPERLINK("E:\Data From Lucan\2024\Johnstone\Frames_for_Analysis\3501_20240610_0005_L_0863.jpg","3501_20240610_0005_L_0863.jpg")</f>
        <v>3501_20240610_0005_L_0863.jpg</v>
      </c>
      <c r="I3504">
        <f t="shared" si="54"/>
        <v>0</v>
      </c>
      <c r="J3504" s="75">
        <v>0</v>
      </c>
      <c r="O3504" s="75">
        <v>1</v>
      </c>
      <c r="P3504" s="75">
        <v>0</v>
      </c>
      <c r="Q3504" s="75">
        <v>0</v>
      </c>
      <c r="R3504" s="75">
        <v>0</v>
      </c>
      <c r="S3504" s="75">
        <v>0</v>
      </c>
      <c r="T3504" s="75">
        <v>0</v>
      </c>
      <c r="U3504" s="75">
        <v>0</v>
      </c>
      <c r="V3504" s="75">
        <v>0</v>
      </c>
      <c r="W3504" s="78">
        <v>0</v>
      </c>
    </row>
    <row r="3505" spans="1:23" s="75" customFormat="1" hidden="1" x14ac:dyDescent="0.35">
      <c r="A3505" s="75">
        <v>3501</v>
      </c>
      <c r="B3505" s="75">
        <v>3502</v>
      </c>
      <c r="C3505">
        <v>146.0198407</v>
      </c>
      <c r="D3505">
        <v>-17.48451442</v>
      </c>
      <c r="F3505" s="75" t="str">
        <f>HYPERLINK("E:\Data From Lucan\2024\Johnstone\Frames_for_Analysis\3502_20240610_0005_L_0865.jpg","3502_20240610_0005_L_0865.jpg")</f>
        <v>3502_20240610_0005_L_0865.jpg</v>
      </c>
      <c r="I3505">
        <f t="shared" si="54"/>
        <v>0</v>
      </c>
      <c r="J3505" s="75">
        <v>0</v>
      </c>
      <c r="O3505" s="75">
        <v>1</v>
      </c>
      <c r="P3505" s="75">
        <v>0</v>
      </c>
      <c r="Q3505" s="75">
        <v>0</v>
      </c>
      <c r="R3505" s="75">
        <v>0</v>
      </c>
      <c r="S3505" s="75">
        <v>0</v>
      </c>
      <c r="T3505" s="75">
        <v>0</v>
      </c>
      <c r="U3505" s="75">
        <v>0</v>
      </c>
      <c r="V3505" s="75">
        <v>0</v>
      </c>
      <c r="W3505" s="78">
        <v>0</v>
      </c>
    </row>
    <row r="3506" spans="1:23" s="75" customFormat="1" hidden="1" x14ac:dyDescent="0.35">
      <c r="A3506" s="75">
        <v>3502</v>
      </c>
      <c r="B3506" s="75">
        <v>3503</v>
      </c>
      <c r="C3506">
        <v>146.01993450000001</v>
      </c>
      <c r="D3506">
        <v>-17.484504300000001</v>
      </c>
      <c r="F3506" s="75" t="str">
        <f>HYPERLINK("E:\Data From Lucan\2024\Johnstone\Frames_for_Analysis\3503_20240610_0005_L_0868.jpg","3503_20240610_0005_L_0868.jpg")</f>
        <v>3503_20240610_0005_L_0868.jpg</v>
      </c>
      <c r="I3506">
        <f t="shared" si="54"/>
        <v>0</v>
      </c>
      <c r="J3506" s="75">
        <v>0</v>
      </c>
      <c r="O3506" s="75">
        <v>1</v>
      </c>
      <c r="P3506" s="75">
        <v>0</v>
      </c>
      <c r="Q3506" s="75">
        <v>0</v>
      </c>
      <c r="R3506" s="75">
        <v>0</v>
      </c>
      <c r="S3506" s="75">
        <v>0</v>
      </c>
      <c r="T3506" s="75">
        <v>0</v>
      </c>
      <c r="U3506" s="75">
        <v>0</v>
      </c>
      <c r="V3506" s="75">
        <v>0</v>
      </c>
      <c r="W3506" s="78">
        <v>0</v>
      </c>
    </row>
    <row r="3507" spans="1:23" s="75" customFormat="1" hidden="1" x14ac:dyDescent="0.35">
      <c r="A3507" s="75">
        <v>3503</v>
      </c>
      <c r="B3507" s="75">
        <v>3504</v>
      </c>
      <c r="C3507">
        <v>146.02002830000001</v>
      </c>
      <c r="D3507">
        <v>-17.484494179999999</v>
      </c>
      <c r="F3507" s="75" t="str">
        <f>HYPERLINK("E:\Data From Lucan\2024\Johnstone\Frames_for_Analysis\3504_20240610_0005_L_0871.jpg","3504_20240610_0005_L_0871.jpg")</f>
        <v>3504_20240610_0005_L_0871.jpg</v>
      </c>
      <c r="I3507">
        <f t="shared" si="54"/>
        <v>0</v>
      </c>
      <c r="J3507" s="75">
        <v>0</v>
      </c>
      <c r="O3507" s="75">
        <v>1</v>
      </c>
      <c r="P3507" s="75">
        <v>0</v>
      </c>
      <c r="Q3507" s="75">
        <v>0</v>
      </c>
      <c r="R3507" s="75">
        <v>0</v>
      </c>
      <c r="S3507" s="75">
        <v>0</v>
      </c>
      <c r="T3507" s="75">
        <v>0</v>
      </c>
      <c r="U3507" s="75">
        <v>0</v>
      </c>
      <c r="V3507" s="75">
        <v>0</v>
      </c>
      <c r="W3507" s="78">
        <v>0</v>
      </c>
    </row>
    <row r="3508" spans="1:23" s="75" customFormat="1" hidden="1" x14ac:dyDescent="0.35">
      <c r="A3508" s="75">
        <v>3504</v>
      </c>
      <c r="B3508" s="75">
        <v>3505</v>
      </c>
      <c r="C3508">
        <v>146.02012199999999</v>
      </c>
      <c r="D3508">
        <v>-17.484484070000001</v>
      </c>
      <c r="F3508" s="75" t="str">
        <f>HYPERLINK("E:\Data From Lucan\2024\Johnstone\Frames_for_Analysis\3505_20240610_0005_L_0873.jpg","3505_20240610_0005_L_0873.jpg")</f>
        <v>3505_20240610_0005_L_0873.jpg</v>
      </c>
      <c r="I3508">
        <f t="shared" si="54"/>
        <v>0</v>
      </c>
      <c r="J3508" s="75">
        <v>0</v>
      </c>
      <c r="O3508" s="75">
        <v>1</v>
      </c>
      <c r="P3508" s="75">
        <v>0</v>
      </c>
      <c r="Q3508" s="75">
        <v>0</v>
      </c>
      <c r="R3508" s="75">
        <v>0</v>
      </c>
      <c r="S3508" s="75">
        <v>0</v>
      </c>
      <c r="T3508" s="75">
        <v>0</v>
      </c>
      <c r="U3508" s="75">
        <v>0</v>
      </c>
      <c r="V3508" s="75">
        <v>0</v>
      </c>
      <c r="W3508" s="78">
        <v>0</v>
      </c>
    </row>
    <row r="3509" spans="1:23" s="75" customFormat="1" hidden="1" x14ac:dyDescent="0.35">
      <c r="A3509" s="75">
        <v>3505</v>
      </c>
      <c r="B3509" s="75">
        <v>3506</v>
      </c>
      <c r="C3509">
        <v>146.0202151</v>
      </c>
      <c r="D3509">
        <v>-17.484468870000001</v>
      </c>
      <c r="F3509" s="75" t="str">
        <f>HYPERLINK("E:\Data From Lucan\2024\Johnstone\Frames_for_Analysis\3506_20240610_0005_L_0875.jpg","3506_20240610_0005_L_0875.jpg")</f>
        <v>3506_20240610_0005_L_0875.jpg</v>
      </c>
      <c r="I3509">
        <f t="shared" si="54"/>
        <v>0</v>
      </c>
      <c r="J3509" s="75">
        <v>0</v>
      </c>
      <c r="O3509" s="75">
        <v>1</v>
      </c>
      <c r="P3509" s="75">
        <v>0</v>
      </c>
      <c r="Q3509" s="75">
        <v>0</v>
      </c>
      <c r="R3509" s="75">
        <v>0</v>
      </c>
      <c r="S3509" s="75">
        <v>0</v>
      </c>
      <c r="T3509" s="75">
        <v>0</v>
      </c>
      <c r="U3509" s="75">
        <v>0</v>
      </c>
      <c r="V3509" s="75">
        <v>0</v>
      </c>
      <c r="W3509" s="78">
        <v>0</v>
      </c>
    </row>
    <row r="3510" spans="1:23" s="75" customFormat="1" hidden="1" x14ac:dyDescent="0.35">
      <c r="A3510" s="75">
        <v>3506</v>
      </c>
      <c r="B3510" s="75">
        <v>3507</v>
      </c>
      <c r="C3510">
        <v>146.02030809999999</v>
      </c>
      <c r="D3510">
        <v>-17.484453469999998</v>
      </c>
      <c r="F3510" s="75" t="str">
        <f>HYPERLINK("E:\Data From Lucan\2024\Johnstone\Frames_for_Analysis\3507_20240610_0005_L_0878.jpg","3507_20240610_0005_L_0878.jpg")</f>
        <v>3507_20240610_0005_L_0878.jpg</v>
      </c>
      <c r="I3510">
        <f t="shared" si="54"/>
        <v>0</v>
      </c>
      <c r="J3510" s="75">
        <v>0</v>
      </c>
      <c r="O3510" s="75">
        <v>1</v>
      </c>
      <c r="P3510" s="75">
        <v>0</v>
      </c>
      <c r="Q3510" s="75">
        <v>0</v>
      </c>
      <c r="R3510" s="75">
        <v>0</v>
      </c>
      <c r="S3510" s="75">
        <v>0</v>
      </c>
      <c r="T3510" s="75">
        <v>0</v>
      </c>
      <c r="U3510" s="75">
        <v>0</v>
      </c>
      <c r="V3510" s="75">
        <v>0</v>
      </c>
      <c r="W3510" s="78">
        <v>0</v>
      </c>
    </row>
    <row r="3511" spans="1:23" s="75" customFormat="1" hidden="1" x14ac:dyDescent="0.35">
      <c r="A3511" s="75">
        <v>3507</v>
      </c>
      <c r="B3511" s="75">
        <v>3508</v>
      </c>
      <c r="C3511">
        <v>146.02040120000001</v>
      </c>
      <c r="D3511">
        <v>-17.484438069999999</v>
      </c>
      <c r="F3511" s="75" t="str">
        <f>HYPERLINK("E:\Data From Lucan\2024\Johnstone\Frames_for_Analysis\3508_20240610_0005_L_0881.jpg","3508_20240610_0005_L_0881.jpg")</f>
        <v>3508_20240610_0005_L_0881.jpg</v>
      </c>
      <c r="I3511">
        <f t="shared" si="54"/>
        <v>0</v>
      </c>
      <c r="J3511" s="75">
        <v>0</v>
      </c>
      <c r="O3511" s="75">
        <v>1</v>
      </c>
      <c r="P3511" s="75">
        <v>0</v>
      </c>
      <c r="Q3511" s="75">
        <v>0</v>
      </c>
      <c r="R3511" s="75">
        <v>0</v>
      </c>
      <c r="S3511" s="75">
        <v>0</v>
      </c>
      <c r="T3511" s="75">
        <v>0</v>
      </c>
      <c r="U3511" s="75">
        <v>0</v>
      </c>
      <c r="V3511" s="75">
        <v>0</v>
      </c>
      <c r="W3511" s="78">
        <v>0</v>
      </c>
    </row>
    <row r="3512" spans="1:23" s="75" customFormat="1" hidden="1" x14ac:dyDescent="0.35">
      <c r="A3512" s="75">
        <v>3508</v>
      </c>
      <c r="B3512" s="75">
        <v>3509</v>
      </c>
      <c r="C3512">
        <v>146.0204942</v>
      </c>
      <c r="D3512">
        <v>-17.484422670000001</v>
      </c>
      <c r="F3512" s="75" t="str">
        <f>HYPERLINK("E:\Data From Lucan\2024\Johnstone\Frames_for_Analysis\3509_20240610_0005_L_0883.jpg","3509_20240610_0005_L_0883.jpg")</f>
        <v>3509_20240610_0005_L_0883.jpg</v>
      </c>
      <c r="I3512">
        <f t="shared" si="54"/>
        <v>0</v>
      </c>
      <c r="J3512" s="75">
        <v>0</v>
      </c>
      <c r="O3512" s="75">
        <v>1</v>
      </c>
      <c r="P3512" s="75">
        <v>0</v>
      </c>
      <c r="Q3512" s="75">
        <v>0</v>
      </c>
      <c r="R3512" s="75">
        <v>0</v>
      </c>
      <c r="S3512" s="75">
        <v>0</v>
      </c>
      <c r="T3512" s="75">
        <v>0</v>
      </c>
      <c r="U3512" s="75">
        <v>0</v>
      </c>
      <c r="V3512" s="75">
        <v>0</v>
      </c>
      <c r="W3512" s="78">
        <v>0</v>
      </c>
    </row>
    <row r="3513" spans="1:23" s="75" customFormat="1" hidden="1" x14ac:dyDescent="0.35">
      <c r="A3513" s="75">
        <v>3509</v>
      </c>
      <c r="B3513" s="75">
        <v>3510</v>
      </c>
      <c r="C3513">
        <v>146.02058719999999</v>
      </c>
      <c r="D3513">
        <v>-17.484407269999998</v>
      </c>
      <c r="F3513" s="75" t="str">
        <f>HYPERLINK("E:\Data From Lucan\2024\Johnstone\Frames_for_Analysis\3510_20240610_0005_L_0885.jpg","3510_20240610_0005_L_0885.jpg")</f>
        <v>3510_20240610_0005_L_0885.jpg</v>
      </c>
      <c r="I3513">
        <f t="shared" si="54"/>
        <v>0</v>
      </c>
      <c r="J3513" s="75">
        <v>0</v>
      </c>
      <c r="O3513" s="75">
        <v>1</v>
      </c>
      <c r="P3513" s="75">
        <v>0</v>
      </c>
      <c r="Q3513" s="75">
        <v>0</v>
      </c>
      <c r="R3513" s="75">
        <v>0</v>
      </c>
      <c r="S3513" s="75">
        <v>0</v>
      </c>
      <c r="T3513" s="75">
        <v>0</v>
      </c>
      <c r="U3513" s="75">
        <v>0</v>
      </c>
      <c r="V3513" s="75">
        <v>0</v>
      </c>
      <c r="W3513" s="78">
        <v>0</v>
      </c>
    </row>
    <row r="3514" spans="1:23" s="75" customFormat="1" hidden="1" x14ac:dyDescent="0.35">
      <c r="A3514" s="75">
        <v>3510</v>
      </c>
      <c r="B3514" s="75">
        <v>3511</v>
      </c>
      <c r="C3514">
        <v>146.02067650000001</v>
      </c>
      <c r="D3514">
        <v>-17.484379140000001</v>
      </c>
      <c r="F3514" s="75" t="str">
        <f>HYPERLINK("E:\Data From Lucan\2024\Johnstone\Frames_for_Analysis\3511_20240610_0005_L_0888.jpg","3511_20240610_0005_L_0888.jpg")</f>
        <v>3511_20240610_0005_L_0888.jpg</v>
      </c>
      <c r="I3514">
        <f t="shared" si="54"/>
        <v>0</v>
      </c>
      <c r="J3514" s="75">
        <v>0</v>
      </c>
      <c r="O3514" s="75">
        <v>1</v>
      </c>
      <c r="P3514" s="75">
        <v>0</v>
      </c>
      <c r="Q3514" s="75">
        <v>0</v>
      </c>
      <c r="R3514" s="75">
        <v>0</v>
      </c>
      <c r="S3514" s="75">
        <v>0</v>
      </c>
      <c r="T3514" s="75">
        <v>0</v>
      </c>
      <c r="U3514" s="75">
        <v>0</v>
      </c>
      <c r="V3514" s="75">
        <v>0</v>
      </c>
      <c r="W3514" s="78">
        <v>0</v>
      </c>
    </row>
    <row r="3515" spans="1:23" s="75" customFormat="1" hidden="1" x14ac:dyDescent="0.35">
      <c r="A3515" s="75">
        <v>3511</v>
      </c>
      <c r="B3515" s="75">
        <v>3512</v>
      </c>
      <c r="C3515">
        <v>146.02076299999999</v>
      </c>
      <c r="D3515">
        <v>-17.484341489999998</v>
      </c>
      <c r="F3515" s="75" t="str">
        <f>HYPERLINK("E:\Data From Lucan\2024\Johnstone\Frames_for_Analysis\3512_20240610_0005_L_0891.jpg","3512_20240610_0005_L_0891.jpg")</f>
        <v>3512_20240610_0005_L_0891.jpg</v>
      </c>
      <c r="I3515">
        <f t="shared" si="54"/>
        <v>0</v>
      </c>
      <c r="J3515" s="75">
        <v>0</v>
      </c>
      <c r="O3515" s="75">
        <v>1</v>
      </c>
      <c r="P3515" s="75">
        <v>0</v>
      </c>
      <c r="Q3515" s="75">
        <v>0</v>
      </c>
      <c r="R3515" s="75">
        <v>0</v>
      </c>
      <c r="S3515" s="75">
        <v>0</v>
      </c>
      <c r="T3515" s="75">
        <v>0</v>
      </c>
      <c r="U3515" s="75">
        <v>0</v>
      </c>
      <c r="V3515" s="75">
        <v>0</v>
      </c>
      <c r="W3515" s="78">
        <v>0</v>
      </c>
    </row>
    <row r="3516" spans="1:23" s="75" customFormat="1" hidden="1" x14ac:dyDescent="0.35">
      <c r="A3516" s="75">
        <v>3512</v>
      </c>
      <c r="B3516" s="75">
        <v>3513</v>
      </c>
      <c r="C3516">
        <v>146.0208494</v>
      </c>
      <c r="D3516">
        <v>-17.484303830000002</v>
      </c>
      <c r="F3516" s="75" t="str">
        <f>HYPERLINK("E:\Data From Lucan\2024\Johnstone\Frames_for_Analysis\3513_20240610_0005_L_0894.jpg","3513_20240610_0005_L_0894.jpg")</f>
        <v>3513_20240610_0005_L_0894.jpg</v>
      </c>
      <c r="I3516">
        <f t="shared" si="54"/>
        <v>0</v>
      </c>
      <c r="J3516" s="75">
        <v>0</v>
      </c>
      <c r="O3516" s="75">
        <v>1</v>
      </c>
      <c r="P3516" s="75">
        <v>0</v>
      </c>
      <c r="Q3516" s="75">
        <v>0</v>
      </c>
      <c r="R3516" s="75">
        <v>0</v>
      </c>
      <c r="S3516" s="75">
        <v>0</v>
      </c>
      <c r="T3516" s="75">
        <v>0</v>
      </c>
      <c r="U3516" s="75">
        <v>0</v>
      </c>
      <c r="V3516" s="75">
        <v>0</v>
      </c>
      <c r="W3516" s="78">
        <v>0</v>
      </c>
    </row>
    <row r="3517" spans="1:23" s="75" customFormat="1" hidden="1" x14ac:dyDescent="0.35">
      <c r="A3517" s="75">
        <v>3513</v>
      </c>
      <c r="B3517" s="75">
        <v>3514</v>
      </c>
      <c r="C3517">
        <v>146.02093590000001</v>
      </c>
      <c r="D3517">
        <v>-17.484266179999999</v>
      </c>
      <c r="F3517" s="75" t="str">
        <f>HYPERLINK("E:\Data From Lucan\2024\Johnstone\Frames_for_Analysis\3514_20240610_0005_L_0897.jpg","3514_20240610_0005_L_0897.jpg")</f>
        <v>3514_20240610_0005_L_0897.jpg</v>
      </c>
      <c r="I3517">
        <f t="shared" si="54"/>
        <v>0</v>
      </c>
      <c r="J3517" s="75">
        <v>0</v>
      </c>
      <c r="O3517" s="75">
        <v>1</v>
      </c>
      <c r="P3517" s="75">
        <v>0</v>
      </c>
      <c r="Q3517" s="75">
        <v>0</v>
      </c>
      <c r="R3517" s="75">
        <v>0</v>
      </c>
      <c r="S3517" s="75">
        <v>0</v>
      </c>
      <c r="T3517" s="75">
        <v>0</v>
      </c>
      <c r="U3517" s="75">
        <v>0</v>
      </c>
      <c r="V3517" s="75">
        <v>0</v>
      </c>
      <c r="W3517" s="78">
        <v>0</v>
      </c>
    </row>
    <row r="3518" spans="1:23" s="75" customFormat="1" hidden="1" x14ac:dyDescent="0.35">
      <c r="A3518" s="75">
        <v>3514</v>
      </c>
      <c r="B3518" s="75">
        <v>3515</v>
      </c>
      <c r="C3518">
        <v>146.0210223</v>
      </c>
      <c r="D3518">
        <v>-17.484228529999999</v>
      </c>
      <c r="F3518" s="75" t="str">
        <f>HYPERLINK("E:\Data From Lucan\2024\Johnstone\Frames_for_Analysis\3515_20240610_0005_L_0900.jpg","3515_20240610_0005_L_0900.jpg")</f>
        <v>3515_20240610_0005_L_0900.jpg</v>
      </c>
      <c r="I3518">
        <f t="shared" si="54"/>
        <v>0</v>
      </c>
      <c r="J3518" s="75">
        <v>0</v>
      </c>
      <c r="O3518" s="75">
        <v>1</v>
      </c>
      <c r="P3518" s="75">
        <v>0</v>
      </c>
      <c r="Q3518" s="75">
        <v>0</v>
      </c>
      <c r="R3518" s="75">
        <v>0</v>
      </c>
      <c r="S3518" s="75">
        <v>0</v>
      </c>
      <c r="T3518" s="75">
        <v>0</v>
      </c>
      <c r="U3518" s="75">
        <v>0</v>
      </c>
      <c r="V3518" s="75">
        <v>0</v>
      </c>
      <c r="W3518" s="78">
        <v>0</v>
      </c>
    </row>
    <row r="3519" spans="1:23" s="75" customFormat="1" hidden="1" x14ac:dyDescent="0.35">
      <c r="A3519" s="75">
        <v>3515</v>
      </c>
      <c r="B3519" s="75">
        <v>3516</v>
      </c>
      <c r="C3519">
        <v>146.02110880000001</v>
      </c>
      <c r="D3519">
        <v>-17.48419088</v>
      </c>
      <c r="F3519" s="75" t="str">
        <f>HYPERLINK("E:\Data From Lucan\2024\Johnstone\Frames_for_Analysis\3516_20240610_0005_L_0903.jpg","3516_20240610_0005_L_0903.jpg")</f>
        <v>3516_20240610_0005_L_0903.jpg</v>
      </c>
      <c r="I3519">
        <f t="shared" si="54"/>
        <v>0</v>
      </c>
      <c r="J3519" s="75">
        <v>0</v>
      </c>
      <c r="O3519" s="75">
        <v>1</v>
      </c>
      <c r="P3519" s="75">
        <v>0</v>
      </c>
      <c r="Q3519" s="75">
        <v>0</v>
      </c>
      <c r="R3519" s="75">
        <v>0</v>
      </c>
      <c r="S3519" s="75">
        <v>0</v>
      </c>
      <c r="T3519" s="75">
        <v>0</v>
      </c>
      <c r="U3519" s="75">
        <v>0</v>
      </c>
      <c r="V3519" s="75">
        <v>0</v>
      </c>
      <c r="W3519" s="78">
        <v>0</v>
      </c>
    </row>
    <row r="3520" spans="1:23" s="75" customFormat="1" hidden="1" x14ac:dyDescent="0.35">
      <c r="A3520" s="75">
        <v>3516</v>
      </c>
      <c r="B3520" s="75">
        <v>3517</v>
      </c>
      <c r="C3520">
        <v>146.02119479999999</v>
      </c>
      <c r="D3520">
        <v>-17.48415219</v>
      </c>
      <c r="F3520" s="75" t="str">
        <f>HYPERLINK("E:\Data From Lucan\2024\Johnstone\Frames_for_Analysis\3517_20240610_0005_L_0905.jpg","3517_20240610_0005_L_0905.jpg")</f>
        <v>3517_20240610_0005_L_0905.jpg</v>
      </c>
      <c r="I3520">
        <f t="shared" si="54"/>
        <v>0</v>
      </c>
      <c r="J3520" s="75">
        <v>0</v>
      </c>
      <c r="O3520" s="75">
        <v>1</v>
      </c>
      <c r="P3520" s="75">
        <v>0</v>
      </c>
      <c r="Q3520" s="75">
        <v>0</v>
      </c>
      <c r="R3520" s="75">
        <v>0</v>
      </c>
      <c r="S3520" s="75">
        <v>0</v>
      </c>
      <c r="T3520" s="75">
        <v>0</v>
      </c>
      <c r="U3520" s="75">
        <v>0</v>
      </c>
      <c r="V3520" s="75">
        <v>0</v>
      </c>
      <c r="W3520" s="78">
        <v>0</v>
      </c>
    </row>
    <row r="3521" spans="1:23" s="75" customFormat="1" hidden="1" x14ac:dyDescent="0.35">
      <c r="A3521" s="75">
        <v>3517</v>
      </c>
      <c r="B3521" s="75">
        <v>3518</v>
      </c>
      <c r="C3521">
        <v>146.02127680000001</v>
      </c>
      <c r="D3521">
        <v>-17.484105769999999</v>
      </c>
      <c r="F3521" s="75" t="str">
        <f>HYPERLINK("E:\Data From Lucan\2024\Johnstone\Frames_for_Analysis\3518_20240610_0005_L_0908.jpg","3518_20240610_0005_L_0908.jpg")</f>
        <v>3518_20240610_0005_L_0908.jpg</v>
      </c>
      <c r="I3521">
        <f t="shared" si="54"/>
        <v>0</v>
      </c>
      <c r="J3521" s="75">
        <v>0</v>
      </c>
      <c r="O3521" s="75">
        <v>1</v>
      </c>
      <c r="P3521" s="75">
        <v>0</v>
      </c>
      <c r="Q3521" s="75">
        <v>0</v>
      </c>
      <c r="R3521" s="75">
        <v>0</v>
      </c>
      <c r="S3521" s="75">
        <v>0</v>
      </c>
      <c r="T3521" s="75">
        <v>0</v>
      </c>
      <c r="U3521" s="75">
        <v>0</v>
      </c>
      <c r="V3521" s="75">
        <v>0</v>
      </c>
      <c r="W3521" s="78">
        <v>0</v>
      </c>
    </row>
    <row r="3522" spans="1:23" s="75" customFormat="1" hidden="1" x14ac:dyDescent="0.35">
      <c r="A3522" s="75">
        <v>3518</v>
      </c>
      <c r="B3522" s="75">
        <v>3519</v>
      </c>
      <c r="C3522">
        <v>146.0213589</v>
      </c>
      <c r="D3522">
        <v>-17.484059349999999</v>
      </c>
      <c r="F3522" s="75" t="str">
        <f>HYPERLINK("E:\Data From Lucan\2024\Johnstone\Frames_for_Analysis\3519_20240610_0005_L_0911.jpg","3519_20240610_0005_L_0911.jpg")</f>
        <v>3519_20240610_0005_L_0911.jpg</v>
      </c>
      <c r="I3522">
        <f t="shared" si="54"/>
        <v>0</v>
      </c>
      <c r="J3522" s="75">
        <v>0</v>
      </c>
      <c r="O3522" s="75">
        <v>1</v>
      </c>
      <c r="P3522" s="75">
        <v>0</v>
      </c>
      <c r="Q3522" s="75">
        <v>0</v>
      </c>
      <c r="R3522" s="75">
        <v>0</v>
      </c>
      <c r="S3522" s="75">
        <v>0</v>
      </c>
      <c r="T3522" s="75">
        <v>0</v>
      </c>
      <c r="U3522" s="75">
        <v>0</v>
      </c>
      <c r="V3522" s="75">
        <v>0</v>
      </c>
      <c r="W3522" s="78">
        <v>0</v>
      </c>
    </row>
    <row r="3523" spans="1:23" s="75" customFormat="1" hidden="1" x14ac:dyDescent="0.35">
      <c r="A3523" s="75">
        <v>3519</v>
      </c>
      <c r="B3523" s="75">
        <v>3520</v>
      </c>
      <c r="C3523">
        <v>146.02144100000001</v>
      </c>
      <c r="D3523">
        <v>-17.484012929999999</v>
      </c>
      <c r="F3523" s="75" t="str">
        <f>HYPERLINK("E:\Data From Lucan\2024\Johnstone\Frames_for_Analysis\3520_20240610_0005_L_0914.jpg","3520_20240610_0005_L_0914.jpg")</f>
        <v>3520_20240610_0005_L_0914.jpg</v>
      </c>
      <c r="I3523">
        <f t="shared" si="54"/>
        <v>0</v>
      </c>
      <c r="J3523" s="75">
        <v>0</v>
      </c>
      <c r="O3523" s="75">
        <v>1</v>
      </c>
      <c r="P3523" s="75">
        <v>0</v>
      </c>
      <c r="Q3523" s="75">
        <v>0</v>
      </c>
      <c r="R3523" s="75">
        <v>0</v>
      </c>
      <c r="S3523" s="75">
        <v>0</v>
      </c>
      <c r="T3523" s="75">
        <v>0</v>
      </c>
      <c r="U3523" s="75">
        <v>0</v>
      </c>
      <c r="V3523" s="75">
        <v>0</v>
      </c>
      <c r="W3523" s="78">
        <v>0</v>
      </c>
    </row>
    <row r="3524" spans="1:23" s="75" customFormat="1" hidden="1" x14ac:dyDescent="0.35">
      <c r="A3524" s="75">
        <v>3520</v>
      </c>
      <c r="B3524" s="75">
        <v>3521</v>
      </c>
      <c r="C3524">
        <v>146.0215231</v>
      </c>
      <c r="D3524">
        <v>-17.483966519999999</v>
      </c>
      <c r="F3524" s="75" t="str">
        <f>HYPERLINK("E:\Data From Lucan\2024\Johnstone\Frames_for_Analysis\3521_20240610_0005_L_0916.jpg","3521_20240610_0005_L_0916.jpg")</f>
        <v>3521_20240610_0005_L_0916.jpg</v>
      </c>
      <c r="I3524">
        <f t="shared" si="54"/>
        <v>0</v>
      </c>
      <c r="J3524" s="75">
        <v>0</v>
      </c>
      <c r="O3524" s="75">
        <v>1</v>
      </c>
      <c r="P3524" s="75">
        <v>0</v>
      </c>
      <c r="Q3524" s="75">
        <v>0</v>
      </c>
      <c r="R3524" s="75">
        <v>0</v>
      </c>
      <c r="S3524" s="75">
        <v>0</v>
      </c>
      <c r="T3524" s="75">
        <v>0</v>
      </c>
      <c r="U3524" s="75">
        <v>0</v>
      </c>
      <c r="V3524" s="75">
        <v>0</v>
      </c>
      <c r="W3524" s="78">
        <v>0</v>
      </c>
    </row>
    <row r="3525" spans="1:23" s="75" customFormat="1" hidden="1" x14ac:dyDescent="0.35">
      <c r="A3525" s="75">
        <v>3521</v>
      </c>
      <c r="B3525" s="75">
        <v>3522</v>
      </c>
      <c r="C3525">
        <v>146.02160520000001</v>
      </c>
      <c r="D3525">
        <v>-17.483920099999999</v>
      </c>
      <c r="F3525" s="75" t="str">
        <f>HYPERLINK("E:\Data From Lucan\2024\Johnstone\Frames_for_Analysis\3522_20240610_0005_L_0919.jpg","3522_20240610_0005_L_0919.jpg")</f>
        <v>3522_20240610_0005_L_0919.jpg</v>
      </c>
      <c r="I3525">
        <f t="shared" ref="I3525:I3588" si="55">IF(H3525="X","X",IF(J3525="NA","X",IF(J3525="","X",J3525)))</f>
        <v>0</v>
      </c>
      <c r="J3525" s="75">
        <v>0</v>
      </c>
      <c r="O3525" s="75">
        <v>1</v>
      </c>
      <c r="P3525" s="75">
        <v>0</v>
      </c>
      <c r="Q3525" s="75">
        <v>0</v>
      </c>
      <c r="R3525" s="75">
        <v>0</v>
      </c>
      <c r="S3525" s="75">
        <v>0</v>
      </c>
      <c r="T3525" s="75">
        <v>0</v>
      </c>
      <c r="U3525" s="75">
        <v>0</v>
      </c>
      <c r="V3525" s="75">
        <v>0</v>
      </c>
      <c r="W3525" s="78">
        <v>0</v>
      </c>
    </row>
    <row r="3526" spans="1:23" s="75" customFormat="1" hidden="1" x14ac:dyDescent="0.35">
      <c r="A3526" s="75">
        <v>3522</v>
      </c>
      <c r="B3526" s="75">
        <v>3523</v>
      </c>
      <c r="C3526">
        <v>146.0216873</v>
      </c>
      <c r="D3526">
        <v>-17.483873679999999</v>
      </c>
      <c r="F3526" s="75" t="str">
        <f>HYPERLINK("E:\Data From Lucan\2024\Johnstone\Frames_for_Analysis\3523_20240610_0005_L_0921.jpg","3523_20240610_0005_L_0921.jpg")</f>
        <v>3523_20240610_0005_L_0921.jpg</v>
      </c>
      <c r="I3526">
        <f t="shared" si="55"/>
        <v>0</v>
      </c>
      <c r="J3526" s="75">
        <v>0</v>
      </c>
      <c r="O3526" s="75">
        <v>1</v>
      </c>
      <c r="P3526" s="75">
        <v>0</v>
      </c>
      <c r="Q3526" s="75">
        <v>0</v>
      </c>
      <c r="R3526" s="75">
        <v>0</v>
      </c>
      <c r="S3526" s="75">
        <v>0</v>
      </c>
      <c r="T3526" s="75">
        <v>0</v>
      </c>
      <c r="U3526" s="75">
        <v>0</v>
      </c>
      <c r="V3526" s="75">
        <v>0</v>
      </c>
      <c r="W3526" s="78">
        <v>0</v>
      </c>
    </row>
    <row r="3527" spans="1:23" s="75" customFormat="1" hidden="1" x14ac:dyDescent="0.35">
      <c r="A3527" s="75">
        <v>3523</v>
      </c>
      <c r="B3527" s="75">
        <v>3524</v>
      </c>
      <c r="C3527">
        <v>146.0217696</v>
      </c>
      <c r="D3527">
        <v>-17.483827609999999</v>
      </c>
      <c r="F3527" s="75" t="str">
        <f>HYPERLINK("E:\Data From Lucan\2024\Johnstone\Frames_for_Analysis\3524_20240610_0005_L_0925.jpg","3524_20240610_0005_L_0925.jpg")</f>
        <v>3524_20240610_0005_L_0925.jpg</v>
      </c>
      <c r="I3527">
        <f t="shared" si="55"/>
        <v>0</v>
      </c>
      <c r="J3527" s="75">
        <v>0</v>
      </c>
      <c r="O3527" s="75">
        <v>1</v>
      </c>
      <c r="P3527" s="75">
        <v>0</v>
      </c>
      <c r="Q3527" s="75">
        <v>0</v>
      </c>
      <c r="R3527" s="75">
        <v>0</v>
      </c>
      <c r="S3527" s="75">
        <v>0</v>
      </c>
      <c r="T3527" s="75">
        <v>0</v>
      </c>
      <c r="U3527" s="75">
        <v>0</v>
      </c>
      <c r="V3527" s="75">
        <v>0</v>
      </c>
      <c r="W3527" s="78">
        <v>0</v>
      </c>
    </row>
    <row r="3528" spans="1:23" s="75" customFormat="1" hidden="1" x14ac:dyDescent="0.35">
      <c r="A3528" s="75">
        <v>3524</v>
      </c>
      <c r="B3528" s="75">
        <v>3525</v>
      </c>
      <c r="C3528">
        <v>146.02185560000001</v>
      </c>
      <c r="D3528">
        <v>-17.483788969999999</v>
      </c>
      <c r="F3528" s="75" t="str">
        <f>HYPERLINK("E:\Data From Lucan\2024\Johnstone\Frames_for_Analysis\3525_20240610_0005_L_0927.jpg","3525_20240610_0005_L_0927.jpg")</f>
        <v>3525_20240610_0005_L_0927.jpg</v>
      </c>
      <c r="I3528">
        <f t="shared" si="55"/>
        <v>0</v>
      </c>
      <c r="J3528" s="75">
        <v>0</v>
      </c>
      <c r="O3528" s="75">
        <v>1</v>
      </c>
      <c r="P3528" s="75">
        <v>0</v>
      </c>
      <c r="Q3528" s="75">
        <v>0</v>
      </c>
      <c r="R3528" s="75">
        <v>0</v>
      </c>
      <c r="S3528" s="75">
        <v>0</v>
      </c>
      <c r="T3528" s="75">
        <v>0</v>
      </c>
      <c r="U3528" s="75">
        <v>0</v>
      </c>
      <c r="V3528" s="75">
        <v>0</v>
      </c>
      <c r="W3528" s="78">
        <v>0</v>
      </c>
    </row>
    <row r="3529" spans="1:23" s="75" customFormat="1" hidden="1" x14ac:dyDescent="0.35">
      <c r="A3529" s="75">
        <v>3525</v>
      </c>
      <c r="B3529" s="75">
        <v>3526</v>
      </c>
      <c r="C3529">
        <v>146.02194159999999</v>
      </c>
      <c r="D3529">
        <v>-17.483750329999999</v>
      </c>
      <c r="F3529" s="75" t="str">
        <f>HYPERLINK("E:\Data From Lucan\2024\Johnstone\Frames_for_Analysis\3526_20240610_0005_L_0930.jpg","3526_20240610_0005_L_0930.jpg")</f>
        <v>3526_20240610_0005_L_0930.jpg</v>
      </c>
      <c r="I3529">
        <f t="shared" si="55"/>
        <v>0</v>
      </c>
      <c r="J3529" s="75">
        <v>0</v>
      </c>
      <c r="O3529" s="75">
        <v>1</v>
      </c>
      <c r="P3529" s="75">
        <v>0</v>
      </c>
      <c r="Q3529" s="75">
        <v>0</v>
      </c>
      <c r="R3529" s="75">
        <v>0</v>
      </c>
      <c r="S3529" s="75">
        <v>0</v>
      </c>
      <c r="T3529" s="75">
        <v>0</v>
      </c>
      <c r="U3529" s="75">
        <v>0</v>
      </c>
      <c r="V3529" s="75">
        <v>0</v>
      </c>
      <c r="W3529" s="78">
        <v>0</v>
      </c>
    </row>
    <row r="3530" spans="1:23" s="75" customFormat="1" hidden="1" x14ac:dyDescent="0.35">
      <c r="A3530" s="75">
        <v>3526</v>
      </c>
      <c r="B3530" s="75">
        <v>3527</v>
      </c>
      <c r="C3530">
        <v>146.0220276</v>
      </c>
      <c r="D3530">
        <v>-17.48371169</v>
      </c>
      <c r="F3530" s="75" t="str">
        <f>HYPERLINK("E:\Data From Lucan\2024\Johnstone\Frames_for_Analysis\3527_20240610_0005_L_0933.jpg","3527_20240610_0005_L_0933.jpg")</f>
        <v>3527_20240610_0005_L_0933.jpg</v>
      </c>
      <c r="I3530">
        <f t="shared" si="55"/>
        <v>0</v>
      </c>
      <c r="J3530" s="75">
        <v>0</v>
      </c>
      <c r="O3530" s="75">
        <v>1</v>
      </c>
      <c r="P3530" s="75">
        <v>0</v>
      </c>
      <c r="Q3530" s="75">
        <v>0</v>
      </c>
      <c r="R3530" s="75">
        <v>0</v>
      </c>
      <c r="S3530" s="75">
        <v>0</v>
      </c>
      <c r="T3530" s="75">
        <v>0</v>
      </c>
      <c r="U3530" s="75">
        <v>0</v>
      </c>
      <c r="V3530" s="75">
        <v>0</v>
      </c>
      <c r="W3530" s="78">
        <v>0</v>
      </c>
    </row>
    <row r="3531" spans="1:23" s="75" customFormat="1" hidden="1" x14ac:dyDescent="0.35">
      <c r="A3531" s="75">
        <v>3527</v>
      </c>
      <c r="B3531" s="75">
        <v>3528</v>
      </c>
      <c r="C3531">
        <v>146.02211360000001</v>
      </c>
      <c r="D3531">
        <v>-17.48367305</v>
      </c>
      <c r="F3531" s="75" t="str">
        <f>HYPERLINK("E:\Data From Lucan\2024\Johnstone\Frames_for_Analysis\3528_20240610_0005_L_0935.jpg","3528_20240610_0005_L_0935.jpg")</f>
        <v>3528_20240610_0005_L_0935.jpg</v>
      </c>
      <c r="I3531">
        <f t="shared" si="55"/>
        <v>0</v>
      </c>
      <c r="J3531" s="75">
        <v>0</v>
      </c>
      <c r="O3531" s="75">
        <v>1</v>
      </c>
      <c r="P3531" s="75">
        <v>0</v>
      </c>
      <c r="Q3531" s="75">
        <v>0</v>
      </c>
      <c r="R3531" s="75">
        <v>0</v>
      </c>
      <c r="S3531" s="75">
        <v>0</v>
      </c>
      <c r="T3531" s="75">
        <v>0</v>
      </c>
      <c r="U3531" s="75">
        <v>0</v>
      </c>
      <c r="V3531" s="75">
        <v>0</v>
      </c>
      <c r="W3531" s="78">
        <v>0</v>
      </c>
    </row>
    <row r="3532" spans="1:23" s="75" customFormat="1" hidden="1" x14ac:dyDescent="0.35">
      <c r="A3532" s="75">
        <v>3528</v>
      </c>
      <c r="B3532" s="75">
        <v>3529</v>
      </c>
      <c r="C3532">
        <v>146.02219969999999</v>
      </c>
      <c r="D3532">
        <v>-17.483634410000001</v>
      </c>
      <c r="F3532" s="75" t="str">
        <f>HYPERLINK("E:\Data From Lucan\2024\Johnstone\Frames_for_Analysis\3529_20240610_0005_L_0938.jpg","3529_20240610_0005_L_0938.jpg")</f>
        <v>3529_20240610_0005_L_0938.jpg</v>
      </c>
      <c r="I3532">
        <f t="shared" si="55"/>
        <v>0</v>
      </c>
      <c r="J3532" s="75">
        <v>0</v>
      </c>
      <c r="O3532" s="75">
        <v>1</v>
      </c>
      <c r="P3532" s="75">
        <v>0</v>
      </c>
      <c r="Q3532" s="75">
        <v>0</v>
      </c>
      <c r="R3532" s="75">
        <v>0</v>
      </c>
      <c r="S3532" s="75">
        <v>0</v>
      </c>
      <c r="T3532" s="75">
        <v>0</v>
      </c>
      <c r="U3532" s="75">
        <v>0</v>
      </c>
      <c r="V3532" s="75">
        <v>0</v>
      </c>
      <c r="W3532" s="78">
        <v>0</v>
      </c>
    </row>
    <row r="3533" spans="1:23" s="75" customFormat="1" hidden="1" x14ac:dyDescent="0.35">
      <c r="A3533" s="75">
        <v>3529</v>
      </c>
      <c r="B3533" s="75">
        <v>3530</v>
      </c>
      <c r="C3533">
        <v>146.0222857</v>
      </c>
      <c r="D3533">
        <v>-17.48359576</v>
      </c>
      <c r="F3533" s="75" t="str">
        <f>HYPERLINK("E:\Data From Lucan\2024\Johnstone\Frames_for_Analysis\3530_20240610_0005_L_0940.jpg","3530_20240610_0005_L_0940.jpg")</f>
        <v>3530_20240610_0005_L_0940.jpg</v>
      </c>
      <c r="I3533">
        <f t="shared" si="55"/>
        <v>0</v>
      </c>
      <c r="J3533" s="75">
        <v>0</v>
      </c>
      <c r="O3533" s="75">
        <v>1</v>
      </c>
      <c r="P3533" s="75">
        <v>0</v>
      </c>
      <c r="Q3533" s="75">
        <v>0</v>
      </c>
      <c r="R3533" s="75">
        <v>0</v>
      </c>
      <c r="S3533" s="75">
        <v>0</v>
      </c>
      <c r="T3533" s="75">
        <v>0</v>
      </c>
      <c r="U3533" s="75">
        <v>0</v>
      </c>
      <c r="V3533" s="75">
        <v>0</v>
      </c>
      <c r="W3533" s="78">
        <v>0</v>
      </c>
    </row>
    <row r="3534" spans="1:23" s="75" customFormat="1" hidden="1" x14ac:dyDescent="0.35">
      <c r="A3534" s="75">
        <v>3530</v>
      </c>
      <c r="B3534" s="75">
        <v>3531</v>
      </c>
      <c r="C3534">
        <v>146.02237170000001</v>
      </c>
      <c r="D3534">
        <v>-17.48355712</v>
      </c>
      <c r="F3534" s="75" t="str">
        <f>HYPERLINK("E:\Data From Lucan\2024\Johnstone\Frames_for_Analysis\3531_20240610_0005_L_0943.jpg","3531_20240610_0005_L_0943.jpg")</f>
        <v>3531_20240610_0005_L_0943.jpg</v>
      </c>
      <c r="I3534">
        <f t="shared" si="55"/>
        <v>0</v>
      </c>
      <c r="J3534" s="75">
        <v>0</v>
      </c>
      <c r="O3534" s="75">
        <v>1</v>
      </c>
      <c r="P3534" s="75">
        <v>0</v>
      </c>
      <c r="Q3534" s="75">
        <v>0</v>
      </c>
      <c r="R3534" s="75">
        <v>0</v>
      </c>
      <c r="S3534" s="75">
        <v>0</v>
      </c>
      <c r="T3534" s="75">
        <v>0</v>
      </c>
      <c r="U3534" s="75">
        <v>0</v>
      </c>
      <c r="V3534" s="75">
        <v>0</v>
      </c>
      <c r="W3534" s="78">
        <v>0</v>
      </c>
    </row>
    <row r="3535" spans="1:23" s="75" customFormat="1" hidden="1" x14ac:dyDescent="0.35">
      <c r="A3535" s="75">
        <v>3531</v>
      </c>
      <c r="B3535" s="75">
        <v>3532</v>
      </c>
      <c r="C3535">
        <v>146.02245769999999</v>
      </c>
      <c r="D3535">
        <v>-17.483518480000001</v>
      </c>
      <c r="F3535" s="75" t="str">
        <f>HYPERLINK("E:\Data From Lucan\2024\Johnstone\Frames_for_Analysis\3532_20240610_0005_L_0946.jpg","3532_20240610_0005_L_0946.jpg")</f>
        <v>3532_20240610_0005_L_0946.jpg</v>
      </c>
      <c r="I3535">
        <f t="shared" si="55"/>
        <v>0</v>
      </c>
      <c r="J3535" s="75">
        <v>0</v>
      </c>
      <c r="O3535" s="75">
        <v>1</v>
      </c>
      <c r="P3535" s="75">
        <v>0</v>
      </c>
      <c r="Q3535" s="75">
        <v>0</v>
      </c>
      <c r="R3535" s="75">
        <v>0</v>
      </c>
      <c r="S3535" s="75">
        <v>0</v>
      </c>
      <c r="T3535" s="75">
        <v>0</v>
      </c>
      <c r="U3535" s="75">
        <v>0</v>
      </c>
      <c r="V3535" s="75">
        <v>0</v>
      </c>
      <c r="W3535" s="78">
        <v>0</v>
      </c>
    </row>
    <row r="3536" spans="1:23" s="75" customFormat="1" hidden="1" x14ac:dyDescent="0.35">
      <c r="A3536" s="75">
        <v>3532</v>
      </c>
      <c r="B3536" s="75">
        <v>3533</v>
      </c>
      <c r="C3536">
        <v>146.02254379999999</v>
      </c>
      <c r="D3536">
        <v>-17.483479840000001</v>
      </c>
      <c r="F3536" s="75" t="str">
        <f>HYPERLINK("E:\Data From Lucan\2024\Johnstone\Frames_for_Analysis\3533_20240610_0005_L_0948.jpg","3533_20240610_0005_L_0948.jpg")</f>
        <v>3533_20240610_0005_L_0948.jpg</v>
      </c>
      <c r="I3536">
        <f t="shared" si="55"/>
        <v>0</v>
      </c>
      <c r="J3536" s="75">
        <v>0</v>
      </c>
      <c r="O3536" s="75">
        <v>1</v>
      </c>
      <c r="P3536" s="75">
        <v>0</v>
      </c>
      <c r="Q3536" s="75">
        <v>0</v>
      </c>
      <c r="R3536" s="75">
        <v>0</v>
      </c>
      <c r="S3536" s="75">
        <v>0</v>
      </c>
      <c r="T3536" s="75">
        <v>0</v>
      </c>
      <c r="U3536" s="75">
        <v>0</v>
      </c>
      <c r="V3536" s="75">
        <v>0</v>
      </c>
      <c r="W3536" s="78">
        <v>0</v>
      </c>
    </row>
    <row r="3537" spans="1:23" s="75" customFormat="1" hidden="1" x14ac:dyDescent="0.35">
      <c r="A3537" s="75">
        <v>3533</v>
      </c>
      <c r="B3537" s="75">
        <v>3534</v>
      </c>
      <c r="C3537">
        <v>146.0226298</v>
      </c>
      <c r="D3537">
        <v>-17.483441200000001</v>
      </c>
      <c r="F3537" s="75" t="str">
        <f>HYPERLINK("E:\Data From Lucan\2024\Johnstone\Frames_for_Analysis\3534_20240610_0005_L_0951.jpg","3534_20240610_0005_L_0951.jpg")</f>
        <v>3534_20240610_0005_L_0951.jpg</v>
      </c>
      <c r="I3537">
        <f t="shared" si="55"/>
        <v>0</v>
      </c>
      <c r="J3537" s="75">
        <v>0</v>
      </c>
      <c r="O3537" s="75">
        <v>1</v>
      </c>
      <c r="P3537" s="75">
        <v>0</v>
      </c>
      <c r="Q3537" s="75">
        <v>0</v>
      </c>
      <c r="R3537" s="75">
        <v>0</v>
      </c>
      <c r="S3537" s="75">
        <v>0</v>
      </c>
      <c r="T3537" s="75">
        <v>0</v>
      </c>
      <c r="U3537" s="75">
        <v>0</v>
      </c>
      <c r="V3537" s="75">
        <v>0</v>
      </c>
      <c r="W3537" s="78">
        <v>0</v>
      </c>
    </row>
    <row r="3538" spans="1:23" s="75" customFormat="1" hidden="1" x14ac:dyDescent="0.35">
      <c r="A3538" s="75">
        <v>3534</v>
      </c>
      <c r="B3538" s="75">
        <v>3535</v>
      </c>
      <c r="C3538">
        <v>146.0227127</v>
      </c>
      <c r="D3538">
        <v>-17.48339631</v>
      </c>
      <c r="F3538" s="75" t="str">
        <f>HYPERLINK("E:\Data From Lucan\2024\Johnstone\Frames_for_Analysis\3535_20240610_0005_L_0953.jpg","3535_20240610_0005_L_0953.jpg")</f>
        <v>3535_20240610_0005_L_0953.jpg</v>
      </c>
      <c r="I3538">
        <f t="shared" si="55"/>
        <v>0</v>
      </c>
      <c r="J3538" s="75">
        <v>0</v>
      </c>
      <c r="O3538" s="75">
        <v>1</v>
      </c>
      <c r="P3538" s="75">
        <v>0</v>
      </c>
      <c r="Q3538" s="75">
        <v>0</v>
      </c>
      <c r="R3538" s="75">
        <v>0</v>
      </c>
      <c r="S3538" s="75">
        <v>0</v>
      </c>
      <c r="T3538" s="75">
        <v>0</v>
      </c>
      <c r="U3538" s="75">
        <v>0</v>
      </c>
      <c r="V3538" s="75">
        <v>0</v>
      </c>
      <c r="W3538" s="78">
        <v>0</v>
      </c>
    </row>
    <row r="3539" spans="1:23" s="75" customFormat="1" hidden="1" x14ac:dyDescent="0.35">
      <c r="A3539" s="75">
        <v>3535</v>
      </c>
      <c r="B3539" s="75">
        <v>3536</v>
      </c>
      <c r="C3539">
        <v>146.02279540000001</v>
      </c>
      <c r="D3539">
        <v>-17.48335093</v>
      </c>
      <c r="F3539" s="75" t="str">
        <f>HYPERLINK("E:\Data From Lucan\2024\Johnstone\Frames_for_Analysis\3536_20240610_0005_L_0955.jpg","3536_20240610_0005_L_0955.jpg")</f>
        <v>3536_20240610_0005_L_0955.jpg</v>
      </c>
      <c r="I3539">
        <f t="shared" si="55"/>
        <v>0</v>
      </c>
      <c r="J3539" s="75">
        <v>0</v>
      </c>
      <c r="O3539" s="75">
        <v>2</v>
      </c>
      <c r="P3539" s="75">
        <v>0</v>
      </c>
      <c r="Q3539" s="75">
        <v>0</v>
      </c>
      <c r="R3539" s="75">
        <v>0</v>
      </c>
      <c r="S3539" s="75">
        <v>0</v>
      </c>
      <c r="T3539" s="75">
        <v>0</v>
      </c>
      <c r="U3539" s="75">
        <v>0</v>
      </c>
      <c r="V3539" s="75">
        <v>0</v>
      </c>
      <c r="W3539" s="78">
        <v>1</v>
      </c>
    </row>
    <row r="3540" spans="1:23" s="75" customFormat="1" hidden="1" x14ac:dyDescent="0.35">
      <c r="A3540" s="75">
        <v>3536</v>
      </c>
      <c r="B3540" s="75">
        <v>3537</v>
      </c>
      <c r="C3540">
        <v>146.02287129999999</v>
      </c>
      <c r="D3540">
        <v>-17.483296939999999</v>
      </c>
      <c r="F3540" s="75" t="str">
        <f>HYPERLINK("E:\Data From Lucan\2024\Johnstone\Frames_for_Analysis\3537_20240610_0005_L_0958.jpg","3537_20240610_0005_L_0958.jpg")</f>
        <v>3537_20240610_0005_L_0958.jpg</v>
      </c>
      <c r="I3540">
        <f t="shared" si="55"/>
        <v>0</v>
      </c>
      <c r="J3540" s="75">
        <v>0</v>
      </c>
      <c r="O3540" s="75">
        <v>1</v>
      </c>
      <c r="P3540" s="75">
        <v>0</v>
      </c>
      <c r="Q3540" s="75">
        <v>0</v>
      </c>
      <c r="R3540" s="75">
        <v>0</v>
      </c>
      <c r="S3540" s="75">
        <v>0</v>
      </c>
      <c r="T3540" s="75">
        <v>0</v>
      </c>
      <c r="U3540" s="75">
        <v>0</v>
      </c>
      <c r="V3540" s="75">
        <v>0</v>
      </c>
      <c r="W3540" s="78">
        <v>0</v>
      </c>
    </row>
    <row r="3541" spans="1:23" s="75" customFormat="1" hidden="1" x14ac:dyDescent="0.35">
      <c r="A3541" s="75">
        <v>3537</v>
      </c>
      <c r="B3541" s="75">
        <v>3538</v>
      </c>
      <c r="C3541">
        <v>146.02293090000001</v>
      </c>
      <c r="D3541">
        <v>-17.48322499</v>
      </c>
      <c r="F3541" s="75" t="str">
        <f>HYPERLINK("E:\Data From Lucan\2024\Johnstone\Frames_for_Analysis\3538_20240610_0005_L_0961.jpg","3538_20240610_0005_L_0961.jpg")</f>
        <v>3538_20240610_0005_L_0961.jpg</v>
      </c>
      <c r="I3541">
        <f t="shared" si="55"/>
        <v>0</v>
      </c>
      <c r="J3541" s="75">
        <v>0</v>
      </c>
      <c r="O3541" s="75">
        <v>1</v>
      </c>
      <c r="P3541" s="75">
        <v>0</v>
      </c>
      <c r="Q3541" s="75">
        <v>0</v>
      </c>
      <c r="R3541" s="75">
        <v>0</v>
      </c>
      <c r="S3541" s="75">
        <v>0</v>
      </c>
      <c r="T3541" s="75">
        <v>0</v>
      </c>
      <c r="U3541" s="75">
        <v>0</v>
      </c>
      <c r="V3541" s="75">
        <v>0</v>
      </c>
      <c r="W3541" s="78">
        <v>0</v>
      </c>
    </row>
    <row r="3542" spans="1:23" s="75" customFormat="1" hidden="1" x14ac:dyDescent="0.35">
      <c r="A3542" s="75">
        <v>3538</v>
      </c>
      <c r="B3542" s="75">
        <v>3539</v>
      </c>
      <c r="C3542">
        <v>146.02297350000001</v>
      </c>
      <c r="D3542">
        <v>-17.483142229999999</v>
      </c>
      <c r="F3542" s="75" t="str">
        <f>HYPERLINK("E:\Data From Lucan\2024\Johnstone\Frames_for_Analysis\3539_20240610_0005_L_0963.jpg","3539_20240610_0005_L_0963.jpg")</f>
        <v>3539_20240610_0005_L_0963.jpg</v>
      </c>
      <c r="I3542">
        <f t="shared" si="55"/>
        <v>0</v>
      </c>
      <c r="J3542" s="75">
        <v>0</v>
      </c>
      <c r="O3542" s="75">
        <v>1</v>
      </c>
      <c r="P3542" s="75">
        <v>0</v>
      </c>
      <c r="Q3542" s="75">
        <v>0</v>
      </c>
      <c r="R3542" s="75">
        <v>0</v>
      </c>
      <c r="S3542" s="75">
        <v>0</v>
      </c>
      <c r="T3542" s="75">
        <v>0</v>
      </c>
      <c r="U3542" s="75">
        <v>0</v>
      </c>
      <c r="V3542" s="75">
        <v>0</v>
      </c>
      <c r="W3542" s="78">
        <v>0</v>
      </c>
    </row>
    <row r="3543" spans="1:23" s="75" customFormat="1" hidden="1" x14ac:dyDescent="0.35">
      <c r="A3543" s="75">
        <v>3539</v>
      </c>
      <c r="B3543" s="75">
        <v>3540</v>
      </c>
      <c r="C3543">
        <v>146.0230617</v>
      </c>
      <c r="D3543">
        <v>-17.483128270000002</v>
      </c>
      <c r="F3543" s="75" t="str">
        <f>HYPERLINK("E:\Data From Lucan\2024\Johnstone\Frames_for_Analysis\3540_20240610_0005_L_0965.jpg","3540_20240610_0005_L_0965.jpg")</f>
        <v>3540_20240610_0005_L_0965.jpg</v>
      </c>
      <c r="I3543">
        <f t="shared" si="55"/>
        <v>0</v>
      </c>
      <c r="J3543" s="75">
        <v>0</v>
      </c>
      <c r="O3543" s="75">
        <v>1</v>
      </c>
      <c r="P3543" s="75">
        <v>0</v>
      </c>
      <c r="Q3543" s="75">
        <v>0</v>
      </c>
      <c r="R3543" s="75">
        <v>0</v>
      </c>
      <c r="S3543" s="75">
        <v>0</v>
      </c>
      <c r="T3543" s="75">
        <v>0</v>
      </c>
      <c r="U3543" s="75">
        <v>0</v>
      </c>
      <c r="V3543" s="75">
        <v>0</v>
      </c>
      <c r="W3543" s="78">
        <v>0</v>
      </c>
    </row>
    <row r="3544" spans="1:23" s="75" customFormat="1" hidden="1" x14ac:dyDescent="0.35">
      <c r="A3544" s="75">
        <v>3540</v>
      </c>
      <c r="B3544" s="75">
        <v>3541</v>
      </c>
      <c r="C3544">
        <v>146.02315440000001</v>
      </c>
      <c r="D3544">
        <v>-17.483110960000001</v>
      </c>
      <c r="F3544" s="75" t="str">
        <f>HYPERLINK("E:\Data From Lucan\2024\Johnstone\Frames_for_Analysis\3541_20240610_0005_L_0968.jpg","3541_20240610_0005_L_0968.jpg")</f>
        <v>3541_20240610_0005_L_0968.jpg</v>
      </c>
      <c r="I3544">
        <f t="shared" si="55"/>
        <v>0</v>
      </c>
      <c r="J3544" s="75">
        <v>0</v>
      </c>
      <c r="O3544" s="75">
        <v>1</v>
      </c>
      <c r="P3544" s="75">
        <v>0</v>
      </c>
      <c r="Q3544" s="75">
        <v>0</v>
      </c>
      <c r="R3544" s="75">
        <v>0</v>
      </c>
      <c r="S3544" s="75">
        <v>0</v>
      </c>
      <c r="T3544" s="75">
        <v>0</v>
      </c>
      <c r="U3544" s="75">
        <v>0</v>
      </c>
      <c r="V3544" s="75">
        <v>0</v>
      </c>
      <c r="W3544" s="78">
        <v>0</v>
      </c>
    </row>
    <row r="3545" spans="1:23" s="75" customFormat="1" hidden="1" x14ac:dyDescent="0.35">
      <c r="A3545" s="75">
        <v>3541</v>
      </c>
      <c r="B3545" s="75">
        <v>3542</v>
      </c>
      <c r="C3545">
        <v>146.02324709999999</v>
      </c>
      <c r="D3545">
        <v>-17.48309364</v>
      </c>
      <c r="F3545" s="75" t="str">
        <f>HYPERLINK("E:\Data From Lucan\2024\Johnstone\Frames_for_Analysis\3542_20240610_0005_L_0970.jpg","3542_20240610_0005_L_0970.jpg")</f>
        <v>3542_20240610_0005_L_0970.jpg</v>
      </c>
      <c r="I3545">
        <f t="shared" si="55"/>
        <v>0</v>
      </c>
      <c r="J3545" s="75">
        <v>0</v>
      </c>
      <c r="O3545" s="75">
        <v>1</v>
      </c>
      <c r="P3545" s="75">
        <v>0</v>
      </c>
      <c r="Q3545" s="75">
        <v>0</v>
      </c>
      <c r="R3545" s="75">
        <v>0</v>
      </c>
      <c r="S3545" s="75">
        <v>0</v>
      </c>
      <c r="T3545" s="75">
        <v>0</v>
      </c>
      <c r="U3545" s="75">
        <v>0</v>
      </c>
      <c r="V3545" s="75">
        <v>0</v>
      </c>
      <c r="W3545" s="78">
        <v>0</v>
      </c>
    </row>
    <row r="3546" spans="1:23" s="75" customFormat="1" hidden="1" x14ac:dyDescent="0.35">
      <c r="A3546" s="75">
        <v>3542</v>
      </c>
      <c r="B3546" s="75">
        <v>3543</v>
      </c>
      <c r="C3546">
        <v>146.0233398</v>
      </c>
      <c r="D3546">
        <v>-17.483076319999999</v>
      </c>
      <c r="F3546" s="75" t="str">
        <f>HYPERLINK("E:\Data From Lucan\2024\Johnstone\Frames_for_Analysis\3543_20240610_0005_L_0973.jpg","3543_20240610_0005_L_0973.jpg")</f>
        <v>3543_20240610_0005_L_0973.jpg</v>
      </c>
      <c r="I3546">
        <f t="shared" si="55"/>
        <v>0</v>
      </c>
      <c r="J3546" s="75">
        <v>0</v>
      </c>
      <c r="O3546" s="75">
        <v>1</v>
      </c>
      <c r="P3546" s="75">
        <v>0</v>
      </c>
      <c r="Q3546" s="75">
        <v>0</v>
      </c>
      <c r="R3546" s="75">
        <v>0</v>
      </c>
      <c r="S3546" s="75">
        <v>0</v>
      </c>
      <c r="T3546" s="75">
        <v>0</v>
      </c>
      <c r="U3546" s="75">
        <v>0</v>
      </c>
      <c r="V3546" s="75">
        <v>0</v>
      </c>
      <c r="W3546" s="78">
        <v>0</v>
      </c>
    </row>
    <row r="3547" spans="1:23" s="75" customFormat="1" hidden="1" x14ac:dyDescent="0.35">
      <c r="A3547" s="75">
        <v>3543</v>
      </c>
      <c r="B3547" s="75">
        <v>3544</v>
      </c>
      <c r="C3547">
        <v>146.02343250000001</v>
      </c>
      <c r="D3547">
        <v>-17.483059000000001</v>
      </c>
      <c r="F3547" s="75" t="str">
        <f>HYPERLINK("E:\Data From Lucan\2024\Johnstone\Frames_for_Analysis\3544_20240610_0005_L_0975.jpg","3544_20240610_0005_L_0975.jpg")</f>
        <v>3544_20240610_0005_L_0975.jpg</v>
      </c>
      <c r="I3547">
        <f t="shared" si="55"/>
        <v>0</v>
      </c>
      <c r="J3547" s="75">
        <v>0</v>
      </c>
      <c r="O3547" s="75">
        <v>1</v>
      </c>
      <c r="P3547" s="75">
        <v>0</v>
      </c>
      <c r="Q3547" s="75">
        <v>0</v>
      </c>
      <c r="R3547" s="75">
        <v>0</v>
      </c>
      <c r="S3547" s="75">
        <v>0</v>
      </c>
      <c r="T3547" s="75">
        <v>0</v>
      </c>
      <c r="U3547" s="75">
        <v>0</v>
      </c>
      <c r="V3547" s="75">
        <v>0</v>
      </c>
      <c r="W3547" s="78">
        <v>0</v>
      </c>
    </row>
    <row r="3548" spans="1:23" s="75" customFormat="1" hidden="1" x14ac:dyDescent="0.35">
      <c r="A3548" s="75">
        <v>3544</v>
      </c>
      <c r="B3548" s="75">
        <v>3545</v>
      </c>
      <c r="C3548">
        <v>146.02352519999999</v>
      </c>
      <c r="D3548">
        <v>-17.483041679999999</v>
      </c>
      <c r="F3548" s="75" t="str">
        <f>HYPERLINK("E:\Data From Lucan\2024\Johnstone\Frames_for_Analysis\3545_20240610_0005_L_0977.jpg","3545_20240610_0005_L_0977.jpg")</f>
        <v>3545_20240610_0005_L_0977.jpg</v>
      </c>
      <c r="I3548">
        <f t="shared" si="55"/>
        <v>0</v>
      </c>
      <c r="J3548" s="75">
        <v>0</v>
      </c>
      <c r="O3548" s="75">
        <v>1</v>
      </c>
      <c r="P3548" s="75">
        <v>0</v>
      </c>
      <c r="Q3548" s="75">
        <v>0</v>
      </c>
      <c r="R3548" s="75">
        <v>0</v>
      </c>
      <c r="S3548" s="75">
        <v>0</v>
      </c>
      <c r="T3548" s="75">
        <v>0</v>
      </c>
      <c r="U3548" s="75">
        <v>0</v>
      </c>
      <c r="V3548" s="75">
        <v>0</v>
      </c>
      <c r="W3548" s="78">
        <v>0</v>
      </c>
    </row>
    <row r="3549" spans="1:23" s="75" customFormat="1" hidden="1" x14ac:dyDescent="0.35">
      <c r="A3549" s="75">
        <v>3545</v>
      </c>
      <c r="B3549" s="75">
        <v>3546</v>
      </c>
      <c r="C3549">
        <v>146.02361719999999</v>
      </c>
      <c r="D3549">
        <v>-17.48302211</v>
      </c>
      <c r="F3549" s="75" t="str">
        <f>HYPERLINK("E:\Data From Lucan\2024\Johnstone\Frames_for_Analysis\3546_20240610_0005_L_0980.jpg","3546_20240610_0005_L_0980.jpg")</f>
        <v>3546_20240610_0005_L_0980.jpg</v>
      </c>
      <c r="I3549">
        <f t="shared" si="55"/>
        <v>0</v>
      </c>
      <c r="J3549" s="75">
        <v>0</v>
      </c>
      <c r="O3549" s="75">
        <v>1</v>
      </c>
      <c r="P3549" s="75">
        <v>0</v>
      </c>
      <c r="Q3549" s="75">
        <v>0</v>
      </c>
      <c r="R3549" s="75">
        <v>0</v>
      </c>
      <c r="S3549" s="75">
        <v>0</v>
      </c>
      <c r="T3549" s="75">
        <v>0</v>
      </c>
      <c r="U3549" s="75">
        <v>0</v>
      </c>
      <c r="V3549" s="75">
        <v>0</v>
      </c>
      <c r="W3549" s="78">
        <v>0</v>
      </c>
    </row>
    <row r="3550" spans="1:23" s="75" customFormat="1" hidden="1" x14ac:dyDescent="0.35">
      <c r="A3550" s="75">
        <v>3546</v>
      </c>
      <c r="B3550" s="75">
        <v>3547</v>
      </c>
      <c r="C3550">
        <v>146.0237042</v>
      </c>
      <c r="D3550">
        <v>-17.482985639999999</v>
      </c>
      <c r="F3550" s="75" t="str">
        <f>HYPERLINK("E:\Data From Lucan\2024\Johnstone\Frames_for_Analysis\3547_20240610_0005_L_0982.jpg","3547_20240610_0005_L_0982.jpg")</f>
        <v>3547_20240610_0005_L_0982.jpg</v>
      </c>
      <c r="I3550">
        <f t="shared" si="55"/>
        <v>0</v>
      </c>
      <c r="J3550" s="75">
        <v>0</v>
      </c>
      <c r="O3550" s="75">
        <v>1</v>
      </c>
      <c r="P3550" s="75">
        <v>0</v>
      </c>
      <c r="Q3550" s="75">
        <v>0</v>
      </c>
      <c r="R3550" s="75">
        <v>0</v>
      </c>
      <c r="S3550" s="75">
        <v>0</v>
      </c>
      <c r="T3550" s="75">
        <v>0</v>
      </c>
      <c r="U3550" s="75">
        <v>0</v>
      </c>
      <c r="V3550" s="75">
        <v>0</v>
      </c>
      <c r="W3550" s="78">
        <v>0</v>
      </c>
    </row>
    <row r="3551" spans="1:23" s="75" customFormat="1" hidden="1" x14ac:dyDescent="0.35">
      <c r="A3551" s="75">
        <v>3547</v>
      </c>
      <c r="B3551" s="75">
        <v>3548</v>
      </c>
      <c r="C3551">
        <v>146.02379120000001</v>
      </c>
      <c r="D3551">
        <v>-17.482949179999999</v>
      </c>
      <c r="F3551" s="75" t="str">
        <f>HYPERLINK("E:\Data From Lucan\2024\Johnstone\Frames_for_Analysis\3548_20240610_0005_L_0985.jpg","3548_20240610_0005_L_0985.jpg")</f>
        <v>3548_20240610_0005_L_0985.jpg</v>
      </c>
      <c r="I3551">
        <f t="shared" si="55"/>
        <v>0</v>
      </c>
      <c r="J3551" s="75">
        <v>0</v>
      </c>
      <c r="O3551" s="75">
        <v>1</v>
      </c>
      <c r="P3551" s="75">
        <v>0</v>
      </c>
      <c r="Q3551" s="75">
        <v>0</v>
      </c>
      <c r="R3551" s="75">
        <v>0</v>
      </c>
      <c r="S3551" s="75">
        <v>0</v>
      </c>
      <c r="T3551" s="75">
        <v>0</v>
      </c>
      <c r="U3551" s="75">
        <v>0</v>
      </c>
      <c r="V3551" s="75">
        <v>1</v>
      </c>
      <c r="W3551" s="78">
        <v>0</v>
      </c>
    </row>
    <row r="3552" spans="1:23" s="75" customFormat="1" hidden="1" x14ac:dyDescent="0.35">
      <c r="A3552" s="75">
        <v>3548</v>
      </c>
      <c r="B3552" s="75">
        <v>3549</v>
      </c>
      <c r="C3552">
        <v>146.02387809999999</v>
      </c>
      <c r="D3552">
        <v>-17.482912710000001</v>
      </c>
      <c r="F3552" s="75" t="str">
        <f>HYPERLINK("E:\Data From Lucan\2024\Johnstone\Frames_for_Analysis\3549_20240610_0005_L_0987.jpg","3549_20240610_0005_L_0987.jpg")</f>
        <v>3549_20240610_0005_L_0987.jpg</v>
      </c>
      <c r="I3552">
        <f t="shared" si="55"/>
        <v>0</v>
      </c>
      <c r="J3552" s="75">
        <v>0</v>
      </c>
      <c r="O3552" s="75">
        <v>1</v>
      </c>
      <c r="P3552" s="75">
        <v>0</v>
      </c>
      <c r="Q3552" s="75">
        <v>0</v>
      </c>
      <c r="R3552" s="75">
        <v>0</v>
      </c>
      <c r="S3552" s="75">
        <v>0</v>
      </c>
      <c r="T3552" s="75">
        <v>0</v>
      </c>
      <c r="U3552" s="75">
        <v>0</v>
      </c>
      <c r="V3552" s="75">
        <v>1</v>
      </c>
      <c r="W3552" s="78">
        <v>0</v>
      </c>
    </row>
    <row r="3553" spans="1:23" s="75" customFormat="1" hidden="1" x14ac:dyDescent="0.35">
      <c r="A3553" s="75">
        <v>3549</v>
      </c>
      <c r="B3553" s="75">
        <v>3550</v>
      </c>
      <c r="C3553">
        <v>146.0239651</v>
      </c>
      <c r="D3553">
        <v>-17.48287625</v>
      </c>
      <c r="F3553" s="75" t="str">
        <f>HYPERLINK("E:\Data From Lucan\2024\Johnstone\Frames_for_Analysis\3550_20240610_0005_L_0990.jpg","3550_20240610_0005_L_0990.jpg")</f>
        <v>3550_20240610_0005_L_0990.jpg</v>
      </c>
      <c r="I3553">
        <f t="shared" si="55"/>
        <v>0</v>
      </c>
      <c r="J3553" s="75">
        <v>0</v>
      </c>
      <c r="O3553" s="75">
        <v>1</v>
      </c>
      <c r="P3553" s="75">
        <v>0</v>
      </c>
      <c r="Q3553" s="75">
        <v>0</v>
      </c>
      <c r="R3553" s="75">
        <v>0</v>
      </c>
      <c r="S3553" s="75">
        <v>0</v>
      </c>
      <c r="T3553" s="75">
        <v>0</v>
      </c>
      <c r="U3553" s="75">
        <v>0</v>
      </c>
      <c r="V3553" s="75">
        <v>1</v>
      </c>
      <c r="W3553" s="78">
        <v>0</v>
      </c>
    </row>
    <row r="3554" spans="1:23" s="75" customFormat="1" hidden="1" x14ac:dyDescent="0.35">
      <c r="A3554" s="75">
        <v>3550</v>
      </c>
      <c r="B3554" s="75">
        <v>3551</v>
      </c>
      <c r="C3554">
        <v>146.02405210000001</v>
      </c>
      <c r="D3554">
        <v>-17.482839779999999</v>
      </c>
      <c r="F3554" s="75" t="str">
        <f>HYPERLINK("E:\Data From Lucan\2024\Johnstone\Frames_for_Analysis\3551_20240610_0005_L_0992.jpg","3551_20240610_0005_L_0992.jpg")</f>
        <v>3551_20240610_0005_L_0992.jpg</v>
      </c>
      <c r="I3554">
        <f t="shared" si="55"/>
        <v>0</v>
      </c>
      <c r="J3554" s="75">
        <v>0</v>
      </c>
      <c r="O3554" s="75">
        <v>1</v>
      </c>
      <c r="P3554" s="75">
        <v>0</v>
      </c>
      <c r="Q3554" s="75">
        <v>0</v>
      </c>
      <c r="R3554" s="75">
        <v>0</v>
      </c>
      <c r="S3554" s="75">
        <v>0</v>
      </c>
      <c r="T3554" s="75">
        <v>0</v>
      </c>
      <c r="U3554" s="75">
        <v>0</v>
      </c>
      <c r="V3554" s="75">
        <v>1</v>
      </c>
      <c r="W3554" s="78">
        <v>0</v>
      </c>
    </row>
    <row r="3555" spans="1:23" s="75" customFormat="1" hidden="1" x14ac:dyDescent="0.35">
      <c r="A3555" s="75">
        <v>3551</v>
      </c>
      <c r="B3555" s="75">
        <v>3552</v>
      </c>
      <c r="C3555">
        <v>146.02413899999999</v>
      </c>
      <c r="D3555">
        <v>-17.482803319999999</v>
      </c>
      <c r="F3555" s="75" t="str">
        <f>HYPERLINK("E:\Data From Lucan\2024\Johnstone\Frames_for_Analysis\3552_20240610_0005_L_0995.jpg","3552_20240610_0005_L_0995.jpg")</f>
        <v>3552_20240610_0005_L_0995.jpg</v>
      </c>
      <c r="I3555">
        <f t="shared" si="55"/>
        <v>0</v>
      </c>
      <c r="J3555" s="75">
        <v>0</v>
      </c>
      <c r="O3555" s="75">
        <v>1</v>
      </c>
      <c r="P3555" s="75">
        <v>0</v>
      </c>
      <c r="Q3555" s="75">
        <v>0</v>
      </c>
      <c r="R3555" s="75">
        <v>0</v>
      </c>
      <c r="S3555" s="75">
        <v>0</v>
      </c>
      <c r="T3555" s="75">
        <v>0</v>
      </c>
      <c r="U3555" s="75">
        <v>0</v>
      </c>
      <c r="V3555" s="75">
        <v>0</v>
      </c>
      <c r="W3555" s="78">
        <v>0</v>
      </c>
    </row>
    <row r="3556" spans="1:23" s="75" customFormat="1" hidden="1" x14ac:dyDescent="0.35">
      <c r="A3556" s="75">
        <v>3552</v>
      </c>
      <c r="B3556" s="75">
        <v>3553</v>
      </c>
      <c r="C3556">
        <v>146.024226</v>
      </c>
      <c r="D3556">
        <v>-17.482766850000001</v>
      </c>
      <c r="F3556" s="75" t="str">
        <f>HYPERLINK("E:\Data From Lucan\2024\Johnstone\Frames_for_Analysis\3553_20240610_0005_L_0997.jpg","3553_20240610_0005_L_0997.jpg")</f>
        <v>3553_20240610_0005_L_0997.jpg</v>
      </c>
      <c r="I3556" t="str">
        <f t="shared" si="55"/>
        <v>X</v>
      </c>
      <c r="J3556" s="75" t="s">
        <v>3958</v>
      </c>
      <c r="O3556" s="75">
        <v>1</v>
      </c>
      <c r="P3556" s="75">
        <v>0</v>
      </c>
      <c r="Q3556" s="75">
        <v>0</v>
      </c>
      <c r="R3556" s="75">
        <v>0</v>
      </c>
      <c r="S3556" s="75">
        <v>0</v>
      </c>
      <c r="T3556" s="75">
        <v>0</v>
      </c>
      <c r="U3556" s="75">
        <v>0</v>
      </c>
      <c r="V3556" s="75">
        <v>0</v>
      </c>
      <c r="W3556" s="78">
        <v>0</v>
      </c>
    </row>
    <row r="3557" spans="1:23" s="75" customFormat="1" hidden="1" x14ac:dyDescent="0.35">
      <c r="A3557" s="75">
        <v>3553</v>
      </c>
      <c r="B3557" s="75">
        <v>3554</v>
      </c>
      <c r="C3557">
        <v>146.02431300000001</v>
      </c>
      <c r="D3557">
        <v>-17.48273038</v>
      </c>
      <c r="F3557" s="75" t="str">
        <f>HYPERLINK("E:\Data From Lucan\2024\Johnstone\Frames_for_Analysis\3554_20240610_0005_L_0999.jpg","3554_20240610_0005_L_0999.jpg")</f>
        <v>3554_20240610_0005_L_0999.jpg</v>
      </c>
      <c r="I3557">
        <f t="shared" si="55"/>
        <v>0</v>
      </c>
      <c r="J3557" s="75">
        <v>0</v>
      </c>
      <c r="O3557" s="75">
        <v>1</v>
      </c>
      <c r="P3557" s="75">
        <v>0</v>
      </c>
      <c r="Q3557" s="75">
        <v>0</v>
      </c>
      <c r="R3557" s="75">
        <v>0</v>
      </c>
      <c r="S3557" s="75">
        <v>0</v>
      </c>
      <c r="T3557" s="75">
        <v>0</v>
      </c>
      <c r="U3557" s="75">
        <v>0</v>
      </c>
      <c r="V3557" s="75">
        <v>0</v>
      </c>
      <c r="W3557" s="78">
        <v>0</v>
      </c>
    </row>
    <row r="3558" spans="1:23" s="75" customFormat="1" hidden="1" x14ac:dyDescent="0.35">
      <c r="A3558" s="75">
        <v>3554</v>
      </c>
      <c r="B3558" s="75">
        <v>3555</v>
      </c>
      <c r="C3558">
        <v>146.02440000000001</v>
      </c>
      <c r="D3558">
        <v>-17.482693919999999</v>
      </c>
      <c r="F3558" s="75" t="str">
        <f>HYPERLINK("E:\Data From Lucan\2024\Johnstone\Frames_for_Analysis\3555_20240610_0005_L_1002.jpg","3555_20240610_0005_L_1002.jpg")</f>
        <v>3555_20240610_0005_L_1002.jpg</v>
      </c>
      <c r="I3558">
        <f t="shared" si="55"/>
        <v>0</v>
      </c>
      <c r="J3558" s="75">
        <v>0</v>
      </c>
      <c r="O3558" s="75">
        <v>1</v>
      </c>
      <c r="P3558" s="75">
        <v>0</v>
      </c>
      <c r="Q3558" s="75">
        <v>0</v>
      </c>
      <c r="R3558" s="75">
        <v>0</v>
      </c>
      <c r="S3558" s="75">
        <v>0</v>
      </c>
      <c r="T3558" s="75">
        <v>0</v>
      </c>
      <c r="U3558" s="75">
        <v>0</v>
      </c>
      <c r="V3558" s="75">
        <v>0</v>
      </c>
      <c r="W3558" s="78">
        <v>0</v>
      </c>
    </row>
    <row r="3559" spans="1:23" s="75" customFormat="1" hidden="1" x14ac:dyDescent="0.35">
      <c r="A3559" s="75">
        <v>3555</v>
      </c>
      <c r="B3559" s="75">
        <v>3556</v>
      </c>
      <c r="C3559">
        <v>146.0244869</v>
      </c>
      <c r="D3559">
        <v>-17.482657450000001</v>
      </c>
      <c r="F3559" s="75" t="str">
        <f>HYPERLINK("E:\Data From Lucan\2024\Johnstone\Frames_for_Analysis\3556_20240610_0005_L_1004.jpg","3556_20240610_0005_L_1004.jpg")</f>
        <v>3556_20240610_0005_L_1004.jpg</v>
      </c>
      <c r="I3559">
        <f t="shared" si="55"/>
        <v>0</v>
      </c>
      <c r="J3559" s="75">
        <v>0</v>
      </c>
      <c r="O3559" s="75">
        <v>1</v>
      </c>
      <c r="P3559" s="75">
        <v>0</v>
      </c>
      <c r="Q3559" s="75">
        <v>0</v>
      </c>
      <c r="R3559" s="75">
        <v>0</v>
      </c>
      <c r="S3559" s="75">
        <v>0</v>
      </c>
      <c r="T3559" s="75">
        <v>0</v>
      </c>
      <c r="U3559" s="75">
        <v>0</v>
      </c>
      <c r="V3559" s="75">
        <v>0</v>
      </c>
      <c r="W3559" s="78">
        <v>0</v>
      </c>
    </row>
    <row r="3560" spans="1:23" s="75" customFormat="1" hidden="1" x14ac:dyDescent="0.35">
      <c r="A3560" s="75">
        <v>3556</v>
      </c>
      <c r="B3560" s="75">
        <v>3557</v>
      </c>
      <c r="C3560">
        <v>146.0245778</v>
      </c>
      <c r="D3560">
        <v>-17.482632469999999</v>
      </c>
      <c r="F3560" s="75" t="str">
        <f>HYPERLINK("E:\Data From Lucan\2024\Johnstone\Frames_for_Analysis\3557_20240610_0005_L_1006.jpg","3557_20240610_0005_L_1006.jpg")</f>
        <v>3557_20240610_0005_L_1006.jpg</v>
      </c>
      <c r="I3560">
        <f t="shared" si="55"/>
        <v>0</v>
      </c>
      <c r="J3560" s="75">
        <v>0</v>
      </c>
      <c r="O3560" s="75">
        <v>1</v>
      </c>
      <c r="P3560" s="75">
        <v>0</v>
      </c>
      <c r="Q3560" s="75">
        <v>0</v>
      </c>
      <c r="R3560" s="75">
        <v>0</v>
      </c>
      <c r="S3560" s="75">
        <v>0</v>
      </c>
      <c r="T3560" s="75">
        <v>0</v>
      </c>
      <c r="U3560" s="75">
        <v>0</v>
      </c>
      <c r="V3560" s="75">
        <v>0</v>
      </c>
      <c r="W3560" s="78">
        <v>0</v>
      </c>
    </row>
    <row r="3561" spans="1:23" s="75" customFormat="1" hidden="1" x14ac:dyDescent="0.35">
      <c r="A3561" s="75">
        <v>3557</v>
      </c>
      <c r="B3561" s="75">
        <v>3558</v>
      </c>
      <c r="C3561">
        <v>146.0246688</v>
      </c>
      <c r="D3561">
        <v>-17.482607699999999</v>
      </c>
      <c r="F3561" s="75" t="str">
        <f>HYPERLINK("E:\Data From Lucan\2024\Johnstone\Frames_for_Analysis\3558_20240610_0005_L_1009.jpg","3558_20240610_0005_L_1009.jpg")</f>
        <v>3558_20240610_0005_L_1009.jpg</v>
      </c>
      <c r="I3561">
        <f t="shared" si="55"/>
        <v>0</v>
      </c>
      <c r="J3561" s="75">
        <v>0</v>
      </c>
      <c r="O3561" s="75">
        <v>1</v>
      </c>
      <c r="P3561" s="75">
        <v>0</v>
      </c>
      <c r="Q3561" s="75">
        <v>0</v>
      </c>
      <c r="R3561" s="75">
        <v>0</v>
      </c>
      <c r="S3561" s="75">
        <v>0</v>
      </c>
      <c r="T3561" s="75">
        <v>0</v>
      </c>
      <c r="U3561" s="75">
        <v>0</v>
      </c>
      <c r="V3561" s="75">
        <v>0</v>
      </c>
      <c r="W3561" s="78">
        <v>0</v>
      </c>
    </row>
    <row r="3562" spans="1:23" s="75" customFormat="1" hidden="1" x14ac:dyDescent="0.35">
      <c r="A3562" s="75">
        <v>3558</v>
      </c>
      <c r="B3562" s="75">
        <v>3559</v>
      </c>
      <c r="C3562">
        <v>146.0247598</v>
      </c>
      <c r="D3562">
        <v>-17.48258294</v>
      </c>
      <c r="F3562" s="75" t="str">
        <f>HYPERLINK("E:\Data From Lucan\2024\Johnstone\Frames_for_Analysis\3559_20240610_0005_L_1012.jpg","3559_20240610_0005_L_1012.jpg")</f>
        <v>3559_20240610_0005_L_1012.jpg</v>
      </c>
      <c r="I3562">
        <f t="shared" si="55"/>
        <v>0</v>
      </c>
      <c r="J3562" s="75">
        <v>0</v>
      </c>
      <c r="O3562" s="75">
        <v>1</v>
      </c>
      <c r="P3562" s="75">
        <v>0</v>
      </c>
      <c r="Q3562" s="75">
        <v>0</v>
      </c>
      <c r="R3562" s="75">
        <v>0</v>
      </c>
      <c r="S3562" s="75">
        <v>0</v>
      </c>
      <c r="T3562" s="75">
        <v>0</v>
      </c>
      <c r="U3562" s="75">
        <v>0</v>
      </c>
      <c r="V3562" s="75">
        <v>0</v>
      </c>
      <c r="W3562" s="78">
        <v>0</v>
      </c>
    </row>
    <row r="3563" spans="1:23" s="75" customFormat="1" hidden="1" x14ac:dyDescent="0.35">
      <c r="A3563" s="75">
        <v>3559</v>
      </c>
      <c r="B3563" s="75">
        <v>3560</v>
      </c>
      <c r="C3563">
        <v>146.0248508</v>
      </c>
      <c r="D3563">
        <v>-17.482558170000001</v>
      </c>
      <c r="F3563" s="75" t="str">
        <f>HYPERLINK("E:\Data From Lucan\2024\Johnstone\Frames_for_Analysis\3560_20240610_0005_L_1014.jpg","3560_20240610_0005_L_1014.jpg")</f>
        <v>3560_20240610_0005_L_1014.jpg</v>
      </c>
      <c r="I3563">
        <f t="shared" si="55"/>
        <v>0</v>
      </c>
      <c r="J3563" s="75">
        <v>0</v>
      </c>
      <c r="O3563" s="75">
        <v>1</v>
      </c>
      <c r="P3563" s="75">
        <v>0</v>
      </c>
      <c r="Q3563" s="75">
        <v>0</v>
      </c>
      <c r="R3563" s="75">
        <v>0</v>
      </c>
      <c r="S3563" s="75">
        <v>0</v>
      </c>
      <c r="T3563" s="75">
        <v>0</v>
      </c>
      <c r="U3563" s="75">
        <v>0</v>
      </c>
      <c r="V3563" s="75">
        <v>0</v>
      </c>
      <c r="W3563" s="78">
        <v>0</v>
      </c>
    </row>
    <row r="3564" spans="1:23" s="75" customFormat="1" hidden="1" x14ac:dyDescent="0.35">
      <c r="A3564" s="75">
        <v>3560</v>
      </c>
      <c r="B3564" s="75">
        <v>3561</v>
      </c>
      <c r="C3564">
        <v>146.02494179999999</v>
      </c>
      <c r="D3564">
        <v>-17.482533400000001</v>
      </c>
      <c r="F3564" s="75" t="str">
        <f>HYPERLINK("E:\Data From Lucan\2024\Johnstone\Frames_for_Analysis\3561_20240610_0005_L_1017.jpg","3561_20240610_0005_L_1017.jpg")</f>
        <v>3561_20240610_0005_L_1017.jpg</v>
      </c>
      <c r="I3564">
        <f t="shared" si="55"/>
        <v>0</v>
      </c>
      <c r="J3564" s="75">
        <v>0</v>
      </c>
      <c r="O3564" s="75">
        <v>1</v>
      </c>
      <c r="P3564" s="75">
        <v>0</v>
      </c>
      <c r="Q3564" s="75">
        <v>0</v>
      </c>
      <c r="R3564" s="75">
        <v>0</v>
      </c>
      <c r="S3564" s="75">
        <v>0</v>
      </c>
      <c r="T3564" s="75">
        <v>0</v>
      </c>
      <c r="U3564" s="75">
        <v>0</v>
      </c>
      <c r="V3564" s="75">
        <v>0</v>
      </c>
      <c r="W3564" s="78">
        <v>0</v>
      </c>
    </row>
    <row r="3565" spans="1:23" s="75" customFormat="1" hidden="1" x14ac:dyDescent="0.35">
      <c r="A3565" s="75">
        <v>3561</v>
      </c>
      <c r="B3565" s="75">
        <v>3562</v>
      </c>
      <c r="C3565">
        <v>146.02503279999999</v>
      </c>
      <c r="D3565">
        <v>-17.482508639999999</v>
      </c>
      <c r="F3565" s="75" t="str">
        <f>HYPERLINK("E:\Data From Lucan\2024\Johnstone\Frames_for_Analysis\3562_20240610_0005_L_1019.jpg","3562_20240610_0005_L_1019.jpg")</f>
        <v>3562_20240610_0005_L_1019.jpg</v>
      </c>
      <c r="I3565">
        <f t="shared" si="55"/>
        <v>0</v>
      </c>
      <c r="J3565" s="75">
        <v>0</v>
      </c>
      <c r="O3565" s="75">
        <v>1</v>
      </c>
      <c r="P3565" s="75">
        <v>0</v>
      </c>
      <c r="Q3565" s="75">
        <v>0</v>
      </c>
      <c r="R3565" s="75">
        <v>0</v>
      </c>
      <c r="S3565" s="75">
        <v>0</v>
      </c>
      <c r="T3565" s="75">
        <v>0</v>
      </c>
      <c r="U3565" s="75">
        <v>0</v>
      </c>
      <c r="V3565" s="75">
        <v>0</v>
      </c>
      <c r="W3565" s="78">
        <v>0</v>
      </c>
    </row>
    <row r="3566" spans="1:23" s="75" customFormat="1" hidden="1" x14ac:dyDescent="0.35">
      <c r="A3566" s="75">
        <v>3562</v>
      </c>
      <c r="B3566" s="75">
        <v>3563</v>
      </c>
      <c r="C3566">
        <v>146.02512379999999</v>
      </c>
      <c r="D3566">
        <v>-17.482483869999999</v>
      </c>
      <c r="F3566" s="75" t="str">
        <f>HYPERLINK("E:\Data From Lucan\2024\Johnstone\Frames_for_Analysis\3563_20240610_0005_L_1022.jpg","3563_20240610_0005_L_1022.jpg")</f>
        <v>3563_20240610_0005_L_1022.jpg</v>
      </c>
      <c r="I3566">
        <f t="shared" si="55"/>
        <v>0</v>
      </c>
      <c r="J3566" s="75">
        <v>0</v>
      </c>
      <c r="O3566" s="75">
        <v>1</v>
      </c>
      <c r="P3566" s="75">
        <v>0</v>
      </c>
      <c r="Q3566" s="75">
        <v>0</v>
      </c>
      <c r="R3566" s="75">
        <v>0</v>
      </c>
      <c r="S3566" s="75">
        <v>0</v>
      </c>
      <c r="T3566" s="75">
        <v>0</v>
      </c>
      <c r="U3566" s="75">
        <v>0</v>
      </c>
      <c r="V3566" s="75">
        <v>0</v>
      </c>
      <c r="W3566" s="78">
        <v>0</v>
      </c>
    </row>
    <row r="3567" spans="1:23" s="75" customFormat="1" hidden="1" x14ac:dyDescent="0.35">
      <c r="A3567" s="75">
        <v>3563</v>
      </c>
      <c r="B3567" s="75">
        <v>3564</v>
      </c>
      <c r="C3567">
        <v>146.02521479999999</v>
      </c>
      <c r="D3567">
        <v>-17.4824591</v>
      </c>
      <c r="F3567" s="75" t="str">
        <f>HYPERLINK("E:\Data From Lucan\2024\Johnstone\Frames_for_Analysis\3564_20240610_0005_L_1024.jpg","3564_20240610_0005_L_1024.jpg")</f>
        <v>3564_20240610_0005_L_1024.jpg</v>
      </c>
      <c r="I3567">
        <f t="shared" si="55"/>
        <v>0</v>
      </c>
      <c r="J3567" s="75">
        <v>0</v>
      </c>
      <c r="O3567" s="75">
        <v>1</v>
      </c>
      <c r="P3567" s="75">
        <v>0</v>
      </c>
      <c r="Q3567" s="75">
        <v>0</v>
      </c>
      <c r="R3567" s="75">
        <v>0</v>
      </c>
      <c r="S3567" s="75">
        <v>0</v>
      </c>
      <c r="T3567" s="75">
        <v>0</v>
      </c>
      <c r="U3567" s="75">
        <v>0</v>
      </c>
      <c r="V3567" s="75">
        <v>0</v>
      </c>
      <c r="W3567" s="78">
        <v>0</v>
      </c>
    </row>
    <row r="3568" spans="1:23" s="75" customFormat="1" hidden="1" x14ac:dyDescent="0.35">
      <c r="A3568" s="75">
        <v>3564</v>
      </c>
      <c r="B3568" s="75">
        <v>3565</v>
      </c>
      <c r="C3568">
        <v>146.02530580000001</v>
      </c>
      <c r="D3568">
        <v>-17.482434340000001</v>
      </c>
      <c r="F3568" s="75" t="str">
        <f>HYPERLINK("E:\Data From Lucan\2024\Johnstone\Frames_for_Analysis\3565_20240610_0005_L_1027.jpg","3565_20240610_0005_L_1027.jpg")</f>
        <v>3565_20240610_0005_L_1027.jpg</v>
      </c>
      <c r="I3568">
        <f t="shared" si="55"/>
        <v>0</v>
      </c>
      <c r="J3568" s="75">
        <v>0</v>
      </c>
      <c r="O3568" s="75">
        <v>1</v>
      </c>
      <c r="P3568" s="75">
        <v>0</v>
      </c>
      <c r="Q3568" s="75">
        <v>0</v>
      </c>
      <c r="R3568" s="75">
        <v>0</v>
      </c>
      <c r="S3568" s="75">
        <v>0</v>
      </c>
      <c r="T3568" s="75">
        <v>0</v>
      </c>
      <c r="U3568" s="75">
        <v>0</v>
      </c>
      <c r="V3568" s="75">
        <v>0</v>
      </c>
      <c r="W3568" s="78">
        <v>0</v>
      </c>
    </row>
    <row r="3569" spans="1:23" s="75" customFormat="1" hidden="1" x14ac:dyDescent="0.35">
      <c r="A3569" s="75">
        <v>3565</v>
      </c>
      <c r="B3569" s="75">
        <v>3566</v>
      </c>
      <c r="C3569">
        <v>146.02539680000001</v>
      </c>
      <c r="D3569">
        <v>-17.482409570000002</v>
      </c>
      <c r="F3569" s="75" t="str">
        <f>HYPERLINK("E:\Data From Lucan\2024\Johnstone\Frames_for_Analysis\3566_20240610_0005_L_1030.jpg","3566_20240610_0005_L_1030.jpg")</f>
        <v>3566_20240610_0005_L_1030.jpg</v>
      </c>
      <c r="I3569">
        <f t="shared" si="55"/>
        <v>0</v>
      </c>
      <c r="J3569" s="75">
        <v>0</v>
      </c>
      <c r="O3569" s="75">
        <v>1</v>
      </c>
      <c r="P3569" s="75">
        <v>0</v>
      </c>
      <c r="Q3569" s="75">
        <v>0</v>
      </c>
      <c r="R3569" s="75">
        <v>0</v>
      </c>
      <c r="S3569" s="75">
        <v>0</v>
      </c>
      <c r="T3569" s="75">
        <v>0</v>
      </c>
      <c r="U3569" s="75">
        <v>0</v>
      </c>
      <c r="V3569" s="75">
        <v>0</v>
      </c>
      <c r="W3569" s="78">
        <v>0</v>
      </c>
    </row>
    <row r="3570" spans="1:23" s="75" customFormat="1" hidden="1" x14ac:dyDescent="0.35">
      <c r="A3570" s="75">
        <v>3566</v>
      </c>
      <c r="B3570" s="75">
        <v>3567</v>
      </c>
      <c r="C3570">
        <v>146.02548849999999</v>
      </c>
      <c r="D3570">
        <v>-17.482387589999998</v>
      </c>
      <c r="F3570" s="75" t="str">
        <f>HYPERLINK("E:\Data From Lucan\2024\Johnstone\Frames_for_Analysis\3567_20240610_0005_L_1032.jpg","3567_20240610_0005_L_1032.jpg")</f>
        <v>3567_20240610_0005_L_1032.jpg</v>
      </c>
      <c r="I3570">
        <f t="shared" si="55"/>
        <v>0</v>
      </c>
      <c r="J3570" s="75">
        <v>0</v>
      </c>
      <c r="O3570" s="75">
        <v>1</v>
      </c>
      <c r="P3570" s="75">
        <v>0</v>
      </c>
      <c r="Q3570" s="75">
        <v>0</v>
      </c>
      <c r="R3570" s="75">
        <v>0</v>
      </c>
      <c r="S3570" s="75">
        <v>0</v>
      </c>
      <c r="T3570" s="75">
        <v>0</v>
      </c>
      <c r="U3570" s="75">
        <v>0</v>
      </c>
      <c r="V3570" s="75">
        <v>0</v>
      </c>
      <c r="W3570" s="78">
        <v>0</v>
      </c>
    </row>
    <row r="3571" spans="1:23" s="75" customFormat="1" hidden="1" x14ac:dyDescent="0.35">
      <c r="A3571" s="75">
        <v>3567</v>
      </c>
      <c r="B3571" s="75">
        <v>3568</v>
      </c>
      <c r="C3571">
        <v>146.0255803</v>
      </c>
      <c r="D3571">
        <v>-17.482366259999999</v>
      </c>
      <c r="F3571" s="75" t="str">
        <f>HYPERLINK("E:\Data From Lucan\2024\Johnstone\Frames_for_Analysis\3568_20240610_0005_L_1035.jpg","3568_20240610_0005_L_1035.jpg")</f>
        <v>3568_20240610_0005_L_1035.jpg</v>
      </c>
      <c r="I3571">
        <f t="shared" si="55"/>
        <v>0</v>
      </c>
      <c r="J3571" s="75">
        <v>0</v>
      </c>
      <c r="O3571" s="75">
        <v>1</v>
      </c>
      <c r="P3571" s="75">
        <v>0</v>
      </c>
      <c r="Q3571" s="75">
        <v>0</v>
      </c>
      <c r="R3571" s="75">
        <v>0</v>
      </c>
      <c r="S3571" s="75">
        <v>0</v>
      </c>
      <c r="T3571" s="75">
        <v>0</v>
      </c>
      <c r="U3571" s="75">
        <v>0</v>
      </c>
      <c r="V3571" s="75">
        <v>0</v>
      </c>
      <c r="W3571" s="78">
        <v>0</v>
      </c>
    </row>
    <row r="3572" spans="1:23" s="75" customFormat="1" hidden="1" x14ac:dyDescent="0.35">
      <c r="A3572" s="75">
        <v>3568</v>
      </c>
      <c r="B3572" s="75">
        <v>3569</v>
      </c>
      <c r="C3572">
        <v>146.0256722</v>
      </c>
      <c r="D3572">
        <v>-17.482344919999999</v>
      </c>
      <c r="F3572" s="75" t="str">
        <f>HYPERLINK("E:\Data From Lucan\2024\Johnstone\Frames_for_Analysis\3569_20240610_0005_L_1038.jpg","3569_20240610_0005_L_1038.jpg")</f>
        <v>3569_20240610_0005_L_1038.jpg</v>
      </c>
      <c r="I3572">
        <f t="shared" si="55"/>
        <v>0</v>
      </c>
      <c r="J3572" s="75">
        <v>0</v>
      </c>
      <c r="O3572" s="75">
        <v>1</v>
      </c>
      <c r="P3572" s="75">
        <v>0</v>
      </c>
      <c r="Q3572" s="75">
        <v>0</v>
      </c>
      <c r="R3572" s="75">
        <v>0</v>
      </c>
      <c r="S3572" s="75">
        <v>0</v>
      </c>
      <c r="T3572" s="75">
        <v>0</v>
      </c>
      <c r="U3572" s="75">
        <v>0</v>
      </c>
      <c r="V3572" s="75">
        <v>0</v>
      </c>
      <c r="W3572" s="78">
        <v>0</v>
      </c>
    </row>
    <row r="3573" spans="1:23" s="75" customFormat="1" hidden="1" x14ac:dyDescent="0.35">
      <c r="A3573" s="75">
        <v>3569</v>
      </c>
      <c r="B3573" s="75">
        <v>3570</v>
      </c>
      <c r="C3573">
        <v>146.02576400000001</v>
      </c>
      <c r="D3573">
        <v>-17.48232359</v>
      </c>
      <c r="F3573" s="75" t="str">
        <f>HYPERLINK("E:\Data From Lucan\2024\Johnstone\Frames_for_Analysis\3570_20240610_0005_L_1040.jpg","3570_20240610_0005_L_1040.jpg")</f>
        <v>3570_20240610_0005_L_1040.jpg</v>
      </c>
      <c r="I3573">
        <f t="shared" si="55"/>
        <v>0</v>
      </c>
      <c r="J3573" s="75">
        <v>0</v>
      </c>
      <c r="O3573" s="75">
        <v>1</v>
      </c>
      <c r="P3573" s="75">
        <v>0</v>
      </c>
      <c r="Q3573" s="75">
        <v>0</v>
      </c>
      <c r="R3573" s="75">
        <v>0</v>
      </c>
      <c r="S3573" s="75">
        <v>0</v>
      </c>
      <c r="T3573" s="75">
        <v>0</v>
      </c>
      <c r="U3573" s="75">
        <v>0</v>
      </c>
      <c r="V3573" s="75">
        <v>0</v>
      </c>
      <c r="W3573" s="78">
        <v>0</v>
      </c>
    </row>
    <row r="3574" spans="1:23" s="75" customFormat="1" hidden="1" x14ac:dyDescent="0.35">
      <c r="A3574" s="75">
        <v>3570</v>
      </c>
      <c r="B3574" s="75">
        <v>3571</v>
      </c>
      <c r="C3574">
        <v>146.02585590000001</v>
      </c>
      <c r="D3574">
        <v>-17.48230225</v>
      </c>
      <c r="F3574" s="75" t="str">
        <f>HYPERLINK("E:\Data From Lucan\2024\Johnstone\Frames_for_Analysis\3571_20240610_0005_L_1043.jpg","3571_20240610_0005_L_1043.jpg")</f>
        <v>3571_20240610_0005_L_1043.jpg</v>
      </c>
      <c r="I3574">
        <f t="shared" si="55"/>
        <v>0</v>
      </c>
      <c r="J3574" s="75">
        <v>0</v>
      </c>
      <c r="O3574" s="75">
        <v>1</v>
      </c>
      <c r="P3574" s="75">
        <v>0</v>
      </c>
      <c r="Q3574" s="75">
        <v>0</v>
      </c>
      <c r="R3574" s="75">
        <v>0</v>
      </c>
      <c r="S3574" s="75">
        <v>0</v>
      </c>
      <c r="T3574" s="75">
        <v>0</v>
      </c>
      <c r="U3574" s="75">
        <v>0</v>
      </c>
      <c r="V3574" s="75">
        <v>0</v>
      </c>
      <c r="W3574" s="78">
        <v>0</v>
      </c>
    </row>
    <row r="3575" spans="1:23" s="75" customFormat="1" hidden="1" x14ac:dyDescent="0.35">
      <c r="A3575" s="75">
        <v>3571</v>
      </c>
      <c r="B3575" s="75">
        <v>3572</v>
      </c>
      <c r="C3575">
        <v>146.02594780000001</v>
      </c>
      <c r="D3575">
        <v>-17.482280920000001</v>
      </c>
      <c r="F3575" s="75" t="str">
        <f>HYPERLINK("E:\Data From Lucan\2024\Johnstone\Frames_for_Analysis\3572_20240610_0005_L_1045.jpg","3572_20240610_0005_L_1045.jpg")</f>
        <v>3572_20240610_0005_L_1045.jpg</v>
      </c>
      <c r="I3575">
        <f t="shared" si="55"/>
        <v>0</v>
      </c>
      <c r="J3575" s="75">
        <v>0</v>
      </c>
      <c r="O3575" s="75">
        <v>1</v>
      </c>
      <c r="P3575" s="75">
        <v>0</v>
      </c>
      <c r="Q3575" s="75">
        <v>0</v>
      </c>
      <c r="R3575" s="75">
        <v>0</v>
      </c>
      <c r="S3575" s="75">
        <v>0</v>
      </c>
      <c r="T3575" s="75">
        <v>0</v>
      </c>
      <c r="U3575" s="75">
        <v>0</v>
      </c>
      <c r="V3575" s="75">
        <v>0</v>
      </c>
      <c r="W3575" s="78">
        <v>0</v>
      </c>
    </row>
    <row r="3576" spans="1:23" s="75" customFormat="1" hidden="1" x14ac:dyDescent="0.35">
      <c r="A3576" s="75">
        <v>3572</v>
      </c>
      <c r="B3576" s="75">
        <v>3573</v>
      </c>
      <c r="C3576">
        <v>146.02603959999999</v>
      </c>
      <c r="D3576">
        <v>-17.482259590000002</v>
      </c>
      <c r="F3576" s="75" t="str">
        <f>HYPERLINK("E:\Data From Lucan\2024\Johnstone\Frames_for_Analysis\3573_20240610_0005_L_1048.jpg","3573_20240610_0005_L_1048.jpg")</f>
        <v>3573_20240610_0005_L_1048.jpg</v>
      </c>
      <c r="I3576">
        <f t="shared" si="55"/>
        <v>0</v>
      </c>
      <c r="J3576" s="75">
        <v>0</v>
      </c>
      <c r="O3576" s="75">
        <v>1</v>
      </c>
      <c r="P3576" s="75">
        <v>0</v>
      </c>
      <c r="Q3576" s="75">
        <v>0</v>
      </c>
      <c r="R3576" s="75">
        <v>0</v>
      </c>
      <c r="S3576" s="75">
        <v>0</v>
      </c>
      <c r="T3576" s="75">
        <v>0</v>
      </c>
      <c r="U3576" s="75">
        <v>0</v>
      </c>
      <c r="V3576" s="75">
        <v>1</v>
      </c>
      <c r="W3576" s="78">
        <v>0</v>
      </c>
    </row>
    <row r="3577" spans="1:23" s="75" customFormat="1" hidden="1" x14ac:dyDescent="0.35">
      <c r="A3577" s="75">
        <v>3573</v>
      </c>
      <c r="B3577" s="75">
        <v>3574</v>
      </c>
      <c r="C3577">
        <v>146.02613149999999</v>
      </c>
      <c r="D3577">
        <v>-17.482238250000002</v>
      </c>
      <c r="F3577" s="75" t="str">
        <f>HYPERLINK("E:\Data From Lucan\2024\Johnstone\Frames_for_Analysis\3574_20240610_0005_L_1050.jpg","3574_20240610_0005_L_1050.jpg")</f>
        <v>3574_20240610_0005_L_1050.jpg</v>
      </c>
      <c r="I3577">
        <f t="shared" si="55"/>
        <v>0</v>
      </c>
      <c r="J3577" s="75">
        <v>0</v>
      </c>
      <c r="O3577" s="75">
        <v>1</v>
      </c>
      <c r="P3577" s="75">
        <v>0</v>
      </c>
      <c r="Q3577" s="75">
        <v>0</v>
      </c>
      <c r="R3577" s="75">
        <v>0</v>
      </c>
      <c r="S3577" s="75">
        <v>0</v>
      </c>
      <c r="T3577" s="75">
        <v>0</v>
      </c>
      <c r="U3577" s="75">
        <v>0</v>
      </c>
      <c r="V3577" s="75">
        <v>0</v>
      </c>
      <c r="W3577" s="78">
        <v>0</v>
      </c>
    </row>
    <row r="3578" spans="1:23" s="75" customFormat="1" hidden="1" x14ac:dyDescent="0.35">
      <c r="A3578" s="75">
        <v>3574</v>
      </c>
      <c r="B3578" s="75">
        <v>3575</v>
      </c>
      <c r="C3578">
        <v>146.0262233</v>
      </c>
      <c r="D3578">
        <v>-17.482216919999999</v>
      </c>
      <c r="F3578" s="75" t="str">
        <f>HYPERLINK("E:\Data From Lucan\2024\Johnstone\Frames_for_Analysis\3575_20240610_0005_L_1053.jpg","3575_20240610_0005_L_1053.jpg")</f>
        <v>3575_20240610_0005_L_1053.jpg</v>
      </c>
      <c r="I3578">
        <f t="shared" si="55"/>
        <v>0</v>
      </c>
      <c r="J3578" s="75">
        <v>0</v>
      </c>
      <c r="O3578" s="75">
        <v>1</v>
      </c>
      <c r="P3578" s="75">
        <v>0</v>
      </c>
      <c r="Q3578" s="75">
        <v>0</v>
      </c>
      <c r="R3578" s="75">
        <v>0</v>
      </c>
      <c r="S3578" s="75">
        <v>0</v>
      </c>
      <c r="T3578" s="75">
        <v>0</v>
      </c>
      <c r="U3578" s="75">
        <v>0</v>
      </c>
      <c r="V3578" s="75">
        <v>0</v>
      </c>
      <c r="W3578" s="78">
        <v>0</v>
      </c>
    </row>
    <row r="3579" spans="1:23" s="75" customFormat="1" hidden="1" x14ac:dyDescent="0.35">
      <c r="A3579" s="75">
        <v>3575</v>
      </c>
      <c r="B3579" s="75">
        <v>3576</v>
      </c>
      <c r="C3579">
        <v>146.0263152</v>
      </c>
      <c r="D3579">
        <v>-17.482195579999999</v>
      </c>
      <c r="F3579" s="75" t="str">
        <f>HYPERLINK("E:\Data From Lucan\2024\Johnstone\Frames_for_Analysis\3576_20240610_0005_L_1055.jpg","3576_20240610_0005_L_1055.jpg")</f>
        <v>3576_20240610_0005_L_1055.jpg</v>
      </c>
      <c r="I3579">
        <f t="shared" si="55"/>
        <v>0</v>
      </c>
      <c r="J3579" s="75">
        <v>0</v>
      </c>
      <c r="O3579" s="75">
        <v>1</v>
      </c>
      <c r="P3579" s="75">
        <v>0</v>
      </c>
      <c r="Q3579" s="75">
        <v>0</v>
      </c>
      <c r="R3579" s="75">
        <v>0</v>
      </c>
      <c r="S3579" s="75">
        <v>0</v>
      </c>
      <c r="T3579" s="75">
        <v>0</v>
      </c>
      <c r="U3579" s="75">
        <v>0</v>
      </c>
      <c r="V3579" s="75">
        <v>1</v>
      </c>
      <c r="W3579" s="78">
        <v>0</v>
      </c>
    </row>
    <row r="3580" spans="1:23" s="75" customFormat="1" hidden="1" x14ac:dyDescent="0.35">
      <c r="A3580" s="75">
        <v>3576</v>
      </c>
      <c r="B3580" s="75">
        <v>3577</v>
      </c>
      <c r="C3580">
        <v>146.0264071</v>
      </c>
      <c r="D3580">
        <v>-17.48217425</v>
      </c>
      <c r="F3580" s="75" t="str">
        <f>HYPERLINK("E:\Data From Lucan\2024\Johnstone\Frames_for_Analysis\3577_20240610_0005_L_1057.jpg","3577_20240610_0005_L_1057.jpg")</f>
        <v>3577_20240610_0005_L_1057.jpg</v>
      </c>
      <c r="I3580">
        <f t="shared" si="55"/>
        <v>0</v>
      </c>
      <c r="J3580" s="75">
        <v>0</v>
      </c>
      <c r="O3580" s="75">
        <v>1</v>
      </c>
      <c r="P3580" s="75">
        <v>0</v>
      </c>
      <c r="Q3580" s="75">
        <v>0</v>
      </c>
      <c r="R3580" s="75">
        <v>0</v>
      </c>
      <c r="S3580" s="75">
        <v>0</v>
      </c>
      <c r="T3580" s="75">
        <v>0</v>
      </c>
      <c r="U3580" s="75">
        <v>0</v>
      </c>
      <c r="V3580" s="75">
        <v>0</v>
      </c>
      <c r="W3580" s="78">
        <v>0</v>
      </c>
    </row>
    <row r="3581" spans="1:23" s="75" customFormat="1" hidden="1" x14ac:dyDescent="0.35">
      <c r="A3581" s="75">
        <v>3577</v>
      </c>
      <c r="B3581" s="75">
        <v>3578</v>
      </c>
      <c r="C3581">
        <v>146.026499</v>
      </c>
      <c r="D3581">
        <v>-17.4821533</v>
      </c>
      <c r="F3581" s="75" t="str">
        <f>HYPERLINK("E:\Data From Lucan\2024\Johnstone\Frames_for_Analysis\3578_20240610_0005_L_1059.jpg","3578_20240610_0005_L_1059.jpg")</f>
        <v>3578_20240610_0005_L_1059.jpg</v>
      </c>
      <c r="I3581">
        <f t="shared" si="55"/>
        <v>0</v>
      </c>
      <c r="J3581" s="75">
        <v>0</v>
      </c>
      <c r="O3581" s="75">
        <v>1</v>
      </c>
      <c r="P3581" s="75">
        <v>0</v>
      </c>
      <c r="Q3581" s="75">
        <v>0</v>
      </c>
      <c r="R3581" s="75">
        <v>0</v>
      </c>
      <c r="S3581" s="75">
        <v>0</v>
      </c>
      <c r="T3581" s="75">
        <v>0</v>
      </c>
      <c r="U3581" s="75">
        <v>0</v>
      </c>
      <c r="V3581" s="75">
        <v>0</v>
      </c>
      <c r="W3581" s="78">
        <v>0</v>
      </c>
    </row>
    <row r="3582" spans="1:23" s="75" customFormat="1" hidden="1" x14ac:dyDescent="0.35">
      <c r="A3582" s="75">
        <v>3578</v>
      </c>
      <c r="B3582" s="75">
        <v>3579</v>
      </c>
      <c r="C3582">
        <v>146.02659249999999</v>
      </c>
      <c r="D3582">
        <v>-17.48214145</v>
      </c>
      <c r="F3582" s="75" t="str">
        <f>HYPERLINK("E:\Data From Lucan\2024\Johnstone\Frames_for_Analysis\3579_20240610_0005_L_1062.jpg","3579_20240610_0005_L_1062.jpg")</f>
        <v>3579_20240610_0005_L_1062.jpg</v>
      </c>
      <c r="I3582">
        <f t="shared" si="55"/>
        <v>0</v>
      </c>
      <c r="J3582" s="75">
        <v>0</v>
      </c>
      <c r="O3582" s="75">
        <v>1</v>
      </c>
      <c r="P3582" s="75">
        <v>0</v>
      </c>
      <c r="Q3582" s="75">
        <v>0</v>
      </c>
      <c r="R3582" s="75">
        <v>0</v>
      </c>
      <c r="S3582" s="75">
        <v>0</v>
      </c>
      <c r="T3582" s="75">
        <v>0</v>
      </c>
      <c r="U3582" s="75">
        <v>0</v>
      </c>
      <c r="V3582" s="75">
        <v>0</v>
      </c>
      <c r="W3582" s="78">
        <v>0</v>
      </c>
    </row>
    <row r="3583" spans="1:23" s="75" customFormat="1" hidden="1" x14ac:dyDescent="0.35">
      <c r="A3583" s="75">
        <v>3579</v>
      </c>
      <c r="B3583" s="75">
        <v>3580</v>
      </c>
      <c r="C3583">
        <v>146.02668610000001</v>
      </c>
      <c r="D3583">
        <v>-17.48212959</v>
      </c>
      <c r="F3583" s="75" t="str">
        <f>HYPERLINK("E:\Data From Lucan\2024\Johnstone\Frames_for_Analysis\3580_20240610_0005_L_1064.jpg","3580_20240610_0005_L_1064.jpg")</f>
        <v>3580_20240610_0005_L_1064.jpg</v>
      </c>
      <c r="I3583">
        <f t="shared" si="55"/>
        <v>0</v>
      </c>
      <c r="J3583" s="75">
        <v>0</v>
      </c>
      <c r="O3583" s="75">
        <v>1</v>
      </c>
      <c r="P3583" s="75">
        <v>0</v>
      </c>
      <c r="Q3583" s="75">
        <v>0</v>
      </c>
      <c r="R3583" s="75">
        <v>0</v>
      </c>
      <c r="S3583" s="75">
        <v>0</v>
      </c>
      <c r="T3583" s="75">
        <v>0</v>
      </c>
      <c r="U3583" s="75">
        <v>0</v>
      </c>
      <c r="V3583" s="75">
        <v>0</v>
      </c>
      <c r="W3583" s="78">
        <v>0</v>
      </c>
    </row>
    <row r="3584" spans="1:23" s="75" customFormat="1" hidden="1" x14ac:dyDescent="0.35">
      <c r="A3584" s="75">
        <v>3580</v>
      </c>
      <c r="B3584" s="75">
        <v>3581</v>
      </c>
      <c r="C3584">
        <v>146.02677969999999</v>
      </c>
      <c r="D3584">
        <v>-17.482117729999999</v>
      </c>
      <c r="F3584" s="75" t="str">
        <f>HYPERLINK("E:\Data From Lucan\2024\Johnstone\Frames_for_Analysis\3581_20240610_0005_L_1066.jpg","3581_20240610_0005_L_1066.jpg")</f>
        <v>3581_20240610_0005_L_1066.jpg</v>
      </c>
      <c r="I3584">
        <f t="shared" si="55"/>
        <v>0</v>
      </c>
      <c r="J3584" s="75">
        <v>0</v>
      </c>
      <c r="O3584" s="75">
        <v>1</v>
      </c>
      <c r="P3584" s="75">
        <v>0</v>
      </c>
      <c r="Q3584" s="75">
        <v>0</v>
      </c>
      <c r="R3584" s="75">
        <v>0</v>
      </c>
      <c r="S3584" s="75">
        <v>0</v>
      </c>
      <c r="T3584" s="75">
        <v>0</v>
      </c>
      <c r="U3584" s="75">
        <v>0</v>
      </c>
      <c r="V3584" s="75">
        <v>0</v>
      </c>
      <c r="W3584" s="78">
        <v>0</v>
      </c>
    </row>
    <row r="3585" spans="1:23" s="75" customFormat="1" hidden="1" x14ac:dyDescent="0.35">
      <c r="A3585" s="75">
        <v>3581</v>
      </c>
      <c r="B3585" s="75">
        <v>3582</v>
      </c>
      <c r="C3585">
        <v>146.02687320000001</v>
      </c>
      <c r="D3585">
        <v>-17.482105879999999</v>
      </c>
      <c r="F3585" s="75" t="str">
        <f>HYPERLINK("E:\Data From Lucan\2024\Johnstone\Frames_for_Analysis\3582_20240610_0005_L_1069.jpg","3582_20240610_0005_L_1069.jpg")</f>
        <v>3582_20240610_0005_L_1069.jpg</v>
      </c>
      <c r="I3585">
        <f t="shared" si="55"/>
        <v>0</v>
      </c>
      <c r="J3585" s="75">
        <v>0</v>
      </c>
      <c r="O3585" s="75">
        <v>1</v>
      </c>
      <c r="P3585" s="75">
        <v>0</v>
      </c>
      <c r="Q3585" s="75">
        <v>0</v>
      </c>
      <c r="R3585" s="75">
        <v>0</v>
      </c>
      <c r="S3585" s="75">
        <v>0</v>
      </c>
      <c r="T3585" s="75">
        <v>0</v>
      </c>
      <c r="U3585" s="75">
        <v>0</v>
      </c>
      <c r="V3585" s="75">
        <v>0</v>
      </c>
      <c r="W3585" s="78">
        <v>0</v>
      </c>
    </row>
    <row r="3586" spans="1:23" s="75" customFormat="1" hidden="1" x14ac:dyDescent="0.35">
      <c r="A3586" s="75">
        <v>3582</v>
      </c>
      <c r="B3586" s="75">
        <v>3583</v>
      </c>
      <c r="C3586">
        <v>146.0269668</v>
      </c>
      <c r="D3586">
        <v>-17.482094020000002</v>
      </c>
      <c r="F3586" s="75" t="str">
        <f>HYPERLINK("E:\Data From Lucan\2024\Johnstone\Frames_for_Analysis\3583_20240610_0005_L_1071.jpg","3583_20240610_0005_L_1071.jpg")</f>
        <v>3583_20240610_0005_L_1071.jpg</v>
      </c>
      <c r="I3586">
        <f t="shared" si="55"/>
        <v>0</v>
      </c>
      <c r="J3586" s="75">
        <v>0</v>
      </c>
      <c r="O3586" s="75">
        <v>1</v>
      </c>
      <c r="P3586" s="75">
        <v>0</v>
      </c>
      <c r="Q3586" s="75">
        <v>0</v>
      </c>
      <c r="R3586" s="75">
        <v>0</v>
      </c>
      <c r="S3586" s="75">
        <v>0</v>
      </c>
      <c r="T3586" s="75">
        <v>0</v>
      </c>
      <c r="U3586" s="75">
        <v>0</v>
      </c>
      <c r="V3586" s="75">
        <v>0</v>
      </c>
      <c r="W3586" s="78">
        <v>0</v>
      </c>
    </row>
    <row r="3587" spans="1:23" s="75" customFormat="1" hidden="1" x14ac:dyDescent="0.35">
      <c r="A3587" s="75">
        <v>3583</v>
      </c>
      <c r="B3587" s="75">
        <v>3584</v>
      </c>
      <c r="C3587">
        <v>146.02706029999999</v>
      </c>
      <c r="D3587">
        <v>-17.482082160000001</v>
      </c>
      <c r="F3587" s="75" t="str">
        <f>HYPERLINK("E:\Data From Lucan\2024\Johnstone\Frames_for_Analysis\3584_20240610_0005_L_1073.jpg","3584_20240610_0005_L_1073.jpg")</f>
        <v>3584_20240610_0005_L_1073.jpg</v>
      </c>
      <c r="I3587">
        <f t="shared" si="55"/>
        <v>0</v>
      </c>
      <c r="J3587" s="75">
        <v>0</v>
      </c>
      <c r="O3587" s="75">
        <v>1</v>
      </c>
      <c r="P3587" s="75">
        <v>0</v>
      </c>
      <c r="Q3587" s="75">
        <v>0</v>
      </c>
      <c r="R3587" s="75">
        <v>0</v>
      </c>
      <c r="S3587" s="75">
        <v>0</v>
      </c>
      <c r="T3587" s="75">
        <v>0</v>
      </c>
      <c r="U3587" s="75">
        <v>0</v>
      </c>
      <c r="V3587" s="75">
        <v>0</v>
      </c>
      <c r="W3587" s="78">
        <v>0</v>
      </c>
    </row>
    <row r="3588" spans="1:23" s="75" customFormat="1" hidden="1" x14ac:dyDescent="0.35">
      <c r="A3588" s="75">
        <v>3584</v>
      </c>
      <c r="B3588" s="75">
        <v>3585</v>
      </c>
      <c r="C3588">
        <v>146.02715430000001</v>
      </c>
      <c r="D3588">
        <v>-17.482074799999999</v>
      </c>
      <c r="F3588" s="75" t="str">
        <f>HYPERLINK("E:\Data From Lucan\2024\Johnstone\Frames_for_Analysis\3585_20240610_0005_L_1076.jpg","3585_20240610_0005_L_1076.jpg")</f>
        <v>3585_20240610_0005_L_1076.jpg</v>
      </c>
      <c r="I3588">
        <f t="shared" si="55"/>
        <v>0</v>
      </c>
      <c r="J3588" s="75">
        <v>0</v>
      </c>
      <c r="O3588" s="75">
        <v>1</v>
      </c>
      <c r="P3588" s="75">
        <v>0</v>
      </c>
      <c r="Q3588" s="75">
        <v>0</v>
      </c>
      <c r="R3588" s="75">
        <v>0</v>
      </c>
      <c r="S3588" s="75">
        <v>0</v>
      </c>
      <c r="T3588" s="75">
        <v>0</v>
      </c>
      <c r="U3588" s="75">
        <v>0</v>
      </c>
      <c r="V3588" s="75">
        <v>1</v>
      </c>
      <c r="W3588" s="78">
        <v>0</v>
      </c>
    </row>
    <row r="3589" spans="1:23" s="75" customFormat="1" hidden="1" x14ac:dyDescent="0.35">
      <c r="A3589" s="75">
        <v>3585</v>
      </c>
      <c r="B3589" s="75">
        <v>3586</v>
      </c>
      <c r="C3589">
        <v>146.02724839999999</v>
      </c>
      <c r="D3589">
        <v>-17.482067579999999</v>
      </c>
      <c r="F3589" s="75" t="str">
        <f>HYPERLINK("E:\Data From Lucan\2024\Johnstone\Frames_for_Analysis\3586_20240610_0005_L_1078.jpg","3586_20240610_0005_L_1078.jpg")</f>
        <v>3586_20240610_0005_L_1078.jpg</v>
      </c>
      <c r="I3589">
        <f t="shared" ref="I3589:I3652" si="56">IF(H3589="X","X",IF(J3589="NA","X",IF(J3589="","X",J3589)))</f>
        <v>0</v>
      </c>
      <c r="J3589" s="75">
        <v>0</v>
      </c>
      <c r="O3589" s="75">
        <v>1</v>
      </c>
      <c r="P3589" s="75">
        <v>0</v>
      </c>
      <c r="Q3589" s="75">
        <v>0</v>
      </c>
      <c r="R3589" s="75">
        <v>0</v>
      </c>
      <c r="S3589" s="75">
        <v>0</v>
      </c>
      <c r="T3589" s="75">
        <v>0</v>
      </c>
      <c r="U3589" s="75">
        <v>0</v>
      </c>
      <c r="V3589" s="75">
        <v>1</v>
      </c>
      <c r="W3589" s="78">
        <v>0</v>
      </c>
    </row>
    <row r="3590" spans="1:23" s="75" customFormat="1" hidden="1" x14ac:dyDescent="0.35">
      <c r="A3590" s="75">
        <v>3586</v>
      </c>
      <c r="B3590" s="75">
        <v>3587</v>
      </c>
      <c r="C3590">
        <v>146.02734240000001</v>
      </c>
      <c r="D3590">
        <v>-17.482060359999998</v>
      </c>
      <c r="F3590" s="75" t="str">
        <f>HYPERLINK("E:\Data From Lucan\2024\Johnstone\Frames_for_Analysis\3587_20240610_0005_L_1080.jpg","3587_20240610_0005_L_1080.jpg")</f>
        <v>3587_20240610_0005_L_1080.jpg</v>
      </c>
      <c r="I3590">
        <f t="shared" si="56"/>
        <v>0</v>
      </c>
      <c r="J3590" s="75">
        <v>0</v>
      </c>
      <c r="O3590" s="75">
        <v>1</v>
      </c>
      <c r="P3590" s="75">
        <v>0</v>
      </c>
      <c r="Q3590" s="75">
        <v>0</v>
      </c>
      <c r="R3590" s="75">
        <v>0</v>
      </c>
      <c r="S3590" s="75">
        <v>0</v>
      </c>
      <c r="T3590" s="75">
        <v>0</v>
      </c>
      <c r="U3590" s="75">
        <v>0</v>
      </c>
      <c r="V3590" s="75">
        <v>1</v>
      </c>
      <c r="W3590" s="78">
        <v>0</v>
      </c>
    </row>
    <row r="3591" spans="1:23" s="75" customFormat="1" hidden="1" x14ac:dyDescent="0.35">
      <c r="A3591" s="75">
        <v>3587</v>
      </c>
      <c r="B3591" s="75">
        <v>3588</v>
      </c>
      <c r="C3591">
        <v>146.0274364</v>
      </c>
      <c r="D3591">
        <v>-17.482053149999999</v>
      </c>
      <c r="F3591" s="75" t="str">
        <f>HYPERLINK("E:\Data From Lucan\2024\Johnstone\Frames_for_Analysis\3588_20240610_0005_L_1082.jpg","3588_20240610_0005_L_1082.jpg")</f>
        <v>3588_20240610_0005_L_1082.jpg</v>
      </c>
      <c r="I3591">
        <f t="shared" si="56"/>
        <v>0</v>
      </c>
      <c r="J3591" s="75">
        <v>0</v>
      </c>
      <c r="O3591" s="75">
        <v>1</v>
      </c>
      <c r="P3591" s="75">
        <v>0</v>
      </c>
      <c r="Q3591" s="75">
        <v>0</v>
      </c>
      <c r="R3591" s="75">
        <v>0</v>
      </c>
      <c r="S3591" s="75">
        <v>0</v>
      </c>
      <c r="T3591" s="75">
        <v>0</v>
      </c>
      <c r="U3591" s="75">
        <v>0</v>
      </c>
      <c r="V3591" s="75">
        <v>0</v>
      </c>
      <c r="W3591" s="78">
        <v>0</v>
      </c>
    </row>
    <row r="3592" spans="1:23" s="75" customFormat="1" hidden="1" x14ac:dyDescent="0.35">
      <c r="A3592" s="75">
        <v>3588</v>
      </c>
      <c r="B3592" s="75">
        <v>3589</v>
      </c>
      <c r="C3592">
        <v>146.02753039999999</v>
      </c>
      <c r="D3592">
        <v>-17.482045930000002</v>
      </c>
      <c r="F3592" s="75" t="str">
        <f>HYPERLINK("E:\Data From Lucan\2024\Johnstone\Frames_for_Analysis\3589_20240610_0005_L_1085.jpg","3589_20240610_0005_L_1085.jpg")</f>
        <v>3589_20240610_0005_L_1085.jpg</v>
      </c>
      <c r="I3592">
        <f t="shared" si="56"/>
        <v>0</v>
      </c>
      <c r="J3592" s="75">
        <v>0</v>
      </c>
      <c r="O3592" s="75">
        <v>1</v>
      </c>
      <c r="P3592" s="75">
        <v>0</v>
      </c>
      <c r="Q3592" s="75">
        <v>0</v>
      </c>
      <c r="R3592" s="75">
        <v>0</v>
      </c>
      <c r="S3592" s="75">
        <v>0</v>
      </c>
      <c r="T3592" s="75">
        <v>0</v>
      </c>
      <c r="U3592" s="75">
        <v>0</v>
      </c>
      <c r="V3592" s="75">
        <v>0</v>
      </c>
      <c r="W3592" s="78">
        <v>0</v>
      </c>
    </row>
    <row r="3593" spans="1:23" s="75" customFormat="1" hidden="1" x14ac:dyDescent="0.35">
      <c r="A3593" s="75">
        <v>3589</v>
      </c>
      <c r="B3593" s="75">
        <v>3590</v>
      </c>
      <c r="C3593">
        <v>146.02762430000001</v>
      </c>
      <c r="D3593">
        <v>-17.48204647</v>
      </c>
      <c r="F3593" s="75" t="str">
        <f>HYPERLINK("E:\Data From Lucan\2024\Johnstone\Frames_for_Analysis\3590_20240610_0005_L_1087.jpg","3590_20240610_0005_L_1087.jpg")</f>
        <v>3590_20240610_0005_L_1087.jpg</v>
      </c>
      <c r="I3593">
        <f t="shared" si="56"/>
        <v>0</v>
      </c>
      <c r="J3593" s="75">
        <v>0</v>
      </c>
      <c r="O3593" s="75">
        <v>1</v>
      </c>
      <c r="P3593" s="75">
        <v>0</v>
      </c>
      <c r="Q3593" s="75">
        <v>0</v>
      </c>
      <c r="R3593" s="75">
        <v>0</v>
      </c>
      <c r="S3593" s="75">
        <v>0</v>
      </c>
      <c r="T3593" s="75">
        <v>0</v>
      </c>
      <c r="U3593" s="75">
        <v>0</v>
      </c>
      <c r="V3593" s="75">
        <v>0</v>
      </c>
      <c r="W3593" s="78">
        <v>0</v>
      </c>
    </row>
    <row r="3594" spans="1:23" s="75" customFormat="1" hidden="1" x14ac:dyDescent="0.35">
      <c r="A3594" s="75">
        <v>3590</v>
      </c>
      <c r="B3594" s="75">
        <v>3591</v>
      </c>
      <c r="C3594">
        <v>146.0277178</v>
      </c>
      <c r="D3594">
        <v>-17.482058640000002</v>
      </c>
      <c r="F3594" s="75" t="str">
        <f>HYPERLINK("E:\Data From Lucan\2024\Johnstone\Frames_for_Analysis\3591_20240610_0005_L_1089.jpg","3591_20240610_0005_L_1089.jpg")</f>
        <v>3591_20240610_0005_L_1089.jpg</v>
      </c>
      <c r="I3594">
        <f t="shared" si="56"/>
        <v>0</v>
      </c>
      <c r="J3594" s="75">
        <v>0</v>
      </c>
      <c r="O3594" s="75">
        <v>1</v>
      </c>
      <c r="P3594" s="75">
        <v>0</v>
      </c>
      <c r="Q3594" s="75">
        <v>0</v>
      </c>
      <c r="R3594" s="75">
        <v>0</v>
      </c>
      <c r="S3594" s="75">
        <v>0</v>
      </c>
      <c r="T3594" s="75">
        <v>0</v>
      </c>
      <c r="U3594" s="75">
        <v>0</v>
      </c>
      <c r="V3594" s="75">
        <v>1</v>
      </c>
      <c r="W3594" s="78">
        <v>0</v>
      </c>
    </row>
    <row r="3595" spans="1:23" s="75" customFormat="1" hidden="1" x14ac:dyDescent="0.35">
      <c r="A3595" s="75">
        <v>3591</v>
      </c>
      <c r="B3595" s="75">
        <v>3592</v>
      </c>
      <c r="C3595">
        <v>146.0278113</v>
      </c>
      <c r="D3595">
        <v>-17.48207081</v>
      </c>
      <c r="F3595" s="75" t="str">
        <f>HYPERLINK("E:\Data From Lucan\2024\Johnstone\Frames_for_Analysis\3592_20240610_0005_L_1091.jpg","3592_20240610_0005_L_1091.jpg")</f>
        <v>3592_20240610_0005_L_1091.jpg</v>
      </c>
      <c r="I3595">
        <f t="shared" si="56"/>
        <v>0</v>
      </c>
      <c r="J3595" s="75">
        <v>0</v>
      </c>
      <c r="O3595" s="75">
        <v>1</v>
      </c>
      <c r="P3595" s="75">
        <v>0</v>
      </c>
      <c r="Q3595" s="75">
        <v>0</v>
      </c>
      <c r="R3595" s="75">
        <v>0</v>
      </c>
      <c r="S3595" s="75">
        <v>0</v>
      </c>
      <c r="T3595" s="75">
        <v>0</v>
      </c>
      <c r="U3595" s="75">
        <v>0</v>
      </c>
      <c r="V3595" s="75">
        <v>1</v>
      </c>
      <c r="W3595" s="78">
        <v>0</v>
      </c>
    </row>
    <row r="3596" spans="1:23" s="75" customFormat="1" hidden="1" x14ac:dyDescent="0.35">
      <c r="A3596" s="75">
        <v>3592</v>
      </c>
      <c r="B3596" s="75">
        <v>3593</v>
      </c>
      <c r="C3596">
        <v>146.02789999999999</v>
      </c>
      <c r="D3596">
        <v>-17.482100119999998</v>
      </c>
      <c r="F3596" s="75" t="str">
        <f>HYPERLINK("E:\Data From Lucan\2024\Johnstone\Frames_for_Analysis\3593_20240610_0005_L_1093.jpg","3593_20240610_0005_L_1093.jpg")</f>
        <v>3593_20240610_0005_L_1093.jpg</v>
      </c>
      <c r="I3596">
        <f t="shared" si="56"/>
        <v>0</v>
      </c>
      <c r="J3596" s="75">
        <v>0</v>
      </c>
      <c r="O3596" s="75">
        <v>2</v>
      </c>
      <c r="P3596" s="75">
        <v>1</v>
      </c>
      <c r="Q3596" s="75">
        <v>1</v>
      </c>
      <c r="R3596" s="75">
        <v>0</v>
      </c>
      <c r="S3596" s="75">
        <v>0</v>
      </c>
      <c r="T3596" s="75">
        <v>0</v>
      </c>
      <c r="U3596" s="75">
        <v>0</v>
      </c>
      <c r="V3596" s="75">
        <v>1</v>
      </c>
      <c r="W3596" s="78">
        <v>1</v>
      </c>
    </row>
    <row r="3597" spans="1:23" s="75" customFormat="1" hidden="1" x14ac:dyDescent="0.35">
      <c r="A3597" s="75">
        <v>3593</v>
      </c>
      <c r="B3597" s="75">
        <v>3594</v>
      </c>
      <c r="C3597">
        <v>146.02798630000001</v>
      </c>
      <c r="D3597">
        <v>-17.4821381</v>
      </c>
      <c r="F3597" s="75" t="str">
        <f>HYPERLINK("E:\Data From Lucan\2024\Johnstone\Frames_for_Analysis\3594_20240610_0005_L_1095.jpg","3594_20240610_0005_L_1095.jpg")</f>
        <v>3594_20240610_0005_L_1095.jpg</v>
      </c>
      <c r="I3597">
        <f t="shared" si="56"/>
        <v>0</v>
      </c>
      <c r="J3597" s="75">
        <v>0</v>
      </c>
      <c r="O3597" s="75">
        <v>1</v>
      </c>
      <c r="P3597" s="75">
        <v>0</v>
      </c>
      <c r="Q3597" s="75">
        <v>0</v>
      </c>
      <c r="R3597" s="75">
        <v>0</v>
      </c>
      <c r="S3597" s="75">
        <v>0</v>
      </c>
      <c r="T3597" s="75">
        <v>0</v>
      </c>
      <c r="U3597" s="75">
        <v>0</v>
      </c>
      <c r="V3597" s="75">
        <v>0</v>
      </c>
      <c r="W3597" s="78">
        <v>0</v>
      </c>
    </row>
    <row r="3598" spans="1:23" s="75" customFormat="1" hidden="1" x14ac:dyDescent="0.35">
      <c r="A3598" s="75">
        <v>3594</v>
      </c>
      <c r="B3598" s="75">
        <v>3595</v>
      </c>
      <c r="C3598">
        <v>146.0280727</v>
      </c>
      <c r="D3598">
        <v>-17.482176079999999</v>
      </c>
      <c r="F3598" s="75" t="str">
        <f>HYPERLINK("E:\Data From Lucan\2024\Johnstone\Frames_for_Analysis\3595_20240610_0005_L_1098.jpg","3595_20240610_0005_L_1098.jpg")</f>
        <v>3595_20240610_0005_L_1098.jpg</v>
      </c>
      <c r="I3598">
        <f t="shared" si="56"/>
        <v>0</v>
      </c>
      <c r="J3598" s="75">
        <v>0</v>
      </c>
      <c r="O3598" s="75">
        <v>1</v>
      </c>
      <c r="P3598" s="75">
        <v>0</v>
      </c>
      <c r="Q3598" s="75">
        <v>0</v>
      </c>
      <c r="R3598" s="75">
        <v>0</v>
      </c>
      <c r="S3598" s="75">
        <v>0</v>
      </c>
      <c r="T3598" s="75">
        <v>0</v>
      </c>
      <c r="U3598" s="75">
        <v>0</v>
      </c>
      <c r="V3598" s="75">
        <v>0</v>
      </c>
      <c r="W3598" s="78">
        <v>0</v>
      </c>
    </row>
    <row r="3599" spans="1:23" s="75" customFormat="1" hidden="1" x14ac:dyDescent="0.35">
      <c r="A3599" s="75">
        <v>3595</v>
      </c>
      <c r="B3599" s="75">
        <v>3596</v>
      </c>
      <c r="C3599">
        <v>146.02815899999999</v>
      </c>
      <c r="D3599">
        <v>-17.48221406</v>
      </c>
      <c r="F3599" s="75" t="str">
        <f>HYPERLINK("E:\Data From Lucan\2024\Johnstone\Frames_for_Analysis\3596_20240610_0005_L_1099.jpg","3596_20240610_0005_L_1099.jpg")</f>
        <v>3596_20240610_0005_L_1099.jpg</v>
      </c>
      <c r="I3599">
        <f t="shared" si="56"/>
        <v>0</v>
      </c>
      <c r="J3599" s="75">
        <v>0</v>
      </c>
      <c r="O3599" s="75">
        <v>1</v>
      </c>
      <c r="P3599" s="75">
        <v>0</v>
      </c>
      <c r="Q3599" s="75">
        <v>0</v>
      </c>
      <c r="R3599" s="75">
        <v>0</v>
      </c>
      <c r="S3599" s="75">
        <v>0</v>
      </c>
      <c r="T3599" s="75">
        <v>0</v>
      </c>
      <c r="U3599" s="75">
        <v>0</v>
      </c>
      <c r="V3599" s="75">
        <v>0</v>
      </c>
      <c r="W3599" s="78">
        <v>0</v>
      </c>
    </row>
    <row r="3600" spans="1:23" s="75" customFormat="1" hidden="1" x14ac:dyDescent="0.35">
      <c r="A3600" s="75">
        <v>3596</v>
      </c>
      <c r="B3600" s="75">
        <v>3597</v>
      </c>
      <c r="C3600">
        <v>146.02824530000001</v>
      </c>
      <c r="D3600">
        <v>-17.48225205</v>
      </c>
      <c r="F3600" s="75" t="str">
        <f>HYPERLINK("E:\Data From Lucan\2024\Johnstone\Frames_for_Analysis\3597_20240610_0005_L_1102.jpg","3597_20240610_0005_L_1102.jpg")</f>
        <v>3597_20240610_0005_L_1102.jpg</v>
      </c>
      <c r="I3600">
        <f t="shared" si="56"/>
        <v>0</v>
      </c>
      <c r="J3600" s="75">
        <v>0</v>
      </c>
      <c r="O3600" s="75">
        <v>1</v>
      </c>
      <c r="P3600" s="75">
        <v>0</v>
      </c>
      <c r="Q3600" s="75">
        <v>0</v>
      </c>
      <c r="R3600" s="75">
        <v>0</v>
      </c>
      <c r="S3600" s="75">
        <v>0</v>
      </c>
      <c r="T3600" s="75">
        <v>0</v>
      </c>
      <c r="U3600" s="75">
        <v>0</v>
      </c>
      <c r="V3600" s="75">
        <v>0</v>
      </c>
      <c r="W3600" s="78">
        <v>0</v>
      </c>
    </row>
    <row r="3601" spans="1:23" s="75" customFormat="1" hidden="1" x14ac:dyDescent="0.35">
      <c r="A3601" s="75">
        <v>3597</v>
      </c>
      <c r="B3601" s="75">
        <v>3598</v>
      </c>
      <c r="C3601">
        <v>146.0283317</v>
      </c>
      <c r="D3601">
        <v>-17.482289829999999</v>
      </c>
      <c r="F3601" s="75" t="str">
        <f>HYPERLINK("E:\Data From Lucan\2024\Johnstone\Frames_for_Analysis\3598_20240610_0005_L_1103.jpg","3598_20240610_0005_L_1103.jpg")</f>
        <v>3598_20240610_0005_L_1103.jpg</v>
      </c>
      <c r="I3601">
        <f t="shared" si="56"/>
        <v>0</v>
      </c>
      <c r="J3601" s="75">
        <v>0</v>
      </c>
      <c r="O3601" s="75">
        <v>1</v>
      </c>
      <c r="P3601" s="75">
        <v>0</v>
      </c>
      <c r="Q3601" s="75">
        <v>0</v>
      </c>
      <c r="R3601" s="75">
        <v>0</v>
      </c>
      <c r="S3601" s="75">
        <v>0</v>
      </c>
      <c r="T3601" s="75">
        <v>0</v>
      </c>
      <c r="U3601" s="75">
        <v>0</v>
      </c>
      <c r="V3601" s="75">
        <v>0</v>
      </c>
      <c r="W3601" s="78">
        <v>0</v>
      </c>
    </row>
    <row r="3602" spans="1:23" s="75" customFormat="1" hidden="1" x14ac:dyDescent="0.35">
      <c r="A3602" s="75">
        <v>3598</v>
      </c>
      <c r="B3602" s="75">
        <v>3599</v>
      </c>
      <c r="C3602">
        <v>146.02841839999999</v>
      </c>
      <c r="D3602">
        <v>-17.48232702</v>
      </c>
      <c r="F3602" s="75" t="str">
        <f>HYPERLINK("E:\Data From Lucan\2024\Johnstone\Frames_for_Analysis\3599_20240610_0005_L_1106.jpg","3599_20240610_0005_L_1106.jpg")</f>
        <v>3599_20240610_0005_L_1106.jpg</v>
      </c>
      <c r="I3602">
        <f t="shared" si="56"/>
        <v>0</v>
      </c>
      <c r="J3602" s="75">
        <v>0</v>
      </c>
      <c r="O3602" s="75">
        <v>2</v>
      </c>
      <c r="P3602" s="75">
        <v>0</v>
      </c>
      <c r="Q3602" s="75">
        <v>0</v>
      </c>
      <c r="R3602" s="75">
        <v>0</v>
      </c>
      <c r="S3602" s="75">
        <v>0</v>
      </c>
      <c r="T3602" s="75">
        <v>0</v>
      </c>
      <c r="U3602" s="75">
        <v>0</v>
      </c>
      <c r="V3602" s="75">
        <v>0</v>
      </c>
      <c r="W3602" s="78">
        <v>1</v>
      </c>
    </row>
    <row r="3603" spans="1:23" s="75" customFormat="1" hidden="1" x14ac:dyDescent="0.35">
      <c r="A3603" s="75">
        <v>3599</v>
      </c>
      <c r="B3603" s="75">
        <v>3600</v>
      </c>
      <c r="C3603">
        <v>146.0285049</v>
      </c>
      <c r="D3603">
        <v>-17.482364539999999</v>
      </c>
      <c r="F3603" s="75" t="str">
        <f>HYPERLINK("E:\Data From Lucan\2024\Johnstone\Frames_for_Analysis\3600_20240610_0005_L_1109.jpg","3600_20240610_0005_L_1109.jpg")</f>
        <v>3600_20240610_0005_L_1109.jpg</v>
      </c>
      <c r="I3603">
        <f t="shared" si="56"/>
        <v>0</v>
      </c>
      <c r="J3603" s="75">
        <v>0</v>
      </c>
      <c r="O3603" s="75">
        <v>3</v>
      </c>
      <c r="P3603" s="75">
        <v>0</v>
      </c>
      <c r="Q3603" s="75">
        <v>0</v>
      </c>
      <c r="R3603" s="75">
        <v>0</v>
      </c>
      <c r="S3603" s="75">
        <v>0</v>
      </c>
      <c r="T3603" s="75">
        <v>0</v>
      </c>
      <c r="U3603" s="75">
        <v>0</v>
      </c>
      <c r="V3603" s="75">
        <v>0</v>
      </c>
      <c r="W3603" s="78">
        <v>2</v>
      </c>
    </row>
    <row r="3604" spans="1:23" s="75" customFormat="1" hidden="1" x14ac:dyDescent="0.35">
      <c r="A3604" s="75">
        <v>3600</v>
      </c>
      <c r="B3604" s="75">
        <v>3601</v>
      </c>
      <c r="C3604">
        <v>146.0285897</v>
      </c>
      <c r="D3604">
        <v>-17.482405759999999</v>
      </c>
      <c r="F3604" s="75" t="str">
        <f>HYPERLINK("E:\Data From Lucan\2024\Johnstone\Frames_for_Analysis\3601_20240610_0005_L_1111.jpg","3601_20240610_0005_L_1111.jpg")</f>
        <v>3601_20240610_0005_L_1111.jpg</v>
      </c>
      <c r="I3604">
        <f t="shared" si="56"/>
        <v>0</v>
      </c>
      <c r="J3604" s="75">
        <v>0</v>
      </c>
      <c r="O3604" s="75">
        <v>2</v>
      </c>
      <c r="P3604" s="75">
        <v>1</v>
      </c>
      <c r="Q3604" s="75">
        <v>0</v>
      </c>
      <c r="R3604" s="75">
        <v>0</v>
      </c>
      <c r="S3604" s="75">
        <v>0</v>
      </c>
      <c r="T3604" s="75">
        <v>0</v>
      </c>
      <c r="U3604" s="75">
        <v>0</v>
      </c>
      <c r="V3604" s="75">
        <v>0</v>
      </c>
      <c r="W3604" s="78">
        <v>1</v>
      </c>
    </row>
    <row r="3605" spans="1:23" s="75" customFormat="1" hidden="1" x14ac:dyDescent="0.35">
      <c r="A3605" s="75">
        <v>3601</v>
      </c>
      <c r="B3605" s="75">
        <v>3602</v>
      </c>
      <c r="C3605">
        <v>146.02867449999999</v>
      </c>
      <c r="D3605">
        <v>-17.482446979999999</v>
      </c>
      <c r="F3605" s="75" t="str">
        <f>HYPERLINK("E:\Data From Lucan\2024\Johnstone\Frames_for_Analysis\3602_20240610_0005_L_1114.jpg","3602_20240610_0005_L_1114.jpg")</f>
        <v>3602_20240610_0005_L_1114.jpg</v>
      </c>
      <c r="I3605">
        <f t="shared" si="56"/>
        <v>0</v>
      </c>
      <c r="J3605" s="75">
        <v>0</v>
      </c>
      <c r="O3605" s="75">
        <v>1</v>
      </c>
      <c r="P3605" s="75">
        <v>0</v>
      </c>
      <c r="Q3605" s="75">
        <v>0</v>
      </c>
      <c r="R3605" s="75">
        <v>0</v>
      </c>
      <c r="S3605" s="75">
        <v>0</v>
      </c>
      <c r="T3605" s="75">
        <v>0</v>
      </c>
      <c r="U3605" s="75">
        <v>0</v>
      </c>
      <c r="V3605" s="75">
        <v>0</v>
      </c>
      <c r="W3605" s="78">
        <v>0</v>
      </c>
    </row>
    <row r="3606" spans="1:23" s="75" customFormat="1" hidden="1" x14ac:dyDescent="0.35">
      <c r="A3606" s="75">
        <v>3602</v>
      </c>
      <c r="B3606" s="75">
        <v>3603</v>
      </c>
      <c r="C3606">
        <v>146.028762</v>
      </c>
      <c r="D3606">
        <v>-17.4824801</v>
      </c>
      <c r="F3606" s="75" t="str">
        <f>HYPERLINK("E:\Data From Lucan\2024\Johnstone\Frames_for_Analysis\3603_20240610_0005_L_1116.jpg","3603_20240610_0005_L_1116.jpg")</f>
        <v>3603_20240610_0005_L_1116.jpg</v>
      </c>
      <c r="I3606">
        <f t="shared" si="56"/>
        <v>0</v>
      </c>
      <c r="J3606" s="75">
        <v>0</v>
      </c>
      <c r="O3606" s="75">
        <v>1</v>
      </c>
      <c r="P3606" s="75">
        <v>0</v>
      </c>
      <c r="Q3606" s="75">
        <v>0</v>
      </c>
      <c r="R3606" s="75">
        <v>0</v>
      </c>
      <c r="S3606" s="75">
        <v>0</v>
      </c>
      <c r="T3606" s="75">
        <v>0</v>
      </c>
      <c r="U3606" s="75">
        <v>0</v>
      </c>
      <c r="V3606" s="75">
        <v>0</v>
      </c>
      <c r="W3606" s="78">
        <v>0</v>
      </c>
    </row>
    <row r="3607" spans="1:23" s="75" customFormat="1" hidden="1" x14ac:dyDescent="0.35">
      <c r="A3607" s="75">
        <v>3603</v>
      </c>
      <c r="B3607" s="75">
        <v>3604</v>
      </c>
      <c r="C3607">
        <v>146.02885470000001</v>
      </c>
      <c r="D3607">
        <v>-17.4824974</v>
      </c>
      <c r="F3607" s="75" t="str">
        <f>HYPERLINK("E:\Data From Lucan\2024\Johnstone\Frames_for_Analysis\3604_20240610_0005_L_1118.jpg","3604_20240610_0005_L_1118.jpg")</f>
        <v>3604_20240610_0005_L_1118.jpg</v>
      </c>
      <c r="I3607">
        <f t="shared" si="56"/>
        <v>0</v>
      </c>
      <c r="J3607" s="75">
        <v>0</v>
      </c>
      <c r="O3607" s="75">
        <v>1</v>
      </c>
      <c r="P3607" s="75">
        <v>0</v>
      </c>
      <c r="Q3607" s="75">
        <v>0</v>
      </c>
      <c r="R3607" s="75">
        <v>0</v>
      </c>
      <c r="S3607" s="75">
        <v>0</v>
      </c>
      <c r="T3607" s="75">
        <v>0</v>
      </c>
      <c r="U3607" s="75">
        <v>0</v>
      </c>
      <c r="V3607" s="75">
        <v>0</v>
      </c>
      <c r="W3607" s="78">
        <v>0</v>
      </c>
    </row>
    <row r="3608" spans="1:23" s="75" customFormat="1" hidden="1" x14ac:dyDescent="0.35">
      <c r="A3608" s="75">
        <v>3604</v>
      </c>
      <c r="B3608" s="75">
        <v>3605</v>
      </c>
      <c r="C3608">
        <v>146.02894610000001</v>
      </c>
      <c r="D3608">
        <v>-17.48251904</v>
      </c>
      <c r="F3608" s="75" t="str">
        <f>HYPERLINK("E:\Data From Lucan\2024\Johnstone\Frames_for_Analysis\3605_20240610_0005_L_1121.jpg","3605_20240610_0005_L_1121.jpg")</f>
        <v>3605_20240610_0005_L_1121.jpg</v>
      </c>
      <c r="I3608">
        <f t="shared" si="56"/>
        <v>0</v>
      </c>
      <c r="J3608" s="75">
        <v>0</v>
      </c>
      <c r="O3608" s="75">
        <v>1</v>
      </c>
      <c r="P3608" s="75">
        <v>0</v>
      </c>
      <c r="Q3608" s="75">
        <v>0</v>
      </c>
      <c r="R3608" s="75">
        <v>0</v>
      </c>
      <c r="S3608" s="75">
        <v>0</v>
      </c>
      <c r="T3608" s="75">
        <v>0</v>
      </c>
      <c r="U3608" s="75">
        <v>0</v>
      </c>
      <c r="V3608" s="75">
        <v>0</v>
      </c>
      <c r="W3608" s="78">
        <v>0</v>
      </c>
    </row>
    <row r="3609" spans="1:23" s="75" customFormat="1" hidden="1" x14ac:dyDescent="0.35">
      <c r="A3609" s="75">
        <v>3605</v>
      </c>
      <c r="B3609" s="75">
        <v>3606</v>
      </c>
      <c r="C3609">
        <v>146.02903359999999</v>
      </c>
      <c r="D3609">
        <v>-17.482554279999999</v>
      </c>
      <c r="F3609" s="75" t="str">
        <f>HYPERLINK("E:\Data From Lucan\2024\Johnstone\Frames_for_Analysis\3606_20240610_0005_L_1123.jpg","3606_20240610_0005_L_1123.jpg")</f>
        <v>3606_20240610_0005_L_1123.jpg</v>
      </c>
      <c r="I3609">
        <f t="shared" si="56"/>
        <v>0</v>
      </c>
      <c r="J3609" s="75">
        <v>0</v>
      </c>
      <c r="O3609" s="75">
        <v>1</v>
      </c>
      <c r="P3609" s="75">
        <v>0</v>
      </c>
      <c r="Q3609" s="75">
        <v>0</v>
      </c>
      <c r="R3609" s="75">
        <v>0</v>
      </c>
      <c r="S3609" s="75">
        <v>0</v>
      </c>
      <c r="T3609" s="75">
        <v>0</v>
      </c>
      <c r="U3609" s="75">
        <v>0</v>
      </c>
      <c r="V3609" s="75">
        <v>0</v>
      </c>
      <c r="W3609" s="78">
        <v>0</v>
      </c>
    </row>
    <row r="3610" spans="1:23" s="75" customFormat="1" hidden="1" x14ac:dyDescent="0.35">
      <c r="A3610" s="75">
        <v>3606</v>
      </c>
      <c r="B3610" s="75">
        <v>3607</v>
      </c>
      <c r="C3610">
        <v>146.0291211</v>
      </c>
      <c r="D3610">
        <v>-17.482589520000001</v>
      </c>
      <c r="F3610" s="75" t="str">
        <f>HYPERLINK("E:\Data From Lucan\2024\Johnstone\Frames_for_Analysis\3607_20240610_0005_L_1125.jpg","3607_20240610_0005_L_1125.jpg")</f>
        <v>3607_20240610_0005_L_1125.jpg</v>
      </c>
      <c r="I3610">
        <f t="shared" si="56"/>
        <v>0</v>
      </c>
      <c r="J3610" s="75">
        <v>0</v>
      </c>
      <c r="O3610" s="75">
        <v>1</v>
      </c>
      <c r="P3610" s="75">
        <v>0</v>
      </c>
      <c r="Q3610" s="75">
        <v>0</v>
      </c>
      <c r="R3610" s="75">
        <v>0</v>
      </c>
      <c r="S3610" s="75">
        <v>0</v>
      </c>
      <c r="T3610" s="75">
        <v>0</v>
      </c>
      <c r="U3610" s="75">
        <v>0</v>
      </c>
      <c r="V3610" s="75">
        <v>1</v>
      </c>
      <c r="W3610" s="78">
        <v>0</v>
      </c>
    </row>
    <row r="3611" spans="1:23" s="75" customFormat="1" hidden="1" x14ac:dyDescent="0.35">
      <c r="A3611" s="75">
        <v>3607</v>
      </c>
      <c r="B3611" s="75">
        <v>3608</v>
      </c>
      <c r="C3611">
        <v>146.0292086</v>
      </c>
      <c r="D3611">
        <v>-17.482624749999999</v>
      </c>
      <c r="F3611" s="75" t="str">
        <f>HYPERLINK("E:\Data From Lucan\2024\Johnstone\Frames_for_Analysis\3608_20240610_0005_L_1128.jpg","3608_20240610_0005_L_1128.jpg")</f>
        <v>3608_20240610_0005_L_1128.jpg</v>
      </c>
      <c r="I3611">
        <f t="shared" si="56"/>
        <v>0</v>
      </c>
      <c r="J3611" s="75">
        <v>0</v>
      </c>
      <c r="O3611" s="75">
        <v>1</v>
      </c>
      <c r="P3611" s="75">
        <v>0</v>
      </c>
      <c r="Q3611" s="75">
        <v>0</v>
      </c>
      <c r="R3611" s="75">
        <v>0</v>
      </c>
      <c r="S3611" s="75">
        <v>0</v>
      </c>
      <c r="T3611" s="75">
        <v>0</v>
      </c>
      <c r="U3611" s="75">
        <v>0</v>
      </c>
      <c r="V3611" s="75">
        <v>0</v>
      </c>
      <c r="W3611" s="78">
        <v>0</v>
      </c>
    </row>
    <row r="3612" spans="1:23" s="75" customFormat="1" hidden="1" x14ac:dyDescent="0.35">
      <c r="A3612" s="75">
        <v>3608</v>
      </c>
      <c r="B3612" s="75">
        <v>3609</v>
      </c>
      <c r="C3612">
        <v>146.0292973</v>
      </c>
      <c r="D3612">
        <v>-17.482653620000001</v>
      </c>
      <c r="F3612" s="75" t="str">
        <f>HYPERLINK("E:\Data From Lucan\2024\Johnstone\Frames_for_Analysis\3609_20240610_0005_L_1130.jpg","3609_20240610_0005_L_1130.jpg")</f>
        <v>3609_20240610_0005_L_1130.jpg</v>
      </c>
      <c r="G3612" s="75">
        <v>6</v>
      </c>
      <c r="I3612">
        <f t="shared" si="56"/>
        <v>0</v>
      </c>
      <c r="J3612" s="75">
        <v>0</v>
      </c>
      <c r="O3612" s="75">
        <v>1</v>
      </c>
      <c r="P3612" s="75">
        <v>0</v>
      </c>
      <c r="Q3612" s="75">
        <v>0</v>
      </c>
      <c r="R3612" s="75">
        <v>0</v>
      </c>
      <c r="S3612" s="75">
        <v>0</v>
      </c>
      <c r="T3612" s="75">
        <v>0</v>
      </c>
      <c r="U3612" s="75">
        <v>0</v>
      </c>
      <c r="V3612" s="75">
        <v>0</v>
      </c>
      <c r="W3612" s="78">
        <v>0</v>
      </c>
    </row>
    <row r="3613" spans="1:23" s="75" customFormat="1" hidden="1" x14ac:dyDescent="0.35">
      <c r="A3613" s="75">
        <v>3609</v>
      </c>
      <c r="B3613" s="75">
        <v>3610</v>
      </c>
      <c r="C3613">
        <v>146.0293916</v>
      </c>
      <c r="D3613">
        <v>-17.48265408</v>
      </c>
      <c r="F3613" s="75" t="str">
        <f>HYPERLINK("E:\Data From Lucan\2024\Johnstone\Frames_for_Analysis\3610_20240610_0005_L_1131.jpg","3610_20240610_0005_L_1131.jpg")</f>
        <v>3610_20240610_0005_L_1131.jpg</v>
      </c>
      <c r="G3613" s="75">
        <v>6</v>
      </c>
      <c r="I3613">
        <f t="shared" si="56"/>
        <v>0</v>
      </c>
      <c r="J3613" s="75">
        <v>0</v>
      </c>
      <c r="O3613" s="75">
        <v>1</v>
      </c>
      <c r="P3613" s="75">
        <v>0</v>
      </c>
      <c r="Q3613" s="75">
        <v>0</v>
      </c>
      <c r="R3613" s="75">
        <v>0</v>
      </c>
      <c r="S3613" s="75">
        <v>0</v>
      </c>
      <c r="T3613" s="75">
        <v>0</v>
      </c>
      <c r="U3613" s="75">
        <v>0</v>
      </c>
      <c r="V3613" s="75">
        <v>1</v>
      </c>
      <c r="W3613" s="78">
        <v>0</v>
      </c>
    </row>
    <row r="3614" spans="1:23" s="75" customFormat="1" hidden="1" x14ac:dyDescent="0.35">
      <c r="A3614" s="75">
        <v>3610</v>
      </c>
      <c r="B3614" s="75">
        <v>3611</v>
      </c>
      <c r="C3614">
        <v>146.0294859</v>
      </c>
      <c r="D3614">
        <v>-17.482654539999999</v>
      </c>
      <c r="F3614" s="75" t="str">
        <f>HYPERLINK("E:\Data From Lucan\2024\Johnstone\Frames_for_Analysis\3611_20240610_0005_L_1133.jpg","3611_20240610_0005_L_1133.jpg")</f>
        <v>3611_20240610_0005_L_1133.jpg</v>
      </c>
      <c r="G3614" s="75">
        <v>6</v>
      </c>
      <c r="I3614">
        <f t="shared" si="56"/>
        <v>0</v>
      </c>
      <c r="J3614" s="75">
        <v>0</v>
      </c>
      <c r="O3614" s="75">
        <v>1</v>
      </c>
      <c r="P3614" s="75">
        <v>0</v>
      </c>
      <c r="Q3614" s="75">
        <v>0</v>
      </c>
      <c r="R3614" s="75">
        <v>0</v>
      </c>
      <c r="S3614" s="75">
        <v>0</v>
      </c>
      <c r="T3614" s="75">
        <v>0</v>
      </c>
      <c r="U3614" s="75">
        <v>0</v>
      </c>
      <c r="V3614" s="75">
        <v>0</v>
      </c>
      <c r="W3614" s="78">
        <v>0</v>
      </c>
    </row>
    <row r="3615" spans="1:23" s="75" customFormat="1" hidden="1" x14ac:dyDescent="0.35">
      <c r="A3615" s="75">
        <v>3611</v>
      </c>
      <c r="B3615" s="75">
        <v>3612</v>
      </c>
      <c r="C3615">
        <v>146.02957549999999</v>
      </c>
      <c r="D3615">
        <v>-17.482677580000001</v>
      </c>
      <c r="F3615" s="75" t="str">
        <f>HYPERLINK("E:\Data From Lucan\2024\Johnstone\Frames_for_Analysis\3612_20240610_0005_L_1135.jpg","3612_20240610_0005_L_1135.jpg")</f>
        <v>3612_20240610_0005_L_1135.jpg</v>
      </c>
      <c r="G3615" s="75">
        <v>6</v>
      </c>
      <c r="I3615">
        <f t="shared" si="56"/>
        <v>0</v>
      </c>
      <c r="J3615" s="75">
        <v>0</v>
      </c>
      <c r="O3615" s="75">
        <v>1</v>
      </c>
      <c r="P3615" s="75">
        <v>0</v>
      </c>
      <c r="Q3615" s="75">
        <v>0</v>
      </c>
      <c r="R3615" s="75">
        <v>0</v>
      </c>
      <c r="S3615" s="75">
        <v>0</v>
      </c>
      <c r="T3615" s="75">
        <v>0</v>
      </c>
      <c r="U3615" s="75">
        <v>0</v>
      </c>
      <c r="V3615" s="75">
        <v>0</v>
      </c>
      <c r="W3615" s="78">
        <v>0</v>
      </c>
    </row>
    <row r="3616" spans="1:23" s="75" customFormat="1" hidden="1" x14ac:dyDescent="0.35">
      <c r="A3616" s="75">
        <v>3612</v>
      </c>
      <c r="B3616" s="75">
        <v>3613</v>
      </c>
      <c r="C3616">
        <v>146.02966090000001</v>
      </c>
      <c r="D3616">
        <v>-17.482717560000001</v>
      </c>
      <c r="F3616" s="75" t="str">
        <f>HYPERLINK("E:\Data From Lucan\2024\Johnstone\Frames_for_Analysis\3613_20240610_0005_L_1136.jpg","3613_20240610_0005_L_1136.jpg")</f>
        <v>3613_20240610_0005_L_1136.jpg</v>
      </c>
      <c r="G3616" s="75">
        <v>6</v>
      </c>
      <c r="I3616">
        <f t="shared" si="56"/>
        <v>0</v>
      </c>
      <c r="J3616" s="75">
        <v>0</v>
      </c>
      <c r="O3616" s="75">
        <v>1</v>
      </c>
      <c r="P3616" s="75">
        <v>0</v>
      </c>
      <c r="Q3616" s="75">
        <v>0</v>
      </c>
      <c r="R3616" s="75">
        <v>0</v>
      </c>
      <c r="S3616" s="75">
        <v>0</v>
      </c>
      <c r="T3616" s="75">
        <v>0</v>
      </c>
      <c r="U3616" s="75">
        <v>0</v>
      </c>
      <c r="V3616" s="75">
        <v>0</v>
      </c>
      <c r="W3616" s="78">
        <v>0</v>
      </c>
    </row>
    <row r="3617" spans="1:23" s="75" customFormat="1" hidden="1" x14ac:dyDescent="0.35">
      <c r="A3617" s="75">
        <v>3613</v>
      </c>
      <c r="B3617" s="75">
        <v>3614</v>
      </c>
      <c r="C3617">
        <v>146.02974080000001</v>
      </c>
      <c r="D3617">
        <v>-17.482766860000002</v>
      </c>
      <c r="F3617" s="75" t="str">
        <f>HYPERLINK("E:\Data From Lucan\2024\Johnstone\Frames_for_Analysis\3614_20240610_0005_L_1138.jpg","3614_20240610_0005_L_1138.jpg")</f>
        <v>3614_20240610_0005_L_1138.jpg</v>
      </c>
      <c r="G3617" s="75">
        <v>6</v>
      </c>
      <c r="I3617">
        <f t="shared" si="56"/>
        <v>0</v>
      </c>
      <c r="J3617" s="75">
        <v>0</v>
      </c>
      <c r="O3617" s="75">
        <v>1</v>
      </c>
      <c r="P3617" s="75">
        <v>0</v>
      </c>
      <c r="Q3617" s="75">
        <v>0</v>
      </c>
      <c r="R3617" s="75">
        <v>0</v>
      </c>
      <c r="S3617" s="75">
        <v>0</v>
      </c>
      <c r="T3617" s="75">
        <v>0</v>
      </c>
      <c r="U3617" s="75">
        <v>0</v>
      </c>
      <c r="V3617" s="75">
        <v>1</v>
      </c>
      <c r="W3617" s="78">
        <v>0</v>
      </c>
    </row>
    <row r="3618" spans="1:23" s="75" customFormat="1" hidden="1" x14ac:dyDescent="0.35">
      <c r="A3618" s="75">
        <v>3614</v>
      </c>
      <c r="B3618" s="75">
        <v>3615</v>
      </c>
      <c r="C3618">
        <v>146.0298176</v>
      </c>
      <c r="D3618">
        <v>-17.48282167</v>
      </c>
      <c r="F3618" s="75" t="str">
        <f>HYPERLINK("E:\Data From Lucan\2024\Johnstone\Frames_for_Analysis\3615_20240610_0005_L_1139.jpg","3615_20240610_0005_L_1139.jpg")</f>
        <v>3615_20240610_0005_L_1139.jpg</v>
      </c>
      <c r="G3618" s="75">
        <v>6</v>
      </c>
      <c r="I3618">
        <f t="shared" si="56"/>
        <v>0</v>
      </c>
      <c r="J3618" s="75">
        <v>0</v>
      </c>
      <c r="O3618" s="75">
        <v>1</v>
      </c>
      <c r="P3618" s="75">
        <v>0</v>
      </c>
      <c r="Q3618" s="75">
        <v>0</v>
      </c>
      <c r="R3618" s="75">
        <v>0</v>
      </c>
      <c r="S3618" s="75">
        <v>0</v>
      </c>
      <c r="T3618" s="75">
        <v>0</v>
      </c>
      <c r="U3618" s="75">
        <v>0</v>
      </c>
      <c r="V3618" s="75">
        <v>1</v>
      </c>
      <c r="W3618" s="78">
        <v>0</v>
      </c>
    </row>
    <row r="3619" spans="1:23" s="75" customFormat="1" hidden="1" x14ac:dyDescent="0.35">
      <c r="A3619" s="75">
        <v>3615</v>
      </c>
      <c r="B3619" s="75">
        <v>3616</v>
      </c>
      <c r="C3619">
        <v>146.0298943</v>
      </c>
      <c r="D3619">
        <v>-17.482876480000002</v>
      </c>
      <c r="F3619" s="75" t="str">
        <f>HYPERLINK("E:\Data From Lucan\2024\Johnstone\Frames_for_Analysis\3616_20240610_0005_L_1141.jpg","3616_20240610_0005_L_1141.jpg")</f>
        <v>3616_20240610_0005_L_1141.jpg</v>
      </c>
      <c r="G3619" s="75">
        <v>6</v>
      </c>
      <c r="I3619">
        <f t="shared" si="56"/>
        <v>0</v>
      </c>
      <c r="J3619" s="75">
        <v>0</v>
      </c>
      <c r="O3619" s="75">
        <v>1</v>
      </c>
      <c r="P3619" s="75">
        <v>0</v>
      </c>
      <c r="Q3619" s="75">
        <v>0</v>
      </c>
      <c r="R3619" s="75">
        <v>0</v>
      </c>
      <c r="S3619" s="75">
        <v>0</v>
      </c>
      <c r="T3619" s="75">
        <v>0</v>
      </c>
      <c r="U3619" s="75">
        <v>0</v>
      </c>
      <c r="V3619" s="75">
        <v>0</v>
      </c>
      <c r="W3619" s="78">
        <v>0</v>
      </c>
    </row>
    <row r="3620" spans="1:23" s="75" customFormat="1" hidden="1" x14ac:dyDescent="0.35">
      <c r="A3620" s="75">
        <v>3616</v>
      </c>
      <c r="B3620" s="75">
        <v>3617</v>
      </c>
      <c r="C3620">
        <v>146.0299589</v>
      </c>
      <c r="D3620">
        <v>-17.482945000000001</v>
      </c>
      <c r="F3620" s="75" t="str">
        <f>HYPERLINK("E:\Data From Lucan\2024\Johnstone\Frames_for_Analysis\3617_20240610_0005_L_1142.jpg","3617_20240610_0005_L_1142.jpg")</f>
        <v>3617_20240610_0005_L_1142.jpg</v>
      </c>
      <c r="G3620" s="75">
        <v>6</v>
      </c>
      <c r="I3620">
        <f t="shared" si="56"/>
        <v>0</v>
      </c>
      <c r="J3620" s="75">
        <v>0</v>
      </c>
      <c r="O3620" s="75">
        <v>1</v>
      </c>
      <c r="P3620" s="75">
        <v>0</v>
      </c>
      <c r="Q3620" s="75">
        <v>0</v>
      </c>
      <c r="R3620" s="75">
        <v>0</v>
      </c>
      <c r="S3620" s="75">
        <v>0</v>
      </c>
      <c r="T3620" s="75">
        <v>0</v>
      </c>
      <c r="U3620" s="75">
        <v>0</v>
      </c>
      <c r="V3620" s="75">
        <v>0</v>
      </c>
      <c r="W3620" s="78">
        <v>0</v>
      </c>
    </row>
    <row r="3621" spans="1:23" s="75" customFormat="1" hidden="1" x14ac:dyDescent="0.35">
      <c r="A3621" s="75">
        <v>3617</v>
      </c>
      <c r="B3621" s="75">
        <v>3618</v>
      </c>
      <c r="C3621">
        <v>146.03000449999999</v>
      </c>
      <c r="D3621">
        <v>-17.483019980000002</v>
      </c>
      <c r="F3621" s="75" t="str">
        <f>HYPERLINK("E:\Data From Lucan\2024\Johnstone\Frames_for_Analysis\3618_20240610_0005_L_1143.jpg","3618_20240610_0005_L_1143.jpg")</f>
        <v>3618_20240610_0005_L_1143.jpg</v>
      </c>
      <c r="G3621" s="75">
        <v>6</v>
      </c>
      <c r="I3621">
        <f t="shared" si="56"/>
        <v>0</v>
      </c>
      <c r="J3621" s="75">
        <v>0</v>
      </c>
      <c r="O3621" s="75">
        <v>1</v>
      </c>
      <c r="P3621" s="75">
        <v>0</v>
      </c>
      <c r="Q3621" s="75">
        <v>0</v>
      </c>
      <c r="R3621" s="75">
        <v>0</v>
      </c>
      <c r="S3621" s="75">
        <v>0</v>
      </c>
      <c r="T3621" s="75">
        <v>0</v>
      </c>
      <c r="U3621" s="75">
        <v>0</v>
      </c>
      <c r="V3621" s="75">
        <v>0</v>
      </c>
      <c r="W3621" s="78">
        <v>0</v>
      </c>
    </row>
    <row r="3622" spans="1:23" s="75" customFormat="1" hidden="1" x14ac:dyDescent="0.35">
      <c r="A3622" s="75">
        <v>3618</v>
      </c>
      <c r="B3622" s="75">
        <v>3619</v>
      </c>
      <c r="C3622">
        <v>146.02998980000001</v>
      </c>
      <c r="D3622">
        <v>-17.48311313</v>
      </c>
      <c r="F3622" s="75" t="str">
        <f>HYPERLINK("E:\Data From Lucan\2024\Johnstone\Frames_for_Analysis\3619_20240610_0005_L_1144.jpg","3619_20240610_0005_L_1144.jpg")</f>
        <v>3619_20240610_0005_L_1144.jpg</v>
      </c>
      <c r="G3622" s="75">
        <v>6</v>
      </c>
      <c r="I3622">
        <f t="shared" si="56"/>
        <v>0</v>
      </c>
      <c r="J3622" s="75">
        <v>0</v>
      </c>
      <c r="O3622" s="75">
        <v>1</v>
      </c>
      <c r="P3622" s="75">
        <v>0</v>
      </c>
      <c r="Q3622" s="75">
        <v>0</v>
      </c>
      <c r="R3622" s="75">
        <v>0</v>
      </c>
      <c r="S3622" s="75">
        <v>0</v>
      </c>
      <c r="T3622" s="75">
        <v>0</v>
      </c>
      <c r="U3622" s="75">
        <v>0</v>
      </c>
      <c r="V3622" s="75">
        <v>0</v>
      </c>
      <c r="W3622" s="78">
        <v>0</v>
      </c>
    </row>
    <row r="3623" spans="1:23" s="75" customFormat="1" hidden="1" x14ac:dyDescent="0.35">
      <c r="A3623" s="75">
        <v>3619</v>
      </c>
      <c r="B3623" s="75">
        <v>3620</v>
      </c>
      <c r="C3623">
        <v>146.02997329999999</v>
      </c>
      <c r="D3623">
        <v>-17.483205909999999</v>
      </c>
      <c r="F3623" s="75" t="str">
        <f>HYPERLINK("E:\Data From Lucan\2024\Johnstone\Frames_for_Analysis\3620_20240610_0005_L_1145.jpg","3620_20240610_0005_L_1145.jpg")</f>
        <v>3620_20240610_0005_L_1145.jpg</v>
      </c>
      <c r="G3623" s="75">
        <v>6</v>
      </c>
      <c r="I3623">
        <f t="shared" si="56"/>
        <v>0</v>
      </c>
      <c r="J3623" s="75">
        <v>0</v>
      </c>
      <c r="O3623" s="75">
        <v>1</v>
      </c>
      <c r="P3623" s="75">
        <v>0</v>
      </c>
      <c r="Q3623" s="75">
        <v>0</v>
      </c>
      <c r="R3623" s="75">
        <v>0</v>
      </c>
      <c r="S3623" s="75">
        <v>0</v>
      </c>
      <c r="T3623" s="75">
        <v>0</v>
      </c>
      <c r="U3623" s="75">
        <v>0</v>
      </c>
      <c r="V3623" s="75">
        <v>0</v>
      </c>
      <c r="W3623" s="78">
        <v>0</v>
      </c>
    </row>
    <row r="3624" spans="1:23" s="75" customFormat="1" hidden="1" x14ac:dyDescent="0.35">
      <c r="A3624" s="75">
        <v>3620</v>
      </c>
      <c r="B3624" s="75">
        <v>3621</v>
      </c>
      <c r="C3624">
        <v>146.02995039999999</v>
      </c>
      <c r="D3624">
        <v>-17.483297400000001</v>
      </c>
      <c r="F3624" s="75" t="str">
        <f>HYPERLINK("E:\Data From Lucan\2024\Johnstone\Frames_for_Analysis\3621_20240610_0005_L_1147.jpg","3621_20240610_0005_L_1147.jpg")</f>
        <v>3621_20240610_0005_L_1147.jpg</v>
      </c>
      <c r="G3624" s="75">
        <v>6</v>
      </c>
      <c r="I3624">
        <f t="shared" si="56"/>
        <v>0</v>
      </c>
      <c r="J3624" s="75">
        <v>0</v>
      </c>
      <c r="O3624" s="75">
        <v>1</v>
      </c>
      <c r="P3624" s="75">
        <v>0</v>
      </c>
      <c r="Q3624" s="75">
        <v>0</v>
      </c>
      <c r="R3624" s="75">
        <v>0</v>
      </c>
      <c r="S3624" s="75">
        <v>0</v>
      </c>
      <c r="T3624" s="75">
        <v>0</v>
      </c>
      <c r="U3624" s="75">
        <v>0</v>
      </c>
      <c r="V3624" s="75">
        <v>0</v>
      </c>
      <c r="W3624" s="78">
        <v>0</v>
      </c>
    </row>
    <row r="3625" spans="1:23" s="75" customFormat="1" hidden="1" x14ac:dyDescent="0.35">
      <c r="A3625" s="75">
        <v>3621</v>
      </c>
      <c r="B3625" s="75">
        <v>3622</v>
      </c>
      <c r="C3625">
        <v>146.02992990000001</v>
      </c>
      <c r="D3625">
        <v>-17.48338901</v>
      </c>
      <c r="F3625" s="75" t="str">
        <f>HYPERLINK("E:\Data From Lucan\2024\Johnstone\Frames_for_Analysis\3622_20240610_0005_L_1148.jpg","3622_20240610_0005_L_1148.jpg")</f>
        <v>3622_20240610_0005_L_1148.jpg</v>
      </c>
      <c r="G3625" s="75">
        <v>6</v>
      </c>
      <c r="I3625">
        <f t="shared" si="56"/>
        <v>0</v>
      </c>
      <c r="J3625" s="75">
        <v>0</v>
      </c>
      <c r="O3625" s="75">
        <v>1</v>
      </c>
      <c r="P3625" s="75">
        <v>0</v>
      </c>
      <c r="Q3625" s="75">
        <v>0</v>
      </c>
      <c r="R3625" s="75">
        <v>0</v>
      </c>
      <c r="S3625" s="75">
        <v>0</v>
      </c>
      <c r="T3625" s="75">
        <v>0</v>
      </c>
      <c r="U3625" s="75">
        <v>0</v>
      </c>
      <c r="V3625" s="75">
        <v>0</v>
      </c>
      <c r="W3625" s="78">
        <v>0</v>
      </c>
    </row>
    <row r="3626" spans="1:23" s="75" customFormat="1" hidden="1" x14ac:dyDescent="0.35">
      <c r="A3626" s="75">
        <v>3622</v>
      </c>
      <c r="B3626" s="75">
        <v>3623</v>
      </c>
      <c r="C3626">
        <v>146.02994279999999</v>
      </c>
      <c r="D3626">
        <v>-17.483482429999999</v>
      </c>
      <c r="F3626" s="75" t="str">
        <f>HYPERLINK("E:\Data From Lucan\2024\Johnstone\Frames_for_Analysis\3623_20240610_0005_L_1150.jpg","3623_20240610_0005_L_1150.jpg")</f>
        <v>3623_20240610_0005_L_1150.jpg</v>
      </c>
      <c r="G3626" s="75">
        <v>6</v>
      </c>
      <c r="I3626">
        <f t="shared" si="56"/>
        <v>0</v>
      </c>
      <c r="J3626" s="75">
        <v>0</v>
      </c>
      <c r="O3626" s="75">
        <v>1</v>
      </c>
      <c r="P3626" s="75">
        <v>0</v>
      </c>
      <c r="Q3626" s="75">
        <v>0</v>
      </c>
      <c r="R3626" s="75">
        <v>0</v>
      </c>
      <c r="S3626" s="75">
        <v>0</v>
      </c>
      <c r="T3626" s="75">
        <v>0</v>
      </c>
      <c r="U3626" s="75">
        <v>0</v>
      </c>
      <c r="V3626" s="75">
        <v>0</v>
      </c>
      <c r="W3626" s="78">
        <v>0</v>
      </c>
    </row>
    <row r="3627" spans="1:23" s="75" customFormat="1" hidden="1" x14ac:dyDescent="0.35">
      <c r="A3627" s="75">
        <v>3623</v>
      </c>
      <c r="B3627" s="75">
        <v>3624</v>
      </c>
      <c r="C3627">
        <v>146.02995569999999</v>
      </c>
      <c r="D3627">
        <v>-17.483575850000001</v>
      </c>
      <c r="F3627" s="75" t="str">
        <f>HYPERLINK("E:\Data From Lucan\2024\Johnstone\Frames_for_Analysis\3624_20240610_0005_L_1152.jpg","3624_20240610_0005_L_1152.jpg")</f>
        <v>3624_20240610_0005_L_1152.jpg</v>
      </c>
      <c r="G3627" s="75">
        <v>6</v>
      </c>
      <c r="I3627">
        <f t="shared" si="56"/>
        <v>0</v>
      </c>
      <c r="J3627" s="75">
        <v>0</v>
      </c>
      <c r="O3627" s="75">
        <v>1</v>
      </c>
      <c r="P3627" s="75">
        <v>0</v>
      </c>
      <c r="Q3627" s="75">
        <v>0</v>
      </c>
      <c r="R3627" s="75">
        <v>0</v>
      </c>
      <c r="S3627" s="75">
        <v>0</v>
      </c>
      <c r="T3627" s="75">
        <v>0</v>
      </c>
      <c r="U3627" s="75">
        <v>0</v>
      </c>
      <c r="V3627" s="75">
        <v>0</v>
      </c>
      <c r="W3627" s="78">
        <v>0</v>
      </c>
    </row>
    <row r="3628" spans="1:23" s="75" customFormat="1" hidden="1" x14ac:dyDescent="0.35">
      <c r="A3628" s="75">
        <v>3624</v>
      </c>
      <c r="B3628" s="75">
        <v>3625</v>
      </c>
      <c r="C3628">
        <v>146.02996859999999</v>
      </c>
      <c r="D3628">
        <v>-17.48366927</v>
      </c>
      <c r="F3628" s="75" t="str">
        <f>HYPERLINK("E:\Data From Lucan\2024\Johnstone\Frames_for_Analysis\3625_20240610_0005_L_1155.jpg","3625_20240610_0005_L_1155.jpg")</f>
        <v>3625_20240610_0005_L_1155.jpg</v>
      </c>
      <c r="G3628" s="75">
        <v>6</v>
      </c>
      <c r="I3628">
        <f t="shared" si="56"/>
        <v>0</v>
      </c>
      <c r="J3628" s="75">
        <v>0</v>
      </c>
      <c r="O3628" s="75">
        <v>1</v>
      </c>
      <c r="P3628" s="75">
        <v>0</v>
      </c>
      <c r="Q3628" s="75">
        <v>0</v>
      </c>
      <c r="R3628" s="75">
        <v>0</v>
      </c>
      <c r="S3628" s="75">
        <v>0</v>
      </c>
      <c r="T3628" s="75">
        <v>0</v>
      </c>
      <c r="U3628" s="75">
        <v>0</v>
      </c>
      <c r="V3628" s="75">
        <v>0</v>
      </c>
      <c r="W3628" s="78">
        <v>0</v>
      </c>
    </row>
    <row r="3629" spans="1:23" s="75" customFormat="1" hidden="1" x14ac:dyDescent="0.35">
      <c r="A3629" s="75">
        <v>3625</v>
      </c>
      <c r="B3629" s="75">
        <v>3626</v>
      </c>
      <c r="C3629">
        <v>146.02998149999999</v>
      </c>
      <c r="D3629">
        <v>-17.483762689999999</v>
      </c>
      <c r="F3629" s="75" t="str">
        <f>HYPERLINK("E:\Data From Lucan\2024\Johnstone\Frames_for_Analysis\3626_20240610_0005_L_1157.jpg","3626_20240610_0005_L_1157.jpg")</f>
        <v>3626_20240610_0005_L_1157.jpg</v>
      </c>
      <c r="G3629" s="75">
        <v>6</v>
      </c>
      <c r="I3629">
        <f t="shared" si="56"/>
        <v>0</v>
      </c>
      <c r="J3629" s="75">
        <v>0</v>
      </c>
      <c r="O3629" s="75">
        <v>1</v>
      </c>
      <c r="P3629" s="75">
        <v>0</v>
      </c>
      <c r="Q3629" s="75">
        <v>0</v>
      </c>
      <c r="R3629" s="75">
        <v>0</v>
      </c>
      <c r="S3629" s="75">
        <v>0</v>
      </c>
      <c r="T3629" s="75">
        <v>0</v>
      </c>
      <c r="U3629" s="75">
        <v>0</v>
      </c>
      <c r="V3629" s="75">
        <v>0</v>
      </c>
      <c r="W3629" s="78">
        <v>0</v>
      </c>
    </row>
    <row r="3630" spans="1:23" s="75" customFormat="1" hidden="1" x14ac:dyDescent="0.35">
      <c r="A3630" s="75">
        <v>3626</v>
      </c>
      <c r="B3630" s="75">
        <v>3627</v>
      </c>
      <c r="C3630">
        <v>146.02999439999999</v>
      </c>
      <c r="D3630">
        <v>-17.483856110000001</v>
      </c>
      <c r="F3630" s="75" t="str">
        <f>HYPERLINK("E:\Data From Lucan\2024\Johnstone\Frames_for_Analysis\3627_20240610_0005_L_1161.jpg","3627_20240610_0005_L_1161.jpg")</f>
        <v>3627_20240610_0005_L_1161.jpg</v>
      </c>
      <c r="G3630" s="75">
        <v>6</v>
      </c>
      <c r="I3630">
        <f t="shared" si="56"/>
        <v>0</v>
      </c>
      <c r="J3630" s="75">
        <v>0</v>
      </c>
      <c r="O3630" s="75">
        <v>1</v>
      </c>
      <c r="P3630" s="75">
        <v>0</v>
      </c>
      <c r="Q3630" s="75">
        <v>0</v>
      </c>
      <c r="R3630" s="75">
        <v>0</v>
      </c>
      <c r="S3630" s="75">
        <v>0</v>
      </c>
      <c r="T3630" s="75">
        <v>0</v>
      </c>
      <c r="U3630" s="75">
        <v>0</v>
      </c>
      <c r="V3630" s="75">
        <v>1</v>
      </c>
      <c r="W3630" s="78">
        <v>0</v>
      </c>
    </row>
    <row r="3631" spans="1:23" s="75" customFormat="1" hidden="1" x14ac:dyDescent="0.35">
      <c r="A3631" s="75">
        <v>3627</v>
      </c>
      <c r="B3631" s="75">
        <v>3628</v>
      </c>
      <c r="C3631">
        <v>146.03000729999999</v>
      </c>
      <c r="D3631">
        <v>-17.48394953</v>
      </c>
      <c r="F3631" s="75" t="str">
        <f>HYPERLINK("E:\Data From Lucan\2024\Johnstone\Frames_for_Analysis\3628_20240610_0005_L_1164.jpg","3628_20240610_0005_L_1164.jpg")</f>
        <v>3628_20240610_0005_L_1164.jpg</v>
      </c>
      <c r="G3631" s="75">
        <v>6</v>
      </c>
      <c r="I3631">
        <f t="shared" si="56"/>
        <v>0</v>
      </c>
      <c r="J3631" s="75">
        <v>0</v>
      </c>
      <c r="O3631" s="75">
        <v>1</v>
      </c>
      <c r="P3631" s="75">
        <v>0</v>
      </c>
      <c r="Q3631" s="75">
        <v>0</v>
      </c>
      <c r="R3631" s="75">
        <v>0</v>
      </c>
      <c r="S3631" s="75">
        <v>0</v>
      </c>
      <c r="T3631" s="75">
        <v>0</v>
      </c>
      <c r="U3631" s="75">
        <v>0</v>
      </c>
      <c r="V3631" s="75">
        <v>0</v>
      </c>
      <c r="W3631" s="78">
        <v>0</v>
      </c>
    </row>
    <row r="3632" spans="1:23" s="75" customFormat="1" hidden="1" x14ac:dyDescent="0.35">
      <c r="A3632" s="75">
        <v>3628</v>
      </c>
      <c r="B3632" s="75">
        <v>3629</v>
      </c>
      <c r="C3632">
        <v>146.03000789999999</v>
      </c>
      <c r="D3632">
        <v>-17.484043790000001</v>
      </c>
      <c r="F3632" s="75" t="str">
        <f>HYPERLINK("E:\Data From Lucan\2024\Johnstone\Frames_for_Analysis\3629_20240610_0005_L_1166.jpg","3629_20240610_0005_L_1166.jpg")</f>
        <v>3629_20240610_0005_L_1166.jpg</v>
      </c>
      <c r="G3632" s="75">
        <v>6</v>
      </c>
      <c r="I3632">
        <f t="shared" si="56"/>
        <v>0</v>
      </c>
      <c r="J3632" s="75">
        <v>0</v>
      </c>
      <c r="O3632" s="75">
        <v>1</v>
      </c>
      <c r="P3632" s="75">
        <v>0</v>
      </c>
      <c r="Q3632" s="75">
        <v>0</v>
      </c>
      <c r="R3632" s="75">
        <v>0</v>
      </c>
      <c r="S3632" s="75">
        <v>0</v>
      </c>
      <c r="T3632" s="75">
        <v>0</v>
      </c>
      <c r="U3632" s="75">
        <v>0</v>
      </c>
      <c r="V3632" s="75">
        <v>0</v>
      </c>
      <c r="W3632" s="78">
        <v>0</v>
      </c>
    </row>
    <row r="3633" spans="1:23" s="75" customFormat="1" hidden="1" x14ac:dyDescent="0.35">
      <c r="A3633" s="75">
        <v>3629</v>
      </c>
      <c r="B3633" s="75">
        <v>3630</v>
      </c>
      <c r="C3633">
        <v>146.03000789999999</v>
      </c>
      <c r="D3633">
        <v>-17.484138089999998</v>
      </c>
      <c r="F3633" s="75" t="str">
        <f>HYPERLINK("E:\Data From Lucan\2024\Johnstone\Frames_for_Analysis\3630_20240610_0005_L_1169.jpg","3630_20240610_0005_L_1169.jpg")</f>
        <v>3630_20240610_0005_L_1169.jpg</v>
      </c>
      <c r="G3633" s="75">
        <v>6</v>
      </c>
      <c r="I3633">
        <f t="shared" si="56"/>
        <v>0</v>
      </c>
      <c r="J3633" s="75">
        <v>0</v>
      </c>
      <c r="O3633" s="75">
        <v>1</v>
      </c>
      <c r="P3633" s="75">
        <v>0</v>
      </c>
      <c r="Q3633" s="75">
        <v>0</v>
      </c>
      <c r="R3633" s="75">
        <v>0</v>
      </c>
      <c r="S3633" s="75">
        <v>0</v>
      </c>
      <c r="T3633" s="75">
        <v>0</v>
      </c>
      <c r="U3633" s="75">
        <v>0</v>
      </c>
      <c r="V3633" s="75">
        <v>0</v>
      </c>
      <c r="W3633" s="78">
        <v>0</v>
      </c>
    </row>
    <row r="3634" spans="1:23" s="75" customFormat="1" hidden="1" x14ac:dyDescent="0.35">
      <c r="A3634" s="75">
        <v>3630</v>
      </c>
      <c r="B3634" s="75">
        <v>3631</v>
      </c>
      <c r="C3634">
        <v>146.03000789999999</v>
      </c>
      <c r="D3634">
        <v>-17.484232389999999</v>
      </c>
      <c r="F3634" s="75" t="str">
        <f>HYPERLINK("E:\Data From Lucan\2024\Johnstone\Frames_for_Analysis\3631_20240610_0005_L_1171.jpg","3631_20240610_0005_L_1171.jpg")</f>
        <v>3631_20240610_0005_L_1171.jpg</v>
      </c>
      <c r="G3634" s="75">
        <v>6</v>
      </c>
      <c r="I3634">
        <f t="shared" si="56"/>
        <v>0</v>
      </c>
      <c r="J3634" s="75">
        <v>0</v>
      </c>
      <c r="O3634" s="75">
        <v>1</v>
      </c>
      <c r="P3634" s="75">
        <v>0</v>
      </c>
      <c r="Q3634" s="75">
        <v>0</v>
      </c>
      <c r="R3634" s="75">
        <v>0</v>
      </c>
      <c r="S3634" s="75">
        <v>0</v>
      </c>
      <c r="T3634" s="75">
        <v>0</v>
      </c>
      <c r="U3634" s="75">
        <v>0</v>
      </c>
      <c r="V3634" s="75">
        <v>0</v>
      </c>
      <c r="W3634" s="78">
        <v>0</v>
      </c>
    </row>
    <row r="3635" spans="1:23" s="75" customFormat="1" hidden="1" x14ac:dyDescent="0.35">
      <c r="A3635" s="75">
        <v>3631</v>
      </c>
      <c r="B3635" s="75">
        <v>3632</v>
      </c>
      <c r="C3635">
        <v>146.03000789999999</v>
      </c>
      <c r="D3635">
        <v>-17.4843267</v>
      </c>
      <c r="F3635" s="75" t="str">
        <f>HYPERLINK("E:\Data From Lucan\2024\Johnstone\Frames_for_Analysis\3632_20240610_0005_L_1174.jpg","3632_20240610_0005_L_1174.jpg")</f>
        <v>3632_20240610_0005_L_1174.jpg</v>
      </c>
      <c r="G3635" s="75">
        <v>6</v>
      </c>
      <c r="I3635">
        <f t="shared" si="56"/>
        <v>0</v>
      </c>
      <c r="J3635" s="75">
        <v>0</v>
      </c>
      <c r="O3635" s="75">
        <v>1</v>
      </c>
      <c r="P3635" s="75">
        <v>0</v>
      </c>
      <c r="Q3635" s="75">
        <v>0</v>
      </c>
      <c r="R3635" s="75">
        <v>0</v>
      </c>
      <c r="S3635" s="75">
        <v>0</v>
      </c>
      <c r="T3635" s="75">
        <v>0</v>
      </c>
      <c r="U3635" s="75">
        <v>0</v>
      </c>
      <c r="V3635" s="75">
        <v>0</v>
      </c>
      <c r="W3635" s="78">
        <v>0</v>
      </c>
    </row>
    <row r="3636" spans="1:23" s="75" customFormat="1" hidden="1" x14ac:dyDescent="0.35">
      <c r="A3636" s="75">
        <v>3632</v>
      </c>
      <c r="B3636" s="75">
        <v>3633</v>
      </c>
      <c r="C3636">
        <v>146.03000789999999</v>
      </c>
      <c r="D3636">
        <v>-17.484421000000001</v>
      </c>
      <c r="F3636" s="75" t="str">
        <f>HYPERLINK("E:\Data From Lucan\2024\Johnstone\Frames_for_Analysis\3633_20240610_0005_L_1177.jpg","3633_20240610_0005_L_1177.jpg")</f>
        <v>3633_20240610_0005_L_1177.jpg</v>
      </c>
      <c r="G3636" s="75">
        <v>6</v>
      </c>
      <c r="I3636">
        <f t="shared" si="56"/>
        <v>0</v>
      </c>
      <c r="J3636" s="75">
        <v>0</v>
      </c>
      <c r="O3636" s="75">
        <v>1</v>
      </c>
      <c r="P3636" s="75">
        <v>0</v>
      </c>
      <c r="Q3636" s="75">
        <v>0</v>
      </c>
      <c r="R3636" s="75">
        <v>0</v>
      </c>
      <c r="S3636" s="75">
        <v>0</v>
      </c>
      <c r="T3636" s="75">
        <v>0</v>
      </c>
      <c r="U3636" s="75">
        <v>0</v>
      </c>
      <c r="V3636" s="75">
        <v>0</v>
      </c>
      <c r="W3636" s="78">
        <v>0</v>
      </c>
    </row>
    <row r="3637" spans="1:23" s="75" customFormat="1" hidden="1" x14ac:dyDescent="0.35">
      <c r="A3637" s="75">
        <v>3633</v>
      </c>
      <c r="B3637" s="75">
        <v>3634</v>
      </c>
      <c r="C3637">
        <v>146.03000789999999</v>
      </c>
      <c r="D3637">
        <v>-17.484515300000002</v>
      </c>
      <c r="F3637" s="75" t="str">
        <f>HYPERLINK("E:\Data From Lucan\2024\Johnstone\Frames_for_Analysis\3634_20240610_0005_L_1179.jpg","3634_20240610_0005_L_1179.jpg")</f>
        <v>3634_20240610_0005_L_1179.jpg</v>
      </c>
      <c r="G3637" s="75">
        <v>6</v>
      </c>
      <c r="I3637">
        <f t="shared" si="56"/>
        <v>0</v>
      </c>
      <c r="J3637" s="75">
        <v>0</v>
      </c>
      <c r="O3637" s="75">
        <v>1</v>
      </c>
      <c r="P3637" s="75">
        <v>0</v>
      </c>
      <c r="Q3637" s="75">
        <v>0</v>
      </c>
      <c r="R3637" s="75">
        <v>0</v>
      </c>
      <c r="S3637" s="75">
        <v>0</v>
      </c>
      <c r="T3637" s="75">
        <v>0</v>
      </c>
      <c r="U3637" s="75">
        <v>0</v>
      </c>
      <c r="V3637" s="75">
        <v>0</v>
      </c>
      <c r="W3637" s="78">
        <v>0</v>
      </c>
    </row>
    <row r="3638" spans="1:23" s="75" customFormat="1" hidden="1" x14ac:dyDescent="0.35">
      <c r="A3638" s="75">
        <v>3634</v>
      </c>
      <c r="B3638" s="75">
        <v>3635</v>
      </c>
      <c r="C3638">
        <v>146.03000789999999</v>
      </c>
      <c r="D3638">
        <v>-17.48460961</v>
      </c>
      <c r="F3638" s="75" t="str">
        <f>HYPERLINK("E:\Data From Lucan\2024\Johnstone\Frames_for_Analysis\3635_20240610_0005_L_1181.jpg","3635_20240610_0005_L_1181.jpg")</f>
        <v>3635_20240610_0005_L_1181.jpg</v>
      </c>
      <c r="G3638" s="75">
        <v>6</v>
      </c>
      <c r="I3638">
        <f t="shared" si="56"/>
        <v>0</v>
      </c>
      <c r="J3638" s="75">
        <v>0</v>
      </c>
      <c r="O3638" s="75">
        <v>1</v>
      </c>
      <c r="P3638" s="75">
        <v>0</v>
      </c>
      <c r="Q3638" s="75">
        <v>0</v>
      </c>
      <c r="R3638" s="75">
        <v>0</v>
      </c>
      <c r="S3638" s="75">
        <v>0</v>
      </c>
      <c r="T3638" s="75">
        <v>0</v>
      </c>
      <c r="U3638" s="75">
        <v>0</v>
      </c>
      <c r="V3638" s="75">
        <v>0</v>
      </c>
      <c r="W3638" s="78">
        <v>0</v>
      </c>
    </row>
    <row r="3639" spans="1:23" s="75" customFormat="1" hidden="1" x14ac:dyDescent="0.35">
      <c r="A3639" s="75">
        <v>3635</v>
      </c>
      <c r="B3639" s="75">
        <v>3636</v>
      </c>
      <c r="C3639">
        <v>146.03003530000001</v>
      </c>
      <c r="D3639">
        <v>-17.484686679999999</v>
      </c>
      <c r="F3639" s="75" t="str">
        <f>HYPERLINK("E:\Data From Lucan\2024\Johnstone\Frames_for_Analysis\3636_20240610_0005_L_1184.jpg","3636_20240610_0005_L_1184.jpg")</f>
        <v>3636_20240610_0005_L_1184.jpg</v>
      </c>
      <c r="G3639" s="75">
        <v>6</v>
      </c>
      <c r="I3639">
        <f t="shared" si="56"/>
        <v>0</v>
      </c>
      <c r="J3639" s="75">
        <v>0</v>
      </c>
      <c r="O3639" s="75">
        <v>1</v>
      </c>
      <c r="P3639" s="75">
        <v>0</v>
      </c>
      <c r="Q3639" s="75">
        <v>0</v>
      </c>
      <c r="R3639" s="75">
        <v>0</v>
      </c>
      <c r="S3639" s="75">
        <v>0</v>
      </c>
      <c r="T3639" s="75">
        <v>0</v>
      </c>
      <c r="U3639" s="75">
        <v>0</v>
      </c>
      <c r="V3639" s="75">
        <v>0</v>
      </c>
      <c r="W3639" s="78">
        <v>0</v>
      </c>
    </row>
    <row r="3640" spans="1:23" s="75" customFormat="1" hidden="1" x14ac:dyDescent="0.35">
      <c r="A3640" s="75">
        <v>3636</v>
      </c>
      <c r="B3640" s="75">
        <v>3637</v>
      </c>
      <c r="C3640">
        <v>146.03012029999999</v>
      </c>
      <c r="D3640">
        <v>-17.48472743</v>
      </c>
      <c r="F3640" s="75" t="str">
        <f>HYPERLINK("E:\Data From Lucan\2024\Johnstone\Frames_for_Analysis\3637_20240610_0005_L_1185.jpg","3637_20240610_0005_L_1185.jpg")</f>
        <v>3637_20240610_0005_L_1185.jpg</v>
      </c>
      <c r="G3640" s="75">
        <v>6</v>
      </c>
      <c r="I3640">
        <f t="shared" si="56"/>
        <v>0</v>
      </c>
      <c r="J3640" s="75">
        <v>0</v>
      </c>
      <c r="O3640" s="75">
        <v>1</v>
      </c>
      <c r="P3640" s="75">
        <v>0</v>
      </c>
      <c r="Q3640" s="75">
        <v>0</v>
      </c>
      <c r="R3640" s="75">
        <v>0</v>
      </c>
      <c r="S3640" s="75">
        <v>0</v>
      </c>
      <c r="T3640" s="75">
        <v>0</v>
      </c>
      <c r="U3640" s="75">
        <v>0</v>
      </c>
      <c r="V3640" s="75">
        <v>0</v>
      </c>
      <c r="W3640" s="78">
        <v>0</v>
      </c>
    </row>
    <row r="3641" spans="1:23" s="75" customFormat="1" hidden="1" x14ac:dyDescent="0.35">
      <c r="A3641" s="75">
        <v>3637</v>
      </c>
      <c r="B3641" s="75">
        <v>3638</v>
      </c>
      <c r="C3641">
        <v>146.03020179999999</v>
      </c>
      <c r="D3641">
        <v>-17.484771800000001</v>
      </c>
      <c r="F3641" s="75" t="str">
        <f>HYPERLINK("E:\Data From Lucan\2024\Johnstone\Frames_for_Analysis\3638_20240610_0005_L_1187.jpg","3638_20240610_0005_L_1187.jpg")</f>
        <v>3638_20240610_0005_L_1187.jpg</v>
      </c>
      <c r="G3641" s="75">
        <v>6</v>
      </c>
      <c r="I3641">
        <f t="shared" si="56"/>
        <v>0</v>
      </c>
      <c r="J3641" s="75">
        <v>0</v>
      </c>
      <c r="O3641" s="75">
        <v>1</v>
      </c>
      <c r="P3641" s="75">
        <v>0</v>
      </c>
      <c r="Q3641" s="75">
        <v>0</v>
      </c>
      <c r="R3641" s="75">
        <v>0</v>
      </c>
      <c r="S3641" s="75">
        <v>0</v>
      </c>
      <c r="T3641" s="75">
        <v>0</v>
      </c>
      <c r="U3641" s="75">
        <v>0</v>
      </c>
      <c r="V3641" s="75">
        <v>0</v>
      </c>
      <c r="W3641" s="78">
        <v>0</v>
      </c>
    </row>
    <row r="3642" spans="1:23" s="75" customFormat="1" hidden="1" x14ac:dyDescent="0.35">
      <c r="A3642" s="75">
        <v>3638</v>
      </c>
      <c r="B3642" s="75">
        <v>3639</v>
      </c>
      <c r="C3642">
        <v>146.03027320000001</v>
      </c>
      <c r="D3642">
        <v>-17.4848304</v>
      </c>
      <c r="F3642" s="75" t="str">
        <f>HYPERLINK("E:\Data From Lucan\2024\Johnstone\Frames_for_Analysis\3639_20240610_0005_L_1189.jpg","3639_20240610_0005_L_1189.jpg")</f>
        <v>3639_20240610_0005_L_1189.jpg</v>
      </c>
      <c r="G3642" s="75">
        <v>6</v>
      </c>
      <c r="I3642">
        <f t="shared" si="56"/>
        <v>0</v>
      </c>
      <c r="J3642" s="75">
        <v>0</v>
      </c>
      <c r="O3642" s="75">
        <v>1</v>
      </c>
      <c r="P3642" s="75">
        <v>0</v>
      </c>
      <c r="Q3642" s="75">
        <v>0</v>
      </c>
      <c r="R3642" s="75">
        <v>0</v>
      </c>
      <c r="S3642" s="75">
        <v>0</v>
      </c>
      <c r="T3642" s="75">
        <v>0</v>
      </c>
      <c r="U3642" s="75">
        <v>0</v>
      </c>
      <c r="V3642" s="75">
        <v>0</v>
      </c>
      <c r="W3642" s="78">
        <v>0</v>
      </c>
    </row>
    <row r="3643" spans="1:23" s="75" customFormat="1" hidden="1" x14ac:dyDescent="0.35">
      <c r="A3643" s="75">
        <v>3639</v>
      </c>
      <c r="B3643" s="75">
        <v>3640</v>
      </c>
      <c r="C3643">
        <v>146.0303462</v>
      </c>
      <c r="D3643">
        <v>-17.48488364</v>
      </c>
      <c r="F3643" s="75" t="str">
        <f>HYPERLINK("E:\Data From Lucan\2024\Johnstone\Frames_for_Analysis\3640_20240610_0005_L_1191.jpg","3640_20240610_0005_L_1191.jpg")</f>
        <v>3640_20240610_0005_L_1191.jpg</v>
      </c>
      <c r="G3643" s="75">
        <v>6</v>
      </c>
      <c r="I3643">
        <f t="shared" si="56"/>
        <v>0</v>
      </c>
      <c r="J3643" s="75">
        <v>0</v>
      </c>
      <c r="O3643" s="75">
        <v>1</v>
      </c>
      <c r="P3643" s="75">
        <v>0</v>
      </c>
      <c r="Q3643" s="75">
        <v>0</v>
      </c>
      <c r="R3643" s="75">
        <v>0</v>
      </c>
      <c r="S3643" s="75">
        <v>0</v>
      </c>
      <c r="T3643" s="75">
        <v>0</v>
      </c>
      <c r="U3643" s="75">
        <v>0</v>
      </c>
      <c r="V3643" s="75">
        <v>0</v>
      </c>
      <c r="W3643" s="78">
        <v>0</v>
      </c>
    </row>
    <row r="3644" spans="1:23" s="75" customFormat="1" hidden="1" x14ac:dyDescent="0.35">
      <c r="A3644" s="75">
        <v>3640</v>
      </c>
      <c r="B3644" s="75">
        <v>3641</v>
      </c>
      <c r="C3644">
        <v>146.03039290000001</v>
      </c>
      <c r="D3644">
        <v>-17.48496261</v>
      </c>
      <c r="F3644" s="75" t="str">
        <f>HYPERLINK("E:\Data From Lucan\2024\Johnstone\Frames_for_Analysis\3641_20240610_0005_L_1194.jpg","3641_20240610_0005_L_1194.jpg")</f>
        <v>3641_20240610_0005_L_1194.jpg</v>
      </c>
      <c r="G3644" s="75">
        <v>6</v>
      </c>
      <c r="I3644">
        <f t="shared" si="56"/>
        <v>0</v>
      </c>
      <c r="J3644" s="75">
        <v>0</v>
      </c>
      <c r="O3644" s="75">
        <v>1</v>
      </c>
      <c r="P3644" s="75">
        <v>0</v>
      </c>
      <c r="Q3644" s="75">
        <v>0</v>
      </c>
      <c r="R3644" s="75">
        <v>0</v>
      </c>
      <c r="S3644" s="75">
        <v>0</v>
      </c>
      <c r="T3644" s="75">
        <v>0</v>
      </c>
      <c r="U3644" s="75">
        <v>0</v>
      </c>
      <c r="V3644" s="75">
        <v>0</v>
      </c>
      <c r="W3644" s="78">
        <v>0</v>
      </c>
    </row>
    <row r="3645" spans="1:23" s="75" customFormat="1" hidden="1" x14ac:dyDescent="0.35">
      <c r="A3645" s="75">
        <v>3641</v>
      </c>
      <c r="B3645" s="75">
        <v>3642</v>
      </c>
      <c r="C3645">
        <v>146.0304155</v>
      </c>
      <c r="D3645">
        <v>-17.48505419</v>
      </c>
      <c r="F3645" s="75" t="str">
        <f>HYPERLINK("E:\Data From Lucan\2024\Johnstone\Frames_for_Analysis\3642_20240610_0005_L_1198.jpg","3642_20240610_0005_L_1198.jpg")</f>
        <v>3642_20240610_0005_L_1198.jpg</v>
      </c>
      <c r="G3645" s="75">
        <v>6</v>
      </c>
      <c r="I3645">
        <f t="shared" si="56"/>
        <v>0</v>
      </c>
      <c r="J3645" s="75">
        <v>0</v>
      </c>
      <c r="O3645" s="75">
        <v>1</v>
      </c>
      <c r="P3645" s="75">
        <v>0</v>
      </c>
      <c r="Q3645" s="75">
        <v>0</v>
      </c>
      <c r="R3645" s="75">
        <v>0</v>
      </c>
      <c r="S3645" s="75">
        <v>0</v>
      </c>
      <c r="T3645" s="75">
        <v>0</v>
      </c>
      <c r="U3645" s="75">
        <v>0</v>
      </c>
      <c r="V3645" s="75">
        <v>0</v>
      </c>
      <c r="W3645" s="78">
        <v>0</v>
      </c>
    </row>
    <row r="3646" spans="1:23" s="75" customFormat="1" hidden="1" x14ac:dyDescent="0.35">
      <c r="A3646" s="75">
        <v>3642</v>
      </c>
      <c r="B3646" s="75">
        <v>3643</v>
      </c>
      <c r="C3646">
        <v>146.030438</v>
      </c>
      <c r="D3646">
        <v>-17.485145760000002</v>
      </c>
      <c r="F3646" s="75" t="str">
        <f>HYPERLINK("E:\Data From Lucan\2024\Johnstone\Frames_for_Analysis\3643_20240610_0005_L_1202.jpg","3643_20240610_0005_L_1202.jpg")</f>
        <v>3643_20240610_0005_L_1202.jpg</v>
      </c>
      <c r="G3646" s="75">
        <v>6</v>
      </c>
      <c r="I3646">
        <f t="shared" si="56"/>
        <v>0</v>
      </c>
      <c r="J3646" s="75">
        <v>0</v>
      </c>
      <c r="O3646" s="75">
        <v>1</v>
      </c>
      <c r="P3646" s="75">
        <v>0</v>
      </c>
      <c r="Q3646" s="75">
        <v>0</v>
      </c>
      <c r="R3646" s="75">
        <v>0</v>
      </c>
      <c r="S3646" s="75">
        <v>0</v>
      </c>
      <c r="T3646" s="75">
        <v>0</v>
      </c>
      <c r="U3646" s="75">
        <v>0</v>
      </c>
      <c r="V3646" s="75">
        <v>0</v>
      </c>
      <c r="W3646" s="78">
        <v>0</v>
      </c>
    </row>
    <row r="3647" spans="1:23" s="75" customFormat="1" hidden="1" x14ac:dyDescent="0.35">
      <c r="A3647" s="75">
        <v>3643</v>
      </c>
      <c r="B3647" s="75">
        <v>3644</v>
      </c>
      <c r="C3647">
        <v>146.03045589999999</v>
      </c>
      <c r="D3647">
        <v>-17.485238320000001</v>
      </c>
      <c r="F3647" s="75" t="str">
        <f>HYPERLINK("E:\Data From Lucan\2024\Johnstone\Frames_for_Analysis\3644_20240610_0005_L_1206.jpg","3644_20240610_0005_L_1206.jpg")</f>
        <v>3644_20240610_0005_L_1206.jpg</v>
      </c>
      <c r="G3647" s="75">
        <v>6</v>
      </c>
      <c r="I3647">
        <f t="shared" si="56"/>
        <v>0</v>
      </c>
      <c r="J3647" s="75">
        <v>0</v>
      </c>
      <c r="O3647" s="75">
        <v>1</v>
      </c>
      <c r="P3647" s="75">
        <v>0</v>
      </c>
      <c r="Q3647" s="75">
        <v>0</v>
      </c>
      <c r="R3647" s="75">
        <v>0</v>
      </c>
      <c r="S3647" s="75">
        <v>0</v>
      </c>
      <c r="T3647" s="75">
        <v>0</v>
      </c>
      <c r="U3647" s="75">
        <v>0</v>
      </c>
      <c r="V3647" s="75">
        <v>0</v>
      </c>
      <c r="W3647" s="78">
        <v>0</v>
      </c>
    </row>
    <row r="3648" spans="1:23" s="75" customFormat="1" hidden="1" x14ac:dyDescent="0.35">
      <c r="A3648" s="75">
        <v>3644</v>
      </c>
      <c r="B3648" s="75">
        <v>3645</v>
      </c>
      <c r="C3648">
        <v>146.030473</v>
      </c>
      <c r="D3648">
        <v>-17.48533106</v>
      </c>
      <c r="F3648" s="75" t="str">
        <f>HYPERLINK("E:\Data From Lucan\2024\Johnstone\Frames_for_Analysis\3645_20240610_0005_L_1208.jpg","3645_20240610_0005_L_1208.jpg")</f>
        <v>3645_20240610_0005_L_1208.jpg</v>
      </c>
      <c r="G3648" s="75">
        <v>6</v>
      </c>
      <c r="I3648">
        <f t="shared" si="56"/>
        <v>0</v>
      </c>
      <c r="J3648" s="75">
        <v>0</v>
      </c>
      <c r="O3648" s="75">
        <v>1</v>
      </c>
      <c r="P3648" s="75">
        <v>0</v>
      </c>
      <c r="Q3648" s="75">
        <v>0</v>
      </c>
      <c r="R3648" s="75">
        <v>0</v>
      </c>
      <c r="S3648" s="75">
        <v>0</v>
      </c>
      <c r="T3648" s="75">
        <v>0</v>
      </c>
      <c r="U3648" s="75">
        <v>0</v>
      </c>
      <c r="V3648" s="75">
        <v>0</v>
      </c>
      <c r="W3648" s="78">
        <v>0</v>
      </c>
    </row>
    <row r="3649" spans="1:23" s="75" customFormat="1" hidden="1" x14ac:dyDescent="0.35">
      <c r="A3649" s="75">
        <v>3645</v>
      </c>
      <c r="B3649" s="75">
        <v>3646</v>
      </c>
      <c r="C3649">
        <v>146.0305094</v>
      </c>
      <c r="D3649">
        <v>-17.485417859999998</v>
      </c>
      <c r="F3649" s="75" t="str">
        <f>HYPERLINK("E:\Data From Lucan\2024\Johnstone\Frames_for_Analysis\3646_20240610_0005_L_1211.jpg","3646_20240610_0005_L_1211.jpg")</f>
        <v>3646_20240610_0005_L_1211.jpg</v>
      </c>
      <c r="G3649" s="75">
        <v>6</v>
      </c>
      <c r="I3649">
        <f t="shared" si="56"/>
        <v>0</v>
      </c>
      <c r="J3649" s="75">
        <v>0</v>
      </c>
      <c r="O3649" s="75">
        <v>1</v>
      </c>
      <c r="P3649" s="75">
        <v>0</v>
      </c>
      <c r="Q3649" s="75">
        <v>0</v>
      </c>
      <c r="R3649" s="75">
        <v>0</v>
      </c>
      <c r="S3649" s="75">
        <v>0</v>
      </c>
      <c r="T3649" s="75">
        <v>0</v>
      </c>
      <c r="U3649" s="75">
        <v>0</v>
      </c>
      <c r="V3649" s="75">
        <v>0</v>
      </c>
      <c r="W3649" s="78">
        <v>0</v>
      </c>
    </row>
    <row r="3650" spans="1:23" s="75" customFormat="1" hidden="1" x14ac:dyDescent="0.35">
      <c r="A3650" s="75">
        <v>3646</v>
      </c>
      <c r="B3650" s="75">
        <v>3647</v>
      </c>
      <c r="C3650">
        <v>146.0305237</v>
      </c>
      <c r="D3650">
        <v>-17.48550908</v>
      </c>
      <c r="F3650" s="75" t="str">
        <f>HYPERLINK("E:\Data From Lucan\2024\Johnstone\Frames_for_Analysis\3647_20240610_0005_L_1214.jpg","3647_20240610_0005_L_1214.jpg")</f>
        <v>3647_20240610_0005_L_1214.jpg</v>
      </c>
      <c r="G3650" s="75">
        <v>6</v>
      </c>
      <c r="I3650">
        <f t="shared" si="56"/>
        <v>0</v>
      </c>
      <c r="J3650" s="75">
        <v>0</v>
      </c>
      <c r="O3650" s="75">
        <v>1</v>
      </c>
      <c r="P3650" s="75">
        <v>0</v>
      </c>
      <c r="Q3650" s="75">
        <v>0</v>
      </c>
      <c r="R3650" s="75">
        <v>0</v>
      </c>
      <c r="S3650" s="75">
        <v>0</v>
      </c>
      <c r="T3650" s="75">
        <v>0</v>
      </c>
      <c r="U3650" s="75">
        <v>0</v>
      </c>
      <c r="V3650" s="75">
        <v>0</v>
      </c>
      <c r="W3650" s="78">
        <v>0</v>
      </c>
    </row>
    <row r="3651" spans="1:23" s="75" customFormat="1" hidden="1" x14ac:dyDescent="0.35">
      <c r="A3651" s="75">
        <v>3647</v>
      </c>
      <c r="B3651" s="75">
        <v>3648</v>
      </c>
      <c r="C3651">
        <v>146.0305372</v>
      </c>
      <c r="D3651">
        <v>-17.485587420000002</v>
      </c>
      <c r="F3651" s="75" t="str">
        <f>HYPERLINK("E:\Data From Lucan\2024\Johnstone\Frames_for_Analysis\3648_20240610_0005_L_1216.jpg","3648_20240610_0005_L_1216.jpg")</f>
        <v>3648_20240610_0005_L_1216.jpg</v>
      </c>
      <c r="G3651" s="75">
        <v>6</v>
      </c>
      <c r="I3651">
        <f t="shared" si="56"/>
        <v>0</v>
      </c>
      <c r="J3651" s="75">
        <v>0</v>
      </c>
      <c r="O3651" s="75">
        <v>1</v>
      </c>
      <c r="P3651" s="75">
        <v>0</v>
      </c>
      <c r="Q3651" s="75">
        <v>0</v>
      </c>
      <c r="R3651" s="75">
        <v>0</v>
      </c>
      <c r="S3651" s="75">
        <v>0</v>
      </c>
      <c r="T3651" s="75">
        <v>0</v>
      </c>
      <c r="U3651" s="75">
        <v>0</v>
      </c>
      <c r="V3651" s="75">
        <v>0</v>
      </c>
      <c r="W3651" s="78">
        <v>0</v>
      </c>
    </row>
    <row r="3652" spans="1:23" s="75" customFormat="1" hidden="1" x14ac:dyDescent="0.35">
      <c r="A3652" s="75">
        <v>3648</v>
      </c>
      <c r="B3652" s="75">
        <v>3649</v>
      </c>
      <c r="C3652">
        <v>146.03052500000001</v>
      </c>
      <c r="D3652">
        <v>-17.485674329999998</v>
      </c>
      <c r="F3652" s="75" t="str">
        <f>HYPERLINK("E:\Data From Lucan\2024\Johnstone\Frames_for_Analysis\3649_20240610_0005_L_1218.jpg","3649_20240610_0005_L_1218.jpg")</f>
        <v>3649_20240610_0005_L_1218.jpg</v>
      </c>
      <c r="G3652" s="75">
        <v>6</v>
      </c>
      <c r="I3652">
        <f t="shared" si="56"/>
        <v>0</v>
      </c>
      <c r="J3652" s="75">
        <v>0</v>
      </c>
      <c r="O3652" s="75">
        <v>1</v>
      </c>
      <c r="P3652" s="75">
        <v>0</v>
      </c>
      <c r="Q3652" s="75">
        <v>0</v>
      </c>
      <c r="R3652" s="75">
        <v>0</v>
      </c>
      <c r="S3652" s="75">
        <v>0</v>
      </c>
      <c r="T3652" s="75">
        <v>0</v>
      </c>
      <c r="U3652" s="75">
        <v>0</v>
      </c>
      <c r="V3652" s="75">
        <v>0</v>
      </c>
      <c r="W3652" s="78">
        <v>0</v>
      </c>
    </row>
    <row r="3653" spans="1:23" s="75" customFormat="1" hidden="1" x14ac:dyDescent="0.35">
      <c r="A3653" s="75">
        <v>3649</v>
      </c>
      <c r="B3653" s="75">
        <v>3650</v>
      </c>
      <c r="C3653">
        <v>146.0305347</v>
      </c>
      <c r="D3653">
        <v>-17.485767710000001</v>
      </c>
      <c r="F3653" s="75" t="str">
        <f>HYPERLINK("E:\Data From Lucan\2024\Johnstone\Frames_for_Analysis\3650_20240610_0005_L_1221.jpg","3650_20240610_0005_L_1221.jpg")</f>
        <v>3650_20240610_0005_L_1221.jpg</v>
      </c>
      <c r="G3653" s="75">
        <v>6</v>
      </c>
      <c r="I3653">
        <f t="shared" ref="I3653:I3716" si="57">IF(H3653="X","X",IF(J3653="NA","X",IF(J3653="","X",J3653)))</f>
        <v>0</v>
      </c>
      <c r="J3653" s="75">
        <v>0</v>
      </c>
      <c r="O3653" s="75">
        <v>1</v>
      </c>
      <c r="P3653" s="75">
        <v>0</v>
      </c>
      <c r="Q3653" s="75">
        <v>0</v>
      </c>
      <c r="R3653" s="75">
        <v>0</v>
      </c>
      <c r="S3653" s="75">
        <v>0</v>
      </c>
      <c r="T3653" s="75">
        <v>0</v>
      </c>
      <c r="U3653" s="75">
        <v>0</v>
      </c>
      <c r="V3653" s="75">
        <v>0</v>
      </c>
      <c r="W3653" s="78">
        <v>0</v>
      </c>
    </row>
    <row r="3654" spans="1:23" s="75" customFormat="1" hidden="1" x14ac:dyDescent="0.35">
      <c r="A3654" s="75">
        <v>3650</v>
      </c>
      <c r="B3654" s="75">
        <v>3651</v>
      </c>
      <c r="C3654">
        <v>146.03054850000001</v>
      </c>
      <c r="D3654">
        <v>-17.485860890000001</v>
      </c>
      <c r="F3654" s="75" t="str">
        <f>HYPERLINK("E:\Data From Lucan\2024\Johnstone\Frames_for_Analysis\3651_20240610_0005_L_1223.jpg","3651_20240610_0005_L_1223.jpg")</f>
        <v>3651_20240610_0005_L_1223.jpg</v>
      </c>
      <c r="G3654" s="75">
        <v>6</v>
      </c>
      <c r="I3654">
        <f t="shared" si="57"/>
        <v>0</v>
      </c>
      <c r="J3654" s="75">
        <v>0</v>
      </c>
      <c r="O3654" s="75">
        <v>1</v>
      </c>
      <c r="P3654" s="75">
        <v>0</v>
      </c>
      <c r="Q3654" s="75">
        <v>0</v>
      </c>
      <c r="R3654" s="75">
        <v>0</v>
      </c>
      <c r="S3654" s="75">
        <v>0</v>
      </c>
      <c r="T3654" s="75">
        <v>0</v>
      </c>
      <c r="U3654" s="75">
        <v>0</v>
      </c>
      <c r="V3654" s="75">
        <v>0</v>
      </c>
      <c r="W3654" s="78">
        <v>0</v>
      </c>
    </row>
    <row r="3655" spans="1:23" s="75" customFormat="1" hidden="1" x14ac:dyDescent="0.35">
      <c r="A3655" s="75">
        <v>3651</v>
      </c>
      <c r="B3655" s="75">
        <v>3652</v>
      </c>
      <c r="C3655">
        <v>146.03057319999999</v>
      </c>
      <c r="D3655">
        <v>-17.485951879999998</v>
      </c>
      <c r="F3655" s="75" t="str">
        <f>HYPERLINK("E:\Data From Lucan\2024\Johnstone\Frames_for_Analysis\3652_20240610_0005_L_1226.jpg","3652_20240610_0005_L_1226.jpg")</f>
        <v>3652_20240610_0005_L_1226.jpg</v>
      </c>
      <c r="G3655" s="75">
        <v>6</v>
      </c>
      <c r="I3655">
        <f t="shared" si="57"/>
        <v>0</v>
      </c>
      <c r="J3655" s="75">
        <v>0</v>
      </c>
      <c r="O3655" s="75">
        <v>1</v>
      </c>
      <c r="P3655" s="75">
        <v>0</v>
      </c>
      <c r="Q3655" s="75">
        <v>0</v>
      </c>
      <c r="R3655" s="75">
        <v>0</v>
      </c>
      <c r="S3655" s="75">
        <v>0</v>
      </c>
      <c r="T3655" s="75">
        <v>0</v>
      </c>
      <c r="U3655" s="75">
        <v>0</v>
      </c>
      <c r="V3655" s="75">
        <v>1</v>
      </c>
      <c r="W3655" s="78">
        <v>0</v>
      </c>
    </row>
    <row r="3656" spans="1:23" s="75" customFormat="1" hidden="1" x14ac:dyDescent="0.35">
      <c r="A3656" s="75">
        <v>3652</v>
      </c>
      <c r="B3656" s="75">
        <v>3653</v>
      </c>
      <c r="C3656">
        <v>146.030598</v>
      </c>
      <c r="D3656">
        <v>-17.486042879999999</v>
      </c>
      <c r="F3656" s="75" t="str">
        <f>HYPERLINK("E:\Data From Lucan\2024\Johnstone\Frames_for_Analysis\3653_20240610_0005_L_1228.jpg","3653_20240610_0005_L_1228.jpg")</f>
        <v>3653_20240610_0005_L_1228.jpg</v>
      </c>
      <c r="G3656" s="75">
        <v>6</v>
      </c>
      <c r="I3656">
        <f t="shared" si="57"/>
        <v>0</v>
      </c>
      <c r="J3656" s="75">
        <v>0</v>
      </c>
      <c r="O3656" s="75">
        <v>1</v>
      </c>
      <c r="P3656" s="75">
        <v>0</v>
      </c>
      <c r="Q3656" s="75">
        <v>0</v>
      </c>
      <c r="R3656" s="75">
        <v>0</v>
      </c>
      <c r="S3656" s="75">
        <v>0</v>
      </c>
      <c r="T3656" s="75">
        <v>0</v>
      </c>
      <c r="U3656" s="75">
        <v>0</v>
      </c>
      <c r="V3656" s="75">
        <v>1</v>
      </c>
      <c r="W3656" s="78">
        <v>0</v>
      </c>
    </row>
    <row r="3657" spans="1:23" s="75" customFormat="1" hidden="1" x14ac:dyDescent="0.35">
      <c r="A3657" s="75">
        <v>3653</v>
      </c>
      <c r="B3657" s="75">
        <v>3654</v>
      </c>
      <c r="C3657">
        <v>146.03062019999999</v>
      </c>
      <c r="D3657">
        <v>-17.486134369999998</v>
      </c>
      <c r="F3657" s="75" t="str">
        <f>HYPERLINK("E:\Data From Lucan\2024\Johnstone\Frames_for_Analysis\3654_20240610_0005_L_1230.jpg","3654_20240610_0005_L_1230.jpg")</f>
        <v>3654_20240610_0005_L_1230.jpg</v>
      </c>
      <c r="G3657" s="75">
        <v>6</v>
      </c>
      <c r="I3657">
        <f t="shared" si="57"/>
        <v>0</v>
      </c>
      <c r="J3657" s="75">
        <v>0</v>
      </c>
      <c r="O3657" s="75">
        <v>1</v>
      </c>
      <c r="P3657" s="75">
        <v>0</v>
      </c>
      <c r="Q3657" s="75">
        <v>0</v>
      </c>
      <c r="R3657" s="75">
        <v>0</v>
      </c>
      <c r="S3657" s="75">
        <v>0</v>
      </c>
      <c r="T3657" s="75">
        <v>0</v>
      </c>
      <c r="U3657" s="75">
        <v>0</v>
      </c>
      <c r="V3657" s="75">
        <v>1</v>
      </c>
      <c r="W3657" s="78">
        <v>0</v>
      </c>
    </row>
    <row r="3658" spans="1:23" s="75" customFormat="1" hidden="1" x14ac:dyDescent="0.35">
      <c r="A3658" s="75">
        <v>3654</v>
      </c>
      <c r="B3658" s="75">
        <v>3655</v>
      </c>
      <c r="C3658">
        <v>146.03063130000001</v>
      </c>
      <c r="D3658">
        <v>-17.486228019999999</v>
      </c>
      <c r="F3658" s="75" t="str">
        <f>HYPERLINK("E:\Data From Lucan\2024\Johnstone\Frames_for_Analysis\3655_20240610_0005_L_1233.jpg","3655_20240610_0005_L_1233.jpg")</f>
        <v>3655_20240610_0005_L_1233.jpg</v>
      </c>
      <c r="G3658" s="75">
        <v>6</v>
      </c>
      <c r="I3658">
        <f t="shared" si="57"/>
        <v>0</v>
      </c>
      <c r="J3658" s="75">
        <v>0</v>
      </c>
      <c r="O3658" s="75">
        <v>1</v>
      </c>
      <c r="P3658" s="75">
        <v>0</v>
      </c>
      <c r="Q3658" s="75">
        <v>0</v>
      </c>
      <c r="R3658" s="75">
        <v>0</v>
      </c>
      <c r="S3658" s="75">
        <v>0</v>
      </c>
      <c r="T3658" s="75">
        <v>0</v>
      </c>
      <c r="U3658" s="75">
        <v>0</v>
      </c>
      <c r="V3658" s="75">
        <v>0</v>
      </c>
      <c r="W3658" s="78">
        <v>0</v>
      </c>
    </row>
    <row r="3659" spans="1:23" s="75" customFormat="1" hidden="1" x14ac:dyDescent="0.35">
      <c r="A3659" s="75">
        <v>3655</v>
      </c>
      <c r="B3659" s="75">
        <v>3656</v>
      </c>
      <c r="C3659">
        <v>146.03066179999999</v>
      </c>
      <c r="D3659">
        <v>-17.486316309999999</v>
      </c>
      <c r="F3659" s="75" t="str">
        <f>HYPERLINK("E:\Data From Lucan\2024\Johnstone\Frames_for_Analysis\3656_20240610_0005_L_1235.jpg","3656_20240610_0005_L_1235.jpg")</f>
        <v>3656_20240610_0005_L_1235.jpg</v>
      </c>
      <c r="G3659" s="75">
        <v>6</v>
      </c>
      <c r="I3659">
        <f t="shared" si="57"/>
        <v>0</v>
      </c>
      <c r="J3659" s="75">
        <v>0</v>
      </c>
      <c r="O3659" s="75">
        <v>1</v>
      </c>
      <c r="P3659" s="75">
        <v>0</v>
      </c>
      <c r="Q3659" s="75">
        <v>0</v>
      </c>
      <c r="R3659" s="75">
        <v>0</v>
      </c>
      <c r="S3659" s="75">
        <v>0</v>
      </c>
      <c r="T3659" s="75">
        <v>0</v>
      </c>
      <c r="U3659" s="75">
        <v>0</v>
      </c>
      <c r="V3659" s="75">
        <v>1</v>
      </c>
      <c r="W3659" s="78">
        <v>0</v>
      </c>
    </row>
    <row r="3660" spans="1:23" s="75" customFormat="1" hidden="1" x14ac:dyDescent="0.35">
      <c r="A3660" s="75">
        <v>3656</v>
      </c>
      <c r="B3660" s="75">
        <v>3657</v>
      </c>
      <c r="C3660">
        <v>146.03070030000001</v>
      </c>
      <c r="D3660">
        <v>-17.48640241</v>
      </c>
      <c r="F3660" s="75" t="str">
        <f>HYPERLINK("E:\Data From Lucan\2024\Johnstone\Frames_for_Analysis\3657_20240610_0005_L_1237.jpg","3657_20240610_0005_L_1237.jpg")</f>
        <v>3657_20240610_0005_L_1237.jpg</v>
      </c>
      <c r="G3660" s="75">
        <v>6</v>
      </c>
      <c r="I3660">
        <f t="shared" si="57"/>
        <v>0</v>
      </c>
      <c r="J3660" s="75">
        <v>0</v>
      </c>
      <c r="O3660" s="75">
        <v>1</v>
      </c>
      <c r="P3660" s="75">
        <v>0</v>
      </c>
      <c r="Q3660" s="75">
        <v>0</v>
      </c>
      <c r="R3660" s="75">
        <v>0</v>
      </c>
      <c r="S3660" s="75">
        <v>0</v>
      </c>
      <c r="T3660" s="75">
        <v>0</v>
      </c>
      <c r="U3660" s="75">
        <v>0</v>
      </c>
      <c r="V3660" s="75">
        <v>1</v>
      </c>
      <c r="W3660" s="78">
        <v>0</v>
      </c>
    </row>
    <row r="3661" spans="1:23" s="75" customFormat="1" hidden="1" x14ac:dyDescent="0.35">
      <c r="A3661" s="75">
        <v>3657</v>
      </c>
      <c r="B3661" s="75">
        <v>3658</v>
      </c>
      <c r="C3661">
        <v>146.03073879999999</v>
      </c>
      <c r="D3661">
        <v>-17.486488510000001</v>
      </c>
      <c r="F3661" s="75" t="str">
        <f>HYPERLINK("E:\Data From Lucan\2024\Johnstone\Frames_for_Analysis\3658_20240610_0005_L_1239.jpg","3658_20240610_0005_L_1239.jpg")</f>
        <v>3658_20240610_0005_L_1239.jpg</v>
      </c>
      <c r="G3661" s="75">
        <v>6</v>
      </c>
      <c r="I3661">
        <f t="shared" si="57"/>
        <v>0</v>
      </c>
      <c r="J3661" s="75">
        <v>0</v>
      </c>
      <c r="O3661" s="75">
        <v>1</v>
      </c>
      <c r="P3661" s="75">
        <v>0</v>
      </c>
      <c r="Q3661" s="75">
        <v>0</v>
      </c>
      <c r="R3661" s="75">
        <v>0</v>
      </c>
      <c r="S3661" s="75">
        <v>0</v>
      </c>
      <c r="T3661" s="75">
        <v>0</v>
      </c>
      <c r="U3661" s="75">
        <v>0</v>
      </c>
      <c r="V3661" s="75">
        <v>0</v>
      </c>
      <c r="W3661" s="78">
        <v>0</v>
      </c>
    </row>
    <row r="3662" spans="1:23" s="75" customFormat="1" hidden="1" x14ac:dyDescent="0.35">
      <c r="A3662" s="75">
        <v>3658</v>
      </c>
      <c r="B3662" s="75">
        <v>3659</v>
      </c>
      <c r="C3662">
        <v>146.03078410000001</v>
      </c>
      <c r="D3662">
        <v>-17.48656999</v>
      </c>
      <c r="F3662" s="75" t="str">
        <f>HYPERLINK("E:\Data From Lucan\2024\Johnstone\Frames_for_Analysis\3659_20240610_0005_L_1241.jpg","3659_20240610_0005_L_1241.jpg")</f>
        <v>3659_20240610_0005_L_1241.jpg</v>
      </c>
      <c r="G3662" s="75">
        <v>6</v>
      </c>
      <c r="I3662">
        <f t="shared" si="57"/>
        <v>0</v>
      </c>
      <c r="J3662" s="75">
        <v>0</v>
      </c>
      <c r="O3662" s="75">
        <v>1</v>
      </c>
      <c r="P3662" s="75">
        <v>0</v>
      </c>
      <c r="Q3662" s="75">
        <v>0</v>
      </c>
      <c r="R3662" s="75">
        <v>0</v>
      </c>
      <c r="S3662" s="75">
        <v>0</v>
      </c>
      <c r="T3662" s="75">
        <v>0</v>
      </c>
      <c r="U3662" s="75">
        <v>0</v>
      </c>
      <c r="V3662" s="75">
        <v>0</v>
      </c>
      <c r="W3662" s="78">
        <v>0</v>
      </c>
    </row>
    <row r="3663" spans="1:23" s="75" customFormat="1" hidden="1" x14ac:dyDescent="0.35">
      <c r="A3663" s="75">
        <v>3659</v>
      </c>
      <c r="B3663" s="75">
        <v>3660</v>
      </c>
      <c r="C3663">
        <v>146.03079450000001</v>
      </c>
      <c r="D3663">
        <v>-17.486653560000001</v>
      </c>
      <c r="F3663" s="75" t="str">
        <f>HYPERLINK("E:\Data From Lucan\2024\Johnstone\Frames_for_Analysis\3660_20240610_0005_L_1243.jpg","3660_20240610_0005_L_1243.jpg")</f>
        <v>3660_20240610_0005_L_1243.jpg</v>
      </c>
      <c r="G3663" s="75">
        <v>6</v>
      </c>
      <c r="I3663">
        <f t="shared" si="57"/>
        <v>0</v>
      </c>
      <c r="J3663" s="75">
        <v>0</v>
      </c>
      <c r="O3663" s="75">
        <v>1</v>
      </c>
      <c r="P3663" s="75">
        <v>0</v>
      </c>
      <c r="Q3663" s="75">
        <v>0</v>
      </c>
      <c r="R3663" s="75">
        <v>0</v>
      </c>
      <c r="S3663" s="75">
        <v>0</v>
      </c>
      <c r="T3663" s="75">
        <v>0</v>
      </c>
      <c r="U3663" s="75">
        <v>0</v>
      </c>
      <c r="V3663" s="75">
        <v>1</v>
      </c>
      <c r="W3663" s="78">
        <v>0</v>
      </c>
    </row>
    <row r="3664" spans="1:23" s="75" customFormat="1" hidden="1" x14ac:dyDescent="0.35">
      <c r="A3664" s="75">
        <v>3660</v>
      </c>
      <c r="B3664" s="75">
        <v>3661</v>
      </c>
      <c r="C3664">
        <v>146.03081080000001</v>
      </c>
      <c r="D3664">
        <v>-17.486745769999999</v>
      </c>
      <c r="F3664" s="75" t="str">
        <f>HYPERLINK("E:\Data From Lucan\2024\Johnstone\Frames_for_Analysis\3661_20240610_0005_L_1246.jpg","3661_20240610_0005_L_1246.jpg")</f>
        <v>3661_20240610_0005_L_1246.jpg</v>
      </c>
      <c r="G3664" s="75">
        <v>6</v>
      </c>
      <c r="I3664">
        <f t="shared" si="57"/>
        <v>0</v>
      </c>
      <c r="J3664" s="75">
        <v>0</v>
      </c>
      <c r="O3664" s="75">
        <v>1</v>
      </c>
      <c r="P3664" s="75">
        <v>0</v>
      </c>
      <c r="Q3664" s="75">
        <v>0</v>
      </c>
      <c r="R3664" s="75">
        <v>0</v>
      </c>
      <c r="S3664" s="75">
        <v>0</v>
      </c>
      <c r="T3664" s="75">
        <v>0</v>
      </c>
      <c r="U3664" s="75">
        <v>0</v>
      </c>
      <c r="V3664" s="75">
        <v>0</v>
      </c>
      <c r="W3664" s="78">
        <v>0</v>
      </c>
    </row>
    <row r="3665" spans="1:23" s="75" customFormat="1" hidden="1" x14ac:dyDescent="0.35">
      <c r="A3665" s="75">
        <v>3661</v>
      </c>
      <c r="B3665" s="75">
        <v>3662</v>
      </c>
      <c r="C3665">
        <v>146.0308187</v>
      </c>
      <c r="D3665">
        <v>-17.486839639999999</v>
      </c>
      <c r="F3665" s="75" t="str">
        <f>HYPERLINK("E:\Data From Lucan\2024\Johnstone\Frames_for_Analysis\3662_20240610_0005_L_1248.jpg","3662_20240610_0005_L_1248.jpg")</f>
        <v>3662_20240610_0005_L_1248.jpg</v>
      </c>
      <c r="G3665" s="75">
        <v>6</v>
      </c>
      <c r="I3665">
        <f t="shared" si="57"/>
        <v>0</v>
      </c>
      <c r="J3665" s="75">
        <v>0</v>
      </c>
      <c r="O3665" s="75">
        <v>1</v>
      </c>
      <c r="P3665" s="75">
        <v>0</v>
      </c>
      <c r="Q3665" s="75">
        <v>0</v>
      </c>
      <c r="R3665" s="75">
        <v>0</v>
      </c>
      <c r="S3665" s="75">
        <v>0</v>
      </c>
      <c r="T3665" s="75">
        <v>0</v>
      </c>
      <c r="U3665" s="75">
        <v>0</v>
      </c>
      <c r="V3665" s="75">
        <v>1</v>
      </c>
      <c r="W3665" s="78">
        <v>0</v>
      </c>
    </row>
    <row r="3666" spans="1:23" s="75" customFormat="1" hidden="1" x14ac:dyDescent="0.35">
      <c r="A3666" s="75">
        <v>3662</v>
      </c>
      <c r="B3666" s="75">
        <v>3663</v>
      </c>
      <c r="C3666">
        <v>146.03081510000001</v>
      </c>
      <c r="D3666">
        <v>-17.48693372</v>
      </c>
      <c r="F3666" s="75" t="str">
        <f>HYPERLINK("E:\Data From Lucan\2024\Johnstone\Frames_for_Analysis\3663_20240610_0005_L_1251.jpg","3663_20240610_0005_L_1251.jpg")</f>
        <v>3663_20240610_0005_L_1251.jpg</v>
      </c>
      <c r="G3666" s="75">
        <v>6</v>
      </c>
      <c r="I3666">
        <f t="shared" si="57"/>
        <v>0</v>
      </c>
      <c r="J3666" s="75">
        <v>0</v>
      </c>
      <c r="O3666" s="75">
        <v>1</v>
      </c>
      <c r="P3666" s="75">
        <v>0</v>
      </c>
      <c r="Q3666" s="75">
        <v>0</v>
      </c>
      <c r="R3666" s="75">
        <v>0</v>
      </c>
      <c r="S3666" s="75">
        <v>0</v>
      </c>
      <c r="T3666" s="75">
        <v>0</v>
      </c>
      <c r="U3666" s="75">
        <v>0</v>
      </c>
      <c r="V3666" s="75">
        <v>1</v>
      </c>
      <c r="W3666" s="78">
        <v>0</v>
      </c>
    </row>
    <row r="3667" spans="1:23" s="75" customFormat="1" hidden="1" x14ac:dyDescent="0.35">
      <c r="A3667" s="75">
        <v>3663</v>
      </c>
      <c r="B3667" s="75">
        <v>3664</v>
      </c>
      <c r="C3667">
        <v>146.03080600000001</v>
      </c>
      <c r="D3667">
        <v>-17.487027579999999</v>
      </c>
      <c r="F3667" s="75" t="str">
        <f>HYPERLINK("E:\Data From Lucan\2024\Johnstone\Frames_for_Analysis\3664_20240610_0005_L_1253.jpg","3664_20240610_0005_L_1253.jpg")</f>
        <v>3664_20240610_0005_L_1253.jpg</v>
      </c>
      <c r="G3667" s="75">
        <v>6</v>
      </c>
      <c r="I3667">
        <f t="shared" si="57"/>
        <v>0</v>
      </c>
      <c r="J3667" s="75">
        <v>0</v>
      </c>
      <c r="O3667" s="75">
        <v>1</v>
      </c>
      <c r="P3667" s="75">
        <v>0</v>
      </c>
      <c r="Q3667" s="75">
        <v>0</v>
      </c>
      <c r="R3667" s="75">
        <v>0</v>
      </c>
      <c r="S3667" s="75">
        <v>0</v>
      </c>
      <c r="T3667" s="75">
        <v>0</v>
      </c>
      <c r="U3667" s="75">
        <v>0</v>
      </c>
      <c r="V3667" s="75">
        <v>0</v>
      </c>
      <c r="W3667" s="78">
        <v>0</v>
      </c>
    </row>
    <row r="3668" spans="1:23" s="75" customFormat="1" hidden="1" x14ac:dyDescent="0.35">
      <c r="A3668" s="75">
        <v>3664</v>
      </c>
      <c r="B3668" s="75">
        <v>3665</v>
      </c>
      <c r="C3668">
        <v>146.03079690000001</v>
      </c>
      <c r="D3668">
        <v>-17.487121439999999</v>
      </c>
      <c r="F3668" s="75" t="str">
        <f>HYPERLINK("E:\Data From Lucan\2024\Johnstone\Frames_for_Analysis\3665_20240610_0005_L_1256.jpg","3665_20240610_0005_L_1256.jpg")</f>
        <v>3665_20240610_0005_L_1256.jpg</v>
      </c>
      <c r="G3668" s="75">
        <v>6</v>
      </c>
      <c r="I3668">
        <f t="shared" si="57"/>
        <v>0</v>
      </c>
      <c r="J3668" s="75">
        <v>0</v>
      </c>
      <c r="O3668" s="75">
        <v>1</v>
      </c>
      <c r="P3668" s="75">
        <v>0</v>
      </c>
      <c r="Q3668" s="75">
        <v>0</v>
      </c>
      <c r="R3668" s="75">
        <v>0</v>
      </c>
      <c r="S3668" s="75">
        <v>0</v>
      </c>
      <c r="T3668" s="75">
        <v>0</v>
      </c>
      <c r="U3668" s="75">
        <v>0</v>
      </c>
      <c r="V3668" s="75">
        <v>1</v>
      </c>
      <c r="W3668" s="78">
        <v>0</v>
      </c>
    </row>
    <row r="3669" spans="1:23" s="75" customFormat="1" hidden="1" x14ac:dyDescent="0.35">
      <c r="A3669" s="75">
        <v>3665</v>
      </c>
      <c r="B3669" s="75">
        <v>3666</v>
      </c>
      <c r="C3669">
        <v>146.03078769999999</v>
      </c>
      <c r="D3669">
        <v>-17.487215299999999</v>
      </c>
      <c r="F3669" s="75" t="str">
        <f>HYPERLINK("E:\Data From Lucan\2024\Johnstone\Frames_for_Analysis\3666_20240610_0005_L_1259.jpg","3666_20240610_0005_L_1259.jpg")</f>
        <v>3666_20240610_0005_L_1259.jpg</v>
      </c>
      <c r="G3669" s="75">
        <v>6</v>
      </c>
      <c r="I3669">
        <f t="shared" si="57"/>
        <v>0</v>
      </c>
      <c r="J3669" s="75">
        <v>0</v>
      </c>
      <c r="O3669" s="75">
        <v>1</v>
      </c>
      <c r="P3669" s="75">
        <v>0</v>
      </c>
      <c r="Q3669" s="75">
        <v>0</v>
      </c>
      <c r="R3669" s="75">
        <v>0</v>
      </c>
      <c r="S3669" s="75">
        <v>0</v>
      </c>
      <c r="T3669" s="75">
        <v>0</v>
      </c>
      <c r="U3669" s="75">
        <v>0</v>
      </c>
      <c r="V3669" s="75">
        <v>1</v>
      </c>
      <c r="W3669" s="78">
        <v>0</v>
      </c>
    </row>
    <row r="3670" spans="1:23" s="75" customFormat="1" hidden="1" x14ac:dyDescent="0.35">
      <c r="A3670" s="75">
        <v>3666</v>
      </c>
      <c r="B3670" s="75">
        <v>3667</v>
      </c>
      <c r="C3670">
        <v>146.03077859999999</v>
      </c>
      <c r="D3670">
        <v>-17.487309159999999</v>
      </c>
      <c r="F3670" s="75" t="str">
        <f>HYPERLINK("E:\Data From Lucan\2024\Johnstone\Frames_for_Analysis\3667_20240610_0005_L_1262.jpg","3667_20240610_0005_L_1262.jpg")</f>
        <v>3667_20240610_0005_L_1262.jpg</v>
      </c>
      <c r="G3670" s="75">
        <v>6</v>
      </c>
      <c r="I3670">
        <f t="shared" si="57"/>
        <v>0</v>
      </c>
      <c r="J3670" s="75">
        <v>0</v>
      </c>
      <c r="O3670" s="75">
        <v>1</v>
      </c>
      <c r="P3670" s="75">
        <v>0</v>
      </c>
      <c r="Q3670" s="75">
        <v>0</v>
      </c>
      <c r="R3670" s="75">
        <v>0</v>
      </c>
      <c r="S3670" s="75">
        <v>0</v>
      </c>
      <c r="T3670" s="75">
        <v>0</v>
      </c>
      <c r="U3670" s="75">
        <v>0</v>
      </c>
      <c r="V3670" s="75">
        <v>1</v>
      </c>
      <c r="W3670" s="78">
        <v>0</v>
      </c>
    </row>
    <row r="3671" spans="1:23" s="75" customFormat="1" hidden="1" x14ac:dyDescent="0.35">
      <c r="A3671" s="75">
        <v>3667</v>
      </c>
      <c r="B3671" s="75">
        <v>3668</v>
      </c>
      <c r="C3671">
        <v>146.03076949999999</v>
      </c>
      <c r="D3671">
        <v>-17.487403029999999</v>
      </c>
      <c r="F3671" s="75" t="str">
        <f>HYPERLINK("E:\Data From Lucan\2024\Johnstone\Frames_for_Analysis\3668_20240610_0005_L_1264.jpg","3668_20240610_0005_L_1264.jpg")</f>
        <v>3668_20240610_0005_L_1264.jpg</v>
      </c>
      <c r="G3671" s="75">
        <v>6</v>
      </c>
      <c r="I3671">
        <f t="shared" si="57"/>
        <v>0</v>
      </c>
      <c r="J3671" s="75">
        <v>0</v>
      </c>
      <c r="O3671" s="75">
        <v>1</v>
      </c>
      <c r="P3671" s="75">
        <v>0</v>
      </c>
      <c r="Q3671" s="75">
        <v>0</v>
      </c>
      <c r="R3671" s="75">
        <v>0</v>
      </c>
      <c r="S3671" s="75">
        <v>0</v>
      </c>
      <c r="T3671" s="75">
        <v>0</v>
      </c>
      <c r="U3671" s="75">
        <v>0</v>
      </c>
      <c r="V3671" s="75">
        <v>1</v>
      </c>
      <c r="W3671" s="78">
        <v>0</v>
      </c>
    </row>
    <row r="3672" spans="1:23" s="75" customFormat="1" hidden="1" x14ac:dyDescent="0.35">
      <c r="A3672" s="75">
        <v>3668</v>
      </c>
      <c r="B3672" s="75">
        <v>3669</v>
      </c>
      <c r="C3672">
        <v>146.030766</v>
      </c>
      <c r="D3672">
        <v>-17.487497189999999</v>
      </c>
      <c r="F3672" s="75" t="str">
        <f>HYPERLINK("E:\Data From Lucan\2024\Johnstone\Frames_for_Analysis\3669_20240610_0005_L_1267.jpg","3669_20240610_0005_L_1267.jpg")</f>
        <v>3669_20240610_0005_L_1267.jpg</v>
      </c>
      <c r="G3672" s="75">
        <v>6</v>
      </c>
      <c r="I3672">
        <f t="shared" si="57"/>
        <v>0</v>
      </c>
      <c r="J3672" s="75">
        <v>0</v>
      </c>
      <c r="O3672" s="75">
        <v>1</v>
      </c>
      <c r="P3672" s="75">
        <v>0</v>
      </c>
      <c r="Q3672" s="75">
        <v>0</v>
      </c>
      <c r="R3672" s="75">
        <v>0</v>
      </c>
      <c r="S3672" s="75">
        <v>0</v>
      </c>
      <c r="T3672" s="75">
        <v>0</v>
      </c>
      <c r="U3672" s="75">
        <v>0</v>
      </c>
      <c r="V3672" s="75">
        <v>0</v>
      </c>
      <c r="W3672" s="78">
        <v>0</v>
      </c>
    </row>
    <row r="3673" spans="1:23" s="75" customFormat="1" hidden="1" x14ac:dyDescent="0.35">
      <c r="A3673" s="75">
        <v>3669</v>
      </c>
      <c r="B3673" s="75">
        <v>3670</v>
      </c>
      <c r="C3673">
        <v>146.03076519999999</v>
      </c>
      <c r="D3673">
        <v>-17.48759149</v>
      </c>
      <c r="F3673" s="75" t="str">
        <f>HYPERLINK("E:\Data From Lucan\2024\Johnstone\Frames_for_Analysis\3670_20240610_0005_L_1270.jpg","3670_20240610_0005_L_1270.jpg")</f>
        <v>3670_20240610_0005_L_1270.jpg</v>
      </c>
      <c r="G3673" s="75">
        <v>6</v>
      </c>
      <c r="I3673">
        <f t="shared" si="57"/>
        <v>0</v>
      </c>
      <c r="J3673" s="75">
        <v>0</v>
      </c>
      <c r="O3673" s="75">
        <v>1</v>
      </c>
      <c r="P3673" s="75">
        <v>0</v>
      </c>
      <c r="Q3673" s="75">
        <v>0</v>
      </c>
      <c r="R3673" s="75">
        <v>0</v>
      </c>
      <c r="S3673" s="75">
        <v>0</v>
      </c>
      <c r="T3673" s="75">
        <v>0</v>
      </c>
      <c r="U3673" s="75">
        <v>0</v>
      </c>
      <c r="V3673" s="75">
        <v>1</v>
      </c>
      <c r="W3673" s="78">
        <v>0</v>
      </c>
    </row>
    <row r="3674" spans="1:23" s="75" customFormat="1" hidden="1" x14ac:dyDescent="0.35">
      <c r="A3674" s="75">
        <v>3670</v>
      </c>
      <c r="B3674" s="75">
        <v>3671</v>
      </c>
      <c r="C3674">
        <v>146.03076429999999</v>
      </c>
      <c r="D3674">
        <v>-17.48768579</v>
      </c>
      <c r="F3674" s="75" t="str">
        <f>HYPERLINK("E:\Data From Lucan\2024\Johnstone\Frames_for_Analysis\3671_20240610_0005_L_1273.jpg","3671_20240610_0005_L_1273.jpg")</f>
        <v>3671_20240610_0005_L_1273.jpg</v>
      </c>
      <c r="G3674" s="75">
        <v>6</v>
      </c>
      <c r="I3674">
        <f t="shared" si="57"/>
        <v>0</v>
      </c>
      <c r="J3674" s="75">
        <v>0</v>
      </c>
      <c r="O3674" s="75">
        <v>1</v>
      </c>
      <c r="P3674" s="75">
        <v>0</v>
      </c>
      <c r="Q3674" s="75">
        <v>0</v>
      </c>
      <c r="R3674" s="75">
        <v>0</v>
      </c>
      <c r="S3674" s="75">
        <v>0</v>
      </c>
      <c r="T3674" s="75">
        <v>0</v>
      </c>
      <c r="U3674" s="75">
        <v>0</v>
      </c>
      <c r="V3674" s="75">
        <v>0</v>
      </c>
      <c r="W3674" s="78">
        <v>0</v>
      </c>
    </row>
    <row r="3675" spans="1:23" s="75" customFormat="1" hidden="1" x14ac:dyDescent="0.35">
      <c r="A3675" s="75">
        <v>3671</v>
      </c>
      <c r="B3675" s="75">
        <v>3672</v>
      </c>
      <c r="C3675">
        <v>146.03076340000001</v>
      </c>
      <c r="D3675">
        <v>-17.487780090000001</v>
      </c>
      <c r="F3675" s="75" t="str">
        <f>HYPERLINK("E:\Data From Lucan\2024\Johnstone\Frames_for_Analysis\3672_20240610_0005_L_1276.jpg","3672_20240610_0005_L_1276.jpg")</f>
        <v>3672_20240610_0005_L_1276.jpg</v>
      </c>
      <c r="G3675" s="75">
        <v>6</v>
      </c>
      <c r="I3675">
        <f t="shared" si="57"/>
        <v>0</v>
      </c>
      <c r="J3675" s="75">
        <v>0</v>
      </c>
      <c r="O3675" s="75">
        <v>1</v>
      </c>
      <c r="P3675" s="75">
        <v>0</v>
      </c>
      <c r="Q3675" s="75">
        <v>0</v>
      </c>
      <c r="R3675" s="75">
        <v>0</v>
      </c>
      <c r="S3675" s="75">
        <v>0</v>
      </c>
      <c r="T3675" s="75">
        <v>0</v>
      </c>
      <c r="U3675" s="75">
        <v>0</v>
      </c>
      <c r="V3675" s="75">
        <v>0</v>
      </c>
      <c r="W3675" s="78">
        <v>0</v>
      </c>
    </row>
    <row r="3676" spans="1:23" s="75" customFormat="1" hidden="1" x14ac:dyDescent="0.35">
      <c r="A3676" s="75">
        <v>3672</v>
      </c>
      <c r="B3676" s="75">
        <v>3673</v>
      </c>
      <c r="C3676">
        <v>146.0307626</v>
      </c>
      <c r="D3676">
        <v>-17.487874390000002</v>
      </c>
      <c r="F3676" s="75" t="str">
        <f>HYPERLINK("E:\Data From Lucan\2024\Johnstone\Frames_for_Analysis\3673_20240610_0005_L_1279.jpg","3673_20240610_0005_L_1279.jpg")</f>
        <v>3673_20240610_0005_L_1279.jpg</v>
      </c>
      <c r="G3676" s="75">
        <v>6</v>
      </c>
      <c r="I3676">
        <f t="shared" si="57"/>
        <v>0</v>
      </c>
      <c r="J3676" s="75">
        <v>0</v>
      </c>
      <c r="O3676" s="75">
        <v>1</v>
      </c>
      <c r="P3676" s="75">
        <v>0</v>
      </c>
      <c r="Q3676" s="75">
        <v>0</v>
      </c>
      <c r="R3676" s="75">
        <v>0</v>
      </c>
      <c r="S3676" s="75">
        <v>0</v>
      </c>
      <c r="T3676" s="75">
        <v>0</v>
      </c>
      <c r="U3676" s="75">
        <v>0</v>
      </c>
      <c r="V3676" s="75">
        <v>1</v>
      </c>
      <c r="W3676" s="78">
        <v>0</v>
      </c>
    </row>
    <row r="3677" spans="1:23" s="75" customFormat="1" hidden="1" x14ac:dyDescent="0.35">
      <c r="A3677" s="75">
        <v>3673</v>
      </c>
      <c r="B3677" s="75">
        <v>3674</v>
      </c>
      <c r="C3677">
        <v>146.0307617</v>
      </c>
      <c r="D3677">
        <v>-17.487968689999999</v>
      </c>
      <c r="F3677" s="75" t="str">
        <f>HYPERLINK("E:\Data From Lucan\2024\Johnstone\Frames_for_Analysis\3674_20240610_0005_L_1281.jpg","3674_20240610_0005_L_1281.jpg")</f>
        <v>3674_20240610_0005_L_1281.jpg</v>
      </c>
      <c r="G3677" s="75">
        <v>6</v>
      </c>
      <c r="I3677">
        <f t="shared" si="57"/>
        <v>0</v>
      </c>
      <c r="J3677" s="75">
        <v>0</v>
      </c>
      <c r="O3677" s="75">
        <v>1</v>
      </c>
      <c r="P3677" s="75">
        <v>0</v>
      </c>
      <c r="Q3677" s="75">
        <v>0</v>
      </c>
      <c r="R3677" s="75">
        <v>0</v>
      </c>
      <c r="S3677" s="75">
        <v>0</v>
      </c>
      <c r="T3677" s="75">
        <v>0</v>
      </c>
      <c r="U3677" s="75">
        <v>0</v>
      </c>
      <c r="V3677" s="75">
        <v>1</v>
      </c>
      <c r="W3677" s="78">
        <v>0</v>
      </c>
    </row>
    <row r="3678" spans="1:23" s="75" customFormat="1" hidden="1" x14ac:dyDescent="0.35">
      <c r="A3678" s="75">
        <v>3674</v>
      </c>
      <c r="B3678" s="75">
        <v>3675</v>
      </c>
      <c r="C3678">
        <v>146.0307608</v>
      </c>
      <c r="D3678">
        <v>-17.48806299</v>
      </c>
      <c r="F3678" s="75" t="str">
        <f>HYPERLINK("E:\Data From Lucan\2024\Johnstone\Frames_for_Analysis\3675_20240610_0005_L_1284.jpg","3675_20240610_0005_L_1284.jpg")</f>
        <v>3675_20240610_0005_L_1284.jpg</v>
      </c>
      <c r="G3678" s="75">
        <v>6</v>
      </c>
      <c r="I3678">
        <f t="shared" si="57"/>
        <v>0</v>
      </c>
      <c r="J3678" s="75">
        <v>0</v>
      </c>
      <c r="O3678" s="75">
        <v>1</v>
      </c>
      <c r="P3678" s="75">
        <v>0</v>
      </c>
      <c r="Q3678" s="75">
        <v>0</v>
      </c>
      <c r="R3678" s="75">
        <v>0</v>
      </c>
      <c r="S3678" s="75">
        <v>0</v>
      </c>
      <c r="T3678" s="75">
        <v>0</v>
      </c>
      <c r="U3678" s="75">
        <v>0</v>
      </c>
      <c r="V3678" s="75">
        <v>1</v>
      </c>
      <c r="W3678" s="78">
        <v>0</v>
      </c>
    </row>
    <row r="3679" spans="1:23" s="75" customFormat="1" hidden="1" x14ac:dyDescent="0.35">
      <c r="A3679" s="75">
        <v>3675</v>
      </c>
      <c r="B3679" s="75">
        <v>3676</v>
      </c>
      <c r="C3679">
        <v>146.03075989999999</v>
      </c>
      <c r="D3679">
        <v>-17.488157279999999</v>
      </c>
      <c r="F3679" s="75" t="str">
        <f>HYPERLINK("E:\Data From Lucan\2024\Johnstone\Frames_for_Analysis\3676_20240610_0005_L_1287.jpg","3676_20240610_0005_L_1287.jpg")</f>
        <v>3676_20240610_0005_L_1287.jpg</v>
      </c>
      <c r="G3679" s="75">
        <v>6</v>
      </c>
      <c r="I3679">
        <f t="shared" si="57"/>
        <v>0</v>
      </c>
      <c r="J3679" s="75">
        <v>0</v>
      </c>
      <c r="O3679" s="75">
        <v>1</v>
      </c>
      <c r="P3679" s="75">
        <v>0</v>
      </c>
      <c r="Q3679" s="75">
        <v>0</v>
      </c>
      <c r="R3679" s="75">
        <v>0</v>
      </c>
      <c r="S3679" s="75">
        <v>0</v>
      </c>
      <c r="T3679" s="75">
        <v>0</v>
      </c>
      <c r="U3679" s="75">
        <v>0</v>
      </c>
      <c r="V3679" s="75">
        <v>1</v>
      </c>
      <c r="W3679" s="78">
        <v>0</v>
      </c>
    </row>
    <row r="3680" spans="1:23" s="75" customFormat="1" hidden="1" x14ac:dyDescent="0.35">
      <c r="A3680" s="75">
        <v>3676</v>
      </c>
      <c r="B3680" s="75">
        <v>3677</v>
      </c>
      <c r="C3680">
        <v>146.03075910000001</v>
      </c>
      <c r="D3680">
        <v>-17.48825158</v>
      </c>
      <c r="F3680" s="75" t="str">
        <f>HYPERLINK("E:\Data From Lucan\2024\Johnstone\Frames_for_Analysis\3677_20240610_0005_L_1289.jpg","3677_20240610_0005_L_1289.jpg")</f>
        <v>3677_20240610_0005_L_1289.jpg</v>
      </c>
      <c r="G3680" s="75">
        <v>6</v>
      </c>
      <c r="I3680">
        <f t="shared" si="57"/>
        <v>0</v>
      </c>
      <c r="J3680" s="75">
        <v>0</v>
      </c>
      <c r="O3680" s="75">
        <v>1</v>
      </c>
      <c r="P3680" s="75">
        <v>0</v>
      </c>
      <c r="Q3680" s="75">
        <v>0</v>
      </c>
      <c r="R3680" s="75">
        <v>0</v>
      </c>
      <c r="S3680" s="75">
        <v>0</v>
      </c>
      <c r="T3680" s="75">
        <v>0</v>
      </c>
      <c r="U3680" s="75">
        <v>0</v>
      </c>
      <c r="V3680" s="75">
        <v>1</v>
      </c>
      <c r="W3680" s="78">
        <v>0</v>
      </c>
    </row>
    <row r="3681" spans="1:23" s="75" customFormat="1" hidden="1" x14ac:dyDescent="0.35">
      <c r="A3681" s="75">
        <v>3677</v>
      </c>
      <c r="B3681" s="75">
        <v>3678</v>
      </c>
      <c r="C3681">
        <v>146.03075820000001</v>
      </c>
      <c r="D3681">
        <v>-17.488345880000001</v>
      </c>
      <c r="F3681" s="75" t="str">
        <f>HYPERLINK("E:\Data From Lucan\2024\Johnstone\Frames_for_Analysis\3678_20240610_0005_L_1292.jpg","3678_20240610_0005_L_1292.jpg")</f>
        <v>3678_20240610_0005_L_1292.jpg</v>
      </c>
      <c r="G3681" s="75">
        <v>6</v>
      </c>
      <c r="I3681">
        <f t="shared" si="57"/>
        <v>0</v>
      </c>
      <c r="J3681" s="75">
        <v>0</v>
      </c>
      <c r="O3681" s="75">
        <v>1</v>
      </c>
      <c r="P3681" s="75">
        <v>0</v>
      </c>
      <c r="Q3681" s="75">
        <v>0</v>
      </c>
      <c r="R3681" s="75">
        <v>0</v>
      </c>
      <c r="S3681" s="75">
        <v>0</v>
      </c>
      <c r="T3681" s="75">
        <v>0</v>
      </c>
      <c r="U3681" s="75">
        <v>0</v>
      </c>
      <c r="V3681" s="75">
        <v>1</v>
      </c>
      <c r="W3681" s="78">
        <v>0</v>
      </c>
    </row>
    <row r="3682" spans="1:23" s="75" customFormat="1" hidden="1" x14ac:dyDescent="0.35">
      <c r="A3682" s="75">
        <v>3678</v>
      </c>
      <c r="B3682" s="75">
        <v>3679</v>
      </c>
      <c r="C3682">
        <v>146.0307573</v>
      </c>
      <c r="D3682">
        <v>-17.488440180000001</v>
      </c>
      <c r="F3682" s="75" t="str">
        <f>HYPERLINK("E:\Data From Lucan\2024\Johnstone\Frames_for_Analysis\3679_20240610_0005_L_1295.jpg","3679_20240610_0005_L_1295.jpg")</f>
        <v>3679_20240610_0005_L_1295.jpg</v>
      </c>
      <c r="G3682" s="75">
        <v>6</v>
      </c>
      <c r="I3682">
        <f t="shared" si="57"/>
        <v>0</v>
      </c>
      <c r="J3682" s="75">
        <v>0</v>
      </c>
      <c r="O3682" s="75">
        <v>1</v>
      </c>
      <c r="P3682" s="75">
        <v>0</v>
      </c>
      <c r="Q3682" s="75">
        <v>0</v>
      </c>
      <c r="R3682" s="75">
        <v>0</v>
      </c>
      <c r="S3682" s="75">
        <v>0</v>
      </c>
      <c r="T3682" s="75">
        <v>0</v>
      </c>
      <c r="U3682" s="75">
        <v>0</v>
      </c>
      <c r="V3682" s="75">
        <v>1</v>
      </c>
      <c r="W3682" s="78">
        <v>0</v>
      </c>
    </row>
    <row r="3683" spans="1:23" s="75" customFormat="1" hidden="1" x14ac:dyDescent="0.35">
      <c r="A3683" s="75">
        <v>3679</v>
      </c>
      <c r="B3683" s="75">
        <v>3680</v>
      </c>
      <c r="C3683">
        <v>146.0307674</v>
      </c>
      <c r="D3683">
        <v>-17.488532970000001</v>
      </c>
      <c r="F3683" s="75" t="str">
        <f>HYPERLINK("E:\Data From Lucan\2024\Johnstone\Frames_for_Analysis\3680_20240610_0005_L_1297.jpg","3680_20240610_0005_L_1297.jpg")</f>
        <v>3680_20240610_0005_L_1297.jpg</v>
      </c>
      <c r="G3683" s="75">
        <v>6</v>
      </c>
      <c r="I3683">
        <f t="shared" si="57"/>
        <v>0</v>
      </c>
      <c r="J3683" s="75">
        <v>0</v>
      </c>
      <c r="O3683" s="75">
        <v>1</v>
      </c>
      <c r="P3683" s="75">
        <v>0</v>
      </c>
      <c r="Q3683" s="75">
        <v>0</v>
      </c>
      <c r="R3683" s="75">
        <v>0</v>
      </c>
      <c r="S3683" s="75">
        <v>0</v>
      </c>
      <c r="T3683" s="75">
        <v>0</v>
      </c>
      <c r="U3683" s="75">
        <v>0</v>
      </c>
      <c r="V3683" s="75">
        <v>1</v>
      </c>
      <c r="W3683" s="78">
        <v>0</v>
      </c>
    </row>
    <row r="3684" spans="1:23" s="75" customFormat="1" hidden="1" x14ac:dyDescent="0.35">
      <c r="A3684" s="75">
        <v>3680</v>
      </c>
      <c r="B3684" s="75">
        <v>3681</v>
      </c>
      <c r="C3684">
        <v>146.03079389999999</v>
      </c>
      <c r="D3684">
        <v>-17.48862347</v>
      </c>
      <c r="F3684" s="75" t="str">
        <f>HYPERLINK("E:\Data From Lucan\2024\Johnstone\Frames_for_Analysis\3681_20240610_0005_L_1300.jpg","3681_20240610_0005_L_1300.jpg")</f>
        <v>3681_20240610_0005_L_1300.jpg</v>
      </c>
      <c r="G3684" s="75">
        <v>6</v>
      </c>
      <c r="I3684">
        <f t="shared" si="57"/>
        <v>0</v>
      </c>
      <c r="J3684" s="75">
        <v>0</v>
      </c>
      <c r="O3684" s="75">
        <v>1</v>
      </c>
      <c r="P3684" s="75">
        <v>0</v>
      </c>
      <c r="Q3684" s="75">
        <v>0</v>
      </c>
      <c r="R3684" s="75">
        <v>0</v>
      </c>
      <c r="S3684" s="75">
        <v>0</v>
      </c>
      <c r="T3684" s="75">
        <v>0</v>
      </c>
      <c r="U3684" s="75">
        <v>0</v>
      </c>
      <c r="V3684" s="75">
        <v>0</v>
      </c>
      <c r="W3684" s="78">
        <v>0</v>
      </c>
    </row>
    <row r="3685" spans="1:23" s="75" customFormat="1" hidden="1" x14ac:dyDescent="0.35">
      <c r="A3685" s="75">
        <v>3681</v>
      </c>
      <c r="B3685" s="75">
        <v>3682</v>
      </c>
      <c r="C3685">
        <v>146.03082040000001</v>
      </c>
      <c r="D3685">
        <v>-17.48871398</v>
      </c>
      <c r="F3685" s="75" t="str">
        <f>HYPERLINK("E:\Data From Lucan\2024\Johnstone\Frames_for_Analysis\3682_20240610_0005_L_1302.jpg","3682_20240610_0005_L_1302.jpg")</f>
        <v>3682_20240610_0005_L_1302.jpg</v>
      </c>
      <c r="G3685" s="75">
        <v>6</v>
      </c>
      <c r="I3685">
        <f t="shared" si="57"/>
        <v>0</v>
      </c>
      <c r="J3685" s="75">
        <v>0</v>
      </c>
      <c r="O3685" s="75">
        <v>1</v>
      </c>
      <c r="P3685" s="75">
        <v>0</v>
      </c>
      <c r="Q3685" s="75">
        <v>0</v>
      </c>
      <c r="R3685" s="75">
        <v>0</v>
      </c>
      <c r="S3685" s="75">
        <v>0</v>
      </c>
      <c r="T3685" s="75">
        <v>0</v>
      </c>
      <c r="U3685" s="75">
        <v>0</v>
      </c>
      <c r="V3685" s="75">
        <v>0</v>
      </c>
      <c r="W3685" s="78">
        <v>0</v>
      </c>
    </row>
    <row r="3686" spans="1:23" s="75" customFormat="1" hidden="1" x14ac:dyDescent="0.35">
      <c r="A3686" s="75">
        <v>3682</v>
      </c>
      <c r="B3686" s="75">
        <v>3683</v>
      </c>
      <c r="C3686">
        <v>146.03080890000001</v>
      </c>
      <c r="D3686">
        <v>-17.48880501</v>
      </c>
      <c r="F3686" s="75" t="str">
        <f>HYPERLINK("E:\Data From Lucan\2024\Johnstone\Frames_for_Analysis\3683_20240610_0005_L_1305.jpg","3683_20240610_0005_L_1305.jpg")</f>
        <v>3683_20240610_0005_L_1305.jpg</v>
      </c>
      <c r="G3686" s="75">
        <v>6</v>
      </c>
      <c r="I3686">
        <f t="shared" si="57"/>
        <v>0</v>
      </c>
      <c r="J3686" s="75">
        <v>0</v>
      </c>
      <c r="O3686" s="75">
        <v>1</v>
      </c>
      <c r="P3686" s="75">
        <v>0</v>
      </c>
      <c r="Q3686" s="75">
        <v>0</v>
      </c>
      <c r="R3686" s="75">
        <v>0</v>
      </c>
      <c r="S3686" s="75">
        <v>0</v>
      </c>
      <c r="T3686" s="75">
        <v>0</v>
      </c>
      <c r="U3686" s="75">
        <v>0</v>
      </c>
      <c r="V3686" s="75">
        <v>0</v>
      </c>
      <c r="W3686" s="78">
        <v>0</v>
      </c>
    </row>
    <row r="3687" spans="1:23" s="75" customFormat="1" hidden="1" x14ac:dyDescent="0.35">
      <c r="A3687" s="75">
        <v>3683</v>
      </c>
      <c r="B3687" s="75">
        <v>3684</v>
      </c>
      <c r="C3687">
        <v>146.03082119999999</v>
      </c>
      <c r="D3687">
        <v>-17.488898370000001</v>
      </c>
      <c r="F3687" s="75" t="str">
        <f>HYPERLINK("E:\Data From Lucan\2024\Johnstone\Frames_for_Analysis\3684_20240610_0005_L_1307.jpg","3684_20240610_0005_L_1307.jpg")</f>
        <v>3684_20240610_0005_L_1307.jpg</v>
      </c>
      <c r="G3687" s="75">
        <v>6</v>
      </c>
      <c r="I3687">
        <f t="shared" si="57"/>
        <v>0</v>
      </c>
      <c r="J3687" s="75">
        <v>0</v>
      </c>
      <c r="O3687" s="75">
        <v>1</v>
      </c>
      <c r="P3687" s="75">
        <v>0</v>
      </c>
      <c r="Q3687" s="75">
        <v>0</v>
      </c>
      <c r="R3687" s="75">
        <v>0</v>
      </c>
      <c r="S3687" s="75">
        <v>0</v>
      </c>
      <c r="T3687" s="75">
        <v>0</v>
      </c>
      <c r="U3687" s="75">
        <v>0</v>
      </c>
      <c r="V3687" s="75">
        <v>0</v>
      </c>
      <c r="W3687" s="78">
        <v>0</v>
      </c>
    </row>
    <row r="3688" spans="1:23" s="75" customFormat="1" hidden="1" x14ac:dyDescent="0.35">
      <c r="A3688" s="75">
        <v>3684</v>
      </c>
      <c r="B3688" s="75">
        <v>3685</v>
      </c>
      <c r="C3688">
        <v>146.03083419999999</v>
      </c>
      <c r="D3688">
        <v>-17.488991769999998</v>
      </c>
      <c r="F3688" s="75" t="str">
        <f>HYPERLINK("E:\Data From Lucan\2024\Johnstone\Frames_for_Analysis\3685_20240610_0005_L_1310.jpg","3685_20240610_0005_L_1310.jpg")</f>
        <v>3685_20240610_0005_L_1310.jpg</v>
      </c>
      <c r="G3688" s="75">
        <v>6</v>
      </c>
      <c r="I3688">
        <f t="shared" si="57"/>
        <v>0</v>
      </c>
      <c r="J3688" s="75">
        <v>0</v>
      </c>
      <c r="O3688" s="75">
        <v>1</v>
      </c>
      <c r="P3688" s="75">
        <v>0</v>
      </c>
      <c r="Q3688" s="75">
        <v>0</v>
      </c>
      <c r="R3688" s="75">
        <v>0</v>
      </c>
      <c r="S3688" s="75">
        <v>0</v>
      </c>
      <c r="T3688" s="75">
        <v>0</v>
      </c>
      <c r="U3688" s="75">
        <v>0</v>
      </c>
      <c r="V3688" s="75">
        <v>1</v>
      </c>
      <c r="W3688" s="78">
        <v>0</v>
      </c>
    </row>
    <row r="3689" spans="1:23" s="75" customFormat="1" hidden="1" x14ac:dyDescent="0.35">
      <c r="A3689" s="75">
        <v>3685</v>
      </c>
      <c r="B3689" s="75">
        <v>3686</v>
      </c>
      <c r="C3689">
        <v>146.03084720000001</v>
      </c>
      <c r="D3689">
        <v>-17.489085169999999</v>
      </c>
      <c r="F3689" s="75" t="str">
        <f>HYPERLINK("E:\Data From Lucan\2024\Johnstone\Frames_for_Analysis\3686_20240610_0005_L_1313.jpg","3686_20240610_0005_L_1313.jpg")</f>
        <v>3686_20240610_0005_L_1313.jpg</v>
      </c>
      <c r="G3689" s="75">
        <v>6</v>
      </c>
      <c r="I3689">
        <f t="shared" si="57"/>
        <v>0</v>
      </c>
      <c r="J3689" s="75">
        <v>0</v>
      </c>
      <c r="O3689" s="75">
        <v>1</v>
      </c>
      <c r="P3689" s="75">
        <v>0</v>
      </c>
      <c r="Q3689" s="75">
        <v>0</v>
      </c>
      <c r="R3689" s="75">
        <v>0</v>
      </c>
      <c r="S3689" s="75">
        <v>0</v>
      </c>
      <c r="T3689" s="75">
        <v>0</v>
      </c>
      <c r="U3689" s="75">
        <v>0</v>
      </c>
      <c r="V3689" s="75">
        <v>0</v>
      </c>
      <c r="W3689" s="78">
        <v>0</v>
      </c>
    </row>
    <row r="3690" spans="1:23" s="75" customFormat="1" hidden="1" x14ac:dyDescent="0.35">
      <c r="A3690" s="75">
        <v>3686</v>
      </c>
      <c r="B3690" s="75">
        <v>3687</v>
      </c>
      <c r="C3690">
        <v>146.03086880000001</v>
      </c>
      <c r="D3690">
        <v>-17.4891769</v>
      </c>
      <c r="F3690" s="75" t="str">
        <f>HYPERLINK("E:\Data From Lucan\2024\Johnstone\Frames_for_Analysis\3687_20240610_0005_L_1316.jpg","3687_20240610_0005_L_1316.jpg")</f>
        <v>3687_20240610_0005_L_1316.jpg</v>
      </c>
      <c r="G3690" s="75">
        <v>6</v>
      </c>
      <c r="I3690">
        <f t="shared" si="57"/>
        <v>0</v>
      </c>
      <c r="J3690" s="75">
        <v>0</v>
      </c>
      <c r="O3690" s="75">
        <v>1</v>
      </c>
      <c r="P3690" s="75">
        <v>0</v>
      </c>
      <c r="Q3690" s="75">
        <v>0</v>
      </c>
      <c r="R3690" s="75">
        <v>0</v>
      </c>
      <c r="S3690" s="75">
        <v>0</v>
      </c>
      <c r="T3690" s="75">
        <v>0</v>
      </c>
      <c r="U3690" s="75">
        <v>0</v>
      </c>
      <c r="V3690" s="75">
        <v>0</v>
      </c>
      <c r="W3690" s="78">
        <v>0</v>
      </c>
    </row>
    <row r="3691" spans="1:23" s="75" customFormat="1" hidden="1" x14ac:dyDescent="0.35">
      <c r="A3691" s="75">
        <v>3687</v>
      </c>
      <c r="B3691" s="75">
        <v>3688</v>
      </c>
      <c r="C3691">
        <v>146.03089170000001</v>
      </c>
      <c r="D3691">
        <v>-17.489268379999999</v>
      </c>
      <c r="F3691" s="75" t="str">
        <f>HYPERLINK("E:\Data From Lucan\2024\Johnstone\Frames_for_Analysis\3688_20240610_0005_L_1319.jpg","3688_20240610_0005_L_1319.jpg")</f>
        <v>3688_20240610_0005_L_1319.jpg</v>
      </c>
      <c r="G3691" s="75">
        <v>6</v>
      </c>
      <c r="I3691">
        <f t="shared" si="57"/>
        <v>0</v>
      </c>
      <c r="J3691" s="75">
        <v>0</v>
      </c>
      <c r="O3691" s="75">
        <v>1</v>
      </c>
      <c r="P3691" s="75">
        <v>0</v>
      </c>
      <c r="Q3691" s="75">
        <v>0</v>
      </c>
      <c r="R3691" s="75">
        <v>0</v>
      </c>
      <c r="S3691" s="75">
        <v>0</v>
      </c>
      <c r="T3691" s="75">
        <v>0</v>
      </c>
      <c r="U3691" s="75">
        <v>0</v>
      </c>
      <c r="V3691" s="75">
        <v>1</v>
      </c>
      <c r="W3691" s="78">
        <v>0</v>
      </c>
    </row>
    <row r="3692" spans="1:23" s="75" customFormat="1" hidden="1" x14ac:dyDescent="0.35">
      <c r="A3692" s="75">
        <v>3688</v>
      </c>
      <c r="B3692" s="75">
        <v>3689</v>
      </c>
      <c r="C3692">
        <v>146.03091459999999</v>
      </c>
      <c r="D3692">
        <v>-17.48935986</v>
      </c>
      <c r="F3692" s="75" t="str">
        <f>HYPERLINK("E:\Data From Lucan\2024\Johnstone\Frames_for_Analysis\3689_20240610_0005_L_1321.jpg","3689_20240610_0005_L_1321.jpg")</f>
        <v>3689_20240610_0005_L_1321.jpg</v>
      </c>
      <c r="G3692" s="75">
        <v>6</v>
      </c>
      <c r="I3692">
        <f t="shared" si="57"/>
        <v>0</v>
      </c>
      <c r="J3692" s="75">
        <v>0</v>
      </c>
      <c r="O3692" s="75">
        <v>1</v>
      </c>
      <c r="P3692" s="75">
        <v>0</v>
      </c>
      <c r="Q3692" s="75">
        <v>0</v>
      </c>
      <c r="R3692" s="75">
        <v>0</v>
      </c>
      <c r="S3692" s="75">
        <v>0</v>
      </c>
      <c r="T3692" s="75">
        <v>0</v>
      </c>
      <c r="U3692" s="75">
        <v>0</v>
      </c>
      <c r="V3692" s="75">
        <v>0</v>
      </c>
      <c r="W3692" s="78">
        <v>0</v>
      </c>
    </row>
    <row r="3693" spans="1:23" s="75" customFormat="1" hidden="1" x14ac:dyDescent="0.35">
      <c r="A3693" s="75">
        <v>3689</v>
      </c>
      <c r="B3693" s="75">
        <v>3690</v>
      </c>
      <c r="C3693">
        <v>146.03093749999999</v>
      </c>
      <c r="D3693">
        <v>-17.489451339999999</v>
      </c>
      <c r="F3693" s="75" t="str">
        <f>HYPERLINK("E:\Data From Lucan\2024\Johnstone\Frames_for_Analysis\3690_20240610_0005_L_1324.jpg","3690_20240610_0005_L_1324.jpg")</f>
        <v>3690_20240610_0005_L_1324.jpg</v>
      </c>
      <c r="G3693" s="75">
        <v>6</v>
      </c>
      <c r="I3693">
        <f t="shared" si="57"/>
        <v>0</v>
      </c>
      <c r="J3693" s="75">
        <v>0</v>
      </c>
      <c r="O3693" s="75">
        <v>1</v>
      </c>
      <c r="P3693" s="75">
        <v>0</v>
      </c>
      <c r="Q3693" s="75">
        <v>0</v>
      </c>
      <c r="R3693" s="75">
        <v>0</v>
      </c>
      <c r="S3693" s="75">
        <v>0</v>
      </c>
      <c r="T3693" s="75">
        <v>0</v>
      </c>
      <c r="U3693" s="75">
        <v>0</v>
      </c>
      <c r="V3693" s="75">
        <v>0</v>
      </c>
      <c r="W3693" s="78">
        <v>0</v>
      </c>
    </row>
    <row r="3694" spans="1:23" s="75" customFormat="1" hidden="1" x14ac:dyDescent="0.35">
      <c r="A3694" s="75">
        <v>3690</v>
      </c>
      <c r="B3694" s="75">
        <v>3691</v>
      </c>
      <c r="C3694">
        <v>146.0309604</v>
      </c>
      <c r="D3694">
        <v>-17.48954282</v>
      </c>
      <c r="F3694" s="75" t="str">
        <f>HYPERLINK("E:\Data From Lucan\2024\Johnstone\Frames_for_Analysis\3691_20240610_0005_L_1326.jpg","3691_20240610_0005_L_1326.jpg")</f>
        <v>3691_20240610_0005_L_1326.jpg</v>
      </c>
      <c r="G3694" s="75">
        <v>6</v>
      </c>
      <c r="I3694">
        <f t="shared" si="57"/>
        <v>0</v>
      </c>
      <c r="J3694" s="75">
        <v>0</v>
      </c>
      <c r="O3694" s="75">
        <v>1</v>
      </c>
      <c r="P3694" s="75">
        <v>0</v>
      </c>
      <c r="Q3694" s="75">
        <v>0</v>
      </c>
      <c r="R3694" s="75">
        <v>0</v>
      </c>
      <c r="S3694" s="75">
        <v>0</v>
      </c>
      <c r="T3694" s="75">
        <v>0</v>
      </c>
      <c r="U3694" s="75">
        <v>0</v>
      </c>
      <c r="V3694" s="75">
        <v>0</v>
      </c>
      <c r="W3694" s="78">
        <v>0</v>
      </c>
    </row>
    <row r="3695" spans="1:23" s="75" customFormat="1" hidden="1" x14ac:dyDescent="0.35">
      <c r="A3695" s="75">
        <v>3691</v>
      </c>
      <c r="B3695" s="75">
        <v>3692</v>
      </c>
      <c r="C3695">
        <v>146.0309828</v>
      </c>
      <c r="D3695">
        <v>-17.48963444</v>
      </c>
      <c r="F3695" s="75" t="str">
        <f>HYPERLINK("E:\Data From Lucan\2024\Johnstone\Frames_for_Analysis\3692_20240610_0005_L_1329.jpg","3692_20240610_0005_L_1329.jpg")</f>
        <v>3692_20240610_0005_L_1329.jpg</v>
      </c>
      <c r="G3695" s="75">
        <v>6</v>
      </c>
      <c r="I3695">
        <f t="shared" si="57"/>
        <v>0</v>
      </c>
      <c r="J3695" s="75">
        <v>0</v>
      </c>
      <c r="O3695" s="75">
        <v>1</v>
      </c>
      <c r="P3695" s="75">
        <v>0</v>
      </c>
      <c r="Q3695" s="75">
        <v>0</v>
      </c>
      <c r="R3695" s="75">
        <v>0</v>
      </c>
      <c r="S3695" s="75">
        <v>0</v>
      </c>
      <c r="T3695" s="75">
        <v>0</v>
      </c>
      <c r="U3695" s="75">
        <v>0</v>
      </c>
      <c r="V3695" s="75">
        <v>0</v>
      </c>
      <c r="W3695" s="78">
        <v>0</v>
      </c>
    </row>
    <row r="3696" spans="1:23" s="75" customFormat="1" hidden="1" x14ac:dyDescent="0.35">
      <c r="A3696" s="75">
        <v>3692</v>
      </c>
      <c r="B3696" s="75">
        <v>3693</v>
      </c>
      <c r="C3696">
        <v>146.03100499999999</v>
      </c>
      <c r="D3696">
        <v>-17.489726080000001</v>
      </c>
      <c r="F3696" s="75" t="str">
        <f>HYPERLINK("E:\Data From Lucan\2024\Johnstone\Frames_for_Analysis\3693_20240610_0005_L_1332.jpg","3693_20240610_0005_L_1332.jpg")</f>
        <v>3693_20240610_0005_L_1332.jpg</v>
      </c>
      <c r="G3696" s="75">
        <v>6</v>
      </c>
      <c r="I3696">
        <f t="shared" si="57"/>
        <v>0</v>
      </c>
      <c r="J3696" s="75">
        <v>0</v>
      </c>
      <c r="O3696" s="75">
        <v>1</v>
      </c>
      <c r="P3696" s="75">
        <v>0</v>
      </c>
      <c r="Q3696" s="75">
        <v>0</v>
      </c>
      <c r="R3696" s="75">
        <v>0</v>
      </c>
      <c r="S3696" s="75">
        <v>0</v>
      </c>
      <c r="T3696" s="75">
        <v>0</v>
      </c>
      <c r="U3696" s="75">
        <v>0</v>
      </c>
      <c r="V3696" s="75">
        <v>0</v>
      </c>
      <c r="W3696" s="78">
        <v>0</v>
      </c>
    </row>
    <row r="3697" spans="1:23" s="75" customFormat="1" hidden="1" x14ac:dyDescent="0.35">
      <c r="A3697" s="75">
        <v>3693</v>
      </c>
      <c r="B3697" s="75">
        <v>3694</v>
      </c>
      <c r="C3697">
        <v>146.03104160000001</v>
      </c>
      <c r="D3697">
        <v>-17.489813009999999</v>
      </c>
      <c r="F3697" s="75" t="str">
        <f>HYPERLINK("E:\Data From Lucan\2024\Johnstone\Frames_for_Analysis\3694_20240610_0005_L_1335.jpg","3694_20240610_0005_L_1335.jpg")</f>
        <v>3694_20240610_0005_L_1335.jpg</v>
      </c>
      <c r="G3697" s="75">
        <v>6</v>
      </c>
      <c r="I3697">
        <f t="shared" si="57"/>
        <v>0</v>
      </c>
      <c r="J3697" s="75">
        <v>0</v>
      </c>
      <c r="O3697" s="75">
        <v>1</v>
      </c>
      <c r="P3697" s="75">
        <v>0</v>
      </c>
      <c r="Q3697" s="75">
        <v>0</v>
      </c>
      <c r="R3697" s="75">
        <v>0</v>
      </c>
      <c r="S3697" s="75">
        <v>0</v>
      </c>
      <c r="T3697" s="75">
        <v>0</v>
      </c>
      <c r="U3697" s="75">
        <v>0</v>
      </c>
      <c r="V3697" s="75">
        <v>0</v>
      </c>
      <c r="W3697" s="78">
        <v>0</v>
      </c>
    </row>
    <row r="3698" spans="1:23" s="75" customFormat="1" hidden="1" x14ac:dyDescent="0.35">
      <c r="A3698" s="75">
        <v>3694</v>
      </c>
      <c r="B3698" s="75">
        <v>3695</v>
      </c>
      <c r="C3698">
        <v>146.0310771</v>
      </c>
      <c r="D3698">
        <v>-17.489900370000001</v>
      </c>
      <c r="F3698" s="75" t="str">
        <f>HYPERLINK("E:\Data From Lucan\2024\Johnstone\Frames_for_Analysis\3695_20240610_0005_L_1338.jpg","3695_20240610_0005_L_1338.jpg")</f>
        <v>3695_20240610_0005_L_1338.jpg</v>
      </c>
      <c r="G3698" s="75">
        <v>6</v>
      </c>
      <c r="I3698">
        <f t="shared" si="57"/>
        <v>0</v>
      </c>
      <c r="J3698" s="75">
        <v>0</v>
      </c>
      <c r="O3698" s="75">
        <v>1</v>
      </c>
      <c r="P3698" s="75">
        <v>0</v>
      </c>
      <c r="Q3698" s="75">
        <v>0</v>
      </c>
      <c r="R3698" s="75">
        <v>0</v>
      </c>
      <c r="S3698" s="75">
        <v>0</v>
      </c>
      <c r="T3698" s="75">
        <v>0</v>
      </c>
      <c r="U3698" s="75">
        <v>0</v>
      </c>
      <c r="V3698" s="75">
        <v>0</v>
      </c>
      <c r="W3698" s="78">
        <v>0</v>
      </c>
    </row>
    <row r="3699" spans="1:23" s="75" customFormat="1" hidden="1" x14ac:dyDescent="0.35">
      <c r="A3699" s="75">
        <v>3695</v>
      </c>
      <c r="B3699" s="75">
        <v>3696</v>
      </c>
      <c r="C3699">
        <v>146.03111240000001</v>
      </c>
      <c r="D3699">
        <v>-17.48998783</v>
      </c>
      <c r="F3699" s="75" t="str">
        <f>HYPERLINK("E:\Data From Lucan\2024\Johnstone\Frames_for_Analysis\3696_20240610_0005_L_1341.jpg","3696_20240610_0005_L_1341.jpg")</f>
        <v>3696_20240610_0005_L_1341.jpg</v>
      </c>
      <c r="G3699" s="75">
        <v>6</v>
      </c>
      <c r="I3699">
        <f t="shared" si="57"/>
        <v>0</v>
      </c>
      <c r="J3699" s="75">
        <v>0</v>
      </c>
      <c r="O3699" s="75">
        <v>1</v>
      </c>
      <c r="P3699" s="75">
        <v>0</v>
      </c>
      <c r="Q3699" s="75">
        <v>0</v>
      </c>
      <c r="R3699" s="75">
        <v>0</v>
      </c>
      <c r="S3699" s="75">
        <v>0</v>
      </c>
      <c r="T3699" s="75">
        <v>0</v>
      </c>
      <c r="U3699" s="75">
        <v>0</v>
      </c>
      <c r="V3699" s="75">
        <v>0</v>
      </c>
      <c r="W3699" s="78">
        <v>0</v>
      </c>
    </row>
    <row r="3700" spans="1:23" s="75" customFormat="1" hidden="1" x14ac:dyDescent="0.35">
      <c r="A3700" s="75">
        <v>3696</v>
      </c>
      <c r="B3700" s="75">
        <v>3697</v>
      </c>
      <c r="C3700">
        <v>146.0311476</v>
      </c>
      <c r="D3700">
        <v>-17.49007529</v>
      </c>
      <c r="F3700" s="75" t="str">
        <f>HYPERLINK("E:\Data From Lucan\2024\Johnstone\Frames_for_Analysis\3697_20240610_0005_L_1344.jpg","3697_20240610_0005_L_1344.jpg")</f>
        <v>3697_20240610_0005_L_1344.jpg</v>
      </c>
      <c r="G3700" s="75">
        <v>6</v>
      </c>
      <c r="I3700">
        <f t="shared" si="57"/>
        <v>0</v>
      </c>
      <c r="J3700" s="75">
        <v>0</v>
      </c>
      <c r="O3700" s="75">
        <v>1</v>
      </c>
      <c r="P3700" s="75">
        <v>0</v>
      </c>
      <c r="Q3700" s="75">
        <v>0</v>
      </c>
      <c r="R3700" s="75">
        <v>0</v>
      </c>
      <c r="S3700" s="75">
        <v>0</v>
      </c>
      <c r="T3700" s="75">
        <v>0</v>
      </c>
      <c r="U3700" s="75">
        <v>0</v>
      </c>
      <c r="V3700" s="75">
        <v>0</v>
      </c>
      <c r="W3700" s="78">
        <v>0</v>
      </c>
    </row>
    <row r="3701" spans="1:23" s="75" customFormat="1" hidden="1" x14ac:dyDescent="0.35">
      <c r="A3701" s="75">
        <v>3697</v>
      </c>
      <c r="B3701" s="75">
        <v>3698</v>
      </c>
      <c r="C3701">
        <v>146.03119989999999</v>
      </c>
      <c r="D3701">
        <v>-17.490151229999999</v>
      </c>
      <c r="F3701" s="75" t="str">
        <f>HYPERLINK("E:\Data From Lucan\2024\Johnstone\Frames_for_Analysis\3698_20240610_0005_L_1347.jpg","3698_20240610_0005_L_1347.jpg")</f>
        <v>3698_20240610_0005_L_1347.jpg</v>
      </c>
      <c r="G3701" s="75">
        <v>6</v>
      </c>
      <c r="I3701">
        <f t="shared" si="57"/>
        <v>0</v>
      </c>
      <c r="J3701" s="75">
        <v>0</v>
      </c>
      <c r="O3701" s="75">
        <v>1</v>
      </c>
      <c r="P3701" s="75">
        <v>0</v>
      </c>
      <c r="Q3701" s="75">
        <v>0</v>
      </c>
      <c r="R3701" s="75">
        <v>0</v>
      </c>
      <c r="S3701" s="75">
        <v>0</v>
      </c>
      <c r="T3701" s="75">
        <v>0</v>
      </c>
      <c r="U3701" s="75">
        <v>0</v>
      </c>
      <c r="V3701" s="75">
        <v>0</v>
      </c>
      <c r="W3701" s="78">
        <v>0</v>
      </c>
    </row>
    <row r="3702" spans="1:23" s="75" customFormat="1" hidden="1" x14ac:dyDescent="0.35">
      <c r="A3702" s="75">
        <v>3698</v>
      </c>
      <c r="B3702" s="75">
        <v>3699</v>
      </c>
      <c r="C3702">
        <v>146.03126800000001</v>
      </c>
      <c r="D3702">
        <v>-17.490216449999998</v>
      </c>
      <c r="F3702" s="75" t="str">
        <f>HYPERLINK("E:\Data From Lucan\2024\Johnstone\Frames_for_Analysis\3699_20240610_0005_L_1350.jpg","3699_20240610_0005_L_1350.jpg")</f>
        <v>3699_20240610_0005_L_1350.jpg</v>
      </c>
      <c r="G3702" s="75">
        <v>6</v>
      </c>
      <c r="I3702">
        <f t="shared" si="57"/>
        <v>0</v>
      </c>
      <c r="J3702" s="75">
        <v>0</v>
      </c>
      <c r="O3702" s="75">
        <v>1</v>
      </c>
      <c r="P3702" s="75">
        <v>0</v>
      </c>
      <c r="Q3702" s="75">
        <v>0</v>
      </c>
      <c r="R3702" s="75">
        <v>0</v>
      </c>
      <c r="S3702" s="75">
        <v>0</v>
      </c>
      <c r="T3702" s="75">
        <v>0</v>
      </c>
      <c r="U3702" s="75">
        <v>0</v>
      </c>
      <c r="V3702" s="75">
        <v>0</v>
      </c>
      <c r="W3702" s="78">
        <v>0</v>
      </c>
    </row>
    <row r="3703" spans="1:23" s="75" customFormat="1" hidden="1" x14ac:dyDescent="0.35">
      <c r="A3703" s="75">
        <v>3699</v>
      </c>
      <c r="B3703" s="75">
        <v>3700</v>
      </c>
      <c r="C3703">
        <v>146.03131550000001</v>
      </c>
      <c r="D3703">
        <v>-17.490297649999999</v>
      </c>
      <c r="F3703" s="75" t="str">
        <f>HYPERLINK("E:\Data From Lucan\2024\Johnstone\Frames_for_Analysis\3700_20240610_0005_L_1353.jpg","3700_20240610_0005_L_1353.jpg")</f>
        <v>3700_20240610_0005_L_1353.jpg</v>
      </c>
      <c r="G3703" s="75">
        <v>6</v>
      </c>
      <c r="I3703">
        <f t="shared" si="57"/>
        <v>0</v>
      </c>
      <c r="J3703" s="75">
        <v>0</v>
      </c>
      <c r="O3703" s="75">
        <v>1</v>
      </c>
      <c r="P3703" s="75">
        <v>0</v>
      </c>
      <c r="Q3703" s="75">
        <v>0</v>
      </c>
      <c r="R3703" s="75">
        <v>0</v>
      </c>
      <c r="S3703" s="75">
        <v>0</v>
      </c>
      <c r="T3703" s="75">
        <v>0</v>
      </c>
      <c r="U3703" s="75">
        <v>0</v>
      </c>
      <c r="V3703" s="75">
        <v>0</v>
      </c>
      <c r="W3703" s="78">
        <v>0</v>
      </c>
    </row>
    <row r="3704" spans="1:23" s="75" customFormat="1" hidden="1" x14ac:dyDescent="0.35">
      <c r="A3704" s="75">
        <v>3700</v>
      </c>
      <c r="B3704" s="75">
        <v>3701</v>
      </c>
      <c r="C3704">
        <v>146.03136140000001</v>
      </c>
      <c r="D3704">
        <v>-17.49038002</v>
      </c>
      <c r="F3704" s="75" t="str">
        <f>HYPERLINK("E:\Data From Lucan\2024\Johnstone\Frames_for_Analysis\3701_20240610_0005_L_1355.jpg","3701_20240610_0005_L_1355.jpg")</f>
        <v>3701_20240610_0005_L_1355.jpg</v>
      </c>
      <c r="G3704" s="75">
        <v>6</v>
      </c>
      <c r="I3704">
        <f t="shared" si="57"/>
        <v>0</v>
      </c>
      <c r="J3704" s="75">
        <v>0</v>
      </c>
      <c r="O3704" s="75">
        <v>1</v>
      </c>
      <c r="P3704" s="75">
        <v>0</v>
      </c>
      <c r="Q3704" s="75">
        <v>0</v>
      </c>
      <c r="R3704" s="75">
        <v>0</v>
      </c>
      <c r="S3704" s="75">
        <v>0</v>
      </c>
      <c r="T3704" s="75">
        <v>0</v>
      </c>
      <c r="U3704" s="75">
        <v>0</v>
      </c>
      <c r="V3704" s="75">
        <v>0</v>
      </c>
      <c r="W3704" s="78">
        <v>0</v>
      </c>
    </row>
    <row r="3705" spans="1:23" s="75" customFormat="1" hidden="1" x14ac:dyDescent="0.35">
      <c r="A3705" s="75">
        <v>3701</v>
      </c>
      <c r="B3705" s="75">
        <v>3702</v>
      </c>
      <c r="C3705">
        <v>146.03140769999999</v>
      </c>
      <c r="D3705">
        <v>-17.490462090000001</v>
      </c>
      <c r="F3705" s="75" t="str">
        <f>HYPERLINK("E:\Data From Lucan\2024\Johnstone\Frames_for_Analysis\3702_20240610_0005_L_1358.jpg","3702_20240610_0005_L_1358.jpg")</f>
        <v>3702_20240610_0005_L_1358.jpg</v>
      </c>
      <c r="G3705" s="75">
        <v>6</v>
      </c>
      <c r="I3705">
        <f t="shared" si="57"/>
        <v>0</v>
      </c>
      <c r="J3705" s="75">
        <v>0</v>
      </c>
      <c r="O3705" s="75">
        <v>1</v>
      </c>
      <c r="P3705" s="75">
        <v>0</v>
      </c>
      <c r="Q3705" s="75">
        <v>0</v>
      </c>
      <c r="R3705" s="75">
        <v>0</v>
      </c>
      <c r="S3705" s="75">
        <v>0</v>
      </c>
      <c r="T3705" s="75">
        <v>0</v>
      </c>
      <c r="U3705" s="75">
        <v>0</v>
      </c>
      <c r="V3705" s="75">
        <v>0</v>
      </c>
      <c r="W3705" s="78">
        <v>0</v>
      </c>
    </row>
    <row r="3706" spans="1:23" s="75" customFormat="1" hidden="1" x14ac:dyDescent="0.35">
      <c r="A3706" s="75">
        <v>3702</v>
      </c>
      <c r="B3706" s="75">
        <v>3703</v>
      </c>
      <c r="C3706">
        <v>146.0314692</v>
      </c>
      <c r="D3706">
        <v>-17.490533589999998</v>
      </c>
      <c r="F3706" s="75" t="str">
        <f>HYPERLINK("E:\Data From Lucan\2024\Johnstone\Frames_for_Analysis\3703_20240610_0005_L_1361.jpg","3703_20240610_0005_L_1361.jpg")</f>
        <v>3703_20240610_0005_L_1361.jpg</v>
      </c>
      <c r="G3706" s="75">
        <v>6</v>
      </c>
      <c r="I3706">
        <f t="shared" si="57"/>
        <v>0</v>
      </c>
      <c r="J3706" s="75">
        <v>0</v>
      </c>
      <c r="O3706" s="75">
        <v>1</v>
      </c>
      <c r="P3706" s="75">
        <v>0</v>
      </c>
      <c r="Q3706" s="75">
        <v>0</v>
      </c>
      <c r="R3706" s="75">
        <v>0</v>
      </c>
      <c r="S3706" s="75">
        <v>0</v>
      </c>
      <c r="T3706" s="75">
        <v>0</v>
      </c>
      <c r="U3706" s="75">
        <v>0</v>
      </c>
      <c r="V3706" s="75">
        <v>0</v>
      </c>
      <c r="W3706" s="78">
        <v>0</v>
      </c>
    </row>
    <row r="3707" spans="1:23" s="75" customFormat="1" hidden="1" x14ac:dyDescent="0.35">
      <c r="A3707" s="75">
        <v>3703</v>
      </c>
      <c r="B3707" s="75">
        <v>3704</v>
      </c>
      <c r="C3707">
        <v>146.0315272</v>
      </c>
      <c r="D3707">
        <v>-17.49060747</v>
      </c>
      <c r="F3707" s="75" t="str">
        <f>HYPERLINK("E:\Data From Lucan\2024\Johnstone\Frames_for_Analysis\3704_20240610_0005_L_1364.jpg","3704_20240610_0005_L_1364.jpg")</f>
        <v>3704_20240610_0005_L_1364.jpg</v>
      </c>
      <c r="G3707" s="75">
        <v>6</v>
      </c>
      <c r="I3707">
        <f t="shared" si="57"/>
        <v>0</v>
      </c>
      <c r="J3707" s="75">
        <v>0</v>
      </c>
      <c r="O3707" s="75">
        <v>1</v>
      </c>
      <c r="P3707" s="75">
        <v>0</v>
      </c>
      <c r="Q3707" s="75">
        <v>0</v>
      </c>
      <c r="R3707" s="75">
        <v>0</v>
      </c>
      <c r="S3707" s="75">
        <v>0</v>
      </c>
      <c r="T3707" s="75">
        <v>0</v>
      </c>
      <c r="U3707" s="75">
        <v>0</v>
      </c>
      <c r="V3707" s="75">
        <v>0</v>
      </c>
      <c r="W3707" s="78">
        <v>0</v>
      </c>
    </row>
    <row r="3708" spans="1:23" s="75" customFormat="1" hidden="1" x14ac:dyDescent="0.35">
      <c r="A3708" s="75">
        <v>3704</v>
      </c>
      <c r="B3708" s="75">
        <v>3705</v>
      </c>
      <c r="C3708">
        <v>146.03157089999999</v>
      </c>
      <c r="D3708">
        <v>-17.490691009999999</v>
      </c>
      <c r="F3708" s="75" t="str">
        <f>HYPERLINK("E:\Data From Lucan\2024\Johnstone\Frames_for_Analysis\3705_20240610_0005_L_1367.jpg","3705_20240610_0005_L_1367.jpg")</f>
        <v>3705_20240610_0005_L_1367.jpg</v>
      </c>
      <c r="G3708" s="75">
        <v>6</v>
      </c>
      <c r="I3708">
        <f t="shared" si="57"/>
        <v>0</v>
      </c>
      <c r="J3708" s="75">
        <v>0</v>
      </c>
      <c r="O3708" s="75">
        <v>1</v>
      </c>
      <c r="P3708" s="75">
        <v>0</v>
      </c>
      <c r="Q3708" s="75">
        <v>0</v>
      </c>
      <c r="R3708" s="75">
        <v>0</v>
      </c>
      <c r="S3708" s="75">
        <v>0</v>
      </c>
      <c r="T3708" s="75">
        <v>0</v>
      </c>
      <c r="U3708" s="75">
        <v>0</v>
      </c>
      <c r="V3708" s="75">
        <v>0</v>
      </c>
      <c r="W3708" s="78">
        <v>0</v>
      </c>
    </row>
    <row r="3709" spans="1:23" s="75" customFormat="1" hidden="1" x14ac:dyDescent="0.35">
      <c r="A3709" s="75">
        <v>3705</v>
      </c>
      <c r="B3709" s="75">
        <v>3706</v>
      </c>
      <c r="C3709">
        <v>146.03161470000001</v>
      </c>
      <c r="D3709">
        <v>-17.49077454</v>
      </c>
      <c r="F3709" s="75" t="str">
        <f>HYPERLINK("E:\Data From Lucan\2024\Johnstone\Frames_for_Analysis\3706_20240610_0005_L_1370.jpg","3706_20240610_0005_L_1370.jpg")</f>
        <v>3706_20240610_0005_L_1370.jpg</v>
      </c>
      <c r="G3709" s="75">
        <v>6</v>
      </c>
      <c r="I3709">
        <f t="shared" si="57"/>
        <v>0</v>
      </c>
      <c r="J3709" s="75">
        <v>0</v>
      </c>
      <c r="O3709" s="75">
        <v>1</v>
      </c>
      <c r="P3709" s="75">
        <v>0</v>
      </c>
      <c r="Q3709" s="75">
        <v>0</v>
      </c>
      <c r="R3709" s="75">
        <v>0</v>
      </c>
      <c r="S3709" s="75">
        <v>0</v>
      </c>
      <c r="T3709" s="75">
        <v>0</v>
      </c>
      <c r="U3709" s="75">
        <v>0</v>
      </c>
      <c r="V3709" s="75">
        <v>0</v>
      </c>
      <c r="W3709" s="78">
        <v>0</v>
      </c>
    </row>
    <row r="3710" spans="1:23" s="75" customFormat="1" hidden="1" x14ac:dyDescent="0.35">
      <c r="A3710" s="75">
        <v>3706</v>
      </c>
      <c r="B3710" s="75">
        <v>3707</v>
      </c>
      <c r="C3710">
        <v>146.03165849999999</v>
      </c>
      <c r="D3710">
        <v>-17.490858079999999</v>
      </c>
      <c r="F3710" s="75" t="str">
        <f>HYPERLINK("E:\Data From Lucan\2024\Johnstone\Frames_for_Analysis\3707_20240610_0005_L_1373.jpg","3707_20240610_0005_L_1373.jpg")</f>
        <v>3707_20240610_0005_L_1373.jpg</v>
      </c>
      <c r="G3710" s="75">
        <v>6</v>
      </c>
      <c r="I3710">
        <f t="shared" si="57"/>
        <v>0</v>
      </c>
      <c r="J3710" s="75">
        <v>0</v>
      </c>
      <c r="O3710" s="75">
        <v>1</v>
      </c>
      <c r="P3710" s="75">
        <v>0</v>
      </c>
      <c r="Q3710" s="75">
        <v>0</v>
      </c>
      <c r="R3710" s="75">
        <v>0</v>
      </c>
      <c r="S3710" s="75">
        <v>0</v>
      </c>
      <c r="T3710" s="75">
        <v>0</v>
      </c>
      <c r="U3710" s="75">
        <v>0</v>
      </c>
      <c r="V3710" s="75">
        <v>0</v>
      </c>
      <c r="W3710" s="78">
        <v>0</v>
      </c>
    </row>
    <row r="3711" spans="1:23" s="75" customFormat="1" hidden="1" x14ac:dyDescent="0.35">
      <c r="A3711" s="75">
        <v>3707</v>
      </c>
      <c r="B3711" s="75">
        <v>3708</v>
      </c>
      <c r="C3711">
        <v>146.03170220000001</v>
      </c>
      <c r="D3711">
        <v>-17.490941620000001</v>
      </c>
      <c r="F3711" s="75" t="str">
        <f>HYPERLINK("E:\Data From Lucan\2024\Johnstone\Frames_for_Analysis\3708_20240610_0005_L_1375.jpg","3708_20240610_0005_L_1375.jpg")</f>
        <v>3708_20240610_0005_L_1375.jpg</v>
      </c>
      <c r="G3711" s="75">
        <v>6</v>
      </c>
      <c r="I3711">
        <f t="shared" si="57"/>
        <v>0</v>
      </c>
      <c r="J3711" s="75">
        <v>0</v>
      </c>
      <c r="O3711" s="75">
        <v>1</v>
      </c>
      <c r="P3711" s="75">
        <v>0</v>
      </c>
      <c r="Q3711" s="75">
        <v>0</v>
      </c>
      <c r="R3711" s="75">
        <v>0</v>
      </c>
      <c r="S3711" s="75">
        <v>0</v>
      </c>
      <c r="T3711" s="75">
        <v>0</v>
      </c>
      <c r="U3711" s="75">
        <v>0</v>
      </c>
      <c r="V3711" s="75">
        <v>0</v>
      </c>
      <c r="W3711" s="78">
        <v>0</v>
      </c>
    </row>
    <row r="3712" spans="1:23" s="75" customFormat="1" hidden="1" x14ac:dyDescent="0.35">
      <c r="A3712" s="75">
        <v>3708</v>
      </c>
      <c r="B3712" s="75">
        <v>3709</v>
      </c>
      <c r="C3712">
        <v>146.0317598</v>
      </c>
      <c r="D3712">
        <v>-17.49101594</v>
      </c>
      <c r="F3712" s="75" t="str">
        <f>HYPERLINK("E:\Data From Lucan\2024\Johnstone\Frames_for_Analysis\3709_20240610_0005_L_1377.jpg","3709_20240610_0005_L_1377.jpg")</f>
        <v>3709_20240610_0005_L_1377.jpg</v>
      </c>
      <c r="G3712" s="75">
        <v>6</v>
      </c>
      <c r="I3712">
        <f t="shared" si="57"/>
        <v>0</v>
      </c>
      <c r="J3712" s="75">
        <v>0</v>
      </c>
      <c r="O3712" s="75">
        <v>1</v>
      </c>
      <c r="P3712" s="75">
        <v>0</v>
      </c>
      <c r="Q3712" s="75">
        <v>0</v>
      </c>
      <c r="R3712" s="75">
        <v>0</v>
      </c>
      <c r="S3712" s="75">
        <v>0</v>
      </c>
      <c r="T3712" s="75">
        <v>0</v>
      </c>
      <c r="U3712" s="75">
        <v>0</v>
      </c>
      <c r="V3712" s="75">
        <v>0</v>
      </c>
      <c r="W3712" s="78">
        <v>0</v>
      </c>
    </row>
    <row r="3713" spans="1:23" s="75" customFormat="1" hidden="1" x14ac:dyDescent="0.35">
      <c r="A3713" s="75">
        <v>3709</v>
      </c>
      <c r="B3713" s="75">
        <v>3710</v>
      </c>
      <c r="C3713">
        <v>146.03181979999999</v>
      </c>
      <c r="D3713">
        <v>-17.49108871</v>
      </c>
      <c r="F3713" s="75" t="str">
        <f>HYPERLINK("E:\Data From Lucan\2024\Johnstone\Frames_for_Analysis\3710_20240610_0005_L_1381.jpg","3710_20240610_0005_L_1381.jpg")</f>
        <v>3710_20240610_0005_L_1381.jpg</v>
      </c>
      <c r="G3713" s="75">
        <v>6</v>
      </c>
      <c r="I3713">
        <f t="shared" si="57"/>
        <v>0</v>
      </c>
      <c r="J3713" s="75">
        <v>0</v>
      </c>
      <c r="O3713" s="75">
        <v>1</v>
      </c>
      <c r="P3713" s="75">
        <v>0</v>
      </c>
      <c r="Q3713" s="75">
        <v>0</v>
      </c>
      <c r="R3713" s="75">
        <v>0</v>
      </c>
      <c r="S3713" s="75">
        <v>0</v>
      </c>
      <c r="T3713" s="75">
        <v>0</v>
      </c>
      <c r="U3713" s="75">
        <v>0</v>
      </c>
      <c r="V3713" s="75">
        <v>0</v>
      </c>
      <c r="W3713" s="78">
        <v>0</v>
      </c>
    </row>
    <row r="3714" spans="1:23" s="75" customFormat="1" hidden="1" x14ac:dyDescent="0.35">
      <c r="A3714" s="75">
        <v>3710</v>
      </c>
      <c r="B3714" s="75">
        <v>3711</v>
      </c>
      <c r="C3714">
        <v>146.03187980000001</v>
      </c>
      <c r="D3714">
        <v>-17.491161470000002</v>
      </c>
      <c r="F3714" s="75" t="str">
        <f>HYPERLINK("E:\Data From Lucan\2024\Johnstone\Frames_for_Analysis\3711_20240610_0005_L_1383.jpg","3711_20240610_0005_L_1383.jpg")</f>
        <v>3711_20240610_0005_L_1383.jpg</v>
      </c>
      <c r="G3714" s="75">
        <v>6</v>
      </c>
      <c r="I3714">
        <f t="shared" si="57"/>
        <v>0</v>
      </c>
      <c r="J3714" s="75">
        <v>0</v>
      </c>
      <c r="O3714" s="75">
        <v>1</v>
      </c>
      <c r="P3714" s="75">
        <v>0</v>
      </c>
      <c r="Q3714" s="75">
        <v>0</v>
      </c>
      <c r="R3714" s="75">
        <v>0</v>
      </c>
      <c r="S3714" s="75">
        <v>0</v>
      </c>
      <c r="T3714" s="75">
        <v>0</v>
      </c>
      <c r="U3714" s="75">
        <v>0</v>
      </c>
      <c r="V3714" s="75">
        <v>1</v>
      </c>
      <c r="W3714" s="78">
        <v>0</v>
      </c>
    </row>
    <row r="3715" spans="1:23" s="75" customFormat="1" hidden="1" x14ac:dyDescent="0.35">
      <c r="A3715" s="75">
        <v>3711</v>
      </c>
      <c r="B3715" s="75">
        <v>3712</v>
      </c>
      <c r="C3715">
        <v>146.0319398</v>
      </c>
      <c r="D3715">
        <v>-17.491234240000001</v>
      </c>
      <c r="F3715" s="75" t="str">
        <f>HYPERLINK("E:\Data From Lucan\2024\Johnstone\Frames_for_Analysis\3712_20240610_0005_L_1387.jpg","3712_20240610_0005_L_1387.jpg")</f>
        <v>3712_20240610_0005_L_1387.jpg</v>
      </c>
      <c r="G3715" s="75">
        <v>6</v>
      </c>
      <c r="I3715">
        <f t="shared" si="57"/>
        <v>0</v>
      </c>
      <c r="J3715" s="75">
        <v>0</v>
      </c>
      <c r="O3715" s="75">
        <v>1</v>
      </c>
      <c r="P3715" s="75">
        <v>0</v>
      </c>
      <c r="Q3715" s="75">
        <v>0</v>
      </c>
      <c r="R3715" s="75">
        <v>0</v>
      </c>
      <c r="S3715" s="75">
        <v>0</v>
      </c>
      <c r="T3715" s="75">
        <v>0</v>
      </c>
      <c r="U3715" s="75">
        <v>0</v>
      </c>
      <c r="V3715" s="75">
        <v>0</v>
      </c>
      <c r="W3715" s="78">
        <v>0</v>
      </c>
    </row>
    <row r="3716" spans="1:23" s="75" customFormat="1" hidden="1" x14ac:dyDescent="0.35">
      <c r="A3716" s="75">
        <v>3712</v>
      </c>
      <c r="B3716" s="75">
        <v>3713</v>
      </c>
      <c r="C3716">
        <v>146.03199960000001</v>
      </c>
      <c r="D3716">
        <v>-17.491307129999999</v>
      </c>
      <c r="F3716" s="75" t="str">
        <f>HYPERLINK("E:\Data From Lucan\2024\Johnstone\Frames_for_Analysis\3713_20240610_0005_L_1391.jpg","3713_20240610_0005_L_1391.jpg")</f>
        <v>3713_20240610_0005_L_1391.jpg</v>
      </c>
      <c r="G3716" s="75">
        <v>6</v>
      </c>
      <c r="I3716">
        <f t="shared" si="57"/>
        <v>0</v>
      </c>
      <c r="J3716" s="75">
        <v>0</v>
      </c>
      <c r="O3716" s="75">
        <v>1</v>
      </c>
      <c r="P3716" s="75">
        <v>0</v>
      </c>
      <c r="Q3716" s="75">
        <v>0</v>
      </c>
      <c r="R3716" s="75">
        <v>0</v>
      </c>
      <c r="S3716" s="75">
        <v>1</v>
      </c>
      <c r="T3716" s="75">
        <v>0</v>
      </c>
      <c r="U3716" s="75">
        <v>0</v>
      </c>
      <c r="V3716" s="75">
        <v>0</v>
      </c>
      <c r="W3716" s="78">
        <v>0</v>
      </c>
    </row>
    <row r="3717" spans="1:23" s="75" customFormat="1" hidden="1" x14ac:dyDescent="0.35">
      <c r="A3717" s="75">
        <v>3713</v>
      </c>
      <c r="B3717" s="75">
        <v>3714</v>
      </c>
      <c r="C3717">
        <v>146.0320389</v>
      </c>
      <c r="D3717">
        <v>-17.491392860000001</v>
      </c>
      <c r="F3717" s="75" t="str">
        <f>HYPERLINK("E:\Data From Lucan\2024\Johnstone\Frames_for_Analysis\3714_20240610_0005_L_1393.jpg","3714_20240610_0005_L_1393.jpg")</f>
        <v>3714_20240610_0005_L_1393.jpg</v>
      </c>
      <c r="G3717" s="75">
        <v>6</v>
      </c>
      <c r="I3717">
        <f t="shared" ref="I3717:I3780" si="58">IF(H3717="X","X",IF(J3717="NA","X",IF(J3717="","X",J3717)))</f>
        <v>0</v>
      </c>
      <c r="J3717" s="75">
        <v>0</v>
      </c>
      <c r="O3717" s="75">
        <v>1</v>
      </c>
      <c r="P3717" s="75">
        <v>0</v>
      </c>
      <c r="Q3717" s="75">
        <v>0</v>
      </c>
      <c r="R3717" s="75">
        <v>0</v>
      </c>
      <c r="S3717" s="75">
        <v>0</v>
      </c>
      <c r="T3717" s="75">
        <v>0</v>
      </c>
      <c r="U3717" s="75">
        <v>0</v>
      </c>
      <c r="V3717" s="75">
        <v>0</v>
      </c>
      <c r="W3717" s="78">
        <v>0</v>
      </c>
    </row>
    <row r="3718" spans="1:23" s="75" customFormat="1" hidden="1" x14ac:dyDescent="0.35">
      <c r="A3718" s="75">
        <v>3714</v>
      </c>
      <c r="B3718" s="75">
        <v>3715</v>
      </c>
      <c r="C3718">
        <v>146.0320782</v>
      </c>
      <c r="D3718">
        <v>-17.49147859</v>
      </c>
      <c r="F3718" s="75" t="str">
        <f>HYPERLINK("E:\Data From Lucan\2024\Johnstone\Frames_for_Analysis\3715_20240610_0005_L_1395.jpg","3715_20240610_0005_L_1395.jpg")</f>
        <v>3715_20240610_0005_L_1395.jpg</v>
      </c>
      <c r="G3718" s="75">
        <v>6</v>
      </c>
      <c r="I3718">
        <f t="shared" si="58"/>
        <v>0</v>
      </c>
      <c r="J3718" s="75">
        <v>0</v>
      </c>
      <c r="O3718" s="75">
        <v>1</v>
      </c>
      <c r="P3718" s="75">
        <v>0</v>
      </c>
      <c r="Q3718" s="75">
        <v>0</v>
      </c>
      <c r="R3718" s="75">
        <v>0</v>
      </c>
      <c r="S3718" s="75">
        <v>0</v>
      </c>
      <c r="T3718" s="75">
        <v>0</v>
      </c>
      <c r="U3718" s="75">
        <v>0</v>
      </c>
      <c r="V3718" s="75">
        <v>0</v>
      </c>
      <c r="W3718" s="78">
        <v>0</v>
      </c>
    </row>
    <row r="3719" spans="1:23" s="75" customFormat="1" hidden="1" x14ac:dyDescent="0.35">
      <c r="A3719" s="75">
        <v>3715</v>
      </c>
      <c r="B3719" s="75">
        <v>3716</v>
      </c>
      <c r="C3719">
        <v>146.0321175</v>
      </c>
      <c r="D3719">
        <v>-17.491564319999998</v>
      </c>
      <c r="F3719" s="75" t="str">
        <f>HYPERLINK("E:\Data From Lucan\2024\Johnstone\Frames_for_Analysis\3716_20240610_0005_L_1398.jpg","3716_20240610_0005_L_1398.jpg")</f>
        <v>3716_20240610_0005_L_1398.jpg</v>
      </c>
      <c r="G3719" s="75">
        <v>6</v>
      </c>
      <c r="I3719">
        <f t="shared" si="58"/>
        <v>0</v>
      </c>
      <c r="J3719" s="75">
        <v>0</v>
      </c>
      <c r="O3719" s="75">
        <v>1</v>
      </c>
      <c r="P3719" s="75">
        <v>0</v>
      </c>
      <c r="Q3719" s="75">
        <v>0</v>
      </c>
      <c r="R3719" s="75">
        <v>0</v>
      </c>
      <c r="S3719" s="75">
        <v>0</v>
      </c>
      <c r="T3719" s="75">
        <v>0</v>
      </c>
      <c r="U3719" s="75">
        <v>0</v>
      </c>
      <c r="V3719" s="75">
        <v>0</v>
      </c>
      <c r="W3719" s="78">
        <v>0</v>
      </c>
    </row>
    <row r="3720" spans="1:23" s="75" customFormat="1" hidden="1" x14ac:dyDescent="0.35">
      <c r="A3720" s="75">
        <v>3716</v>
      </c>
      <c r="B3720" s="75">
        <v>3717</v>
      </c>
      <c r="C3720">
        <v>146.03216860000001</v>
      </c>
      <c r="D3720">
        <v>-17.491642500000001</v>
      </c>
      <c r="F3720" s="75" t="str">
        <f>HYPERLINK("E:\Data From Lucan\2024\Johnstone\Frames_for_Analysis\3717_20240610_0005_L_1401.jpg","3717_20240610_0005_L_1401.jpg")</f>
        <v>3717_20240610_0005_L_1401.jpg</v>
      </c>
      <c r="G3720" s="75">
        <v>6</v>
      </c>
      <c r="I3720">
        <f t="shared" si="58"/>
        <v>0</v>
      </c>
      <c r="J3720" s="75">
        <v>0</v>
      </c>
      <c r="O3720" s="75">
        <v>1</v>
      </c>
      <c r="P3720" s="75">
        <v>0</v>
      </c>
      <c r="Q3720" s="75">
        <v>0</v>
      </c>
      <c r="R3720" s="75">
        <v>0</v>
      </c>
      <c r="S3720" s="75">
        <v>0</v>
      </c>
      <c r="T3720" s="75">
        <v>0</v>
      </c>
      <c r="U3720" s="75">
        <v>0</v>
      </c>
      <c r="V3720" s="75">
        <v>0</v>
      </c>
      <c r="W3720" s="78">
        <v>0</v>
      </c>
    </row>
    <row r="3721" spans="1:23" s="75" customFormat="1" hidden="1" x14ac:dyDescent="0.35">
      <c r="A3721" s="75">
        <v>3717</v>
      </c>
      <c r="B3721" s="75">
        <v>3718</v>
      </c>
      <c r="C3721">
        <v>146.03222959999999</v>
      </c>
      <c r="D3721">
        <v>-17.491714470000002</v>
      </c>
      <c r="F3721" s="75" t="str">
        <f>HYPERLINK("E:\Data From Lucan\2024\Johnstone\Frames_for_Analysis\3718_20240610_0005_L_1405.jpg","3718_20240610_0005_L_1405.jpg")</f>
        <v>3718_20240610_0005_L_1405.jpg</v>
      </c>
      <c r="G3721" s="75">
        <v>6</v>
      </c>
      <c r="I3721">
        <f t="shared" si="58"/>
        <v>0</v>
      </c>
      <c r="J3721" s="75">
        <v>0</v>
      </c>
      <c r="O3721" s="75">
        <v>1</v>
      </c>
      <c r="P3721" s="75">
        <v>0</v>
      </c>
      <c r="Q3721" s="75">
        <v>0</v>
      </c>
      <c r="R3721" s="75">
        <v>0</v>
      </c>
      <c r="S3721" s="75">
        <v>0</v>
      </c>
      <c r="T3721" s="75">
        <v>0</v>
      </c>
      <c r="U3721" s="75">
        <v>0</v>
      </c>
      <c r="V3721" s="75">
        <v>0</v>
      </c>
      <c r="W3721" s="78">
        <v>0</v>
      </c>
    </row>
    <row r="3722" spans="1:23" s="75" customFormat="1" hidden="1" x14ac:dyDescent="0.35">
      <c r="A3722" s="75">
        <v>3718</v>
      </c>
      <c r="B3722" s="75">
        <v>3719</v>
      </c>
      <c r="C3722">
        <v>146.03229049999999</v>
      </c>
      <c r="D3722">
        <v>-17.491786449999999</v>
      </c>
      <c r="F3722" s="75" t="str">
        <f>HYPERLINK("E:\Data From Lucan\2024\Johnstone\Frames_for_Analysis\3719_20240610_0005_L_1408.jpg","3719_20240610_0005_L_1408.jpg")</f>
        <v>3719_20240610_0005_L_1408.jpg</v>
      </c>
      <c r="G3722" s="75">
        <v>6</v>
      </c>
      <c r="I3722">
        <f t="shared" si="58"/>
        <v>0</v>
      </c>
      <c r="J3722" s="75">
        <v>0</v>
      </c>
      <c r="O3722" s="75">
        <v>1</v>
      </c>
      <c r="P3722" s="75">
        <v>0</v>
      </c>
      <c r="Q3722" s="75">
        <v>0</v>
      </c>
      <c r="R3722" s="75">
        <v>0</v>
      </c>
      <c r="S3722" s="75">
        <v>0</v>
      </c>
      <c r="T3722" s="75">
        <v>0</v>
      </c>
      <c r="U3722" s="75">
        <v>0</v>
      </c>
      <c r="V3722" s="75">
        <v>0</v>
      </c>
      <c r="W3722" s="78">
        <v>0</v>
      </c>
    </row>
    <row r="3723" spans="1:23" s="75" customFormat="1" hidden="1" x14ac:dyDescent="0.35">
      <c r="A3723" s="75">
        <v>3719</v>
      </c>
      <c r="B3723" s="75">
        <v>3720</v>
      </c>
      <c r="C3723">
        <v>146.03232410000001</v>
      </c>
      <c r="D3723">
        <v>-17.491873290000001</v>
      </c>
      <c r="F3723" s="75" t="str">
        <f>HYPERLINK("E:\Data From Lucan\2024\Johnstone\Frames_for_Analysis\3720_20240610_0005_L_1411.jpg","3720_20240610_0005_L_1411.jpg")</f>
        <v>3720_20240610_0005_L_1411.jpg</v>
      </c>
      <c r="G3723" s="75">
        <v>6</v>
      </c>
      <c r="I3723">
        <f t="shared" si="58"/>
        <v>0</v>
      </c>
      <c r="J3723" s="75">
        <v>0</v>
      </c>
      <c r="O3723" s="75">
        <v>1</v>
      </c>
      <c r="P3723" s="75">
        <v>0</v>
      </c>
      <c r="Q3723" s="75">
        <v>0</v>
      </c>
      <c r="R3723" s="75">
        <v>0</v>
      </c>
      <c r="S3723" s="75">
        <v>0</v>
      </c>
      <c r="T3723" s="75">
        <v>0</v>
      </c>
      <c r="U3723" s="75">
        <v>0</v>
      </c>
      <c r="V3723" s="75">
        <v>0</v>
      </c>
      <c r="W3723" s="78">
        <v>0</v>
      </c>
    </row>
    <row r="3724" spans="1:23" s="75" customFormat="1" hidden="1" x14ac:dyDescent="0.35">
      <c r="A3724" s="75">
        <v>3720</v>
      </c>
      <c r="B3724" s="75">
        <v>3721</v>
      </c>
      <c r="C3724">
        <v>146.03236039999999</v>
      </c>
      <c r="D3724">
        <v>-17.491959319999999</v>
      </c>
      <c r="F3724" s="75" t="str">
        <f>HYPERLINK("E:\Data From Lucan\2024\Johnstone\Frames_for_Analysis\3721_20240610_0005_L_1414.jpg","3721_20240610_0005_L_1414.jpg")</f>
        <v>3721_20240610_0005_L_1414.jpg</v>
      </c>
      <c r="G3724" s="75">
        <v>6</v>
      </c>
      <c r="I3724">
        <f t="shared" si="58"/>
        <v>0</v>
      </c>
      <c r="J3724" s="75">
        <v>0</v>
      </c>
      <c r="O3724" s="75">
        <v>1</v>
      </c>
      <c r="P3724" s="75">
        <v>0</v>
      </c>
      <c r="Q3724" s="75">
        <v>0</v>
      </c>
      <c r="R3724" s="75">
        <v>0</v>
      </c>
      <c r="S3724" s="75">
        <v>0</v>
      </c>
      <c r="T3724" s="75">
        <v>0</v>
      </c>
      <c r="U3724" s="75">
        <v>0</v>
      </c>
      <c r="V3724" s="75">
        <v>0</v>
      </c>
      <c r="W3724" s="78">
        <v>0</v>
      </c>
    </row>
    <row r="3725" spans="1:23" s="75" customFormat="1" hidden="1" x14ac:dyDescent="0.35">
      <c r="A3725" s="75">
        <v>3721</v>
      </c>
      <c r="B3725" s="75">
        <v>3722</v>
      </c>
      <c r="C3725">
        <v>146.0324124</v>
      </c>
      <c r="D3725">
        <v>-17.492038010000002</v>
      </c>
      <c r="F3725" s="75" t="str">
        <f>HYPERLINK("E:\Data From Lucan\2024\Johnstone\Frames_for_Analysis\3722_20240610_0005_L_1416.jpg","3722_20240610_0005_L_1416.jpg")</f>
        <v>3722_20240610_0005_L_1416.jpg</v>
      </c>
      <c r="G3725" s="75">
        <v>6</v>
      </c>
      <c r="I3725">
        <f t="shared" si="58"/>
        <v>0</v>
      </c>
      <c r="J3725" s="75">
        <v>0</v>
      </c>
      <c r="O3725" s="75">
        <v>1</v>
      </c>
      <c r="P3725" s="75">
        <v>0</v>
      </c>
      <c r="Q3725" s="75">
        <v>0</v>
      </c>
      <c r="R3725" s="75">
        <v>0</v>
      </c>
      <c r="S3725" s="75">
        <v>0</v>
      </c>
      <c r="T3725" s="75">
        <v>0</v>
      </c>
      <c r="U3725" s="75">
        <v>0</v>
      </c>
      <c r="V3725" s="75">
        <v>0</v>
      </c>
      <c r="W3725" s="78">
        <v>0</v>
      </c>
    </row>
    <row r="3726" spans="1:23" s="75" customFormat="1" hidden="1" x14ac:dyDescent="0.35">
      <c r="A3726" s="75">
        <v>3722</v>
      </c>
      <c r="B3726" s="75">
        <v>3723</v>
      </c>
      <c r="C3726">
        <v>146.03246429999999</v>
      </c>
      <c r="D3726">
        <v>-17.4921167</v>
      </c>
      <c r="F3726" s="75" t="str">
        <f>HYPERLINK("E:\Data From Lucan\2024\Johnstone\Frames_for_Analysis\3723_20240610_0005_L_1419.jpg","3723_20240610_0005_L_1419.jpg")</f>
        <v>3723_20240610_0005_L_1419.jpg</v>
      </c>
      <c r="G3726" s="75">
        <v>6</v>
      </c>
      <c r="I3726">
        <f t="shared" si="58"/>
        <v>0</v>
      </c>
      <c r="J3726" s="75">
        <v>0</v>
      </c>
      <c r="O3726" s="75">
        <v>1</v>
      </c>
      <c r="P3726" s="75">
        <v>0</v>
      </c>
      <c r="Q3726" s="75">
        <v>0</v>
      </c>
      <c r="R3726" s="75">
        <v>0</v>
      </c>
      <c r="S3726" s="75">
        <v>0</v>
      </c>
      <c r="T3726" s="75">
        <v>0</v>
      </c>
      <c r="U3726" s="75">
        <v>0</v>
      </c>
      <c r="V3726" s="75">
        <v>0</v>
      </c>
      <c r="W3726" s="78">
        <v>0</v>
      </c>
    </row>
    <row r="3727" spans="1:23" s="75" customFormat="1" hidden="1" x14ac:dyDescent="0.35">
      <c r="A3727" s="75">
        <v>3723</v>
      </c>
      <c r="B3727" s="75">
        <v>3724</v>
      </c>
      <c r="C3727">
        <v>146.0325163</v>
      </c>
      <c r="D3727">
        <v>-17.4921954</v>
      </c>
      <c r="F3727" s="75" t="str">
        <f>HYPERLINK("E:\Data From Lucan\2024\Johnstone\Frames_for_Analysis\3724_20240610_0005_L_1422.jpg","3724_20240610_0005_L_1422.jpg")</f>
        <v>3724_20240610_0005_L_1422.jpg</v>
      </c>
      <c r="G3727" s="75">
        <v>6</v>
      </c>
      <c r="I3727">
        <f t="shared" si="58"/>
        <v>0</v>
      </c>
      <c r="J3727" s="75">
        <v>0</v>
      </c>
      <c r="O3727" s="75">
        <v>1</v>
      </c>
      <c r="P3727" s="75">
        <v>0</v>
      </c>
      <c r="Q3727" s="75">
        <v>0</v>
      </c>
      <c r="R3727" s="75">
        <v>0</v>
      </c>
      <c r="S3727" s="75">
        <v>0</v>
      </c>
      <c r="T3727" s="75">
        <v>0</v>
      </c>
      <c r="U3727" s="75">
        <v>0</v>
      </c>
      <c r="V3727" s="75">
        <v>0</v>
      </c>
      <c r="W3727" s="78">
        <v>0</v>
      </c>
    </row>
    <row r="3728" spans="1:23" s="75" customFormat="1" hidden="1" x14ac:dyDescent="0.35">
      <c r="A3728" s="75">
        <v>3724</v>
      </c>
      <c r="B3728" s="75">
        <v>3725</v>
      </c>
      <c r="C3728">
        <v>146.0325761</v>
      </c>
      <c r="D3728">
        <v>-17.492267689999998</v>
      </c>
      <c r="F3728" s="75" t="str">
        <f>HYPERLINK("E:\Data From Lucan\2024\Johnstone\Frames_for_Analysis\3725_20240610_0005_L_1424.jpg","3725_20240610_0005_L_1424.jpg")</f>
        <v>3725_20240610_0005_L_1424.jpg</v>
      </c>
      <c r="G3728" s="75">
        <v>6</v>
      </c>
      <c r="I3728">
        <f t="shared" si="58"/>
        <v>0</v>
      </c>
      <c r="J3728" s="75">
        <v>0</v>
      </c>
      <c r="O3728" s="75">
        <v>1</v>
      </c>
      <c r="P3728" s="75">
        <v>0</v>
      </c>
      <c r="Q3728" s="75">
        <v>0</v>
      </c>
      <c r="R3728" s="75">
        <v>0</v>
      </c>
      <c r="S3728" s="75">
        <v>0</v>
      </c>
      <c r="T3728" s="75">
        <v>0</v>
      </c>
      <c r="U3728" s="75">
        <v>0</v>
      </c>
      <c r="V3728" s="75">
        <v>0</v>
      </c>
      <c r="W3728" s="78">
        <v>0</v>
      </c>
    </row>
    <row r="3729" spans="1:23" s="75" customFormat="1" hidden="1" x14ac:dyDescent="0.35">
      <c r="A3729" s="75">
        <v>3725</v>
      </c>
      <c r="B3729" s="75">
        <v>3726</v>
      </c>
      <c r="C3729">
        <v>146.0326426</v>
      </c>
      <c r="D3729">
        <v>-17.492334549999999</v>
      </c>
      <c r="F3729" s="75" t="str">
        <f>HYPERLINK("E:\Data From Lucan\2024\Johnstone\Frames_for_Analysis\3726_20240610_0005_L_1427.jpg","3726_20240610_0005_L_1427.jpg")</f>
        <v>3726_20240610_0005_L_1427.jpg</v>
      </c>
      <c r="G3729" s="75">
        <v>6</v>
      </c>
      <c r="I3729">
        <f t="shared" si="58"/>
        <v>0</v>
      </c>
      <c r="J3729" s="75">
        <v>0</v>
      </c>
      <c r="O3729" s="75">
        <v>1</v>
      </c>
      <c r="P3729" s="75">
        <v>0</v>
      </c>
      <c r="Q3729" s="75">
        <v>0</v>
      </c>
      <c r="R3729" s="75">
        <v>0</v>
      </c>
      <c r="S3729" s="75">
        <v>0</v>
      </c>
      <c r="T3729" s="75">
        <v>0</v>
      </c>
      <c r="U3729" s="75">
        <v>0</v>
      </c>
      <c r="V3729" s="75">
        <v>0</v>
      </c>
      <c r="W3729" s="78">
        <v>0</v>
      </c>
    </row>
    <row r="3730" spans="1:23" s="75" customFormat="1" hidden="1" x14ac:dyDescent="0.35">
      <c r="A3730" s="75">
        <v>3726</v>
      </c>
      <c r="B3730" s="75">
        <v>3727</v>
      </c>
      <c r="C3730">
        <v>146.03270910000001</v>
      </c>
      <c r="D3730">
        <v>-17.492401409999999</v>
      </c>
      <c r="F3730" s="75" t="str">
        <f>HYPERLINK("E:\Data From Lucan\2024\Johnstone\Frames_for_Analysis\3727_20240610_0005_L_1429.jpg","3727_20240610_0005_L_1429.jpg")</f>
        <v>3727_20240610_0005_L_1429.jpg</v>
      </c>
      <c r="G3730" s="75">
        <v>6</v>
      </c>
      <c r="I3730">
        <f t="shared" si="58"/>
        <v>0</v>
      </c>
      <c r="J3730" s="75">
        <v>0</v>
      </c>
      <c r="O3730" s="75">
        <v>1</v>
      </c>
      <c r="P3730" s="75">
        <v>0</v>
      </c>
      <c r="Q3730" s="75">
        <v>0</v>
      </c>
      <c r="R3730" s="75">
        <v>0</v>
      </c>
      <c r="S3730" s="75">
        <v>0</v>
      </c>
      <c r="T3730" s="75">
        <v>0</v>
      </c>
      <c r="U3730" s="75">
        <v>0</v>
      </c>
      <c r="V3730" s="75">
        <v>0</v>
      </c>
      <c r="W3730" s="78">
        <v>0</v>
      </c>
    </row>
    <row r="3731" spans="1:23" s="75" customFormat="1" hidden="1" x14ac:dyDescent="0.35">
      <c r="A3731" s="75">
        <v>3727</v>
      </c>
      <c r="B3731" s="75">
        <v>3728</v>
      </c>
      <c r="C3731">
        <v>146.03277560000001</v>
      </c>
      <c r="D3731">
        <v>-17.492468280000001</v>
      </c>
      <c r="F3731" s="75" t="str">
        <f>HYPERLINK("E:\Data From Lucan\2024\Johnstone\Frames_for_Analysis\3728_20240610_0005_L_1432.jpg","3728_20240610_0005_L_1432.jpg")</f>
        <v>3728_20240610_0005_L_1432.jpg</v>
      </c>
      <c r="G3731" s="75">
        <v>6</v>
      </c>
      <c r="I3731">
        <f t="shared" si="58"/>
        <v>0</v>
      </c>
      <c r="J3731" s="75">
        <v>0</v>
      </c>
      <c r="O3731" s="75">
        <v>1</v>
      </c>
      <c r="P3731" s="75">
        <v>0</v>
      </c>
      <c r="Q3731" s="75">
        <v>0</v>
      </c>
      <c r="R3731" s="75">
        <v>0</v>
      </c>
      <c r="S3731" s="75">
        <v>0</v>
      </c>
      <c r="T3731" s="75">
        <v>0</v>
      </c>
      <c r="U3731" s="75">
        <v>0</v>
      </c>
      <c r="V3731" s="75">
        <v>0</v>
      </c>
      <c r="W3731" s="78">
        <v>0</v>
      </c>
    </row>
    <row r="3732" spans="1:23" s="75" customFormat="1" hidden="1" x14ac:dyDescent="0.35">
      <c r="A3732" s="75">
        <v>3728</v>
      </c>
      <c r="B3732" s="75">
        <v>3729</v>
      </c>
      <c r="C3732">
        <v>146.03284210000001</v>
      </c>
      <c r="D3732">
        <v>-17.492535140000001</v>
      </c>
      <c r="F3732" s="75" t="str">
        <f>HYPERLINK("E:\Data From Lucan\2024\Johnstone\Frames_for_Analysis\3729_20240610_0005_L_1435.jpg","3729_20240610_0005_L_1435.jpg")</f>
        <v>3729_20240610_0005_L_1435.jpg</v>
      </c>
      <c r="G3732" s="75">
        <v>6</v>
      </c>
      <c r="I3732">
        <f t="shared" si="58"/>
        <v>0</v>
      </c>
      <c r="J3732" s="75">
        <v>0</v>
      </c>
      <c r="O3732" s="75">
        <v>1</v>
      </c>
      <c r="P3732" s="75">
        <v>0</v>
      </c>
      <c r="Q3732" s="75">
        <v>0</v>
      </c>
      <c r="R3732" s="75">
        <v>0</v>
      </c>
      <c r="S3732" s="75">
        <v>0</v>
      </c>
      <c r="T3732" s="75">
        <v>0</v>
      </c>
      <c r="U3732" s="75">
        <v>0</v>
      </c>
      <c r="V3732" s="75">
        <v>0</v>
      </c>
      <c r="W3732" s="78">
        <v>0</v>
      </c>
    </row>
    <row r="3733" spans="1:23" s="75" customFormat="1" hidden="1" x14ac:dyDescent="0.35">
      <c r="A3733" s="75">
        <v>3729</v>
      </c>
      <c r="B3733" s="75">
        <v>3730</v>
      </c>
      <c r="C3733">
        <v>146.03290860000001</v>
      </c>
      <c r="D3733">
        <v>-17.492602000000002</v>
      </c>
      <c r="F3733" s="75" t="str">
        <f>HYPERLINK("E:\Data From Lucan\2024\Johnstone\Frames_for_Analysis\3730_20240610_0005_L_1437.jpg","3730_20240610_0005_L_1437.jpg")</f>
        <v>3730_20240610_0005_L_1437.jpg</v>
      </c>
      <c r="G3733" s="75">
        <v>6</v>
      </c>
      <c r="I3733">
        <f t="shared" si="58"/>
        <v>0</v>
      </c>
      <c r="J3733" s="75">
        <v>0</v>
      </c>
      <c r="O3733" s="75">
        <v>1</v>
      </c>
      <c r="P3733" s="75">
        <v>0</v>
      </c>
      <c r="Q3733" s="75">
        <v>0</v>
      </c>
      <c r="R3733" s="75">
        <v>0</v>
      </c>
      <c r="S3733" s="75">
        <v>0</v>
      </c>
      <c r="T3733" s="75">
        <v>0</v>
      </c>
      <c r="U3733" s="75">
        <v>0</v>
      </c>
      <c r="V3733" s="75">
        <v>0</v>
      </c>
      <c r="W3733" s="78">
        <v>0</v>
      </c>
    </row>
    <row r="3734" spans="1:23" s="75" customFormat="1" hidden="1" x14ac:dyDescent="0.35">
      <c r="A3734" s="75">
        <v>3730</v>
      </c>
      <c r="B3734" s="75">
        <v>3731</v>
      </c>
      <c r="C3734">
        <v>146.03297509999999</v>
      </c>
      <c r="D3734">
        <v>-17.492668859999998</v>
      </c>
      <c r="F3734" s="75" t="str">
        <f>HYPERLINK("E:\Data From Lucan\2024\Johnstone\Frames_for_Analysis\3731_20240610_0005_L_1440.jpg","3731_20240610_0005_L_1440.jpg")</f>
        <v>3731_20240610_0005_L_1440.jpg</v>
      </c>
      <c r="G3734" s="75">
        <v>6</v>
      </c>
      <c r="I3734">
        <f t="shared" si="58"/>
        <v>0</v>
      </c>
      <c r="J3734" s="75">
        <v>0</v>
      </c>
      <c r="O3734" s="75">
        <v>1</v>
      </c>
      <c r="P3734" s="75">
        <v>0</v>
      </c>
      <c r="Q3734" s="75">
        <v>0</v>
      </c>
      <c r="R3734" s="75">
        <v>0</v>
      </c>
      <c r="S3734" s="75">
        <v>0</v>
      </c>
      <c r="T3734" s="75">
        <v>0</v>
      </c>
      <c r="U3734" s="75">
        <v>0</v>
      </c>
      <c r="V3734" s="75">
        <v>0</v>
      </c>
      <c r="W3734" s="78">
        <v>0</v>
      </c>
    </row>
    <row r="3735" spans="1:23" s="75" customFormat="1" hidden="1" x14ac:dyDescent="0.35">
      <c r="A3735" s="75">
        <v>3731</v>
      </c>
      <c r="B3735" s="75">
        <v>3732</v>
      </c>
      <c r="C3735">
        <v>146.03304209999999</v>
      </c>
      <c r="D3735">
        <v>-17.492735060000001</v>
      </c>
      <c r="F3735" s="75" t="str">
        <f>HYPERLINK("E:\Data From Lucan\2024\Johnstone\Frames_for_Analysis\3732_20240610_0005_L_1443.jpg","3732_20240610_0005_L_1443.jpg")</f>
        <v>3732_20240610_0005_L_1443.jpg</v>
      </c>
      <c r="G3735" s="75">
        <v>6</v>
      </c>
      <c r="I3735">
        <f t="shared" si="58"/>
        <v>0</v>
      </c>
      <c r="J3735" s="75">
        <v>0</v>
      </c>
      <c r="O3735" s="75">
        <v>1</v>
      </c>
      <c r="P3735" s="75">
        <v>0</v>
      </c>
      <c r="Q3735" s="75">
        <v>0</v>
      </c>
      <c r="R3735" s="75">
        <v>0</v>
      </c>
      <c r="S3735" s="75">
        <v>0</v>
      </c>
      <c r="T3735" s="75">
        <v>0</v>
      </c>
      <c r="U3735" s="75">
        <v>0</v>
      </c>
      <c r="V3735" s="75">
        <v>0</v>
      </c>
      <c r="W3735" s="78">
        <v>0</v>
      </c>
    </row>
    <row r="3736" spans="1:23" s="75" customFormat="1" hidden="1" x14ac:dyDescent="0.35">
      <c r="A3736" s="75">
        <v>3732</v>
      </c>
      <c r="B3736" s="75">
        <v>3733</v>
      </c>
      <c r="C3736">
        <v>146.0331242</v>
      </c>
      <c r="D3736">
        <v>-17.492781579999999</v>
      </c>
      <c r="F3736" s="75" t="str">
        <f>HYPERLINK("E:\Data From Lucan\2024\Johnstone\Frames_for_Analysis\3733_20240610_0005_L_1445.jpg","3733_20240610_0005_L_1445.jpg")</f>
        <v>3733_20240610_0005_L_1445.jpg</v>
      </c>
      <c r="G3736" s="75">
        <v>6</v>
      </c>
      <c r="I3736">
        <f t="shared" si="58"/>
        <v>0</v>
      </c>
      <c r="J3736" s="75">
        <v>0</v>
      </c>
      <c r="O3736" s="75">
        <v>1</v>
      </c>
      <c r="P3736" s="75">
        <v>0</v>
      </c>
      <c r="Q3736" s="75">
        <v>0</v>
      </c>
      <c r="R3736" s="75">
        <v>0</v>
      </c>
      <c r="S3736" s="75">
        <v>0</v>
      </c>
      <c r="T3736" s="75">
        <v>0</v>
      </c>
      <c r="U3736" s="75">
        <v>0</v>
      </c>
      <c r="V3736" s="75">
        <v>0</v>
      </c>
      <c r="W3736" s="78">
        <v>0</v>
      </c>
    </row>
    <row r="3737" spans="1:23" s="75" customFormat="1" hidden="1" x14ac:dyDescent="0.35">
      <c r="A3737" s="75">
        <v>3733</v>
      </c>
      <c r="B3737" s="75">
        <v>3734</v>
      </c>
      <c r="C3737">
        <v>146.0332062</v>
      </c>
      <c r="D3737">
        <v>-17.492828100000001</v>
      </c>
      <c r="F3737" s="75" t="str">
        <f>HYPERLINK("E:\Data From Lucan\2024\Johnstone\Frames_for_Analysis\3734_20240610_0005_L_1448.jpg","3734_20240610_0005_L_1448.jpg")</f>
        <v>3734_20240610_0005_L_1448.jpg</v>
      </c>
      <c r="G3737" s="75">
        <v>6</v>
      </c>
      <c r="I3737">
        <f t="shared" si="58"/>
        <v>0</v>
      </c>
      <c r="J3737" s="75">
        <v>0</v>
      </c>
      <c r="O3737" s="75">
        <v>1</v>
      </c>
      <c r="P3737" s="75">
        <v>0</v>
      </c>
      <c r="Q3737" s="75">
        <v>0</v>
      </c>
      <c r="R3737" s="75">
        <v>0</v>
      </c>
      <c r="S3737" s="75">
        <v>0</v>
      </c>
      <c r="T3737" s="75">
        <v>0</v>
      </c>
      <c r="U3737" s="75">
        <v>0</v>
      </c>
      <c r="V3737" s="75">
        <v>0</v>
      </c>
      <c r="W3737" s="78">
        <v>0</v>
      </c>
    </row>
    <row r="3738" spans="1:23" s="75" customFormat="1" hidden="1" x14ac:dyDescent="0.35">
      <c r="A3738" s="75">
        <v>3734</v>
      </c>
      <c r="B3738" s="75">
        <v>3735</v>
      </c>
      <c r="C3738">
        <v>146.03328819999999</v>
      </c>
      <c r="D3738">
        <v>-17.492874619999998</v>
      </c>
      <c r="F3738" s="75" t="str">
        <f>HYPERLINK("E:\Data From Lucan\2024\Johnstone\Frames_for_Analysis\3735_20240610_0005_L_1451.jpg","3735_20240610_0005_L_1451.jpg")</f>
        <v>3735_20240610_0005_L_1451.jpg</v>
      </c>
      <c r="G3738" s="75">
        <v>6</v>
      </c>
      <c r="I3738">
        <f t="shared" si="58"/>
        <v>0</v>
      </c>
      <c r="J3738" s="75">
        <v>0</v>
      </c>
      <c r="O3738" s="75">
        <v>1</v>
      </c>
      <c r="P3738" s="75">
        <v>0</v>
      </c>
      <c r="Q3738" s="75">
        <v>0</v>
      </c>
      <c r="R3738" s="75">
        <v>0</v>
      </c>
      <c r="S3738" s="75">
        <v>0</v>
      </c>
      <c r="T3738" s="75">
        <v>0</v>
      </c>
      <c r="U3738" s="75">
        <v>0</v>
      </c>
      <c r="V3738" s="75">
        <v>0</v>
      </c>
      <c r="W3738" s="78">
        <v>0</v>
      </c>
    </row>
    <row r="3739" spans="1:23" s="75" customFormat="1" hidden="1" x14ac:dyDescent="0.35">
      <c r="A3739" s="75">
        <v>3735</v>
      </c>
      <c r="B3739" s="75">
        <v>3736</v>
      </c>
      <c r="C3739">
        <v>146.0333766</v>
      </c>
      <c r="D3739">
        <v>-17.492895579999999</v>
      </c>
      <c r="F3739" s="75" t="str">
        <f>HYPERLINK("E:\Data From Lucan\2024\Johnstone\Frames_for_Analysis\3736_20240610_0005_L_1453.jpg","3736_20240610_0005_L_1453.jpg")</f>
        <v>3736_20240610_0005_L_1453.jpg</v>
      </c>
      <c r="G3739" s="75">
        <v>6</v>
      </c>
      <c r="I3739">
        <f t="shared" si="58"/>
        <v>0</v>
      </c>
      <c r="J3739" s="75">
        <v>0</v>
      </c>
      <c r="O3739" s="75">
        <v>1</v>
      </c>
      <c r="P3739" s="75">
        <v>0</v>
      </c>
      <c r="Q3739" s="75">
        <v>0</v>
      </c>
      <c r="R3739" s="75">
        <v>0</v>
      </c>
      <c r="S3739" s="75">
        <v>0</v>
      </c>
      <c r="T3739" s="75">
        <v>0</v>
      </c>
      <c r="U3739" s="75">
        <v>0</v>
      </c>
      <c r="V3739" s="75">
        <v>0</v>
      </c>
      <c r="W3739" s="78">
        <v>0</v>
      </c>
    </row>
    <row r="3740" spans="1:23" s="75" customFormat="1" hidden="1" x14ac:dyDescent="0.35">
      <c r="A3740" s="75">
        <v>3736</v>
      </c>
      <c r="B3740" s="75">
        <v>3737</v>
      </c>
      <c r="C3740">
        <v>146.03344419999999</v>
      </c>
      <c r="D3740">
        <v>-17.492961300000001</v>
      </c>
      <c r="F3740" s="75" t="str">
        <f>HYPERLINK("E:\Data From Lucan\2024\Johnstone\Frames_for_Analysis\3737_20240610_0005_L_1456.jpg","3737_20240610_0005_L_1456.jpg")</f>
        <v>3737_20240610_0005_L_1456.jpg</v>
      </c>
      <c r="G3740" s="75">
        <v>6</v>
      </c>
      <c r="I3740">
        <f t="shared" si="58"/>
        <v>0</v>
      </c>
      <c r="J3740" s="75">
        <v>0</v>
      </c>
      <c r="O3740" s="75">
        <v>1</v>
      </c>
      <c r="P3740" s="75">
        <v>0</v>
      </c>
      <c r="Q3740" s="75">
        <v>0</v>
      </c>
      <c r="R3740" s="75">
        <v>0</v>
      </c>
      <c r="S3740" s="75">
        <v>0</v>
      </c>
      <c r="T3740" s="75">
        <v>0</v>
      </c>
      <c r="U3740" s="75">
        <v>0</v>
      </c>
      <c r="V3740" s="75">
        <v>0</v>
      </c>
      <c r="W3740" s="78">
        <v>0</v>
      </c>
    </row>
    <row r="3741" spans="1:23" s="75" customFormat="1" hidden="1" x14ac:dyDescent="0.35">
      <c r="A3741" s="75">
        <v>3737</v>
      </c>
      <c r="B3741" s="75">
        <v>3738</v>
      </c>
      <c r="C3741">
        <v>146.03351190000001</v>
      </c>
      <c r="D3741">
        <v>-17.49302702</v>
      </c>
      <c r="F3741" s="75" t="str">
        <f>HYPERLINK("E:\Data From Lucan\2024\Johnstone\Frames_for_Analysis\3738_20240610_0005_L_1459.jpg","3738_20240610_0005_L_1459.jpg")</f>
        <v>3738_20240610_0005_L_1459.jpg</v>
      </c>
      <c r="G3741" s="75">
        <v>6</v>
      </c>
      <c r="I3741">
        <f t="shared" si="58"/>
        <v>0</v>
      </c>
      <c r="J3741" s="75">
        <v>0</v>
      </c>
      <c r="O3741" s="75">
        <v>1</v>
      </c>
      <c r="P3741" s="75">
        <v>0</v>
      </c>
      <c r="Q3741" s="75">
        <v>0</v>
      </c>
      <c r="R3741" s="75">
        <v>0</v>
      </c>
      <c r="S3741" s="75">
        <v>0</v>
      </c>
      <c r="T3741" s="75">
        <v>0</v>
      </c>
      <c r="U3741" s="75">
        <v>0</v>
      </c>
      <c r="V3741" s="75">
        <v>0</v>
      </c>
      <c r="W3741" s="78">
        <v>0</v>
      </c>
    </row>
    <row r="3742" spans="1:23" s="75" customFormat="1" hidden="1" x14ac:dyDescent="0.35">
      <c r="A3742" s="75">
        <v>3738</v>
      </c>
      <c r="B3742" s="75">
        <v>3739</v>
      </c>
      <c r="C3742">
        <v>146.0335795</v>
      </c>
      <c r="D3742">
        <v>-17.493092749999999</v>
      </c>
      <c r="F3742" s="75" t="str">
        <f>HYPERLINK("E:\Data From Lucan\2024\Johnstone\Frames_for_Analysis\3739_20240610_0005_L_1462.jpg","3739_20240610_0005_L_1462.jpg")</f>
        <v>3739_20240610_0005_L_1462.jpg</v>
      </c>
      <c r="G3742" s="75">
        <v>6</v>
      </c>
      <c r="I3742">
        <f t="shared" si="58"/>
        <v>0</v>
      </c>
      <c r="J3742" s="75">
        <v>0</v>
      </c>
      <c r="O3742" s="75">
        <v>1</v>
      </c>
      <c r="P3742" s="75">
        <v>0</v>
      </c>
      <c r="Q3742" s="75">
        <v>0</v>
      </c>
      <c r="R3742" s="75">
        <v>0</v>
      </c>
      <c r="S3742" s="75">
        <v>0</v>
      </c>
      <c r="T3742" s="75">
        <v>0</v>
      </c>
      <c r="U3742" s="75">
        <v>0</v>
      </c>
      <c r="V3742" s="75">
        <v>0</v>
      </c>
      <c r="W3742" s="78">
        <v>0</v>
      </c>
    </row>
    <row r="3743" spans="1:23" s="75" customFormat="1" hidden="1" x14ac:dyDescent="0.35">
      <c r="A3743" s="75">
        <v>3739</v>
      </c>
      <c r="B3743" s="75">
        <v>3740</v>
      </c>
      <c r="C3743">
        <v>146.0336471</v>
      </c>
      <c r="D3743">
        <v>-17.493158470000001</v>
      </c>
      <c r="F3743" s="75" t="str">
        <f>HYPERLINK("E:\Data From Lucan\2024\Johnstone\Frames_for_Analysis\3740_20240610_0005_L_1464.jpg","3740_20240610_0005_L_1464.jpg")</f>
        <v>3740_20240610_0005_L_1464.jpg</v>
      </c>
      <c r="G3743" s="75">
        <v>6</v>
      </c>
      <c r="I3743">
        <f t="shared" si="58"/>
        <v>0</v>
      </c>
      <c r="J3743" s="75">
        <v>0</v>
      </c>
      <c r="O3743" s="75">
        <v>1</v>
      </c>
      <c r="P3743" s="75">
        <v>0</v>
      </c>
      <c r="Q3743" s="75">
        <v>0</v>
      </c>
      <c r="R3743" s="75">
        <v>0</v>
      </c>
      <c r="S3743" s="75">
        <v>0</v>
      </c>
      <c r="T3743" s="75">
        <v>0</v>
      </c>
      <c r="U3743" s="75">
        <v>0</v>
      </c>
      <c r="V3743" s="75">
        <v>0</v>
      </c>
      <c r="W3743" s="78">
        <v>0</v>
      </c>
    </row>
    <row r="3744" spans="1:23" s="75" customFormat="1" hidden="1" x14ac:dyDescent="0.35">
      <c r="A3744" s="75">
        <v>3740</v>
      </c>
      <c r="B3744" s="75">
        <v>3741</v>
      </c>
      <c r="C3744">
        <v>146.03371469999999</v>
      </c>
      <c r="D3744">
        <v>-17.493224189999999</v>
      </c>
      <c r="F3744" s="75" t="str">
        <f>HYPERLINK("E:\Data From Lucan\2024\Johnstone\Frames_for_Analysis\3741_20240610_0005_L_1466.jpg","3741_20240610_0005_L_1466.jpg")</f>
        <v>3741_20240610_0005_L_1466.jpg</v>
      </c>
      <c r="G3744" s="75">
        <v>6</v>
      </c>
      <c r="I3744">
        <f t="shared" si="58"/>
        <v>0</v>
      </c>
      <c r="J3744" s="75">
        <v>0</v>
      </c>
      <c r="O3744" s="75">
        <v>1</v>
      </c>
      <c r="P3744" s="75">
        <v>0</v>
      </c>
      <c r="Q3744" s="75">
        <v>0</v>
      </c>
      <c r="R3744" s="75">
        <v>0</v>
      </c>
      <c r="S3744" s="75">
        <v>0</v>
      </c>
      <c r="T3744" s="75">
        <v>0</v>
      </c>
      <c r="U3744" s="75">
        <v>0</v>
      </c>
      <c r="V3744" s="75">
        <v>0</v>
      </c>
      <c r="W3744" s="78">
        <v>0</v>
      </c>
    </row>
    <row r="3745" spans="1:23" s="75" customFormat="1" hidden="1" x14ac:dyDescent="0.35">
      <c r="A3745" s="75">
        <v>3741</v>
      </c>
      <c r="B3745" s="75">
        <v>3742</v>
      </c>
      <c r="C3745">
        <v>146.03378240000001</v>
      </c>
      <c r="D3745">
        <v>-17.493289910000001</v>
      </c>
      <c r="F3745" s="75" t="str">
        <f>HYPERLINK("E:\Data From Lucan\2024\Johnstone\Frames_for_Analysis\3742_20240610_0005_L_1470.jpg","3742_20240610_0005_L_1470.jpg")</f>
        <v>3742_20240610_0005_L_1470.jpg</v>
      </c>
      <c r="G3745" s="75">
        <v>6</v>
      </c>
      <c r="I3745">
        <f t="shared" si="58"/>
        <v>0</v>
      </c>
      <c r="J3745" s="75">
        <v>0</v>
      </c>
      <c r="O3745" s="75">
        <v>1</v>
      </c>
      <c r="P3745" s="75">
        <v>0</v>
      </c>
      <c r="Q3745" s="75">
        <v>0</v>
      </c>
      <c r="R3745" s="75">
        <v>0</v>
      </c>
      <c r="S3745" s="75">
        <v>0</v>
      </c>
      <c r="T3745" s="75">
        <v>0</v>
      </c>
      <c r="U3745" s="75">
        <v>0</v>
      </c>
      <c r="V3745" s="75">
        <v>0</v>
      </c>
      <c r="W3745" s="78">
        <v>0</v>
      </c>
    </row>
    <row r="3746" spans="1:23" s="75" customFormat="1" hidden="1" x14ac:dyDescent="0.35">
      <c r="A3746" s="75">
        <v>3742</v>
      </c>
      <c r="B3746" s="75">
        <v>3743</v>
      </c>
      <c r="C3746">
        <v>146.0338576</v>
      </c>
      <c r="D3746">
        <v>-17.49334631</v>
      </c>
      <c r="F3746" s="75" t="str">
        <f>HYPERLINK("E:\Data From Lucan\2024\Johnstone\Frames_for_Analysis\3743_20240610_0005_L_1472.jpg","3743_20240610_0005_L_1472.jpg")</f>
        <v>3743_20240610_0005_L_1472.jpg</v>
      </c>
      <c r="G3746" s="75">
        <v>6</v>
      </c>
      <c r="I3746">
        <f t="shared" si="58"/>
        <v>0</v>
      </c>
      <c r="J3746" s="75">
        <v>0</v>
      </c>
      <c r="O3746" s="75">
        <v>1</v>
      </c>
      <c r="P3746" s="75">
        <v>0</v>
      </c>
      <c r="Q3746" s="75">
        <v>0</v>
      </c>
      <c r="R3746" s="75">
        <v>0</v>
      </c>
      <c r="S3746" s="75">
        <v>0</v>
      </c>
      <c r="T3746" s="75">
        <v>0</v>
      </c>
      <c r="U3746" s="75">
        <v>0</v>
      </c>
      <c r="V3746" s="75">
        <v>0</v>
      </c>
      <c r="W3746" s="78">
        <v>0</v>
      </c>
    </row>
    <row r="3747" spans="1:23" s="75" customFormat="1" hidden="1" x14ac:dyDescent="0.35">
      <c r="A3747" s="75">
        <v>3743</v>
      </c>
      <c r="B3747" s="75">
        <v>3744</v>
      </c>
      <c r="C3747">
        <v>146.03393550000001</v>
      </c>
      <c r="D3747">
        <v>-17.493399530000001</v>
      </c>
      <c r="F3747" s="75" t="str">
        <f>HYPERLINK("E:\Data From Lucan\2024\Johnstone\Frames_for_Analysis\3744_20240610_0005_L_1475.jpg","3744_20240610_0005_L_1475.jpg")</f>
        <v>3744_20240610_0005_L_1475.jpg</v>
      </c>
      <c r="G3747" s="75">
        <v>6</v>
      </c>
      <c r="I3747">
        <f t="shared" si="58"/>
        <v>0</v>
      </c>
      <c r="J3747" s="75">
        <v>0</v>
      </c>
      <c r="O3747" s="75">
        <v>1</v>
      </c>
      <c r="P3747" s="75">
        <v>0</v>
      </c>
      <c r="Q3747" s="75">
        <v>0</v>
      </c>
      <c r="R3747" s="75">
        <v>0</v>
      </c>
      <c r="S3747" s="75">
        <v>0</v>
      </c>
      <c r="T3747" s="75">
        <v>0</v>
      </c>
      <c r="U3747" s="75">
        <v>0</v>
      </c>
      <c r="V3747" s="75">
        <v>0</v>
      </c>
      <c r="W3747" s="78">
        <v>0</v>
      </c>
    </row>
    <row r="3748" spans="1:23" s="75" customFormat="1" hidden="1" x14ac:dyDescent="0.35">
      <c r="A3748" s="75">
        <v>3744</v>
      </c>
      <c r="B3748" s="75">
        <v>3745</v>
      </c>
      <c r="C3748">
        <v>146.03401299999999</v>
      </c>
      <c r="D3748">
        <v>-17.493453150000001</v>
      </c>
      <c r="F3748" s="75" t="str">
        <f>HYPERLINK("E:\Data From Lucan\2024\Johnstone\Frames_for_Analysis\3745_20240610_0005_L_1477.jpg","3745_20240610_0005_L_1477.jpg")</f>
        <v>3745_20240610_0005_L_1477.jpg</v>
      </c>
      <c r="G3748" s="75">
        <v>6</v>
      </c>
      <c r="I3748">
        <f t="shared" si="58"/>
        <v>0</v>
      </c>
      <c r="J3748" s="75">
        <v>0</v>
      </c>
      <c r="O3748" s="75">
        <v>1</v>
      </c>
      <c r="P3748" s="75">
        <v>0</v>
      </c>
      <c r="Q3748" s="75">
        <v>0</v>
      </c>
      <c r="R3748" s="75">
        <v>0</v>
      </c>
      <c r="S3748" s="75">
        <v>0</v>
      </c>
      <c r="T3748" s="75">
        <v>0</v>
      </c>
      <c r="U3748" s="75">
        <v>0</v>
      </c>
      <c r="V3748" s="75">
        <v>0</v>
      </c>
      <c r="W3748" s="78">
        <v>0</v>
      </c>
    </row>
    <row r="3749" spans="1:23" s="75" customFormat="1" hidden="1" x14ac:dyDescent="0.35">
      <c r="A3749" s="75">
        <v>3745</v>
      </c>
      <c r="B3749" s="75">
        <v>3746</v>
      </c>
      <c r="C3749">
        <v>146.03407820000001</v>
      </c>
      <c r="D3749">
        <v>-17.493521229999999</v>
      </c>
      <c r="F3749" s="75" t="str">
        <f>HYPERLINK("E:\Data From Lucan\2024\Johnstone\Frames_for_Analysis\3746_20240610_0005_L_1480.jpg","3746_20240610_0005_L_1480.jpg")</f>
        <v>3746_20240610_0005_L_1480.jpg</v>
      </c>
      <c r="G3749" s="75">
        <v>6</v>
      </c>
      <c r="I3749">
        <f t="shared" si="58"/>
        <v>0</v>
      </c>
      <c r="J3749" s="75">
        <v>0</v>
      </c>
      <c r="O3749" s="75">
        <v>1</v>
      </c>
      <c r="P3749" s="75">
        <v>0</v>
      </c>
      <c r="Q3749" s="75">
        <v>0</v>
      </c>
      <c r="R3749" s="75">
        <v>0</v>
      </c>
      <c r="S3749" s="75">
        <v>0</v>
      </c>
      <c r="T3749" s="75">
        <v>0</v>
      </c>
      <c r="U3749" s="75">
        <v>0</v>
      </c>
      <c r="V3749" s="75">
        <v>0</v>
      </c>
      <c r="W3749" s="78">
        <v>0</v>
      </c>
    </row>
    <row r="3750" spans="1:23" s="75" customFormat="1" hidden="1" x14ac:dyDescent="0.35">
      <c r="A3750" s="75">
        <v>3746</v>
      </c>
      <c r="B3750" s="75">
        <v>3747</v>
      </c>
      <c r="C3750">
        <v>146.0341435</v>
      </c>
      <c r="D3750">
        <v>-17.493589320000002</v>
      </c>
      <c r="F3750" s="75" t="str">
        <f>HYPERLINK("E:\Data From Lucan\2024\Johnstone\Frames_for_Analysis\3747_20240610_0005_L_1483.jpg","3747_20240610_0005_L_1483.jpg")</f>
        <v>3747_20240610_0005_L_1483.jpg</v>
      </c>
      <c r="G3750" s="75">
        <v>6</v>
      </c>
      <c r="I3750">
        <f t="shared" si="58"/>
        <v>0</v>
      </c>
      <c r="J3750" s="75">
        <v>0</v>
      </c>
      <c r="O3750" s="75">
        <v>1</v>
      </c>
      <c r="P3750" s="75">
        <v>0</v>
      </c>
      <c r="Q3750" s="75">
        <v>0</v>
      </c>
      <c r="R3750" s="75">
        <v>0</v>
      </c>
      <c r="S3750" s="75">
        <v>0</v>
      </c>
      <c r="T3750" s="75">
        <v>0</v>
      </c>
      <c r="U3750" s="75">
        <v>0</v>
      </c>
      <c r="V3750" s="75">
        <v>0</v>
      </c>
      <c r="W3750" s="78">
        <v>0</v>
      </c>
    </row>
    <row r="3751" spans="1:23" s="75" customFormat="1" hidden="1" x14ac:dyDescent="0.35">
      <c r="A3751" s="75">
        <v>3747</v>
      </c>
      <c r="B3751" s="75">
        <v>3748</v>
      </c>
      <c r="C3751">
        <v>146.03420869999999</v>
      </c>
      <c r="D3751">
        <v>-17.493657410000001</v>
      </c>
      <c r="F3751" s="75" t="str">
        <f>HYPERLINK("E:\Data From Lucan\2024\Johnstone\Frames_for_Analysis\3748_20240610_0005_L_1485.jpg","3748_20240610_0005_L_1485.jpg")</f>
        <v>3748_20240610_0005_L_1485.jpg</v>
      </c>
      <c r="G3751" s="75">
        <v>6</v>
      </c>
      <c r="I3751">
        <f t="shared" si="58"/>
        <v>0</v>
      </c>
      <c r="J3751" s="75">
        <v>0</v>
      </c>
      <c r="O3751" s="75">
        <v>1</v>
      </c>
      <c r="P3751" s="75">
        <v>0</v>
      </c>
      <c r="Q3751" s="75">
        <v>0</v>
      </c>
      <c r="R3751" s="75">
        <v>0</v>
      </c>
      <c r="S3751" s="75">
        <v>0</v>
      </c>
      <c r="T3751" s="75">
        <v>0</v>
      </c>
      <c r="U3751" s="75">
        <v>0</v>
      </c>
      <c r="V3751" s="75">
        <v>0</v>
      </c>
      <c r="W3751" s="78">
        <v>0</v>
      </c>
    </row>
    <row r="3752" spans="1:23" s="75" customFormat="1" hidden="1" x14ac:dyDescent="0.35">
      <c r="A3752" s="75">
        <v>3748</v>
      </c>
      <c r="B3752" s="75">
        <v>3749</v>
      </c>
      <c r="C3752">
        <v>146.03427400000001</v>
      </c>
      <c r="D3752">
        <v>-17.493725489999999</v>
      </c>
      <c r="F3752" s="75" t="str">
        <f>HYPERLINK("E:\Data From Lucan\2024\Johnstone\Frames_for_Analysis\3749_20240610_0005_L_1487.jpg","3749_20240610_0005_L_1487.jpg")</f>
        <v>3749_20240610_0005_L_1487.jpg</v>
      </c>
      <c r="G3752" s="75">
        <v>6</v>
      </c>
      <c r="I3752">
        <f t="shared" si="58"/>
        <v>0</v>
      </c>
      <c r="J3752" s="75">
        <v>0</v>
      </c>
      <c r="O3752" s="75">
        <v>1</v>
      </c>
      <c r="P3752" s="75">
        <v>0</v>
      </c>
      <c r="Q3752" s="75">
        <v>0</v>
      </c>
      <c r="R3752" s="75">
        <v>0</v>
      </c>
      <c r="S3752" s="75">
        <v>0</v>
      </c>
      <c r="T3752" s="75">
        <v>0</v>
      </c>
      <c r="U3752" s="75">
        <v>0</v>
      </c>
      <c r="V3752" s="75">
        <v>0</v>
      </c>
      <c r="W3752" s="78">
        <v>0</v>
      </c>
    </row>
    <row r="3753" spans="1:23" s="75" customFormat="1" hidden="1" x14ac:dyDescent="0.35">
      <c r="A3753" s="75">
        <v>3749</v>
      </c>
      <c r="B3753" s="75">
        <v>3750</v>
      </c>
      <c r="C3753">
        <v>146.03433920000001</v>
      </c>
      <c r="D3753">
        <v>-17.493793579999998</v>
      </c>
      <c r="F3753" s="75" t="str">
        <f>HYPERLINK("E:\Data From Lucan\2024\Johnstone\Frames_for_Analysis\3750_20240610_0005_L_1490.jpg","3750_20240610_0005_L_1490.jpg")</f>
        <v>3750_20240610_0005_L_1490.jpg</v>
      </c>
      <c r="G3753" s="75">
        <v>6</v>
      </c>
      <c r="I3753">
        <f t="shared" si="58"/>
        <v>0</v>
      </c>
      <c r="J3753" s="75">
        <v>0</v>
      </c>
      <c r="O3753" s="75">
        <v>1</v>
      </c>
      <c r="P3753" s="75">
        <v>0</v>
      </c>
      <c r="Q3753" s="75">
        <v>0</v>
      </c>
      <c r="R3753" s="75">
        <v>0</v>
      </c>
      <c r="S3753" s="75">
        <v>0</v>
      </c>
      <c r="T3753" s="75">
        <v>0</v>
      </c>
      <c r="U3753" s="75">
        <v>0</v>
      </c>
      <c r="V3753" s="75">
        <v>0</v>
      </c>
      <c r="W3753" s="78">
        <v>0</v>
      </c>
    </row>
    <row r="3754" spans="1:23" s="75" customFormat="1" hidden="1" x14ac:dyDescent="0.35">
      <c r="A3754" s="75">
        <v>3750</v>
      </c>
      <c r="B3754" s="75">
        <v>3751</v>
      </c>
      <c r="C3754">
        <v>146.03440739999999</v>
      </c>
      <c r="D3754">
        <v>-17.493858509999999</v>
      </c>
      <c r="F3754" s="75" t="str">
        <f>HYPERLINK("E:\Data From Lucan\2024\Johnstone\Frames_for_Analysis\3751_20240610_0005_L_1492.jpg","3751_20240610_0005_L_1492.jpg")</f>
        <v>3751_20240610_0005_L_1492.jpg</v>
      </c>
      <c r="G3754" s="75">
        <v>6</v>
      </c>
      <c r="I3754">
        <f t="shared" si="58"/>
        <v>0</v>
      </c>
      <c r="J3754" s="75">
        <v>0</v>
      </c>
      <c r="O3754" s="75">
        <v>1</v>
      </c>
      <c r="P3754" s="75">
        <v>0</v>
      </c>
      <c r="Q3754" s="75">
        <v>0</v>
      </c>
      <c r="R3754" s="75">
        <v>0</v>
      </c>
      <c r="S3754" s="75">
        <v>0</v>
      </c>
      <c r="T3754" s="75">
        <v>0</v>
      </c>
      <c r="U3754" s="75">
        <v>0</v>
      </c>
      <c r="V3754" s="75">
        <v>0</v>
      </c>
      <c r="W3754" s="78">
        <v>0</v>
      </c>
    </row>
    <row r="3755" spans="1:23" s="75" customFormat="1" hidden="1" x14ac:dyDescent="0.35">
      <c r="A3755" s="75">
        <v>3751</v>
      </c>
      <c r="B3755" s="75">
        <v>3752</v>
      </c>
      <c r="C3755">
        <v>146.03448030000001</v>
      </c>
      <c r="D3755">
        <v>-17.49391829</v>
      </c>
      <c r="F3755" s="75" t="str">
        <f>HYPERLINK("E:\Data From Lucan\2024\Johnstone\Frames_for_Analysis\3752_20240610_0005_L_1494.jpg","3752_20240610_0005_L_1494.jpg")</f>
        <v>3752_20240610_0005_L_1494.jpg</v>
      </c>
      <c r="G3755" s="75">
        <v>6</v>
      </c>
      <c r="I3755">
        <f t="shared" si="58"/>
        <v>0</v>
      </c>
      <c r="J3755" s="75">
        <v>0</v>
      </c>
      <c r="O3755" s="75">
        <v>1</v>
      </c>
      <c r="P3755" s="75">
        <v>0</v>
      </c>
      <c r="Q3755" s="75">
        <v>0</v>
      </c>
      <c r="R3755" s="75">
        <v>0</v>
      </c>
      <c r="S3755" s="75">
        <v>0</v>
      </c>
      <c r="T3755" s="75">
        <v>0</v>
      </c>
      <c r="U3755" s="75">
        <v>0</v>
      </c>
      <c r="V3755" s="75">
        <v>0</v>
      </c>
      <c r="W3755" s="78">
        <v>0</v>
      </c>
    </row>
    <row r="3756" spans="1:23" s="75" customFormat="1" hidden="1" x14ac:dyDescent="0.35">
      <c r="A3756" s="75">
        <v>3752</v>
      </c>
      <c r="B3756" s="75">
        <v>3753</v>
      </c>
      <c r="C3756">
        <v>146.0345533</v>
      </c>
      <c r="D3756">
        <v>-17.493978080000002</v>
      </c>
      <c r="F3756" s="75" t="str">
        <f>HYPERLINK("E:\Data From Lucan\2024\Johnstone\Frames_for_Analysis\3753_20240610_0005_L_1497.jpg","3753_20240610_0005_L_1497.jpg")</f>
        <v>3753_20240610_0005_L_1497.jpg</v>
      </c>
      <c r="G3756" s="75">
        <v>6</v>
      </c>
      <c r="I3756">
        <f t="shared" si="58"/>
        <v>0</v>
      </c>
      <c r="J3756" s="75">
        <v>0</v>
      </c>
      <c r="O3756" s="75">
        <v>1</v>
      </c>
      <c r="P3756" s="75">
        <v>0</v>
      </c>
      <c r="Q3756" s="75">
        <v>0</v>
      </c>
      <c r="R3756" s="75">
        <v>0</v>
      </c>
      <c r="S3756" s="75">
        <v>0</v>
      </c>
      <c r="T3756" s="75">
        <v>0</v>
      </c>
      <c r="U3756" s="75">
        <v>0</v>
      </c>
      <c r="V3756" s="75">
        <v>0</v>
      </c>
      <c r="W3756" s="78">
        <v>0</v>
      </c>
    </row>
    <row r="3757" spans="1:23" s="75" customFormat="1" hidden="1" x14ac:dyDescent="0.35">
      <c r="A3757" s="75">
        <v>3753</v>
      </c>
      <c r="B3757" s="75">
        <v>3754</v>
      </c>
      <c r="C3757">
        <v>146.03462619999999</v>
      </c>
      <c r="D3757">
        <v>-17.49403787</v>
      </c>
      <c r="F3757" s="75" t="str">
        <f>HYPERLINK("E:\Data From Lucan\2024\Johnstone\Frames_for_Analysis\3754_20240610_0005_L_1499.jpg","3754_20240610_0005_L_1499.jpg")</f>
        <v>3754_20240610_0005_L_1499.jpg</v>
      </c>
      <c r="G3757" s="75">
        <v>6</v>
      </c>
      <c r="I3757">
        <f t="shared" si="58"/>
        <v>0</v>
      </c>
      <c r="J3757" s="75">
        <v>0</v>
      </c>
      <c r="O3757" s="75">
        <v>1</v>
      </c>
      <c r="P3757" s="75">
        <v>0</v>
      </c>
      <c r="Q3757" s="75">
        <v>0</v>
      </c>
      <c r="R3757" s="75">
        <v>0</v>
      </c>
      <c r="S3757" s="75">
        <v>0</v>
      </c>
      <c r="T3757" s="75">
        <v>0</v>
      </c>
      <c r="U3757" s="75">
        <v>0</v>
      </c>
      <c r="V3757" s="75">
        <v>0</v>
      </c>
      <c r="W3757" s="78">
        <v>0</v>
      </c>
    </row>
    <row r="3758" spans="1:23" s="75" customFormat="1" hidden="1" x14ac:dyDescent="0.35">
      <c r="A3758" s="75">
        <v>3754</v>
      </c>
      <c r="B3758" s="75">
        <v>3755</v>
      </c>
      <c r="C3758">
        <v>146.03469000000001</v>
      </c>
      <c r="D3758">
        <v>-17.49410687</v>
      </c>
      <c r="F3758" s="75" t="str">
        <f>HYPERLINK("E:\Data From Lucan\2024\Johnstone\Frames_for_Analysis\3755_20240610_0005_L_1502.jpg","3755_20240610_0005_L_1502.jpg")</f>
        <v>3755_20240610_0005_L_1502.jpg</v>
      </c>
      <c r="G3758" s="75">
        <v>6</v>
      </c>
      <c r="I3758">
        <f t="shared" si="58"/>
        <v>0</v>
      </c>
      <c r="J3758" s="75">
        <v>0</v>
      </c>
      <c r="O3758" s="75">
        <v>1</v>
      </c>
      <c r="P3758" s="75">
        <v>0</v>
      </c>
      <c r="Q3758" s="75">
        <v>0</v>
      </c>
      <c r="R3758" s="75">
        <v>0</v>
      </c>
      <c r="S3758" s="75">
        <v>0</v>
      </c>
      <c r="T3758" s="75">
        <v>0</v>
      </c>
      <c r="U3758" s="75">
        <v>0</v>
      </c>
      <c r="V3758" s="75">
        <v>0</v>
      </c>
      <c r="W3758" s="78">
        <v>0</v>
      </c>
    </row>
    <row r="3759" spans="1:23" s="75" customFormat="1" hidden="1" x14ac:dyDescent="0.35">
      <c r="A3759" s="75">
        <v>3755</v>
      </c>
      <c r="B3759" s="75">
        <v>3756</v>
      </c>
      <c r="C3759">
        <v>146.0347506</v>
      </c>
      <c r="D3759">
        <v>-17.494179150000001</v>
      </c>
      <c r="F3759" s="75" t="str">
        <f>HYPERLINK("E:\Data From Lucan\2024\Johnstone\Frames_for_Analysis\3756_20240610_0005_L_1504.jpg","3756_20240610_0005_L_1504.jpg")</f>
        <v>3756_20240610_0005_L_1504.jpg</v>
      </c>
      <c r="G3759" s="75">
        <v>6</v>
      </c>
      <c r="I3759">
        <f t="shared" si="58"/>
        <v>0</v>
      </c>
      <c r="J3759" s="75">
        <v>0</v>
      </c>
      <c r="O3759" s="75">
        <v>1</v>
      </c>
      <c r="P3759" s="75">
        <v>0</v>
      </c>
      <c r="Q3759" s="75">
        <v>0</v>
      </c>
      <c r="R3759" s="75">
        <v>0</v>
      </c>
      <c r="S3759" s="75">
        <v>0</v>
      </c>
      <c r="T3759" s="75">
        <v>0</v>
      </c>
      <c r="U3759" s="75">
        <v>0</v>
      </c>
      <c r="V3759" s="75">
        <v>0</v>
      </c>
      <c r="W3759" s="78">
        <v>0</v>
      </c>
    </row>
    <row r="3760" spans="1:23" s="75" customFormat="1" hidden="1" x14ac:dyDescent="0.35">
      <c r="A3760" s="75">
        <v>3756</v>
      </c>
      <c r="B3760" s="75">
        <v>3757</v>
      </c>
      <c r="C3760">
        <v>146.03481120000001</v>
      </c>
      <c r="D3760">
        <v>-17.494251429999998</v>
      </c>
      <c r="F3760" s="75" t="str">
        <f>HYPERLINK("E:\Data From Lucan\2024\Johnstone\Frames_for_Analysis\3757_20240610_0005_L_1507.jpg","3757_20240610_0005_L_1507.jpg")</f>
        <v>3757_20240610_0005_L_1507.jpg</v>
      </c>
      <c r="G3760" s="75">
        <v>6</v>
      </c>
      <c r="I3760">
        <f t="shared" si="58"/>
        <v>0</v>
      </c>
      <c r="J3760" s="75">
        <v>0</v>
      </c>
      <c r="O3760" s="75">
        <v>1</v>
      </c>
      <c r="P3760" s="75">
        <v>0</v>
      </c>
      <c r="Q3760" s="75">
        <v>0</v>
      </c>
      <c r="R3760" s="75">
        <v>0</v>
      </c>
      <c r="S3760" s="75">
        <v>0</v>
      </c>
      <c r="T3760" s="75">
        <v>0</v>
      </c>
      <c r="U3760" s="75">
        <v>0</v>
      </c>
      <c r="V3760" s="75">
        <v>0</v>
      </c>
      <c r="W3760" s="78">
        <v>0</v>
      </c>
    </row>
    <row r="3761" spans="1:23" s="75" customFormat="1" hidden="1" x14ac:dyDescent="0.35">
      <c r="A3761" s="75">
        <v>3757</v>
      </c>
      <c r="B3761" s="75">
        <v>3758</v>
      </c>
      <c r="C3761">
        <v>146.0348717</v>
      </c>
      <c r="D3761">
        <v>-17.49432371</v>
      </c>
      <c r="F3761" s="75" t="str">
        <f>HYPERLINK("E:\Data From Lucan\2024\Johnstone\Frames_for_Analysis\3758_20240610_0005_L_1510.jpg","3758_20240610_0005_L_1510.jpg")</f>
        <v>3758_20240610_0005_L_1510.jpg</v>
      </c>
      <c r="G3761" s="75">
        <v>6</v>
      </c>
      <c r="I3761">
        <f t="shared" si="58"/>
        <v>0</v>
      </c>
      <c r="J3761" s="75">
        <v>0</v>
      </c>
      <c r="O3761" s="75">
        <v>1</v>
      </c>
      <c r="P3761" s="75">
        <v>0</v>
      </c>
      <c r="Q3761" s="75">
        <v>0</v>
      </c>
      <c r="R3761" s="75">
        <v>0</v>
      </c>
      <c r="S3761" s="75">
        <v>0</v>
      </c>
      <c r="T3761" s="75">
        <v>0</v>
      </c>
      <c r="U3761" s="75">
        <v>0</v>
      </c>
      <c r="V3761" s="75">
        <v>0</v>
      </c>
      <c r="W3761" s="78">
        <v>0</v>
      </c>
    </row>
    <row r="3762" spans="1:23" s="75" customFormat="1" hidden="1" x14ac:dyDescent="0.35">
      <c r="A3762" s="75">
        <v>3758</v>
      </c>
      <c r="B3762" s="75">
        <v>3759</v>
      </c>
      <c r="C3762">
        <v>146.03493599999999</v>
      </c>
      <c r="D3762">
        <v>-17.494392619999999</v>
      </c>
      <c r="F3762" s="75" t="str">
        <f>HYPERLINK("E:\Data From Lucan\2024\Johnstone\Frames_for_Analysis\3759_20240610_0005_L_1512.jpg","3759_20240610_0005_L_1512.jpg")</f>
        <v>3759_20240610_0005_L_1512.jpg</v>
      </c>
      <c r="G3762" s="75">
        <v>6</v>
      </c>
      <c r="I3762">
        <f t="shared" si="58"/>
        <v>0</v>
      </c>
      <c r="J3762" s="75">
        <v>0</v>
      </c>
      <c r="O3762" s="75">
        <v>1</v>
      </c>
      <c r="P3762" s="75">
        <v>0</v>
      </c>
      <c r="Q3762" s="75">
        <v>0</v>
      </c>
      <c r="R3762" s="75">
        <v>0</v>
      </c>
      <c r="S3762" s="75">
        <v>0</v>
      </c>
      <c r="T3762" s="75">
        <v>0</v>
      </c>
      <c r="U3762" s="75">
        <v>0</v>
      </c>
      <c r="V3762" s="75">
        <v>0</v>
      </c>
      <c r="W3762" s="78">
        <v>0</v>
      </c>
    </row>
    <row r="3763" spans="1:23" s="75" customFormat="1" hidden="1" x14ac:dyDescent="0.35">
      <c r="A3763" s="75">
        <v>3759</v>
      </c>
      <c r="B3763" s="75">
        <v>3760</v>
      </c>
      <c r="C3763">
        <v>146.0350018</v>
      </c>
      <c r="D3763">
        <v>-17.49446021</v>
      </c>
      <c r="F3763" s="75" t="str">
        <f>HYPERLINK("E:\Data From Lucan\2024\Johnstone\Frames_for_Analysis\3760_20240610_0005_L_1514.jpg","3760_20240610_0005_L_1514.jpg")</f>
        <v>3760_20240610_0005_L_1514.jpg</v>
      </c>
      <c r="G3763" s="75">
        <v>6</v>
      </c>
      <c r="I3763">
        <f t="shared" si="58"/>
        <v>0</v>
      </c>
      <c r="J3763" s="75">
        <v>0</v>
      </c>
      <c r="O3763" s="75">
        <v>1</v>
      </c>
      <c r="P3763" s="75">
        <v>0</v>
      </c>
      <c r="Q3763" s="75">
        <v>0</v>
      </c>
      <c r="R3763" s="75">
        <v>0</v>
      </c>
      <c r="S3763" s="75">
        <v>0</v>
      </c>
      <c r="T3763" s="75">
        <v>0</v>
      </c>
      <c r="U3763" s="75">
        <v>0</v>
      </c>
      <c r="V3763" s="75">
        <v>0</v>
      </c>
      <c r="W3763" s="78">
        <v>0</v>
      </c>
    </row>
    <row r="3764" spans="1:23" s="75" customFormat="1" hidden="1" x14ac:dyDescent="0.35">
      <c r="A3764" s="75">
        <v>3760</v>
      </c>
      <c r="B3764" s="75">
        <v>3761</v>
      </c>
      <c r="C3764">
        <v>146.03506730000001</v>
      </c>
      <c r="D3764">
        <v>-17.49452801</v>
      </c>
      <c r="F3764" s="75" t="str">
        <f>HYPERLINK("E:\Data From Lucan\2024\Johnstone\Frames_for_Analysis\3761_20240610_0005_L_1517.jpg","3761_20240610_0005_L_1517.jpg")</f>
        <v>3761_20240610_0005_L_1517.jpg</v>
      </c>
      <c r="G3764" s="75">
        <v>6</v>
      </c>
      <c r="I3764">
        <f t="shared" si="58"/>
        <v>0</v>
      </c>
      <c r="J3764" s="75">
        <v>0</v>
      </c>
      <c r="O3764" s="75">
        <v>1</v>
      </c>
      <c r="P3764" s="75">
        <v>0</v>
      </c>
      <c r="Q3764" s="75">
        <v>0</v>
      </c>
      <c r="R3764" s="75">
        <v>0</v>
      </c>
      <c r="S3764" s="75">
        <v>0</v>
      </c>
      <c r="T3764" s="75">
        <v>0</v>
      </c>
      <c r="U3764" s="75">
        <v>0</v>
      </c>
      <c r="V3764" s="75">
        <v>0</v>
      </c>
      <c r="W3764" s="78">
        <v>0</v>
      </c>
    </row>
    <row r="3765" spans="1:23" s="75" customFormat="1" hidden="1" x14ac:dyDescent="0.35">
      <c r="A3765" s="75">
        <v>3761</v>
      </c>
      <c r="B3765" s="75">
        <v>3762</v>
      </c>
      <c r="C3765">
        <v>146.03513269999999</v>
      </c>
      <c r="D3765">
        <v>-17.494596009999999</v>
      </c>
      <c r="F3765" s="75" t="str">
        <f>HYPERLINK("E:\Data From Lucan\2024\Johnstone\Frames_for_Analysis\3762_20240610_0005_L_1519.jpg","3762_20240610_0005_L_1519.jpg")</f>
        <v>3762_20240610_0005_L_1519.jpg</v>
      </c>
      <c r="G3765" s="75">
        <v>6</v>
      </c>
      <c r="I3765">
        <f t="shared" si="58"/>
        <v>0</v>
      </c>
      <c r="J3765" s="75">
        <v>0</v>
      </c>
      <c r="O3765" s="75">
        <v>1</v>
      </c>
      <c r="P3765" s="75">
        <v>0</v>
      </c>
      <c r="Q3765" s="75">
        <v>0</v>
      </c>
      <c r="R3765" s="75">
        <v>0</v>
      </c>
      <c r="S3765" s="75">
        <v>0</v>
      </c>
      <c r="T3765" s="75">
        <v>0</v>
      </c>
      <c r="U3765" s="75">
        <v>0</v>
      </c>
      <c r="V3765" s="75">
        <v>0</v>
      </c>
      <c r="W3765" s="78">
        <v>0</v>
      </c>
    </row>
    <row r="3766" spans="1:23" s="75" customFormat="1" hidden="1" x14ac:dyDescent="0.35">
      <c r="A3766" s="75">
        <v>3762</v>
      </c>
      <c r="B3766" s="75">
        <v>3763</v>
      </c>
      <c r="C3766">
        <v>146.03519800000001</v>
      </c>
      <c r="D3766">
        <v>-17.494664</v>
      </c>
      <c r="F3766" s="75" t="str">
        <f>HYPERLINK("E:\Data From Lucan\2024\Johnstone\Frames_for_Analysis\3763_20240610_0005_L_1522.jpg","3763_20240610_0005_L_1522.jpg")</f>
        <v>3763_20240610_0005_L_1522.jpg</v>
      </c>
      <c r="G3766" s="75">
        <v>6</v>
      </c>
      <c r="I3766">
        <f t="shared" si="58"/>
        <v>0</v>
      </c>
      <c r="J3766" s="75">
        <v>0</v>
      </c>
      <c r="O3766" s="75">
        <v>1</v>
      </c>
      <c r="P3766" s="75">
        <v>0</v>
      </c>
      <c r="Q3766" s="75">
        <v>0</v>
      </c>
      <c r="R3766" s="75">
        <v>0</v>
      </c>
      <c r="S3766" s="75">
        <v>0</v>
      </c>
      <c r="T3766" s="75">
        <v>0</v>
      </c>
      <c r="U3766" s="75">
        <v>0</v>
      </c>
      <c r="V3766" s="75">
        <v>0</v>
      </c>
      <c r="W3766" s="78">
        <v>0</v>
      </c>
    </row>
    <row r="3767" spans="1:23" s="75" customFormat="1" hidden="1" x14ac:dyDescent="0.35">
      <c r="A3767" s="75">
        <v>3763</v>
      </c>
      <c r="B3767" s="75">
        <v>3764</v>
      </c>
      <c r="C3767">
        <v>146.03526339999999</v>
      </c>
      <c r="D3767">
        <v>-17.494731999999999</v>
      </c>
      <c r="F3767" s="75" t="str">
        <f>HYPERLINK("E:\Data From Lucan\2024\Johnstone\Frames_for_Analysis\3764_20240610_0005_L_1524.jpg","3764_20240610_0005_L_1524.jpg")</f>
        <v>3764_20240610_0005_L_1524.jpg</v>
      </c>
      <c r="G3767" s="75">
        <v>6</v>
      </c>
      <c r="I3767">
        <f t="shared" si="58"/>
        <v>0</v>
      </c>
      <c r="J3767" s="75">
        <v>0</v>
      </c>
      <c r="O3767" s="75">
        <v>1</v>
      </c>
      <c r="P3767" s="75">
        <v>0</v>
      </c>
      <c r="Q3767" s="75">
        <v>0</v>
      </c>
      <c r="R3767" s="75">
        <v>0</v>
      </c>
      <c r="S3767" s="75">
        <v>0</v>
      </c>
      <c r="T3767" s="75">
        <v>0</v>
      </c>
      <c r="U3767" s="75">
        <v>0</v>
      </c>
      <c r="V3767" s="75">
        <v>0</v>
      </c>
      <c r="W3767" s="78">
        <v>0</v>
      </c>
    </row>
    <row r="3768" spans="1:23" s="75" customFormat="1" hidden="1" x14ac:dyDescent="0.35">
      <c r="A3768" s="75">
        <v>3764</v>
      </c>
      <c r="B3768" s="75">
        <v>3765</v>
      </c>
      <c r="C3768">
        <v>146.03532870000001</v>
      </c>
      <c r="D3768">
        <v>-17.494800000000001</v>
      </c>
      <c r="F3768" s="75" t="str">
        <f>HYPERLINK("E:\Data From Lucan\2024\Johnstone\Frames_for_Analysis\3765_20240610_0005_L_1527.jpg","3765_20240610_0005_L_1527.jpg")</f>
        <v>3765_20240610_0005_L_1527.jpg</v>
      </c>
      <c r="G3768" s="75">
        <v>6</v>
      </c>
      <c r="I3768">
        <f t="shared" si="58"/>
        <v>0</v>
      </c>
      <c r="J3768" s="75">
        <v>0</v>
      </c>
      <c r="O3768" s="75">
        <v>1</v>
      </c>
      <c r="P3768" s="75">
        <v>0</v>
      </c>
      <c r="Q3768" s="75">
        <v>0</v>
      </c>
      <c r="R3768" s="75">
        <v>0</v>
      </c>
      <c r="S3768" s="75">
        <v>0</v>
      </c>
      <c r="T3768" s="75">
        <v>0</v>
      </c>
      <c r="U3768" s="75">
        <v>0</v>
      </c>
      <c r="V3768" s="75">
        <v>0</v>
      </c>
      <c r="W3768" s="78">
        <v>0</v>
      </c>
    </row>
    <row r="3769" spans="1:23" s="75" customFormat="1" hidden="1" x14ac:dyDescent="0.35">
      <c r="A3769" s="75">
        <v>3765</v>
      </c>
      <c r="B3769" s="75">
        <v>3766</v>
      </c>
      <c r="C3769">
        <v>146.035394</v>
      </c>
      <c r="D3769">
        <v>-17.494867989999999</v>
      </c>
      <c r="F3769" s="75" t="str">
        <f>HYPERLINK("E:\Data From Lucan\2024\Johnstone\Frames_for_Analysis\3766_20240610_0005_L_1529.jpg","3766_20240610_0005_L_1529.jpg")</f>
        <v>3766_20240610_0005_L_1529.jpg</v>
      </c>
      <c r="G3769" s="75">
        <v>6</v>
      </c>
      <c r="I3769">
        <f t="shared" si="58"/>
        <v>0</v>
      </c>
      <c r="J3769" s="75">
        <v>0</v>
      </c>
      <c r="O3769" s="75">
        <v>1</v>
      </c>
      <c r="P3769" s="75">
        <v>0</v>
      </c>
      <c r="Q3769" s="75">
        <v>0</v>
      </c>
      <c r="R3769" s="75">
        <v>0</v>
      </c>
      <c r="S3769" s="75">
        <v>0</v>
      </c>
      <c r="T3769" s="75">
        <v>0</v>
      </c>
      <c r="U3769" s="75">
        <v>0</v>
      </c>
      <c r="V3769" s="75">
        <v>0</v>
      </c>
      <c r="W3769" s="78">
        <v>0</v>
      </c>
    </row>
    <row r="3770" spans="1:23" s="75" customFormat="1" hidden="1" x14ac:dyDescent="0.35">
      <c r="A3770" s="75">
        <v>3766</v>
      </c>
      <c r="B3770" s="75">
        <v>3767</v>
      </c>
      <c r="C3770">
        <v>146.03545940000001</v>
      </c>
      <c r="D3770">
        <v>-17.494935989999998</v>
      </c>
      <c r="F3770" s="75" t="str">
        <f>HYPERLINK("E:\Data From Lucan\2024\Johnstone\Frames_for_Analysis\3767_20240610_0005_L_1533.jpg","3767_20240610_0005_L_1533.jpg")</f>
        <v>3767_20240610_0005_L_1533.jpg</v>
      </c>
      <c r="G3770" s="75">
        <v>6</v>
      </c>
      <c r="I3770">
        <f t="shared" si="58"/>
        <v>0</v>
      </c>
      <c r="J3770" s="75">
        <v>0</v>
      </c>
      <c r="O3770" s="75">
        <v>1</v>
      </c>
      <c r="P3770" s="75">
        <v>0</v>
      </c>
      <c r="Q3770" s="75">
        <v>0</v>
      </c>
      <c r="R3770" s="75">
        <v>0</v>
      </c>
      <c r="S3770" s="75">
        <v>0</v>
      </c>
      <c r="T3770" s="75">
        <v>0</v>
      </c>
      <c r="U3770" s="75">
        <v>0</v>
      </c>
      <c r="V3770" s="75">
        <v>0</v>
      </c>
      <c r="W3770" s="78">
        <v>0</v>
      </c>
    </row>
    <row r="3771" spans="1:23" s="75" customFormat="1" hidden="1" x14ac:dyDescent="0.35">
      <c r="A3771" s="75">
        <v>3767</v>
      </c>
      <c r="B3771" s="75">
        <v>3768</v>
      </c>
      <c r="C3771">
        <v>146.0355247</v>
      </c>
      <c r="D3771">
        <v>-17.495003990000001</v>
      </c>
      <c r="F3771" s="75" t="str">
        <f>HYPERLINK("E:\Data From Lucan\2024\Johnstone\Frames_for_Analysis\3768_20240610_0005_L_1536.jpg","3768_20240610_0005_L_1536.jpg")</f>
        <v>3768_20240610_0005_L_1536.jpg</v>
      </c>
      <c r="G3771" s="75">
        <v>6</v>
      </c>
      <c r="I3771">
        <f t="shared" si="58"/>
        <v>0</v>
      </c>
      <c r="J3771" s="75">
        <v>0</v>
      </c>
      <c r="O3771" s="75">
        <v>1</v>
      </c>
      <c r="P3771" s="75">
        <v>0</v>
      </c>
      <c r="Q3771" s="75">
        <v>0</v>
      </c>
      <c r="R3771" s="75">
        <v>0</v>
      </c>
      <c r="S3771" s="75">
        <v>0</v>
      </c>
      <c r="T3771" s="75">
        <v>0</v>
      </c>
      <c r="U3771" s="75">
        <v>0</v>
      </c>
      <c r="V3771" s="75">
        <v>0</v>
      </c>
      <c r="W3771" s="78">
        <v>0</v>
      </c>
    </row>
    <row r="3772" spans="1:23" s="75" customFormat="1" hidden="1" x14ac:dyDescent="0.35">
      <c r="A3772" s="75">
        <v>3768</v>
      </c>
      <c r="B3772" s="75">
        <v>3769</v>
      </c>
      <c r="C3772">
        <v>146.03559010000001</v>
      </c>
      <c r="D3772">
        <v>-17.49507199</v>
      </c>
      <c r="F3772" s="75" t="str">
        <f>HYPERLINK("E:\Data From Lucan\2024\Johnstone\Frames_for_Analysis\3769_20240610_0005_L_1539.jpg","3769_20240610_0005_L_1539.jpg")</f>
        <v>3769_20240610_0005_L_1539.jpg</v>
      </c>
      <c r="G3772" s="75">
        <v>6</v>
      </c>
      <c r="I3772">
        <f t="shared" si="58"/>
        <v>0</v>
      </c>
      <c r="J3772" s="75">
        <v>0</v>
      </c>
      <c r="O3772" s="75">
        <v>1</v>
      </c>
      <c r="P3772" s="75">
        <v>0</v>
      </c>
      <c r="Q3772" s="75">
        <v>0</v>
      </c>
      <c r="R3772" s="75">
        <v>0</v>
      </c>
      <c r="S3772" s="75">
        <v>0</v>
      </c>
      <c r="T3772" s="75">
        <v>0</v>
      </c>
      <c r="U3772" s="75">
        <v>0</v>
      </c>
      <c r="V3772" s="75">
        <v>0</v>
      </c>
      <c r="W3772" s="78">
        <v>0</v>
      </c>
    </row>
    <row r="3773" spans="1:23" s="75" customFormat="1" hidden="1" x14ac:dyDescent="0.35">
      <c r="A3773" s="75">
        <v>3769</v>
      </c>
      <c r="B3773" s="75">
        <v>3770</v>
      </c>
      <c r="C3773">
        <v>146.0356554</v>
      </c>
      <c r="D3773">
        <v>-17.495139980000001</v>
      </c>
      <c r="F3773" s="75" t="str">
        <f>HYPERLINK("E:\Data From Lucan\2024\Johnstone\Frames_for_Analysis\3770_20240610_0005_L_1543.jpg","3770_20240610_0005_L_1543.jpg")</f>
        <v>3770_20240610_0005_L_1543.jpg</v>
      </c>
      <c r="G3773" s="75">
        <v>6</v>
      </c>
      <c r="I3773">
        <f t="shared" si="58"/>
        <v>0</v>
      </c>
      <c r="J3773" s="75">
        <v>0</v>
      </c>
      <c r="O3773" s="75">
        <v>1</v>
      </c>
      <c r="P3773" s="75">
        <v>0</v>
      </c>
      <c r="Q3773" s="75">
        <v>0</v>
      </c>
      <c r="R3773" s="75">
        <v>0</v>
      </c>
      <c r="S3773" s="75">
        <v>0</v>
      </c>
      <c r="T3773" s="75">
        <v>0</v>
      </c>
      <c r="U3773" s="75">
        <v>0</v>
      </c>
      <c r="V3773" s="75">
        <v>0</v>
      </c>
      <c r="W3773" s="78">
        <v>0</v>
      </c>
    </row>
    <row r="3774" spans="1:23" s="75" customFormat="1" hidden="1" x14ac:dyDescent="0.35">
      <c r="A3774" s="75">
        <v>3770</v>
      </c>
      <c r="B3774" s="75">
        <v>3771</v>
      </c>
      <c r="C3774">
        <v>146.0357204</v>
      </c>
      <c r="D3774">
        <v>-17.495208290000001</v>
      </c>
      <c r="F3774" s="75" t="str">
        <f>HYPERLINK("E:\Data From Lucan\2024\Johnstone\Frames_for_Analysis\3771_20240610_0005_L_1545.jpg","3771_20240610_0005_L_1545.jpg")</f>
        <v>3771_20240610_0005_L_1545.jpg</v>
      </c>
      <c r="G3774" s="75">
        <v>6</v>
      </c>
      <c r="I3774">
        <f t="shared" si="58"/>
        <v>0</v>
      </c>
      <c r="J3774" s="75">
        <v>0</v>
      </c>
      <c r="O3774" s="75">
        <v>1</v>
      </c>
      <c r="P3774" s="75">
        <v>0</v>
      </c>
      <c r="Q3774" s="75">
        <v>0</v>
      </c>
      <c r="R3774" s="75">
        <v>0</v>
      </c>
      <c r="S3774" s="75">
        <v>0</v>
      </c>
      <c r="T3774" s="75">
        <v>0</v>
      </c>
      <c r="U3774" s="75">
        <v>0</v>
      </c>
      <c r="V3774" s="75">
        <v>0</v>
      </c>
      <c r="W3774" s="78">
        <v>0</v>
      </c>
    </row>
    <row r="3775" spans="1:23" s="75" customFormat="1" hidden="1" x14ac:dyDescent="0.35">
      <c r="A3775" s="75">
        <v>3771</v>
      </c>
      <c r="B3775" s="75">
        <v>3772</v>
      </c>
      <c r="C3775">
        <v>146.03578529999999</v>
      </c>
      <c r="D3775">
        <v>-17.49527677</v>
      </c>
      <c r="F3775" s="75" t="str">
        <f>HYPERLINK("E:\Data From Lucan\2024\Johnstone\Frames_for_Analysis\3772_20240610_0005_L_1548.jpg","3772_20240610_0005_L_1548.jpg")</f>
        <v>3772_20240610_0005_L_1548.jpg</v>
      </c>
      <c r="G3775" s="75">
        <v>6</v>
      </c>
      <c r="I3775">
        <f t="shared" si="58"/>
        <v>0</v>
      </c>
      <c r="J3775" s="75">
        <v>0</v>
      </c>
      <c r="O3775" s="75">
        <v>1</v>
      </c>
      <c r="P3775" s="75">
        <v>0</v>
      </c>
      <c r="Q3775" s="75">
        <v>0</v>
      </c>
      <c r="R3775" s="75">
        <v>0</v>
      </c>
      <c r="S3775" s="75">
        <v>0</v>
      </c>
      <c r="T3775" s="75">
        <v>0</v>
      </c>
      <c r="U3775" s="75">
        <v>0</v>
      </c>
      <c r="V3775" s="75">
        <v>1</v>
      </c>
      <c r="W3775" s="78">
        <v>0</v>
      </c>
    </row>
    <row r="3776" spans="1:23" s="75" customFormat="1" hidden="1" x14ac:dyDescent="0.35">
      <c r="A3776" s="75">
        <v>3772</v>
      </c>
      <c r="B3776" s="75">
        <v>3773</v>
      </c>
      <c r="C3776">
        <v>146.0358501</v>
      </c>
      <c r="D3776">
        <v>-17.495345239999999</v>
      </c>
      <c r="F3776" s="75" t="str">
        <f>HYPERLINK("E:\Data From Lucan\2024\Johnstone\Frames_for_Analysis\3773_20240610_0005_L_1550.jpg","3773_20240610_0005_L_1550.jpg")</f>
        <v>3773_20240610_0005_L_1550.jpg</v>
      </c>
      <c r="G3776" s="75">
        <v>6</v>
      </c>
      <c r="I3776">
        <f t="shared" si="58"/>
        <v>0</v>
      </c>
      <c r="J3776" s="75">
        <v>0</v>
      </c>
      <c r="O3776" s="75">
        <v>1</v>
      </c>
      <c r="P3776" s="75">
        <v>0</v>
      </c>
      <c r="Q3776" s="75">
        <v>0</v>
      </c>
      <c r="R3776" s="75">
        <v>0</v>
      </c>
      <c r="S3776" s="75">
        <v>0</v>
      </c>
      <c r="T3776" s="75">
        <v>0</v>
      </c>
      <c r="U3776" s="75">
        <v>0</v>
      </c>
      <c r="V3776" s="75">
        <v>1</v>
      </c>
      <c r="W3776" s="78">
        <v>0</v>
      </c>
    </row>
    <row r="3777" spans="1:23" s="75" customFormat="1" hidden="1" x14ac:dyDescent="0.35">
      <c r="A3777" s="75">
        <v>3773</v>
      </c>
      <c r="B3777" s="75">
        <v>3774</v>
      </c>
      <c r="C3777">
        <v>146.03591489999999</v>
      </c>
      <c r="D3777">
        <v>-17.495413710000001</v>
      </c>
      <c r="F3777" s="75" t="str">
        <f>HYPERLINK("E:\Data From Lucan\2024\Johnstone\Frames_for_Analysis\3774_20240610_0005_L_1553.jpg","3774_20240610_0005_L_1553.jpg")</f>
        <v>3774_20240610_0005_L_1553.jpg</v>
      </c>
      <c r="G3777" s="75">
        <v>6</v>
      </c>
      <c r="I3777">
        <f t="shared" si="58"/>
        <v>0</v>
      </c>
      <c r="J3777" s="75">
        <v>0</v>
      </c>
      <c r="O3777" s="75">
        <v>1</v>
      </c>
      <c r="P3777" s="75">
        <v>0</v>
      </c>
      <c r="Q3777" s="75">
        <v>0</v>
      </c>
      <c r="R3777" s="75">
        <v>0</v>
      </c>
      <c r="S3777" s="75">
        <v>0</v>
      </c>
      <c r="T3777" s="75">
        <v>0</v>
      </c>
      <c r="U3777" s="75">
        <v>0</v>
      </c>
      <c r="V3777" s="75">
        <v>1</v>
      </c>
      <c r="W3777" s="78">
        <v>0</v>
      </c>
    </row>
    <row r="3778" spans="1:23" s="75" customFormat="1" hidden="1" x14ac:dyDescent="0.35">
      <c r="A3778" s="75">
        <v>3774</v>
      </c>
      <c r="B3778" s="75">
        <v>3775</v>
      </c>
      <c r="C3778">
        <v>146.03597980000001</v>
      </c>
      <c r="D3778">
        <v>-17.495482190000001</v>
      </c>
      <c r="F3778" s="75" t="str">
        <f>HYPERLINK("E:\Data From Lucan\2024\Johnstone\Frames_for_Analysis\3775_20240610_0005_L_1555.jpg","3775_20240610_0005_L_1555.jpg")</f>
        <v>3775_20240610_0005_L_1555.jpg</v>
      </c>
      <c r="G3778" s="75">
        <v>6</v>
      </c>
      <c r="I3778">
        <f t="shared" si="58"/>
        <v>0</v>
      </c>
      <c r="J3778" s="75">
        <v>0</v>
      </c>
      <c r="O3778" s="75">
        <v>1</v>
      </c>
      <c r="P3778" s="75">
        <v>0</v>
      </c>
      <c r="Q3778" s="75">
        <v>0</v>
      </c>
      <c r="R3778" s="75">
        <v>0</v>
      </c>
      <c r="S3778" s="75">
        <v>0</v>
      </c>
      <c r="T3778" s="75">
        <v>0</v>
      </c>
      <c r="U3778" s="75">
        <v>0</v>
      </c>
      <c r="V3778" s="75">
        <v>0</v>
      </c>
      <c r="W3778" s="78">
        <v>0</v>
      </c>
    </row>
    <row r="3779" spans="1:23" s="75" customFormat="1" hidden="1" x14ac:dyDescent="0.35">
      <c r="A3779" s="75">
        <v>3775</v>
      </c>
      <c r="B3779" s="75">
        <v>3776</v>
      </c>
      <c r="C3779">
        <v>146.0360446</v>
      </c>
      <c r="D3779">
        <v>-17.495550659999999</v>
      </c>
      <c r="F3779" s="75" t="str">
        <f>HYPERLINK("E:\Data From Lucan\2024\Johnstone\Frames_for_Analysis\3776_20240610_0005_L_1558.jpg","3776_20240610_0005_L_1558.jpg")</f>
        <v>3776_20240610_0005_L_1558.jpg</v>
      </c>
      <c r="G3779" s="75">
        <v>6</v>
      </c>
      <c r="I3779">
        <f t="shared" si="58"/>
        <v>0</v>
      </c>
      <c r="J3779" s="75">
        <v>0</v>
      </c>
      <c r="O3779" s="75">
        <v>1</v>
      </c>
      <c r="P3779" s="75">
        <v>0</v>
      </c>
      <c r="Q3779" s="75">
        <v>0</v>
      </c>
      <c r="R3779" s="75">
        <v>0</v>
      </c>
      <c r="S3779" s="75">
        <v>0</v>
      </c>
      <c r="T3779" s="75">
        <v>0</v>
      </c>
      <c r="U3779" s="75">
        <v>0</v>
      </c>
      <c r="V3779" s="75">
        <v>0</v>
      </c>
      <c r="W3779" s="78">
        <v>0</v>
      </c>
    </row>
    <row r="3780" spans="1:23" s="75" customFormat="1" hidden="1" x14ac:dyDescent="0.35">
      <c r="A3780" s="75">
        <v>3776</v>
      </c>
      <c r="B3780" s="75">
        <v>3777</v>
      </c>
      <c r="C3780">
        <v>146.0361054</v>
      </c>
      <c r="D3780">
        <v>-17.49562255</v>
      </c>
      <c r="F3780" s="75" t="str">
        <f>HYPERLINK("E:\Data From Lucan\2024\Johnstone\Frames_for_Analysis\3777_20240610_0005_L_1560.jpg","3777_20240610_0005_L_1560.jpg")</f>
        <v>3777_20240610_0005_L_1560.jpg</v>
      </c>
      <c r="G3780" s="75">
        <v>6</v>
      </c>
      <c r="I3780">
        <f t="shared" si="58"/>
        <v>0</v>
      </c>
      <c r="J3780" s="75">
        <v>0</v>
      </c>
      <c r="O3780" s="75">
        <v>1</v>
      </c>
      <c r="P3780" s="75">
        <v>0</v>
      </c>
      <c r="Q3780" s="75">
        <v>0</v>
      </c>
      <c r="R3780" s="75">
        <v>0</v>
      </c>
      <c r="S3780" s="75">
        <v>0</v>
      </c>
      <c r="T3780" s="75">
        <v>0</v>
      </c>
      <c r="U3780" s="75">
        <v>0</v>
      </c>
      <c r="V3780" s="75">
        <v>0</v>
      </c>
      <c r="W3780" s="78">
        <v>0</v>
      </c>
    </row>
    <row r="3781" spans="1:23" s="75" customFormat="1" hidden="1" x14ac:dyDescent="0.35">
      <c r="A3781" s="75">
        <v>3777</v>
      </c>
      <c r="B3781" s="75">
        <v>3778</v>
      </c>
      <c r="C3781">
        <v>146.03616160000001</v>
      </c>
      <c r="D3781">
        <v>-17.49569829</v>
      </c>
      <c r="F3781" s="75" t="str">
        <f>HYPERLINK("E:\Data From Lucan\2024\Johnstone\Frames_for_Analysis\3778_20240610_0005_L_1562.jpg","3778_20240610_0005_L_1562.jpg")</f>
        <v>3778_20240610_0005_L_1562.jpg</v>
      </c>
      <c r="G3781" s="75">
        <v>6</v>
      </c>
      <c r="I3781">
        <f t="shared" ref="I3781:I3844" si="59">IF(H3781="X","X",IF(J3781="NA","X",IF(J3781="","X",J3781)))</f>
        <v>0</v>
      </c>
      <c r="J3781" s="75">
        <v>0</v>
      </c>
      <c r="O3781" s="75">
        <v>1</v>
      </c>
      <c r="P3781" s="75">
        <v>0</v>
      </c>
      <c r="Q3781" s="75">
        <v>0</v>
      </c>
      <c r="R3781" s="75">
        <v>0</v>
      </c>
      <c r="S3781" s="75">
        <v>0</v>
      </c>
      <c r="T3781" s="75">
        <v>0</v>
      </c>
      <c r="U3781" s="75">
        <v>0</v>
      </c>
      <c r="V3781" s="75">
        <v>0</v>
      </c>
      <c r="W3781" s="78">
        <v>0</v>
      </c>
    </row>
    <row r="3782" spans="1:23" s="75" customFormat="1" hidden="1" x14ac:dyDescent="0.35">
      <c r="A3782" s="75">
        <v>3778</v>
      </c>
      <c r="B3782" s="75">
        <v>3779</v>
      </c>
      <c r="C3782">
        <v>146.0362178</v>
      </c>
      <c r="D3782">
        <v>-17.49577403</v>
      </c>
      <c r="F3782" s="75" t="str">
        <f>HYPERLINK("E:\Data From Lucan\2024\Johnstone\Frames_for_Analysis\3779_20240610_0005_L_1564.jpg","3779_20240610_0005_L_1564.jpg")</f>
        <v>3779_20240610_0005_L_1564.jpg</v>
      </c>
      <c r="G3782" s="75">
        <v>6</v>
      </c>
      <c r="I3782">
        <f t="shared" si="59"/>
        <v>0</v>
      </c>
      <c r="J3782" s="75">
        <v>0</v>
      </c>
      <c r="O3782" s="75">
        <v>1</v>
      </c>
      <c r="P3782" s="75">
        <v>0</v>
      </c>
      <c r="Q3782" s="75">
        <v>0</v>
      </c>
      <c r="R3782" s="75">
        <v>0</v>
      </c>
      <c r="S3782" s="75">
        <v>0</v>
      </c>
      <c r="T3782" s="75">
        <v>0</v>
      </c>
      <c r="U3782" s="75">
        <v>0</v>
      </c>
      <c r="V3782" s="75">
        <v>0</v>
      </c>
      <c r="W3782" s="78">
        <v>0</v>
      </c>
    </row>
    <row r="3783" spans="1:23" s="75" customFormat="1" hidden="1" x14ac:dyDescent="0.35">
      <c r="A3783" s="75">
        <v>3779</v>
      </c>
      <c r="B3783" s="75">
        <v>3780</v>
      </c>
      <c r="C3783">
        <v>146.03627399999999</v>
      </c>
      <c r="D3783">
        <v>-17.495849759999999</v>
      </c>
      <c r="F3783" s="75" t="str">
        <f>HYPERLINK("E:\Data From Lucan\2024\Johnstone\Frames_for_Analysis\3780_20240610_0005_L_1567.jpg","3780_20240610_0005_L_1567.jpg")</f>
        <v>3780_20240610_0005_L_1567.jpg</v>
      </c>
      <c r="G3783" s="75">
        <v>6</v>
      </c>
      <c r="I3783">
        <f t="shared" si="59"/>
        <v>0</v>
      </c>
      <c r="J3783" s="75">
        <v>0</v>
      </c>
      <c r="O3783" s="75">
        <v>1</v>
      </c>
      <c r="P3783" s="75">
        <v>0</v>
      </c>
      <c r="Q3783" s="75">
        <v>0</v>
      </c>
      <c r="R3783" s="75">
        <v>0</v>
      </c>
      <c r="S3783" s="75">
        <v>0</v>
      </c>
      <c r="T3783" s="75">
        <v>0</v>
      </c>
      <c r="U3783" s="75">
        <v>0</v>
      </c>
      <c r="V3783" s="75">
        <v>0</v>
      </c>
      <c r="W3783" s="78">
        <v>0</v>
      </c>
    </row>
    <row r="3784" spans="1:23" s="75" customFormat="1" hidden="1" x14ac:dyDescent="0.35">
      <c r="A3784" s="75">
        <v>3780</v>
      </c>
      <c r="B3784" s="75">
        <v>3781</v>
      </c>
      <c r="C3784">
        <v>146.03633020000001</v>
      </c>
      <c r="D3784">
        <v>-17.495925499999998</v>
      </c>
      <c r="F3784" s="75" t="str">
        <f>HYPERLINK("E:\Data From Lucan\2024\Johnstone\Frames_for_Analysis\3781_20240610_0005_L_1570.jpg","3781_20240610_0005_L_1570.jpg")</f>
        <v>3781_20240610_0005_L_1570.jpg</v>
      </c>
      <c r="G3784" s="75">
        <v>6</v>
      </c>
      <c r="I3784">
        <f t="shared" si="59"/>
        <v>0</v>
      </c>
      <c r="J3784" s="75">
        <v>0</v>
      </c>
      <c r="O3784" s="75">
        <v>1</v>
      </c>
      <c r="P3784" s="75">
        <v>0</v>
      </c>
      <c r="Q3784" s="75">
        <v>0</v>
      </c>
      <c r="R3784" s="75">
        <v>0</v>
      </c>
      <c r="S3784" s="75">
        <v>0</v>
      </c>
      <c r="T3784" s="75">
        <v>0</v>
      </c>
      <c r="U3784" s="75">
        <v>0</v>
      </c>
      <c r="V3784" s="75">
        <v>0</v>
      </c>
      <c r="W3784" s="78">
        <v>0</v>
      </c>
    </row>
    <row r="3785" spans="1:23" s="75" customFormat="1" hidden="1" x14ac:dyDescent="0.35">
      <c r="A3785" s="75">
        <v>3781</v>
      </c>
      <c r="B3785" s="75">
        <v>3782</v>
      </c>
      <c r="C3785">
        <v>146.0363863</v>
      </c>
      <c r="D3785">
        <v>-17.496001239999998</v>
      </c>
      <c r="F3785" s="75" t="str">
        <f>HYPERLINK("E:\Data From Lucan\2024\Johnstone\Frames_for_Analysis\3782_20240610_0005_L_1572.jpg","3782_20240610_0005_L_1572.jpg")</f>
        <v>3782_20240610_0005_L_1572.jpg</v>
      </c>
      <c r="G3785" s="75">
        <v>5</v>
      </c>
      <c r="I3785">
        <f t="shared" si="59"/>
        <v>0</v>
      </c>
      <c r="J3785" s="75">
        <v>0</v>
      </c>
      <c r="O3785" s="75">
        <v>1</v>
      </c>
      <c r="P3785" s="75">
        <v>0</v>
      </c>
      <c r="Q3785" s="75">
        <v>0</v>
      </c>
      <c r="R3785" s="75">
        <v>0</v>
      </c>
      <c r="S3785" s="75">
        <v>0</v>
      </c>
      <c r="T3785" s="75">
        <v>0</v>
      </c>
      <c r="U3785" s="75">
        <v>0</v>
      </c>
      <c r="V3785" s="75">
        <v>0</v>
      </c>
      <c r="W3785" s="78">
        <v>0</v>
      </c>
    </row>
    <row r="3786" spans="1:23" s="75" customFormat="1" hidden="1" x14ac:dyDescent="0.35">
      <c r="A3786" s="75">
        <v>3782</v>
      </c>
      <c r="B3786" s="75">
        <v>3783</v>
      </c>
      <c r="C3786">
        <v>146.03644249999999</v>
      </c>
      <c r="D3786">
        <v>-17.496076970000001</v>
      </c>
      <c r="F3786" s="75" t="str">
        <f>HYPERLINK("E:\Data From Lucan\2024\Johnstone\Frames_for_Analysis\3783_20240610_0005_L_1574.jpg","3783_20240610_0005_L_1574.jpg")</f>
        <v>3783_20240610_0005_L_1574.jpg</v>
      </c>
      <c r="G3786" s="75">
        <v>5</v>
      </c>
      <c r="I3786">
        <f t="shared" si="59"/>
        <v>0</v>
      </c>
      <c r="J3786" s="75">
        <v>0</v>
      </c>
      <c r="O3786" s="75">
        <v>1</v>
      </c>
      <c r="P3786" s="75">
        <v>0</v>
      </c>
      <c r="Q3786" s="75">
        <v>0</v>
      </c>
      <c r="R3786" s="75">
        <v>0</v>
      </c>
      <c r="S3786" s="75">
        <v>0</v>
      </c>
      <c r="T3786" s="75">
        <v>0</v>
      </c>
      <c r="U3786" s="75">
        <v>0</v>
      </c>
      <c r="V3786" s="75">
        <v>0</v>
      </c>
      <c r="W3786" s="78">
        <v>0</v>
      </c>
    </row>
    <row r="3787" spans="1:23" s="75" customFormat="1" hidden="1" x14ac:dyDescent="0.35">
      <c r="A3787" s="75">
        <v>3783</v>
      </c>
      <c r="B3787" s="75">
        <v>3784</v>
      </c>
      <c r="C3787">
        <v>146.03649870000001</v>
      </c>
      <c r="D3787">
        <v>-17.49615271</v>
      </c>
      <c r="F3787" s="75" t="str">
        <f>HYPERLINK("E:\Data From Lucan\2024\Johnstone\Frames_for_Analysis\3784_20240610_0005_L_1576.jpg","3784_20240610_0005_L_1576.jpg")</f>
        <v>3784_20240610_0005_L_1576.jpg</v>
      </c>
      <c r="G3787" s="75">
        <v>5</v>
      </c>
      <c r="I3787">
        <f t="shared" si="59"/>
        <v>0</v>
      </c>
      <c r="J3787" s="75">
        <v>0</v>
      </c>
      <c r="O3787" s="75">
        <v>1</v>
      </c>
      <c r="P3787" s="75">
        <v>0</v>
      </c>
      <c r="Q3787" s="75">
        <v>0</v>
      </c>
      <c r="R3787" s="75">
        <v>0</v>
      </c>
      <c r="S3787" s="75">
        <v>0</v>
      </c>
      <c r="T3787" s="75">
        <v>0</v>
      </c>
      <c r="U3787" s="75">
        <v>0</v>
      </c>
      <c r="V3787" s="75">
        <v>0</v>
      </c>
      <c r="W3787" s="78">
        <v>0</v>
      </c>
    </row>
    <row r="3788" spans="1:23" s="75" customFormat="1" hidden="1" x14ac:dyDescent="0.35">
      <c r="A3788" s="75">
        <v>3784</v>
      </c>
      <c r="B3788" s="75">
        <v>3785</v>
      </c>
      <c r="C3788">
        <v>146.0365549</v>
      </c>
      <c r="D3788">
        <v>-17.49622845</v>
      </c>
      <c r="F3788" s="75" t="str">
        <f>HYPERLINK("E:\Data From Lucan\2024\Johnstone\Frames_for_Analysis\3785_20240610_0005_L_1579.jpg","3785_20240610_0005_L_1579.jpg")</f>
        <v>3785_20240610_0005_L_1579.jpg</v>
      </c>
      <c r="G3788" s="75">
        <v>5</v>
      </c>
      <c r="I3788">
        <f t="shared" si="59"/>
        <v>0</v>
      </c>
      <c r="J3788" s="75">
        <v>0</v>
      </c>
      <c r="O3788" s="75">
        <v>1</v>
      </c>
      <c r="P3788" s="75">
        <v>0</v>
      </c>
      <c r="Q3788" s="75">
        <v>0</v>
      </c>
      <c r="R3788" s="75">
        <v>0</v>
      </c>
      <c r="S3788" s="75">
        <v>0</v>
      </c>
      <c r="T3788" s="75">
        <v>0</v>
      </c>
      <c r="U3788" s="75">
        <v>0</v>
      </c>
      <c r="V3788" s="75">
        <v>0</v>
      </c>
      <c r="W3788" s="78">
        <v>0</v>
      </c>
    </row>
    <row r="3789" spans="1:23" s="75" customFormat="1" hidden="1" x14ac:dyDescent="0.35">
      <c r="A3789" s="75">
        <v>3785</v>
      </c>
      <c r="B3789" s="75">
        <v>3786</v>
      </c>
      <c r="C3789">
        <v>146.03661109999999</v>
      </c>
      <c r="D3789">
        <v>-17.49630419</v>
      </c>
      <c r="F3789" s="75" t="str">
        <f>HYPERLINK("E:\Data From Lucan\2024\Johnstone\Frames_for_Analysis\3786_20240610_0005_L_1580.jpg","3786_20240610_0005_L_1580.jpg")</f>
        <v>3786_20240610_0005_L_1580.jpg</v>
      </c>
      <c r="G3789" s="75">
        <v>5</v>
      </c>
      <c r="I3789">
        <f t="shared" si="59"/>
        <v>0</v>
      </c>
      <c r="J3789" s="75">
        <v>0</v>
      </c>
      <c r="O3789" s="75">
        <v>1</v>
      </c>
      <c r="P3789" s="75">
        <v>0</v>
      </c>
      <c r="Q3789" s="75">
        <v>0</v>
      </c>
      <c r="R3789" s="75">
        <v>0</v>
      </c>
      <c r="S3789" s="75">
        <v>0</v>
      </c>
      <c r="T3789" s="75">
        <v>0</v>
      </c>
      <c r="U3789" s="75">
        <v>0</v>
      </c>
      <c r="V3789" s="75">
        <v>0</v>
      </c>
      <c r="W3789" s="78">
        <v>0</v>
      </c>
    </row>
    <row r="3790" spans="1:23" s="75" customFormat="1" hidden="1" x14ac:dyDescent="0.35">
      <c r="A3790" s="75">
        <v>3786</v>
      </c>
      <c r="B3790" s="75">
        <v>3787</v>
      </c>
      <c r="C3790">
        <v>146.03665509999999</v>
      </c>
      <c r="D3790">
        <v>-17.496387370000001</v>
      </c>
      <c r="F3790" s="75" t="str">
        <f>HYPERLINK("E:\Data From Lucan\2024\Johnstone\Frames_for_Analysis\3787_20240610_0005_L_1583.jpg","3787_20240610_0005_L_1583.jpg")</f>
        <v>3787_20240610_0005_L_1583.jpg</v>
      </c>
      <c r="G3790" s="75">
        <v>5</v>
      </c>
      <c r="I3790">
        <f t="shared" si="59"/>
        <v>0</v>
      </c>
      <c r="J3790" s="75">
        <v>0</v>
      </c>
      <c r="O3790" s="75">
        <v>1</v>
      </c>
      <c r="P3790" s="75">
        <v>0</v>
      </c>
      <c r="Q3790" s="75">
        <v>0</v>
      </c>
      <c r="R3790" s="75">
        <v>0</v>
      </c>
      <c r="S3790" s="75">
        <v>0</v>
      </c>
      <c r="T3790" s="75">
        <v>0</v>
      </c>
      <c r="U3790" s="75">
        <v>0</v>
      </c>
      <c r="V3790" s="75">
        <v>0</v>
      </c>
      <c r="W3790" s="78">
        <v>0</v>
      </c>
    </row>
    <row r="3791" spans="1:23" s="75" customFormat="1" hidden="1" x14ac:dyDescent="0.35">
      <c r="A3791" s="75">
        <v>3787</v>
      </c>
      <c r="B3791" s="75">
        <v>3788</v>
      </c>
      <c r="C3791">
        <v>146.0366971</v>
      </c>
      <c r="D3791">
        <v>-17.496471830000001</v>
      </c>
      <c r="F3791" s="75" t="str">
        <f>HYPERLINK("E:\Data From Lucan\2024\Johnstone\Frames_for_Analysis\3788_20240610_0005_L_1585.jpg","3788_20240610_0005_L_1585.jpg")</f>
        <v>3788_20240610_0005_L_1585.jpg</v>
      </c>
      <c r="G3791" s="75">
        <v>5</v>
      </c>
      <c r="I3791">
        <f t="shared" si="59"/>
        <v>0</v>
      </c>
      <c r="J3791" s="75">
        <v>0</v>
      </c>
      <c r="O3791" s="75">
        <v>1</v>
      </c>
      <c r="P3791" s="75">
        <v>0</v>
      </c>
      <c r="Q3791" s="75">
        <v>0</v>
      </c>
      <c r="R3791" s="75">
        <v>0</v>
      </c>
      <c r="S3791" s="75">
        <v>0</v>
      </c>
      <c r="T3791" s="75">
        <v>0</v>
      </c>
      <c r="U3791" s="75">
        <v>0</v>
      </c>
      <c r="V3791" s="75">
        <v>0</v>
      </c>
      <c r="W3791" s="78">
        <v>0</v>
      </c>
    </row>
    <row r="3792" spans="1:23" s="75" customFormat="1" hidden="1" x14ac:dyDescent="0.35">
      <c r="A3792" s="75">
        <v>3788</v>
      </c>
      <c r="B3792" s="75">
        <v>3789</v>
      </c>
      <c r="C3792">
        <v>146.03673900000001</v>
      </c>
      <c r="D3792">
        <v>-17.496556290000001</v>
      </c>
      <c r="F3792" s="75" t="str">
        <f>HYPERLINK("E:\Data From Lucan\2024\Johnstone\Frames_for_Analysis\3789_20240610_0005_L_1587.jpg","3789_20240610_0005_L_1587.jpg")</f>
        <v>3789_20240610_0005_L_1587.jpg</v>
      </c>
      <c r="G3792" s="75">
        <v>5</v>
      </c>
      <c r="I3792">
        <f t="shared" si="59"/>
        <v>0</v>
      </c>
      <c r="J3792" s="75">
        <v>0</v>
      </c>
      <c r="O3792" s="75">
        <v>1</v>
      </c>
      <c r="P3792" s="75">
        <v>0</v>
      </c>
      <c r="Q3792" s="75">
        <v>0</v>
      </c>
      <c r="R3792" s="75">
        <v>0</v>
      </c>
      <c r="S3792" s="75">
        <v>0</v>
      </c>
      <c r="T3792" s="75">
        <v>0</v>
      </c>
      <c r="U3792" s="75">
        <v>0</v>
      </c>
      <c r="V3792" s="75">
        <v>0</v>
      </c>
      <c r="W3792" s="78">
        <v>0</v>
      </c>
    </row>
    <row r="3793" spans="1:23" s="75" customFormat="1" hidden="1" x14ac:dyDescent="0.35">
      <c r="A3793" s="75">
        <v>3789</v>
      </c>
      <c r="B3793" s="75">
        <v>3790</v>
      </c>
      <c r="C3793">
        <v>146.03678099999999</v>
      </c>
      <c r="D3793">
        <v>-17.496640750000001</v>
      </c>
      <c r="F3793" s="75" t="str">
        <f>HYPERLINK("E:\Data From Lucan\2024\Johnstone\Frames_for_Analysis\3790_20240610_0005_L_1590.jpg","3790_20240610_0005_L_1590.jpg")</f>
        <v>3790_20240610_0005_L_1590.jpg</v>
      </c>
      <c r="G3793" s="75">
        <v>5</v>
      </c>
      <c r="I3793">
        <f t="shared" si="59"/>
        <v>0</v>
      </c>
      <c r="J3793" s="75">
        <v>0</v>
      </c>
      <c r="O3793" s="75">
        <v>1</v>
      </c>
      <c r="P3793" s="75">
        <v>0</v>
      </c>
      <c r="Q3793" s="75">
        <v>0</v>
      </c>
      <c r="R3793" s="75">
        <v>0</v>
      </c>
      <c r="S3793" s="75">
        <v>0</v>
      </c>
      <c r="T3793" s="75">
        <v>0</v>
      </c>
      <c r="U3793" s="75">
        <v>0</v>
      </c>
      <c r="V3793" s="75">
        <v>0</v>
      </c>
      <c r="W3793" s="78">
        <v>0</v>
      </c>
    </row>
    <row r="3794" spans="1:23" s="75" customFormat="1" hidden="1" x14ac:dyDescent="0.35">
      <c r="A3794" s="75">
        <v>3790</v>
      </c>
      <c r="B3794" s="75">
        <v>3791</v>
      </c>
      <c r="C3794">
        <v>146.0368229</v>
      </c>
      <c r="D3794">
        <v>-17.496725219999998</v>
      </c>
      <c r="F3794" s="75" t="str">
        <f>HYPERLINK("E:\Data From Lucan\2024\Johnstone\Frames_for_Analysis\3791_20240610_0005_L_1593.jpg","3791_20240610_0005_L_1593.jpg")</f>
        <v>3791_20240610_0005_L_1593.jpg</v>
      </c>
      <c r="G3794" s="75">
        <v>5</v>
      </c>
      <c r="I3794">
        <f t="shared" si="59"/>
        <v>0</v>
      </c>
      <c r="J3794" s="75">
        <v>0</v>
      </c>
      <c r="O3794" s="75">
        <v>1</v>
      </c>
      <c r="P3794" s="75">
        <v>0</v>
      </c>
      <c r="Q3794" s="75">
        <v>0</v>
      </c>
      <c r="R3794" s="75">
        <v>0</v>
      </c>
      <c r="S3794" s="75">
        <v>0</v>
      </c>
      <c r="T3794" s="75">
        <v>0</v>
      </c>
      <c r="U3794" s="75">
        <v>0</v>
      </c>
      <c r="V3794" s="75">
        <v>0</v>
      </c>
      <c r="W3794" s="78">
        <v>0</v>
      </c>
    </row>
    <row r="3795" spans="1:23" s="75" customFormat="1" hidden="1" x14ac:dyDescent="0.35">
      <c r="A3795" s="75">
        <v>3791</v>
      </c>
      <c r="B3795" s="75">
        <v>3792</v>
      </c>
      <c r="C3795">
        <v>146.03686479999999</v>
      </c>
      <c r="D3795">
        <v>-17.496809679999998</v>
      </c>
      <c r="F3795" s="75" t="str">
        <f>HYPERLINK("E:\Data From Lucan\2024\Johnstone\Frames_for_Analysis\3792_20240610_0005_L_1595.jpg","3792_20240610_0005_L_1595.jpg")</f>
        <v>3792_20240610_0005_L_1595.jpg</v>
      </c>
      <c r="G3795" s="75">
        <v>5</v>
      </c>
      <c r="I3795">
        <f t="shared" si="59"/>
        <v>0</v>
      </c>
      <c r="J3795" s="75">
        <v>0</v>
      </c>
      <c r="O3795" s="75">
        <v>1</v>
      </c>
      <c r="P3795" s="75">
        <v>0</v>
      </c>
      <c r="Q3795" s="75">
        <v>0</v>
      </c>
      <c r="R3795" s="75">
        <v>0</v>
      </c>
      <c r="S3795" s="75">
        <v>0</v>
      </c>
      <c r="T3795" s="75">
        <v>0</v>
      </c>
      <c r="U3795" s="75">
        <v>0</v>
      </c>
      <c r="V3795" s="75">
        <v>0</v>
      </c>
      <c r="W3795" s="78">
        <v>0</v>
      </c>
    </row>
    <row r="3796" spans="1:23" s="75" customFormat="1" hidden="1" x14ac:dyDescent="0.35">
      <c r="A3796" s="75">
        <v>3792</v>
      </c>
      <c r="B3796" s="75">
        <v>3793</v>
      </c>
      <c r="C3796">
        <v>146.0369068</v>
      </c>
      <c r="D3796">
        <v>-17.496894139999998</v>
      </c>
      <c r="F3796" s="75" t="str">
        <f>HYPERLINK("E:\Data From Lucan\2024\Johnstone\Frames_for_Analysis\3793_20240610_0005_L_1598.jpg","3793_20240610_0005_L_1598.jpg")</f>
        <v>3793_20240610_0005_L_1598.jpg</v>
      </c>
      <c r="G3796" s="75">
        <v>5</v>
      </c>
      <c r="I3796">
        <f t="shared" si="59"/>
        <v>0</v>
      </c>
      <c r="J3796" s="75">
        <v>0</v>
      </c>
      <c r="O3796" s="75">
        <v>1</v>
      </c>
      <c r="P3796" s="75">
        <v>0</v>
      </c>
      <c r="Q3796" s="75">
        <v>0</v>
      </c>
      <c r="R3796" s="75">
        <v>0</v>
      </c>
      <c r="S3796" s="75">
        <v>0</v>
      </c>
      <c r="T3796" s="75">
        <v>0</v>
      </c>
      <c r="U3796" s="75">
        <v>0</v>
      </c>
      <c r="V3796" s="75">
        <v>0</v>
      </c>
      <c r="W3796" s="78">
        <v>0</v>
      </c>
    </row>
    <row r="3797" spans="1:23" s="75" customFormat="1" hidden="1" x14ac:dyDescent="0.35">
      <c r="A3797" s="75">
        <v>3793</v>
      </c>
      <c r="B3797" s="75">
        <v>3794</v>
      </c>
      <c r="C3797">
        <v>146.03694870000001</v>
      </c>
      <c r="D3797">
        <v>-17.496978609999999</v>
      </c>
      <c r="F3797" s="75" t="str">
        <f>HYPERLINK("E:\Data From Lucan\2024\Johnstone\Frames_for_Analysis\3794_20240610_0005_L_1600.jpg","3794_20240610_0005_L_1600.jpg")</f>
        <v>3794_20240610_0005_L_1600.jpg</v>
      </c>
      <c r="G3797" s="75">
        <v>5</v>
      </c>
      <c r="I3797">
        <f t="shared" si="59"/>
        <v>0</v>
      </c>
      <c r="J3797" s="75">
        <v>0</v>
      </c>
      <c r="O3797" s="75">
        <v>1</v>
      </c>
      <c r="P3797" s="75">
        <v>0</v>
      </c>
      <c r="Q3797" s="75">
        <v>0</v>
      </c>
      <c r="R3797" s="75">
        <v>0</v>
      </c>
      <c r="S3797" s="75">
        <v>0</v>
      </c>
      <c r="T3797" s="75">
        <v>0</v>
      </c>
      <c r="U3797" s="75">
        <v>0</v>
      </c>
      <c r="V3797" s="75">
        <v>0</v>
      </c>
      <c r="W3797" s="78">
        <v>0</v>
      </c>
    </row>
    <row r="3798" spans="1:23" s="75" customFormat="1" hidden="1" x14ac:dyDescent="0.35">
      <c r="A3798" s="75">
        <v>3794</v>
      </c>
      <c r="B3798" s="75">
        <v>3795</v>
      </c>
      <c r="C3798">
        <v>146.03699069999999</v>
      </c>
      <c r="D3798">
        <v>-17.497063069999999</v>
      </c>
      <c r="F3798" s="75" t="str">
        <f>HYPERLINK("E:\Data From Lucan\2024\Johnstone\Frames_for_Analysis\3795_20240610_0005_L_1603.jpg","3795_20240610_0005_L_1603.jpg")</f>
        <v>3795_20240610_0005_L_1603.jpg</v>
      </c>
      <c r="G3798" s="75">
        <v>5</v>
      </c>
      <c r="I3798">
        <f t="shared" si="59"/>
        <v>0</v>
      </c>
      <c r="J3798" s="75">
        <v>0</v>
      </c>
      <c r="O3798" s="75">
        <v>1</v>
      </c>
      <c r="P3798" s="75">
        <v>0</v>
      </c>
      <c r="Q3798" s="75">
        <v>0</v>
      </c>
      <c r="R3798" s="75">
        <v>0</v>
      </c>
      <c r="S3798" s="75">
        <v>0</v>
      </c>
      <c r="T3798" s="75">
        <v>0</v>
      </c>
      <c r="U3798" s="75">
        <v>0</v>
      </c>
      <c r="V3798" s="75">
        <v>0</v>
      </c>
      <c r="W3798" s="78">
        <v>0</v>
      </c>
    </row>
    <row r="3799" spans="1:23" s="75" customFormat="1" hidden="1" x14ac:dyDescent="0.35">
      <c r="A3799" s="75">
        <v>3795</v>
      </c>
      <c r="B3799" s="75">
        <v>3796</v>
      </c>
      <c r="C3799">
        <v>146.0370326</v>
      </c>
      <c r="D3799">
        <v>-17.497147529999999</v>
      </c>
      <c r="F3799" s="75" t="str">
        <f>HYPERLINK("E:\Data From Lucan\2024\Johnstone\Frames_for_Analysis\3796_20240610_0005_L_1605.jpg","3796_20240610_0005_L_1605.jpg")</f>
        <v>3796_20240610_0005_L_1605.jpg</v>
      </c>
      <c r="G3799" s="75">
        <v>5</v>
      </c>
      <c r="I3799">
        <f t="shared" si="59"/>
        <v>0</v>
      </c>
      <c r="J3799" s="75">
        <v>0</v>
      </c>
      <c r="O3799" s="75">
        <v>1</v>
      </c>
      <c r="P3799" s="75">
        <v>0</v>
      </c>
      <c r="Q3799" s="75">
        <v>0</v>
      </c>
      <c r="R3799" s="75">
        <v>0</v>
      </c>
      <c r="S3799" s="75">
        <v>0</v>
      </c>
      <c r="T3799" s="75">
        <v>0</v>
      </c>
      <c r="U3799" s="75">
        <v>0</v>
      </c>
      <c r="V3799" s="75">
        <v>0</v>
      </c>
      <c r="W3799" s="78">
        <v>0</v>
      </c>
    </row>
    <row r="3800" spans="1:23" s="75" customFormat="1" hidden="1" x14ac:dyDescent="0.35">
      <c r="A3800" s="75">
        <v>3796</v>
      </c>
      <c r="B3800" s="75">
        <v>3797</v>
      </c>
      <c r="C3800">
        <v>146.03707460000001</v>
      </c>
      <c r="D3800">
        <v>-17.49723199</v>
      </c>
      <c r="F3800" s="75" t="str">
        <f>HYPERLINK("E:\Data From Lucan\2024\Johnstone\Frames_for_Analysis\3797_20240610_0005_L_1607.jpg","3797_20240610_0005_L_1607.jpg")</f>
        <v>3797_20240610_0005_L_1607.jpg</v>
      </c>
      <c r="G3800" s="75">
        <v>5</v>
      </c>
      <c r="I3800">
        <f t="shared" si="59"/>
        <v>0</v>
      </c>
      <c r="J3800" s="75">
        <v>0</v>
      </c>
      <c r="O3800" s="75">
        <v>1</v>
      </c>
      <c r="P3800" s="75">
        <v>0</v>
      </c>
      <c r="Q3800" s="75">
        <v>0</v>
      </c>
      <c r="R3800" s="75">
        <v>0</v>
      </c>
      <c r="S3800" s="75">
        <v>0</v>
      </c>
      <c r="T3800" s="75">
        <v>0</v>
      </c>
      <c r="U3800" s="75">
        <v>0</v>
      </c>
      <c r="V3800" s="75">
        <v>0</v>
      </c>
      <c r="W3800" s="78">
        <v>0</v>
      </c>
    </row>
    <row r="3801" spans="1:23" s="75" customFormat="1" hidden="1" x14ac:dyDescent="0.35">
      <c r="A3801" s="75">
        <v>3797</v>
      </c>
      <c r="B3801" s="75">
        <v>3798</v>
      </c>
      <c r="C3801">
        <v>146.0371069</v>
      </c>
      <c r="D3801">
        <v>-17.497318830000001</v>
      </c>
      <c r="F3801" s="75" t="str">
        <f>HYPERLINK("E:\Data From Lucan\2024\Johnstone\Frames_for_Analysis\3798_20240610_0005_L_1609.jpg","3798_20240610_0005_L_1609.jpg")</f>
        <v>3798_20240610_0005_L_1609.jpg</v>
      </c>
      <c r="G3801" s="75">
        <v>5</v>
      </c>
      <c r="I3801">
        <f t="shared" si="59"/>
        <v>0</v>
      </c>
      <c r="J3801" s="75">
        <v>0</v>
      </c>
      <c r="O3801" s="75">
        <v>1</v>
      </c>
      <c r="P3801" s="75">
        <v>0</v>
      </c>
      <c r="Q3801" s="75">
        <v>0</v>
      </c>
      <c r="R3801" s="75">
        <v>0</v>
      </c>
      <c r="S3801" s="75">
        <v>0</v>
      </c>
      <c r="T3801" s="75">
        <v>0</v>
      </c>
      <c r="U3801" s="75">
        <v>0</v>
      </c>
      <c r="V3801" s="75">
        <v>0</v>
      </c>
      <c r="W3801" s="78">
        <v>0</v>
      </c>
    </row>
    <row r="3802" spans="1:23" s="75" customFormat="1" hidden="1" x14ac:dyDescent="0.35">
      <c r="A3802" s="75">
        <v>3798</v>
      </c>
      <c r="B3802" s="75">
        <v>3799</v>
      </c>
      <c r="C3802">
        <v>146.03710939999999</v>
      </c>
      <c r="D3802">
        <v>-17.497413099999999</v>
      </c>
      <c r="F3802" s="75" t="str">
        <f>HYPERLINK("E:\Data From Lucan\2024\Johnstone\Frames_for_Analysis\3799_20240610_0005_L_1611.jpg","3799_20240610_0005_L_1611.jpg")</f>
        <v>3799_20240610_0005_L_1611.jpg</v>
      </c>
      <c r="G3802" s="75">
        <v>5</v>
      </c>
      <c r="I3802">
        <f t="shared" si="59"/>
        <v>0</v>
      </c>
      <c r="J3802" s="75">
        <v>0</v>
      </c>
      <c r="O3802" s="75">
        <v>1</v>
      </c>
      <c r="P3802" s="75">
        <v>0</v>
      </c>
      <c r="Q3802" s="75">
        <v>0</v>
      </c>
      <c r="R3802" s="75">
        <v>0</v>
      </c>
      <c r="S3802" s="75">
        <v>0</v>
      </c>
      <c r="T3802" s="75">
        <v>0</v>
      </c>
      <c r="U3802" s="75">
        <v>0</v>
      </c>
      <c r="V3802" s="75">
        <v>0</v>
      </c>
      <c r="W3802" s="78">
        <v>0</v>
      </c>
    </row>
    <row r="3803" spans="1:23" s="75" customFormat="1" hidden="1" x14ac:dyDescent="0.35">
      <c r="A3803" s="75">
        <v>3799</v>
      </c>
      <c r="B3803" s="75">
        <v>3800</v>
      </c>
      <c r="C3803">
        <v>146.03711190000001</v>
      </c>
      <c r="D3803">
        <v>-17.497507370000001</v>
      </c>
      <c r="F3803" s="75" t="str">
        <f>HYPERLINK("E:\Data From Lucan\2024\Johnstone\Frames_for_Analysis\3800_20240610_0005_L_1613.jpg","3800_20240610_0005_L_1613.jpg")</f>
        <v>3800_20240610_0005_L_1613.jpg</v>
      </c>
      <c r="G3803" s="75">
        <v>5</v>
      </c>
      <c r="I3803">
        <f t="shared" si="59"/>
        <v>0</v>
      </c>
      <c r="J3803" s="75">
        <v>0</v>
      </c>
      <c r="O3803" s="75">
        <v>1</v>
      </c>
      <c r="P3803" s="75">
        <v>0</v>
      </c>
      <c r="Q3803" s="75">
        <v>0</v>
      </c>
      <c r="R3803" s="75">
        <v>0</v>
      </c>
      <c r="S3803" s="75">
        <v>0</v>
      </c>
      <c r="T3803" s="75">
        <v>0</v>
      </c>
      <c r="U3803" s="75">
        <v>0</v>
      </c>
      <c r="V3803" s="75">
        <v>0</v>
      </c>
      <c r="W3803" s="78">
        <v>0</v>
      </c>
    </row>
    <row r="3804" spans="1:23" s="75" customFormat="1" hidden="1" x14ac:dyDescent="0.35">
      <c r="A3804" s="75">
        <v>3800</v>
      </c>
      <c r="B3804" s="75">
        <v>3801</v>
      </c>
      <c r="C3804">
        <v>146.03711440000001</v>
      </c>
      <c r="D3804">
        <v>-17.49760165</v>
      </c>
      <c r="F3804" s="75" t="str">
        <f>HYPERLINK("E:\Data From Lucan\2024\Johnstone\Frames_for_Analysis\3801_20240610_0005_L_1615.jpg","3801_20240610_0005_L_1615.jpg")</f>
        <v>3801_20240610_0005_L_1615.jpg</v>
      </c>
      <c r="G3804" s="75">
        <v>5</v>
      </c>
      <c r="I3804">
        <f t="shared" si="59"/>
        <v>0</v>
      </c>
      <c r="J3804" s="75">
        <v>0</v>
      </c>
      <c r="O3804" s="75">
        <v>1</v>
      </c>
      <c r="P3804" s="75">
        <v>0</v>
      </c>
      <c r="Q3804" s="75">
        <v>0</v>
      </c>
      <c r="R3804" s="75">
        <v>0</v>
      </c>
      <c r="S3804" s="75">
        <v>0</v>
      </c>
      <c r="T3804" s="75">
        <v>0</v>
      </c>
      <c r="U3804" s="75">
        <v>0</v>
      </c>
      <c r="V3804" s="75">
        <v>0</v>
      </c>
      <c r="W3804" s="78">
        <v>0</v>
      </c>
    </row>
    <row r="3805" spans="1:23" s="75" customFormat="1" hidden="1" x14ac:dyDescent="0.35">
      <c r="A3805" s="75">
        <v>3801</v>
      </c>
      <c r="B3805" s="75">
        <v>3802</v>
      </c>
      <c r="C3805">
        <v>146.03711680000001</v>
      </c>
      <c r="D3805">
        <v>-17.497695920000002</v>
      </c>
      <c r="G3805" s="75">
        <v>5</v>
      </c>
      <c r="H3805" s="75" t="s">
        <v>26</v>
      </c>
      <c r="I3805" t="str">
        <f t="shared" si="59"/>
        <v>X</v>
      </c>
      <c r="O3805" s="75">
        <v>1</v>
      </c>
      <c r="W3805" s="78">
        <v>0</v>
      </c>
    </row>
    <row r="3806" spans="1:23" s="75" customFormat="1" hidden="1" x14ac:dyDescent="0.35">
      <c r="A3806" s="75">
        <v>3802</v>
      </c>
      <c r="B3806" s="75">
        <v>3803</v>
      </c>
      <c r="C3806">
        <v>146.0371193</v>
      </c>
      <c r="D3806">
        <v>-17.49779019</v>
      </c>
      <c r="F3806" s="75" t="str">
        <f>HYPERLINK("E:\Data From Lucan\2024\Johnstone\Frames_for_Analysis\3803_20240610_0005_L_1619.jpg","3803_20240610_0005_L_1619.jpg")</f>
        <v>3803_20240610_0005_L_1619.jpg</v>
      </c>
      <c r="G3806" s="75">
        <v>5</v>
      </c>
      <c r="I3806">
        <f t="shared" si="59"/>
        <v>0</v>
      </c>
      <c r="J3806" s="75">
        <v>0</v>
      </c>
      <c r="O3806" s="75">
        <v>1</v>
      </c>
      <c r="P3806" s="75">
        <v>0</v>
      </c>
      <c r="Q3806" s="75">
        <v>0</v>
      </c>
      <c r="R3806" s="75">
        <v>0</v>
      </c>
      <c r="S3806" s="75">
        <v>0</v>
      </c>
      <c r="T3806" s="75">
        <v>0</v>
      </c>
      <c r="U3806" s="75">
        <v>0</v>
      </c>
      <c r="V3806" s="75">
        <v>0</v>
      </c>
      <c r="W3806" s="78">
        <v>0</v>
      </c>
    </row>
    <row r="3807" spans="1:23" s="75" customFormat="1" hidden="1" x14ac:dyDescent="0.35">
      <c r="A3807" s="75">
        <v>3803</v>
      </c>
      <c r="B3807" s="75">
        <v>3804</v>
      </c>
      <c r="C3807">
        <v>146.03712179999999</v>
      </c>
      <c r="D3807">
        <v>-17.497884460000002</v>
      </c>
      <c r="F3807" s="75" t="str">
        <f>HYPERLINK("E:\Data From Lucan\2024\Johnstone\Frames_for_Analysis\3804_20240610_0005_L_1621.jpg","3804_20240610_0005_L_1621.jpg")</f>
        <v>3804_20240610_0005_L_1621.jpg</v>
      </c>
      <c r="G3807" s="75">
        <v>5</v>
      </c>
      <c r="I3807">
        <f t="shared" si="59"/>
        <v>0</v>
      </c>
      <c r="J3807" s="75">
        <v>0</v>
      </c>
      <c r="O3807" s="75">
        <v>1</v>
      </c>
      <c r="P3807" s="75">
        <v>0</v>
      </c>
      <c r="Q3807" s="75">
        <v>0</v>
      </c>
      <c r="R3807" s="75">
        <v>0</v>
      </c>
      <c r="S3807" s="75">
        <v>0</v>
      </c>
      <c r="T3807" s="75">
        <v>0</v>
      </c>
      <c r="U3807" s="75">
        <v>0</v>
      </c>
      <c r="V3807" s="75">
        <v>0</v>
      </c>
      <c r="W3807" s="78">
        <v>0</v>
      </c>
    </row>
    <row r="3808" spans="1:23" s="75" customFormat="1" hidden="1" x14ac:dyDescent="0.35">
      <c r="A3808" s="75">
        <v>3804</v>
      </c>
      <c r="B3808" s="75">
        <v>3805</v>
      </c>
      <c r="C3808">
        <v>146.03712150000001</v>
      </c>
      <c r="D3808">
        <v>-17.497978759999999</v>
      </c>
      <c r="G3808" s="75">
        <v>5</v>
      </c>
      <c r="H3808" s="75" t="s">
        <v>26</v>
      </c>
      <c r="I3808" t="str">
        <f t="shared" si="59"/>
        <v>X</v>
      </c>
      <c r="O3808" s="75">
        <v>1</v>
      </c>
      <c r="W3808" s="78">
        <v>0</v>
      </c>
    </row>
    <row r="3809" spans="1:23" s="75" customFormat="1" hidden="1" x14ac:dyDescent="0.35">
      <c r="A3809" s="75">
        <v>3805</v>
      </c>
      <c r="B3809" s="75">
        <v>3806</v>
      </c>
      <c r="C3809">
        <v>146.0371212</v>
      </c>
      <c r="D3809">
        <v>-17.49807307</v>
      </c>
      <c r="F3809" s="75" t="str">
        <f>HYPERLINK("E:\Data From Lucan\2024\Johnstone\Frames_for_Analysis\3806_20240610_0005_L_1626.jpg","3806_20240610_0005_L_1626.jpg")</f>
        <v>3806_20240610_0005_L_1626.jpg</v>
      </c>
      <c r="G3809" s="75">
        <v>5</v>
      </c>
      <c r="I3809">
        <f t="shared" si="59"/>
        <v>0</v>
      </c>
      <c r="J3809" s="75">
        <v>0</v>
      </c>
      <c r="O3809" s="75">
        <v>1</v>
      </c>
      <c r="P3809" s="75">
        <v>0</v>
      </c>
      <c r="Q3809" s="75">
        <v>0</v>
      </c>
      <c r="R3809" s="75">
        <v>0</v>
      </c>
      <c r="S3809" s="75">
        <v>0</v>
      </c>
      <c r="T3809" s="75">
        <v>0</v>
      </c>
      <c r="U3809" s="75">
        <v>0</v>
      </c>
      <c r="V3809" s="75">
        <v>0</v>
      </c>
      <c r="W3809" s="78">
        <v>0</v>
      </c>
    </row>
    <row r="3810" spans="1:23" s="75" customFormat="1" hidden="1" x14ac:dyDescent="0.35">
      <c r="A3810" s="75">
        <v>3806</v>
      </c>
      <c r="B3810" s="75">
        <v>3807</v>
      </c>
      <c r="C3810">
        <v>146.0371208</v>
      </c>
      <c r="D3810">
        <v>-17.498167370000001</v>
      </c>
      <c r="F3810" s="75" t="str">
        <f>HYPERLINK("E:\Data From Lucan\2024\Johnstone\Frames_for_Analysis\3807_20240610_0005_L_1628.jpg","3807_20240610_0005_L_1628.jpg")</f>
        <v>3807_20240610_0005_L_1628.jpg</v>
      </c>
      <c r="G3810" s="75">
        <v>5</v>
      </c>
      <c r="I3810">
        <f t="shared" si="59"/>
        <v>0</v>
      </c>
      <c r="J3810" s="75">
        <v>0</v>
      </c>
      <c r="O3810" s="75">
        <v>1</v>
      </c>
      <c r="P3810" s="75">
        <v>0</v>
      </c>
      <c r="Q3810" s="75">
        <v>0</v>
      </c>
      <c r="R3810" s="75">
        <v>0</v>
      </c>
      <c r="S3810" s="75">
        <v>0</v>
      </c>
      <c r="T3810" s="75">
        <v>0</v>
      </c>
      <c r="U3810" s="75">
        <v>0</v>
      </c>
      <c r="V3810" s="75">
        <v>0</v>
      </c>
      <c r="W3810" s="78">
        <v>0</v>
      </c>
    </row>
    <row r="3811" spans="1:23" s="75" customFormat="1" hidden="1" x14ac:dyDescent="0.35">
      <c r="A3811" s="75">
        <v>3807</v>
      </c>
      <c r="B3811" s="75">
        <v>3808</v>
      </c>
      <c r="C3811">
        <v>146.03712049999999</v>
      </c>
      <c r="D3811">
        <v>-17.498261670000002</v>
      </c>
      <c r="F3811" s="75" t="str">
        <f>HYPERLINK("E:\Data From Lucan\2024\Johnstone\Frames_for_Analysis\3808_20240610_0005_L_1631.jpg","3808_20240610_0005_L_1631.jpg")</f>
        <v>3808_20240610_0005_L_1631.jpg</v>
      </c>
      <c r="G3811" s="75">
        <v>5</v>
      </c>
      <c r="I3811">
        <f t="shared" si="59"/>
        <v>0</v>
      </c>
      <c r="J3811" s="75">
        <v>0</v>
      </c>
      <c r="O3811" s="75">
        <v>1</v>
      </c>
      <c r="P3811" s="75">
        <v>0</v>
      </c>
      <c r="Q3811" s="75">
        <v>0</v>
      </c>
      <c r="R3811" s="75">
        <v>0</v>
      </c>
      <c r="S3811" s="75">
        <v>0</v>
      </c>
      <c r="T3811" s="75">
        <v>0</v>
      </c>
      <c r="U3811" s="75">
        <v>0</v>
      </c>
      <c r="V3811" s="75">
        <v>0</v>
      </c>
      <c r="W3811" s="78">
        <v>0</v>
      </c>
    </row>
    <row r="3812" spans="1:23" s="75" customFormat="1" hidden="1" x14ac:dyDescent="0.35">
      <c r="A3812" s="75">
        <v>3808</v>
      </c>
      <c r="B3812" s="75">
        <v>3809</v>
      </c>
      <c r="C3812">
        <v>146.0371202</v>
      </c>
      <c r="D3812">
        <v>-17.498355969999999</v>
      </c>
      <c r="F3812" s="75" t="str">
        <f>HYPERLINK("E:\Data From Lucan\2024\Johnstone\Frames_for_Analysis\3809_20240610_0005_L_1633.jpg","3809_20240610_0005_L_1633.jpg")</f>
        <v>3809_20240610_0005_L_1633.jpg</v>
      </c>
      <c r="G3812" s="75">
        <v>5</v>
      </c>
      <c r="I3812">
        <f t="shared" si="59"/>
        <v>0</v>
      </c>
      <c r="J3812" s="75">
        <v>0</v>
      </c>
      <c r="O3812" s="75">
        <v>2</v>
      </c>
      <c r="P3812" s="75">
        <v>0</v>
      </c>
      <c r="Q3812" s="75">
        <v>0</v>
      </c>
      <c r="R3812" s="75">
        <v>0</v>
      </c>
      <c r="S3812" s="75">
        <v>0</v>
      </c>
      <c r="T3812" s="75">
        <v>0</v>
      </c>
      <c r="U3812" s="75">
        <v>0</v>
      </c>
      <c r="V3812" s="75">
        <v>0</v>
      </c>
      <c r="W3812" s="78">
        <v>1</v>
      </c>
    </row>
    <row r="3813" spans="1:23" s="75" customFormat="1" hidden="1" x14ac:dyDescent="0.35">
      <c r="A3813" s="75">
        <v>3809</v>
      </c>
      <c r="B3813" s="75">
        <v>3810</v>
      </c>
      <c r="C3813">
        <v>146.03711989999999</v>
      </c>
      <c r="D3813">
        <v>-17.49845028</v>
      </c>
      <c r="F3813" s="75" t="str">
        <f>HYPERLINK("E:\Data From Lucan\2024\Johnstone\Frames_for_Analysis\3810_20240610_0005_L_1636.jpg","3810_20240610_0005_L_1636.jpg")</f>
        <v>3810_20240610_0005_L_1636.jpg</v>
      </c>
      <c r="G3813" s="75">
        <v>5</v>
      </c>
      <c r="I3813">
        <f t="shared" si="59"/>
        <v>0</v>
      </c>
      <c r="J3813" s="75">
        <v>0</v>
      </c>
      <c r="O3813" s="75">
        <v>1</v>
      </c>
      <c r="P3813" s="75">
        <v>0</v>
      </c>
      <c r="Q3813" s="75">
        <v>0</v>
      </c>
      <c r="R3813" s="75">
        <v>0</v>
      </c>
      <c r="S3813" s="75">
        <v>0</v>
      </c>
      <c r="T3813" s="75">
        <v>0</v>
      </c>
      <c r="U3813" s="75">
        <v>0</v>
      </c>
      <c r="V3813" s="75">
        <v>0</v>
      </c>
      <c r="W3813" s="78">
        <v>0</v>
      </c>
    </row>
    <row r="3814" spans="1:23" s="75" customFormat="1" hidden="1" x14ac:dyDescent="0.35">
      <c r="A3814" s="75">
        <v>3810</v>
      </c>
      <c r="B3814" s="75">
        <v>3811</v>
      </c>
      <c r="C3814">
        <v>146.03711340000001</v>
      </c>
      <c r="D3814">
        <v>-17.498544290000002</v>
      </c>
      <c r="F3814" s="75" t="str">
        <f>HYPERLINK("E:\Data From Lucan\2024\Johnstone\Frames_for_Analysis\3811_20240610_0005_L_1639.jpg","3811_20240610_0005_L_1639.jpg")</f>
        <v>3811_20240610_0005_L_1639.jpg</v>
      </c>
      <c r="G3814" s="75">
        <v>5</v>
      </c>
      <c r="I3814">
        <f t="shared" si="59"/>
        <v>0</v>
      </c>
      <c r="J3814" s="75">
        <v>0</v>
      </c>
      <c r="O3814" s="75">
        <v>1</v>
      </c>
      <c r="P3814" s="75">
        <v>0</v>
      </c>
      <c r="Q3814" s="75">
        <v>0</v>
      </c>
      <c r="R3814" s="75">
        <v>0</v>
      </c>
      <c r="S3814" s="75">
        <v>0</v>
      </c>
      <c r="T3814" s="75">
        <v>0</v>
      </c>
      <c r="U3814" s="75">
        <v>0</v>
      </c>
      <c r="V3814" s="75">
        <v>0</v>
      </c>
      <c r="W3814" s="78">
        <v>0</v>
      </c>
    </row>
    <row r="3815" spans="1:23" s="75" customFormat="1" hidden="1" x14ac:dyDescent="0.35">
      <c r="A3815" s="75">
        <v>3811</v>
      </c>
      <c r="B3815" s="75">
        <v>3812</v>
      </c>
      <c r="C3815">
        <v>146.037105</v>
      </c>
      <c r="D3815">
        <v>-17.49863822</v>
      </c>
      <c r="F3815" s="75" t="str">
        <f>HYPERLINK("E:\Data From Lucan\2024\Johnstone\Frames_for_Analysis\3812_20240610_0005_L_1641.jpg","3812_20240610_0005_L_1641.jpg")</f>
        <v>3812_20240610_0005_L_1641.jpg</v>
      </c>
      <c r="G3815" s="75">
        <v>5</v>
      </c>
      <c r="I3815">
        <f t="shared" si="59"/>
        <v>0</v>
      </c>
      <c r="J3815" s="75">
        <v>0</v>
      </c>
      <c r="O3815" s="75">
        <v>1</v>
      </c>
      <c r="P3815" s="75">
        <v>0</v>
      </c>
      <c r="Q3815" s="75">
        <v>0</v>
      </c>
      <c r="R3815" s="75">
        <v>0</v>
      </c>
      <c r="S3815" s="75">
        <v>0</v>
      </c>
      <c r="T3815" s="75">
        <v>0</v>
      </c>
      <c r="U3815" s="75">
        <v>0</v>
      </c>
      <c r="V3815" s="75">
        <v>1</v>
      </c>
      <c r="W3815" s="78">
        <v>0</v>
      </c>
    </row>
    <row r="3816" spans="1:23" s="75" customFormat="1" hidden="1" x14ac:dyDescent="0.35">
      <c r="A3816" s="75">
        <v>3812</v>
      </c>
      <c r="B3816" s="75">
        <v>3813</v>
      </c>
      <c r="C3816">
        <v>146.03710219999999</v>
      </c>
      <c r="D3816">
        <v>-17.49873195</v>
      </c>
      <c r="F3816" s="75" t="str">
        <f>HYPERLINK("E:\Data From Lucan\2024\Johnstone\Frames_for_Analysis\3813_20240610_0005_L_1644.jpg","3813_20240610_0005_L_1644.jpg")</f>
        <v>3813_20240610_0005_L_1644.jpg</v>
      </c>
      <c r="G3816" s="75">
        <v>5</v>
      </c>
      <c r="I3816">
        <f t="shared" si="59"/>
        <v>0</v>
      </c>
      <c r="J3816" s="75">
        <v>0</v>
      </c>
      <c r="O3816" s="75">
        <v>1</v>
      </c>
      <c r="P3816" s="75">
        <v>0</v>
      </c>
      <c r="Q3816" s="75">
        <v>0</v>
      </c>
      <c r="R3816" s="75">
        <v>0</v>
      </c>
      <c r="S3816" s="75">
        <v>0</v>
      </c>
      <c r="T3816" s="75">
        <v>0</v>
      </c>
      <c r="U3816" s="75">
        <v>0</v>
      </c>
      <c r="V3816" s="75">
        <v>0</v>
      </c>
      <c r="W3816" s="78">
        <v>0</v>
      </c>
    </row>
    <row r="3817" spans="1:23" s="75" customFormat="1" hidden="1" x14ac:dyDescent="0.35">
      <c r="A3817" s="75">
        <v>3813</v>
      </c>
      <c r="B3817" s="75">
        <v>3814</v>
      </c>
      <c r="C3817">
        <v>146.0371169</v>
      </c>
      <c r="D3817">
        <v>-17.498825100000001</v>
      </c>
      <c r="F3817" s="75" t="str">
        <f>HYPERLINK("E:\Data From Lucan\2024\Johnstone\Frames_for_Analysis\3814_20240610_0005_L_1647.jpg","3814_20240610_0005_L_1647.jpg")</f>
        <v>3814_20240610_0005_L_1647.jpg</v>
      </c>
      <c r="G3817" s="75">
        <v>5</v>
      </c>
      <c r="I3817">
        <f t="shared" si="59"/>
        <v>0</v>
      </c>
      <c r="J3817" s="75">
        <v>0</v>
      </c>
      <c r="O3817" s="75">
        <v>1</v>
      </c>
      <c r="P3817" s="75">
        <v>0</v>
      </c>
      <c r="Q3817" s="75">
        <v>0</v>
      </c>
      <c r="R3817" s="75">
        <v>0</v>
      </c>
      <c r="S3817" s="75">
        <v>0</v>
      </c>
      <c r="T3817" s="75">
        <v>0</v>
      </c>
      <c r="U3817" s="75">
        <v>0</v>
      </c>
      <c r="V3817" s="75">
        <v>0</v>
      </c>
      <c r="W3817" s="78">
        <v>0</v>
      </c>
    </row>
    <row r="3818" spans="1:23" s="75" customFormat="1" hidden="1" x14ac:dyDescent="0.35">
      <c r="A3818" s="75">
        <v>3814</v>
      </c>
      <c r="B3818" s="75">
        <v>3815</v>
      </c>
      <c r="C3818">
        <v>146.03713160000001</v>
      </c>
      <c r="D3818">
        <v>-17.498918239999998</v>
      </c>
      <c r="F3818" s="75" t="str">
        <f>HYPERLINK("E:\Data From Lucan\2024\Johnstone\Frames_for_Analysis\3815_20240610_0005_L_1652.jpg","3815_20240610_0005_L_1652.jpg")</f>
        <v>3815_20240610_0005_L_1652.jpg</v>
      </c>
      <c r="G3818" s="75">
        <v>5</v>
      </c>
      <c r="I3818">
        <f t="shared" si="59"/>
        <v>0</v>
      </c>
      <c r="J3818" s="75">
        <v>0</v>
      </c>
      <c r="O3818" s="75">
        <v>1</v>
      </c>
      <c r="P3818" s="75">
        <v>0</v>
      </c>
      <c r="Q3818" s="75">
        <v>0</v>
      </c>
      <c r="R3818" s="75">
        <v>0</v>
      </c>
      <c r="S3818" s="75">
        <v>0</v>
      </c>
      <c r="T3818" s="75">
        <v>0</v>
      </c>
      <c r="U3818" s="75">
        <v>0</v>
      </c>
      <c r="V3818" s="75">
        <v>0</v>
      </c>
      <c r="W3818" s="78">
        <v>0</v>
      </c>
    </row>
    <row r="3819" spans="1:23" s="75" customFormat="1" hidden="1" x14ac:dyDescent="0.35">
      <c r="A3819" s="75">
        <v>3815</v>
      </c>
      <c r="B3819" s="75">
        <v>3816</v>
      </c>
      <c r="C3819">
        <v>146.03714640000001</v>
      </c>
      <c r="D3819">
        <v>-17.499011379999999</v>
      </c>
      <c r="F3819" s="75" t="str">
        <f>HYPERLINK("E:\Data From Lucan\2024\Johnstone\Frames_for_Analysis\3816_20240610_0005_L_1657.jpg","3816_20240610_0005_L_1657.jpg")</f>
        <v>3816_20240610_0005_L_1657.jpg</v>
      </c>
      <c r="G3819" s="75">
        <v>5</v>
      </c>
      <c r="I3819">
        <f t="shared" si="59"/>
        <v>0</v>
      </c>
      <c r="J3819" s="75">
        <v>0</v>
      </c>
      <c r="O3819" s="75">
        <v>2</v>
      </c>
      <c r="P3819" s="75">
        <v>0</v>
      </c>
      <c r="Q3819" s="75">
        <v>0</v>
      </c>
      <c r="R3819" s="75">
        <v>0</v>
      </c>
      <c r="S3819" s="75">
        <v>0</v>
      </c>
      <c r="T3819" s="75">
        <v>0</v>
      </c>
      <c r="U3819" s="75">
        <v>0</v>
      </c>
      <c r="V3819" s="75">
        <v>0</v>
      </c>
      <c r="W3819" s="78">
        <v>1</v>
      </c>
    </row>
    <row r="3820" spans="1:23" s="75" customFormat="1" hidden="1" x14ac:dyDescent="0.35">
      <c r="A3820" s="75">
        <v>3816</v>
      </c>
      <c r="B3820" s="75">
        <v>3817</v>
      </c>
      <c r="C3820">
        <v>146.03716220000001</v>
      </c>
      <c r="D3820">
        <v>-17.499104289999998</v>
      </c>
      <c r="F3820" s="75" t="str">
        <f>HYPERLINK("E:\Data From Lucan\2024\Johnstone\Frames_for_Analysis\3817_20240610_0005_L_1660.jpg","3817_20240610_0005_L_1660.jpg")</f>
        <v>3817_20240610_0005_L_1660.jpg</v>
      </c>
      <c r="G3820" s="75">
        <v>5</v>
      </c>
      <c r="I3820">
        <f t="shared" si="59"/>
        <v>0</v>
      </c>
      <c r="J3820" s="75">
        <v>0</v>
      </c>
      <c r="O3820" s="75">
        <v>2</v>
      </c>
      <c r="P3820" s="75">
        <v>0</v>
      </c>
      <c r="Q3820" s="75">
        <v>0</v>
      </c>
      <c r="R3820" s="75">
        <v>0</v>
      </c>
      <c r="S3820" s="75">
        <v>0</v>
      </c>
      <c r="T3820" s="75">
        <v>0</v>
      </c>
      <c r="U3820" s="75">
        <v>0</v>
      </c>
      <c r="V3820" s="75">
        <v>0</v>
      </c>
      <c r="W3820" s="78">
        <v>1</v>
      </c>
    </row>
    <row r="3821" spans="1:23" s="75" customFormat="1" hidden="1" x14ac:dyDescent="0.35">
      <c r="A3821" s="75">
        <v>3817</v>
      </c>
      <c r="B3821" s="75">
        <v>3818</v>
      </c>
      <c r="C3821">
        <v>146.03718989999999</v>
      </c>
      <c r="D3821">
        <v>-17.499194410000001</v>
      </c>
      <c r="F3821" s="75" t="str">
        <f>HYPERLINK("E:\Data From Lucan\2024\Johnstone\Frames_for_Analysis\3818_20240610_0005_L_1662.jpg","3818_20240610_0005_L_1662.jpg")</f>
        <v>3818_20240610_0005_L_1662.jpg</v>
      </c>
      <c r="G3821" s="75">
        <v>5</v>
      </c>
      <c r="I3821">
        <f t="shared" si="59"/>
        <v>0</v>
      </c>
      <c r="J3821" s="75">
        <v>0</v>
      </c>
      <c r="O3821" s="75">
        <v>2</v>
      </c>
      <c r="P3821" s="75">
        <v>0</v>
      </c>
      <c r="Q3821" s="75">
        <v>0</v>
      </c>
      <c r="R3821" s="75">
        <v>0</v>
      </c>
      <c r="S3821" s="75">
        <v>0</v>
      </c>
      <c r="T3821" s="75">
        <v>0</v>
      </c>
      <c r="U3821" s="75">
        <v>0</v>
      </c>
      <c r="V3821" s="75">
        <v>0</v>
      </c>
      <c r="W3821" s="78">
        <v>1</v>
      </c>
    </row>
    <row r="3822" spans="1:23" s="75" customFormat="1" hidden="1" x14ac:dyDescent="0.35">
      <c r="A3822" s="75">
        <v>3818</v>
      </c>
      <c r="B3822" s="75">
        <v>3819</v>
      </c>
      <c r="C3822">
        <v>146.03721770000001</v>
      </c>
      <c r="D3822">
        <v>-17.499284530000001</v>
      </c>
      <c r="F3822" s="75" t="str">
        <f>HYPERLINK("E:\Data From Lucan\2024\Johnstone\Frames_for_Analysis\3819_20240610_0005_L_1665.jpg","3819_20240610_0005_L_1665.jpg")</f>
        <v>3819_20240610_0005_L_1665.jpg</v>
      </c>
      <c r="G3822" s="75">
        <v>5</v>
      </c>
      <c r="I3822">
        <f t="shared" si="59"/>
        <v>0</v>
      </c>
      <c r="J3822" s="75">
        <v>0</v>
      </c>
      <c r="O3822" s="75">
        <v>2</v>
      </c>
      <c r="P3822" s="75">
        <v>0</v>
      </c>
      <c r="Q3822" s="75">
        <v>0</v>
      </c>
      <c r="R3822" s="75">
        <v>0</v>
      </c>
      <c r="S3822" s="75">
        <v>0</v>
      </c>
      <c r="T3822" s="75">
        <v>0</v>
      </c>
      <c r="U3822" s="75">
        <v>0</v>
      </c>
      <c r="V3822" s="75">
        <v>0</v>
      </c>
      <c r="W3822" s="78">
        <v>1</v>
      </c>
    </row>
    <row r="3823" spans="1:23" s="75" customFormat="1" hidden="1" x14ac:dyDescent="0.35">
      <c r="A3823" s="75">
        <v>3819</v>
      </c>
      <c r="B3823" s="75">
        <v>3820</v>
      </c>
      <c r="C3823">
        <v>146.03724550000001</v>
      </c>
      <c r="D3823">
        <v>-17.49937465</v>
      </c>
      <c r="F3823" s="75" t="str">
        <f>HYPERLINK("E:\Data From Lucan\2024\Johnstone\Frames_for_Analysis\3820_20240610_0005_L_1668.jpg","3820_20240610_0005_L_1668.jpg")</f>
        <v>3820_20240610_0005_L_1668.jpg</v>
      </c>
      <c r="G3823" s="75">
        <v>5</v>
      </c>
      <c r="I3823">
        <f t="shared" si="59"/>
        <v>0</v>
      </c>
      <c r="J3823" s="75">
        <v>0</v>
      </c>
      <c r="O3823" s="75">
        <v>2</v>
      </c>
      <c r="P3823" s="75">
        <v>0</v>
      </c>
      <c r="Q3823" s="75">
        <v>0</v>
      </c>
      <c r="R3823" s="75">
        <v>0</v>
      </c>
      <c r="S3823" s="75">
        <v>0</v>
      </c>
      <c r="T3823" s="75">
        <v>0</v>
      </c>
      <c r="U3823" s="75">
        <v>0</v>
      </c>
      <c r="V3823" s="75">
        <v>0</v>
      </c>
      <c r="W3823" s="78">
        <v>1</v>
      </c>
    </row>
    <row r="3824" spans="1:23" s="75" customFormat="1" hidden="1" x14ac:dyDescent="0.35">
      <c r="A3824" s="75">
        <v>3820</v>
      </c>
      <c r="B3824" s="75">
        <v>3821</v>
      </c>
      <c r="C3824">
        <v>146.0372821</v>
      </c>
      <c r="D3824">
        <v>-17.499461069999999</v>
      </c>
      <c r="F3824" s="75" t="str">
        <f>HYPERLINK("E:\Data From Lucan\2024\Johnstone\Frames_for_Analysis\3821_20240610_0005_L_1670.jpg","3821_20240610_0005_L_1670.jpg")</f>
        <v>3821_20240610_0005_L_1670.jpg</v>
      </c>
      <c r="G3824" s="75">
        <v>5</v>
      </c>
      <c r="I3824">
        <f t="shared" si="59"/>
        <v>0</v>
      </c>
      <c r="J3824" s="75">
        <v>0</v>
      </c>
      <c r="O3824" s="75">
        <v>1</v>
      </c>
      <c r="P3824" s="75">
        <v>0</v>
      </c>
      <c r="Q3824" s="75">
        <v>0</v>
      </c>
      <c r="R3824" s="75">
        <v>0</v>
      </c>
      <c r="S3824" s="75">
        <v>0</v>
      </c>
      <c r="T3824" s="75">
        <v>0</v>
      </c>
      <c r="U3824" s="75">
        <v>0</v>
      </c>
      <c r="V3824" s="75">
        <v>0</v>
      </c>
      <c r="W3824" s="78">
        <v>0</v>
      </c>
    </row>
    <row r="3825" spans="1:23" s="75" customFormat="1" hidden="1" x14ac:dyDescent="0.35">
      <c r="A3825" s="75">
        <v>3821</v>
      </c>
      <c r="B3825" s="75">
        <v>3822</v>
      </c>
      <c r="C3825">
        <v>146.0373214</v>
      </c>
      <c r="D3825">
        <v>-17.49954675</v>
      </c>
      <c r="F3825" s="75" t="str">
        <f>HYPERLINK("E:\Data From Lucan\2024\Johnstone\Frames_for_Analysis\3822_20240610_0005_L_1673.jpg","3822_20240610_0005_L_1673.jpg")</f>
        <v>3822_20240610_0005_L_1673.jpg</v>
      </c>
      <c r="G3825" s="75">
        <v>5</v>
      </c>
      <c r="I3825">
        <f t="shared" si="59"/>
        <v>0</v>
      </c>
      <c r="J3825" s="75">
        <v>0</v>
      </c>
      <c r="O3825" s="75">
        <v>1</v>
      </c>
      <c r="P3825" s="75">
        <v>0</v>
      </c>
      <c r="Q3825" s="75">
        <v>0</v>
      </c>
      <c r="R3825" s="75">
        <v>0</v>
      </c>
      <c r="S3825" s="75">
        <v>0</v>
      </c>
      <c r="T3825" s="75">
        <v>0</v>
      </c>
      <c r="U3825" s="75">
        <v>0</v>
      </c>
      <c r="V3825" s="75">
        <v>0</v>
      </c>
      <c r="W3825" s="78">
        <v>0</v>
      </c>
    </row>
    <row r="3826" spans="1:23" s="75" customFormat="1" hidden="1" x14ac:dyDescent="0.35">
      <c r="A3826" s="75">
        <v>3822</v>
      </c>
      <c r="B3826" s="75">
        <v>3823</v>
      </c>
      <c r="C3826">
        <v>146.0373596</v>
      </c>
      <c r="D3826">
        <v>-17.49963296</v>
      </c>
      <c r="F3826" s="75" t="str">
        <f>HYPERLINK("E:\Data From Lucan\2024\Johnstone\Frames_for_Analysis\3823_20240610_0005_L_1676.jpg","3823_20240610_0005_L_1676.jpg")</f>
        <v>3823_20240610_0005_L_1676.jpg</v>
      </c>
      <c r="G3826" s="75">
        <v>5</v>
      </c>
      <c r="I3826">
        <f t="shared" si="59"/>
        <v>0</v>
      </c>
      <c r="J3826" s="75">
        <v>0</v>
      </c>
      <c r="O3826" s="75">
        <v>1</v>
      </c>
      <c r="P3826" s="75">
        <v>0</v>
      </c>
      <c r="Q3826" s="75">
        <v>0</v>
      </c>
      <c r="R3826" s="75">
        <v>0</v>
      </c>
      <c r="S3826" s="75">
        <v>0</v>
      </c>
      <c r="T3826" s="75">
        <v>0</v>
      </c>
      <c r="U3826" s="75">
        <v>0</v>
      </c>
      <c r="V3826" s="75">
        <v>0</v>
      </c>
      <c r="W3826" s="78">
        <v>0</v>
      </c>
    </row>
    <row r="3827" spans="1:23" s="75" customFormat="1" hidden="1" x14ac:dyDescent="0.35">
      <c r="A3827" s="75">
        <v>3823</v>
      </c>
      <c r="B3827" s="75">
        <v>3824</v>
      </c>
      <c r="C3827">
        <v>146.03740160000001</v>
      </c>
      <c r="D3827">
        <v>-17.49971742</v>
      </c>
      <c r="F3827" s="75" t="str">
        <f>HYPERLINK("E:\Data From Lucan\2024\Johnstone\Frames_for_Analysis\3824_20240610_0005_L_1679.jpg","3824_20240610_0005_L_1679.jpg")</f>
        <v>3824_20240610_0005_L_1679.jpg</v>
      </c>
      <c r="G3827" s="75">
        <v>5</v>
      </c>
      <c r="I3827">
        <f t="shared" si="59"/>
        <v>0</v>
      </c>
      <c r="J3827" s="75">
        <v>0</v>
      </c>
      <c r="O3827" s="75">
        <v>1</v>
      </c>
      <c r="P3827" s="75">
        <v>0</v>
      </c>
      <c r="Q3827" s="75">
        <v>0</v>
      </c>
      <c r="R3827" s="75">
        <v>0</v>
      </c>
      <c r="S3827" s="75">
        <v>0</v>
      </c>
      <c r="T3827" s="75">
        <v>0</v>
      </c>
      <c r="U3827" s="75">
        <v>0</v>
      </c>
      <c r="V3827" s="75">
        <v>0</v>
      </c>
      <c r="W3827" s="78">
        <v>0</v>
      </c>
    </row>
    <row r="3828" spans="1:23" s="75" customFormat="1" hidden="1" x14ac:dyDescent="0.35">
      <c r="A3828" s="75">
        <v>3824</v>
      </c>
      <c r="B3828" s="75">
        <v>3825</v>
      </c>
      <c r="C3828">
        <v>146.03745180000001</v>
      </c>
      <c r="D3828">
        <v>-17.499797139999998</v>
      </c>
      <c r="F3828" s="75" t="str">
        <f>HYPERLINK("E:\Data From Lucan\2024\Johnstone\Frames_for_Analysis\3825_20240610_0005_L_1682.jpg","3825_20240610_0005_L_1682.jpg")</f>
        <v>3825_20240610_0005_L_1682.jpg</v>
      </c>
      <c r="G3828" s="75">
        <v>5</v>
      </c>
      <c r="I3828">
        <f t="shared" si="59"/>
        <v>0</v>
      </c>
      <c r="J3828" s="75">
        <v>0</v>
      </c>
      <c r="O3828" s="75">
        <v>1</v>
      </c>
      <c r="P3828" s="75">
        <v>0</v>
      </c>
      <c r="Q3828" s="75">
        <v>0</v>
      </c>
      <c r="R3828" s="75">
        <v>0</v>
      </c>
      <c r="S3828" s="75">
        <v>0</v>
      </c>
      <c r="T3828" s="75">
        <v>0</v>
      </c>
      <c r="U3828" s="75">
        <v>0</v>
      </c>
      <c r="V3828" s="75">
        <v>0</v>
      </c>
      <c r="W3828" s="78">
        <v>0</v>
      </c>
    </row>
    <row r="3829" spans="1:23" s="75" customFormat="1" hidden="1" x14ac:dyDescent="0.35">
      <c r="A3829" s="75">
        <v>3825</v>
      </c>
      <c r="B3829" s="75">
        <v>3826</v>
      </c>
      <c r="C3829">
        <v>146.03750629999999</v>
      </c>
      <c r="D3829">
        <v>-17.499874089999999</v>
      </c>
      <c r="F3829" s="75" t="str">
        <f>HYPERLINK("E:\Data From Lucan\2024\Johnstone\Frames_for_Analysis\3826_20240610_0005_L_1684.jpg","3826_20240610_0005_L_1684.jpg")</f>
        <v>3826_20240610_0005_L_1684.jpg</v>
      </c>
      <c r="G3829" s="75">
        <v>5</v>
      </c>
      <c r="I3829">
        <f t="shared" si="59"/>
        <v>0</v>
      </c>
      <c r="J3829" s="75">
        <v>0</v>
      </c>
      <c r="O3829" s="75">
        <v>1</v>
      </c>
      <c r="P3829" s="75">
        <v>0</v>
      </c>
      <c r="Q3829" s="75">
        <v>0</v>
      </c>
      <c r="R3829" s="75">
        <v>0</v>
      </c>
      <c r="S3829" s="75">
        <v>0</v>
      </c>
      <c r="T3829" s="75">
        <v>0</v>
      </c>
      <c r="U3829" s="75">
        <v>0</v>
      </c>
      <c r="V3829" s="75">
        <v>0</v>
      </c>
      <c r="W3829" s="78">
        <v>0</v>
      </c>
    </row>
    <row r="3830" spans="1:23" s="75" customFormat="1" hidden="1" x14ac:dyDescent="0.35">
      <c r="A3830" s="75">
        <v>3826</v>
      </c>
      <c r="B3830" s="75">
        <v>3827</v>
      </c>
      <c r="C3830">
        <v>146.03755699999999</v>
      </c>
      <c r="D3830">
        <v>-17.499952950000001</v>
      </c>
      <c r="F3830" s="75" t="str">
        <f>HYPERLINK("E:\Data From Lucan\2024\Johnstone\Frames_for_Analysis\3827_20240610_0005_L_1687.jpg","3827_20240610_0005_L_1687.jpg")</f>
        <v>3827_20240610_0005_L_1687.jpg</v>
      </c>
      <c r="G3830" s="75">
        <v>5</v>
      </c>
      <c r="I3830">
        <f t="shared" si="59"/>
        <v>0</v>
      </c>
      <c r="J3830" s="75">
        <v>0</v>
      </c>
      <c r="O3830" s="75">
        <v>1</v>
      </c>
      <c r="P3830" s="75">
        <v>0</v>
      </c>
      <c r="Q3830" s="75">
        <v>0</v>
      </c>
      <c r="R3830" s="75">
        <v>0</v>
      </c>
      <c r="S3830" s="75">
        <v>0</v>
      </c>
      <c r="T3830" s="75">
        <v>0</v>
      </c>
      <c r="U3830" s="75">
        <v>0</v>
      </c>
      <c r="V3830" s="75">
        <v>0</v>
      </c>
      <c r="W3830" s="78">
        <v>0</v>
      </c>
    </row>
    <row r="3831" spans="1:23" s="75" customFormat="1" hidden="1" x14ac:dyDescent="0.35">
      <c r="A3831" s="75">
        <v>3827</v>
      </c>
      <c r="B3831" s="75">
        <v>3828</v>
      </c>
      <c r="C3831">
        <v>146.03759199999999</v>
      </c>
      <c r="D3831">
        <v>-17.500040519999999</v>
      </c>
      <c r="F3831" s="75" t="str">
        <f>HYPERLINK("E:\Data From Lucan\2024\Johnstone\Frames_for_Analysis\3828_20240610_0005_L_1689.jpg","3828_20240610_0005_L_1689.jpg")</f>
        <v>3828_20240610_0005_L_1689.jpg</v>
      </c>
      <c r="G3831" s="75">
        <v>5</v>
      </c>
      <c r="I3831">
        <f t="shared" si="59"/>
        <v>0</v>
      </c>
      <c r="J3831" s="75">
        <v>0</v>
      </c>
      <c r="O3831" s="75">
        <v>1</v>
      </c>
      <c r="P3831" s="75">
        <v>0</v>
      </c>
      <c r="Q3831" s="75">
        <v>0</v>
      </c>
      <c r="R3831" s="75">
        <v>0</v>
      </c>
      <c r="S3831" s="75">
        <v>0</v>
      </c>
      <c r="T3831" s="75">
        <v>0</v>
      </c>
      <c r="U3831" s="75">
        <v>0</v>
      </c>
      <c r="V3831" s="75">
        <v>0</v>
      </c>
      <c r="W3831" s="78">
        <v>0</v>
      </c>
    </row>
    <row r="3832" spans="1:23" s="75" customFormat="1" hidden="1" x14ac:dyDescent="0.35">
      <c r="A3832" s="75">
        <v>3828</v>
      </c>
      <c r="B3832" s="75">
        <v>3829</v>
      </c>
      <c r="C3832">
        <v>146.03762499999999</v>
      </c>
      <c r="D3832">
        <v>-17.500128780000001</v>
      </c>
      <c r="F3832" s="75" t="str">
        <f>HYPERLINK("E:\Data From Lucan\2024\Johnstone\Frames_for_Analysis\3829_20240610_0005_L_1692.jpg","3829_20240610_0005_L_1692.jpg")</f>
        <v>3829_20240610_0005_L_1692.jpg</v>
      </c>
      <c r="G3832" s="75">
        <v>5</v>
      </c>
      <c r="I3832">
        <f t="shared" si="59"/>
        <v>0</v>
      </c>
      <c r="J3832" s="75">
        <v>0</v>
      </c>
      <c r="O3832" s="75">
        <v>1</v>
      </c>
      <c r="P3832" s="75">
        <v>0</v>
      </c>
      <c r="Q3832" s="75">
        <v>0</v>
      </c>
      <c r="R3832" s="75">
        <v>0</v>
      </c>
      <c r="S3832" s="75">
        <v>0</v>
      </c>
      <c r="T3832" s="75">
        <v>0</v>
      </c>
      <c r="U3832" s="75">
        <v>0</v>
      </c>
      <c r="V3832" s="75">
        <v>0</v>
      </c>
      <c r="W3832" s="78">
        <v>0</v>
      </c>
    </row>
    <row r="3833" spans="1:23" s="75" customFormat="1" hidden="1" x14ac:dyDescent="0.35">
      <c r="A3833" s="75">
        <v>3829</v>
      </c>
      <c r="B3833" s="75">
        <v>3830</v>
      </c>
      <c r="C3833">
        <v>146.03765089999999</v>
      </c>
      <c r="D3833">
        <v>-17.500219439999999</v>
      </c>
      <c r="F3833" s="75" t="str">
        <f>HYPERLINK("E:\Data From Lucan\2024\Johnstone\Frames_for_Analysis\3830_20240610_0005_L_1695.jpg","3830_20240610_0005_L_1695.jpg")</f>
        <v>3830_20240610_0005_L_1695.jpg</v>
      </c>
      <c r="G3833" s="75">
        <v>5</v>
      </c>
      <c r="I3833">
        <f t="shared" si="59"/>
        <v>0</v>
      </c>
      <c r="J3833" s="75">
        <v>0</v>
      </c>
      <c r="O3833" s="75">
        <v>1</v>
      </c>
      <c r="P3833" s="75">
        <v>0</v>
      </c>
      <c r="Q3833" s="75">
        <v>0</v>
      </c>
      <c r="R3833" s="75">
        <v>0</v>
      </c>
      <c r="S3833" s="75">
        <v>0</v>
      </c>
      <c r="T3833" s="75">
        <v>0</v>
      </c>
      <c r="U3833" s="75">
        <v>0</v>
      </c>
      <c r="V3833" s="75">
        <v>0</v>
      </c>
      <c r="W3833" s="78">
        <v>0</v>
      </c>
    </row>
    <row r="3834" spans="1:23" s="75" customFormat="1" hidden="1" x14ac:dyDescent="0.35">
      <c r="A3834" s="75">
        <v>3830</v>
      </c>
      <c r="B3834" s="75">
        <v>3831</v>
      </c>
      <c r="C3834">
        <v>146.03767690000001</v>
      </c>
      <c r="D3834">
        <v>-17.500310110000001</v>
      </c>
      <c r="F3834" s="75" t="str">
        <f>HYPERLINK("E:\Data From Lucan\2024\Johnstone\Frames_for_Analysis\3831_20240610_0005_L_1697.jpg","3831_20240610_0005_L_1697.jpg")</f>
        <v>3831_20240610_0005_L_1697.jpg</v>
      </c>
      <c r="G3834" s="75">
        <v>5</v>
      </c>
      <c r="I3834">
        <f t="shared" si="59"/>
        <v>0</v>
      </c>
      <c r="J3834" s="75">
        <v>0</v>
      </c>
      <c r="O3834" s="75">
        <v>1</v>
      </c>
      <c r="P3834" s="75">
        <v>0</v>
      </c>
      <c r="Q3834" s="75">
        <v>0</v>
      </c>
      <c r="R3834" s="75">
        <v>0</v>
      </c>
      <c r="S3834" s="75">
        <v>0</v>
      </c>
      <c r="T3834" s="75">
        <v>0</v>
      </c>
      <c r="U3834" s="75">
        <v>0</v>
      </c>
      <c r="V3834" s="75">
        <v>0</v>
      </c>
      <c r="W3834" s="78">
        <v>0</v>
      </c>
    </row>
    <row r="3835" spans="1:23" s="75" customFormat="1" hidden="1" x14ac:dyDescent="0.35">
      <c r="A3835" s="75">
        <v>3831</v>
      </c>
      <c r="B3835" s="75">
        <v>3832</v>
      </c>
      <c r="C3835">
        <v>146.0377039</v>
      </c>
      <c r="D3835">
        <v>-17.500400370000001</v>
      </c>
      <c r="F3835" s="75" t="str">
        <f>HYPERLINK("E:\Data From Lucan\2024\Johnstone\Frames_for_Analysis\3832_20240610_0005_L_1699.jpg","3832_20240610_0005_L_1699.jpg")</f>
        <v>3832_20240610_0005_L_1699.jpg</v>
      </c>
      <c r="G3835" s="75">
        <v>5</v>
      </c>
      <c r="I3835">
        <f t="shared" si="59"/>
        <v>0</v>
      </c>
      <c r="J3835" s="75">
        <v>0</v>
      </c>
      <c r="O3835" s="75">
        <v>1</v>
      </c>
      <c r="P3835" s="75">
        <v>0</v>
      </c>
      <c r="Q3835" s="75">
        <v>0</v>
      </c>
      <c r="R3835" s="75">
        <v>0</v>
      </c>
      <c r="S3835" s="75">
        <v>0</v>
      </c>
      <c r="T3835" s="75">
        <v>0</v>
      </c>
      <c r="U3835" s="75">
        <v>0</v>
      </c>
      <c r="V3835" s="75">
        <v>0</v>
      </c>
      <c r="W3835" s="78">
        <v>0</v>
      </c>
    </row>
    <row r="3836" spans="1:23" s="75" customFormat="1" hidden="1" x14ac:dyDescent="0.35">
      <c r="A3836" s="75">
        <v>3832</v>
      </c>
      <c r="B3836" s="75">
        <v>3833</v>
      </c>
      <c r="C3836">
        <v>146.03774369999999</v>
      </c>
      <c r="D3836">
        <v>-17.500485860000001</v>
      </c>
      <c r="F3836" s="75" t="str">
        <f>HYPERLINK("E:\Data From Lucan\2024\Johnstone\Frames_for_Analysis\3833_20240610_0005_L_1702.jpg","3833_20240610_0005_L_1702.jpg")</f>
        <v>3833_20240610_0005_L_1702.jpg</v>
      </c>
      <c r="G3836" s="75">
        <v>5</v>
      </c>
      <c r="I3836">
        <f t="shared" si="59"/>
        <v>0</v>
      </c>
      <c r="J3836" s="75">
        <v>0</v>
      </c>
      <c r="O3836" s="75">
        <v>1</v>
      </c>
      <c r="P3836" s="75">
        <v>0</v>
      </c>
      <c r="Q3836" s="75">
        <v>0</v>
      </c>
      <c r="R3836" s="75">
        <v>0</v>
      </c>
      <c r="S3836" s="75">
        <v>0</v>
      </c>
      <c r="T3836" s="75">
        <v>0</v>
      </c>
      <c r="U3836" s="75">
        <v>0</v>
      </c>
      <c r="V3836" s="75">
        <v>1</v>
      </c>
      <c r="W3836" s="78">
        <v>0</v>
      </c>
    </row>
    <row r="3837" spans="1:23" s="75" customFormat="1" hidden="1" x14ac:dyDescent="0.35">
      <c r="A3837" s="75">
        <v>3833</v>
      </c>
      <c r="B3837" s="75">
        <v>3834</v>
      </c>
      <c r="C3837">
        <v>146.03778349999999</v>
      </c>
      <c r="D3837">
        <v>-17.50057134</v>
      </c>
      <c r="F3837" s="75" t="str">
        <f>HYPERLINK("E:\Data From Lucan\2024\Johnstone\Frames_for_Analysis\3834_20240610_0005_L_1704.jpg","3834_20240610_0005_L_1704.jpg")</f>
        <v>3834_20240610_0005_L_1704.jpg</v>
      </c>
      <c r="G3837" s="75">
        <v>5</v>
      </c>
      <c r="I3837">
        <f t="shared" si="59"/>
        <v>0</v>
      </c>
      <c r="J3837" s="75">
        <v>0</v>
      </c>
      <c r="O3837" s="75">
        <v>1</v>
      </c>
      <c r="P3837" s="75">
        <v>0</v>
      </c>
      <c r="Q3837" s="75">
        <v>0</v>
      </c>
      <c r="R3837" s="75">
        <v>0</v>
      </c>
      <c r="S3837" s="75">
        <v>0</v>
      </c>
      <c r="T3837" s="75">
        <v>0</v>
      </c>
      <c r="U3837" s="75">
        <v>0</v>
      </c>
      <c r="V3837" s="75">
        <v>1</v>
      </c>
      <c r="W3837" s="78">
        <v>0</v>
      </c>
    </row>
    <row r="3838" spans="1:23" s="75" customFormat="1" hidden="1" x14ac:dyDescent="0.35">
      <c r="A3838" s="75">
        <v>3834</v>
      </c>
      <c r="B3838" s="75">
        <v>3835</v>
      </c>
      <c r="C3838">
        <v>146.03782380000001</v>
      </c>
      <c r="D3838">
        <v>-17.50065661</v>
      </c>
      <c r="F3838" s="75" t="str">
        <f>HYPERLINK("E:\Data From Lucan\2024\Johnstone\Frames_for_Analysis\3835_20240610_0005_L_1706.jpg","3835_20240610_0005_L_1706.jpg")</f>
        <v>3835_20240610_0005_L_1706.jpg</v>
      </c>
      <c r="G3838" s="75">
        <v>5</v>
      </c>
      <c r="I3838">
        <f t="shared" si="59"/>
        <v>0</v>
      </c>
      <c r="J3838" s="75">
        <v>0</v>
      </c>
      <c r="O3838" s="75">
        <v>1</v>
      </c>
      <c r="P3838" s="75">
        <v>0</v>
      </c>
      <c r="Q3838" s="75">
        <v>0</v>
      </c>
      <c r="R3838" s="75">
        <v>0</v>
      </c>
      <c r="S3838" s="75">
        <v>0</v>
      </c>
      <c r="T3838" s="75">
        <v>0</v>
      </c>
      <c r="U3838" s="75">
        <v>0</v>
      </c>
      <c r="V3838" s="75">
        <v>1</v>
      </c>
      <c r="W3838" s="78">
        <v>0</v>
      </c>
    </row>
    <row r="3839" spans="1:23" s="75" customFormat="1" hidden="1" x14ac:dyDescent="0.35">
      <c r="A3839" s="75">
        <v>3835</v>
      </c>
      <c r="B3839" s="75">
        <v>3836</v>
      </c>
      <c r="C3839">
        <v>146.03786160000001</v>
      </c>
      <c r="D3839">
        <v>-17.500742880000001</v>
      </c>
      <c r="F3839" s="75" t="str">
        <f>HYPERLINK("E:\Data From Lucan\2024\Johnstone\Frames_for_Analysis\3836_20240610_0005_L_1709.jpg","3836_20240610_0005_L_1709.jpg")</f>
        <v>3836_20240610_0005_L_1709.jpg</v>
      </c>
      <c r="G3839" s="75">
        <v>5</v>
      </c>
      <c r="I3839">
        <f t="shared" si="59"/>
        <v>0</v>
      </c>
      <c r="J3839" s="75">
        <v>0</v>
      </c>
      <c r="O3839" s="75">
        <v>1</v>
      </c>
      <c r="P3839" s="75">
        <v>0</v>
      </c>
      <c r="Q3839" s="75">
        <v>0</v>
      </c>
      <c r="R3839" s="75">
        <v>0</v>
      </c>
      <c r="S3839" s="75">
        <v>0</v>
      </c>
      <c r="T3839" s="75">
        <v>0</v>
      </c>
      <c r="U3839" s="75">
        <v>0</v>
      </c>
      <c r="V3839" s="75">
        <v>1</v>
      </c>
      <c r="W3839" s="78">
        <v>0</v>
      </c>
    </row>
    <row r="3840" spans="1:23" s="75" customFormat="1" hidden="1" x14ac:dyDescent="0.35">
      <c r="A3840" s="75">
        <v>3836</v>
      </c>
      <c r="B3840" s="75">
        <v>3837</v>
      </c>
      <c r="C3840">
        <v>146.0378924</v>
      </c>
      <c r="D3840">
        <v>-17.500832030000002</v>
      </c>
      <c r="F3840" s="75" t="str">
        <f>HYPERLINK("E:\Data From Lucan\2024\Johnstone\Frames_for_Analysis\3837_20240610_0005_L_1711.jpg","3837_20240610_0005_L_1711.jpg")</f>
        <v>3837_20240610_0005_L_1711.jpg</v>
      </c>
      <c r="G3840" s="75">
        <v>5</v>
      </c>
      <c r="I3840">
        <f t="shared" si="59"/>
        <v>0</v>
      </c>
      <c r="J3840" s="75">
        <v>0</v>
      </c>
      <c r="O3840" s="75">
        <v>1</v>
      </c>
      <c r="P3840" s="75">
        <v>0</v>
      </c>
      <c r="Q3840" s="75">
        <v>0</v>
      </c>
      <c r="R3840" s="75">
        <v>0</v>
      </c>
      <c r="S3840" s="75">
        <v>0</v>
      </c>
      <c r="T3840" s="75">
        <v>0</v>
      </c>
      <c r="U3840" s="75">
        <v>0</v>
      </c>
      <c r="V3840" s="75">
        <v>1</v>
      </c>
      <c r="W3840" s="78">
        <v>0</v>
      </c>
    </row>
    <row r="3841" spans="1:23" s="75" customFormat="1" hidden="1" x14ac:dyDescent="0.35">
      <c r="A3841" s="75">
        <v>3837</v>
      </c>
      <c r="B3841" s="75">
        <v>3838</v>
      </c>
      <c r="C3841">
        <v>146.0379351</v>
      </c>
      <c r="D3841">
        <v>-17.500915760000002</v>
      </c>
      <c r="F3841" s="75" t="str">
        <f>HYPERLINK("E:\Data From Lucan\2024\Johnstone\Frames_for_Analysis\3838_20240610_0005_L_1714.jpg","3838_20240610_0005_L_1714.jpg")</f>
        <v>3838_20240610_0005_L_1714.jpg</v>
      </c>
      <c r="G3841" s="75">
        <v>5</v>
      </c>
      <c r="I3841">
        <f t="shared" si="59"/>
        <v>0</v>
      </c>
      <c r="J3841" s="75">
        <v>0</v>
      </c>
      <c r="O3841" s="75">
        <v>1</v>
      </c>
      <c r="P3841" s="75">
        <v>0</v>
      </c>
      <c r="Q3841" s="75">
        <v>0</v>
      </c>
      <c r="R3841" s="75">
        <v>0</v>
      </c>
      <c r="S3841" s="75">
        <v>0</v>
      </c>
      <c r="T3841" s="75">
        <v>0</v>
      </c>
      <c r="U3841" s="75">
        <v>0</v>
      </c>
      <c r="V3841" s="75">
        <v>0</v>
      </c>
      <c r="W3841" s="78">
        <v>0</v>
      </c>
    </row>
    <row r="3842" spans="1:23" s="75" customFormat="1" hidden="1" x14ac:dyDescent="0.35">
      <c r="A3842" s="75">
        <v>3838</v>
      </c>
      <c r="B3842" s="75">
        <v>3839</v>
      </c>
      <c r="C3842">
        <v>146.037982</v>
      </c>
      <c r="D3842">
        <v>-17.500997559999998</v>
      </c>
      <c r="F3842" s="75" t="str">
        <f>HYPERLINK("E:\Data From Lucan\2024\Johnstone\Frames_for_Analysis\3839_20240610_0005_L_1716.jpg","3839_20240610_0005_L_1716.jpg")</f>
        <v>3839_20240610_0005_L_1716.jpg</v>
      </c>
      <c r="G3842" s="75">
        <v>5</v>
      </c>
      <c r="I3842">
        <f t="shared" si="59"/>
        <v>0</v>
      </c>
      <c r="J3842" s="75">
        <v>0</v>
      </c>
      <c r="O3842" s="75">
        <v>1</v>
      </c>
      <c r="P3842" s="75">
        <v>0</v>
      </c>
      <c r="Q3842" s="75">
        <v>0</v>
      </c>
      <c r="R3842" s="75">
        <v>0</v>
      </c>
      <c r="S3842" s="75">
        <v>0</v>
      </c>
      <c r="T3842" s="75">
        <v>0</v>
      </c>
      <c r="U3842" s="75">
        <v>0</v>
      </c>
      <c r="V3842" s="75">
        <v>0</v>
      </c>
      <c r="W3842" s="78">
        <v>0</v>
      </c>
    </row>
    <row r="3843" spans="1:23" s="75" customFormat="1" hidden="1" x14ac:dyDescent="0.35">
      <c r="A3843" s="75">
        <v>3839</v>
      </c>
      <c r="B3843" s="75">
        <v>3840</v>
      </c>
      <c r="C3843">
        <v>146.0380289</v>
      </c>
      <c r="D3843">
        <v>-17.501079359999999</v>
      </c>
      <c r="F3843" s="75" t="str">
        <f>HYPERLINK("E:\Data From Lucan\2024\Johnstone\Frames_for_Analysis\3840_20240610_0005_L_1719.jpg","3840_20240610_0005_L_1719.jpg")</f>
        <v>3840_20240610_0005_L_1719.jpg</v>
      </c>
      <c r="G3843" s="75">
        <v>5</v>
      </c>
      <c r="I3843">
        <f t="shared" si="59"/>
        <v>0</v>
      </c>
      <c r="J3843" s="75">
        <v>0</v>
      </c>
      <c r="O3843" s="75">
        <v>1</v>
      </c>
      <c r="P3843" s="75">
        <v>0</v>
      </c>
      <c r="Q3843" s="75">
        <v>0</v>
      </c>
      <c r="R3843" s="75">
        <v>0</v>
      </c>
      <c r="S3843" s="75">
        <v>0</v>
      </c>
      <c r="T3843" s="75">
        <v>0</v>
      </c>
      <c r="U3843" s="75">
        <v>0</v>
      </c>
      <c r="V3843" s="75">
        <v>1</v>
      </c>
      <c r="W3843" s="78">
        <v>0</v>
      </c>
    </row>
    <row r="3844" spans="1:23" s="75" customFormat="1" hidden="1" x14ac:dyDescent="0.35">
      <c r="A3844" s="75">
        <v>3840</v>
      </c>
      <c r="B3844" s="75">
        <v>3841</v>
      </c>
      <c r="C3844">
        <v>146.03806259999999</v>
      </c>
      <c r="D3844">
        <v>-17.50116615</v>
      </c>
      <c r="F3844" s="75" t="str">
        <f>HYPERLINK("E:\Data From Lucan\2024\Johnstone\Frames_for_Analysis\3841_20240610_0005_L_1721.jpg","3841_20240610_0005_L_1721.jpg")</f>
        <v>3841_20240610_0005_L_1721.jpg</v>
      </c>
      <c r="G3844" s="75">
        <v>5</v>
      </c>
      <c r="I3844">
        <f t="shared" si="59"/>
        <v>0</v>
      </c>
      <c r="J3844" s="75">
        <v>0</v>
      </c>
      <c r="O3844" s="75">
        <v>1</v>
      </c>
      <c r="P3844" s="75">
        <v>0</v>
      </c>
      <c r="Q3844" s="75">
        <v>0</v>
      </c>
      <c r="R3844" s="75">
        <v>0</v>
      </c>
      <c r="S3844" s="75">
        <v>0</v>
      </c>
      <c r="T3844" s="75">
        <v>0</v>
      </c>
      <c r="U3844" s="75">
        <v>0</v>
      </c>
      <c r="V3844" s="75">
        <v>0</v>
      </c>
      <c r="W3844" s="78">
        <v>0</v>
      </c>
    </row>
    <row r="3845" spans="1:23" s="75" customFormat="1" hidden="1" x14ac:dyDescent="0.35">
      <c r="A3845" s="75">
        <v>3841</v>
      </c>
      <c r="B3845" s="75">
        <v>3842</v>
      </c>
      <c r="C3845">
        <v>146.03808119999999</v>
      </c>
      <c r="D3845">
        <v>-17.5012586</v>
      </c>
      <c r="F3845" s="75" t="str">
        <f>HYPERLINK("E:\Data From Lucan\2024\Johnstone\Frames_for_Analysis\3842_20240610_0005_L_1724.jpg","3842_20240610_0005_L_1724.jpg")</f>
        <v>3842_20240610_0005_L_1724.jpg</v>
      </c>
      <c r="G3845" s="75">
        <v>5</v>
      </c>
      <c r="I3845">
        <f t="shared" ref="I3845:I3908" si="60">IF(H3845="X","X",IF(J3845="NA","X",IF(J3845="","X",J3845)))</f>
        <v>0</v>
      </c>
      <c r="J3845" s="75">
        <v>0</v>
      </c>
      <c r="O3845" s="75">
        <v>1</v>
      </c>
      <c r="P3845" s="75">
        <v>0</v>
      </c>
      <c r="Q3845" s="75">
        <v>0</v>
      </c>
      <c r="R3845" s="75">
        <v>0</v>
      </c>
      <c r="S3845" s="75">
        <v>0</v>
      </c>
      <c r="T3845" s="75">
        <v>0</v>
      </c>
      <c r="U3845" s="75">
        <v>0</v>
      </c>
      <c r="V3845" s="75">
        <v>0</v>
      </c>
      <c r="W3845" s="78">
        <v>0</v>
      </c>
    </row>
    <row r="3846" spans="1:23" s="75" customFormat="1" hidden="1" x14ac:dyDescent="0.35">
      <c r="A3846" s="75">
        <v>3842</v>
      </c>
      <c r="B3846" s="75">
        <v>3843</v>
      </c>
      <c r="C3846">
        <v>146.03809989999999</v>
      </c>
      <c r="D3846">
        <v>-17.501351039999999</v>
      </c>
      <c r="F3846" s="75" t="str">
        <f>HYPERLINK("E:\Data From Lucan\2024\Johnstone\Frames_for_Analysis\3843_20240610_0005_L_1726.jpg","3843_20240610_0005_L_1726.jpg")</f>
        <v>3843_20240610_0005_L_1726.jpg</v>
      </c>
      <c r="G3846" s="75">
        <v>5</v>
      </c>
      <c r="I3846">
        <f t="shared" si="60"/>
        <v>0</v>
      </c>
      <c r="J3846" s="75">
        <v>0</v>
      </c>
      <c r="O3846" s="75">
        <v>1</v>
      </c>
      <c r="P3846" s="75">
        <v>0</v>
      </c>
      <c r="Q3846" s="75">
        <v>0</v>
      </c>
      <c r="R3846" s="75">
        <v>0</v>
      </c>
      <c r="S3846" s="75">
        <v>0</v>
      </c>
      <c r="T3846" s="75">
        <v>0</v>
      </c>
      <c r="U3846" s="75">
        <v>0</v>
      </c>
      <c r="V3846" s="75">
        <v>0</v>
      </c>
      <c r="W3846" s="78">
        <v>0</v>
      </c>
    </row>
    <row r="3847" spans="1:23" s="75" customFormat="1" hidden="1" x14ac:dyDescent="0.35">
      <c r="A3847" s="75">
        <v>3843</v>
      </c>
      <c r="B3847" s="75">
        <v>3844</v>
      </c>
      <c r="C3847">
        <v>146.0381185</v>
      </c>
      <c r="D3847">
        <v>-17.501443479999999</v>
      </c>
      <c r="F3847" s="75" t="str">
        <f>HYPERLINK("E:\Data From Lucan\2024\Johnstone\Frames_for_Analysis\3844_20240610_0005_L_1729.jpg","3844_20240610_0005_L_1729.jpg")</f>
        <v>3844_20240610_0005_L_1729.jpg</v>
      </c>
      <c r="G3847" s="75">
        <v>5</v>
      </c>
      <c r="I3847">
        <f t="shared" si="60"/>
        <v>0</v>
      </c>
      <c r="J3847" s="75">
        <v>0</v>
      </c>
      <c r="O3847" s="75">
        <v>1</v>
      </c>
      <c r="P3847" s="75">
        <v>0</v>
      </c>
      <c r="Q3847" s="75">
        <v>0</v>
      </c>
      <c r="R3847" s="75">
        <v>0</v>
      </c>
      <c r="S3847" s="75">
        <v>0</v>
      </c>
      <c r="T3847" s="75">
        <v>0</v>
      </c>
      <c r="U3847" s="75">
        <v>0</v>
      </c>
      <c r="V3847" s="75">
        <v>0</v>
      </c>
      <c r="W3847" s="78">
        <v>0</v>
      </c>
    </row>
    <row r="3848" spans="1:23" s="75" customFormat="1" hidden="1" x14ac:dyDescent="0.35">
      <c r="A3848" s="75">
        <v>3844</v>
      </c>
      <c r="B3848" s="75">
        <v>3845</v>
      </c>
      <c r="C3848">
        <v>146.03813099999999</v>
      </c>
      <c r="D3848">
        <v>-17.50153688</v>
      </c>
      <c r="F3848" s="75" t="str">
        <f>HYPERLINK("E:\Data From Lucan\2024\Johnstone\Frames_for_Analysis\3845_20240610_0005_L_1731.jpg","3845_20240610_0005_L_1731.jpg")</f>
        <v>3845_20240610_0005_L_1731.jpg</v>
      </c>
      <c r="G3848" s="75">
        <v>5</v>
      </c>
      <c r="I3848">
        <f t="shared" si="60"/>
        <v>0</v>
      </c>
      <c r="J3848" s="75">
        <v>0</v>
      </c>
      <c r="O3848" s="75">
        <v>1</v>
      </c>
      <c r="P3848" s="75">
        <v>0</v>
      </c>
      <c r="Q3848" s="75">
        <v>0</v>
      </c>
      <c r="R3848" s="75">
        <v>0</v>
      </c>
      <c r="S3848" s="75">
        <v>0</v>
      </c>
      <c r="T3848" s="75">
        <v>0</v>
      </c>
      <c r="U3848" s="75">
        <v>0</v>
      </c>
      <c r="V3848" s="75">
        <v>0</v>
      </c>
      <c r="W3848" s="78">
        <v>0</v>
      </c>
    </row>
    <row r="3849" spans="1:23" s="75" customFormat="1" hidden="1" x14ac:dyDescent="0.35">
      <c r="A3849" s="75">
        <v>3845</v>
      </c>
      <c r="B3849" s="75">
        <v>3846</v>
      </c>
      <c r="C3849">
        <v>146.03814149999999</v>
      </c>
      <c r="D3849">
        <v>-17.501630599999999</v>
      </c>
      <c r="F3849" s="75" t="str">
        <f>HYPERLINK("E:\Data From Lucan\2024\Johnstone\Frames_for_Analysis\3846_20240610_0005_L_1733.jpg","3846_20240610_0005_L_1733.jpg")</f>
        <v>3846_20240610_0005_L_1733.jpg</v>
      </c>
      <c r="G3849" s="75">
        <v>5</v>
      </c>
      <c r="I3849">
        <f t="shared" si="60"/>
        <v>0</v>
      </c>
      <c r="J3849" s="75">
        <v>0</v>
      </c>
      <c r="O3849" s="75">
        <v>1</v>
      </c>
      <c r="P3849" s="75">
        <v>0</v>
      </c>
      <c r="Q3849" s="75">
        <v>0</v>
      </c>
      <c r="R3849" s="75">
        <v>0</v>
      </c>
      <c r="S3849" s="75">
        <v>0</v>
      </c>
      <c r="T3849" s="75">
        <v>0</v>
      </c>
      <c r="U3849" s="75">
        <v>0</v>
      </c>
      <c r="V3849" s="75">
        <v>0</v>
      </c>
      <c r="W3849" s="78">
        <v>0</v>
      </c>
    </row>
    <row r="3850" spans="1:23" s="75" customFormat="1" hidden="1" x14ac:dyDescent="0.35">
      <c r="A3850" s="75">
        <v>3846</v>
      </c>
      <c r="B3850" s="75">
        <v>3847</v>
      </c>
      <c r="C3850">
        <v>146.0381519</v>
      </c>
      <c r="D3850">
        <v>-17.501724329999998</v>
      </c>
      <c r="F3850" s="75" t="str">
        <f>HYPERLINK("E:\Data From Lucan\2024\Johnstone\Frames_for_Analysis\3847_20240610_0005_L_1736.jpg","3847_20240610_0005_L_1736.jpg")</f>
        <v>3847_20240610_0005_L_1736.jpg</v>
      </c>
      <c r="G3850" s="75">
        <v>5</v>
      </c>
      <c r="I3850">
        <f t="shared" si="60"/>
        <v>0</v>
      </c>
      <c r="J3850" s="75">
        <v>0</v>
      </c>
      <c r="O3850" s="75">
        <v>1</v>
      </c>
      <c r="P3850" s="75">
        <v>0</v>
      </c>
      <c r="Q3850" s="75">
        <v>0</v>
      </c>
      <c r="R3850" s="75">
        <v>0</v>
      </c>
      <c r="S3850" s="75">
        <v>0</v>
      </c>
      <c r="T3850" s="75">
        <v>0</v>
      </c>
      <c r="U3850" s="75">
        <v>0</v>
      </c>
      <c r="V3850" s="75">
        <v>0</v>
      </c>
      <c r="W3850" s="78">
        <v>0</v>
      </c>
    </row>
    <row r="3851" spans="1:23" s="75" customFormat="1" hidden="1" x14ac:dyDescent="0.35">
      <c r="A3851" s="75">
        <v>3847</v>
      </c>
      <c r="B3851" s="75">
        <v>3848</v>
      </c>
      <c r="C3851">
        <v>146.0381624</v>
      </c>
      <c r="D3851">
        <v>-17.501818050000001</v>
      </c>
      <c r="F3851" s="75" t="str">
        <f>HYPERLINK("E:\Data From Lucan\2024\Johnstone\Frames_for_Analysis\3848_20240610_0005_L_1739.jpg","3848_20240610_0005_L_1739.jpg")</f>
        <v>3848_20240610_0005_L_1739.jpg</v>
      </c>
      <c r="G3851" s="75">
        <v>5</v>
      </c>
      <c r="I3851">
        <f t="shared" si="60"/>
        <v>0</v>
      </c>
      <c r="J3851" s="75">
        <v>0</v>
      </c>
      <c r="O3851" s="75">
        <v>1</v>
      </c>
      <c r="P3851" s="75">
        <v>0</v>
      </c>
      <c r="Q3851" s="75">
        <v>0</v>
      </c>
      <c r="R3851" s="75">
        <v>0</v>
      </c>
      <c r="S3851" s="75">
        <v>0</v>
      </c>
      <c r="T3851" s="75">
        <v>0</v>
      </c>
      <c r="U3851" s="75">
        <v>0</v>
      </c>
      <c r="V3851" s="75">
        <v>0</v>
      </c>
      <c r="W3851" s="78">
        <v>0</v>
      </c>
    </row>
    <row r="3852" spans="1:23" s="75" customFormat="1" hidden="1" x14ac:dyDescent="0.35">
      <c r="A3852" s="75">
        <v>3848</v>
      </c>
      <c r="B3852" s="75">
        <v>3849</v>
      </c>
      <c r="C3852">
        <v>146.03817280000001</v>
      </c>
      <c r="D3852">
        <v>-17.50191177</v>
      </c>
      <c r="F3852" s="75" t="str">
        <f>HYPERLINK("E:\Data From Lucan\2024\Johnstone\Frames_for_Analysis\3849_20240610_0005_L_1741.jpg","3849_20240610_0005_L_1741.jpg")</f>
        <v>3849_20240610_0005_L_1741.jpg</v>
      </c>
      <c r="G3852" s="75">
        <v>5</v>
      </c>
      <c r="I3852">
        <f t="shared" si="60"/>
        <v>0</v>
      </c>
      <c r="J3852" s="75">
        <v>0</v>
      </c>
      <c r="O3852" s="75">
        <v>1</v>
      </c>
      <c r="P3852" s="75">
        <v>0</v>
      </c>
      <c r="Q3852" s="75">
        <v>0</v>
      </c>
      <c r="R3852" s="75">
        <v>0</v>
      </c>
      <c r="S3852" s="75">
        <v>0</v>
      </c>
      <c r="T3852" s="75">
        <v>0</v>
      </c>
      <c r="U3852" s="75">
        <v>0</v>
      </c>
      <c r="V3852" s="75">
        <v>0</v>
      </c>
      <c r="W3852" s="78">
        <v>0</v>
      </c>
    </row>
    <row r="3853" spans="1:23" s="75" customFormat="1" hidden="1" x14ac:dyDescent="0.35">
      <c r="A3853" s="75">
        <v>3849</v>
      </c>
      <c r="B3853" s="75">
        <v>3850</v>
      </c>
      <c r="C3853">
        <v>146.03818709999999</v>
      </c>
      <c r="D3853">
        <v>-17.502004840000001</v>
      </c>
      <c r="F3853" s="75" t="str">
        <f>HYPERLINK("E:\Data From Lucan\2024\Johnstone\Frames_for_Analysis\3850_20240610_0005_L_1744.jpg","3850_20240610_0005_L_1744.jpg")</f>
        <v>3850_20240610_0005_L_1744.jpg</v>
      </c>
      <c r="G3853" s="75">
        <v>5</v>
      </c>
      <c r="I3853">
        <f t="shared" si="60"/>
        <v>0</v>
      </c>
      <c r="J3853" s="75">
        <v>0</v>
      </c>
      <c r="O3853" s="75">
        <v>1</v>
      </c>
      <c r="P3853" s="75">
        <v>0</v>
      </c>
      <c r="Q3853" s="75">
        <v>0</v>
      </c>
      <c r="R3853" s="75">
        <v>0</v>
      </c>
      <c r="S3853" s="75">
        <v>0</v>
      </c>
      <c r="T3853" s="75">
        <v>0</v>
      </c>
      <c r="U3853" s="75">
        <v>0</v>
      </c>
      <c r="V3853" s="75">
        <v>0</v>
      </c>
      <c r="W3853" s="78">
        <v>0</v>
      </c>
    </row>
    <row r="3854" spans="1:23" s="75" customFormat="1" hidden="1" x14ac:dyDescent="0.35">
      <c r="A3854" s="75">
        <v>3850</v>
      </c>
      <c r="B3854" s="75">
        <v>3851</v>
      </c>
      <c r="C3854">
        <v>146.0382085</v>
      </c>
      <c r="D3854">
        <v>-17.502096689999998</v>
      </c>
      <c r="F3854" s="75" t="str">
        <f>HYPERLINK("E:\Data From Lucan\2024\Johnstone\Frames_for_Analysis\3851_20240610_0005_L_1746.jpg","3851_20240610_0005_L_1746.jpg")</f>
        <v>3851_20240610_0005_L_1746.jpg</v>
      </c>
      <c r="G3854" s="75">
        <v>5</v>
      </c>
      <c r="I3854">
        <f t="shared" si="60"/>
        <v>0</v>
      </c>
      <c r="J3854" s="75">
        <v>0</v>
      </c>
      <c r="O3854" s="75">
        <v>1</v>
      </c>
      <c r="P3854" s="75">
        <v>0</v>
      </c>
      <c r="Q3854" s="75">
        <v>0</v>
      </c>
      <c r="R3854" s="75">
        <v>0</v>
      </c>
      <c r="S3854" s="75">
        <v>0</v>
      </c>
      <c r="T3854" s="75">
        <v>0</v>
      </c>
      <c r="U3854" s="75">
        <v>0</v>
      </c>
      <c r="V3854" s="75">
        <v>0</v>
      </c>
      <c r="W3854" s="78">
        <v>0</v>
      </c>
    </row>
    <row r="3855" spans="1:23" s="75" customFormat="1" hidden="1" x14ac:dyDescent="0.35">
      <c r="A3855" s="75">
        <v>3851</v>
      </c>
      <c r="B3855" s="75">
        <v>3852</v>
      </c>
      <c r="C3855">
        <v>146.03822550000001</v>
      </c>
      <c r="D3855">
        <v>-17.502189390000002</v>
      </c>
      <c r="F3855" s="75" t="str">
        <f>HYPERLINK("E:\Data From Lucan\2024\Johnstone\Frames_for_Analysis\3852_20240610_0005_L_1749.jpg","3852_20240610_0005_L_1749.jpg")</f>
        <v>3852_20240610_0005_L_1749.jpg</v>
      </c>
      <c r="G3855" s="75">
        <v>5</v>
      </c>
      <c r="I3855">
        <f t="shared" si="60"/>
        <v>0</v>
      </c>
      <c r="J3855" s="75">
        <v>0</v>
      </c>
      <c r="O3855" s="75">
        <v>1</v>
      </c>
      <c r="P3855" s="75">
        <v>0</v>
      </c>
      <c r="Q3855" s="75">
        <v>0</v>
      </c>
      <c r="R3855" s="75">
        <v>0</v>
      </c>
      <c r="S3855" s="75">
        <v>0</v>
      </c>
      <c r="T3855" s="75">
        <v>0</v>
      </c>
      <c r="U3855" s="75">
        <v>0</v>
      </c>
      <c r="V3855" s="75">
        <v>0</v>
      </c>
      <c r="W3855" s="78">
        <v>0</v>
      </c>
    </row>
    <row r="3856" spans="1:23" s="75" customFormat="1" hidden="1" x14ac:dyDescent="0.35">
      <c r="A3856" s="75">
        <v>3852</v>
      </c>
      <c r="B3856" s="75">
        <v>3853</v>
      </c>
      <c r="C3856">
        <v>146.038241</v>
      </c>
      <c r="D3856">
        <v>-17.502282430000001</v>
      </c>
      <c r="F3856" s="75" t="str">
        <f>HYPERLINK("E:\Data From Lucan\2024\Johnstone\Frames_for_Analysis\3853_20240610_0005_L_1752.jpg","3853_20240610_0005_L_1752.jpg")</f>
        <v>3853_20240610_0005_L_1752.jpg</v>
      </c>
      <c r="G3856" s="75">
        <v>5</v>
      </c>
      <c r="I3856">
        <f t="shared" si="60"/>
        <v>0</v>
      </c>
      <c r="J3856" s="75">
        <v>0</v>
      </c>
      <c r="O3856" s="75">
        <v>1</v>
      </c>
      <c r="P3856" s="75">
        <v>0</v>
      </c>
      <c r="Q3856" s="75">
        <v>0</v>
      </c>
      <c r="R3856" s="75">
        <v>0</v>
      </c>
      <c r="S3856" s="75">
        <v>0</v>
      </c>
      <c r="T3856" s="75">
        <v>0</v>
      </c>
      <c r="U3856" s="75">
        <v>0</v>
      </c>
      <c r="V3856" s="75">
        <v>0</v>
      </c>
      <c r="W3856" s="78">
        <v>0</v>
      </c>
    </row>
    <row r="3857" spans="1:23" s="75" customFormat="1" hidden="1" x14ac:dyDescent="0.35">
      <c r="A3857" s="75">
        <v>3853</v>
      </c>
      <c r="B3857" s="75">
        <v>3854</v>
      </c>
      <c r="C3857">
        <v>146.03825639999999</v>
      </c>
      <c r="D3857">
        <v>-17.50237546</v>
      </c>
      <c r="F3857" s="75" t="str">
        <f>HYPERLINK("E:\Data From Lucan\2024\Johnstone\Frames_for_Analysis\3854_20240610_0005_L_1754.jpg","3854_20240610_0005_L_1754.jpg")</f>
        <v>3854_20240610_0005_L_1754.jpg</v>
      </c>
      <c r="G3857" s="75">
        <v>5</v>
      </c>
      <c r="I3857">
        <f t="shared" si="60"/>
        <v>0</v>
      </c>
      <c r="J3857" s="75">
        <v>0</v>
      </c>
      <c r="O3857" s="75">
        <v>1</v>
      </c>
      <c r="P3857" s="75">
        <v>0</v>
      </c>
      <c r="Q3857" s="75">
        <v>0</v>
      </c>
      <c r="R3857" s="75">
        <v>0</v>
      </c>
      <c r="S3857" s="75">
        <v>0</v>
      </c>
      <c r="T3857" s="75">
        <v>0</v>
      </c>
      <c r="U3857" s="75">
        <v>0</v>
      </c>
      <c r="V3857" s="75">
        <v>1</v>
      </c>
      <c r="W3857" s="78">
        <v>0</v>
      </c>
    </row>
    <row r="3858" spans="1:23" s="75" customFormat="1" hidden="1" x14ac:dyDescent="0.35">
      <c r="A3858" s="75">
        <v>3854</v>
      </c>
      <c r="B3858" s="75">
        <v>3855</v>
      </c>
      <c r="C3858">
        <v>146.0382759</v>
      </c>
      <c r="D3858">
        <v>-17.5024677</v>
      </c>
      <c r="F3858" s="75" t="str">
        <f>HYPERLINK("E:\Data From Lucan\2024\Johnstone\Frames_for_Analysis\3855_20240610_0005_L_1757.jpg","3855_20240610_0005_L_1757.jpg")</f>
        <v>3855_20240610_0005_L_1757.jpg</v>
      </c>
      <c r="G3858" s="75">
        <v>5</v>
      </c>
      <c r="I3858">
        <f t="shared" si="60"/>
        <v>0</v>
      </c>
      <c r="J3858" s="75">
        <v>0</v>
      </c>
      <c r="O3858" s="75">
        <v>1</v>
      </c>
      <c r="P3858" s="75">
        <v>0</v>
      </c>
      <c r="Q3858" s="75">
        <v>0</v>
      </c>
      <c r="R3858" s="75">
        <v>0</v>
      </c>
      <c r="S3858" s="75">
        <v>0</v>
      </c>
      <c r="T3858" s="75">
        <v>0</v>
      </c>
      <c r="U3858" s="75">
        <v>0</v>
      </c>
      <c r="V3858" s="75">
        <v>1</v>
      </c>
      <c r="W3858" s="78">
        <v>0</v>
      </c>
    </row>
    <row r="3859" spans="1:23" s="75" customFormat="1" hidden="1" x14ac:dyDescent="0.35">
      <c r="A3859" s="75">
        <v>3855</v>
      </c>
      <c r="B3859" s="75">
        <v>3856</v>
      </c>
      <c r="C3859">
        <v>146.03829669999999</v>
      </c>
      <c r="D3859">
        <v>-17.502559689999998</v>
      </c>
      <c r="F3859" s="75" t="str">
        <f>HYPERLINK("E:\Data From Lucan\2024\Johnstone\Frames_for_Analysis\3856_20240610_0005_L_1760.jpg","3856_20240610_0005_L_1760.jpg")</f>
        <v>3856_20240610_0005_L_1760.jpg</v>
      </c>
      <c r="G3859" s="75">
        <v>5</v>
      </c>
      <c r="I3859">
        <f t="shared" si="60"/>
        <v>0</v>
      </c>
      <c r="J3859" s="75">
        <v>0</v>
      </c>
      <c r="O3859" s="75">
        <v>1</v>
      </c>
      <c r="P3859" s="75">
        <v>0</v>
      </c>
      <c r="Q3859" s="75">
        <v>0</v>
      </c>
      <c r="R3859" s="75">
        <v>0</v>
      </c>
      <c r="S3859" s="75">
        <v>0</v>
      </c>
      <c r="T3859" s="75">
        <v>0</v>
      </c>
      <c r="U3859" s="75">
        <v>0</v>
      </c>
      <c r="V3859" s="75">
        <v>0</v>
      </c>
      <c r="W3859" s="78">
        <v>0</v>
      </c>
    </row>
    <row r="3860" spans="1:23" s="75" customFormat="1" hidden="1" x14ac:dyDescent="0.35">
      <c r="A3860" s="75">
        <v>3856</v>
      </c>
      <c r="B3860" s="75">
        <v>3857</v>
      </c>
      <c r="C3860">
        <v>146.03831740000001</v>
      </c>
      <c r="D3860">
        <v>-17.50265168</v>
      </c>
      <c r="F3860" s="75" t="str">
        <f>HYPERLINK("E:\Data From Lucan\2024\Johnstone\Frames_for_Analysis\3857_20240610_0005_L_1763.jpg","3857_20240610_0005_L_1763.jpg")</f>
        <v>3857_20240610_0005_L_1763.jpg</v>
      </c>
      <c r="G3860" s="75">
        <v>5</v>
      </c>
      <c r="I3860">
        <f t="shared" si="60"/>
        <v>0</v>
      </c>
      <c r="J3860" s="75">
        <v>0</v>
      </c>
      <c r="O3860" s="75">
        <v>1</v>
      </c>
      <c r="P3860" s="75">
        <v>0</v>
      </c>
      <c r="Q3860" s="75">
        <v>0</v>
      </c>
      <c r="R3860" s="75">
        <v>0</v>
      </c>
      <c r="S3860" s="75">
        <v>0</v>
      </c>
      <c r="T3860" s="75">
        <v>0</v>
      </c>
      <c r="U3860" s="75">
        <v>0</v>
      </c>
      <c r="V3860" s="75">
        <v>1</v>
      </c>
      <c r="W3860" s="78">
        <v>0</v>
      </c>
    </row>
    <row r="3861" spans="1:23" s="75" customFormat="1" hidden="1" x14ac:dyDescent="0.35">
      <c r="A3861" s="75">
        <v>3857</v>
      </c>
      <c r="B3861" s="75">
        <v>3858</v>
      </c>
      <c r="C3861">
        <v>146.0383277</v>
      </c>
      <c r="D3861">
        <v>-17.502745399999998</v>
      </c>
      <c r="F3861" s="75" t="str">
        <f>HYPERLINK("E:\Data From Lucan\2024\Johnstone\Frames_for_Analysis\3858_20240610_0005_L_1766.jpg","3858_20240610_0005_L_1766.jpg")</f>
        <v>3858_20240610_0005_L_1766.jpg</v>
      </c>
      <c r="G3861" s="75">
        <v>5</v>
      </c>
      <c r="I3861">
        <f t="shared" si="60"/>
        <v>0</v>
      </c>
      <c r="J3861" s="75">
        <v>0</v>
      </c>
      <c r="O3861" s="75">
        <v>1</v>
      </c>
      <c r="P3861" s="75">
        <v>0</v>
      </c>
      <c r="Q3861" s="75">
        <v>0</v>
      </c>
      <c r="R3861" s="75">
        <v>0</v>
      </c>
      <c r="S3861" s="75">
        <v>0</v>
      </c>
      <c r="T3861" s="75">
        <v>0</v>
      </c>
      <c r="U3861" s="75">
        <v>0</v>
      </c>
      <c r="V3861" s="75">
        <v>1</v>
      </c>
      <c r="W3861" s="78">
        <v>0</v>
      </c>
    </row>
    <row r="3862" spans="1:23" s="75" customFormat="1" hidden="1" x14ac:dyDescent="0.35">
      <c r="A3862" s="75">
        <v>3858</v>
      </c>
      <c r="B3862" s="75">
        <v>3859</v>
      </c>
      <c r="C3862">
        <v>146.03833750000001</v>
      </c>
      <c r="D3862">
        <v>-17.50283919</v>
      </c>
      <c r="F3862" s="75" t="str">
        <f>HYPERLINK("E:\Data From Lucan\2024\Johnstone\Frames_for_Analysis\3859_20240610_0005_L_1770.jpg","3859_20240610_0005_L_1770.jpg")</f>
        <v>3859_20240610_0005_L_1770.jpg</v>
      </c>
      <c r="G3862" s="75">
        <v>5</v>
      </c>
      <c r="I3862">
        <f t="shared" si="60"/>
        <v>0</v>
      </c>
      <c r="J3862" s="75">
        <v>0</v>
      </c>
      <c r="O3862" s="75">
        <v>1</v>
      </c>
      <c r="P3862" s="75">
        <v>0</v>
      </c>
      <c r="Q3862" s="75">
        <v>0</v>
      </c>
      <c r="R3862" s="75">
        <v>0</v>
      </c>
      <c r="S3862" s="75">
        <v>0</v>
      </c>
      <c r="T3862" s="75">
        <v>0</v>
      </c>
      <c r="U3862" s="75">
        <v>0</v>
      </c>
      <c r="V3862" s="75">
        <v>1</v>
      </c>
      <c r="W3862" s="78">
        <v>0</v>
      </c>
    </row>
    <row r="3863" spans="1:23" s="75" customFormat="1" hidden="1" x14ac:dyDescent="0.35">
      <c r="A3863" s="75">
        <v>3859</v>
      </c>
      <c r="B3863" s="75">
        <v>3860</v>
      </c>
      <c r="C3863">
        <v>146.0383473</v>
      </c>
      <c r="D3863">
        <v>-17.502932980000001</v>
      </c>
      <c r="F3863" s="75" t="str">
        <f>HYPERLINK("E:\Data From Lucan\2024\Johnstone\Frames_for_Analysis\3860_20240610_0005_L_1772.jpg","3860_20240610_0005_L_1772.jpg")</f>
        <v>3860_20240610_0005_L_1772.jpg</v>
      </c>
      <c r="G3863" s="75">
        <v>5</v>
      </c>
      <c r="I3863">
        <f t="shared" si="60"/>
        <v>0</v>
      </c>
      <c r="J3863" s="75">
        <v>0</v>
      </c>
      <c r="O3863" s="75">
        <v>1</v>
      </c>
      <c r="P3863" s="75">
        <v>0</v>
      </c>
      <c r="Q3863" s="75">
        <v>0</v>
      </c>
      <c r="R3863" s="75">
        <v>0</v>
      </c>
      <c r="S3863" s="75">
        <v>0</v>
      </c>
      <c r="T3863" s="75">
        <v>0</v>
      </c>
      <c r="U3863" s="75">
        <v>0</v>
      </c>
      <c r="V3863" s="75">
        <v>1</v>
      </c>
      <c r="W3863" s="78">
        <v>0</v>
      </c>
    </row>
    <row r="3864" spans="1:23" s="75" customFormat="1" hidden="1" x14ac:dyDescent="0.35">
      <c r="A3864" s="75">
        <v>3860</v>
      </c>
      <c r="B3864" s="75">
        <v>3861</v>
      </c>
      <c r="C3864">
        <v>146.03836179999999</v>
      </c>
      <c r="D3864">
        <v>-17.503026049999999</v>
      </c>
      <c r="F3864" s="75" t="str">
        <f>HYPERLINK("E:\Data From Lucan\2024\Johnstone\Frames_for_Analysis\3861_20240610_0005_L_1775.jpg","3861_20240610_0005_L_1775.jpg")</f>
        <v>3861_20240610_0005_L_1775.jpg</v>
      </c>
      <c r="G3864" s="75">
        <v>5</v>
      </c>
      <c r="I3864">
        <f t="shared" si="60"/>
        <v>0</v>
      </c>
      <c r="J3864" s="75">
        <v>0</v>
      </c>
      <c r="O3864" s="75">
        <v>1</v>
      </c>
      <c r="P3864" s="75">
        <v>0</v>
      </c>
      <c r="Q3864" s="75">
        <v>0</v>
      </c>
      <c r="R3864" s="75">
        <v>0</v>
      </c>
      <c r="S3864" s="75">
        <v>0</v>
      </c>
      <c r="T3864" s="75">
        <v>0</v>
      </c>
      <c r="U3864" s="75">
        <v>0</v>
      </c>
      <c r="V3864" s="75">
        <v>0</v>
      </c>
      <c r="W3864" s="78">
        <v>0</v>
      </c>
    </row>
    <row r="3865" spans="1:23" s="75" customFormat="1" hidden="1" x14ac:dyDescent="0.35">
      <c r="A3865" s="75">
        <v>3861</v>
      </c>
      <c r="B3865" s="75">
        <v>3862</v>
      </c>
      <c r="C3865">
        <v>146.03838049999999</v>
      </c>
      <c r="D3865">
        <v>-17.503118489999999</v>
      </c>
      <c r="F3865" s="75" t="str">
        <f>HYPERLINK("E:\Data From Lucan\2024\Johnstone\Frames_for_Analysis\3862_20240610_0005_L_1777.jpg","3862_20240610_0005_L_1777.jpg")</f>
        <v>3862_20240610_0005_L_1777.jpg</v>
      </c>
      <c r="G3865" s="75">
        <v>5</v>
      </c>
      <c r="I3865">
        <f t="shared" si="60"/>
        <v>0</v>
      </c>
      <c r="J3865" s="75">
        <v>0</v>
      </c>
      <c r="O3865" s="75">
        <v>1</v>
      </c>
      <c r="P3865" s="75">
        <v>0</v>
      </c>
      <c r="Q3865" s="75">
        <v>0</v>
      </c>
      <c r="R3865" s="75">
        <v>0</v>
      </c>
      <c r="S3865" s="75">
        <v>0</v>
      </c>
      <c r="T3865" s="75">
        <v>0</v>
      </c>
      <c r="U3865" s="75">
        <v>0</v>
      </c>
      <c r="V3865" s="75">
        <v>0</v>
      </c>
      <c r="W3865" s="78">
        <v>0</v>
      </c>
    </row>
    <row r="3866" spans="1:23" s="75" customFormat="1" hidden="1" x14ac:dyDescent="0.35">
      <c r="A3866" s="75">
        <v>3862</v>
      </c>
      <c r="B3866" s="75">
        <v>3863</v>
      </c>
      <c r="C3866">
        <v>146.0383942</v>
      </c>
      <c r="D3866">
        <v>-17.50321173</v>
      </c>
      <c r="F3866" s="75" t="str">
        <f>HYPERLINK("E:\Data From Lucan\2024\Johnstone\Frames_for_Analysis\3863_20240610_0005_L_1780.jpg","3863_20240610_0005_L_1780.jpg")</f>
        <v>3863_20240610_0005_L_1780.jpg</v>
      </c>
      <c r="G3866" s="75">
        <v>5</v>
      </c>
      <c r="I3866">
        <f t="shared" si="60"/>
        <v>0</v>
      </c>
      <c r="J3866" s="75">
        <v>0</v>
      </c>
      <c r="O3866" s="75">
        <v>1</v>
      </c>
      <c r="P3866" s="75">
        <v>0</v>
      </c>
      <c r="Q3866" s="75">
        <v>0</v>
      </c>
      <c r="R3866" s="75">
        <v>0</v>
      </c>
      <c r="S3866" s="75">
        <v>0</v>
      </c>
      <c r="T3866" s="75">
        <v>0</v>
      </c>
      <c r="U3866" s="75">
        <v>0</v>
      </c>
      <c r="V3866" s="75">
        <v>1</v>
      </c>
      <c r="W3866" s="78">
        <v>0</v>
      </c>
    </row>
    <row r="3867" spans="1:23" s="75" customFormat="1" hidden="1" x14ac:dyDescent="0.35">
      <c r="A3867" s="75">
        <v>3863</v>
      </c>
      <c r="B3867" s="75">
        <v>3864</v>
      </c>
      <c r="C3867">
        <v>146.0384056</v>
      </c>
      <c r="D3867">
        <v>-17.503305340000001</v>
      </c>
      <c r="F3867" s="75" t="str">
        <f>HYPERLINK("E:\Data From Lucan\2024\Johnstone\Frames_for_Analysis\3864_20240610_0005_L_1782.jpg","3864_20240610_0005_L_1782.jpg")</f>
        <v>3864_20240610_0005_L_1782.jpg</v>
      </c>
      <c r="G3867" s="75">
        <v>5</v>
      </c>
      <c r="I3867">
        <f t="shared" si="60"/>
        <v>0</v>
      </c>
      <c r="J3867" s="75">
        <v>0</v>
      </c>
      <c r="O3867" s="75">
        <v>1</v>
      </c>
      <c r="P3867" s="75">
        <v>0</v>
      </c>
      <c r="Q3867" s="75">
        <v>0</v>
      </c>
      <c r="R3867" s="75">
        <v>0</v>
      </c>
      <c r="S3867" s="75">
        <v>0</v>
      </c>
      <c r="T3867" s="75">
        <v>0</v>
      </c>
      <c r="U3867" s="75">
        <v>0</v>
      </c>
      <c r="V3867" s="75">
        <v>1</v>
      </c>
      <c r="W3867" s="78">
        <v>0</v>
      </c>
    </row>
    <row r="3868" spans="1:23" s="75" customFormat="1" hidden="1" x14ac:dyDescent="0.35">
      <c r="A3868" s="75">
        <v>3864</v>
      </c>
      <c r="B3868" s="75">
        <v>3865</v>
      </c>
      <c r="C3868">
        <v>146.0384177</v>
      </c>
      <c r="D3868">
        <v>-17.503398870000002</v>
      </c>
      <c r="F3868" s="75" t="str">
        <f>HYPERLINK("E:\Data From Lucan\2024\Johnstone\Frames_for_Analysis\3865_20240610_0005_L_1785.jpg","3865_20240610_0005_L_1785.jpg")</f>
        <v>3865_20240610_0005_L_1785.jpg</v>
      </c>
      <c r="G3868" s="75">
        <v>5</v>
      </c>
      <c r="I3868">
        <f t="shared" si="60"/>
        <v>0</v>
      </c>
      <c r="J3868" s="75">
        <v>0</v>
      </c>
      <c r="O3868" s="75">
        <v>1</v>
      </c>
      <c r="P3868" s="75">
        <v>0</v>
      </c>
      <c r="Q3868" s="75">
        <v>0</v>
      </c>
      <c r="R3868" s="75">
        <v>0</v>
      </c>
      <c r="S3868" s="75">
        <v>0</v>
      </c>
      <c r="T3868" s="75">
        <v>0</v>
      </c>
      <c r="U3868" s="75">
        <v>0</v>
      </c>
      <c r="V3868" s="75">
        <v>0</v>
      </c>
      <c r="W3868" s="78">
        <v>0</v>
      </c>
    </row>
    <row r="3869" spans="1:23" s="75" customFormat="1" hidden="1" x14ac:dyDescent="0.35">
      <c r="A3869" s="75">
        <v>3865</v>
      </c>
      <c r="B3869" s="75">
        <v>3866</v>
      </c>
      <c r="C3869">
        <v>146.03843000000001</v>
      </c>
      <c r="D3869">
        <v>-17.503492359999999</v>
      </c>
      <c r="F3869" s="75" t="str">
        <f>HYPERLINK("E:\Data From Lucan\2024\Johnstone\Frames_for_Analysis\3866_20240610_0005_L_1788.jpg","3866_20240610_0005_L_1788.jpg")</f>
        <v>3866_20240610_0005_L_1788.jpg</v>
      </c>
      <c r="G3869" s="75">
        <v>5</v>
      </c>
      <c r="I3869">
        <f t="shared" si="60"/>
        <v>0</v>
      </c>
      <c r="J3869" s="75">
        <v>0</v>
      </c>
      <c r="O3869" s="75">
        <v>1</v>
      </c>
      <c r="P3869" s="75">
        <v>0</v>
      </c>
      <c r="Q3869" s="75">
        <v>0</v>
      </c>
      <c r="R3869" s="75">
        <v>0</v>
      </c>
      <c r="S3869" s="75">
        <v>0</v>
      </c>
      <c r="T3869" s="75">
        <v>0</v>
      </c>
      <c r="U3869" s="75">
        <v>0</v>
      </c>
      <c r="V3869" s="75">
        <v>0</v>
      </c>
      <c r="W3869" s="78">
        <v>0</v>
      </c>
    </row>
    <row r="3870" spans="1:23" s="75" customFormat="1" hidden="1" x14ac:dyDescent="0.35">
      <c r="A3870" s="75">
        <v>3866</v>
      </c>
      <c r="B3870" s="75">
        <v>3867</v>
      </c>
      <c r="C3870">
        <v>146.038443</v>
      </c>
      <c r="D3870">
        <v>-17.50358576</v>
      </c>
      <c r="F3870" s="75" t="str">
        <f>HYPERLINK("E:\Data From Lucan\2024\Johnstone\Frames_for_Analysis\3867_20240610_0005_L_1791.jpg","3867_20240610_0005_L_1791.jpg")</f>
        <v>3867_20240610_0005_L_1791.jpg</v>
      </c>
      <c r="G3870" s="75">
        <v>5</v>
      </c>
      <c r="I3870">
        <f t="shared" si="60"/>
        <v>0</v>
      </c>
      <c r="J3870" s="75">
        <v>0</v>
      </c>
      <c r="O3870" s="75">
        <v>1</v>
      </c>
      <c r="P3870" s="75">
        <v>0</v>
      </c>
      <c r="Q3870" s="75">
        <v>0</v>
      </c>
      <c r="R3870" s="75">
        <v>0</v>
      </c>
      <c r="S3870" s="75">
        <v>0</v>
      </c>
      <c r="T3870" s="75">
        <v>0</v>
      </c>
      <c r="U3870" s="75">
        <v>0</v>
      </c>
      <c r="V3870" s="75">
        <v>0</v>
      </c>
      <c r="W3870" s="78">
        <v>0</v>
      </c>
    </row>
    <row r="3871" spans="1:23" s="75" customFormat="1" hidden="1" x14ac:dyDescent="0.35">
      <c r="A3871" s="75">
        <v>3867</v>
      </c>
      <c r="B3871" s="75">
        <v>3868</v>
      </c>
      <c r="C3871">
        <v>146.0384755</v>
      </c>
      <c r="D3871">
        <v>-17.503674270000001</v>
      </c>
      <c r="F3871" s="75" t="str">
        <f>HYPERLINK("E:\Data From Lucan\2024\Johnstone\Frames_for_Analysis\3868_20240610_0005_L_1794.jpg","3868_20240610_0005_L_1794.jpg")</f>
        <v>3868_20240610_0005_L_1794.jpg</v>
      </c>
      <c r="G3871" s="75">
        <v>5</v>
      </c>
      <c r="I3871">
        <f t="shared" si="60"/>
        <v>0</v>
      </c>
      <c r="J3871" s="75">
        <v>0</v>
      </c>
      <c r="O3871" s="75">
        <v>1</v>
      </c>
      <c r="P3871" s="75">
        <v>0</v>
      </c>
      <c r="Q3871" s="75">
        <v>0</v>
      </c>
      <c r="R3871" s="75">
        <v>0</v>
      </c>
      <c r="S3871" s="75">
        <v>0</v>
      </c>
      <c r="T3871" s="75">
        <v>0</v>
      </c>
      <c r="U3871" s="75">
        <v>0</v>
      </c>
      <c r="V3871" s="75">
        <v>0</v>
      </c>
      <c r="W3871" s="78">
        <v>0</v>
      </c>
    </row>
    <row r="3872" spans="1:23" s="75" customFormat="1" hidden="1" x14ac:dyDescent="0.35">
      <c r="A3872" s="75">
        <v>3868</v>
      </c>
      <c r="B3872" s="75">
        <v>3869</v>
      </c>
      <c r="C3872">
        <v>146.03850389999999</v>
      </c>
      <c r="D3872">
        <v>-17.503763759999998</v>
      </c>
      <c r="F3872" s="75" t="str">
        <f>HYPERLINK("E:\Data From Lucan\2024\Johnstone\Frames_for_Analysis\3869_20240610_0005_L_1796.jpg","3869_20240610_0005_L_1796.jpg")</f>
        <v>3869_20240610_0005_L_1796.jpg</v>
      </c>
      <c r="G3872" s="75">
        <v>5</v>
      </c>
      <c r="I3872">
        <f t="shared" si="60"/>
        <v>0</v>
      </c>
      <c r="J3872" s="75">
        <v>0</v>
      </c>
      <c r="O3872" s="75">
        <v>1</v>
      </c>
      <c r="P3872" s="75">
        <v>0</v>
      </c>
      <c r="Q3872" s="75">
        <v>0</v>
      </c>
      <c r="R3872" s="75">
        <v>0</v>
      </c>
      <c r="S3872" s="75">
        <v>0</v>
      </c>
      <c r="T3872" s="75">
        <v>0</v>
      </c>
      <c r="U3872" s="75">
        <v>0</v>
      </c>
      <c r="V3872" s="75">
        <v>1</v>
      </c>
      <c r="W3872" s="78">
        <v>0</v>
      </c>
    </row>
    <row r="3873" spans="1:23" s="75" customFormat="1" hidden="1" x14ac:dyDescent="0.35">
      <c r="A3873" s="75">
        <v>3869</v>
      </c>
      <c r="B3873" s="75">
        <v>3870</v>
      </c>
      <c r="C3873">
        <v>146.03851549999999</v>
      </c>
      <c r="D3873">
        <v>-17.503857360000001</v>
      </c>
      <c r="F3873" s="75" t="str">
        <f>HYPERLINK("E:\Data From Lucan\2024\Johnstone\Frames_for_Analysis\3870_20240610_0005_L_1799.jpg","3870_20240610_0005_L_1799.jpg")</f>
        <v>3870_20240610_0005_L_1799.jpg</v>
      </c>
      <c r="G3873" s="75">
        <v>5</v>
      </c>
      <c r="I3873">
        <f t="shared" si="60"/>
        <v>0</v>
      </c>
      <c r="J3873" s="75">
        <v>0</v>
      </c>
      <c r="O3873" s="75">
        <v>1</v>
      </c>
      <c r="P3873" s="75">
        <v>0</v>
      </c>
      <c r="Q3873" s="75">
        <v>0</v>
      </c>
      <c r="R3873" s="75">
        <v>0</v>
      </c>
      <c r="S3873" s="75">
        <v>0</v>
      </c>
      <c r="T3873" s="75">
        <v>0</v>
      </c>
      <c r="U3873" s="75">
        <v>0</v>
      </c>
      <c r="V3873" s="75">
        <v>0</v>
      </c>
      <c r="W3873" s="78">
        <v>0</v>
      </c>
    </row>
    <row r="3874" spans="1:23" s="75" customFormat="1" hidden="1" x14ac:dyDescent="0.35">
      <c r="A3874" s="75">
        <v>3870</v>
      </c>
      <c r="B3874" s="75">
        <v>3871</v>
      </c>
      <c r="C3874">
        <v>146.03852620000001</v>
      </c>
      <c r="D3874">
        <v>-17.50395103</v>
      </c>
      <c r="F3874" s="75" t="str">
        <f>HYPERLINK("E:\Data From Lucan\2024\Johnstone\Frames_for_Analysis\3871_20240610_0005_L_1801.jpg","3871_20240610_0005_L_1801.jpg")</f>
        <v>3871_20240610_0005_L_1801.jpg</v>
      </c>
      <c r="G3874" s="75">
        <v>5</v>
      </c>
      <c r="I3874">
        <f t="shared" si="60"/>
        <v>0</v>
      </c>
      <c r="J3874" s="75">
        <v>0</v>
      </c>
      <c r="O3874" s="75">
        <v>1</v>
      </c>
      <c r="P3874" s="75">
        <v>0</v>
      </c>
      <c r="Q3874" s="75">
        <v>0</v>
      </c>
      <c r="R3874" s="75">
        <v>0</v>
      </c>
      <c r="S3874" s="75">
        <v>0</v>
      </c>
      <c r="T3874" s="75">
        <v>0</v>
      </c>
      <c r="U3874" s="75">
        <v>0</v>
      </c>
      <c r="V3874" s="75">
        <v>0</v>
      </c>
      <c r="W3874" s="78">
        <v>0</v>
      </c>
    </row>
    <row r="3875" spans="1:23" s="75" customFormat="1" hidden="1" x14ac:dyDescent="0.35">
      <c r="A3875" s="75">
        <v>3871</v>
      </c>
      <c r="B3875" s="75">
        <v>3872</v>
      </c>
      <c r="C3875">
        <v>146.0385339</v>
      </c>
      <c r="D3875">
        <v>-17.50404502</v>
      </c>
      <c r="F3875" s="75" t="str">
        <f>HYPERLINK("E:\Data From Lucan\2024\Johnstone\Frames_for_Analysis\3872_20240610_0005_L_1803.jpg","3872_20240610_0005_L_1803.jpg")</f>
        <v>3872_20240610_0005_L_1803.jpg</v>
      </c>
      <c r="G3875" s="75">
        <v>5</v>
      </c>
      <c r="I3875">
        <f t="shared" si="60"/>
        <v>0</v>
      </c>
      <c r="J3875" s="75">
        <v>0</v>
      </c>
      <c r="O3875" s="75">
        <v>1</v>
      </c>
      <c r="P3875" s="75">
        <v>0</v>
      </c>
      <c r="Q3875" s="75">
        <v>0</v>
      </c>
      <c r="R3875" s="75">
        <v>0</v>
      </c>
      <c r="S3875" s="75">
        <v>0</v>
      </c>
      <c r="T3875" s="75">
        <v>0</v>
      </c>
      <c r="U3875" s="75">
        <v>0</v>
      </c>
      <c r="V3875" s="75">
        <v>0</v>
      </c>
      <c r="W3875" s="78">
        <v>0</v>
      </c>
    </row>
    <row r="3876" spans="1:23" s="75" customFormat="1" hidden="1" x14ac:dyDescent="0.35">
      <c r="A3876" s="75">
        <v>3872</v>
      </c>
      <c r="B3876" s="75">
        <v>3873</v>
      </c>
      <c r="C3876">
        <v>146.0385417</v>
      </c>
      <c r="D3876">
        <v>-17.504138999999999</v>
      </c>
      <c r="F3876" s="75" t="str">
        <f>HYPERLINK("E:\Data From Lucan\2024\Johnstone\Frames_for_Analysis\3873_20240610_0005_L_1806.jpg","3873_20240610_0005_L_1806.jpg")</f>
        <v>3873_20240610_0005_L_1806.jpg</v>
      </c>
      <c r="G3876" s="75">
        <v>5</v>
      </c>
      <c r="I3876">
        <f t="shared" si="60"/>
        <v>0</v>
      </c>
      <c r="J3876" s="75">
        <v>0</v>
      </c>
      <c r="O3876" s="75">
        <v>1</v>
      </c>
      <c r="P3876" s="75">
        <v>0</v>
      </c>
      <c r="Q3876" s="75">
        <v>0</v>
      </c>
      <c r="R3876" s="75">
        <v>0</v>
      </c>
      <c r="S3876" s="75">
        <v>0</v>
      </c>
      <c r="T3876" s="75">
        <v>0</v>
      </c>
      <c r="U3876" s="75">
        <v>0</v>
      </c>
      <c r="V3876" s="75">
        <v>0</v>
      </c>
      <c r="W3876" s="78">
        <v>0</v>
      </c>
    </row>
    <row r="3877" spans="1:23" s="75" customFormat="1" hidden="1" x14ac:dyDescent="0.35">
      <c r="A3877" s="75">
        <v>3873</v>
      </c>
      <c r="B3877" s="75">
        <v>3874</v>
      </c>
      <c r="C3877">
        <v>146.03854960000001</v>
      </c>
      <c r="D3877">
        <v>-17.504232980000001</v>
      </c>
      <c r="F3877" s="75" t="str">
        <f>HYPERLINK("E:\Data From Lucan\2024\Johnstone\Frames_for_Analysis\3874_20240610_0005_L_1808.jpg","3874_20240610_0005_L_1808.jpg")</f>
        <v>3874_20240610_0005_L_1808.jpg</v>
      </c>
      <c r="G3877" s="75">
        <v>5</v>
      </c>
      <c r="I3877">
        <f t="shared" si="60"/>
        <v>0</v>
      </c>
      <c r="J3877" s="75">
        <v>0</v>
      </c>
      <c r="O3877" s="75">
        <v>1</v>
      </c>
      <c r="P3877" s="75">
        <v>0</v>
      </c>
      <c r="Q3877" s="75">
        <v>0</v>
      </c>
      <c r="R3877" s="75">
        <v>0</v>
      </c>
      <c r="S3877" s="75">
        <v>0</v>
      </c>
      <c r="T3877" s="75">
        <v>0</v>
      </c>
      <c r="U3877" s="75">
        <v>0</v>
      </c>
      <c r="V3877" s="75">
        <v>0</v>
      </c>
      <c r="W3877" s="78">
        <v>0</v>
      </c>
    </row>
    <row r="3878" spans="1:23" s="75" customFormat="1" hidden="1" x14ac:dyDescent="0.35">
      <c r="A3878" s="75">
        <v>3874</v>
      </c>
      <c r="B3878" s="75">
        <v>3875</v>
      </c>
      <c r="C3878">
        <v>146.03855780000001</v>
      </c>
      <c r="D3878">
        <v>-17.50432692</v>
      </c>
      <c r="F3878" s="75" t="str">
        <f>HYPERLINK("E:\Data From Lucan\2024\Johnstone\Frames_for_Analysis\3875_20240610_0005_L_1810.jpg","3875_20240610_0005_L_1810.jpg")</f>
        <v>3875_20240610_0005_L_1810.jpg</v>
      </c>
      <c r="G3878" s="75">
        <v>5</v>
      </c>
      <c r="I3878">
        <f t="shared" si="60"/>
        <v>0</v>
      </c>
      <c r="J3878" s="75">
        <v>0</v>
      </c>
      <c r="O3878" s="75">
        <v>1</v>
      </c>
      <c r="P3878" s="75">
        <v>0</v>
      </c>
      <c r="Q3878" s="75">
        <v>0</v>
      </c>
      <c r="R3878" s="75">
        <v>0</v>
      </c>
      <c r="S3878" s="75">
        <v>0</v>
      </c>
      <c r="T3878" s="75">
        <v>0</v>
      </c>
      <c r="U3878" s="75">
        <v>0</v>
      </c>
      <c r="V3878" s="75">
        <v>0</v>
      </c>
      <c r="W3878" s="78">
        <v>0</v>
      </c>
    </row>
    <row r="3879" spans="1:23" s="75" customFormat="1" hidden="1" x14ac:dyDescent="0.35">
      <c r="A3879" s="75">
        <v>3875</v>
      </c>
      <c r="B3879" s="75">
        <v>3876</v>
      </c>
      <c r="C3879">
        <v>146.038566</v>
      </c>
      <c r="D3879">
        <v>-17.504420870000001</v>
      </c>
      <c r="F3879" s="75" t="str">
        <f>HYPERLINK("E:\Data From Lucan\2024\Johnstone\Frames_for_Analysis\3876_20240610_0005_L_1812.jpg","3876_20240610_0005_L_1812.jpg")</f>
        <v>3876_20240610_0005_L_1812.jpg</v>
      </c>
      <c r="G3879" s="75">
        <v>5</v>
      </c>
      <c r="I3879">
        <f t="shared" si="60"/>
        <v>0</v>
      </c>
      <c r="J3879" s="75">
        <v>0</v>
      </c>
      <c r="O3879" s="75">
        <v>1</v>
      </c>
      <c r="P3879" s="75">
        <v>0</v>
      </c>
      <c r="Q3879" s="75">
        <v>0</v>
      </c>
      <c r="R3879" s="75">
        <v>0</v>
      </c>
      <c r="S3879" s="75">
        <v>0</v>
      </c>
      <c r="T3879" s="75">
        <v>0</v>
      </c>
      <c r="U3879" s="75">
        <v>0</v>
      </c>
      <c r="V3879" s="75">
        <v>0</v>
      </c>
      <c r="W3879" s="78">
        <v>0</v>
      </c>
    </row>
    <row r="3880" spans="1:23" s="75" customFormat="1" hidden="1" x14ac:dyDescent="0.35">
      <c r="A3880" s="75">
        <v>3876</v>
      </c>
      <c r="B3880" s="75">
        <v>3877</v>
      </c>
      <c r="C3880">
        <v>146.03856809999999</v>
      </c>
      <c r="D3880">
        <v>-17.504515059999999</v>
      </c>
      <c r="F3880" s="75" t="str">
        <f>HYPERLINK("E:\Data From Lucan\2024\Johnstone\Frames_for_Analysis\3877_20240610_0005_L_1814.jpg","3877_20240610_0005_L_1814.jpg")</f>
        <v>3877_20240610_0005_L_1814.jpg</v>
      </c>
      <c r="G3880" s="75">
        <v>5</v>
      </c>
      <c r="I3880">
        <f t="shared" si="60"/>
        <v>0</v>
      </c>
      <c r="J3880" s="75">
        <v>0</v>
      </c>
      <c r="O3880" s="75">
        <v>1</v>
      </c>
      <c r="P3880" s="75">
        <v>0</v>
      </c>
      <c r="Q3880" s="75">
        <v>0</v>
      </c>
      <c r="R3880" s="75">
        <v>0</v>
      </c>
      <c r="S3880" s="75">
        <v>0</v>
      </c>
      <c r="T3880" s="75">
        <v>0</v>
      </c>
      <c r="U3880" s="75">
        <v>0</v>
      </c>
      <c r="V3880" s="75">
        <v>0</v>
      </c>
      <c r="W3880" s="78">
        <v>0</v>
      </c>
    </row>
    <row r="3881" spans="1:23" s="75" customFormat="1" hidden="1" x14ac:dyDescent="0.35">
      <c r="A3881" s="75">
        <v>3877</v>
      </c>
      <c r="B3881" s="75">
        <v>3878</v>
      </c>
      <c r="C3881">
        <v>146.0385675</v>
      </c>
      <c r="D3881">
        <v>-17.50460936</v>
      </c>
      <c r="F3881" s="75" t="str">
        <f>HYPERLINK("E:\Data From Lucan\2024\Johnstone\Frames_for_Analysis\3878_20240610_0005_L_1816.jpg","3878_20240610_0005_L_1816.jpg")</f>
        <v>3878_20240610_0005_L_1816.jpg</v>
      </c>
      <c r="G3881" s="75">
        <v>5</v>
      </c>
      <c r="I3881">
        <f t="shared" si="60"/>
        <v>0</v>
      </c>
      <c r="J3881" s="75">
        <v>0</v>
      </c>
      <c r="O3881" s="75">
        <v>1</v>
      </c>
      <c r="P3881" s="75">
        <v>0</v>
      </c>
      <c r="Q3881" s="75">
        <v>0</v>
      </c>
      <c r="R3881" s="75">
        <v>0</v>
      </c>
      <c r="S3881" s="75">
        <v>0</v>
      </c>
      <c r="T3881" s="75">
        <v>0</v>
      </c>
      <c r="U3881" s="75">
        <v>0</v>
      </c>
      <c r="V3881" s="75">
        <v>0</v>
      </c>
      <c r="W3881" s="78">
        <v>0</v>
      </c>
    </row>
    <row r="3882" spans="1:23" s="75" customFormat="1" hidden="1" x14ac:dyDescent="0.35">
      <c r="A3882" s="75">
        <v>3878</v>
      </c>
      <c r="B3882" s="75">
        <v>3879</v>
      </c>
      <c r="C3882">
        <v>146.0385771</v>
      </c>
      <c r="D3882">
        <v>-17.504702689999998</v>
      </c>
      <c r="F3882" s="75" t="str">
        <f>HYPERLINK("E:\Data From Lucan\2024\Johnstone\Frames_for_Analysis\3879_20240610_0005_L_1818.jpg","3879_20240610_0005_L_1818.jpg")</f>
        <v>3879_20240610_0005_L_1818.jpg</v>
      </c>
      <c r="G3882" s="75">
        <v>5</v>
      </c>
      <c r="I3882">
        <f t="shared" si="60"/>
        <v>0</v>
      </c>
      <c r="J3882" s="75">
        <v>0</v>
      </c>
      <c r="O3882" s="75">
        <v>1</v>
      </c>
      <c r="P3882" s="75">
        <v>0</v>
      </c>
      <c r="Q3882" s="75">
        <v>0</v>
      </c>
      <c r="R3882" s="75">
        <v>0</v>
      </c>
      <c r="S3882" s="75">
        <v>0</v>
      </c>
      <c r="T3882" s="75">
        <v>0</v>
      </c>
      <c r="U3882" s="75">
        <v>0</v>
      </c>
      <c r="V3882" s="75">
        <v>1</v>
      </c>
      <c r="W3882" s="78">
        <v>0</v>
      </c>
    </row>
    <row r="3883" spans="1:23" s="75" customFormat="1" hidden="1" x14ac:dyDescent="0.35">
      <c r="A3883" s="75">
        <v>3879</v>
      </c>
      <c r="B3883" s="75">
        <v>3880</v>
      </c>
      <c r="C3883">
        <v>146.03859560000001</v>
      </c>
      <c r="D3883">
        <v>-17.50479516</v>
      </c>
      <c r="F3883" s="75" t="str">
        <f>HYPERLINK("E:\Data From Lucan\2024\Johnstone\Frames_for_Analysis\3880_20240610_0005_L_1819.jpg","3880_20240610_0005_L_1819.jpg")</f>
        <v>3880_20240610_0005_L_1819.jpg</v>
      </c>
      <c r="G3883" s="75">
        <v>5</v>
      </c>
      <c r="I3883">
        <f t="shared" si="60"/>
        <v>0</v>
      </c>
      <c r="J3883" s="75">
        <v>0</v>
      </c>
      <c r="O3883" s="75">
        <v>1</v>
      </c>
      <c r="P3883" s="75">
        <v>0</v>
      </c>
      <c r="Q3883" s="75">
        <v>0</v>
      </c>
      <c r="R3883" s="75">
        <v>0</v>
      </c>
      <c r="S3883" s="75">
        <v>0</v>
      </c>
      <c r="T3883" s="75">
        <v>0</v>
      </c>
      <c r="U3883" s="75">
        <v>0</v>
      </c>
      <c r="V3883" s="75">
        <v>0</v>
      </c>
      <c r="W3883" s="78">
        <v>0</v>
      </c>
    </row>
    <row r="3884" spans="1:23" s="75" customFormat="1" hidden="1" x14ac:dyDescent="0.35">
      <c r="A3884" s="75">
        <v>3880</v>
      </c>
      <c r="B3884" s="75">
        <v>3881</v>
      </c>
      <c r="C3884">
        <v>146.0386134</v>
      </c>
      <c r="D3884">
        <v>-17.50488769</v>
      </c>
      <c r="F3884" s="75" t="str">
        <f>HYPERLINK("E:\Data From Lucan\2024\Johnstone\Frames_for_Analysis\3881_20240610_0005_L_1821.jpg","3881_20240610_0005_L_1821.jpg")</f>
        <v>3881_20240610_0005_L_1821.jpg</v>
      </c>
      <c r="G3884" s="75">
        <v>5</v>
      </c>
      <c r="I3884">
        <f t="shared" si="60"/>
        <v>0</v>
      </c>
      <c r="J3884" s="75">
        <v>0</v>
      </c>
      <c r="O3884" s="75">
        <v>1</v>
      </c>
      <c r="P3884" s="75">
        <v>0</v>
      </c>
      <c r="Q3884" s="75">
        <v>0</v>
      </c>
      <c r="R3884" s="75">
        <v>0</v>
      </c>
      <c r="S3884" s="75">
        <v>0</v>
      </c>
      <c r="T3884" s="75">
        <v>0</v>
      </c>
      <c r="U3884" s="75">
        <v>0</v>
      </c>
      <c r="V3884" s="75">
        <v>0</v>
      </c>
      <c r="W3884" s="78">
        <v>0</v>
      </c>
    </row>
    <row r="3885" spans="1:23" s="75" customFormat="1" hidden="1" x14ac:dyDescent="0.35">
      <c r="A3885" s="75">
        <v>3881</v>
      </c>
      <c r="B3885" s="75">
        <v>3882</v>
      </c>
      <c r="C3885">
        <v>146.03861280000001</v>
      </c>
      <c r="D3885">
        <v>-17.504981990000001</v>
      </c>
      <c r="F3885" s="75" t="str">
        <f>HYPERLINK("E:\Data From Lucan\2024\Johnstone\Frames_for_Analysis\3882_20240610_0005_L_1823.jpg","3882_20240610_0005_L_1823.jpg")</f>
        <v>3882_20240610_0005_L_1823.jpg</v>
      </c>
      <c r="G3885" s="75">
        <v>5</v>
      </c>
      <c r="I3885">
        <f t="shared" si="60"/>
        <v>0</v>
      </c>
      <c r="J3885" s="75">
        <v>0</v>
      </c>
      <c r="O3885" s="75">
        <v>1</v>
      </c>
      <c r="P3885" s="75">
        <v>0</v>
      </c>
      <c r="Q3885" s="75">
        <v>0</v>
      </c>
      <c r="R3885" s="75">
        <v>0</v>
      </c>
      <c r="S3885" s="75">
        <v>0</v>
      </c>
      <c r="T3885" s="75">
        <v>0</v>
      </c>
      <c r="U3885" s="75">
        <v>0</v>
      </c>
      <c r="V3885" s="75">
        <v>0</v>
      </c>
      <c r="W3885" s="78">
        <v>0</v>
      </c>
    </row>
    <row r="3886" spans="1:23" s="75" customFormat="1" hidden="1" x14ac:dyDescent="0.35">
      <c r="A3886" s="75">
        <v>3882</v>
      </c>
      <c r="B3886" s="75">
        <v>3883</v>
      </c>
      <c r="C3886">
        <v>146.0386116</v>
      </c>
      <c r="D3886">
        <v>-17.50507627</v>
      </c>
      <c r="F3886" s="75" t="str">
        <f>HYPERLINK("E:\Data From Lucan\2024\Johnstone\Frames_for_Analysis\3883_20240610_0005_L_1825.jpg","3883_20240610_0005_L_1825.jpg")</f>
        <v>3883_20240610_0005_L_1825.jpg</v>
      </c>
      <c r="G3886" s="75">
        <v>5</v>
      </c>
      <c r="I3886">
        <f t="shared" si="60"/>
        <v>0</v>
      </c>
      <c r="J3886" s="75">
        <v>0</v>
      </c>
      <c r="O3886" s="75">
        <v>1</v>
      </c>
      <c r="P3886" s="75">
        <v>0</v>
      </c>
      <c r="Q3886" s="75">
        <v>0</v>
      </c>
      <c r="R3886" s="75">
        <v>0</v>
      </c>
      <c r="S3886" s="75">
        <v>0</v>
      </c>
      <c r="T3886" s="75">
        <v>0</v>
      </c>
      <c r="U3886" s="75">
        <v>0</v>
      </c>
      <c r="V3886" s="75">
        <v>0</v>
      </c>
      <c r="W3886" s="78">
        <v>0</v>
      </c>
    </row>
    <row r="3887" spans="1:23" s="75" customFormat="1" hidden="1" x14ac:dyDescent="0.35">
      <c r="A3887" s="75">
        <v>3883</v>
      </c>
      <c r="B3887" s="75">
        <v>3884</v>
      </c>
      <c r="C3887">
        <v>146.03860349999999</v>
      </c>
      <c r="D3887">
        <v>-17.505170230000001</v>
      </c>
      <c r="F3887" s="75" t="str">
        <f>HYPERLINK("E:\Data From Lucan\2024\Johnstone\Frames_for_Analysis\3884_20240610_0005_L_1827.jpg","3884_20240610_0005_L_1827.jpg")</f>
        <v>3884_20240610_0005_L_1827.jpg</v>
      </c>
      <c r="G3887" s="75">
        <v>5</v>
      </c>
      <c r="I3887">
        <f t="shared" si="60"/>
        <v>0</v>
      </c>
      <c r="J3887" s="75">
        <v>0</v>
      </c>
      <c r="O3887" s="75">
        <v>1</v>
      </c>
      <c r="P3887" s="75">
        <v>0</v>
      </c>
      <c r="Q3887" s="75">
        <v>0</v>
      </c>
      <c r="R3887" s="75">
        <v>0</v>
      </c>
      <c r="S3887" s="75">
        <v>0</v>
      </c>
      <c r="T3887" s="75">
        <v>0</v>
      </c>
      <c r="U3887" s="75">
        <v>0</v>
      </c>
      <c r="V3887" s="75">
        <v>0</v>
      </c>
      <c r="W3887" s="78">
        <v>0</v>
      </c>
    </row>
    <row r="3888" spans="1:23" s="75" customFormat="1" hidden="1" x14ac:dyDescent="0.35">
      <c r="A3888" s="75">
        <v>3884</v>
      </c>
      <c r="B3888" s="75">
        <v>3885</v>
      </c>
      <c r="C3888">
        <v>146.03858020000001</v>
      </c>
      <c r="D3888">
        <v>-17.50526017</v>
      </c>
      <c r="F3888" s="75" t="str">
        <f>HYPERLINK("E:\Data From Lucan\2024\Johnstone\Frames_for_Analysis\3885_20240610_0005_L_1830.jpg","3885_20240610_0005_L_1830.jpg")</f>
        <v>3885_20240610_0005_L_1830.jpg</v>
      </c>
      <c r="G3888" s="75">
        <v>5</v>
      </c>
      <c r="I3888">
        <f t="shared" si="60"/>
        <v>0</v>
      </c>
      <c r="J3888" s="75">
        <v>0</v>
      </c>
      <c r="O3888" s="75">
        <v>1</v>
      </c>
      <c r="P3888" s="75">
        <v>0</v>
      </c>
      <c r="Q3888" s="75">
        <v>0</v>
      </c>
      <c r="R3888" s="75">
        <v>0</v>
      </c>
      <c r="S3888" s="75">
        <v>0</v>
      </c>
      <c r="T3888" s="75">
        <v>0</v>
      </c>
      <c r="U3888" s="75">
        <v>0</v>
      </c>
      <c r="V3888" s="75">
        <v>0</v>
      </c>
      <c r="W3888" s="78">
        <v>0</v>
      </c>
    </row>
    <row r="3889" spans="1:23" s="75" customFormat="1" hidden="1" x14ac:dyDescent="0.35">
      <c r="A3889" s="75">
        <v>3885</v>
      </c>
      <c r="B3889" s="75">
        <v>3886</v>
      </c>
      <c r="C3889">
        <v>146.03854079999999</v>
      </c>
      <c r="D3889">
        <v>-17.505345850000001</v>
      </c>
      <c r="F3889" s="75" t="str">
        <f>HYPERLINK("E:\Data From Lucan\2024\Johnstone\Frames_for_Analysis\3886_20240610_0005_L_1832.jpg","3886_20240610_0005_L_1832.jpg")</f>
        <v>3886_20240610_0005_L_1832.jpg</v>
      </c>
      <c r="G3889" s="75">
        <v>5</v>
      </c>
      <c r="I3889">
        <f t="shared" si="60"/>
        <v>0</v>
      </c>
      <c r="J3889" s="75">
        <v>0</v>
      </c>
      <c r="O3889" s="75">
        <v>1</v>
      </c>
      <c r="P3889" s="75">
        <v>0</v>
      </c>
      <c r="Q3889" s="75">
        <v>0</v>
      </c>
      <c r="R3889" s="75">
        <v>0</v>
      </c>
      <c r="S3889" s="75">
        <v>0</v>
      </c>
      <c r="T3889" s="75">
        <v>0</v>
      </c>
      <c r="U3889" s="75">
        <v>0</v>
      </c>
      <c r="V3889" s="75">
        <v>0</v>
      </c>
      <c r="W3889" s="78">
        <v>0</v>
      </c>
    </row>
    <row r="3890" spans="1:23" s="75" customFormat="1" hidden="1" x14ac:dyDescent="0.35">
      <c r="A3890" s="75">
        <v>3886</v>
      </c>
      <c r="B3890" s="75">
        <v>3887</v>
      </c>
      <c r="C3890">
        <v>146.03848909999999</v>
      </c>
      <c r="D3890">
        <v>-17.50542123</v>
      </c>
      <c r="F3890" s="75" t="str">
        <f>HYPERLINK("E:\Data From Lucan\2024\Johnstone\Frames_for_Analysis\3887_20240610_0005_L_1834.jpg","3887_20240610_0005_L_1834.jpg")</f>
        <v>3887_20240610_0005_L_1834.jpg</v>
      </c>
      <c r="G3890" s="75">
        <v>5</v>
      </c>
      <c r="I3890">
        <f t="shared" si="60"/>
        <v>0</v>
      </c>
      <c r="J3890" s="75">
        <v>0</v>
      </c>
      <c r="O3890" s="75">
        <v>1</v>
      </c>
      <c r="P3890" s="75">
        <v>0</v>
      </c>
      <c r="Q3890" s="75">
        <v>0</v>
      </c>
      <c r="R3890" s="75">
        <v>0</v>
      </c>
      <c r="S3890" s="75">
        <v>0</v>
      </c>
      <c r="T3890" s="75">
        <v>0</v>
      </c>
      <c r="U3890" s="75">
        <v>0</v>
      </c>
      <c r="V3890" s="75">
        <v>1</v>
      </c>
      <c r="W3890" s="78">
        <v>0</v>
      </c>
    </row>
    <row r="3891" spans="1:23" s="75" customFormat="1" hidden="1" x14ac:dyDescent="0.35">
      <c r="A3891" s="75">
        <v>3887</v>
      </c>
      <c r="B3891" s="75">
        <v>3888</v>
      </c>
      <c r="C3891">
        <v>146.03841209999999</v>
      </c>
      <c r="D3891">
        <v>-17.50547568</v>
      </c>
      <c r="F3891" s="75" t="str">
        <f>HYPERLINK("E:\Data From Lucan\2024\Johnstone\Frames_for_Analysis\3888_20240610_0005_L_1836.jpg","3888_20240610_0005_L_1836.jpg")</f>
        <v>3888_20240610_0005_L_1836.jpg</v>
      </c>
      <c r="G3891" s="75">
        <v>5</v>
      </c>
      <c r="I3891">
        <f t="shared" si="60"/>
        <v>0</v>
      </c>
      <c r="J3891" s="75">
        <v>0</v>
      </c>
      <c r="O3891" s="75">
        <v>1</v>
      </c>
      <c r="P3891" s="75">
        <v>0</v>
      </c>
      <c r="Q3891" s="75">
        <v>0</v>
      </c>
      <c r="R3891" s="75">
        <v>0</v>
      </c>
      <c r="S3891" s="75">
        <v>0</v>
      </c>
      <c r="T3891" s="75">
        <v>0</v>
      </c>
      <c r="U3891" s="75">
        <v>0</v>
      </c>
      <c r="V3891" s="75">
        <v>1</v>
      </c>
      <c r="W3891" s="78">
        <v>0</v>
      </c>
    </row>
    <row r="3892" spans="1:23" s="75" customFormat="1" hidden="1" x14ac:dyDescent="0.35">
      <c r="A3892" s="75">
        <v>3888</v>
      </c>
      <c r="B3892" s="75">
        <v>3889</v>
      </c>
      <c r="C3892">
        <v>146.03834029999999</v>
      </c>
      <c r="D3892">
        <v>-17.505536209999999</v>
      </c>
      <c r="F3892" s="75" t="str">
        <f>HYPERLINK("E:\Data From Lucan\2024\Johnstone\Frames_for_Analysis\3889_20240610_0005_L_1839.jpg","3889_20240610_0005_L_1839.jpg")</f>
        <v>3889_20240610_0005_L_1839.jpg</v>
      </c>
      <c r="G3892" s="75">
        <v>5</v>
      </c>
      <c r="I3892">
        <f t="shared" si="60"/>
        <v>0</v>
      </c>
      <c r="J3892" s="75">
        <v>0</v>
      </c>
      <c r="O3892" s="75">
        <v>1</v>
      </c>
      <c r="P3892" s="75">
        <v>0</v>
      </c>
      <c r="Q3892" s="75">
        <v>0</v>
      </c>
      <c r="R3892" s="75">
        <v>0</v>
      </c>
      <c r="S3892" s="75">
        <v>0</v>
      </c>
      <c r="T3892" s="75">
        <v>0</v>
      </c>
      <c r="U3892" s="75">
        <v>0</v>
      </c>
      <c r="V3892" s="75">
        <v>0</v>
      </c>
      <c r="W3892" s="78">
        <v>0</v>
      </c>
    </row>
    <row r="3893" spans="1:23" s="75" customFormat="1" hidden="1" x14ac:dyDescent="0.35">
      <c r="A3893" s="75">
        <v>3889</v>
      </c>
      <c r="B3893" s="75">
        <v>3890</v>
      </c>
      <c r="C3893">
        <v>146.03827759999999</v>
      </c>
      <c r="D3893">
        <v>-17.505606650000001</v>
      </c>
      <c r="F3893" s="75" t="str">
        <f>HYPERLINK("E:\Data From Lucan\2024\Johnstone\Frames_for_Analysis\3890_20240610_0005_L_1842.jpg","3890_20240610_0005_L_1842.jpg")</f>
        <v>3890_20240610_0005_L_1842.jpg</v>
      </c>
      <c r="G3893" s="75">
        <v>5</v>
      </c>
      <c r="I3893">
        <f t="shared" si="60"/>
        <v>0</v>
      </c>
      <c r="J3893" s="75">
        <v>0</v>
      </c>
      <c r="O3893" s="75">
        <v>1</v>
      </c>
      <c r="P3893" s="75">
        <v>0</v>
      </c>
      <c r="Q3893" s="75">
        <v>0</v>
      </c>
      <c r="R3893" s="75">
        <v>0</v>
      </c>
      <c r="S3893" s="75">
        <v>0</v>
      </c>
      <c r="T3893" s="75">
        <v>0</v>
      </c>
      <c r="U3893" s="75">
        <v>0</v>
      </c>
      <c r="V3893" s="75">
        <v>1</v>
      </c>
      <c r="W3893" s="78">
        <v>0</v>
      </c>
    </row>
    <row r="3894" spans="1:23" s="75" customFormat="1" hidden="1" x14ac:dyDescent="0.35">
      <c r="A3894" s="75">
        <v>3890</v>
      </c>
      <c r="B3894" s="75">
        <v>3891</v>
      </c>
      <c r="C3894">
        <v>146.03821490000001</v>
      </c>
      <c r="D3894">
        <v>-17.505677080000002</v>
      </c>
      <c r="F3894" s="75" t="str">
        <f>HYPERLINK("E:\Data From Lucan\2024\Johnstone\Frames_for_Analysis\3891_20240610_0005_L_1844.jpg","3891_20240610_0005_L_1844.jpg")</f>
        <v>3891_20240610_0005_L_1844.jpg</v>
      </c>
      <c r="G3894" s="75">
        <v>5</v>
      </c>
      <c r="I3894">
        <f t="shared" si="60"/>
        <v>0</v>
      </c>
      <c r="J3894" s="75">
        <v>0</v>
      </c>
      <c r="O3894" s="75">
        <v>1</v>
      </c>
      <c r="P3894" s="75">
        <v>0</v>
      </c>
      <c r="Q3894" s="75">
        <v>0</v>
      </c>
      <c r="R3894" s="75">
        <v>0</v>
      </c>
      <c r="S3894" s="75">
        <v>0</v>
      </c>
      <c r="T3894" s="75">
        <v>0</v>
      </c>
      <c r="U3894" s="75">
        <v>0</v>
      </c>
      <c r="V3894" s="75">
        <v>0</v>
      </c>
      <c r="W3894" s="78">
        <v>0</v>
      </c>
    </row>
    <row r="3895" spans="1:23" s="75" customFormat="1" hidden="1" x14ac:dyDescent="0.35">
      <c r="A3895" s="75">
        <v>3891</v>
      </c>
      <c r="B3895" s="75">
        <v>3892</v>
      </c>
      <c r="C3895">
        <v>146.03815710000001</v>
      </c>
      <c r="D3895">
        <v>-17.505751610000001</v>
      </c>
      <c r="F3895" s="75" t="str">
        <f>HYPERLINK("E:\Data From Lucan\2024\Johnstone\Frames_for_Analysis\3892_20240610_0005_L_1847.jpg","3892_20240610_0005_L_1847.jpg")</f>
        <v>3892_20240610_0005_L_1847.jpg</v>
      </c>
      <c r="G3895" s="75">
        <v>5</v>
      </c>
      <c r="I3895">
        <f t="shared" si="60"/>
        <v>0</v>
      </c>
      <c r="J3895" s="75">
        <v>0</v>
      </c>
      <c r="O3895" s="75">
        <v>1</v>
      </c>
      <c r="P3895" s="75">
        <v>0</v>
      </c>
      <c r="Q3895" s="75">
        <v>0</v>
      </c>
      <c r="R3895" s="75">
        <v>0</v>
      </c>
      <c r="S3895" s="75">
        <v>0</v>
      </c>
      <c r="T3895" s="75">
        <v>0</v>
      </c>
      <c r="U3895" s="75">
        <v>0</v>
      </c>
      <c r="V3895" s="75">
        <v>0</v>
      </c>
      <c r="W3895" s="78">
        <v>0</v>
      </c>
    </row>
    <row r="3896" spans="1:23" s="75" customFormat="1" hidden="1" x14ac:dyDescent="0.35">
      <c r="A3896" s="75">
        <v>3892</v>
      </c>
      <c r="B3896" s="75">
        <v>3893</v>
      </c>
      <c r="C3896">
        <v>146.03809939999999</v>
      </c>
      <c r="D3896">
        <v>-17.505826169999999</v>
      </c>
      <c r="F3896" s="75" t="str">
        <f>HYPERLINK("E:\Data From Lucan\2024\Johnstone\Frames_for_Analysis\3893_20240610_0005_L_1849.jpg","3893_20240610_0005_L_1849.jpg")</f>
        <v>3893_20240610_0005_L_1849.jpg</v>
      </c>
      <c r="G3896" s="75">
        <v>5</v>
      </c>
      <c r="I3896">
        <f t="shared" si="60"/>
        <v>0</v>
      </c>
      <c r="J3896" s="75">
        <v>0</v>
      </c>
      <c r="O3896" s="75">
        <v>1</v>
      </c>
      <c r="P3896" s="75">
        <v>0</v>
      </c>
      <c r="Q3896" s="75">
        <v>0</v>
      </c>
      <c r="R3896" s="75">
        <v>0</v>
      </c>
      <c r="S3896" s="75">
        <v>0</v>
      </c>
      <c r="T3896" s="75">
        <v>0</v>
      </c>
      <c r="U3896" s="75">
        <v>0</v>
      </c>
      <c r="V3896" s="75">
        <v>0</v>
      </c>
      <c r="W3896" s="78">
        <v>0</v>
      </c>
    </row>
    <row r="3897" spans="1:23" s="75" customFormat="1" hidden="1" x14ac:dyDescent="0.35">
      <c r="A3897" s="75">
        <v>3893</v>
      </c>
      <c r="B3897" s="75">
        <v>3894</v>
      </c>
      <c r="C3897">
        <v>146.03803959999999</v>
      </c>
      <c r="D3897">
        <v>-17.505899119999999</v>
      </c>
      <c r="F3897" s="75" t="str">
        <f>HYPERLINK("E:\Data From Lucan\2024\Johnstone\Frames_for_Analysis\3894_20240610_0005_L_1852.jpg","3894_20240610_0005_L_1852.jpg")</f>
        <v>3894_20240610_0005_L_1852.jpg</v>
      </c>
      <c r="G3897" s="75">
        <v>5</v>
      </c>
      <c r="I3897">
        <f t="shared" si="60"/>
        <v>0</v>
      </c>
      <c r="J3897" s="75">
        <v>0</v>
      </c>
      <c r="O3897" s="75">
        <v>1</v>
      </c>
      <c r="P3897" s="75">
        <v>0</v>
      </c>
      <c r="Q3897" s="75">
        <v>0</v>
      </c>
      <c r="R3897" s="75">
        <v>0</v>
      </c>
      <c r="S3897" s="75">
        <v>0</v>
      </c>
      <c r="T3897" s="75">
        <v>0</v>
      </c>
      <c r="U3897" s="75">
        <v>0</v>
      </c>
      <c r="V3897" s="75">
        <v>0</v>
      </c>
      <c r="W3897" s="78">
        <v>0</v>
      </c>
    </row>
    <row r="3898" spans="1:23" s="75" customFormat="1" hidden="1" x14ac:dyDescent="0.35">
      <c r="A3898" s="75">
        <v>3894</v>
      </c>
      <c r="B3898" s="75">
        <v>3895</v>
      </c>
      <c r="C3898">
        <v>146.03797900000001</v>
      </c>
      <c r="D3898">
        <v>-17.505971370000001</v>
      </c>
      <c r="F3898" s="75" t="str">
        <f>HYPERLINK("E:\Data From Lucan\2024\Johnstone\Frames_for_Analysis\3895_20240610_0005_L_1854.jpg","3895_20240610_0005_L_1854.jpg")</f>
        <v>3895_20240610_0005_L_1854.jpg</v>
      </c>
      <c r="G3898" s="75">
        <v>5</v>
      </c>
      <c r="I3898">
        <f t="shared" si="60"/>
        <v>0</v>
      </c>
      <c r="J3898" s="75">
        <v>0</v>
      </c>
      <c r="O3898" s="75">
        <v>1</v>
      </c>
      <c r="P3898" s="75">
        <v>0</v>
      </c>
      <c r="Q3898" s="75">
        <v>0</v>
      </c>
      <c r="R3898" s="75">
        <v>0</v>
      </c>
      <c r="S3898" s="75">
        <v>0</v>
      </c>
      <c r="T3898" s="75">
        <v>0</v>
      </c>
      <c r="U3898" s="75">
        <v>0</v>
      </c>
      <c r="V3898" s="75">
        <v>0</v>
      </c>
      <c r="W3898" s="78">
        <v>0</v>
      </c>
    </row>
    <row r="3899" spans="1:23" s="75" customFormat="1" hidden="1" x14ac:dyDescent="0.35">
      <c r="A3899" s="75">
        <v>3895</v>
      </c>
      <c r="B3899" s="75">
        <v>3896</v>
      </c>
      <c r="C3899">
        <v>146.0379226</v>
      </c>
      <c r="D3899">
        <v>-17.50604676</v>
      </c>
      <c r="F3899" s="75" t="str">
        <f>HYPERLINK("E:\Data From Lucan\2024\Johnstone\Frames_for_Analysis\3896_20240610_0005_L_1857.jpg","3896_20240610_0005_L_1857.jpg")</f>
        <v>3896_20240610_0005_L_1857.jpg</v>
      </c>
      <c r="G3899" s="75">
        <v>5</v>
      </c>
      <c r="I3899">
        <f t="shared" si="60"/>
        <v>0</v>
      </c>
      <c r="J3899" s="75">
        <v>0</v>
      </c>
      <c r="O3899" s="75">
        <v>1</v>
      </c>
      <c r="P3899" s="75">
        <v>0</v>
      </c>
      <c r="Q3899" s="75">
        <v>0</v>
      </c>
      <c r="R3899" s="75">
        <v>0</v>
      </c>
      <c r="S3899" s="75">
        <v>0</v>
      </c>
      <c r="T3899" s="75">
        <v>0</v>
      </c>
      <c r="U3899" s="75">
        <v>0</v>
      </c>
      <c r="V3899" s="75">
        <v>0</v>
      </c>
      <c r="W3899" s="78">
        <v>0</v>
      </c>
    </row>
    <row r="3900" spans="1:23" s="75" customFormat="1" hidden="1" x14ac:dyDescent="0.35">
      <c r="A3900" s="75">
        <v>3896</v>
      </c>
      <c r="B3900" s="75">
        <v>3897</v>
      </c>
      <c r="C3900">
        <v>146.03787009999999</v>
      </c>
      <c r="D3900">
        <v>-17.506125099999998</v>
      </c>
      <c r="F3900" s="75" t="str">
        <f>HYPERLINK("E:\Data From Lucan\2024\Johnstone\Frames_for_Analysis\3897_20240610_0005_L_1859.jpg","3897_20240610_0005_L_1859.jpg")</f>
        <v>3897_20240610_0005_L_1859.jpg</v>
      </c>
      <c r="G3900" s="75">
        <v>5</v>
      </c>
      <c r="I3900">
        <f t="shared" si="60"/>
        <v>0</v>
      </c>
      <c r="J3900" s="75">
        <v>0</v>
      </c>
      <c r="O3900" s="75">
        <v>1</v>
      </c>
      <c r="P3900" s="75">
        <v>0</v>
      </c>
      <c r="Q3900" s="75">
        <v>0</v>
      </c>
      <c r="R3900" s="75">
        <v>0</v>
      </c>
      <c r="S3900" s="75">
        <v>0</v>
      </c>
      <c r="T3900" s="75">
        <v>0</v>
      </c>
      <c r="U3900" s="75">
        <v>0</v>
      </c>
      <c r="V3900" s="75">
        <v>0</v>
      </c>
      <c r="W3900" s="78">
        <v>0</v>
      </c>
    </row>
    <row r="3901" spans="1:23" s="75" customFormat="1" hidden="1" x14ac:dyDescent="0.35">
      <c r="A3901" s="75">
        <v>3897</v>
      </c>
      <c r="B3901" s="75">
        <v>3898</v>
      </c>
      <c r="C3901">
        <v>146.03781570000001</v>
      </c>
      <c r="D3901">
        <v>-17.506202070000001</v>
      </c>
      <c r="F3901" s="75" t="str">
        <f>HYPERLINK("E:\Data From Lucan\2024\Johnstone\Frames_for_Analysis\3898_20240610_0005_L_1862.jpg","3898_20240610_0005_L_1862.jpg")</f>
        <v>3898_20240610_0005_L_1862.jpg</v>
      </c>
      <c r="G3901" s="75">
        <v>5</v>
      </c>
      <c r="I3901">
        <f t="shared" si="60"/>
        <v>0</v>
      </c>
      <c r="J3901" s="75">
        <v>0</v>
      </c>
      <c r="O3901" s="75">
        <v>1</v>
      </c>
      <c r="P3901" s="75">
        <v>0</v>
      </c>
      <c r="Q3901" s="75">
        <v>0</v>
      </c>
      <c r="R3901" s="75">
        <v>0</v>
      </c>
      <c r="S3901" s="75">
        <v>0</v>
      </c>
      <c r="T3901" s="75">
        <v>0</v>
      </c>
      <c r="U3901" s="75">
        <v>0</v>
      </c>
      <c r="V3901" s="75">
        <v>0</v>
      </c>
      <c r="W3901" s="78">
        <v>0</v>
      </c>
    </row>
    <row r="3902" spans="1:23" s="75" customFormat="1" hidden="1" x14ac:dyDescent="0.35">
      <c r="A3902" s="75">
        <v>3898</v>
      </c>
      <c r="B3902" s="75">
        <v>3899</v>
      </c>
      <c r="C3902">
        <v>146.03775880000001</v>
      </c>
      <c r="D3902">
        <v>-17.506277319999999</v>
      </c>
      <c r="F3902" s="75" t="str">
        <f>HYPERLINK("E:\Data From Lucan\2024\Johnstone\Frames_for_Analysis\3899_20240610_0005_L_1864.jpg","3899_20240610_0005_L_1864.jpg")</f>
        <v>3899_20240610_0005_L_1864.jpg</v>
      </c>
      <c r="G3902" s="75">
        <v>5</v>
      </c>
      <c r="I3902">
        <f t="shared" si="60"/>
        <v>0</v>
      </c>
      <c r="J3902" s="75">
        <v>0</v>
      </c>
      <c r="O3902" s="75">
        <v>1</v>
      </c>
      <c r="P3902" s="75">
        <v>0</v>
      </c>
      <c r="Q3902" s="75">
        <v>0</v>
      </c>
      <c r="R3902" s="75">
        <v>0</v>
      </c>
      <c r="S3902" s="75">
        <v>0</v>
      </c>
      <c r="T3902" s="75">
        <v>0</v>
      </c>
      <c r="U3902" s="75">
        <v>0</v>
      </c>
      <c r="V3902" s="75">
        <v>0</v>
      </c>
      <c r="W3902" s="78">
        <v>0</v>
      </c>
    </row>
    <row r="3903" spans="1:23" s="75" customFormat="1" hidden="1" x14ac:dyDescent="0.35">
      <c r="A3903" s="75">
        <v>3899</v>
      </c>
      <c r="B3903" s="75">
        <v>3900</v>
      </c>
      <c r="C3903">
        <v>146.037702</v>
      </c>
      <c r="D3903">
        <v>-17.506352580000001</v>
      </c>
      <c r="F3903" s="75" t="str">
        <f>HYPERLINK("E:\Data From Lucan\2024\Johnstone\Frames_for_Analysis\3900_20240610_0005_L_1867.jpg","3900_20240610_0005_L_1867.jpg")</f>
        <v>3900_20240610_0005_L_1867.jpg</v>
      </c>
      <c r="G3903" s="75">
        <v>5</v>
      </c>
      <c r="I3903">
        <f t="shared" si="60"/>
        <v>0</v>
      </c>
      <c r="J3903" s="75">
        <v>0</v>
      </c>
      <c r="O3903" s="75">
        <v>1</v>
      </c>
      <c r="P3903" s="75">
        <v>0</v>
      </c>
      <c r="Q3903" s="75">
        <v>0</v>
      </c>
      <c r="R3903" s="75">
        <v>0</v>
      </c>
      <c r="S3903" s="75">
        <v>0</v>
      </c>
      <c r="T3903" s="75">
        <v>0</v>
      </c>
      <c r="U3903" s="75">
        <v>0</v>
      </c>
      <c r="V3903" s="75">
        <v>0</v>
      </c>
      <c r="W3903" s="78">
        <v>0</v>
      </c>
    </row>
    <row r="3904" spans="1:23" s="75" customFormat="1" hidden="1" x14ac:dyDescent="0.35">
      <c r="A3904" s="75">
        <v>3900</v>
      </c>
      <c r="B3904" s="75">
        <v>3901</v>
      </c>
      <c r="C3904">
        <v>146.03765540000001</v>
      </c>
      <c r="D3904">
        <v>-17.506434169999999</v>
      </c>
      <c r="F3904" s="75" t="str">
        <f>HYPERLINK("E:\Data From Lucan\2024\Johnstone\Frames_for_Analysis\3901_20240610_0005_L_1869.jpg","3901_20240610_0005_L_1869.jpg")</f>
        <v>3901_20240610_0005_L_1869.jpg</v>
      </c>
      <c r="G3904" s="75">
        <v>5</v>
      </c>
      <c r="I3904">
        <f t="shared" si="60"/>
        <v>0</v>
      </c>
      <c r="J3904" s="75">
        <v>0</v>
      </c>
      <c r="O3904" s="75">
        <v>1</v>
      </c>
      <c r="P3904" s="75">
        <v>0</v>
      </c>
      <c r="Q3904" s="75">
        <v>0</v>
      </c>
      <c r="R3904" s="75">
        <v>0</v>
      </c>
      <c r="S3904" s="75">
        <v>0</v>
      </c>
      <c r="T3904" s="75">
        <v>0</v>
      </c>
      <c r="U3904" s="75">
        <v>0</v>
      </c>
      <c r="V3904" s="75">
        <v>0</v>
      </c>
      <c r="W3904" s="78">
        <v>0</v>
      </c>
    </row>
    <row r="3905" spans="1:23" s="75" customFormat="1" hidden="1" x14ac:dyDescent="0.35">
      <c r="A3905" s="75">
        <v>3901</v>
      </c>
      <c r="B3905" s="75">
        <v>3902</v>
      </c>
      <c r="C3905">
        <v>146.0376133</v>
      </c>
      <c r="D3905">
        <v>-17.506518549999999</v>
      </c>
      <c r="F3905" s="75" t="str">
        <f>HYPERLINK("E:\Data From Lucan\2024\Johnstone\Frames_for_Analysis\3902_20240610_0005_L_1871.jpg","3902_20240610_0005_L_1871.jpg")</f>
        <v>3902_20240610_0005_L_1871.jpg</v>
      </c>
      <c r="G3905" s="75">
        <v>5</v>
      </c>
      <c r="I3905">
        <f t="shared" si="60"/>
        <v>0</v>
      </c>
      <c r="J3905" s="75">
        <v>0</v>
      </c>
      <c r="O3905" s="75">
        <v>1</v>
      </c>
      <c r="P3905" s="75">
        <v>0</v>
      </c>
      <c r="Q3905" s="75">
        <v>0</v>
      </c>
      <c r="R3905" s="75">
        <v>0</v>
      </c>
      <c r="S3905" s="75">
        <v>0</v>
      </c>
      <c r="T3905" s="75">
        <v>0</v>
      </c>
      <c r="U3905" s="75">
        <v>0</v>
      </c>
      <c r="V3905" s="75">
        <v>0</v>
      </c>
      <c r="W3905" s="78">
        <v>0</v>
      </c>
    </row>
    <row r="3906" spans="1:23" s="75" customFormat="1" hidden="1" x14ac:dyDescent="0.35">
      <c r="A3906" s="75">
        <v>3902</v>
      </c>
      <c r="B3906" s="75">
        <v>3903</v>
      </c>
      <c r="C3906">
        <v>146.03757390000001</v>
      </c>
      <c r="D3906">
        <v>-17.50660414</v>
      </c>
      <c r="F3906" s="75" t="str">
        <f>HYPERLINK("E:\Data From Lucan\2024\Johnstone\Frames_for_Analysis\3903_20240610_0005_L_1875.jpg","3903_20240610_0005_L_1875.jpg")</f>
        <v>3903_20240610_0005_L_1875.jpg</v>
      </c>
      <c r="G3906" s="75">
        <v>5</v>
      </c>
      <c r="I3906">
        <f t="shared" si="60"/>
        <v>0</v>
      </c>
      <c r="J3906" s="75">
        <v>0</v>
      </c>
      <c r="O3906" s="75">
        <v>1</v>
      </c>
      <c r="P3906" s="75">
        <v>0</v>
      </c>
      <c r="Q3906" s="75">
        <v>0</v>
      </c>
      <c r="R3906" s="75">
        <v>0</v>
      </c>
      <c r="S3906" s="75">
        <v>0</v>
      </c>
      <c r="T3906" s="75">
        <v>0</v>
      </c>
      <c r="U3906" s="75">
        <v>0</v>
      </c>
      <c r="V3906" s="75">
        <v>0</v>
      </c>
      <c r="W3906" s="78">
        <v>0</v>
      </c>
    </row>
    <row r="3907" spans="1:23" s="75" customFormat="1" hidden="1" x14ac:dyDescent="0.35">
      <c r="A3907" s="75">
        <v>3903</v>
      </c>
      <c r="B3907" s="75">
        <v>3904</v>
      </c>
      <c r="C3907">
        <v>146.03753140000001</v>
      </c>
      <c r="D3907">
        <v>-17.506687629999998</v>
      </c>
      <c r="F3907" s="75" t="str">
        <f>HYPERLINK("E:\Data From Lucan\2024\Johnstone\Frames_for_Analysis\3904_20240610_0005_L_1878.jpg","3904_20240610_0005_L_1878.jpg")</f>
        <v>3904_20240610_0005_L_1878.jpg</v>
      </c>
      <c r="G3907" s="75">
        <v>5</v>
      </c>
      <c r="I3907">
        <f t="shared" si="60"/>
        <v>0</v>
      </c>
      <c r="J3907" s="75">
        <v>0</v>
      </c>
      <c r="O3907" s="75">
        <v>1</v>
      </c>
      <c r="P3907" s="75">
        <v>0</v>
      </c>
      <c r="Q3907" s="75">
        <v>0</v>
      </c>
      <c r="R3907" s="75">
        <v>0</v>
      </c>
      <c r="S3907" s="75">
        <v>0</v>
      </c>
      <c r="T3907" s="75">
        <v>0</v>
      </c>
      <c r="U3907" s="75">
        <v>0</v>
      </c>
      <c r="V3907" s="75">
        <v>0</v>
      </c>
      <c r="W3907" s="78">
        <v>0</v>
      </c>
    </row>
    <row r="3908" spans="1:23" s="75" customFormat="1" hidden="1" x14ac:dyDescent="0.35">
      <c r="A3908" s="75">
        <v>3904</v>
      </c>
      <c r="B3908" s="75">
        <v>3905</v>
      </c>
      <c r="C3908">
        <v>146.0374764</v>
      </c>
      <c r="D3908">
        <v>-17.506764239999999</v>
      </c>
      <c r="F3908" s="75" t="str">
        <f>HYPERLINK("E:\Data From Lucan\2024\Johnstone\Frames_for_Analysis\3905_20240610_0005_L_1880.jpg","3905_20240610_0005_L_1880.jpg")</f>
        <v>3905_20240610_0005_L_1880.jpg</v>
      </c>
      <c r="G3908" s="75">
        <v>5</v>
      </c>
      <c r="I3908">
        <f t="shared" si="60"/>
        <v>0</v>
      </c>
      <c r="J3908" s="75">
        <v>0</v>
      </c>
      <c r="O3908" s="75">
        <v>1</v>
      </c>
      <c r="P3908" s="75">
        <v>0</v>
      </c>
      <c r="Q3908" s="75">
        <v>0</v>
      </c>
      <c r="R3908" s="75">
        <v>0</v>
      </c>
      <c r="S3908" s="75">
        <v>0</v>
      </c>
      <c r="T3908" s="75">
        <v>0</v>
      </c>
      <c r="U3908" s="75">
        <v>0</v>
      </c>
      <c r="V3908" s="75">
        <v>0</v>
      </c>
      <c r="W3908" s="78">
        <v>0</v>
      </c>
    </row>
    <row r="3909" spans="1:23" s="75" customFormat="1" hidden="1" x14ac:dyDescent="0.35">
      <c r="A3909" s="75">
        <v>3905</v>
      </c>
      <c r="B3909" s="75">
        <v>3906</v>
      </c>
      <c r="C3909">
        <v>146.0374214</v>
      </c>
      <c r="D3909">
        <v>-17.50684085</v>
      </c>
      <c r="F3909" s="75" t="str">
        <f>HYPERLINK("E:\Data From Lucan\2024\Johnstone\Frames_for_Analysis\3906_20240610_0005_L_1883.jpg","3906_20240610_0005_L_1883.jpg")</f>
        <v>3906_20240610_0005_L_1883.jpg</v>
      </c>
      <c r="G3909" s="75">
        <v>5</v>
      </c>
      <c r="I3909">
        <f t="shared" ref="I3909:I3972" si="61">IF(H3909="X","X",IF(J3909="NA","X",IF(J3909="","X",J3909)))</f>
        <v>0</v>
      </c>
      <c r="J3909" s="75">
        <v>0</v>
      </c>
      <c r="O3909" s="75">
        <v>1</v>
      </c>
      <c r="P3909" s="75">
        <v>0</v>
      </c>
      <c r="Q3909" s="75">
        <v>0</v>
      </c>
      <c r="R3909" s="75">
        <v>0</v>
      </c>
      <c r="S3909" s="75">
        <v>0</v>
      </c>
      <c r="T3909" s="75">
        <v>0</v>
      </c>
      <c r="U3909" s="75">
        <v>0</v>
      </c>
      <c r="V3909" s="75">
        <v>0</v>
      </c>
      <c r="W3909" s="78">
        <v>0</v>
      </c>
    </row>
    <row r="3910" spans="1:23" s="75" customFormat="1" hidden="1" x14ac:dyDescent="0.35">
      <c r="A3910" s="75">
        <v>3906</v>
      </c>
      <c r="B3910" s="75">
        <v>3907</v>
      </c>
      <c r="C3910">
        <v>146.03737290000001</v>
      </c>
      <c r="D3910">
        <v>-17.506921729999998</v>
      </c>
      <c r="F3910" s="75" t="str">
        <f>HYPERLINK("E:\Data From Lucan\2024\Johnstone\Frames_for_Analysis\3907_20240610_0005_L_1885.jpg","3907_20240610_0005_L_1885.jpg")</f>
        <v>3907_20240610_0005_L_1885.jpg</v>
      </c>
      <c r="G3910" s="75">
        <v>5</v>
      </c>
      <c r="I3910">
        <f t="shared" si="61"/>
        <v>0</v>
      </c>
      <c r="J3910" s="75">
        <v>0</v>
      </c>
      <c r="O3910" s="75">
        <v>1</v>
      </c>
      <c r="P3910" s="75">
        <v>0</v>
      </c>
      <c r="Q3910" s="75">
        <v>0</v>
      </c>
      <c r="R3910" s="75">
        <v>0</v>
      </c>
      <c r="S3910" s="75">
        <v>0</v>
      </c>
      <c r="T3910" s="75">
        <v>0</v>
      </c>
      <c r="U3910" s="75">
        <v>0</v>
      </c>
      <c r="V3910" s="75">
        <v>0</v>
      </c>
      <c r="W3910" s="78">
        <v>0</v>
      </c>
    </row>
    <row r="3911" spans="1:23" s="75" customFormat="1" hidden="1" x14ac:dyDescent="0.35">
      <c r="A3911" s="75">
        <v>3907</v>
      </c>
      <c r="B3911" s="75">
        <v>3908</v>
      </c>
      <c r="C3911">
        <v>146.0373074</v>
      </c>
      <c r="D3911">
        <v>-17.506989390000001</v>
      </c>
      <c r="F3911" s="75" t="str">
        <f>HYPERLINK("E:\Data From Lucan\2024\Johnstone\Frames_for_Analysis\3908_20240610_0005_L_1889.jpg","3908_20240610_0005_L_1889.jpg")</f>
        <v>3908_20240610_0005_L_1889.jpg</v>
      </c>
      <c r="G3911" s="75">
        <v>5</v>
      </c>
      <c r="I3911">
        <f t="shared" si="61"/>
        <v>0</v>
      </c>
      <c r="J3911" s="75">
        <v>0</v>
      </c>
      <c r="O3911" s="75">
        <v>1</v>
      </c>
      <c r="P3911" s="75">
        <v>0</v>
      </c>
      <c r="Q3911" s="75">
        <v>0</v>
      </c>
      <c r="R3911" s="75">
        <v>0</v>
      </c>
      <c r="S3911" s="75">
        <v>0</v>
      </c>
      <c r="T3911" s="75">
        <v>0</v>
      </c>
      <c r="U3911" s="75">
        <v>0</v>
      </c>
      <c r="V3911" s="75">
        <v>0</v>
      </c>
      <c r="W3911" s="78">
        <v>0</v>
      </c>
    </row>
    <row r="3912" spans="1:23" s="75" customFormat="1" hidden="1" x14ac:dyDescent="0.35">
      <c r="A3912" s="75">
        <v>3908</v>
      </c>
      <c r="B3912" s="75">
        <v>3909</v>
      </c>
      <c r="C3912">
        <v>146.03724310000001</v>
      </c>
      <c r="D3912">
        <v>-17.507058069999999</v>
      </c>
      <c r="F3912" s="75" t="str">
        <f>HYPERLINK("E:\Data From Lucan\2024\Johnstone\Frames_for_Analysis\3909_20240610_0005_L_1891.jpg","3909_20240610_0005_L_1891.jpg")</f>
        <v>3909_20240610_0005_L_1891.jpg</v>
      </c>
      <c r="G3912" s="75">
        <v>5</v>
      </c>
      <c r="I3912">
        <f t="shared" si="61"/>
        <v>0</v>
      </c>
      <c r="J3912" s="75">
        <v>0</v>
      </c>
      <c r="O3912" s="75">
        <v>1</v>
      </c>
      <c r="P3912" s="75">
        <v>0</v>
      </c>
      <c r="Q3912" s="75">
        <v>0</v>
      </c>
      <c r="R3912" s="75">
        <v>0</v>
      </c>
      <c r="S3912" s="75">
        <v>0</v>
      </c>
      <c r="T3912" s="75">
        <v>0</v>
      </c>
      <c r="U3912" s="75">
        <v>0</v>
      </c>
      <c r="V3912" s="75">
        <v>0</v>
      </c>
      <c r="W3912" s="78">
        <v>0</v>
      </c>
    </row>
    <row r="3913" spans="1:23" s="75" customFormat="1" hidden="1" x14ac:dyDescent="0.35">
      <c r="A3913" s="75">
        <v>3909</v>
      </c>
      <c r="B3913" s="75">
        <v>3910</v>
      </c>
      <c r="C3913">
        <v>146.03719140000001</v>
      </c>
      <c r="D3913">
        <v>-17.507136930000001</v>
      </c>
      <c r="F3913" s="75" t="str">
        <f>HYPERLINK("E:\Data From Lucan\2024\Johnstone\Frames_for_Analysis\3910_20240610_0005_L_1894.jpg","3910_20240610_0005_L_1894.jpg")</f>
        <v>3910_20240610_0005_L_1894.jpg</v>
      </c>
      <c r="G3913" s="75">
        <v>5</v>
      </c>
      <c r="I3913">
        <f t="shared" si="61"/>
        <v>0</v>
      </c>
      <c r="J3913" s="75">
        <v>0</v>
      </c>
      <c r="O3913" s="75">
        <v>1</v>
      </c>
      <c r="P3913" s="75">
        <v>0</v>
      </c>
      <c r="Q3913" s="75">
        <v>0</v>
      </c>
      <c r="R3913" s="75">
        <v>0</v>
      </c>
      <c r="S3913" s="75">
        <v>0</v>
      </c>
      <c r="T3913" s="75">
        <v>0</v>
      </c>
      <c r="U3913" s="75">
        <v>0</v>
      </c>
      <c r="V3913" s="75">
        <v>0</v>
      </c>
      <c r="W3913" s="78">
        <v>0</v>
      </c>
    </row>
    <row r="3914" spans="1:23" s="75" customFormat="1" hidden="1" x14ac:dyDescent="0.35">
      <c r="A3914" s="75">
        <v>3910</v>
      </c>
      <c r="B3914" s="75">
        <v>3911</v>
      </c>
      <c r="C3914">
        <v>146.03713970000001</v>
      </c>
      <c r="D3914">
        <v>-17.507215800000001</v>
      </c>
      <c r="F3914" s="75" t="str">
        <f>HYPERLINK("E:\Data From Lucan\2024\Johnstone\Frames_for_Analysis\3911_20240610_0005_L_1896.jpg","3911_20240610_0005_L_1896.jpg")</f>
        <v>3911_20240610_0005_L_1896.jpg</v>
      </c>
      <c r="G3914" s="75">
        <v>5</v>
      </c>
      <c r="I3914">
        <f t="shared" si="61"/>
        <v>0</v>
      </c>
      <c r="J3914" s="75">
        <v>0</v>
      </c>
      <c r="O3914" s="75">
        <v>1</v>
      </c>
      <c r="P3914" s="75">
        <v>0</v>
      </c>
      <c r="Q3914" s="75">
        <v>0</v>
      </c>
      <c r="R3914" s="75">
        <v>0</v>
      </c>
      <c r="S3914" s="75">
        <v>0</v>
      </c>
      <c r="T3914" s="75">
        <v>0</v>
      </c>
      <c r="U3914" s="75">
        <v>0</v>
      </c>
      <c r="V3914" s="75">
        <v>0</v>
      </c>
      <c r="W3914" s="78">
        <v>0</v>
      </c>
    </row>
    <row r="3915" spans="1:23" s="75" customFormat="1" hidden="1" x14ac:dyDescent="0.35">
      <c r="A3915" s="75">
        <v>3911</v>
      </c>
      <c r="B3915" s="75">
        <v>3912</v>
      </c>
      <c r="C3915">
        <v>146.03709480000001</v>
      </c>
      <c r="D3915">
        <v>-17.507298039999998</v>
      </c>
      <c r="F3915" s="75" t="str">
        <f>HYPERLINK("E:\Data From Lucan\2024\Johnstone\Frames_for_Analysis\3912_20240610_0005_L_1899.jpg","3912_20240610_0005_L_1899.jpg")</f>
        <v>3912_20240610_0005_L_1899.jpg</v>
      </c>
      <c r="G3915" s="75">
        <v>5</v>
      </c>
      <c r="I3915">
        <f t="shared" si="61"/>
        <v>0</v>
      </c>
      <c r="J3915" s="75">
        <v>0</v>
      </c>
      <c r="O3915" s="75">
        <v>1</v>
      </c>
      <c r="P3915" s="75">
        <v>0</v>
      </c>
      <c r="Q3915" s="75">
        <v>0</v>
      </c>
      <c r="R3915" s="75">
        <v>0</v>
      </c>
      <c r="S3915" s="75">
        <v>0</v>
      </c>
      <c r="T3915" s="75">
        <v>0</v>
      </c>
      <c r="U3915" s="75">
        <v>0</v>
      </c>
      <c r="V3915" s="75">
        <v>0</v>
      </c>
      <c r="W3915" s="78">
        <v>0</v>
      </c>
    </row>
    <row r="3916" spans="1:23" s="75" customFormat="1" hidden="1" x14ac:dyDescent="0.35">
      <c r="A3916" s="75">
        <v>3912</v>
      </c>
      <c r="B3916" s="75">
        <v>3913</v>
      </c>
      <c r="C3916">
        <v>146.03704819999999</v>
      </c>
      <c r="D3916">
        <v>-17.507378809999999</v>
      </c>
      <c r="F3916" s="75" t="str">
        <f>HYPERLINK("E:\Data From Lucan\2024\Johnstone\Frames_for_Analysis\3913_20240610_0005_L_1901.jpg","3913_20240610_0005_L_1901.jpg")</f>
        <v>3913_20240610_0005_L_1901.jpg</v>
      </c>
      <c r="G3916" s="75">
        <v>5</v>
      </c>
      <c r="I3916">
        <f t="shared" si="61"/>
        <v>0</v>
      </c>
      <c r="J3916" s="75">
        <v>0</v>
      </c>
      <c r="O3916" s="75">
        <v>1</v>
      </c>
      <c r="P3916" s="75">
        <v>0</v>
      </c>
      <c r="Q3916" s="75">
        <v>0</v>
      </c>
      <c r="R3916" s="75">
        <v>0</v>
      </c>
      <c r="S3916" s="75">
        <v>0</v>
      </c>
      <c r="T3916" s="75">
        <v>0</v>
      </c>
      <c r="U3916" s="75">
        <v>0</v>
      </c>
      <c r="V3916" s="75">
        <v>0</v>
      </c>
      <c r="W3916" s="78">
        <v>0</v>
      </c>
    </row>
    <row r="3917" spans="1:23" s="75" customFormat="1" hidden="1" x14ac:dyDescent="0.35">
      <c r="A3917" s="75">
        <v>3913</v>
      </c>
      <c r="B3917" s="75">
        <v>3914</v>
      </c>
      <c r="C3917">
        <v>146.036991</v>
      </c>
      <c r="D3917">
        <v>-17.507453779999999</v>
      </c>
      <c r="F3917" s="75" t="str">
        <f>HYPERLINK("E:\Data From Lucan\2024\Johnstone\Frames_for_Analysis\3914_20240610_0005_L_1904.jpg","3914_20240610_0005_L_1904.jpg")</f>
        <v>3914_20240610_0005_L_1904.jpg</v>
      </c>
      <c r="G3917" s="75">
        <v>5</v>
      </c>
      <c r="I3917">
        <f t="shared" si="61"/>
        <v>0</v>
      </c>
      <c r="J3917" s="75">
        <v>0</v>
      </c>
      <c r="O3917" s="75">
        <v>1</v>
      </c>
      <c r="P3917" s="75">
        <v>0</v>
      </c>
      <c r="Q3917" s="75">
        <v>0</v>
      </c>
      <c r="R3917" s="75">
        <v>0</v>
      </c>
      <c r="S3917" s="75">
        <v>0</v>
      </c>
      <c r="T3917" s="75">
        <v>0</v>
      </c>
      <c r="U3917" s="75">
        <v>0</v>
      </c>
      <c r="V3917" s="75">
        <v>1</v>
      </c>
      <c r="W3917" s="78">
        <v>0</v>
      </c>
    </row>
    <row r="3918" spans="1:23" s="75" customFormat="1" hidden="1" x14ac:dyDescent="0.35">
      <c r="A3918" s="75">
        <v>3914</v>
      </c>
      <c r="B3918" s="75">
        <v>3915</v>
      </c>
      <c r="C3918">
        <v>146.03694709999999</v>
      </c>
      <c r="D3918">
        <v>-17.507537070000001</v>
      </c>
      <c r="F3918" s="75" t="str">
        <f>HYPERLINK("E:\Data From Lucan\2024\Johnstone\Frames_for_Analysis\3915_20240610_0005_L_1907.jpg","3915_20240610_0005_L_1907.jpg")</f>
        <v>3915_20240610_0005_L_1907.jpg</v>
      </c>
      <c r="G3918" s="75">
        <v>5</v>
      </c>
      <c r="I3918">
        <f t="shared" si="61"/>
        <v>0</v>
      </c>
      <c r="J3918" s="75">
        <v>0</v>
      </c>
      <c r="O3918" s="75">
        <v>1</v>
      </c>
      <c r="P3918" s="75">
        <v>0</v>
      </c>
      <c r="Q3918" s="75">
        <v>0</v>
      </c>
      <c r="R3918" s="75">
        <v>0</v>
      </c>
      <c r="S3918" s="75">
        <v>0</v>
      </c>
      <c r="T3918" s="75">
        <v>0</v>
      </c>
      <c r="U3918" s="75">
        <v>0</v>
      </c>
      <c r="V3918" s="75">
        <v>0</v>
      </c>
      <c r="W3918" s="78">
        <v>0</v>
      </c>
    </row>
    <row r="3919" spans="1:23" s="75" customFormat="1" hidden="1" x14ac:dyDescent="0.35">
      <c r="A3919" s="75">
        <v>3915</v>
      </c>
      <c r="B3919" s="75">
        <v>3916</v>
      </c>
      <c r="C3919">
        <v>146.03690470000001</v>
      </c>
      <c r="D3919">
        <v>-17.507621319999998</v>
      </c>
      <c r="F3919" s="75" t="str">
        <f>HYPERLINK("E:\Data From Lucan\2024\Johnstone\Frames_for_Analysis\3916_20240610_0005_L_1910.jpg","3916_20240610_0005_L_1910.jpg")</f>
        <v>3916_20240610_0005_L_1910.jpg</v>
      </c>
      <c r="G3919" s="75">
        <v>5</v>
      </c>
      <c r="I3919">
        <f t="shared" si="61"/>
        <v>0</v>
      </c>
      <c r="J3919" s="75">
        <v>0</v>
      </c>
      <c r="O3919" s="75">
        <v>1</v>
      </c>
      <c r="P3919" s="75">
        <v>0</v>
      </c>
      <c r="Q3919" s="75">
        <v>0</v>
      </c>
      <c r="R3919" s="75">
        <v>0</v>
      </c>
      <c r="S3919" s="75">
        <v>0</v>
      </c>
      <c r="T3919" s="75">
        <v>0</v>
      </c>
      <c r="U3919" s="75">
        <v>0</v>
      </c>
      <c r="V3919" s="75">
        <v>0</v>
      </c>
      <c r="W3919" s="78">
        <v>0</v>
      </c>
    </row>
    <row r="3920" spans="1:23" s="75" customFormat="1" hidden="1" x14ac:dyDescent="0.35">
      <c r="A3920" s="75">
        <v>3916</v>
      </c>
      <c r="B3920" s="75">
        <v>3917</v>
      </c>
      <c r="C3920">
        <v>146.0368594</v>
      </c>
      <c r="D3920">
        <v>-17.507703840000001</v>
      </c>
      <c r="F3920" s="75" t="str">
        <f>HYPERLINK("E:\Data From Lucan\2024\Johnstone\Frames_for_Analysis\3917_20240610_0005_L_1913.jpg","3917_20240610_0005_L_1913.jpg")</f>
        <v>3917_20240610_0005_L_1913.jpg</v>
      </c>
      <c r="G3920" s="75">
        <v>5</v>
      </c>
      <c r="I3920">
        <f t="shared" si="61"/>
        <v>0</v>
      </c>
      <c r="J3920" s="75">
        <v>0</v>
      </c>
      <c r="O3920" s="75">
        <v>1</v>
      </c>
      <c r="P3920" s="75">
        <v>0</v>
      </c>
      <c r="Q3920" s="75">
        <v>0</v>
      </c>
      <c r="R3920" s="75">
        <v>0</v>
      </c>
      <c r="S3920" s="75">
        <v>0</v>
      </c>
      <c r="T3920" s="75">
        <v>0</v>
      </c>
      <c r="U3920" s="75">
        <v>0</v>
      </c>
      <c r="V3920" s="75">
        <v>0</v>
      </c>
      <c r="W3920" s="78">
        <v>0</v>
      </c>
    </row>
    <row r="3921" spans="1:23" s="75" customFormat="1" hidden="1" x14ac:dyDescent="0.35">
      <c r="A3921" s="75">
        <v>3917</v>
      </c>
      <c r="B3921" s="75">
        <v>3918</v>
      </c>
      <c r="C3921">
        <v>146.03680779999999</v>
      </c>
      <c r="D3921">
        <v>-17.507782819999999</v>
      </c>
      <c r="F3921" s="75" t="str">
        <f>HYPERLINK("E:\Data From Lucan\2024\Johnstone\Frames_for_Analysis\3918_20240610_0005_L_1916.jpg","3918_20240610_0005_L_1916.jpg")</f>
        <v>3918_20240610_0005_L_1916.jpg</v>
      </c>
      <c r="G3921" s="75">
        <v>5</v>
      </c>
      <c r="I3921">
        <f t="shared" si="61"/>
        <v>0</v>
      </c>
      <c r="J3921" s="75">
        <v>0</v>
      </c>
      <c r="O3921" s="75">
        <v>1</v>
      </c>
      <c r="P3921" s="75">
        <v>0</v>
      </c>
      <c r="Q3921" s="75">
        <v>0</v>
      </c>
      <c r="R3921" s="75">
        <v>0</v>
      </c>
      <c r="S3921" s="75">
        <v>0</v>
      </c>
      <c r="T3921" s="75">
        <v>0</v>
      </c>
      <c r="U3921" s="75">
        <v>0</v>
      </c>
      <c r="V3921" s="75">
        <v>0</v>
      </c>
      <c r="W3921" s="78">
        <v>0</v>
      </c>
    </row>
    <row r="3922" spans="1:23" s="75" customFormat="1" hidden="1" x14ac:dyDescent="0.35">
      <c r="A3922" s="75">
        <v>3918</v>
      </c>
      <c r="B3922" s="75">
        <v>3919</v>
      </c>
      <c r="C3922">
        <v>146.03675630000001</v>
      </c>
      <c r="D3922">
        <v>-17.507861810000001</v>
      </c>
      <c r="F3922" s="75" t="str">
        <f>HYPERLINK("E:\Data From Lucan\2024\Johnstone\Frames_for_Analysis\3919_20240610_0005_L_1918.jpg","3919_20240610_0005_L_1918.jpg")</f>
        <v>3919_20240610_0005_L_1918.jpg</v>
      </c>
      <c r="G3922" s="75">
        <v>5</v>
      </c>
      <c r="I3922">
        <f t="shared" si="61"/>
        <v>0</v>
      </c>
      <c r="J3922" s="75">
        <v>0</v>
      </c>
      <c r="O3922" s="75">
        <v>1</v>
      </c>
      <c r="P3922" s="75">
        <v>0</v>
      </c>
      <c r="Q3922" s="75">
        <v>0</v>
      </c>
      <c r="R3922" s="75">
        <v>0</v>
      </c>
      <c r="S3922" s="75">
        <v>0</v>
      </c>
      <c r="T3922" s="75">
        <v>0</v>
      </c>
      <c r="U3922" s="75">
        <v>0</v>
      </c>
      <c r="V3922" s="75">
        <v>0</v>
      </c>
      <c r="W3922" s="78">
        <v>0</v>
      </c>
    </row>
    <row r="3923" spans="1:23" s="75" customFormat="1" hidden="1" x14ac:dyDescent="0.35">
      <c r="A3923" s="75">
        <v>3919</v>
      </c>
      <c r="B3923" s="75">
        <v>3920</v>
      </c>
      <c r="C3923">
        <v>146.03673280000001</v>
      </c>
      <c r="D3923">
        <v>-17.507953090000001</v>
      </c>
      <c r="F3923" s="75" t="str">
        <f>HYPERLINK("E:\Data From Lucan\2024\Johnstone\Frames_for_Analysis\3920_20240610_0005_L_1921.jpg","3920_20240610_0005_L_1921.jpg")</f>
        <v>3920_20240610_0005_L_1921.jpg</v>
      </c>
      <c r="G3923" s="75">
        <v>5</v>
      </c>
      <c r="I3923">
        <f t="shared" si="61"/>
        <v>0</v>
      </c>
      <c r="J3923" s="75">
        <v>0</v>
      </c>
      <c r="O3923" s="75">
        <v>1</v>
      </c>
      <c r="P3923" s="75">
        <v>0</v>
      </c>
      <c r="Q3923" s="75">
        <v>0</v>
      </c>
      <c r="R3923" s="75">
        <v>0</v>
      </c>
      <c r="S3923" s="75">
        <v>0</v>
      </c>
      <c r="T3923" s="75">
        <v>0</v>
      </c>
      <c r="U3923" s="75">
        <v>0</v>
      </c>
      <c r="V3923" s="75">
        <v>0</v>
      </c>
      <c r="W3923" s="78">
        <v>0</v>
      </c>
    </row>
    <row r="3924" spans="1:23" s="75" customFormat="1" hidden="1" x14ac:dyDescent="0.35">
      <c r="A3924" s="75">
        <v>3920</v>
      </c>
      <c r="B3924" s="75">
        <v>3921</v>
      </c>
      <c r="C3924">
        <v>146.03670969999999</v>
      </c>
      <c r="D3924">
        <v>-17.5080445</v>
      </c>
      <c r="F3924" s="75" t="str">
        <f>HYPERLINK("E:\Data From Lucan\2024\Johnstone\Frames_for_Analysis\3921_20240610_0005_L_1924.jpg","3921_20240610_0005_L_1924.jpg")</f>
        <v>3921_20240610_0005_L_1924.jpg</v>
      </c>
      <c r="G3924" s="75">
        <v>5</v>
      </c>
      <c r="I3924">
        <f t="shared" si="61"/>
        <v>0</v>
      </c>
      <c r="J3924" s="75">
        <v>0</v>
      </c>
      <c r="O3924" s="75">
        <v>1</v>
      </c>
      <c r="P3924" s="75">
        <v>0</v>
      </c>
      <c r="Q3924" s="75">
        <v>0</v>
      </c>
      <c r="R3924" s="75">
        <v>0</v>
      </c>
      <c r="S3924" s="75">
        <v>0</v>
      </c>
      <c r="T3924" s="75">
        <v>0</v>
      </c>
      <c r="U3924" s="75">
        <v>0</v>
      </c>
      <c r="V3924" s="75">
        <v>0</v>
      </c>
      <c r="W3924" s="78">
        <v>0</v>
      </c>
    </row>
    <row r="3925" spans="1:23" s="75" customFormat="1" hidden="1" x14ac:dyDescent="0.35">
      <c r="A3925" s="75">
        <v>3921</v>
      </c>
      <c r="B3925" s="75">
        <v>3922</v>
      </c>
      <c r="C3925">
        <v>146.0366583</v>
      </c>
      <c r="D3925">
        <v>-17.50812097</v>
      </c>
      <c r="F3925" s="75" t="str">
        <f>HYPERLINK("E:\Data From Lucan\2024\Johnstone\Frames_for_Analysis\3922_20240610_0005_L_1926.jpg","3922_20240610_0005_L_1926.jpg")</f>
        <v>3922_20240610_0005_L_1926.jpg</v>
      </c>
      <c r="G3925" s="75">
        <v>5</v>
      </c>
      <c r="I3925">
        <f t="shared" si="61"/>
        <v>0</v>
      </c>
      <c r="J3925" s="75">
        <v>0</v>
      </c>
      <c r="O3925" s="75">
        <v>1</v>
      </c>
      <c r="P3925" s="75">
        <v>0</v>
      </c>
      <c r="Q3925" s="75">
        <v>0</v>
      </c>
      <c r="R3925" s="75">
        <v>0</v>
      </c>
      <c r="S3925" s="75">
        <v>0</v>
      </c>
      <c r="T3925" s="75">
        <v>0</v>
      </c>
      <c r="U3925" s="75">
        <v>0</v>
      </c>
      <c r="V3925" s="75">
        <v>0</v>
      </c>
      <c r="W3925" s="78">
        <v>0</v>
      </c>
    </row>
    <row r="3926" spans="1:23" s="75" customFormat="1" hidden="1" x14ac:dyDescent="0.35">
      <c r="A3926" s="75">
        <v>3922</v>
      </c>
      <c r="B3926" s="75">
        <v>3923</v>
      </c>
      <c r="C3926">
        <v>146.03662059999999</v>
      </c>
      <c r="D3926">
        <v>-17.508207410000001</v>
      </c>
      <c r="F3926" s="75" t="str">
        <f>HYPERLINK("E:\Data From Lucan\2024\Johnstone\Frames_for_Analysis\3923_20240610_0005_L_1929.jpg","3923_20240610_0005_L_1929.jpg")</f>
        <v>3923_20240610_0005_L_1929.jpg</v>
      </c>
      <c r="G3926" s="75">
        <v>5</v>
      </c>
      <c r="I3926">
        <f t="shared" si="61"/>
        <v>0</v>
      </c>
      <c r="J3926" s="75">
        <v>0</v>
      </c>
      <c r="O3926" s="75">
        <v>1</v>
      </c>
      <c r="P3926" s="75">
        <v>0</v>
      </c>
      <c r="Q3926" s="75">
        <v>0</v>
      </c>
      <c r="R3926" s="75">
        <v>0</v>
      </c>
      <c r="S3926" s="75">
        <v>0</v>
      </c>
      <c r="T3926" s="75">
        <v>0</v>
      </c>
      <c r="U3926" s="75">
        <v>0</v>
      </c>
      <c r="V3926" s="75">
        <v>0</v>
      </c>
      <c r="W3926" s="78">
        <v>0</v>
      </c>
    </row>
    <row r="3927" spans="1:23" s="75" customFormat="1" hidden="1" x14ac:dyDescent="0.35">
      <c r="A3927" s="75">
        <v>3923</v>
      </c>
      <c r="B3927" s="75">
        <v>3924</v>
      </c>
      <c r="C3927">
        <v>146.03658300000001</v>
      </c>
      <c r="D3927">
        <v>-17.508293859999998</v>
      </c>
      <c r="F3927" s="75" t="str">
        <f>HYPERLINK("E:\Data From Lucan\2024\Johnstone\Frames_for_Analysis\3924_20240610_0005_L_1931.jpg","3924_20240610_0005_L_1931.jpg")</f>
        <v>3924_20240610_0005_L_1931.jpg</v>
      </c>
      <c r="G3927" s="75">
        <v>5</v>
      </c>
      <c r="I3927">
        <f t="shared" si="61"/>
        <v>0</v>
      </c>
      <c r="J3927" s="75">
        <v>0</v>
      </c>
      <c r="O3927" s="75">
        <v>1</v>
      </c>
      <c r="P3927" s="75">
        <v>0</v>
      </c>
      <c r="Q3927" s="75">
        <v>0</v>
      </c>
      <c r="R3927" s="75">
        <v>0</v>
      </c>
      <c r="S3927" s="75">
        <v>0</v>
      </c>
      <c r="T3927" s="75">
        <v>0</v>
      </c>
      <c r="U3927" s="75">
        <v>0</v>
      </c>
      <c r="V3927" s="75">
        <v>0</v>
      </c>
      <c r="W3927" s="78">
        <v>0</v>
      </c>
    </row>
    <row r="3928" spans="1:23" s="75" customFormat="1" hidden="1" x14ac:dyDescent="0.35">
      <c r="A3928" s="75">
        <v>3924</v>
      </c>
      <c r="B3928" s="75">
        <v>3925</v>
      </c>
      <c r="C3928">
        <v>146.0365453</v>
      </c>
      <c r="D3928">
        <v>-17.508380299999999</v>
      </c>
      <c r="F3928" s="75" t="str">
        <f>HYPERLINK("E:\Data From Lucan\2024\Johnstone\Frames_for_Analysis\3925_20240610_0005_L_1934.jpg","3925_20240610_0005_L_1934.jpg")</f>
        <v>3925_20240610_0005_L_1934.jpg</v>
      </c>
      <c r="G3928" s="75">
        <v>5</v>
      </c>
      <c r="I3928">
        <f t="shared" si="61"/>
        <v>0</v>
      </c>
      <c r="J3928" s="75">
        <v>0</v>
      </c>
      <c r="O3928" s="75">
        <v>1</v>
      </c>
      <c r="P3928" s="75">
        <v>0</v>
      </c>
      <c r="Q3928" s="75">
        <v>0</v>
      </c>
      <c r="R3928" s="75">
        <v>0</v>
      </c>
      <c r="S3928" s="75">
        <v>0</v>
      </c>
      <c r="T3928" s="75">
        <v>0</v>
      </c>
      <c r="U3928" s="75">
        <v>0</v>
      </c>
      <c r="V3928" s="75">
        <v>0</v>
      </c>
      <c r="W3928" s="78">
        <v>0</v>
      </c>
    </row>
    <row r="3929" spans="1:23" s="75" customFormat="1" hidden="1" x14ac:dyDescent="0.35">
      <c r="A3929" s="75">
        <v>3925</v>
      </c>
      <c r="B3929" s="75">
        <v>3926</v>
      </c>
      <c r="C3929">
        <v>146.03650759999999</v>
      </c>
      <c r="D3929">
        <v>-17.50846675</v>
      </c>
      <c r="F3929" s="75" t="str">
        <f>HYPERLINK("E:\Data From Lucan\2024\Johnstone\Frames_for_Analysis\3926_20240610_0005_L_1937.jpg","3926_20240610_0005_L_1937.jpg")</f>
        <v>3926_20240610_0005_L_1937.jpg</v>
      </c>
      <c r="G3929" s="75">
        <v>5</v>
      </c>
      <c r="I3929">
        <f t="shared" si="61"/>
        <v>0</v>
      </c>
      <c r="J3929" s="75">
        <v>0</v>
      </c>
      <c r="O3929" s="75">
        <v>1</v>
      </c>
      <c r="P3929" s="75">
        <v>0</v>
      </c>
      <c r="Q3929" s="75">
        <v>0</v>
      </c>
      <c r="R3929" s="75">
        <v>0</v>
      </c>
      <c r="S3929" s="75">
        <v>0</v>
      </c>
      <c r="T3929" s="75">
        <v>0</v>
      </c>
      <c r="U3929" s="75">
        <v>0</v>
      </c>
      <c r="V3929" s="75">
        <v>0</v>
      </c>
      <c r="W3929" s="78">
        <v>0</v>
      </c>
    </row>
    <row r="3930" spans="1:23" s="75" customFormat="1" hidden="1" x14ac:dyDescent="0.35">
      <c r="A3930" s="75">
        <v>3926</v>
      </c>
      <c r="B3930" s="75">
        <v>3927</v>
      </c>
      <c r="C3930">
        <v>146.03646989999999</v>
      </c>
      <c r="D3930">
        <v>-17.508553190000001</v>
      </c>
      <c r="F3930" s="75" t="str">
        <f>HYPERLINK("E:\Data From Lucan\2024\Johnstone\Frames_for_Analysis\3927_20240610_0005_L_1939.jpg","3927_20240610_0005_L_1939.jpg")</f>
        <v>3927_20240610_0005_L_1939.jpg</v>
      </c>
      <c r="G3930" s="75">
        <v>5</v>
      </c>
      <c r="I3930">
        <f t="shared" si="61"/>
        <v>0</v>
      </c>
      <c r="J3930" s="75">
        <v>0</v>
      </c>
      <c r="O3930" s="75">
        <v>1</v>
      </c>
      <c r="P3930" s="75">
        <v>0</v>
      </c>
      <c r="Q3930" s="75">
        <v>0</v>
      </c>
      <c r="R3930" s="75">
        <v>0</v>
      </c>
      <c r="S3930" s="75">
        <v>0</v>
      </c>
      <c r="T3930" s="75">
        <v>0</v>
      </c>
      <c r="U3930" s="75">
        <v>0</v>
      </c>
      <c r="V3930" s="75">
        <v>0</v>
      </c>
      <c r="W3930" s="78">
        <v>0</v>
      </c>
    </row>
    <row r="3931" spans="1:23" s="75" customFormat="1" hidden="1" x14ac:dyDescent="0.35">
      <c r="A3931" s="75">
        <v>3927</v>
      </c>
      <c r="B3931" s="75">
        <v>3928</v>
      </c>
      <c r="C3931">
        <v>146.0364332</v>
      </c>
      <c r="D3931">
        <v>-17.508640060000001</v>
      </c>
      <c r="F3931" s="75" t="str">
        <f>HYPERLINK("E:\Data From Lucan\2024\Johnstone\Frames_for_Analysis\3928_20240610_0005_L_1942.jpg","3928_20240610_0005_L_1942.jpg")</f>
        <v>3928_20240610_0005_L_1942.jpg</v>
      </c>
      <c r="G3931" s="75">
        <v>5</v>
      </c>
      <c r="I3931">
        <f t="shared" si="61"/>
        <v>0</v>
      </c>
      <c r="J3931" s="75">
        <v>0</v>
      </c>
      <c r="O3931" s="75">
        <v>1</v>
      </c>
      <c r="P3931" s="75">
        <v>0</v>
      </c>
      <c r="Q3931" s="75">
        <v>0</v>
      </c>
      <c r="R3931" s="75">
        <v>0</v>
      </c>
      <c r="S3931" s="75">
        <v>0</v>
      </c>
      <c r="T3931" s="75">
        <v>0</v>
      </c>
      <c r="U3931" s="75">
        <v>0</v>
      </c>
      <c r="V3931" s="75">
        <v>0</v>
      </c>
      <c r="W3931" s="78">
        <v>0</v>
      </c>
    </row>
    <row r="3932" spans="1:23" s="75" customFormat="1" hidden="1" x14ac:dyDescent="0.35">
      <c r="A3932" s="75">
        <v>3928</v>
      </c>
      <c r="B3932" s="75">
        <v>3929</v>
      </c>
      <c r="C3932">
        <v>146.0363974</v>
      </c>
      <c r="D3932">
        <v>-17.5087273</v>
      </c>
      <c r="F3932" s="75" t="str">
        <f>HYPERLINK("E:\Data From Lucan\2024\Johnstone\Frames_for_Analysis\3929_20240610_0005_L_1944.jpg","3929_20240610_0005_L_1944.jpg")</f>
        <v>3929_20240610_0005_L_1944.jpg</v>
      </c>
      <c r="G3932" s="75">
        <v>5</v>
      </c>
      <c r="I3932">
        <f t="shared" si="61"/>
        <v>0</v>
      </c>
      <c r="J3932" s="75">
        <v>0</v>
      </c>
      <c r="O3932" s="75">
        <v>1</v>
      </c>
      <c r="P3932" s="75">
        <v>0</v>
      </c>
      <c r="Q3932" s="75">
        <v>0</v>
      </c>
      <c r="R3932" s="75">
        <v>0</v>
      </c>
      <c r="S3932" s="75">
        <v>0</v>
      </c>
      <c r="T3932" s="75">
        <v>0</v>
      </c>
      <c r="U3932" s="75">
        <v>0</v>
      </c>
      <c r="V3932" s="75">
        <v>0</v>
      </c>
      <c r="W3932" s="78">
        <v>0</v>
      </c>
    </row>
    <row r="3933" spans="1:23" s="75" customFormat="1" hidden="1" x14ac:dyDescent="0.35">
      <c r="A3933" s="75">
        <v>3929</v>
      </c>
      <c r="B3933" s="75">
        <v>3930</v>
      </c>
      <c r="C3933">
        <v>146.03636159999999</v>
      </c>
      <c r="D3933">
        <v>-17.508814539999999</v>
      </c>
      <c r="F3933" s="75" t="str">
        <f>HYPERLINK("E:\Data From Lucan\2024\Johnstone\Frames_for_Analysis\3930_20240610_0005_L_1947.jpg","3930_20240610_0005_L_1947.jpg")</f>
        <v>3930_20240610_0005_L_1947.jpg</v>
      </c>
      <c r="G3933" s="75">
        <v>5</v>
      </c>
      <c r="I3933">
        <f t="shared" si="61"/>
        <v>0</v>
      </c>
      <c r="J3933" s="75">
        <v>0</v>
      </c>
      <c r="O3933" s="75">
        <v>1</v>
      </c>
      <c r="P3933" s="75">
        <v>0</v>
      </c>
      <c r="Q3933" s="75">
        <v>0</v>
      </c>
      <c r="R3933" s="75">
        <v>0</v>
      </c>
      <c r="S3933" s="75">
        <v>0</v>
      </c>
      <c r="T3933" s="75">
        <v>0</v>
      </c>
      <c r="U3933" s="75">
        <v>0</v>
      </c>
      <c r="V3933" s="75">
        <v>0</v>
      </c>
      <c r="W3933" s="78">
        <v>0</v>
      </c>
    </row>
    <row r="3934" spans="1:23" s="75" customFormat="1" hidden="1" x14ac:dyDescent="0.35">
      <c r="A3934" s="75">
        <v>3930</v>
      </c>
      <c r="B3934" s="75">
        <v>3931</v>
      </c>
      <c r="C3934">
        <v>146.03632579999999</v>
      </c>
      <c r="D3934">
        <v>-17.508901779999999</v>
      </c>
      <c r="F3934" s="75" t="str">
        <f>HYPERLINK("E:\Data From Lucan\2024\Johnstone\Frames_for_Analysis\3931_20240610_0005_L_1949.jpg","3931_20240610_0005_L_1949.jpg")</f>
        <v>3931_20240610_0005_L_1949.jpg</v>
      </c>
      <c r="G3934" s="75">
        <v>5</v>
      </c>
      <c r="I3934">
        <f t="shared" si="61"/>
        <v>0</v>
      </c>
      <c r="J3934" s="75">
        <v>0</v>
      </c>
      <c r="O3934" s="75">
        <v>1</v>
      </c>
      <c r="P3934" s="75">
        <v>0</v>
      </c>
      <c r="Q3934" s="75">
        <v>0</v>
      </c>
      <c r="R3934" s="75">
        <v>0</v>
      </c>
      <c r="S3934" s="75">
        <v>0</v>
      </c>
      <c r="T3934" s="75">
        <v>0</v>
      </c>
      <c r="U3934" s="75">
        <v>0</v>
      </c>
      <c r="V3934" s="75">
        <v>0</v>
      </c>
      <c r="W3934" s="78">
        <v>0</v>
      </c>
    </row>
    <row r="3935" spans="1:23" s="75" customFormat="1" hidden="1" x14ac:dyDescent="0.35">
      <c r="A3935" s="75">
        <v>3931</v>
      </c>
      <c r="B3935" s="75">
        <v>3932</v>
      </c>
      <c r="C3935">
        <v>146.0363002</v>
      </c>
      <c r="D3935">
        <v>-17.5089924</v>
      </c>
      <c r="F3935" s="75" t="str">
        <f>HYPERLINK("E:\Data From Lucan\2024\Johnstone\Frames_for_Analysis\3932_20240610_0005_L_1952.jpg","3932_20240610_0005_L_1952.jpg")</f>
        <v>3932_20240610_0005_L_1952.jpg</v>
      </c>
      <c r="G3935" s="75">
        <v>5</v>
      </c>
      <c r="I3935">
        <f t="shared" si="61"/>
        <v>0</v>
      </c>
      <c r="J3935" s="75">
        <v>0</v>
      </c>
      <c r="O3935" s="75">
        <v>1</v>
      </c>
      <c r="P3935" s="75">
        <v>0</v>
      </c>
      <c r="Q3935" s="75">
        <v>0</v>
      </c>
      <c r="R3935" s="75">
        <v>0</v>
      </c>
      <c r="S3935" s="75">
        <v>0</v>
      </c>
      <c r="T3935" s="75">
        <v>0</v>
      </c>
      <c r="U3935" s="75">
        <v>0</v>
      </c>
      <c r="V3935" s="75">
        <v>0</v>
      </c>
      <c r="W3935" s="78">
        <v>0</v>
      </c>
    </row>
    <row r="3936" spans="1:23" s="75" customFormat="1" hidden="1" x14ac:dyDescent="0.35">
      <c r="A3936" s="75">
        <v>3932</v>
      </c>
      <c r="B3936" s="75">
        <v>3933</v>
      </c>
      <c r="C3936">
        <v>146.03627710000001</v>
      </c>
      <c r="D3936">
        <v>-17.509083820000001</v>
      </c>
      <c r="F3936" s="75" t="str">
        <f>HYPERLINK("E:\Data From Lucan\2024\Johnstone\Frames_for_Analysis\3933_20240610_0005_L_1954.jpg","3933_20240610_0005_L_1954.jpg")</f>
        <v>3933_20240610_0005_L_1954.jpg</v>
      </c>
      <c r="G3936" s="75">
        <v>5</v>
      </c>
      <c r="I3936">
        <f t="shared" si="61"/>
        <v>0</v>
      </c>
      <c r="J3936" s="75">
        <v>0</v>
      </c>
      <c r="O3936" s="75">
        <v>1</v>
      </c>
      <c r="P3936" s="75">
        <v>0</v>
      </c>
      <c r="Q3936" s="75">
        <v>0</v>
      </c>
      <c r="R3936" s="75">
        <v>0</v>
      </c>
      <c r="S3936" s="75">
        <v>0</v>
      </c>
      <c r="T3936" s="75">
        <v>0</v>
      </c>
      <c r="U3936" s="75">
        <v>0</v>
      </c>
      <c r="V3936" s="75">
        <v>0</v>
      </c>
      <c r="W3936" s="78">
        <v>0</v>
      </c>
    </row>
    <row r="3937" spans="1:23" s="75" customFormat="1" hidden="1" x14ac:dyDescent="0.35">
      <c r="A3937" s="75">
        <v>3933</v>
      </c>
      <c r="B3937" s="75">
        <v>3934</v>
      </c>
      <c r="C3937">
        <v>146.03625450000001</v>
      </c>
      <c r="D3937">
        <v>-17.509175389999999</v>
      </c>
      <c r="F3937" s="75" t="str">
        <f>HYPERLINK("E:\Data From Lucan\2024\Johnstone\Frames_for_Analysis\3934_20240610_0005_L_1957.jpg","3934_20240610_0005_L_1957.jpg")</f>
        <v>3934_20240610_0005_L_1957.jpg</v>
      </c>
      <c r="G3937" s="75">
        <v>5</v>
      </c>
      <c r="I3937">
        <f t="shared" si="61"/>
        <v>0</v>
      </c>
      <c r="J3937" s="75">
        <v>0</v>
      </c>
      <c r="O3937" s="75">
        <v>1</v>
      </c>
      <c r="P3937" s="75">
        <v>0</v>
      </c>
      <c r="Q3937" s="75">
        <v>0</v>
      </c>
      <c r="R3937" s="75">
        <v>0</v>
      </c>
      <c r="S3937" s="75">
        <v>0</v>
      </c>
      <c r="T3937" s="75">
        <v>0</v>
      </c>
      <c r="U3937" s="75">
        <v>0</v>
      </c>
      <c r="V3937" s="75">
        <v>0</v>
      </c>
      <c r="W3937" s="78">
        <v>0</v>
      </c>
    </row>
    <row r="3938" spans="1:23" s="75" customFormat="1" hidden="1" x14ac:dyDescent="0.35">
      <c r="A3938" s="75">
        <v>3934</v>
      </c>
      <c r="B3938" s="75">
        <v>3935</v>
      </c>
      <c r="C3938">
        <v>146.03623229999999</v>
      </c>
      <c r="D3938">
        <v>-17.50926703</v>
      </c>
      <c r="F3938" s="75" t="str">
        <f>HYPERLINK("E:\Data From Lucan\2024\Johnstone\Frames_for_Analysis\3935_20240610_0005_L_1960.jpg","3935_20240610_0005_L_1960.jpg")</f>
        <v>3935_20240610_0005_L_1960.jpg</v>
      </c>
      <c r="G3938" s="75">
        <v>5</v>
      </c>
      <c r="I3938">
        <f t="shared" si="61"/>
        <v>0</v>
      </c>
      <c r="J3938" s="75">
        <v>0</v>
      </c>
      <c r="O3938" s="75">
        <v>1</v>
      </c>
      <c r="P3938" s="75">
        <v>0</v>
      </c>
      <c r="Q3938" s="75">
        <v>0</v>
      </c>
      <c r="R3938" s="75">
        <v>0</v>
      </c>
      <c r="S3938" s="75">
        <v>0</v>
      </c>
      <c r="T3938" s="75">
        <v>0</v>
      </c>
      <c r="U3938" s="75">
        <v>0</v>
      </c>
      <c r="V3938" s="75">
        <v>0</v>
      </c>
      <c r="W3938" s="78">
        <v>0</v>
      </c>
    </row>
    <row r="3939" spans="1:23" s="75" customFormat="1" hidden="1" x14ac:dyDescent="0.35">
      <c r="A3939" s="75">
        <v>3935</v>
      </c>
      <c r="B3939" s="75">
        <v>3936</v>
      </c>
      <c r="C3939">
        <v>146.03621000000001</v>
      </c>
      <c r="D3939">
        <v>-17.509358670000001</v>
      </c>
      <c r="F3939" s="75" t="str">
        <f>HYPERLINK("E:\Data From Lucan\2024\Johnstone\Frames_for_Analysis\3936_20240610_0005_L_1962.jpg","3936_20240610_0005_L_1962.jpg")</f>
        <v>3936_20240610_0005_L_1962.jpg</v>
      </c>
      <c r="G3939" s="75">
        <v>5</v>
      </c>
      <c r="I3939">
        <f t="shared" si="61"/>
        <v>0</v>
      </c>
      <c r="J3939" s="75">
        <v>0</v>
      </c>
      <c r="O3939" s="75">
        <v>1</v>
      </c>
      <c r="P3939" s="75">
        <v>0</v>
      </c>
      <c r="Q3939" s="75">
        <v>0</v>
      </c>
      <c r="R3939" s="75">
        <v>0</v>
      </c>
      <c r="S3939" s="75">
        <v>0</v>
      </c>
      <c r="T3939" s="75">
        <v>0</v>
      </c>
      <c r="U3939" s="75">
        <v>0</v>
      </c>
      <c r="V3939" s="75">
        <v>0</v>
      </c>
      <c r="W3939" s="78">
        <v>0</v>
      </c>
    </row>
    <row r="3940" spans="1:23" s="75" customFormat="1" hidden="1" x14ac:dyDescent="0.35">
      <c r="A3940" s="75">
        <v>3936</v>
      </c>
      <c r="B3940" s="75">
        <v>3937</v>
      </c>
      <c r="C3940">
        <v>146.03617819999999</v>
      </c>
      <c r="D3940">
        <v>-17.50944741</v>
      </c>
      <c r="F3940" s="75" t="str">
        <f>HYPERLINK("E:\Data From Lucan\2024\Johnstone\Frames_for_Analysis\3937_20240610_0005_L_1965.jpg","3937_20240610_0005_L_1965.jpg")</f>
        <v>3937_20240610_0005_L_1965.jpg</v>
      </c>
      <c r="G3940" s="75">
        <v>5</v>
      </c>
      <c r="I3940">
        <f t="shared" si="61"/>
        <v>0</v>
      </c>
      <c r="J3940" s="75">
        <v>0</v>
      </c>
      <c r="O3940" s="75">
        <v>1</v>
      </c>
      <c r="P3940" s="75">
        <v>0</v>
      </c>
      <c r="Q3940" s="75">
        <v>0</v>
      </c>
      <c r="R3940" s="75">
        <v>0</v>
      </c>
      <c r="S3940" s="75">
        <v>0</v>
      </c>
      <c r="T3940" s="75">
        <v>0</v>
      </c>
      <c r="U3940" s="75">
        <v>0</v>
      </c>
      <c r="V3940" s="75">
        <v>0</v>
      </c>
      <c r="W3940" s="78">
        <v>0</v>
      </c>
    </row>
    <row r="3941" spans="1:23" s="75" customFormat="1" hidden="1" x14ac:dyDescent="0.35">
      <c r="A3941" s="75">
        <v>3937</v>
      </c>
      <c r="B3941" s="75">
        <v>3938</v>
      </c>
      <c r="C3941">
        <v>146.03614569999999</v>
      </c>
      <c r="D3941">
        <v>-17.509535920000001</v>
      </c>
      <c r="F3941" s="75" t="str">
        <f>HYPERLINK("E:\Data From Lucan\2024\Johnstone\Frames_for_Analysis\3938_20240610_0005_L_1968.jpg","3938_20240610_0005_L_1968.jpg")</f>
        <v>3938_20240610_0005_L_1968.jpg</v>
      </c>
      <c r="G3941" s="75">
        <v>5</v>
      </c>
      <c r="I3941">
        <f t="shared" si="61"/>
        <v>0</v>
      </c>
      <c r="J3941" s="75">
        <v>0</v>
      </c>
      <c r="O3941" s="75">
        <v>1</v>
      </c>
      <c r="P3941" s="75">
        <v>0</v>
      </c>
      <c r="Q3941" s="75">
        <v>0</v>
      </c>
      <c r="R3941" s="75">
        <v>0</v>
      </c>
      <c r="S3941" s="75">
        <v>0</v>
      </c>
      <c r="T3941" s="75">
        <v>0</v>
      </c>
      <c r="U3941" s="75">
        <v>0</v>
      </c>
      <c r="V3941" s="75">
        <v>0</v>
      </c>
      <c r="W3941" s="78">
        <v>0</v>
      </c>
    </row>
    <row r="3942" spans="1:23" s="75" customFormat="1" hidden="1" x14ac:dyDescent="0.35">
      <c r="A3942" s="75">
        <v>3938</v>
      </c>
      <c r="B3942" s="75">
        <v>3939</v>
      </c>
      <c r="C3942">
        <v>146.03611309999999</v>
      </c>
      <c r="D3942">
        <v>-17.50962444</v>
      </c>
      <c r="F3942" s="75" t="str">
        <f>HYPERLINK("E:\Data From Lucan\2024\Johnstone\Frames_for_Analysis\3939_20240610_0005_L_1971.jpg","3939_20240610_0005_L_1971.jpg")</f>
        <v>3939_20240610_0005_L_1971.jpg</v>
      </c>
      <c r="G3942" s="75">
        <v>5</v>
      </c>
      <c r="I3942">
        <f t="shared" si="61"/>
        <v>0</v>
      </c>
      <c r="J3942" s="75">
        <v>0</v>
      </c>
      <c r="O3942" s="75">
        <v>1</v>
      </c>
      <c r="P3942" s="75">
        <v>0</v>
      </c>
      <c r="Q3942" s="75">
        <v>0</v>
      </c>
      <c r="R3942" s="75">
        <v>0</v>
      </c>
      <c r="S3942" s="75">
        <v>0</v>
      </c>
      <c r="T3942" s="75">
        <v>0</v>
      </c>
      <c r="U3942" s="75">
        <v>0</v>
      </c>
      <c r="V3942" s="75">
        <v>0</v>
      </c>
      <c r="W3942" s="78">
        <v>0</v>
      </c>
    </row>
    <row r="3943" spans="1:23" s="75" customFormat="1" hidden="1" x14ac:dyDescent="0.35">
      <c r="A3943" s="75">
        <v>3939</v>
      </c>
      <c r="B3943" s="75">
        <v>3940</v>
      </c>
      <c r="C3943">
        <v>146.03607769999999</v>
      </c>
      <c r="D3943">
        <v>-17.509711790000001</v>
      </c>
      <c r="F3943" s="75" t="str">
        <f>HYPERLINK("E:\Data From Lucan\2024\Johnstone\Frames_for_Analysis\3940_20240610_0005_L_1975.jpg","3940_20240610_0005_L_1975.jpg")</f>
        <v>3940_20240610_0005_L_1975.jpg</v>
      </c>
      <c r="G3943" s="75">
        <v>5</v>
      </c>
      <c r="I3943">
        <f t="shared" si="61"/>
        <v>0</v>
      </c>
      <c r="J3943" s="75">
        <v>0</v>
      </c>
      <c r="O3943" s="75">
        <v>1</v>
      </c>
      <c r="P3943" s="75">
        <v>0</v>
      </c>
      <c r="Q3943" s="75">
        <v>0</v>
      </c>
      <c r="R3943" s="75">
        <v>0</v>
      </c>
      <c r="S3943" s="75">
        <v>0</v>
      </c>
      <c r="T3943" s="75">
        <v>0</v>
      </c>
      <c r="U3943" s="75">
        <v>0</v>
      </c>
      <c r="V3943" s="75">
        <v>0</v>
      </c>
      <c r="W3943" s="78">
        <v>0</v>
      </c>
    </row>
    <row r="3944" spans="1:23" s="75" customFormat="1" hidden="1" x14ac:dyDescent="0.35">
      <c r="A3944" s="75">
        <v>3940</v>
      </c>
      <c r="B3944" s="75">
        <v>3941</v>
      </c>
      <c r="C3944">
        <v>146.03604000000001</v>
      </c>
      <c r="D3944">
        <v>-17.509798239999999</v>
      </c>
      <c r="F3944" s="75" t="str">
        <f>HYPERLINK("E:\Data From Lucan\2024\Johnstone\Frames_for_Analysis\3941_20240610_0005_L_1979.jpg","3941_20240610_0005_L_1979.jpg")</f>
        <v>3941_20240610_0005_L_1979.jpg</v>
      </c>
      <c r="G3944" s="75">
        <v>5</v>
      </c>
      <c r="I3944">
        <f t="shared" si="61"/>
        <v>0</v>
      </c>
      <c r="J3944" s="75">
        <v>0</v>
      </c>
      <c r="O3944" s="75">
        <v>1</v>
      </c>
      <c r="P3944" s="75">
        <v>0</v>
      </c>
      <c r="Q3944" s="75">
        <v>0</v>
      </c>
      <c r="R3944" s="75">
        <v>0</v>
      </c>
      <c r="S3944" s="75">
        <v>0</v>
      </c>
      <c r="T3944" s="75">
        <v>0</v>
      </c>
      <c r="U3944" s="75">
        <v>0</v>
      </c>
      <c r="V3944" s="75">
        <v>0</v>
      </c>
      <c r="W3944" s="78">
        <v>0</v>
      </c>
    </row>
    <row r="3945" spans="1:23" s="75" customFormat="1" hidden="1" x14ac:dyDescent="0.35">
      <c r="A3945" s="75">
        <v>3941</v>
      </c>
      <c r="B3945" s="75">
        <v>3942</v>
      </c>
      <c r="C3945">
        <v>146.0360024</v>
      </c>
      <c r="D3945">
        <v>-17.509884700000001</v>
      </c>
      <c r="F3945" s="75" t="str">
        <f>HYPERLINK("E:\Data From Lucan\2024\Johnstone\Frames_for_Analysis\3942_20240610_0005_L_1982.jpg","3942_20240610_0005_L_1982.jpg")</f>
        <v>3942_20240610_0005_L_1982.jpg</v>
      </c>
      <c r="G3945" s="75">
        <v>5</v>
      </c>
      <c r="I3945">
        <f t="shared" si="61"/>
        <v>0</v>
      </c>
      <c r="J3945" s="75">
        <v>0</v>
      </c>
      <c r="O3945" s="75">
        <v>1</v>
      </c>
      <c r="P3945" s="75">
        <v>0</v>
      </c>
      <c r="Q3945" s="75">
        <v>0</v>
      </c>
      <c r="R3945" s="75">
        <v>0</v>
      </c>
      <c r="S3945" s="75">
        <v>0</v>
      </c>
      <c r="T3945" s="75">
        <v>0</v>
      </c>
      <c r="U3945" s="75">
        <v>0</v>
      </c>
      <c r="V3945" s="75">
        <v>0</v>
      </c>
      <c r="W3945" s="78">
        <v>0</v>
      </c>
    </row>
    <row r="3946" spans="1:23" s="75" customFormat="1" hidden="1" x14ac:dyDescent="0.35">
      <c r="A3946" s="75">
        <v>3942</v>
      </c>
      <c r="B3946" s="75">
        <v>3943</v>
      </c>
      <c r="C3946">
        <v>146.03596469999999</v>
      </c>
      <c r="D3946">
        <v>-17.509971149999998</v>
      </c>
      <c r="F3946" s="75" t="str">
        <f>HYPERLINK("E:\Data From Lucan\2024\Johnstone\Frames_for_Analysis\3943_20240610_0005_L_1986.jpg","3943_20240610_0005_L_1986.jpg")</f>
        <v>3943_20240610_0005_L_1986.jpg</v>
      </c>
      <c r="G3946" s="75">
        <v>5</v>
      </c>
      <c r="I3946">
        <f t="shared" si="61"/>
        <v>0</v>
      </c>
      <c r="J3946" s="75">
        <v>0</v>
      </c>
      <c r="O3946" s="75">
        <v>1</v>
      </c>
      <c r="P3946" s="75">
        <v>0</v>
      </c>
      <c r="Q3946" s="75">
        <v>0</v>
      </c>
      <c r="R3946" s="75">
        <v>0</v>
      </c>
      <c r="S3946" s="75">
        <v>0</v>
      </c>
      <c r="T3946" s="75">
        <v>0</v>
      </c>
      <c r="U3946" s="75">
        <v>0</v>
      </c>
      <c r="V3946" s="75">
        <v>0</v>
      </c>
      <c r="W3946" s="78">
        <v>0</v>
      </c>
    </row>
    <row r="3947" spans="1:23" s="75" customFormat="1" hidden="1" x14ac:dyDescent="0.35">
      <c r="A3947" s="75">
        <v>3943</v>
      </c>
      <c r="B3947" s="75">
        <v>3944</v>
      </c>
      <c r="C3947">
        <v>146.03592860000001</v>
      </c>
      <c r="D3947">
        <v>-17.510058279999999</v>
      </c>
      <c r="F3947" s="75" t="str">
        <f>HYPERLINK("E:\Data From Lucan\2024\Johnstone\Frames_for_Analysis\3944_20240610_0005_L_1990.jpg","3944_20240610_0005_L_1990.jpg")</f>
        <v>3944_20240610_0005_L_1990.jpg</v>
      </c>
      <c r="G3947" s="75">
        <v>5</v>
      </c>
      <c r="I3947">
        <f t="shared" si="61"/>
        <v>0</v>
      </c>
      <c r="J3947" s="75">
        <v>0</v>
      </c>
      <c r="O3947" s="75">
        <v>1</v>
      </c>
      <c r="P3947" s="75">
        <v>0</v>
      </c>
      <c r="Q3947" s="75">
        <v>0</v>
      </c>
      <c r="R3947" s="75">
        <v>0</v>
      </c>
      <c r="S3947" s="75">
        <v>0</v>
      </c>
      <c r="T3947" s="75">
        <v>0</v>
      </c>
      <c r="U3947" s="75">
        <v>0</v>
      </c>
      <c r="V3947" s="75">
        <v>0</v>
      </c>
      <c r="W3947" s="78">
        <v>0</v>
      </c>
    </row>
    <row r="3948" spans="1:23" s="75" customFormat="1" hidden="1" x14ac:dyDescent="0.35">
      <c r="A3948" s="75">
        <v>3944</v>
      </c>
      <c r="B3948" s="75">
        <v>3945</v>
      </c>
      <c r="C3948">
        <v>146.0358933</v>
      </c>
      <c r="D3948">
        <v>-17.510145690000002</v>
      </c>
      <c r="F3948" s="75" t="str">
        <f>HYPERLINK("E:\Data From Lucan\2024\Johnstone\Frames_for_Analysis\3945_20240610_0005_L_1994.jpg","3945_20240610_0005_L_1994.jpg")</f>
        <v>3945_20240610_0005_L_1994.jpg</v>
      </c>
      <c r="G3948" s="75">
        <v>5</v>
      </c>
      <c r="I3948">
        <f t="shared" si="61"/>
        <v>0</v>
      </c>
      <c r="J3948" s="75">
        <v>0</v>
      </c>
      <c r="O3948" s="75">
        <v>1</v>
      </c>
      <c r="P3948" s="75">
        <v>0</v>
      </c>
      <c r="Q3948" s="75">
        <v>0</v>
      </c>
      <c r="R3948" s="75">
        <v>0</v>
      </c>
      <c r="S3948" s="75">
        <v>0</v>
      </c>
      <c r="T3948" s="75">
        <v>0</v>
      </c>
      <c r="U3948" s="75">
        <v>0</v>
      </c>
      <c r="V3948" s="75">
        <v>0</v>
      </c>
      <c r="W3948" s="78">
        <v>0</v>
      </c>
    </row>
    <row r="3949" spans="1:23" s="75" customFormat="1" hidden="1" x14ac:dyDescent="0.35">
      <c r="A3949" s="75">
        <v>3945</v>
      </c>
      <c r="B3949" s="75">
        <v>3946</v>
      </c>
      <c r="C3949">
        <v>146.0358579</v>
      </c>
      <c r="D3949">
        <v>-17.51023309</v>
      </c>
      <c r="F3949" s="75" t="str">
        <f>HYPERLINK("E:\Data From Lucan\2024\Johnstone\Frames_for_Analysis\3946_20240610_0005_L_1998.jpg","3946_20240610_0005_L_1998.jpg")</f>
        <v>3946_20240610_0005_L_1998.jpg</v>
      </c>
      <c r="G3949" s="75">
        <v>5</v>
      </c>
      <c r="I3949">
        <f t="shared" si="61"/>
        <v>0</v>
      </c>
      <c r="J3949" s="75">
        <v>0</v>
      </c>
      <c r="O3949" s="75">
        <v>1</v>
      </c>
      <c r="P3949" s="75">
        <v>0</v>
      </c>
      <c r="Q3949" s="75">
        <v>0</v>
      </c>
      <c r="R3949" s="75">
        <v>0</v>
      </c>
      <c r="S3949" s="75">
        <v>0</v>
      </c>
      <c r="T3949" s="75">
        <v>0</v>
      </c>
      <c r="U3949" s="75">
        <v>0</v>
      </c>
      <c r="V3949" s="75">
        <v>0</v>
      </c>
      <c r="W3949" s="78">
        <v>0</v>
      </c>
    </row>
    <row r="3950" spans="1:23" s="75" customFormat="1" hidden="1" x14ac:dyDescent="0.35">
      <c r="A3950" s="75">
        <v>3946</v>
      </c>
      <c r="B3950" s="75">
        <v>3947</v>
      </c>
      <c r="C3950">
        <v>146.03582249999999</v>
      </c>
      <c r="D3950">
        <v>-17.510320499999999</v>
      </c>
      <c r="F3950" s="75" t="str">
        <f>HYPERLINK("E:\Data From Lucan\2024\Johnstone\Frames_for_Analysis\3947_20240610_0005_L_2002.jpg","3947_20240610_0005_L_2002.jpg")</f>
        <v>3947_20240610_0005_L_2002.jpg</v>
      </c>
      <c r="G3950" s="75">
        <v>5</v>
      </c>
      <c r="I3950">
        <f t="shared" si="61"/>
        <v>0</v>
      </c>
      <c r="J3950" s="75">
        <v>0</v>
      </c>
      <c r="O3950" s="75">
        <v>1</v>
      </c>
      <c r="P3950" s="75">
        <v>0</v>
      </c>
      <c r="Q3950" s="75">
        <v>0</v>
      </c>
      <c r="R3950" s="75">
        <v>0</v>
      </c>
      <c r="S3950" s="75">
        <v>0</v>
      </c>
      <c r="T3950" s="75">
        <v>0</v>
      </c>
      <c r="U3950" s="75">
        <v>0</v>
      </c>
      <c r="V3950" s="75">
        <v>0</v>
      </c>
      <c r="W3950" s="78">
        <v>0</v>
      </c>
    </row>
    <row r="3951" spans="1:23" s="75" customFormat="1" hidden="1" x14ac:dyDescent="0.35">
      <c r="A3951" s="75">
        <v>3947</v>
      </c>
      <c r="B3951" s="75">
        <v>3948</v>
      </c>
      <c r="C3951">
        <v>146.03579590000001</v>
      </c>
      <c r="D3951">
        <v>-17.510410960000002</v>
      </c>
      <c r="F3951" s="75" t="str">
        <f>HYPERLINK("E:\Data From Lucan\2024\Johnstone\Frames_for_Analysis\3948_20240610_0005_L_2005.jpg","3948_20240610_0005_L_2005.jpg")</f>
        <v>3948_20240610_0005_L_2005.jpg</v>
      </c>
      <c r="G3951" s="75">
        <v>5</v>
      </c>
      <c r="I3951">
        <f t="shared" si="61"/>
        <v>0</v>
      </c>
      <c r="J3951" s="75">
        <v>0</v>
      </c>
      <c r="O3951" s="75">
        <v>1</v>
      </c>
      <c r="P3951" s="75">
        <v>0</v>
      </c>
      <c r="Q3951" s="75">
        <v>0</v>
      </c>
      <c r="R3951" s="75">
        <v>0</v>
      </c>
      <c r="S3951" s="75">
        <v>0</v>
      </c>
      <c r="T3951" s="75">
        <v>0</v>
      </c>
      <c r="U3951" s="75">
        <v>0</v>
      </c>
      <c r="V3951" s="75">
        <v>0</v>
      </c>
      <c r="W3951" s="78">
        <v>0</v>
      </c>
    </row>
    <row r="3952" spans="1:23" s="75" customFormat="1" hidden="1" x14ac:dyDescent="0.35">
      <c r="A3952" s="75">
        <v>3948</v>
      </c>
      <c r="B3952" s="75">
        <v>3949</v>
      </c>
      <c r="C3952">
        <v>146.0357692</v>
      </c>
      <c r="D3952">
        <v>-17.510501309999999</v>
      </c>
      <c r="F3952" s="75" t="str">
        <f>HYPERLINK("E:\Data From Lucan\2024\Johnstone\Frames_for_Analysis\3949_20240610_0005_L_2009.jpg","3949_20240610_0005_L_2009.jpg")</f>
        <v>3949_20240610_0005_L_2009.jpg</v>
      </c>
      <c r="G3952" s="75">
        <v>5</v>
      </c>
      <c r="I3952">
        <f t="shared" si="61"/>
        <v>0</v>
      </c>
      <c r="J3952" s="75">
        <v>0</v>
      </c>
      <c r="O3952" s="75">
        <v>1</v>
      </c>
      <c r="P3952" s="75">
        <v>0</v>
      </c>
      <c r="Q3952" s="75">
        <v>0</v>
      </c>
      <c r="R3952" s="75">
        <v>0</v>
      </c>
      <c r="S3952" s="75">
        <v>0</v>
      </c>
      <c r="T3952" s="75">
        <v>0</v>
      </c>
      <c r="U3952" s="75">
        <v>0</v>
      </c>
      <c r="V3952" s="75">
        <v>0</v>
      </c>
      <c r="W3952" s="78">
        <v>0</v>
      </c>
    </row>
    <row r="3953" spans="1:23" s="75" customFormat="1" hidden="1" x14ac:dyDescent="0.35">
      <c r="A3953" s="75">
        <v>3949</v>
      </c>
      <c r="B3953" s="75">
        <v>3950</v>
      </c>
      <c r="C3953">
        <v>146.03572550000001</v>
      </c>
      <c r="D3953">
        <v>-17.510584860000002</v>
      </c>
      <c r="F3953" s="75" t="str">
        <f>HYPERLINK("E:\Data From Lucan\2024\Johnstone\Frames_for_Analysis\3950_20240610_0005_L_2013.jpg","3950_20240610_0005_L_2013.jpg")</f>
        <v>3950_20240610_0005_L_2013.jpg</v>
      </c>
      <c r="G3953" s="75">
        <v>5</v>
      </c>
      <c r="I3953">
        <f t="shared" si="61"/>
        <v>0</v>
      </c>
      <c r="J3953" s="75">
        <v>0</v>
      </c>
      <c r="O3953" s="75">
        <v>1</v>
      </c>
      <c r="P3953" s="75">
        <v>0</v>
      </c>
      <c r="Q3953" s="75">
        <v>0</v>
      </c>
      <c r="R3953" s="75">
        <v>0</v>
      </c>
      <c r="S3953" s="75">
        <v>0</v>
      </c>
      <c r="T3953" s="75">
        <v>0</v>
      </c>
      <c r="U3953" s="75">
        <v>0</v>
      </c>
      <c r="V3953" s="75">
        <v>0</v>
      </c>
      <c r="W3953" s="78">
        <v>0</v>
      </c>
    </row>
    <row r="3954" spans="1:23" s="75" customFormat="1" hidden="1" x14ac:dyDescent="0.35">
      <c r="A3954" s="75">
        <v>3950</v>
      </c>
      <c r="B3954" s="75">
        <v>3951</v>
      </c>
      <c r="C3954">
        <v>146.0356817</v>
      </c>
      <c r="D3954">
        <v>-17.510668419999998</v>
      </c>
      <c r="F3954" s="75" t="str">
        <f>HYPERLINK("E:\Data From Lucan\2024\Johnstone\Frames_for_Analysis\3951_20240610_0005_L_2017.jpg","3951_20240610_0005_L_2017.jpg")</f>
        <v>3951_20240610_0005_L_2017.jpg</v>
      </c>
      <c r="G3954" s="75">
        <v>5</v>
      </c>
      <c r="I3954">
        <f t="shared" si="61"/>
        <v>0</v>
      </c>
      <c r="J3954" s="75">
        <v>0</v>
      </c>
      <c r="O3954" s="75">
        <v>1</v>
      </c>
      <c r="P3954" s="75">
        <v>0</v>
      </c>
      <c r="Q3954" s="75">
        <v>0</v>
      </c>
      <c r="R3954" s="75">
        <v>0</v>
      </c>
      <c r="S3954" s="75">
        <v>0</v>
      </c>
      <c r="T3954" s="75">
        <v>0</v>
      </c>
      <c r="U3954" s="75">
        <v>0</v>
      </c>
      <c r="V3954" s="75">
        <v>0</v>
      </c>
      <c r="W3954" s="78">
        <v>0</v>
      </c>
    </row>
    <row r="3955" spans="1:23" s="75" customFormat="1" hidden="1" x14ac:dyDescent="0.35">
      <c r="A3955" s="75">
        <v>3951</v>
      </c>
      <c r="B3955" s="75">
        <v>3952</v>
      </c>
      <c r="C3955">
        <v>146.03562909999999</v>
      </c>
      <c r="D3955">
        <v>-17.510746090000001</v>
      </c>
      <c r="F3955" s="75" t="str">
        <f>HYPERLINK("E:\Data From Lucan\2024\Johnstone\Frames_for_Analysis\3952_20240610_0005_L_2021.jpg","3952_20240610_0005_L_2021.jpg")</f>
        <v>3952_20240610_0005_L_2021.jpg</v>
      </c>
      <c r="G3955" s="75">
        <v>5</v>
      </c>
      <c r="I3955">
        <f t="shared" si="61"/>
        <v>0</v>
      </c>
      <c r="J3955" s="75">
        <v>0</v>
      </c>
      <c r="O3955" s="75">
        <v>1</v>
      </c>
      <c r="P3955" s="75">
        <v>0</v>
      </c>
      <c r="Q3955" s="75">
        <v>0</v>
      </c>
      <c r="R3955" s="75">
        <v>0</v>
      </c>
      <c r="S3955" s="75">
        <v>0</v>
      </c>
      <c r="T3955" s="75">
        <v>0</v>
      </c>
      <c r="U3955" s="75">
        <v>0</v>
      </c>
      <c r="V3955" s="75">
        <v>0</v>
      </c>
      <c r="W3955" s="78">
        <v>0</v>
      </c>
    </row>
    <row r="3956" spans="1:23" s="75" customFormat="1" hidden="1" x14ac:dyDescent="0.35">
      <c r="A3956" s="75">
        <v>3952</v>
      </c>
      <c r="B3956" s="75">
        <v>3953</v>
      </c>
      <c r="C3956">
        <v>146.03556950000001</v>
      </c>
      <c r="D3956">
        <v>-17.510819179999999</v>
      </c>
      <c r="F3956" s="75" t="str">
        <f>HYPERLINK("E:\Data From Lucan\2024\Johnstone\Frames_for_Analysis\3953_20240610_0005_L_2025.jpg","3953_20240610_0005_L_2025.jpg")</f>
        <v>3953_20240610_0005_L_2025.jpg</v>
      </c>
      <c r="G3956" s="75">
        <v>5</v>
      </c>
      <c r="I3956">
        <f t="shared" si="61"/>
        <v>0</v>
      </c>
      <c r="J3956" s="75">
        <v>0</v>
      </c>
      <c r="O3956" s="75">
        <v>1</v>
      </c>
      <c r="P3956" s="75">
        <v>0</v>
      </c>
      <c r="Q3956" s="75">
        <v>0</v>
      </c>
      <c r="R3956" s="75">
        <v>0</v>
      </c>
      <c r="S3956" s="75">
        <v>0</v>
      </c>
      <c r="T3956" s="75">
        <v>0</v>
      </c>
      <c r="U3956" s="75">
        <v>0</v>
      </c>
      <c r="V3956" s="75">
        <v>0</v>
      </c>
      <c r="W3956" s="78">
        <v>0</v>
      </c>
    </row>
    <row r="3957" spans="1:23" s="75" customFormat="1" hidden="1" x14ac:dyDescent="0.35">
      <c r="A3957" s="75">
        <v>3953</v>
      </c>
      <c r="B3957" s="75">
        <v>3954</v>
      </c>
      <c r="C3957">
        <v>146.03550989999999</v>
      </c>
      <c r="D3957">
        <v>-17.51089228</v>
      </c>
      <c r="F3957" s="75" t="str">
        <f>HYPERLINK("E:\Data From Lucan\2024\Johnstone\Frames_for_Analysis\3954_20240610_0005_L_2028.jpg","3954_20240610_0005_L_2028.jpg")</f>
        <v>3954_20240610_0005_L_2028.jpg</v>
      </c>
      <c r="G3957" s="75">
        <v>5</v>
      </c>
      <c r="I3957">
        <f t="shared" si="61"/>
        <v>0</v>
      </c>
      <c r="J3957" s="75">
        <v>0</v>
      </c>
      <c r="O3957" s="75">
        <v>1</v>
      </c>
      <c r="P3957" s="75">
        <v>0</v>
      </c>
      <c r="Q3957" s="75">
        <v>0</v>
      </c>
      <c r="R3957" s="75">
        <v>0</v>
      </c>
      <c r="S3957" s="75">
        <v>0</v>
      </c>
      <c r="T3957" s="75">
        <v>0</v>
      </c>
      <c r="U3957" s="75">
        <v>0</v>
      </c>
      <c r="V3957" s="75">
        <v>1</v>
      </c>
      <c r="W3957" s="78">
        <v>0</v>
      </c>
    </row>
    <row r="3958" spans="1:23" s="75" customFormat="1" hidden="1" x14ac:dyDescent="0.35">
      <c r="A3958" s="75">
        <v>3954</v>
      </c>
      <c r="B3958" s="75">
        <v>3955</v>
      </c>
      <c r="C3958">
        <v>146.03545030000001</v>
      </c>
      <c r="D3958">
        <v>-17.510965370000001</v>
      </c>
      <c r="F3958" s="75" t="str">
        <f>HYPERLINK("E:\Data From Lucan\2024\Johnstone\Frames_for_Analysis\3955_20240610_0005_L_2032.jpg","3955_20240610_0005_L_2032.jpg")</f>
        <v>3955_20240610_0005_L_2032.jpg</v>
      </c>
      <c r="G3958" s="75">
        <v>5</v>
      </c>
      <c r="I3958">
        <f t="shared" si="61"/>
        <v>0</v>
      </c>
      <c r="J3958" s="75">
        <v>0</v>
      </c>
      <c r="O3958" s="75">
        <v>1</v>
      </c>
      <c r="P3958" s="75">
        <v>0</v>
      </c>
      <c r="Q3958" s="75">
        <v>0</v>
      </c>
      <c r="R3958" s="75">
        <v>0</v>
      </c>
      <c r="S3958" s="75">
        <v>0</v>
      </c>
      <c r="T3958" s="75">
        <v>0</v>
      </c>
      <c r="U3958" s="75">
        <v>0</v>
      </c>
      <c r="V3958" s="75">
        <v>1</v>
      </c>
      <c r="W3958" s="78">
        <v>0</v>
      </c>
    </row>
    <row r="3959" spans="1:23" s="75" customFormat="1" hidden="1" x14ac:dyDescent="0.35">
      <c r="A3959" s="75">
        <v>3955</v>
      </c>
      <c r="B3959" s="75">
        <v>3956</v>
      </c>
      <c r="C3959">
        <v>146.0353854</v>
      </c>
      <c r="D3959">
        <v>-17.511033699999999</v>
      </c>
      <c r="F3959" s="75" t="str">
        <f>HYPERLINK("E:\Data From Lucan\2024\Johnstone\Frames_for_Analysis\3956_20240610_0005_L_2035.jpg","3956_20240610_0005_L_2035.jpg")</f>
        <v>3956_20240610_0005_L_2035.jpg</v>
      </c>
      <c r="G3959" s="75">
        <v>5</v>
      </c>
      <c r="I3959">
        <f t="shared" si="61"/>
        <v>0</v>
      </c>
      <c r="J3959" s="75">
        <v>0</v>
      </c>
      <c r="O3959" s="75">
        <v>1</v>
      </c>
      <c r="P3959" s="75">
        <v>0</v>
      </c>
      <c r="Q3959" s="75">
        <v>0</v>
      </c>
      <c r="R3959" s="75">
        <v>0</v>
      </c>
      <c r="S3959" s="75">
        <v>0</v>
      </c>
      <c r="T3959" s="75">
        <v>0</v>
      </c>
      <c r="U3959" s="75">
        <v>0</v>
      </c>
      <c r="V3959" s="75">
        <v>0</v>
      </c>
      <c r="W3959" s="78">
        <v>0</v>
      </c>
    </row>
    <row r="3960" spans="1:23" s="75" customFormat="1" hidden="1" x14ac:dyDescent="0.35">
      <c r="A3960" s="75">
        <v>3956</v>
      </c>
      <c r="B3960" s="75">
        <v>3957</v>
      </c>
      <c r="C3960">
        <v>146.03532000000001</v>
      </c>
      <c r="D3960">
        <v>-17.511101660000001</v>
      </c>
      <c r="F3960" s="75" t="str">
        <f>HYPERLINK("E:\Data From Lucan\2024\Johnstone\Frames_for_Analysis\3957_20240610_0005_L_2038.jpg","3957_20240610_0005_L_2038.jpg")</f>
        <v>3957_20240610_0005_L_2038.jpg</v>
      </c>
      <c r="G3960" s="75">
        <v>5</v>
      </c>
      <c r="I3960">
        <f t="shared" si="61"/>
        <v>0</v>
      </c>
      <c r="J3960" s="75">
        <v>0</v>
      </c>
      <c r="O3960" s="75">
        <v>1</v>
      </c>
      <c r="P3960" s="75">
        <v>0</v>
      </c>
      <c r="Q3960" s="75">
        <v>0</v>
      </c>
      <c r="R3960" s="75">
        <v>0</v>
      </c>
      <c r="S3960" s="75">
        <v>0</v>
      </c>
      <c r="T3960" s="75">
        <v>0</v>
      </c>
      <c r="U3960" s="75">
        <v>0</v>
      </c>
      <c r="V3960" s="75">
        <v>0</v>
      </c>
      <c r="W3960" s="78">
        <v>0</v>
      </c>
    </row>
    <row r="3961" spans="1:23" x14ac:dyDescent="0.35">
      <c r="A3961">
        <v>3957</v>
      </c>
      <c r="B3961">
        <v>3958</v>
      </c>
      <c r="C3961">
        <v>146.0352546</v>
      </c>
      <c r="D3961">
        <v>-17.51116962</v>
      </c>
      <c r="F3961" t="str">
        <f>HYPERLINK("D:\Data From Lucan\2024\Johnstone\Frames_for_Analysis\3958_20240610_0005_L_2042.jpg","3958_20240610_0005_L_2042.jpg")</f>
        <v>3958_20240610_0005_L_2042.jpg</v>
      </c>
      <c r="G3961">
        <v>4</v>
      </c>
      <c r="I3961">
        <f t="shared" si="61"/>
        <v>1</v>
      </c>
      <c r="J3961" s="58">
        <v>1</v>
      </c>
      <c r="O3961">
        <v>1</v>
      </c>
      <c r="P3961" s="58">
        <v>0</v>
      </c>
      <c r="Q3961" s="58">
        <v>0</v>
      </c>
      <c r="R3961" s="58">
        <v>0</v>
      </c>
      <c r="S3961" s="58">
        <v>0</v>
      </c>
      <c r="T3961" s="58">
        <v>0</v>
      </c>
      <c r="U3961" s="58">
        <v>0</v>
      </c>
      <c r="V3961" s="58">
        <v>0</v>
      </c>
      <c r="W3961" s="4">
        <v>0</v>
      </c>
    </row>
    <row r="3962" spans="1:23" x14ac:dyDescent="0.35">
      <c r="A3962">
        <v>3958</v>
      </c>
      <c r="B3962">
        <v>3959</v>
      </c>
      <c r="C3962">
        <v>146.0351928</v>
      </c>
      <c r="D3962">
        <v>-17.511240749999999</v>
      </c>
      <c r="F3962" t="str">
        <f>HYPERLINK("D:\Data From Lucan\2024\Johnstone\Frames_for_Analysis\3959_20240610_0005_L_2047.jpg","3959_20240610_0005_L_2047.jpg")</f>
        <v>3959_20240610_0005_L_2047.jpg</v>
      </c>
      <c r="G3962">
        <v>4</v>
      </c>
      <c r="I3962">
        <f t="shared" si="61"/>
        <v>1</v>
      </c>
      <c r="J3962" s="58">
        <v>1</v>
      </c>
      <c r="O3962">
        <v>1</v>
      </c>
      <c r="P3962" s="58">
        <v>0</v>
      </c>
      <c r="Q3962" s="58">
        <v>0</v>
      </c>
      <c r="R3962" s="58">
        <v>0</v>
      </c>
      <c r="S3962" s="58">
        <v>0</v>
      </c>
      <c r="T3962" s="58">
        <v>0</v>
      </c>
      <c r="U3962" s="58">
        <v>0</v>
      </c>
      <c r="V3962" s="58">
        <v>0</v>
      </c>
      <c r="W3962" s="4">
        <v>0</v>
      </c>
    </row>
    <row r="3963" spans="1:23" x14ac:dyDescent="0.35">
      <c r="A3963">
        <v>3959</v>
      </c>
      <c r="B3963">
        <v>3960</v>
      </c>
      <c r="C3963">
        <v>146.03513319999999</v>
      </c>
      <c r="D3963">
        <v>-17.51131384</v>
      </c>
      <c r="F3963" t="str">
        <f>HYPERLINK("D:\Data From Lucan\2024\Johnstone\Frames_for_Analysis\3960_20240610_0005_L_2052.jpg","3960_20240610_0005_L_2052.jpg")</f>
        <v>3960_20240610_0005_L_2052.jpg</v>
      </c>
      <c r="G3963">
        <v>4</v>
      </c>
      <c r="I3963">
        <f t="shared" si="61"/>
        <v>0</v>
      </c>
      <c r="J3963" s="58">
        <v>0</v>
      </c>
      <c r="O3963">
        <v>1</v>
      </c>
      <c r="P3963" s="58">
        <v>0</v>
      </c>
      <c r="Q3963" s="58">
        <v>0</v>
      </c>
      <c r="R3963" s="58">
        <v>0</v>
      </c>
      <c r="S3963" s="58">
        <v>0</v>
      </c>
      <c r="T3963" s="58">
        <v>0</v>
      </c>
      <c r="U3963" s="58">
        <v>0</v>
      </c>
      <c r="V3963" s="58">
        <v>0</v>
      </c>
      <c r="W3963" s="4">
        <v>0</v>
      </c>
    </row>
    <row r="3964" spans="1:23" x14ac:dyDescent="0.35">
      <c r="A3964">
        <v>3960</v>
      </c>
      <c r="B3964">
        <v>3961</v>
      </c>
      <c r="C3964">
        <v>146.0350736</v>
      </c>
      <c r="D3964">
        <v>-17.51138693</v>
      </c>
      <c r="F3964" t="str">
        <f>HYPERLINK("D:\Data From Lucan\2024\Johnstone\Frames_for_Analysis\3961_20240610_0005_L_2056.jpg","3961_20240610_0005_L_2056.jpg")</f>
        <v>3961_20240610_0005_L_2056.jpg</v>
      </c>
      <c r="G3964">
        <v>4</v>
      </c>
      <c r="I3964">
        <f t="shared" si="61"/>
        <v>1</v>
      </c>
      <c r="J3964" s="58">
        <v>1</v>
      </c>
      <c r="O3964">
        <v>1</v>
      </c>
      <c r="P3964" s="58">
        <v>0</v>
      </c>
      <c r="Q3964" s="58">
        <v>0</v>
      </c>
      <c r="R3964" s="58">
        <v>0</v>
      </c>
      <c r="S3964" s="58">
        <v>0</v>
      </c>
      <c r="T3964" s="58">
        <v>0</v>
      </c>
      <c r="U3964" s="58">
        <v>0</v>
      </c>
      <c r="V3964" s="58">
        <v>0</v>
      </c>
      <c r="W3964" s="4">
        <v>0</v>
      </c>
    </row>
    <row r="3965" spans="1:23" x14ac:dyDescent="0.35">
      <c r="A3965">
        <v>3961</v>
      </c>
      <c r="B3965">
        <v>3962</v>
      </c>
      <c r="C3965">
        <v>146.03501399999999</v>
      </c>
      <c r="D3965">
        <v>-17.511460020000001</v>
      </c>
      <c r="F3965" t="str">
        <f>HYPERLINK("D:\Data From Lucan\2024\Johnstone\Frames_for_Analysis\3962_20240610_0005_L_2062.jpg","3962_20240610_0005_L_2062.jpg")</f>
        <v>3962_20240610_0005_L_2062.jpg</v>
      </c>
      <c r="G3965">
        <v>4</v>
      </c>
      <c r="I3965">
        <f t="shared" si="61"/>
        <v>1</v>
      </c>
      <c r="J3965" s="58">
        <v>1</v>
      </c>
      <c r="O3965">
        <v>1</v>
      </c>
      <c r="P3965" s="58">
        <v>0</v>
      </c>
      <c r="Q3965" s="58">
        <v>0</v>
      </c>
      <c r="R3965" s="58">
        <v>0</v>
      </c>
      <c r="S3965" s="58">
        <v>0</v>
      </c>
      <c r="T3965" s="58">
        <v>0</v>
      </c>
      <c r="U3965" s="58">
        <v>0</v>
      </c>
      <c r="V3965" s="58">
        <v>0</v>
      </c>
      <c r="W3965" s="4">
        <v>0</v>
      </c>
    </row>
    <row r="3966" spans="1:23" x14ac:dyDescent="0.35">
      <c r="A3966">
        <v>3962</v>
      </c>
      <c r="B3966">
        <v>3963</v>
      </c>
      <c r="C3966">
        <v>146.03495269999999</v>
      </c>
      <c r="D3966">
        <v>-17.511531690000002</v>
      </c>
      <c r="F3966" t="str">
        <f>HYPERLINK("D:\Data From Lucan\2024\Johnstone\Frames_for_Analysis\3963_20240610_0005_L_2068.jpg","3963_20240610_0005_L_2068.jpg")</f>
        <v>3963_20240610_0005_L_2068.jpg</v>
      </c>
      <c r="G3966">
        <v>4</v>
      </c>
      <c r="I3966">
        <f t="shared" si="61"/>
        <v>0</v>
      </c>
      <c r="J3966" s="58">
        <v>0</v>
      </c>
      <c r="O3966">
        <v>1</v>
      </c>
      <c r="P3966" s="58">
        <v>0</v>
      </c>
      <c r="Q3966" s="58">
        <v>0</v>
      </c>
      <c r="R3966" s="58">
        <v>0</v>
      </c>
      <c r="S3966" s="58">
        <v>0</v>
      </c>
      <c r="T3966" s="58">
        <v>0</v>
      </c>
      <c r="U3966" s="58">
        <v>0</v>
      </c>
      <c r="V3966" s="58">
        <v>0</v>
      </c>
      <c r="W3966" s="4">
        <v>0</v>
      </c>
    </row>
    <row r="3967" spans="1:23" x14ac:dyDescent="0.35">
      <c r="A3967">
        <v>3963</v>
      </c>
      <c r="B3967">
        <v>3964</v>
      </c>
      <c r="C3967">
        <v>146.03489139999999</v>
      </c>
      <c r="D3967">
        <v>-17.511603340000001</v>
      </c>
      <c r="F3967" t="str">
        <f>HYPERLINK("D:\Data From Lucan\2024\Johnstone\Frames_for_Analysis\3964_20240610_0005_L_2073.jpg","3964_20240610_0005_L_2073.jpg")</f>
        <v>3964_20240610_0005_L_2073.jpg</v>
      </c>
      <c r="G3967">
        <v>4</v>
      </c>
      <c r="I3967">
        <f t="shared" si="61"/>
        <v>0</v>
      </c>
      <c r="J3967" s="58">
        <v>0</v>
      </c>
      <c r="O3967">
        <v>1</v>
      </c>
      <c r="P3967" s="58">
        <v>0</v>
      </c>
      <c r="Q3967" s="58">
        <v>0</v>
      </c>
      <c r="R3967" s="58">
        <v>0</v>
      </c>
      <c r="S3967" s="58">
        <v>0</v>
      </c>
      <c r="T3967" s="58">
        <v>0</v>
      </c>
      <c r="U3967" s="58">
        <v>0</v>
      </c>
      <c r="V3967" s="58">
        <v>0</v>
      </c>
      <c r="W3967" s="4">
        <v>0</v>
      </c>
    </row>
    <row r="3968" spans="1:23" x14ac:dyDescent="0.35">
      <c r="A3968">
        <v>3964</v>
      </c>
      <c r="B3968">
        <v>3965</v>
      </c>
      <c r="C3968">
        <v>146.03483009999999</v>
      </c>
      <c r="D3968">
        <v>-17.511674979999999</v>
      </c>
      <c r="F3968" t="str">
        <f>HYPERLINK("D:\Data From Lucan\2024\Johnstone\Frames_for_Analysis\3965_20240610_0005_L_2078.jpg","3965_20240610_0005_L_2078.jpg")</f>
        <v>3965_20240610_0005_L_2078.jpg</v>
      </c>
      <c r="G3968">
        <v>4</v>
      </c>
      <c r="I3968">
        <f t="shared" si="61"/>
        <v>0</v>
      </c>
      <c r="J3968" s="58">
        <v>0</v>
      </c>
      <c r="O3968">
        <v>1</v>
      </c>
      <c r="P3968" s="58">
        <v>0</v>
      </c>
      <c r="Q3968" s="58">
        <v>0</v>
      </c>
      <c r="R3968" s="58">
        <v>0</v>
      </c>
      <c r="S3968" s="58">
        <v>0</v>
      </c>
      <c r="T3968" s="58">
        <v>0</v>
      </c>
      <c r="U3968" s="58">
        <v>0</v>
      </c>
      <c r="V3968" s="58">
        <v>0</v>
      </c>
      <c r="W3968" s="4">
        <v>0</v>
      </c>
    </row>
    <row r="3969" spans="1:23" x14ac:dyDescent="0.35">
      <c r="A3969">
        <v>3965</v>
      </c>
      <c r="B3969">
        <v>3966</v>
      </c>
      <c r="C3969">
        <v>146.03477219999999</v>
      </c>
      <c r="D3969">
        <v>-17.51174936</v>
      </c>
      <c r="F3969" t="str">
        <f>HYPERLINK("D:\Data From Lucan\2024\Johnstone\Frames_for_Analysis\3966_20240610_0005_L_2083.jpg","3966_20240610_0005_L_2083.jpg")</f>
        <v>3966_20240610_0005_L_2083.jpg</v>
      </c>
      <c r="G3969">
        <v>4</v>
      </c>
      <c r="I3969">
        <f t="shared" si="61"/>
        <v>0</v>
      </c>
      <c r="J3969" s="58">
        <v>0</v>
      </c>
      <c r="O3969">
        <v>1</v>
      </c>
      <c r="P3969" s="58">
        <v>0</v>
      </c>
      <c r="Q3969" s="58">
        <v>0</v>
      </c>
      <c r="R3969" s="58">
        <v>0</v>
      </c>
      <c r="S3969" s="58">
        <v>0</v>
      </c>
      <c r="T3969" s="58">
        <v>0</v>
      </c>
      <c r="U3969" s="58">
        <v>0</v>
      </c>
      <c r="V3969" s="58">
        <v>0</v>
      </c>
      <c r="W3969" s="4">
        <v>0</v>
      </c>
    </row>
    <row r="3970" spans="1:23" x14ac:dyDescent="0.35">
      <c r="A3970">
        <v>3966</v>
      </c>
      <c r="B3970">
        <v>3967</v>
      </c>
      <c r="C3970">
        <v>146.03471479999999</v>
      </c>
      <c r="D3970">
        <v>-17.51182425</v>
      </c>
      <c r="F3970" t="str">
        <f>HYPERLINK("D:\Data From Lucan\2024\Johnstone\Frames_for_Analysis\3967_20240610_0005_L_2089.jpg","3967_20240610_0005_L_2089.jpg")</f>
        <v>3967_20240610_0005_L_2089.jpg</v>
      </c>
      <c r="G3970">
        <v>4</v>
      </c>
      <c r="I3970">
        <f t="shared" si="61"/>
        <v>0</v>
      </c>
      <c r="J3970" s="58">
        <v>0</v>
      </c>
      <c r="O3970">
        <v>1</v>
      </c>
      <c r="P3970" s="58">
        <v>0</v>
      </c>
      <c r="Q3970" s="58">
        <v>0</v>
      </c>
      <c r="R3970" s="58">
        <v>0</v>
      </c>
      <c r="S3970" s="58">
        <v>0</v>
      </c>
      <c r="T3970" s="58">
        <v>0</v>
      </c>
      <c r="U3970" s="58">
        <v>0</v>
      </c>
      <c r="V3970" s="58">
        <v>0</v>
      </c>
      <c r="W3970" s="4">
        <v>0</v>
      </c>
    </row>
    <row r="3971" spans="1:23" x14ac:dyDescent="0.35">
      <c r="A3971">
        <v>3967</v>
      </c>
      <c r="B3971">
        <v>3968</v>
      </c>
      <c r="C3971">
        <v>146.03465750000001</v>
      </c>
      <c r="D3971">
        <v>-17.51189913</v>
      </c>
      <c r="F3971" t="str">
        <f>HYPERLINK("D:\Data From Lucan\2024\Johnstone\Frames_for_Analysis\3968_20240610_0005_L_2094.jpg","3968_20240610_0005_L_2094.jpg")</f>
        <v>3968_20240610_0005_L_2094.jpg</v>
      </c>
      <c r="G3971">
        <v>4</v>
      </c>
      <c r="I3971">
        <f t="shared" si="61"/>
        <v>0</v>
      </c>
      <c r="J3971" s="58">
        <v>0</v>
      </c>
      <c r="O3971">
        <v>1</v>
      </c>
      <c r="P3971" s="58">
        <v>0</v>
      </c>
      <c r="Q3971" s="58">
        <v>0</v>
      </c>
      <c r="R3971" s="58">
        <v>0</v>
      </c>
      <c r="S3971" s="58">
        <v>0</v>
      </c>
      <c r="T3971" s="58">
        <v>0</v>
      </c>
      <c r="U3971" s="58">
        <v>0</v>
      </c>
      <c r="V3971" s="58">
        <v>0</v>
      </c>
      <c r="W3971" s="4">
        <v>0</v>
      </c>
    </row>
    <row r="3972" spans="1:23" x14ac:dyDescent="0.35">
      <c r="A3972">
        <v>3968</v>
      </c>
      <c r="B3972">
        <v>3969</v>
      </c>
      <c r="C3972">
        <v>146.0346011</v>
      </c>
      <c r="D3972">
        <v>-17.511974670000001</v>
      </c>
      <c r="F3972" t="str">
        <f>HYPERLINK("D:\Data From Lucan\2024\Johnstone\Frames_for_Analysis\3969_20240610_0005_L_2097.jpg","3969_20240610_0005_L_2097.jpg")</f>
        <v>3969_20240610_0005_L_2097.jpg</v>
      </c>
      <c r="G3972">
        <v>4</v>
      </c>
      <c r="I3972">
        <f t="shared" si="61"/>
        <v>1</v>
      </c>
      <c r="J3972" s="58">
        <v>1</v>
      </c>
      <c r="O3972">
        <v>1</v>
      </c>
      <c r="P3972" s="58">
        <v>0</v>
      </c>
      <c r="Q3972" s="58">
        <v>0</v>
      </c>
      <c r="R3972" s="58">
        <v>0</v>
      </c>
      <c r="S3972" s="58">
        <v>0</v>
      </c>
      <c r="T3972" s="58">
        <v>0</v>
      </c>
      <c r="U3972" s="58">
        <v>0</v>
      </c>
      <c r="V3972" s="58">
        <v>0</v>
      </c>
      <c r="W3972" s="4">
        <v>0</v>
      </c>
    </row>
    <row r="3973" spans="1:23" x14ac:dyDescent="0.35">
      <c r="A3973">
        <v>3969</v>
      </c>
      <c r="B3973">
        <v>3970</v>
      </c>
      <c r="C3973">
        <v>146.0345456</v>
      </c>
      <c r="D3973">
        <v>-17.512050940000002</v>
      </c>
      <c r="F3973" t="str">
        <f>HYPERLINK("D:\Data From Lucan\2024\Johnstone\Frames_for_Analysis\3970_20240610_0005_L_2101.jpg","3970_20240610_0005_L_2101.jpg")</f>
        <v>3970_20240610_0005_L_2101.jpg</v>
      </c>
      <c r="G3973">
        <v>4</v>
      </c>
      <c r="I3973">
        <f t="shared" ref="I3973:I4036" si="62">IF(H3973="X","X",IF(J3973="NA","X",IF(J3973="","X",J3973)))</f>
        <v>1</v>
      </c>
      <c r="J3973" s="58">
        <v>1</v>
      </c>
      <c r="O3973">
        <v>1</v>
      </c>
      <c r="P3973" s="58">
        <v>0</v>
      </c>
      <c r="Q3973" s="58">
        <v>0</v>
      </c>
      <c r="R3973" s="58">
        <v>0</v>
      </c>
      <c r="S3973" s="58">
        <v>0</v>
      </c>
      <c r="T3973" s="58">
        <v>0</v>
      </c>
      <c r="U3973" s="58">
        <v>0</v>
      </c>
      <c r="V3973" s="58">
        <v>0</v>
      </c>
      <c r="W3973" s="4">
        <v>0</v>
      </c>
    </row>
    <row r="3974" spans="1:23" x14ac:dyDescent="0.35">
      <c r="A3974">
        <v>3970</v>
      </c>
      <c r="B3974">
        <v>3971</v>
      </c>
      <c r="C3974">
        <v>146.0344901</v>
      </c>
      <c r="D3974">
        <v>-17.512127199999998</v>
      </c>
      <c r="F3974" t="str">
        <f>HYPERLINK("D:\Data From Lucan\2024\Johnstone\Frames_for_Analysis\3971_20240610_0005_L_2105.jpg","3971_20240610_0005_L_2105.jpg")</f>
        <v>3971_20240610_0005_L_2105.jpg</v>
      </c>
      <c r="G3974">
        <v>4</v>
      </c>
      <c r="I3974">
        <v>0</v>
      </c>
      <c r="J3974" s="58">
        <v>2</v>
      </c>
      <c r="O3974">
        <v>1</v>
      </c>
      <c r="P3974" s="58">
        <v>0</v>
      </c>
      <c r="Q3974" s="58">
        <v>0</v>
      </c>
      <c r="R3974" s="58">
        <v>0</v>
      </c>
      <c r="S3974" s="58">
        <v>0</v>
      </c>
      <c r="T3974" s="58">
        <v>0</v>
      </c>
      <c r="U3974" s="58">
        <v>0</v>
      </c>
      <c r="V3974" s="58">
        <v>0</v>
      </c>
      <c r="W3974" s="4">
        <v>0</v>
      </c>
    </row>
    <row r="3975" spans="1:23" x14ac:dyDescent="0.35">
      <c r="A3975">
        <v>3971</v>
      </c>
      <c r="B3975">
        <v>3972</v>
      </c>
      <c r="C3975">
        <v>146.03443469999999</v>
      </c>
      <c r="D3975">
        <v>-17.512203469999999</v>
      </c>
      <c r="F3975" t="str">
        <f>HYPERLINK("D:\Data From Lucan\2024\Johnstone\Frames_for_Analysis\3972_20240610_0005_L_2107.jpg","3972_20240610_0005_L_2107.jpg")</f>
        <v>3972_20240610_0005_L_2107.jpg</v>
      </c>
      <c r="G3975">
        <v>4</v>
      </c>
      <c r="I3975">
        <v>0</v>
      </c>
      <c r="J3975" s="58">
        <v>2</v>
      </c>
      <c r="O3975">
        <v>1</v>
      </c>
      <c r="P3975" s="58">
        <v>0</v>
      </c>
      <c r="Q3975" s="58">
        <v>0</v>
      </c>
      <c r="R3975" s="58">
        <v>0</v>
      </c>
      <c r="S3975" s="58">
        <v>0</v>
      </c>
      <c r="T3975" s="58">
        <v>0</v>
      </c>
      <c r="U3975" s="58">
        <v>0</v>
      </c>
      <c r="V3975" s="58">
        <v>0</v>
      </c>
      <c r="W3975" s="4">
        <v>0</v>
      </c>
    </row>
    <row r="3976" spans="1:23" x14ac:dyDescent="0.35">
      <c r="A3976">
        <v>3972</v>
      </c>
      <c r="B3976">
        <v>3973</v>
      </c>
      <c r="C3976">
        <v>146.0343518</v>
      </c>
      <c r="D3976">
        <v>-17.512248159999999</v>
      </c>
      <c r="F3976" t="str">
        <f>HYPERLINK("D:\Data From Lucan\2024\Johnstone\Frames_for_Analysis\3973_20240610_0005_L_2110.jpg","3973_20240610_0005_L_2110.jpg")</f>
        <v>3973_20240610_0005_L_2110.jpg</v>
      </c>
      <c r="G3976">
        <v>4</v>
      </c>
      <c r="I3976">
        <f t="shared" si="62"/>
        <v>0</v>
      </c>
      <c r="J3976" s="58">
        <v>0</v>
      </c>
      <c r="O3976">
        <v>1</v>
      </c>
      <c r="P3976" s="58">
        <v>0</v>
      </c>
      <c r="Q3976" s="58">
        <v>0</v>
      </c>
      <c r="R3976" s="58">
        <v>0</v>
      </c>
      <c r="S3976" s="58">
        <v>0</v>
      </c>
      <c r="T3976" s="58">
        <v>0</v>
      </c>
      <c r="U3976" s="58">
        <v>0</v>
      </c>
      <c r="V3976" s="58">
        <v>0</v>
      </c>
      <c r="W3976" s="4">
        <v>0</v>
      </c>
    </row>
    <row r="3977" spans="1:23" x14ac:dyDescent="0.35">
      <c r="A3977">
        <v>3973</v>
      </c>
      <c r="B3977">
        <v>3974</v>
      </c>
      <c r="C3977">
        <v>146.03427139999999</v>
      </c>
      <c r="D3977">
        <v>-17.51229674</v>
      </c>
      <c r="F3977" t="str">
        <f>HYPERLINK("D:\Data From Lucan\2024\Johnstone\Frames_for_Analysis\3974_20240610_0005_L_2113.jpg","3974_20240610_0005_L_2113.jpg")</f>
        <v>3974_20240610_0005_L_2113.jpg</v>
      </c>
      <c r="G3977">
        <v>4</v>
      </c>
      <c r="I3977">
        <f t="shared" si="62"/>
        <v>1</v>
      </c>
      <c r="J3977" s="58">
        <v>1</v>
      </c>
      <c r="O3977">
        <v>1</v>
      </c>
      <c r="P3977" s="58">
        <v>0</v>
      </c>
      <c r="Q3977" s="58">
        <v>0</v>
      </c>
      <c r="R3977" s="58">
        <v>0</v>
      </c>
      <c r="S3977" s="58">
        <v>0</v>
      </c>
      <c r="T3977" s="58">
        <v>0</v>
      </c>
      <c r="U3977" s="58">
        <v>0</v>
      </c>
      <c r="V3977" s="58">
        <v>0</v>
      </c>
      <c r="W3977" s="4">
        <v>0</v>
      </c>
    </row>
    <row r="3978" spans="1:23" x14ac:dyDescent="0.35">
      <c r="A3978">
        <v>3974</v>
      </c>
      <c r="B3978">
        <v>3975</v>
      </c>
      <c r="C3978">
        <v>146.03419930000001</v>
      </c>
      <c r="D3978">
        <v>-17.512357479999999</v>
      </c>
      <c r="F3978" t="str">
        <f>HYPERLINK("D:\Data From Lucan\2024\Johnstone\Frames_for_Analysis\3975_20240610_0005_L_2116.jpg","3975_20240610_0005_L_2116.jpg")</f>
        <v>3975_20240610_0005_L_2116.jpg</v>
      </c>
      <c r="G3978">
        <v>4</v>
      </c>
      <c r="I3978">
        <f t="shared" si="62"/>
        <v>0</v>
      </c>
      <c r="J3978" s="58">
        <v>0</v>
      </c>
      <c r="O3978">
        <v>1</v>
      </c>
      <c r="P3978" s="58">
        <v>0</v>
      </c>
      <c r="Q3978" s="58">
        <v>0</v>
      </c>
      <c r="R3978" s="58">
        <v>0</v>
      </c>
      <c r="S3978" s="58">
        <v>0</v>
      </c>
      <c r="T3978" s="58">
        <v>0</v>
      </c>
      <c r="U3978" s="58">
        <v>0</v>
      </c>
      <c r="V3978" s="58">
        <v>0</v>
      </c>
      <c r="W3978" s="4">
        <v>0</v>
      </c>
    </row>
    <row r="3979" spans="1:23" x14ac:dyDescent="0.35">
      <c r="A3979">
        <v>3975</v>
      </c>
      <c r="B3979">
        <v>3976</v>
      </c>
      <c r="C3979">
        <v>146.0341359</v>
      </c>
      <c r="D3979">
        <v>-17.512427209999998</v>
      </c>
      <c r="F3979" t="str">
        <f>HYPERLINK("D:\Data From Lucan\2024\Johnstone\Frames_for_Analysis\3976_20240610_0005_L_2118.jpg","3976_20240610_0005_L_2118.jpg")</f>
        <v>3976_20240610_0005_L_2118.jpg</v>
      </c>
      <c r="G3979">
        <v>4</v>
      </c>
      <c r="I3979">
        <f t="shared" si="62"/>
        <v>1</v>
      </c>
      <c r="J3979" s="58">
        <v>1</v>
      </c>
      <c r="O3979">
        <v>1</v>
      </c>
      <c r="P3979" s="58">
        <v>0</v>
      </c>
      <c r="Q3979" s="58">
        <v>0</v>
      </c>
      <c r="R3979" s="58">
        <v>0</v>
      </c>
      <c r="S3979" s="58">
        <v>0</v>
      </c>
      <c r="T3979" s="58">
        <v>0</v>
      </c>
      <c r="U3979" s="58">
        <v>0</v>
      </c>
      <c r="V3979" s="58">
        <v>0</v>
      </c>
      <c r="W3979" s="4">
        <v>0</v>
      </c>
    </row>
    <row r="3980" spans="1:23" x14ac:dyDescent="0.35">
      <c r="A3980">
        <v>3976</v>
      </c>
      <c r="B3980">
        <v>3977</v>
      </c>
      <c r="C3980">
        <v>146.0340731</v>
      </c>
      <c r="D3980">
        <v>-17.512497589999999</v>
      </c>
      <c r="F3980" t="str">
        <f>HYPERLINK("D:\Data From Lucan\2024\Johnstone\Frames_for_Analysis\3977_20240610_0005_L_2121.jpg","3977_20240610_0005_L_2121.jpg")</f>
        <v>3977_20240610_0005_L_2121.jpg</v>
      </c>
      <c r="G3980">
        <v>4</v>
      </c>
      <c r="I3980">
        <f t="shared" si="62"/>
        <v>0</v>
      </c>
      <c r="J3980" s="58">
        <v>0</v>
      </c>
      <c r="O3980">
        <v>1</v>
      </c>
      <c r="P3980" s="58">
        <v>0</v>
      </c>
      <c r="Q3980" s="58">
        <v>0</v>
      </c>
      <c r="R3980" s="58">
        <v>0</v>
      </c>
      <c r="S3980" s="58">
        <v>0</v>
      </c>
      <c r="T3980" s="58">
        <v>0</v>
      </c>
      <c r="U3980" s="58">
        <v>0</v>
      </c>
      <c r="V3980" s="58">
        <v>0</v>
      </c>
      <c r="W3980" s="4">
        <v>0</v>
      </c>
    </row>
    <row r="3981" spans="1:23" x14ac:dyDescent="0.35">
      <c r="A3981">
        <v>3977</v>
      </c>
      <c r="B3981">
        <v>3978</v>
      </c>
      <c r="C3981">
        <v>146.03401410000001</v>
      </c>
      <c r="D3981">
        <v>-17.512571090000002</v>
      </c>
      <c r="F3981" t="str">
        <f>HYPERLINK("D:\Data From Lucan\2024\Johnstone\Frames_for_Analysis\3978_20240610_0005_L_2124.jpg","3978_20240610_0005_L_2124.jpg")</f>
        <v>3978_20240610_0005_L_2124.jpg</v>
      </c>
      <c r="G3981">
        <v>4</v>
      </c>
      <c r="I3981">
        <v>0</v>
      </c>
      <c r="J3981" s="58">
        <v>2</v>
      </c>
      <c r="O3981">
        <v>1</v>
      </c>
      <c r="P3981" s="58">
        <v>0</v>
      </c>
      <c r="Q3981" s="58">
        <v>0</v>
      </c>
      <c r="R3981" s="58">
        <v>0</v>
      </c>
      <c r="S3981" s="58">
        <v>0</v>
      </c>
      <c r="T3981" s="58">
        <v>0</v>
      </c>
      <c r="U3981" s="58">
        <v>0</v>
      </c>
      <c r="V3981" s="58">
        <v>0</v>
      </c>
      <c r="W3981" s="4">
        <v>0</v>
      </c>
    </row>
    <row r="3982" spans="1:23" x14ac:dyDescent="0.35">
      <c r="A3982">
        <v>3978</v>
      </c>
      <c r="B3982">
        <v>3979</v>
      </c>
      <c r="C3982">
        <v>146.0339558</v>
      </c>
      <c r="D3982">
        <v>-17.512645259999999</v>
      </c>
      <c r="F3982" t="str">
        <f>HYPERLINK("D:\Data From Lucan\2024\Johnstone\Frames_for_Analysis\3979_20240610_0005_L_2126.jpg","3979_20240610_0005_L_2126.jpg")</f>
        <v>3979_20240610_0005_L_2126.jpg</v>
      </c>
      <c r="G3982">
        <v>4</v>
      </c>
      <c r="I3982">
        <f t="shared" si="62"/>
        <v>0</v>
      </c>
      <c r="J3982" s="58">
        <v>0</v>
      </c>
      <c r="O3982">
        <v>1</v>
      </c>
      <c r="P3982" s="58">
        <v>0</v>
      </c>
      <c r="Q3982" s="58">
        <v>0</v>
      </c>
      <c r="R3982" s="58">
        <v>0</v>
      </c>
      <c r="S3982" s="58">
        <v>0</v>
      </c>
      <c r="T3982" s="58">
        <v>0</v>
      </c>
      <c r="U3982" s="58">
        <v>0</v>
      </c>
      <c r="V3982" s="58">
        <v>0</v>
      </c>
      <c r="W3982" s="4">
        <v>0</v>
      </c>
    </row>
    <row r="3983" spans="1:23" x14ac:dyDescent="0.35">
      <c r="A3983">
        <v>3979</v>
      </c>
      <c r="B3983">
        <v>3980</v>
      </c>
      <c r="C3983">
        <v>146.03389759999999</v>
      </c>
      <c r="D3983">
        <v>-17.512719430000001</v>
      </c>
      <c r="F3983" t="str">
        <f>HYPERLINK("D:\Data From Lucan\2024\Johnstone\Frames_for_Analysis\3980_20240610_0005_L_2129.jpg","3980_20240610_0005_L_2129.jpg")</f>
        <v>3980_20240610_0005_L_2129.jpg</v>
      </c>
      <c r="G3983">
        <v>4</v>
      </c>
      <c r="I3983">
        <f t="shared" si="62"/>
        <v>0</v>
      </c>
      <c r="J3983" s="58">
        <v>0</v>
      </c>
      <c r="O3983">
        <v>1</v>
      </c>
      <c r="P3983" s="58">
        <v>0</v>
      </c>
      <c r="Q3983" s="58">
        <v>0</v>
      </c>
      <c r="R3983" s="58">
        <v>0</v>
      </c>
      <c r="S3983" s="58">
        <v>0</v>
      </c>
      <c r="T3983" s="58">
        <v>0</v>
      </c>
      <c r="U3983" s="58">
        <v>0</v>
      </c>
      <c r="V3983" s="58">
        <v>0</v>
      </c>
      <c r="W3983" s="4">
        <v>0</v>
      </c>
    </row>
    <row r="3984" spans="1:23" x14ac:dyDescent="0.35">
      <c r="A3984">
        <v>3980</v>
      </c>
      <c r="B3984">
        <v>3981</v>
      </c>
      <c r="C3984">
        <v>146.03384299999999</v>
      </c>
      <c r="D3984">
        <v>-17.512796290000001</v>
      </c>
      <c r="F3984" t="str">
        <f>HYPERLINK("D:\Data From Lucan\2024\Johnstone\Frames_for_Analysis\3981_20240610_0005_L_2132.jpg","3981_20240610_0005_L_2132.jpg")</f>
        <v>3981_20240610_0005_L_2132.jpg</v>
      </c>
      <c r="G3984">
        <v>4</v>
      </c>
      <c r="I3984">
        <f t="shared" si="62"/>
        <v>0</v>
      </c>
      <c r="J3984" s="58">
        <v>0</v>
      </c>
      <c r="O3984">
        <v>1</v>
      </c>
      <c r="P3984" s="58">
        <v>0</v>
      </c>
      <c r="Q3984" s="58">
        <v>0</v>
      </c>
      <c r="R3984" s="58">
        <v>0</v>
      </c>
      <c r="S3984" s="58">
        <v>0</v>
      </c>
      <c r="T3984" s="58">
        <v>0</v>
      </c>
      <c r="U3984" s="58">
        <v>0</v>
      </c>
      <c r="V3984" s="58">
        <v>0</v>
      </c>
      <c r="W3984" s="4">
        <v>0</v>
      </c>
    </row>
    <row r="3985" spans="1:23" x14ac:dyDescent="0.35">
      <c r="A3985">
        <v>3981</v>
      </c>
      <c r="B3985">
        <v>3982</v>
      </c>
      <c r="C3985">
        <v>146.03378979999999</v>
      </c>
      <c r="D3985">
        <v>-17.512874159999999</v>
      </c>
      <c r="F3985" t="str">
        <f>HYPERLINK("D:\Data From Lucan\2024\Johnstone\Frames_for_Analysis\3982_20240610_0005_L_2134.jpg","3982_20240610_0005_L_2134.jpg")</f>
        <v>3982_20240610_0005_L_2134.jpg</v>
      </c>
      <c r="G3985">
        <v>4</v>
      </c>
      <c r="I3985">
        <f t="shared" si="62"/>
        <v>1</v>
      </c>
      <c r="J3985" s="58">
        <v>1</v>
      </c>
      <c r="O3985">
        <v>1</v>
      </c>
      <c r="P3985" s="58">
        <v>0</v>
      </c>
      <c r="Q3985" s="58">
        <v>0</v>
      </c>
      <c r="R3985" s="58">
        <v>0</v>
      </c>
      <c r="S3985" s="58">
        <v>0</v>
      </c>
      <c r="T3985" s="58">
        <v>0</v>
      </c>
      <c r="U3985" s="58">
        <v>0</v>
      </c>
      <c r="V3985" s="58">
        <v>0</v>
      </c>
      <c r="W3985" s="4">
        <v>0</v>
      </c>
    </row>
    <row r="3986" spans="1:23" x14ac:dyDescent="0.35">
      <c r="A3986">
        <v>3982</v>
      </c>
      <c r="B3986">
        <v>3983</v>
      </c>
      <c r="C3986">
        <v>146.03373680000001</v>
      </c>
      <c r="D3986">
        <v>-17.512952160000001</v>
      </c>
      <c r="F3986" t="str">
        <f>HYPERLINK("D:\Data From Lucan\2024\Johnstone\Frames_for_Analysis\3983_20240610_0005_L_2137.jpg","3983_20240610_0005_L_2137.jpg")</f>
        <v>3983_20240610_0005_L_2137.jpg</v>
      </c>
      <c r="G3986">
        <v>4</v>
      </c>
      <c r="I3986">
        <f t="shared" si="62"/>
        <v>1</v>
      </c>
      <c r="J3986" s="58">
        <v>1</v>
      </c>
      <c r="O3986">
        <v>1</v>
      </c>
      <c r="P3986" s="58">
        <v>0</v>
      </c>
      <c r="Q3986" s="58">
        <v>0</v>
      </c>
      <c r="R3986" s="58">
        <v>0</v>
      </c>
      <c r="S3986" s="58">
        <v>0</v>
      </c>
      <c r="T3986" s="58">
        <v>0</v>
      </c>
      <c r="U3986" s="58">
        <v>0</v>
      </c>
      <c r="V3986" s="58">
        <v>0</v>
      </c>
      <c r="W3986" s="4">
        <v>0</v>
      </c>
    </row>
    <row r="3987" spans="1:23" x14ac:dyDescent="0.35">
      <c r="A3987">
        <v>3983</v>
      </c>
      <c r="B3987">
        <v>3984</v>
      </c>
      <c r="C3987">
        <v>146.03368449999999</v>
      </c>
      <c r="D3987">
        <v>-17.513030610000001</v>
      </c>
      <c r="F3987" t="str">
        <f>HYPERLINK("D:\Data From Lucan\2024\Johnstone\Frames_for_Analysis\3984_20240610_0005_L_2140.jpg","3984_20240610_0005_L_2140.jpg")</f>
        <v>3984_20240610_0005_L_2140.jpg</v>
      </c>
      <c r="G3987">
        <v>4</v>
      </c>
      <c r="I3987">
        <f t="shared" si="62"/>
        <v>0</v>
      </c>
      <c r="J3987" s="58">
        <v>0</v>
      </c>
      <c r="O3987">
        <v>1</v>
      </c>
      <c r="P3987" s="58">
        <v>0</v>
      </c>
      <c r="Q3987" s="58">
        <v>0</v>
      </c>
      <c r="R3987" s="58">
        <v>0</v>
      </c>
      <c r="S3987" s="58">
        <v>0</v>
      </c>
      <c r="T3987" s="58">
        <v>0</v>
      </c>
      <c r="U3987" s="58">
        <v>0</v>
      </c>
      <c r="V3987" s="58">
        <v>0</v>
      </c>
      <c r="W3987" s="4">
        <v>0</v>
      </c>
    </row>
    <row r="3988" spans="1:23" x14ac:dyDescent="0.35">
      <c r="A3988">
        <v>3984</v>
      </c>
      <c r="B3988">
        <v>3985</v>
      </c>
      <c r="C3988">
        <v>146.0336332</v>
      </c>
      <c r="D3988">
        <v>-17.513109679999999</v>
      </c>
      <c r="F3988" t="str">
        <f>HYPERLINK("D:\Data From Lucan\2024\Johnstone\Frames_for_Analysis\3985_20240610_0005_L_2142.jpg","3985_20240610_0005_L_2142.jpg")</f>
        <v>3985_20240610_0005_L_2142.jpg</v>
      </c>
      <c r="G3988">
        <v>4</v>
      </c>
      <c r="I3988">
        <f t="shared" si="62"/>
        <v>0</v>
      </c>
      <c r="J3988" s="58">
        <v>0</v>
      </c>
      <c r="O3988">
        <v>1</v>
      </c>
      <c r="P3988" s="58">
        <v>0</v>
      </c>
      <c r="Q3988" s="58">
        <v>0</v>
      </c>
      <c r="R3988" s="58">
        <v>0</v>
      </c>
      <c r="S3988" s="58">
        <v>0</v>
      </c>
      <c r="T3988" s="58">
        <v>0</v>
      </c>
      <c r="U3988" s="58">
        <v>0</v>
      </c>
      <c r="V3988" s="58">
        <v>0</v>
      </c>
      <c r="W3988" s="4">
        <v>0</v>
      </c>
    </row>
    <row r="3989" spans="1:23" x14ac:dyDescent="0.35">
      <c r="A3989">
        <v>3985</v>
      </c>
      <c r="B3989">
        <v>3986</v>
      </c>
      <c r="C3989">
        <v>146.03358739999999</v>
      </c>
      <c r="D3989">
        <v>-17.513192140000001</v>
      </c>
      <c r="F3989" t="str">
        <f>HYPERLINK("D:\Data From Lucan\2024\Johnstone\Frames_for_Analysis\3986_20240610_0005_L_2145.jpg","3986_20240610_0005_L_2145.jpg")</f>
        <v>3986_20240610_0005_L_2145.jpg</v>
      </c>
      <c r="G3989">
        <v>4</v>
      </c>
      <c r="I3989">
        <f t="shared" si="62"/>
        <v>1</v>
      </c>
      <c r="J3989" s="58">
        <v>1</v>
      </c>
      <c r="O3989">
        <v>1</v>
      </c>
      <c r="P3989" s="58">
        <v>0</v>
      </c>
      <c r="Q3989" s="58">
        <v>0</v>
      </c>
      <c r="R3989" s="58">
        <v>0</v>
      </c>
      <c r="S3989" s="58">
        <v>0</v>
      </c>
      <c r="T3989" s="58">
        <v>0</v>
      </c>
      <c r="U3989" s="58">
        <v>0</v>
      </c>
      <c r="V3989" s="58">
        <v>0</v>
      </c>
      <c r="W3989" s="4">
        <v>0</v>
      </c>
    </row>
    <row r="3990" spans="1:23" x14ac:dyDescent="0.35">
      <c r="A3990">
        <v>3986</v>
      </c>
      <c r="B3990">
        <v>3987</v>
      </c>
      <c r="C3990">
        <v>146.0335417</v>
      </c>
      <c r="D3990">
        <v>-17.513274599999999</v>
      </c>
      <c r="F3990" t="str">
        <f>HYPERLINK("D:\Data From Lucan\2024\Johnstone\Frames_for_Analysis\3987_20240610_0005_L_2147.jpg","3987_20240610_0005_L_2147.jpg")</f>
        <v>3987_20240610_0005_L_2147.jpg</v>
      </c>
      <c r="G3990">
        <v>4</v>
      </c>
      <c r="I3990">
        <f t="shared" si="62"/>
        <v>1</v>
      </c>
      <c r="J3990" s="58">
        <v>1</v>
      </c>
      <c r="O3990">
        <v>1</v>
      </c>
      <c r="P3990" s="58">
        <v>0</v>
      </c>
      <c r="Q3990" s="58">
        <v>0</v>
      </c>
      <c r="R3990" s="58">
        <v>0</v>
      </c>
      <c r="S3990" s="58">
        <v>0</v>
      </c>
      <c r="T3990" s="58">
        <v>0</v>
      </c>
      <c r="U3990" s="58">
        <v>0</v>
      </c>
      <c r="V3990" s="58">
        <v>0</v>
      </c>
      <c r="W3990" s="4">
        <v>0</v>
      </c>
    </row>
    <row r="3991" spans="1:23" x14ac:dyDescent="0.35">
      <c r="A3991">
        <v>3987</v>
      </c>
      <c r="B3991">
        <v>3988</v>
      </c>
      <c r="C3991">
        <v>146.03349539999999</v>
      </c>
      <c r="D3991">
        <v>-17.513356779999999</v>
      </c>
      <c r="F3991" t="str">
        <f>HYPERLINK("D:\Data From Lucan\2024\Johnstone\Frames_for_Analysis\3988_20240610_0005_L_2150.jpg","3988_20240610_0005_L_2150.jpg")</f>
        <v>3988_20240610_0005_L_2150.jpg</v>
      </c>
      <c r="G3991">
        <v>4</v>
      </c>
      <c r="I3991">
        <f t="shared" si="62"/>
        <v>0</v>
      </c>
      <c r="J3991" s="58">
        <v>0</v>
      </c>
      <c r="O3991">
        <v>1</v>
      </c>
      <c r="P3991" s="58">
        <v>0</v>
      </c>
      <c r="Q3991" s="58">
        <v>0</v>
      </c>
      <c r="R3991" s="58">
        <v>0</v>
      </c>
      <c r="S3991" s="58">
        <v>0</v>
      </c>
      <c r="T3991" s="58">
        <v>0</v>
      </c>
      <c r="U3991" s="58">
        <v>0</v>
      </c>
      <c r="V3991" s="58">
        <v>0</v>
      </c>
      <c r="W3991" s="4">
        <v>0</v>
      </c>
    </row>
    <row r="3992" spans="1:23" x14ac:dyDescent="0.35">
      <c r="A3992">
        <v>3988</v>
      </c>
      <c r="B3992">
        <v>3989</v>
      </c>
      <c r="C3992">
        <v>146.03344870000001</v>
      </c>
      <c r="D3992">
        <v>-17.51343872</v>
      </c>
      <c r="F3992" t="str">
        <f>HYPERLINK("D:\Data From Lucan\2024\Johnstone\Frames_for_Analysis\3989_20240610_0005_L_2152.jpg","3989_20240610_0005_L_2152.jpg")</f>
        <v>3989_20240610_0005_L_2152.jpg</v>
      </c>
      <c r="G3992">
        <v>4</v>
      </c>
      <c r="I3992">
        <f t="shared" si="62"/>
        <v>0</v>
      </c>
      <c r="J3992" s="58">
        <v>0</v>
      </c>
      <c r="O3992">
        <v>1</v>
      </c>
      <c r="P3992" s="58">
        <v>0</v>
      </c>
      <c r="Q3992" s="58">
        <v>0</v>
      </c>
      <c r="R3992" s="58">
        <v>0</v>
      </c>
      <c r="S3992" s="58">
        <v>0</v>
      </c>
      <c r="T3992" s="58">
        <v>0</v>
      </c>
      <c r="U3992" s="58">
        <v>0</v>
      </c>
      <c r="V3992" s="58">
        <v>0</v>
      </c>
      <c r="W3992" s="4">
        <v>0</v>
      </c>
    </row>
    <row r="3993" spans="1:23" x14ac:dyDescent="0.35">
      <c r="A3993">
        <v>3989</v>
      </c>
      <c r="B3993">
        <v>3990</v>
      </c>
      <c r="C3993">
        <v>146.03340209999999</v>
      </c>
      <c r="D3993">
        <v>-17.51352065</v>
      </c>
      <c r="F3993" t="str">
        <f>HYPERLINK("D:\Data From Lucan\2024\Johnstone\Frames_for_Analysis\3990_20240610_0005_L_2155.jpg","3990_20240610_0005_L_2155.jpg")</f>
        <v>3990_20240610_0005_L_2155.jpg</v>
      </c>
      <c r="G3993">
        <v>4</v>
      </c>
      <c r="I3993">
        <v>0</v>
      </c>
      <c r="J3993" s="58">
        <v>2</v>
      </c>
      <c r="O3993">
        <v>1</v>
      </c>
      <c r="P3993" s="58">
        <v>0</v>
      </c>
      <c r="Q3993" s="58">
        <v>0</v>
      </c>
      <c r="R3993" s="58">
        <v>0</v>
      </c>
      <c r="S3993" s="58">
        <v>0</v>
      </c>
      <c r="T3993" s="58">
        <v>0</v>
      </c>
      <c r="U3993" s="58">
        <v>0</v>
      </c>
      <c r="V3993" s="58">
        <v>0</v>
      </c>
      <c r="W3993" s="4">
        <v>0</v>
      </c>
    </row>
    <row r="3994" spans="1:23" x14ac:dyDescent="0.35">
      <c r="A3994">
        <v>3990</v>
      </c>
      <c r="B3994">
        <v>3991</v>
      </c>
      <c r="C3994">
        <v>146.0333554</v>
      </c>
      <c r="D3994">
        <v>-17.513602580000001</v>
      </c>
      <c r="F3994" t="str">
        <f>HYPERLINK("D:\Data From Lucan\2024\Johnstone\Frames_for_Analysis\3991_20240610_0005_L_2157.jpg","3991_20240610_0005_L_2157.jpg")</f>
        <v>3991_20240610_0005_L_2157.jpg</v>
      </c>
      <c r="G3994">
        <v>4</v>
      </c>
      <c r="I3994">
        <f t="shared" si="62"/>
        <v>0</v>
      </c>
      <c r="J3994" s="58">
        <v>0</v>
      </c>
      <c r="O3994">
        <v>1</v>
      </c>
      <c r="P3994" s="58">
        <v>0</v>
      </c>
      <c r="Q3994" s="58">
        <v>0</v>
      </c>
      <c r="R3994" s="58">
        <v>0</v>
      </c>
      <c r="S3994" s="58">
        <v>0</v>
      </c>
      <c r="T3994" s="58">
        <v>0</v>
      </c>
      <c r="U3994" s="58">
        <v>0</v>
      </c>
      <c r="V3994" s="58">
        <v>0</v>
      </c>
      <c r="W3994" s="4">
        <v>0</v>
      </c>
    </row>
    <row r="3995" spans="1:23" x14ac:dyDescent="0.35">
      <c r="A3995">
        <v>3991</v>
      </c>
      <c r="B3995">
        <v>3992</v>
      </c>
      <c r="C3995">
        <v>146.03330869999999</v>
      </c>
      <c r="D3995">
        <v>-17.513684510000001</v>
      </c>
      <c r="F3995" t="str">
        <f>HYPERLINK("D:\Data From Lucan\2024\Johnstone\Frames_for_Analysis\3992_20240610_0005_L_2160.jpg","3992_20240610_0005_L_2160.jpg")</f>
        <v>3992_20240610_0005_L_2160.jpg</v>
      </c>
      <c r="G3995">
        <v>4</v>
      </c>
      <c r="I3995">
        <f t="shared" si="62"/>
        <v>0</v>
      </c>
      <c r="J3995" s="58">
        <v>0</v>
      </c>
      <c r="O3995">
        <v>1</v>
      </c>
      <c r="P3995" s="58">
        <v>0</v>
      </c>
      <c r="Q3995" s="58">
        <v>0</v>
      </c>
      <c r="R3995" s="58">
        <v>0</v>
      </c>
      <c r="S3995" s="58">
        <v>0</v>
      </c>
      <c r="T3995" s="58">
        <v>0</v>
      </c>
      <c r="U3995" s="58">
        <v>0</v>
      </c>
      <c r="V3995" s="58">
        <v>0</v>
      </c>
      <c r="W3995" s="4">
        <v>0</v>
      </c>
    </row>
    <row r="3996" spans="1:23" x14ac:dyDescent="0.35">
      <c r="A3996">
        <v>3992</v>
      </c>
      <c r="B3996">
        <v>3993</v>
      </c>
      <c r="C3996">
        <v>146.03326609999999</v>
      </c>
      <c r="D3996">
        <v>-17.513768580000001</v>
      </c>
      <c r="F3996" t="str">
        <f>HYPERLINK("D:\Data From Lucan\2024\Johnstone\Frames_for_Analysis\3993_20240610_0005_L_2163.jpg","3993_20240610_0005_L_2163.jpg")</f>
        <v>3993_20240610_0005_L_2163.jpg</v>
      </c>
      <c r="G3996">
        <v>4</v>
      </c>
      <c r="I3996">
        <f t="shared" si="62"/>
        <v>1</v>
      </c>
      <c r="J3996" s="58">
        <v>1</v>
      </c>
      <c r="O3996">
        <v>1</v>
      </c>
      <c r="P3996" s="58">
        <v>0</v>
      </c>
      <c r="Q3996" s="58">
        <v>0</v>
      </c>
      <c r="R3996" s="58">
        <v>0</v>
      </c>
      <c r="S3996" s="58">
        <v>0</v>
      </c>
      <c r="T3996" s="58">
        <v>0</v>
      </c>
      <c r="U3996" s="58">
        <v>0</v>
      </c>
      <c r="V3996" s="58">
        <v>0</v>
      </c>
      <c r="W3996" s="4">
        <v>0</v>
      </c>
    </row>
    <row r="3997" spans="1:23" x14ac:dyDescent="0.35">
      <c r="A3997">
        <v>3993</v>
      </c>
      <c r="B3997">
        <v>3994</v>
      </c>
      <c r="C3997">
        <v>146.03322639999999</v>
      </c>
      <c r="D3997">
        <v>-17.513854129999999</v>
      </c>
      <c r="F3997" t="str">
        <f>HYPERLINK("D:\Data From Lucan\2024\Johnstone\Frames_for_Analysis\3994_20240610_0005_L_2166.jpg","3994_20240610_0005_L_2166.jpg")</f>
        <v>3994_20240610_0005_L_2166.jpg</v>
      </c>
      <c r="G3997">
        <v>4</v>
      </c>
      <c r="I3997">
        <f t="shared" si="62"/>
        <v>1</v>
      </c>
      <c r="J3997" s="58">
        <v>1</v>
      </c>
      <c r="O3997">
        <v>1</v>
      </c>
      <c r="P3997" s="58">
        <v>0</v>
      </c>
      <c r="Q3997" s="58">
        <v>0</v>
      </c>
      <c r="R3997" s="58">
        <v>0</v>
      </c>
      <c r="S3997" s="58">
        <v>0</v>
      </c>
      <c r="T3997" s="58">
        <v>0</v>
      </c>
      <c r="U3997" s="58">
        <v>0</v>
      </c>
      <c r="V3997" s="58">
        <v>0</v>
      </c>
      <c r="W3997" s="4">
        <v>0</v>
      </c>
    </row>
    <row r="3998" spans="1:23" x14ac:dyDescent="0.35">
      <c r="A3998">
        <v>3994</v>
      </c>
      <c r="B3998">
        <v>3995</v>
      </c>
      <c r="C3998">
        <v>146.03318669999999</v>
      </c>
      <c r="D3998">
        <v>-17.513939669999999</v>
      </c>
      <c r="F3998" t="str">
        <f>HYPERLINK("D:\Data From Lucan\2024\Johnstone\Frames_for_Analysis\3995_20240610_0005_L_2168.jpg","3995_20240610_0005_L_2168.jpg")</f>
        <v>3995_20240610_0005_L_2168.jpg</v>
      </c>
      <c r="G3998">
        <v>4</v>
      </c>
      <c r="I3998">
        <v>0</v>
      </c>
      <c r="J3998" s="58">
        <v>2</v>
      </c>
      <c r="O3998">
        <v>1</v>
      </c>
      <c r="P3998" s="58">
        <v>0</v>
      </c>
      <c r="Q3998" s="58">
        <v>0</v>
      </c>
      <c r="R3998" s="58">
        <v>0</v>
      </c>
      <c r="S3998" s="58">
        <v>0</v>
      </c>
      <c r="T3998" s="58">
        <v>0</v>
      </c>
      <c r="U3998" s="58">
        <v>0</v>
      </c>
      <c r="V3998" s="58">
        <v>0</v>
      </c>
      <c r="W3998" s="4">
        <v>0</v>
      </c>
    </row>
    <row r="3999" spans="1:23" x14ac:dyDescent="0.35">
      <c r="A3999">
        <v>3995</v>
      </c>
      <c r="B3999">
        <v>3996</v>
      </c>
      <c r="C3999">
        <v>146.03314700000001</v>
      </c>
      <c r="D3999">
        <v>-17.51402521</v>
      </c>
      <c r="F3999" t="str">
        <f>HYPERLINK("D:\Data From Lucan\2024\Johnstone\Frames_for_Analysis\3996_20240610_0005_L_2170.jpg","3996_20240610_0005_L_2170.jpg")</f>
        <v>3996_20240610_0005_L_2170.jpg</v>
      </c>
      <c r="G3999">
        <v>4</v>
      </c>
      <c r="I3999">
        <f t="shared" si="62"/>
        <v>0</v>
      </c>
      <c r="J3999" s="58">
        <v>0</v>
      </c>
      <c r="O3999">
        <v>1</v>
      </c>
      <c r="P3999" s="58">
        <v>0</v>
      </c>
      <c r="Q3999" s="58">
        <v>0</v>
      </c>
      <c r="R3999" s="58">
        <v>0</v>
      </c>
      <c r="S3999" s="58">
        <v>0</v>
      </c>
      <c r="T3999" s="58">
        <v>0</v>
      </c>
      <c r="U3999" s="58">
        <v>0</v>
      </c>
      <c r="V3999" s="58">
        <v>0</v>
      </c>
      <c r="W3999" s="4">
        <v>0</v>
      </c>
    </row>
    <row r="4000" spans="1:23" x14ac:dyDescent="0.35">
      <c r="A4000">
        <v>3996</v>
      </c>
      <c r="B4000">
        <v>3997</v>
      </c>
      <c r="C4000">
        <v>146.03310719999999</v>
      </c>
      <c r="D4000">
        <v>-17.514110670000001</v>
      </c>
      <c r="F4000" t="str">
        <f>HYPERLINK("D:\Data From Lucan\2024\Johnstone\Frames_for_Analysis\3997_20240610_0005_L_2173.jpg","3997_20240610_0005_L_2173.jpg")</f>
        <v>3997_20240610_0005_L_2173.jpg</v>
      </c>
      <c r="G4000">
        <v>4</v>
      </c>
      <c r="I4000">
        <f t="shared" si="62"/>
        <v>0</v>
      </c>
      <c r="J4000" s="58">
        <v>0</v>
      </c>
      <c r="O4000">
        <v>1</v>
      </c>
      <c r="P4000" s="58">
        <v>0</v>
      </c>
      <c r="Q4000" s="58">
        <v>0</v>
      </c>
      <c r="R4000" s="58">
        <v>0</v>
      </c>
      <c r="S4000" s="58">
        <v>0</v>
      </c>
      <c r="T4000" s="58">
        <v>0</v>
      </c>
      <c r="U4000" s="58">
        <v>0</v>
      </c>
      <c r="V4000" s="58">
        <v>0</v>
      </c>
      <c r="W4000" s="4">
        <v>0</v>
      </c>
    </row>
    <row r="4001" spans="1:23" x14ac:dyDescent="0.35">
      <c r="A4001">
        <v>3997</v>
      </c>
      <c r="B4001">
        <v>3998</v>
      </c>
      <c r="C4001">
        <v>146.0330673</v>
      </c>
      <c r="D4001">
        <v>-17.514196120000001</v>
      </c>
      <c r="F4001" t="str">
        <f>HYPERLINK("D:\Data From Lucan\2024\Johnstone\Frames_for_Analysis\3998_20240610_0005_L_2175.jpg","3998_20240610_0005_L_2175.jpg")</f>
        <v>3998_20240610_0005_L_2175.jpg</v>
      </c>
      <c r="G4001">
        <v>4</v>
      </c>
      <c r="I4001">
        <f t="shared" si="62"/>
        <v>1</v>
      </c>
      <c r="J4001" s="58">
        <v>1</v>
      </c>
      <c r="O4001">
        <v>1</v>
      </c>
      <c r="P4001" s="58">
        <v>0</v>
      </c>
      <c r="Q4001" s="58">
        <v>0</v>
      </c>
      <c r="R4001" s="58">
        <v>0</v>
      </c>
      <c r="S4001" s="58">
        <v>0</v>
      </c>
      <c r="T4001" s="58">
        <v>0</v>
      </c>
      <c r="U4001" s="58">
        <v>0</v>
      </c>
      <c r="V4001" s="58">
        <v>0</v>
      </c>
      <c r="W4001" s="4">
        <v>0</v>
      </c>
    </row>
    <row r="4002" spans="1:23" x14ac:dyDescent="0.35">
      <c r="A4002">
        <v>3998</v>
      </c>
      <c r="B4002">
        <v>3999</v>
      </c>
      <c r="C4002">
        <v>146.03302740000001</v>
      </c>
      <c r="D4002">
        <v>-17.514281579999999</v>
      </c>
      <c r="F4002" t="str">
        <f>HYPERLINK("D:\Data From Lucan\2024\Johnstone\Frames_for_Analysis\3999_20240610_0005_L_2177.jpg","3999_20240610_0005_L_2177.jpg")</f>
        <v>3999_20240610_0005_L_2177.jpg</v>
      </c>
      <c r="G4002">
        <v>4</v>
      </c>
      <c r="I4002">
        <v>0</v>
      </c>
      <c r="J4002" s="58">
        <v>2</v>
      </c>
      <c r="O4002">
        <v>1</v>
      </c>
      <c r="P4002" s="58">
        <v>0</v>
      </c>
      <c r="Q4002" s="58">
        <v>0</v>
      </c>
      <c r="R4002" s="58">
        <v>0</v>
      </c>
      <c r="S4002" s="58">
        <v>0</v>
      </c>
      <c r="T4002" s="58">
        <v>0</v>
      </c>
      <c r="U4002" s="58">
        <v>0</v>
      </c>
      <c r="V4002" s="58">
        <v>0</v>
      </c>
      <c r="W4002" s="4">
        <v>0</v>
      </c>
    </row>
    <row r="4003" spans="1:23" x14ac:dyDescent="0.35">
      <c r="A4003">
        <v>3999</v>
      </c>
      <c r="B4003">
        <v>4000</v>
      </c>
      <c r="C4003">
        <v>146.03299380000001</v>
      </c>
      <c r="D4003">
        <v>-17.51436953</v>
      </c>
      <c r="F4003" t="str">
        <f>HYPERLINK("D:\Data From Lucan\2024\Johnstone\Frames_for_Analysis\4000_20240610_0005_L_2180.jpg","4000_20240610_0005_L_2180.jpg")</f>
        <v>4000_20240610_0005_L_2180.jpg</v>
      </c>
      <c r="G4003">
        <v>4</v>
      </c>
      <c r="I4003">
        <v>0</v>
      </c>
      <c r="J4003" s="58">
        <v>2</v>
      </c>
      <c r="O4003">
        <v>1</v>
      </c>
      <c r="P4003" s="58">
        <v>0</v>
      </c>
      <c r="Q4003" s="58">
        <v>0</v>
      </c>
      <c r="R4003" s="58">
        <v>0</v>
      </c>
      <c r="S4003" s="58">
        <v>0</v>
      </c>
      <c r="T4003" s="58">
        <v>0</v>
      </c>
      <c r="U4003" s="58">
        <v>0</v>
      </c>
      <c r="V4003" s="58">
        <v>0</v>
      </c>
      <c r="W4003" s="4">
        <v>0</v>
      </c>
    </row>
    <row r="4004" spans="1:23" x14ac:dyDescent="0.35">
      <c r="A4004">
        <v>4000</v>
      </c>
      <c r="B4004">
        <v>4001</v>
      </c>
      <c r="C4004">
        <v>146.0329686</v>
      </c>
      <c r="D4004">
        <v>-17.514460209999999</v>
      </c>
      <c r="F4004" t="str">
        <f>HYPERLINK("D:\Data From Lucan\2024\Johnstone\Frames_for_Analysis\4001_20240610_0005_L_2184.jpg","4001_20240610_0005_L_2184.jpg")</f>
        <v>4001_20240610_0005_L_2184.jpg</v>
      </c>
      <c r="G4004">
        <v>4</v>
      </c>
      <c r="I4004">
        <v>0</v>
      </c>
      <c r="J4004" s="58">
        <v>2</v>
      </c>
      <c r="O4004">
        <v>1</v>
      </c>
      <c r="P4004" s="58">
        <v>0</v>
      </c>
      <c r="Q4004" s="58">
        <v>0</v>
      </c>
      <c r="R4004" s="58">
        <v>0</v>
      </c>
      <c r="S4004" s="58">
        <v>0</v>
      </c>
      <c r="T4004" s="58">
        <v>0</v>
      </c>
      <c r="U4004" s="58">
        <v>0</v>
      </c>
      <c r="V4004" s="58">
        <v>0</v>
      </c>
      <c r="W4004" s="4">
        <v>0</v>
      </c>
    </row>
    <row r="4005" spans="1:23" x14ac:dyDescent="0.35">
      <c r="A4005">
        <v>4001</v>
      </c>
      <c r="B4005">
        <v>4002</v>
      </c>
      <c r="C4005">
        <v>146.03295159999999</v>
      </c>
      <c r="D4005">
        <v>-17.51455296</v>
      </c>
      <c r="F4005" t="str">
        <f>HYPERLINK("D:\Data From Lucan\2024\Johnstone\Frames_for_Analysis\4002_20240610_0005_L_2185.jpg","4002_20240610_0005_L_2185.jpg")</f>
        <v>4002_20240610_0005_L_2185.jpg</v>
      </c>
      <c r="G4005">
        <v>4</v>
      </c>
      <c r="I4005">
        <f t="shared" si="62"/>
        <v>1</v>
      </c>
      <c r="J4005" s="58">
        <v>1</v>
      </c>
      <c r="O4005">
        <v>1</v>
      </c>
      <c r="P4005" s="58">
        <v>0</v>
      </c>
      <c r="Q4005" s="58">
        <v>0</v>
      </c>
      <c r="R4005" s="58">
        <v>0</v>
      </c>
      <c r="S4005" s="58">
        <v>0</v>
      </c>
      <c r="T4005" s="58">
        <v>0</v>
      </c>
      <c r="U4005" s="58">
        <v>0</v>
      </c>
      <c r="V4005" s="58">
        <v>0</v>
      </c>
      <c r="W4005" s="4">
        <v>0</v>
      </c>
    </row>
    <row r="4006" spans="1:23" x14ac:dyDescent="0.35">
      <c r="A4006">
        <v>4002</v>
      </c>
      <c r="B4006">
        <v>4003</v>
      </c>
      <c r="C4006">
        <v>146.03293450000001</v>
      </c>
      <c r="D4006">
        <v>-17.514645699999999</v>
      </c>
      <c r="F4006" t="str">
        <f>HYPERLINK("D:\Data From Lucan\2024\Johnstone\Frames_for_Analysis\4003_20240610_0005_L_2188.jpg","4003_20240610_0005_L_2188.jpg")</f>
        <v>4003_20240610_0005_L_2188.jpg</v>
      </c>
      <c r="G4006">
        <v>4</v>
      </c>
      <c r="I4006">
        <f t="shared" si="62"/>
        <v>1</v>
      </c>
      <c r="J4006" s="58">
        <v>1</v>
      </c>
      <c r="O4006">
        <v>1</v>
      </c>
      <c r="P4006" s="58">
        <v>0</v>
      </c>
      <c r="Q4006" s="58">
        <v>0</v>
      </c>
      <c r="R4006" s="58">
        <v>0</v>
      </c>
      <c r="S4006" s="58">
        <v>0</v>
      </c>
      <c r="T4006" s="58">
        <v>0</v>
      </c>
      <c r="U4006" s="58">
        <v>0</v>
      </c>
      <c r="V4006" s="58">
        <v>0</v>
      </c>
      <c r="W4006" s="4">
        <v>0</v>
      </c>
    </row>
    <row r="4007" spans="1:23" x14ac:dyDescent="0.35">
      <c r="A4007">
        <v>4003</v>
      </c>
      <c r="B4007">
        <v>4004</v>
      </c>
      <c r="C4007">
        <v>146.0329174</v>
      </c>
      <c r="D4007">
        <v>-17.514738449999999</v>
      </c>
      <c r="F4007" t="str">
        <f>HYPERLINK("D:\Data From Lucan\2024\Johnstone\Frames_for_Analysis\4004_20240610_0005_L_2190.jpg","4004_20240610_0005_L_2190.jpg")</f>
        <v>4004_20240610_0005_L_2190.jpg</v>
      </c>
      <c r="G4007">
        <v>4</v>
      </c>
      <c r="I4007">
        <f t="shared" si="62"/>
        <v>1</v>
      </c>
      <c r="J4007" s="58">
        <v>1</v>
      </c>
      <c r="O4007">
        <v>1</v>
      </c>
      <c r="P4007" s="58">
        <v>0</v>
      </c>
      <c r="Q4007" s="58">
        <v>0</v>
      </c>
      <c r="R4007" s="58">
        <v>0</v>
      </c>
      <c r="S4007" s="58">
        <v>0</v>
      </c>
      <c r="T4007" s="58">
        <v>0</v>
      </c>
      <c r="U4007" s="58">
        <v>0</v>
      </c>
      <c r="V4007" s="58">
        <v>0</v>
      </c>
      <c r="W4007" s="4">
        <v>0</v>
      </c>
    </row>
    <row r="4008" spans="1:23" x14ac:dyDescent="0.35">
      <c r="A4008">
        <v>4004</v>
      </c>
      <c r="B4008">
        <v>4005</v>
      </c>
      <c r="C4008">
        <v>146.03289889999999</v>
      </c>
      <c r="D4008">
        <v>-17.514830910000001</v>
      </c>
      <c r="F4008" t="str">
        <f>HYPERLINK("D:\Data From Lucan\2024\Johnstone\Frames_for_Analysis\4005_20240610_0005_L_2192.jpg","4005_20240610_0005_L_2192.jpg")</f>
        <v>4005_20240610_0005_L_2192.jpg</v>
      </c>
      <c r="G4008">
        <v>4</v>
      </c>
      <c r="I4008">
        <f t="shared" si="62"/>
        <v>1</v>
      </c>
      <c r="J4008" s="58">
        <v>1</v>
      </c>
      <c r="O4008">
        <v>1</v>
      </c>
      <c r="P4008" s="58">
        <v>0</v>
      </c>
      <c r="Q4008" s="58">
        <v>0</v>
      </c>
      <c r="R4008" s="58">
        <v>0</v>
      </c>
      <c r="S4008" s="58">
        <v>0</v>
      </c>
      <c r="T4008" s="58">
        <v>0</v>
      </c>
      <c r="U4008" s="58">
        <v>0</v>
      </c>
      <c r="V4008" s="58">
        <v>0</v>
      </c>
      <c r="W4008" s="4">
        <v>0</v>
      </c>
    </row>
    <row r="4009" spans="1:23" x14ac:dyDescent="0.35">
      <c r="A4009">
        <v>4005</v>
      </c>
      <c r="B4009">
        <v>4006</v>
      </c>
      <c r="C4009">
        <v>146.03287979999999</v>
      </c>
      <c r="D4009">
        <v>-17.51492326</v>
      </c>
      <c r="F4009" t="str">
        <f>HYPERLINK("D:\Data From Lucan\2024\Johnstone\Frames_for_Analysis\4006_20240610_0005_L_2195.jpg","4006_20240610_0005_L_2195.jpg")</f>
        <v>4006_20240610_0005_L_2195.jpg</v>
      </c>
      <c r="G4009">
        <v>4</v>
      </c>
      <c r="I4009">
        <f t="shared" si="62"/>
        <v>1</v>
      </c>
      <c r="J4009" s="58">
        <v>1</v>
      </c>
      <c r="O4009">
        <v>1</v>
      </c>
      <c r="P4009" s="58">
        <v>0</v>
      </c>
      <c r="Q4009" s="58">
        <v>0</v>
      </c>
      <c r="R4009" s="58">
        <v>0</v>
      </c>
      <c r="S4009" s="58">
        <v>0</v>
      </c>
      <c r="T4009" s="58">
        <v>0</v>
      </c>
      <c r="U4009" s="58">
        <v>0</v>
      </c>
      <c r="V4009" s="58">
        <v>0</v>
      </c>
      <c r="W4009" s="4">
        <v>0</v>
      </c>
    </row>
    <row r="4010" spans="1:23" x14ac:dyDescent="0.35">
      <c r="A4010">
        <v>4006</v>
      </c>
      <c r="B4010">
        <v>4007</v>
      </c>
      <c r="C4010">
        <v>146.03286059999999</v>
      </c>
      <c r="D4010">
        <v>-17.515015600000002</v>
      </c>
      <c r="F4010" t="str">
        <f>HYPERLINK("D:\Data From Lucan\2024\Johnstone\Frames_for_Analysis\4007_20240610_0005_L_2198.jpg","4007_20240610_0005_L_2198.jpg")</f>
        <v>4007_20240610_0005_L_2198.jpg</v>
      </c>
      <c r="G4010">
        <v>4</v>
      </c>
      <c r="I4010">
        <f t="shared" si="62"/>
        <v>1</v>
      </c>
      <c r="J4010" s="58">
        <v>1</v>
      </c>
      <c r="O4010">
        <v>1</v>
      </c>
      <c r="P4010" s="58">
        <v>0</v>
      </c>
      <c r="Q4010" s="58">
        <v>0</v>
      </c>
      <c r="R4010" s="58">
        <v>0</v>
      </c>
      <c r="S4010" s="58">
        <v>0</v>
      </c>
      <c r="T4010" s="58">
        <v>0</v>
      </c>
      <c r="U4010" s="58">
        <v>0</v>
      </c>
      <c r="V4010" s="58">
        <v>0</v>
      </c>
      <c r="W4010" s="4">
        <v>0</v>
      </c>
    </row>
    <row r="4011" spans="1:23" x14ac:dyDescent="0.35">
      <c r="A4011">
        <v>4007</v>
      </c>
      <c r="B4011">
        <v>4008</v>
      </c>
      <c r="C4011">
        <v>146.03284149999999</v>
      </c>
      <c r="D4011">
        <v>-17.51510794</v>
      </c>
      <c r="F4011" t="str">
        <f>HYPERLINK("D:\Data From Lucan\2024\Johnstone\Frames_for_Analysis\4008_20240610_0005_L_2200.jpg","4008_20240610_0005_L_2200.jpg")</f>
        <v>4008_20240610_0005_L_2200.jpg</v>
      </c>
      <c r="G4011">
        <v>4</v>
      </c>
      <c r="I4011">
        <f t="shared" si="62"/>
        <v>1</v>
      </c>
      <c r="J4011" s="58">
        <v>1</v>
      </c>
      <c r="O4011">
        <v>1</v>
      </c>
      <c r="P4011" s="58">
        <v>0</v>
      </c>
      <c r="Q4011" s="58">
        <v>0</v>
      </c>
      <c r="R4011" s="58">
        <v>0</v>
      </c>
      <c r="S4011" s="58">
        <v>0</v>
      </c>
      <c r="T4011" s="58">
        <v>0</v>
      </c>
      <c r="U4011" s="58">
        <v>0</v>
      </c>
      <c r="V4011" s="58">
        <v>0</v>
      </c>
      <c r="W4011" s="4">
        <v>0</v>
      </c>
    </row>
    <row r="4012" spans="1:23" x14ac:dyDescent="0.35">
      <c r="A4012">
        <v>4008</v>
      </c>
      <c r="B4012">
        <v>4009</v>
      </c>
      <c r="C4012">
        <v>146.03280899999999</v>
      </c>
      <c r="D4012">
        <v>-17.515196190000001</v>
      </c>
      <c r="F4012" t="str">
        <f>HYPERLINK("D:\Data From Lucan\2024\Johnstone\Frames_for_Analysis\4009_20240610_0005_L_2204.jpg","4009_20240610_0005_L_2204.jpg")</f>
        <v>4009_20240610_0005_L_2204.jpg</v>
      </c>
      <c r="G4012">
        <v>4</v>
      </c>
      <c r="I4012">
        <f t="shared" si="62"/>
        <v>1</v>
      </c>
      <c r="J4012" s="58">
        <v>1</v>
      </c>
      <c r="O4012">
        <v>1</v>
      </c>
      <c r="P4012" s="58">
        <v>0</v>
      </c>
      <c r="Q4012" s="58">
        <v>0</v>
      </c>
      <c r="R4012" s="58">
        <v>0</v>
      </c>
      <c r="S4012" s="58">
        <v>0</v>
      </c>
      <c r="T4012" s="58">
        <v>0</v>
      </c>
      <c r="U4012" s="58">
        <v>0</v>
      </c>
      <c r="V4012" s="58">
        <v>0</v>
      </c>
      <c r="W4012" s="4">
        <v>0</v>
      </c>
    </row>
    <row r="4013" spans="1:23" x14ac:dyDescent="0.35">
      <c r="A4013">
        <v>4009</v>
      </c>
      <c r="B4013">
        <v>4010</v>
      </c>
      <c r="C4013">
        <v>146.0327733</v>
      </c>
      <c r="D4013">
        <v>-17.51528351</v>
      </c>
      <c r="F4013" t="str">
        <f>HYPERLINK("D:\Data From Lucan\2024\Johnstone\Frames_for_Analysis\4010_20240610_0005_L_2205.jpg","4010_20240610_0005_L_2205.jpg")</f>
        <v>4010_20240610_0005_L_2205.jpg</v>
      </c>
      <c r="G4013">
        <v>4</v>
      </c>
      <c r="I4013">
        <f t="shared" si="62"/>
        <v>1</v>
      </c>
      <c r="J4013" s="58">
        <v>1</v>
      </c>
      <c r="O4013">
        <v>1</v>
      </c>
      <c r="P4013" s="58">
        <v>0</v>
      </c>
      <c r="Q4013" s="58">
        <v>0</v>
      </c>
      <c r="R4013" s="58">
        <v>0</v>
      </c>
      <c r="S4013" s="58">
        <v>0</v>
      </c>
      <c r="T4013" s="58">
        <v>0</v>
      </c>
      <c r="U4013" s="58">
        <v>0</v>
      </c>
      <c r="V4013" s="58">
        <v>0</v>
      </c>
      <c r="W4013" s="4">
        <v>0</v>
      </c>
    </row>
    <row r="4014" spans="1:23" x14ac:dyDescent="0.35">
      <c r="A4014">
        <v>4010</v>
      </c>
      <c r="B4014">
        <v>4011</v>
      </c>
      <c r="C4014">
        <v>146.03273770000001</v>
      </c>
      <c r="D4014">
        <v>-17.515370829999998</v>
      </c>
      <c r="F4014" t="str">
        <f>HYPERLINK("D:\Data From Lucan\2024\Johnstone\Frames_for_Analysis\4011_20240610_0005_L_2208.jpg","4011_20240610_0005_L_2208.jpg")</f>
        <v>4011_20240610_0005_L_2208.jpg</v>
      </c>
      <c r="G4014">
        <v>4</v>
      </c>
      <c r="I4014">
        <f t="shared" si="62"/>
        <v>1</v>
      </c>
      <c r="J4014" s="58">
        <v>1</v>
      </c>
      <c r="O4014">
        <v>1</v>
      </c>
      <c r="P4014" s="58">
        <v>0</v>
      </c>
      <c r="Q4014" s="58">
        <v>0</v>
      </c>
      <c r="R4014" s="58">
        <v>0</v>
      </c>
      <c r="S4014" s="58">
        <v>0</v>
      </c>
      <c r="T4014" s="58">
        <v>0</v>
      </c>
      <c r="U4014" s="58">
        <v>0</v>
      </c>
      <c r="V4014" s="58">
        <v>0</v>
      </c>
      <c r="W4014" s="4">
        <v>0</v>
      </c>
    </row>
    <row r="4015" spans="1:23" x14ac:dyDescent="0.35">
      <c r="A4015">
        <v>4011</v>
      </c>
      <c r="B4015">
        <v>4012</v>
      </c>
      <c r="C4015">
        <v>146.0326847</v>
      </c>
      <c r="D4015">
        <v>-17.515447930000001</v>
      </c>
      <c r="F4015" t="str">
        <f>HYPERLINK("D:\Data From Lucan\2024\Johnstone\Frames_for_Analysis\4012_20240610_0005_L_2211.jpg","4012_20240610_0005_L_2211.jpg")</f>
        <v>4012_20240610_0005_L_2211.jpg</v>
      </c>
      <c r="G4015">
        <v>4</v>
      </c>
      <c r="I4015">
        <f t="shared" si="62"/>
        <v>1</v>
      </c>
      <c r="J4015" s="58">
        <v>1</v>
      </c>
      <c r="O4015">
        <v>1</v>
      </c>
      <c r="P4015" s="58">
        <v>0</v>
      </c>
      <c r="Q4015" s="58">
        <v>0</v>
      </c>
      <c r="R4015" s="58">
        <v>0</v>
      </c>
      <c r="S4015" s="58">
        <v>0</v>
      </c>
      <c r="T4015" s="58">
        <v>0</v>
      </c>
      <c r="U4015" s="58">
        <v>0</v>
      </c>
      <c r="V4015" s="58">
        <v>0</v>
      </c>
      <c r="W4015" s="4">
        <v>0</v>
      </c>
    </row>
    <row r="4016" spans="1:23" x14ac:dyDescent="0.35">
      <c r="A4016">
        <v>4012</v>
      </c>
      <c r="B4016">
        <v>4013</v>
      </c>
      <c r="C4016">
        <v>146.032635</v>
      </c>
      <c r="D4016">
        <v>-17.515527370000001</v>
      </c>
      <c r="F4016" t="str">
        <f>HYPERLINK("D:\Data From Lucan\2024\Johnstone\Frames_for_Analysis\4013_20240610_0005_L_2214.jpg","4013_20240610_0005_L_2214.jpg")</f>
        <v>4013_20240610_0005_L_2214.jpg</v>
      </c>
      <c r="G4016">
        <v>4</v>
      </c>
      <c r="I4016">
        <f t="shared" si="62"/>
        <v>1</v>
      </c>
      <c r="J4016" s="58">
        <v>1</v>
      </c>
      <c r="O4016">
        <v>1</v>
      </c>
      <c r="P4016" s="58">
        <v>0</v>
      </c>
      <c r="Q4016" s="58">
        <v>0</v>
      </c>
      <c r="R4016" s="58">
        <v>0</v>
      </c>
      <c r="S4016" s="58">
        <v>0</v>
      </c>
      <c r="T4016" s="58">
        <v>0</v>
      </c>
      <c r="U4016" s="58">
        <v>0</v>
      </c>
      <c r="V4016" s="58">
        <v>0</v>
      </c>
      <c r="W4016" s="4">
        <v>0</v>
      </c>
    </row>
    <row r="4017" spans="1:23" x14ac:dyDescent="0.35">
      <c r="A4017">
        <v>4013</v>
      </c>
      <c r="B4017">
        <v>4014</v>
      </c>
      <c r="C4017">
        <v>146.03259370000001</v>
      </c>
      <c r="D4017">
        <v>-17.515612149999999</v>
      </c>
      <c r="F4017" t="str">
        <f>HYPERLINK("D:\Data From Lucan\2024\Johnstone\Frames_for_Analysis\4014_20240610_0005_L_2217.jpg","4014_20240610_0005_L_2217.jpg")</f>
        <v>4014_20240610_0005_L_2217.jpg</v>
      </c>
      <c r="G4017">
        <v>4</v>
      </c>
      <c r="I4017">
        <f t="shared" si="62"/>
        <v>1</v>
      </c>
      <c r="J4017" s="58">
        <v>1</v>
      </c>
      <c r="O4017">
        <v>1</v>
      </c>
      <c r="P4017" s="58">
        <v>0</v>
      </c>
      <c r="Q4017" s="58">
        <v>0</v>
      </c>
      <c r="R4017" s="58">
        <v>0</v>
      </c>
      <c r="S4017" s="58">
        <v>0</v>
      </c>
      <c r="T4017" s="58">
        <v>0</v>
      </c>
      <c r="U4017" s="58">
        <v>0</v>
      </c>
      <c r="V4017" s="58">
        <v>0</v>
      </c>
      <c r="W4017" s="4">
        <v>0</v>
      </c>
    </row>
    <row r="4018" spans="1:23" x14ac:dyDescent="0.35">
      <c r="A4018">
        <v>4014</v>
      </c>
      <c r="B4018">
        <v>4015</v>
      </c>
      <c r="C4018">
        <v>146.03255390000001</v>
      </c>
      <c r="D4018">
        <v>-17.515697670000002</v>
      </c>
      <c r="F4018" t="str">
        <f>HYPERLINK("D:\Data From Lucan\2024\Johnstone\Frames_for_Analysis\4015_20240610_0005_L_2220.jpg","4015_20240610_0005_L_2220.jpg")</f>
        <v>4015_20240610_0005_L_2220.jpg</v>
      </c>
      <c r="G4018">
        <v>4</v>
      </c>
      <c r="I4018">
        <f t="shared" si="62"/>
        <v>1</v>
      </c>
      <c r="J4018" s="58">
        <v>1</v>
      </c>
      <c r="O4018">
        <v>1</v>
      </c>
      <c r="P4018" s="58">
        <v>0</v>
      </c>
      <c r="Q4018" s="58">
        <v>0</v>
      </c>
      <c r="R4018" s="58">
        <v>0</v>
      </c>
      <c r="S4018" s="58">
        <v>0</v>
      </c>
      <c r="T4018" s="58">
        <v>0</v>
      </c>
      <c r="U4018" s="58">
        <v>0</v>
      </c>
      <c r="V4018" s="58">
        <v>0</v>
      </c>
      <c r="W4018" s="4">
        <v>0</v>
      </c>
    </row>
    <row r="4019" spans="1:23" x14ac:dyDescent="0.35">
      <c r="A4019">
        <v>4015</v>
      </c>
      <c r="B4019">
        <v>4016</v>
      </c>
      <c r="C4019">
        <v>146.03251470000001</v>
      </c>
      <c r="D4019">
        <v>-17.515783420000002</v>
      </c>
      <c r="F4019" t="str">
        <f>HYPERLINK("D:\Data From Lucan\2024\Johnstone\Frames_for_Analysis\4016_20240610_0005_L_2223.jpg","4016_20240610_0005_L_2223.jpg")</f>
        <v>4016_20240610_0005_L_2223.jpg</v>
      </c>
      <c r="G4019">
        <v>4</v>
      </c>
      <c r="I4019">
        <f t="shared" si="62"/>
        <v>1</v>
      </c>
      <c r="J4019" s="58">
        <v>1</v>
      </c>
      <c r="O4019">
        <v>1</v>
      </c>
      <c r="P4019" s="58">
        <v>0</v>
      </c>
      <c r="Q4019" s="58">
        <v>0</v>
      </c>
      <c r="R4019" s="58">
        <v>0</v>
      </c>
      <c r="S4019" s="58">
        <v>0</v>
      </c>
      <c r="T4019" s="58">
        <v>0</v>
      </c>
      <c r="U4019" s="58">
        <v>0</v>
      </c>
      <c r="V4019" s="58">
        <v>0</v>
      </c>
      <c r="W4019" s="4">
        <v>0</v>
      </c>
    </row>
    <row r="4020" spans="1:23" x14ac:dyDescent="0.35">
      <c r="A4020">
        <v>4016</v>
      </c>
      <c r="B4020">
        <v>4017</v>
      </c>
      <c r="C4020">
        <v>146.03248110000001</v>
      </c>
      <c r="D4020">
        <v>-17.515871529999998</v>
      </c>
      <c r="F4020" t="str">
        <f>HYPERLINK("D:\Data From Lucan\2024\Johnstone\Frames_for_Analysis\4017_20240610_0005_L_2226.jpg","4017_20240610_0005_L_2226.jpg")</f>
        <v>4017_20240610_0005_L_2226.jpg</v>
      </c>
      <c r="G4020">
        <v>4</v>
      </c>
      <c r="I4020">
        <f t="shared" si="62"/>
        <v>1</v>
      </c>
      <c r="J4020" s="58">
        <v>1</v>
      </c>
      <c r="O4020">
        <v>1</v>
      </c>
      <c r="P4020" s="58">
        <v>0</v>
      </c>
      <c r="Q4020" s="58">
        <v>0</v>
      </c>
      <c r="R4020" s="58">
        <v>0</v>
      </c>
      <c r="S4020" s="58">
        <v>0</v>
      </c>
      <c r="T4020" s="58">
        <v>0</v>
      </c>
      <c r="U4020" s="58">
        <v>0</v>
      </c>
      <c r="V4020" s="58">
        <v>0</v>
      </c>
      <c r="W4020" s="4">
        <v>0</v>
      </c>
    </row>
    <row r="4021" spans="1:23" x14ac:dyDescent="0.35">
      <c r="A4021">
        <v>4017</v>
      </c>
      <c r="B4021">
        <v>4018</v>
      </c>
      <c r="C4021">
        <v>146.0324482</v>
      </c>
      <c r="D4021">
        <v>-17.515959899999999</v>
      </c>
      <c r="F4021" t="str">
        <f>HYPERLINK("D:\Data From Lucan\2024\Johnstone\Frames_for_Analysis\4018_20240610_0005_L_2228.jpg","4018_20240610_0005_L_2228.jpg")</f>
        <v>4018_20240610_0005_L_2228.jpg</v>
      </c>
      <c r="G4021">
        <v>4</v>
      </c>
      <c r="I4021">
        <f t="shared" si="62"/>
        <v>1</v>
      </c>
      <c r="J4021" s="58">
        <v>1</v>
      </c>
      <c r="O4021">
        <v>1</v>
      </c>
      <c r="P4021" s="58">
        <v>0</v>
      </c>
      <c r="Q4021" s="58">
        <v>0</v>
      </c>
      <c r="R4021" s="58">
        <v>0</v>
      </c>
      <c r="S4021" s="58">
        <v>0</v>
      </c>
      <c r="T4021" s="58">
        <v>0</v>
      </c>
      <c r="U4021" s="58">
        <v>0</v>
      </c>
      <c r="V4021" s="58">
        <v>0</v>
      </c>
      <c r="W4021" s="4">
        <v>0</v>
      </c>
    </row>
    <row r="4022" spans="1:23" x14ac:dyDescent="0.35">
      <c r="A4022">
        <v>4018</v>
      </c>
      <c r="B4022">
        <v>4019</v>
      </c>
      <c r="C4022">
        <v>146.0324153</v>
      </c>
      <c r="D4022">
        <v>-17.516048260000002</v>
      </c>
      <c r="F4022" t="str">
        <f>HYPERLINK("D:\Data From Lucan\2024\Johnstone\Frames_for_Analysis\4019_20240610_0005_L_2231.jpg","4019_20240610_0005_L_2231.jpg")</f>
        <v>4019_20240610_0005_L_2231.jpg</v>
      </c>
      <c r="G4022">
        <v>4</v>
      </c>
      <c r="I4022">
        <f t="shared" si="62"/>
        <v>1</v>
      </c>
      <c r="J4022" s="58">
        <v>1</v>
      </c>
      <c r="O4022">
        <v>1</v>
      </c>
      <c r="P4022" s="58">
        <v>0</v>
      </c>
      <c r="Q4022" s="58">
        <v>0</v>
      </c>
      <c r="R4022" s="58">
        <v>0</v>
      </c>
      <c r="S4022" s="58">
        <v>0</v>
      </c>
      <c r="T4022" s="58">
        <v>0</v>
      </c>
      <c r="U4022" s="58">
        <v>0</v>
      </c>
      <c r="V4022" s="58">
        <v>0</v>
      </c>
      <c r="W4022" s="4">
        <v>0</v>
      </c>
    </row>
    <row r="4023" spans="1:23" x14ac:dyDescent="0.35">
      <c r="A4023">
        <v>4019</v>
      </c>
      <c r="B4023">
        <v>4020</v>
      </c>
      <c r="C4023">
        <v>146.03238289999999</v>
      </c>
      <c r="D4023">
        <v>-17.516136840000001</v>
      </c>
      <c r="F4023" t="str">
        <f>HYPERLINK("D:\Data From Lucan\2024\Johnstone\Frames_for_Analysis\4020_20240610_0005_L_2236.jpg","4020_20240610_0005_L_2236.jpg")</f>
        <v>4020_20240610_0005_L_2236.jpg</v>
      </c>
      <c r="G4023">
        <v>4</v>
      </c>
      <c r="I4023">
        <f t="shared" si="62"/>
        <v>1</v>
      </c>
      <c r="J4023" s="58">
        <v>1</v>
      </c>
      <c r="O4023">
        <v>1</v>
      </c>
      <c r="P4023" s="58">
        <v>0</v>
      </c>
      <c r="Q4023" s="58">
        <v>0</v>
      </c>
      <c r="R4023" s="58">
        <v>0</v>
      </c>
      <c r="S4023" s="58">
        <v>0</v>
      </c>
      <c r="T4023" s="58">
        <v>0</v>
      </c>
      <c r="U4023" s="58">
        <v>0</v>
      </c>
      <c r="V4023" s="58">
        <v>0</v>
      </c>
      <c r="W4023" s="4">
        <v>0</v>
      </c>
    </row>
    <row r="4024" spans="1:23" x14ac:dyDescent="0.35">
      <c r="A4024">
        <v>4020</v>
      </c>
      <c r="B4024">
        <v>4021</v>
      </c>
      <c r="C4024">
        <v>146.03235290000001</v>
      </c>
      <c r="D4024">
        <v>-17.516226230000001</v>
      </c>
      <c r="F4024" t="str">
        <f>HYPERLINK("D:\Data From Lucan\2024\Johnstone\Frames_for_Analysis\4021_20240610_0005_L_2239.jpg","4021_20240610_0005_L_2239.jpg")</f>
        <v>4021_20240610_0005_L_2239.jpg</v>
      </c>
      <c r="G4024">
        <v>4</v>
      </c>
      <c r="I4024">
        <f t="shared" si="62"/>
        <v>1</v>
      </c>
      <c r="J4024" s="58">
        <v>1</v>
      </c>
      <c r="O4024">
        <v>1</v>
      </c>
      <c r="P4024" s="58">
        <v>0</v>
      </c>
      <c r="Q4024" s="58">
        <v>0</v>
      </c>
      <c r="R4024" s="58">
        <v>0</v>
      </c>
      <c r="S4024" s="58">
        <v>0</v>
      </c>
      <c r="T4024" s="58">
        <v>0</v>
      </c>
      <c r="U4024" s="58">
        <v>0</v>
      </c>
      <c r="V4024" s="58">
        <v>0</v>
      </c>
      <c r="W4024" s="4">
        <v>0</v>
      </c>
    </row>
    <row r="4025" spans="1:23" x14ac:dyDescent="0.35">
      <c r="A4025">
        <v>4021</v>
      </c>
      <c r="B4025">
        <v>4022</v>
      </c>
      <c r="C4025">
        <v>146.0323229</v>
      </c>
      <c r="D4025">
        <v>-17.516315630000001</v>
      </c>
      <c r="F4025" t="str">
        <f>HYPERLINK("D:\Data From Lucan\2024\Johnstone\Frames_for_Analysis\4022_20240610_0005_L_2242.jpg","4022_20240610_0005_L_2242.jpg")</f>
        <v>4022_20240610_0005_L_2242.jpg</v>
      </c>
      <c r="G4025">
        <v>4</v>
      </c>
      <c r="I4025">
        <f t="shared" si="62"/>
        <v>1</v>
      </c>
      <c r="J4025" s="58">
        <v>1</v>
      </c>
      <c r="O4025">
        <v>1</v>
      </c>
      <c r="P4025" s="58">
        <v>0</v>
      </c>
      <c r="Q4025" s="58">
        <v>0</v>
      </c>
      <c r="R4025" s="58">
        <v>0</v>
      </c>
      <c r="S4025" s="58">
        <v>0</v>
      </c>
      <c r="T4025" s="58">
        <v>0</v>
      </c>
      <c r="U4025" s="58">
        <v>0</v>
      </c>
      <c r="V4025" s="58">
        <v>0</v>
      </c>
      <c r="W4025" s="4">
        <v>0</v>
      </c>
    </row>
    <row r="4026" spans="1:23" x14ac:dyDescent="0.35">
      <c r="A4026">
        <v>4022</v>
      </c>
      <c r="B4026">
        <v>4023</v>
      </c>
      <c r="C4026">
        <v>146.0323056</v>
      </c>
      <c r="D4026">
        <v>-17.516408070000001</v>
      </c>
      <c r="F4026" t="str">
        <f>HYPERLINK("D:\Data From Lucan\2024\Johnstone\Frames_for_Analysis\4023_20240610_0005_L_2246.jpg","4023_20240610_0005_L_2246.jpg")</f>
        <v>4023_20240610_0005_L_2246.jpg</v>
      </c>
      <c r="G4026">
        <v>4</v>
      </c>
      <c r="I4026">
        <f t="shared" si="62"/>
        <v>1</v>
      </c>
      <c r="J4026" s="58">
        <v>1</v>
      </c>
      <c r="O4026">
        <v>1</v>
      </c>
      <c r="P4026" s="58">
        <v>0</v>
      </c>
      <c r="Q4026" s="58">
        <v>0</v>
      </c>
      <c r="R4026" s="58">
        <v>0</v>
      </c>
      <c r="S4026" s="58">
        <v>0</v>
      </c>
      <c r="T4026" s="58">
        <v>0</v>
      </c>
      <c r="U4026" s="58">
        <v>0</v>
      </c>
      <c r="V4026" s="58">
        <v>0</v>
      </c>
      <c r="W4026" s="4">
        <v>0</v>
      </c>
    </row>
    <row r="4027" spans="1:23" x14ac:dyDescent="0.35">
      <c r="A4027">
        <v>4023</v>
      </c>
      <c r="B4027">
        <v>4024</v>
      </c>
      <c r="C4027">
        <v>146.0322922</v>
      </c>
      <c r="D4027">
        <v>-17.51650141</v>
      </c>
      <c r="F4027" t="str">
        <f>HYPERLINK("D:\Data From Lucan\2024\Johnstone\Frames_for_Analysis\4024_20240610_0005_L_2249.jpg","4024_20240610_0005_L_2249.jpg")</f>
        <v>4024_20240610_0005_L_2249.jpg</v>
      </c>
      <c r="G4027">
        <v>4</v>
      </c>
      <c r="I4027">
        <f t="shared" si="62"/>
        <v>1</v>
      </c>
      <c r="J4027" s="58">
        <v>1</v>
      </c>
      <c r="O4027">
        <v>1</v>
      </c>
      <c r="P4027" s="58">
        <v>0</v>
      </c>
      <c r="Q4027" s="58">
        <v>0</v>
      </c>
      <c r="R4027" s="58">
        <v>0</v>
      </c>
      <c r="S4027" s="58">
        <v>0</v>
      </c>
      <c r="T4027" s="58">
        <v>0</v>
      </c>
      <c r="U4027" s="58">
        <v>0</v>
      </c>
      <c r="V4027" s="58">
        <v>0</v>
      </c>
      <c r="W4027" s="4">
        <v>0</v>
      </c>
    </row>
    <row r="4028" spans="1:23" x14ac:dyDescent="0.35">
      <c r="A4028">
        <v>4024</v>
      </c>
      <c r="B4028">
        <v>4025</v>
      </c>
      <c r="C4028">
        <v>146.0322788</v>
      </c>
      <c r="D4028">
        <v>-17.51659476</v>
      </c>
      <c r="F4028" t="str">
        <f>HYPERLINK("D:\Data From Lucan\2024\Johnstone\Frames_for_Analysis\4025_20240610_0005_L_2252.jpg","4025_20240610_0005_L_2252.jpg")</f>
        <v>4025_20240610_0005_L_2252.jpg</v>
      </c>
      <c r="G4028">
        <v>4</v>
      </c>
      <c r="I4028">
        <f t="shared" si="62"/>
        <v>1</v>
      </c>
      <c r="J4028" s="58">
        <v>1</v>
      </c>
      <c r="O4028">
        <v>1</v>
      </c>
      <c r="P4028" s="58">
        <v>0</v>
      </c>
      <c r="Q4028" s="58">
        <v>0</v>
      </c>
      <c r="R4028" s="58">
        <v>0</v>
      </c>
      <c r="S4028" s="58">
        <v>0</v>
      </c>
      <c r="T4028" s="58">
        <v>0</v>
      </c>
      <c r="U4028" s="58">
        <v>0</v>
      </c>
      <c r="V4028" s="58">
        <v>0</v>
      </c>
      <c r="W4028" s="4">
        <v>0</v>
      </c>
    </row>
    <row r="4029" spans="1:23" x14ac:dyDescent="0.35">
      <c r="A4029">
        <v>4025</v>
      </c>
      <c r="B4029">
        <v>4026</v>
      </c>
      <c r="C4029">
        <v>146.03227749999999</v>
      </c>
      <c r="D4029">
        <v>-17.51668901</v>
      </c>
      <c r="F4029" t="str">
        <f>HYPERLINK("D:\Data From Lucan\2024\Johnstone\Frames_for_Analysis\4026_20240610_0005_L_2255.jpg","4026_20240610_0005_L_2255.jpg")</f>
        <v>4026_20240610_0005_L_2255.jpg</v>
      </c>
      <c r="G4029">
        <v>4</v>
      </c>
      <c r="I4029">
        <f t="shared" si="62"/>
        <v>1</v>
      </c>
      <c r="J4029" s="58">
        <v>1</v>
      </c>
      <c r="O4029">
        <v>1</v>
      </c>
      <c r="P4029" s="58">
        <v>0</v>
      </c>
      <c r="Q4029" s="58">
        <v>0</v>
      </c>
      <c r="R4029" s="58">
        <v>0</v>
      </c>
      <c r="S4029" s="58">
        <v>0</v>
      </c>
      <c r="T4029" s="58">
        <v>0</v>
      </c>
      <c r="U4029" s="58">
        <v>0</v>
      </c>
      <c r="V4029" s="58">
        <v>0</v>
      </c>
      <c r="W4029" s="4">
        <v>0</v>
      </c>
    </row>
    <row r="4030" spans="1:23" x14ac:dyDescent="0.35">
      <c r="A4030">
        <v>4026</v>
      </c>
      <c r="B4030">
        <v>4027</v>
      </c>
      <c r="C4030">
        <v>146.03227680000001</v>
      </c>
      <c r="D4030">
        <v>-17.516783310000001</v>
      </c>
      <c r="F4030" t="str">
        <f>HYPERLINK("D:\Data From Lucan\2024\Johnstone\Frames_for_Analysis\4027_20240610_0005_L_2258.jpg","4027_20240610_0005_L_2258.jpg")</f>
        <v>4027_20240610_0005_L_2258.jpg</v>
      </c>
      <c r="G4030">
        <v>4</v>
      </c>
      <c r="I4030">
        <f t="shared" si="62"/>
        <v>1</v>
      </c>
      <c r="J4030" s="58">
        <v>1</v>
      </c>
      <c r="O4030">
        <v>1</v>
      </c>
      <c r="P4030" s="58">
        <v>0</v>
      </c>
      <c r="Q4030" s="58">
        <v>0</v>
      </c>
      <c r="R4030" s="58">
        <v>0</v>
      </c>
      <c r="S4030" s="58">
        <v>0</v>
      </c>
      <c r="T4030" s="58">
        <v>0</v>
      </c>
      <c r="U4030" s="58">
        <v>0</v>
      </c>
      <c r="V4030" s="58">
        <v>0</v>
      </c>
      <c r="W4030" s="4">
        <v>0</v>
      </c>
    </row>
    <row r="4031" spans="1:23" x14ac:dyDescent="0.35">
      <c r="A4031">
        <v>4027</v>
      </c>
      <c r="B4031">
        <v>4028</v>
      </c>
      <c r="C4031">
        <v>146.03226710000001</v>
      </c>
      <c r="D4031">
        <v>-17.51687695</v>
      </c>
      <c r="F4031" t="str">
        <f>HYPERLINK("D:\Data From Lucan\2024\Johnstone\Frames_for_Analysis\4028_20240610_0005_L_2261.jpg","4028_20240610_0005_L_2261.jpg")</f>
        <v>4028_20240610_0005_L_2261.jpg</v>
      </c>
      <c r="G4031">
        <v>4</v>
      </c>
      <c r="I4031">
        <f t="shared" si="62"/>
        <v>1</v>
      </c>
      <c r="J4031" s="58">
        <v>1</v>
      </c>
      <c r="O4031">
        <v>1</v>
      </c>
      <c r="P4031" s="58">
        <v>0</v>
      </c>
      <c r="Q4031" s="58">
        <v>0</v>
      </c>
      <c r="R4031" s="58">
        <v>0</v>
      </c>
      <c r="S4031" s="58">
        <v>0</v>
      </c>
      <c r="T4031" s="58">
        <v>0</v>
      </c>
      <c r="U4031" s="58">
        <v>0</v>
      </c>
      <c r="V4031" s="58">
        <v>0</v>
      </c>
      <c r="W4031" s="4">
        <v>0</v>
      </c>
    </row>
    <row r="4032" spans="1:23" x14ac:dyDescent="0.35">
      <c r="A4032">
        <v>4028</v>
      </c>
      <c r="B4032">
        <v>4029</v>
      </c>
      <c r="C4032">
        <v>146.03225409999999</v>
      </c>
      <c r="D4032">
        <v>-17.51697034</v>
      </c>
      <c r="F4032" t="str">
        <f>HYPERLINK("D:\Data From Lucan\2024\Johnstone\Frames_for_Analysis\4029_20240610_0005_L_2264.jpg","4029_20240610_0005_L_2264.jpg")</f>
        <v>4029_20240610_0005_L_2264.jpg</v>
      </c>
      <c r="G4032">
        <v>4</v>
      </c>
      <c r="I4032">
        <f t="shared" si="62"/>
        <v>1</v>
      </c>
      <c r="J4032" s="58">
        <v>1</v>
      </c>
      <c r="O4032">
        <v>1</v>
      </c>
      <c r="P4032" s="58">
        <v>0</v>
      </c>
      <c r="Q4032" s="58">
        <v>0</v>
      </c>
      <c r="R4032" s="58">
        <v>0</v>
      </c>
      <c r="S4032" s="58">
        <v>0</v>
      </c>
      <c r="T4032" s="58">
        <v>0</v>
      </c>
      <c r="U4032" s="58">
        <v>0</v>
      </c>
      <c r="V4032" s="58">
        <v>0</v>
      </c>
      <c r="W4032" s="4">
        <v>0</v>
      </c>
    </row>
    <row r="4033" spans="1:23" x14ac:dyDescent="0.35">
      <c r="A4033">
        <v>4029</v>
      </c>
      <c r="B4033">
        <v>4030</v>
      </c>
      <c r="C4033">
        <v>146.032241</v>
      </c>
      <c r="D4033">
        <v>-17.517063740000001</v>
      </c>
      <c r="F4033" t="str">
        <f>HYPERLINK("D:\Data From Lucan\2024\Johnstone\Frames_for_Analysis\4030_20240610_0005_L_2267.jpg","4030_20240610_0005_L_2267.jpg")</f>
        <v>4030_20240610_0005_L_2267.jpg</v>
      </c>
      <c r="G4033">
        <v>4</v>
      </c>
      <c r="I4033">
        <f t="shared" si="62"/>
        <v>1</v>
      </c>
      <c r="J4033" s="58">
        <v>1</v>
      </c>
      <c r="O4033">
        <v>1</v>
      </c>
      <c r="P4033" s="58">
        <v>0</v>
      </c>
      <c r="Q4033" s="58">
        <v>0</v>
      </c>
      <c r="R4033" s="58">
        <v>0</v>
      </c>
      <c r="S4033" s="58">
        <v>0</v>
      </c>
      <c r="T4033" s="58">
        <v>0</v>
      </c>
      <c r="U4033" s="58">
        <v>0</v>
      </c>
      <c r="V4033" s="58">
        <v>0</v>
      </c>
      <c r="W4033" s="4">
        <v>0</v>
      </c>
    </row>
    <row r="4034" spans="1:23" x14ac:dyDescent="0.35">
      <c r="A4034">
        <v>4030</v>
      </c>
      <c r="B4034">
        <v>4031</v>
      </c>
      <c r="C4034">
        <v>146.03222790000001</v>
      </c>
      <c r="D4034">
        <v>-17.517157130000001</v>
      </c>
      <c r="F4034" t="str">
        <f>HYPERLINK("D:\Data From Lucan\2024\Johnstone\Frames_for_Analysis\4031_20240610_0005_L_2269.jpg","4031_20240610_0005_L_2269.jpg")</f>
        <v>4031_20240610_0005_L_2269.jpg</v>
      </c>
      <c r="G4034">
        <v>4</v>
      </c>
      <c r="I4034">
        <f t="shared" si="62"/>
        <v>1</v>
      </c>
      <c r="J4034" s="58">
        <v>1</v>
      </c>
      <c r="O4034">
        <v>1</v>
      </c>
      <c r="P4034" s="58">
        <v>0</v>
      </c>
      <c r="Q4034" s="58">
        <v>0</v>
      </c>
      <c r="R4034" s="58">
        <v>0</v>
      </c>
      <c r="S4034" s="58">
        <v>0</v>
      </c>
      <c r="T4034" s="58">
        <v>0</v>
      </c>
      <c r="U4034" s="58">
        <v>0</v>
      </c>
      <c r="V4034" s="58">
        <v>0</v>
      </c>
      <c r="W4034" s="4">
        <v>0</v>
      </c>
    </row>
    <row r="4035" spans="1:23" x14ac:dyDescent="0.35">
      <c r="A4035">
        <v>4031</v>
      </c>
      <c r="B4035">
        <v>4032</v>
      </c>
      <c r="C4035">
        <v>146.032218</v>
      </c>
      <c r="D4035">
        <v>-17.517250900000001</v>
      </c>
      <c r="F4035" t="str">
        <f>HYPERLINK("D:\Data From Lucan\2024\Johnstone\Frames_for_Analysis\4032_20240610_0005_L_2272.jpg","4032_20240610_0005_L_2272.jpg")</f>
        <v>4032_20240610_0005_L_2272.jpg</v>
      </c>
      <c r="G4035">
        <v>4</v>
      </c>
      <c r="I4035">
        <f t="shared" si="62"/>
        <v>1</v>
      </c>
      <c r="J4035" s="58">
        <v>1</v>
      </c>
      <c r="O4035">
        <v>1</v>
      </c>
      <c r="P4035" s="58">
        <v>0</v>
      </c>
      <c r="Q4035" s="58">
        <v>0</v>
      </c>
      <c r="R4035" s="58">
        <v>0</v>
      </c>
      <c r="S4035" s="58">
        <v>0</v>
      </c>
      <c r="T4035" s="58">
        <v>0</v>
      </c>
      <c r="U4035" s="58">
        <v>0</v>
      </c>
      <c r="V4035" s="58">
        <v>0</v>
      </c>
      <c r="W4035" s="4">
        <v>0</v>
      </c>
    </row>
    <row r="4036" spans="1:23" x14ac:dyDescent="0.35">
      <c r="A4036">
        <v>4032</v>
      </c>
      <c r="B4036">
        <v>4033</v>
      </c>
      <c r="C4036">
        <v>146.0322085</v>
      </c>
      <c r="D4036">
        <v>-17.517344730000001</v>
      </c>
      <c r="F4036" t="str">
        <f>HYPERLINK("D:\Data From Lucan\2024\Johnstone\Frames_for_Analysis\4033_20240610_0005_L_2278.jpg","4033_20240610_0005_L_2278.jpg")</f>
        <v>4033_20240610_0005_L_2278.jpg</v>
      </c>
      <c r="G4036">
        <v>4</v>
      </c>
      <c r="I4036">
        <f t="shared" si="62"/>
        <v>1</v>
      </c>
      <c r="J4036" s="58">
        <v>1</v>
      </c>
      <c r="O4036">
        <v>1</v>
      </c>
      <c r="P4036" s="58">
        <v>0</v>
      </c>
      <c r="Q4036" s="58">
        <v>0</v>
      </c>
      <c r="R4036" s="58">
        <v>0</v>
      </c>
      <c r="S4036" s="58">
        <v>0</v>
      </c>
      <c r="T4036" s="58">
        <v>0</v>
      </c>
      <c r="U4036" s="58">
        <v>0</v>
      </c>
      <c r="V4036" s="58">
        <v>0</v>
      </c>
      <c r="W4036" s="4">
        <v>0</v>
      </c>
    </row>
    <row r="4037" spans="1:23" x14ac:dyDescent="0.35">
      <c r="A4037">
        <v>4033</v>
      </c>
      <c r="B4037">
        <v>4034</v>
      </c>
      <c r="C4037">
        <v>146.03219899999999</v>
      </c>
      <c r="D4037">
        <v>-17.517438550000001</v>
      </c>
      <c r="F4037" t="str">
        <f>HYPERLINK("D:\Data From Lucan\2024\Johnstone\Frames_for_Analysis\4034_20240610_0005_L_2282.jpg","4034_20240610_0005_L_2282.jpg")</f>
        <v>4034_20240610_0005_L_2282.jpg</v>
      </c>
      <c r="G4037">
        <v>4</v>
      </c>
      <c r="I4037">
        <f t="shared" ref="I4037:I4100" si="63">IF(H4037="X","X",IF(J4037="NA","X",IF(J4037="","X",J4037)))</f>
        <v>1</v>
      </c>
      <c r="J4037" s="58">
        <v>1</v>
      </c>
      <c r="O4037">
        <v>1</v>
      </c>
      <c r="P4037" s="58">
        <v>0</v>
      </c>
      <c r="Q4037" s="58">
        <v>0</v>
      </c>
      <c r="R4037" s="58">
        <v>0</v>
      </c>
      <c r="S4037" s="58">
        <v>0</v>
      </c>
      <c r="T4037" s="58">
        <v>0</v>
      </c>
      <c r="U4037" s="58">
        <v>0</v>
      </c>
      <c r="V4037" s="58">
        <v>0</v>
      </c>
      <c r="W4037" s="4">
        <v>0</v>
      </c>
    </row>
    <row r="4038" spans="1:23" x14ac:dyDescent="0.35">
      <c r="A4038">
        <v>4034</v>
      </c>
      <c r="B4038">
        <v>4035</v>
      </c>
      <c r="C4038">
        <v>146.03218949999999</v>
      </c>
      <c r="D4038">
        <v>-17.517532379999999</v>
      </c>
      <c r="F4038" t="str">
        <f>HYPERLINK("D:\Data From Lucan\2024\Johnstone\Frames_for_Analysis\4035_20240610_0005_L_2284.jpg","4035_20240610_0005_L_2284.jpg")</f>
        <v>4035_20240610_0005_L_2284.jpg</v>
      </c>
      <c r="G4038">
        <v>4</v>
      </c>
      <c r="I4038">
        <f t="shared" si="63"/>
        <v>1</v>
      </c>
      <c r="J4038" s="58">
        <v>1</v>
      </c>
      <c r="O4038">
        <v>1</v>
      </c>
      <c r="P4038" s="58">
        <v>0</v>
      </c>
      <c r="Q4038" s="58">
        <v>0</v>
      </c>
      <c r="R4038" s="58">
        <v>0</v>
      </c>
      <c r="S4038" s="58">
        <v>0</v>
      </c>
      <c r="T4038" s="58">
        <v>0</v>
      </c>
      <c r="U4038" s="58">
        <v>0</v>
      </c>
      <c r="V4038" s="58">
        <v>0</v>
      </c>
      <c r="W4038" s="4">
        <v>0</v>
      </c>
    </row>
    <row r="4039" spans="1:23" x14ac:dyDescent="0.35">
      <c r="A4039">
        <v>4035</v>
      </c>
      <c r="B4039">
        <v>4036</v>
      </c>
      <c r="C4039">
        <v>146.03218140000001</v>
      </c>
      <c r="D4039">
        <v>-17.517626140000001</v>
      </c>
      <c r="F4039" t="str">
        <f>HYPERLINK("D:\Data From Lucan\2024\Johnstone\Frames_for_Analysis\4036_20240610_0005_L_2288.jpg","4036_20240610_0005_L_2288.jpg")</f>
        <v>4036_20240610_0005_L_2288.jpg</v>
      </c>
      <c r="G4039">
        <v>4</v>
      </c>
      <c r="I4039">
        <f t="shared" si="63"/>
        <v>1</v>
      </c>
      <c r="J4039" s="58">
        <v>1</v>
      </c>
      <c r="O4039">
        <v>1</v>
      </c>
      <c r="P4039" s="58">
        <v>0</v>
      </c>
      <c r="Q4039" s="58">
        <v>0</v>
      </c>
      <c r="R4039" s="58">
        <v>0</v>
      </c>
      <c r="S4039" s="58">
        <v>0</v>
      </c>
      <c r="T4039" s="58">
        <v>0</v>
      </c>
      <c r="U4039" s="58">
        <v>0</v>
      </c>
      <c r="V4039" s="58">
        <v>0</v>
      </c>
      <c r="W4039" s="4">
        <v>0</v>
      </c>
    </row>
    <row r="4040" spans="1:23" x14ac:dyDescent="0.35">
      <c r="A4040">
        <v>4036</v>
      </c>
      <c r="B4040">
        <v>4037</v>
      </c>
      <c r="C4040">
        <v>146.0321931</v>
      </c>
      <c r="D4040">
        <v>-17.517719719999999</v>
      </c>
      <c r="F4040" t="str">
        <f>HYPERLINK("D:\Data From Lucan\2024\Johnstone\Frames_for_Analysis\4037_20240610_0005_L_2293.jpg","4037_20240610_0005_L_2293.jpg")</f>
        <v>4037_20240610_0005_L_2293.jpg</v>
      </c>
      <c r="G4040">
        <v>4</v>
      </c>
      <c r="I4040">
        <f t="shared" si="63"/>
        <v>1</v>
      </c>
      <c r="J4040" s="58">
        <v>1</v>
      </c>
      <c r="O4040">
        <v>1</v>
      </c>
      <c r="P4040" s="58">
        <v>0</v>
      </c>
      <c r="Q4040" s="58">
        <v>0</v>
      </c>
      <c r="R4040" s="58">
        <v>0</v>
      </c>
      <c r="S4040" s="58">
        <v>0</v>
      </c>
      <c r="T4040" s="58">
        <v>0</v>
      </c>
      <c r="U4040" s="58">
        <v>0</v>
      </c>
      <c r="V4040" s="58">
        <v>0</v>
      </c>
      <c r="W4040" s="4">
        <v>0</v>
      </c>
    </row>
    <row r="4041" spans="1:23" x14ac:dyDescent="0.35">
      <c r="A4041">
        <v>4037</v>
      </c>
      <c r="B4041">
        <v>4038</v>
      </c>
      <c r="C4041">
        <v>146.03220730000001</v>
      </c>
      <c r="D4041">
        <v>-17.517812880000001</v>
      </c>
      <c r="F4041" t="str">
        <f>HYPERLINK("D:\Data From Lucan\2024\Johnstone\Frames_for_Analysis\4038_20240610_0005_L_2299.jpg","4038_20240610_0005_L_2299.jpg")</f>
        <v>4038_20240610_0005_L_2299.jpg</v>
      </c>
      <c r="G4041">
        <v>4</v>
      </c>
      <c r="I4041">
        <f t="shared" si="63"/>
        <v>1</v>
      </c>
      <c r="J4041" s="58">
        <v>1</v>
      </c>
      <c r="O4041">
        <v>1</v>
      </c>
      <c r="P4041" s="58">
        <v>0</v>
      </c>
      <c r="Q4041" s="58">
        <v>0</v>
      </c>
      <c r="R4041" s="58">
        <v>0</v>
      </c>
      <c r="S4041" s="58">
        <v>0</v>
      </c>
      <c r="T4041" s="58">
        <v>0</v>
      </c>
      <c r="U4041" s="58">
        <v>0</v>
      </c>
      <c r="V4041" s="58">
        <v>0</v>
      </c>
      <c r="W4041" s="4">
        <v>0</v>
      </c>
    </row>
    <row r="4042" spans="1:23" x14ac:dyDescent="0.35">
      <c r="A4042">
        <v>4038</v>
      </c>
      <c r="B4042">
        <v>4039</v>
      </c>
      <c r="C4042">
        <v>146.03222690000001</v>
      </c>
      <c r="D4042">
        <v>-17.517905120000002</v>
      </c>
      <c r="F4042" t="str">
        <f>HYPERLINK("D:\Data From Lucan\2024\Johnstone\Frames_for_Analysis\4039_20240610_0005_L_2302.jpg","4039_20240610_0005_L_2302.jpg")</f>
        <v>4039_20240610_0005_L_2302.jpg</v>
      </c>
      <c r="G4042">
        <v>4</v>
      </c>
      <c r="I4042">
        <f t="shared" si="63"/>
        <v>1</v>
      </c>
      <c r="J4042" s="58">
        <v>1</v>
      </c>
      <c r="O4042">
        <v>1</v>
      </c>
      <c r="P4042" s="58">
        <v>0</v>
      </c>
      <c r="Q4042" s="58">
        <v>0</v>
      </c>
      <c r="R4042" s="58">
        <v>0</v>
      </c>
      <c r="S4042" s="58">
        <v>0</v>
      </c>
      <c r="T4042" s="58">
        <v>0</v>
      </c>
      <c r="U4042" s="58">
        <v>0</v>
      </c>
      <c r="V4042" s="58">
        <v>0</v>
      </c>
      <c r="W4042" s="4">
        <v>0</v>
      </c>
    </row>
    <row r="4043" spans="1:23" x14ac:dyDescent="0.35">
      <c r="A4043">
        <v>4039</v>
      </c>
      <c r="B4043">
        <v>4040</v>
      </c>
      <c r="C4043">
        <v>146.03224650000001</v>
      </c>
      <c r="D4043">
        <v>-17.517997359999999</v>
      </c>
      <c r="F4043" t="str">
        <f>HYPERLINK("D:\Data From Lucan\2024\Johnstone\Frames_for_Analysis\4040_20240610_0005_L_2307.jpg","4040_20240610_0005_L_2307.jpg")</f>
        <v>4040_20240610_0005_L_2307.jpg</v>
      </c>
      <c r="G4043">
        <v>4</v>
      </c>
      <c r="I4043">
        <f t="shared" si="63"/>
        <v>1</v>
      </c>
      <c r="J4043" s="58">
        <v>1</v>
      </c>
      <c r="O4043">
        <v>1</v>
      </c>
      <c r="P4043" s="58">
        <v>0</v>
      </c>
      <c r="Q4043" s="58">
        <v>0</v>
      </c>
      <c r="R4043" s="58">
        <v>0</v>
      </c>
      <c r="S4043" s="58">
        <v>0</v>
      </c>
      <c r="T4043" s="58">
        <v>0</v>
      </c>
      <c r="U4043" s="58">
        <v>0</v>
      </c>
      <c r="V4043" s="58">
        <v>0</v>
      </c>
      <c r="W4043" s="4">
        <v>0</v>
      </c>
    </row>
    <row r="4044" spans="1:23" x14ac:dyDescent="0.35">
      <c r="A4044">
        <v>4040</v>
      </c>
      <c r="B4044">
        <v>4041</v>
      </c>
      <c r="C4044">
        <v>146.03227670000001</v>
      </c>
      <c r="D4044">
        <v>-17.518086539999999</v>
      </c>
      <c r="F4044" t="str">
        <f>HYPERLINK("D:\Data From Lucan\2024\Johnstone\Frames_for_Analysis\4041_20240610_0005_L_2310.jpg","4041_20240610_0005_L_2310.jpg")</f>
        <v>4041_20240610_0005_L_2310.jpg</v>
      </c>
      <c r="G4044">
        <v>4</v>
      </c>
      <c r="I4044">
        <f t="shared" si="63"/>
        <v>1</v>
      </c>
      <c r="J4044" s="58">
        <v>1</v>
      </c>
      <c r="O4044">
        <v>1</v>
      </c>
      <c r="P4044" s="58">
        <v>0</v>
      </c>
      <c r="Q4044" s="58">
        <v>0</v>
      </c>
      <c r="R4044" s="58">
        <v>0</v>
      </c>
      <c r="S4044" s="58">
        <v>0</v>
      </c>
      <c r="T4044" s="58">
        <v>0</v>
      </c>
      <c r="U4044" s="58">
        <v>0</v>
      </c>
      <c r="V4044" s="58">
        <v>0</v>
      </c>
      <c r="W4044" s="4">
        <v>0</v>
      </c>
    </row>
    <row r="4045" spans="1:23" x14ac:dyDescent="0.35">
      <c r="A4045">
        <v>4041</v>
      </c>
      <c r="B4045">
        <v>4042</v>
      </c>
      <c r="C4045">
        <v>146.03230930000001</v>
      </c>
      <c r="D4045">
        <v>-17.51817505</v>
      </c>
      <c r="F4045" t="str">
        <f>HYPERLINK("D:\Data From Lucan\2024\Johnstone\Frames_for_Analysis\4042_20240610_0005_L_2315.jpg","4042_20240610_0005_L_2315.jpg")</f>
        <v>4042_20240610_0005_L_2315.jpg</v>
      </c>
      <c r="G4045">
        <v>4</v>
      </c>
      <c r="I4045">
        <f t="shared" si="63"/>
        <v>1</v>
      </c>
      <c r="J4045" s="58">
        <v>1</v>
      </c>
      <c r="O4045">
        <v>1</v>
      </c>
      <c r="P4045" s="58">
        <v>0</v>
      </c>
      <c r="Q4045" s="58">
        <v>0</v>
      </c>
      <c r="R4045" s="58">
        <v>0</v>
      </c>
      <c r="S4045" s="58">
        <v>0</v>
      </c>
      <c r="T4045" s="58">
        <v>0</v>
      </c>
      <c r="U4045" s="58">
        <v>0</v>
      </c>
      <c r="V4045" s="58">
        <v>0</v>
      </c>
      <c r="W4045" s="4">
        <v>0</v>
      </c>
    </row>
    <row r="4046" spans="1:23" x14ac:dyDescent="0.35">
      <c r="A4046">
        <v>4042</v>
      </c>
      <c r="B4046">
        <v>4043</v>
      </c>
      <c r="C4046">
        <v>146.03234180000001</v>
      </c>
      <c r="D4046">
        <v>-17.518263560000001</v>
      </c>
      <c r="F4046" t="str">
        <f>HYPERLINK("D:\Data From Lucan\2024\Johnstone\Frames_for_Analysis\4043_20240610_0005_L_2319.jpg","4043_20240610_0005_L_2319.jpg")</f>
        <v>4043_20240610_0005_L_2319.jpg</v>
      </c>
      <c r="G4046">
        <v>4</v>
      </c>
      <c r="I4046">
        <f t="shared" si="63"/>
        <v>1</v>
      </c>
      <c r="J4046" s="58">
        <v>1</v>
      </c>
      <c r="O4046">
        <v>1</v>
      </c>
      <c r="P4046" s="58">
        <v>0</v>
      </c>
      <c r="Q4046" s="58">
        <v>0</v>
      </c>
      <c r="R4046" s="58">
        <v>0</v>
      </c>
      <c r="S4046" s="58">
        <v>0</v>
      </c>
      <c r="T4046" s="58">
        <v>0</v>
      </c>
      <c r="U4046" s="58">
        <v>0</v>
      </c>
      <c r="V4046" s="58">
        <v>0</v>
      </c>
      <c r="W4046" s="4">
        <v>0</v>
      </c>
    </row>
    <row r="4047" spans="1:23" x14ac:dyDescent="0.35">
      <c r="A4047">
        <v>4043</v>
      </c>
      <c r="B4047">
        <v>4044</v>
      </c>
      <c r="C4047">
        <v>146.0323793</v>
      </c>
      <c r="D4047">
        <v>-17.51834998</v>
      </c>
      <c r="F4047" t="str">
        <f>HYPERLINK("D:\Data From Lucan\2024\Johnstone\Frames_for_Analysis\4044_20240610_0005_L_2323.jpg","4044_20240610_0005_L_2323.jpg")</f>
        <v>4044_20240610_0005_L_2323.jpg</v>
      </c>
      <c r="G4047">
        <v>4</v>
      </c>
      <c r="I4047">
        <f t="shared" si="63"/>
        <v>1</v>
      </c>
      <c r="J4047" s="58">
        <v>1</v>
      </c>
      <c r="O4047">
        <v>1</v>
      </c>
      <c r="P4047" s="58">
        <v>0</v>
      </c>
      <c r="Q4047" s="58">
        <v>0</v>
      </c>
      <c r="R4047" s="58">
        <v>0</v>
      </c>
      <c r="S4047" s="58">
        <v>0</v>
      </c>
      <c r="T4047" s="58">
        <v>0</v>
      </c>
      <c r="U4047" s="58">
        <v>0</v>
      </c>
      <c r="V4047" s="58">
        <v>0</v>
      </c>
      <c r="W4047" s="4">
        <v>0</v>
      </c>
    </row>
    <row r="4048" spans="1:23" x14ac:dyDescent="0.35">
      <c r="A4048">
        <v>4044</v>
      </c>
      <c r="B4048">
        <v>4045</v>
      </c>
      <c r="C4048">
        <v>146.03242</v>
      </c>
      <c r="D4048">
        <v>-17.51843508</v>
      </c>
      <c r="F4048" t="str">
        <f>HYPERLINK("D:\Data From Lucan\2024\Johnstone\Frames_for_Analysis\4045_20240610_0005_L_2328.jpg","4045_20240610_0005_L_2328.jpg")</f>
        <v>4045_20240610_0005_L_2328.jpg</v>
      </c>
      <c r="G4048">
        <v>4</v>
      </c>
      <c r="I4048">
        <f t="shared" si="63"/>
        <v>0</v>
      </c>
      <c r="J4048" s="58">
        <v>0</v>
      </c>
      <c r="O4048">
        <v>1</v>
      </c>
      <c r="P4048" s="58">
        <v>1</v>
      </c>
      <c r="Q4048" s="58">
        <v>1</v>
      </c>
      <c r="R4048" s="58">
        <v>0</v>
      </c>
      <c r="S4048" s="58">
        <v>0</v>
      </c>
      <c r="T4048" s="58">
        <v>0</v>
      </c>
      <c r="U4048" s="58">
        <v>0</v>
      </c>
      <c r="V4048" s="58">
        <v>0</v>
      </c>
      <c r="W4048" s="4">
        <v>2</v>
      </c>
    </row>
    <row r="4049" spans="1:23" x14ac:dyDescent="0.35">
      <c r="A4049">
        <v>4045</v>
      </c>
      <c r="B4049">
        <v>4046</v>
      </c>
      <c r="C4049">
        <v>146.03246060000001</v>
      </c>
      <c r="D4049">
        <v>-17.518520179999999</v>
      </c>
      <c r="F4049" t="str">
        <f>HYPERLINK("D:\Data From Lucan\2024\Johnstone\Frames_for_Analysis\4046_20240610_0005_L_2347.jpg","4046_20240610_0005_L_2347.jpg")</f>
        <v>4046_20240610_0005_L_2347.jpg</v>
      </c>
      <c r="G4049">
        <v>4</v>
      </c>
      <c r="I4049">
        <f t="shared" si="63"/>
        <v>1</v>
      </c>
      <c r="J4049" s="58">
        <v>1</v>
      </c>
      <c r="O4049">
        <v>3</v>
      </c>
      <c r="P4049" s="58">
        <v>0</v>
      </c>
      <c r="Q4049" s="58">
        <v>0</v>
      </c>
      <c r="R4049" s="58">
        <v>0</v>
      </c>
      <c r="S4049" s="58">
        <v>0</v>
      </c>
      <c r="T4049" s="58">
        <v>0</v>
      </c>
      <c r="U4049" s="58">
        <v>0</v>
      </c>
      <c r="V4049" s="58">
        <v>0</v>
      </c>
      <c r="W4049" s="4">
        <v>0</v>
      </c>
    </row>
    <row r="4050" spans="1:23" x14ac:dyDescent="0.35">
      <c r="A4050">
        <v>4046</v>
      </c>
      <c r="B4050">
        <v>4047</v>
      </c>
      <c r="C4050">
        <v>146.0325005</v>
      </c>
      <c r="D4050">
        <v>-17.51860559</v>
      </c>
      <c r="F4050" t="str">
        <f>HYPERLINK("D:\Data From Lucan\2024\Johnstone\Frames_for_Analysis\4047_20240610_0005_L_2335.jpg","4047_20240610_0005_L_2335.jpg")</f>
        <v>4047_20240610_0005_L_2335.jpg</v>
      </c>
      <c r="G4050">
        <v>4</v>
      </c>
      <c r="I4050">
        <f t="shared" si="63"/>
        <v>1</v>
      </c>
      <c r="J4050" s="58">
        <v>1</v>
      </c>
      <c r="O4050">
        <v>1</v>
      </c>
      <c r="P4050" s="58">
        <v>0</v>
      </c>
      <c r="Q4050" s="58">
        <v>0</v>
      </c>
      <c r="R4050" s="58">
        <v>0</v>
      </c>
      <c r="S4050" s="58">
        <v>0</v>
      </c>
      <c r="T4050" s="58">
        <v>0</v>
      </c>
      <c r="U4050" s="58">
        <v>0</v>
      </c>
      <c r="V4050" s="58">
        <v>0</v>
      </c>
      <c r="W4050" s="4">
        <v>0</v>
      </c>
    </row>
    <row r="4051" spans="1:23" x14ac:dyDescent="0.35">
      <c r="A4051">
        <v>4047</v>
      </c>
      <c r="B4051">
        <v>4048</v>
      </c>
      <c r="C4051">
        <v>146.03253319999999</v>
      </c>
      <c r="D4051">
        <v>-17.518694050000001</v>
      </c>
      <c r="F4051" t="str">
        <f>HYPERLINK("D:\Data From Lucan\2024\Johnstone\Frames_for_Analysis\4048_20240610_0005_L_2355.jpg","4048_20240610_0005_L_2355.jpg")</f>
        <v>4048_20240610_0005_L_2355.jpg</v>
      </c>
      <c r="G4051">
        <v>4</v>
      </c>
      <c r="I4051">
        <f t="shared" si="63"/>
        <v>1</v>
      </c>
      <c r="J4051" s="58">
        <v>1</v>
      </c>
      <c r="O4051">
        <v>1</v>
      </c>
      <c r="P4051" s="58">
        <v>0</v>
      </c>
      <c r="Q4051" s="58">
        <v>0</v>
      </c>
      <c r="R4051" s="58">
        <v>0</v>
      </c>
      <c r="S4051" s="58">
        <v>0</v>
      </c>
      <c r="T4051" s="58">
        <v>0</v>
      </c>
      <c r="U4051" s="58">
        <v>0</v>
      </c>
      <c r="V4051" s="58">
        <v>0</v>
      </c>
      <c r="W4051" s="4">
        <v>0</v>
      </c>
    </row>
    <row r="4052" spans="1:23" x14ac:dyDescent="0.35">
      <c r="A4052">
        <v>4048</v>
      </c>
      <c r="B4052">
        <v>4049</v>
      </c>
      <c r="C4052">
        <v>146.03256579999999</v>
      </c>
      <c r="D4052">
        <v>-17.518782519999998</v>
      </c>
      <c r="F4052" t="str">
        <f>HYPERLINK("D:\Data From Lucan\2024\Johnstone\Frames_for_Analysis\4049_20240610_0005_L_2357.jpg","4049_20240610_0005_L_2357.jpg")</f>
        <v>4049_20240610_0005_L_2357.jpg</v>
      </c>
      <c r="G4052">
        <v>4</v>
      </c>
      <c r="I4052">
        <f t="shared" si="63"/>
        <v>1</v>
      </c>
      <c r="J4052" s="58">
        <v>1</v>
      </c>
      <c r="O4052">
        <v>1</v>
      </c>
      <c r="P4052" s="58">
        <v>0</v>
      </c>
      <c r="Q4052" s="58">
        <v>0</v>
      </c>
      <c r="R4052" s="58">
        <v>0</v>
      </c>
      <c r="S4052" s="58">
        <v>0</v>
      </c>
      <c r="T4052" s="58">
        <v>0</v>
      </c>
      <c r="U4052" s="58">
        <v>0</v>
      </c>
      <c r="V4052" s="58">
        <v>0</v>
      </c>
      <c r="W4052" s="4">
        <v>0</v>
      </c>
    </row>
    <row r="4053" spans="1:23" x14ac:dyDescent="0.35">
      <c r="A4053">
        <v>4049</v>
      </c>
      <c r="B4053">
        <v>4050</v>
      </c>
      <c r="C4053">
        <v>146.03259919999999</v>
      </c>
      <c r="D4053">
        <v>-17.51887069</v>
      </c>
      <c r="F4053" t="str">
        <f>HYPERLINK("D:\Data From Lucan\2024\Johnstone\Frames_for_Analysis\4050_20240610_0005_L_2360.jpg","4050_20240610_0005_L_2360.jpg")</f>
        <v>4050_20240610_0005_L_2360.jpg</v>
      </c>
      <c r="G4053">
        <v>4</v>
      </c>
      <c r="I4053">
        <f t="shared" si="63"/>
        <v>1</v>
      </c>
      <c r="J4053" s="58">
        <v>1</v>
      </c>
      <c r="O4053">
        <v>1</v>
      </c>
      <c r="P4053" s="58">
        <v>0</v>
      </c>
      <c r="Q4053" s="58">
        <v>0</v>
      </c>
      <c r="R4053" s="58">
        <v>0</v>
      </c>
      <c r="S4053" s="58">
        <v>0</v>
      </c>
      <c r="T4053" s="58">
        <v>0</v>
      </c>
      <c r="U4053" s="58">
        <v>0</v>
      </c>
      <c r="V4053" s="58">
        <v>0</v>
      </c>
      <c r="W4053" s="4">
        <v>0</v>
      </c>
    </row>
    <row r="4054" spans="1:23" x14ac:dyDescent="0.35">
      <c r="A4054">
        <v>4050</v>
      </c>
      <c r="B4054">
        <v>4051</v>
      </c>
      <c r="C4054">
        <v>146.03264179999999</v>
      </c>
      <c r="D4054">
        <v>-17.518954780000001</v>
      </c>
      <c r="F4054" t="str">
        <f>HYPERLINK("D:\Data From Lucan\2024\Johnstone\Frames_for_Analysis\4051_20240610_0005_L_2362.jpg","4051_20240610_0005_L_2362.jpg")</f>
        <v>4051_20240610_0005_L_2362.jpg</v>
      </c>
      <c r="G4054">
        <v>4</v>
      </c>
      <c r="H4054" s="65"/>
      <c r="I4054">
        <f t="shared" si="63"/>
        <v>1</v>
      </c>
      <c r="J4054" s="58">
        <v>1</v>
      </c>
      <c r="O4054">
        <v>1</v>
      </c>
      <c r="P4054" s="58">
        <v>0</v>
      </c>
      <c r="Q4054" s="58">
        <v>0</v>
      </c>
      <c r="R4054" s="58">
        <v>0</v>
      </c>
      <c r="S4054" s="58">
        <v>0</v>
      </c>
      <c r="T4054" s="58">
        <v>0</v>
      </c>
      <c r="U4054" s="58">
        <v>0</v>
      </c>
      <c r="V4054" s="58">
        <v>0</v>
      </c>
      <c r="W4054" s="4">
        <v>0</v>
      </c>
    </row>
    <row r="4055" spans="1:23" x14ac:dyDescent="0.35">
      <c r="A4055">
        <v>4051</v>
      </c>
      <c r="B4055">
        <v>4052</v>
      </c>
      <c r="C4055">
        <v>146.03268449999999</v>
      </c>
      <c r="D4055">
        <v>-17.519038869999999</v>
      </c>
      <c r="F4055" t="str">
        <f>HYPERLINK("D:\Data From Lucan\2024\Johnstone\Frames_for_Analysis\4052_20240610_0005_L_2364.jpg","4052_20240610_0005_L_2364.jpg")</f>
        <v>4052_20240610_0005_L_2364.jpg</v>
      </c>
      <c r="G4055">
        <v>4</v>
      </c>
      <c r="I4055">
        <f t="shared" si="63"/>
        <v>1</v>
      </c>
      <c r="J4055" s="58">
        <v>1</v>
      </c>
      <c r="O4055">
        <v>1</v>
      </c>
      <c r="P4055" s="58">
        <v>0</v>
      </c>
      <c r="Q4055" s="58">
        <v>0</v>
      </c>
      <c r="R4055" s="58">
        <v>0</v>
      </c>
      <c r="S4055" s="58">
        <v>0</v>
      </c>
      <c r="T4055" s="58">
        <v>0</v>
      </c>
      <c r="U4055" s="58">
        <v>0</v>
      </c>
      <c r="V4055" s="58">
        <v>0</v>
      </c>
      <c r="W4055" s="4">
        <v>0</v>
      </c>
    </row>
    <row r="4056" spans="1:23" x14ac:dyDescent="0.35">
      <c r="A4056">
        <v>4052</v>
      </c>
      <c r="B4056">
        <v>4053</v>
      </c>
      <c r="C4056">
        <v>146.03272720000001</v>
      </c>
      <c r="D4056">
        <v>-17.519122960000001</v>
      </c>
      <c r="F4056" t="str">
        <f>HYPERLINK("D:\Data From Lucan\2024\Johnstone\Frames_for_Analysis\4053_20240610_0005_L_2370.jpg","4053_20240610_0005_L_2370.jpg")</f>
        <v>4053_20240610_0005_L_2370.jpg</v>
      </c>
      <c r="G4056">
        <v>4</v>
      </c>
      <c r="I4056">
        <f t="shared" si="63"/>
        <v>1</v>
      </c>
      <c r="J4056" s="58">
        <v>1</v>
      </c>
      <c r="O4056">
        <v>1</v>
      </c>
      <c r="P4056" s="58">
        <v>0</v>
      </c>
      <c r="Q4056" s="58">
        <v>0</v>
      </c>
      <c r="R4056" s="58">
        <v>0</v>
      </c>
      <c r="S4056" s="58">
        <v>0</v>
      </c>
      <c r="T4056" s="58">
        <v>0</v>
      </c>
      <c r="U4056" s="58">
        <v>0</v>
      </c>
      <c r="V4056" s="58">
        <v>0</v>
      </c>
      <c r="W4056" s="4">
        <v>0</v>
      </c>
    </row>
    <row r="4057" spans="1:23" x14ac:dyDescent="0.35">
      <c r="A4057">
        <v>4053</v>
      </c>
      <c r="B4057">
        <v>4054</v>
      </c>
      <c r="C4057">
        <v>146.03276990000001</v>
      </c>
      <c r="D4057">
        <v>-17.519207049999999</v>
      </c>
      <c r="F4057" t="str">
        <f>HYPERLINK("D:\Data From Lucan\2024\Johnstone\Frames_for_Analysis\4054_20240610_0005_L_2374.jpg","4054_20240610_0005_L_2374.jpg")</f>
        <v>4054_20240610_0005_L_2374.jpg</v>
      </c>
      <c r="G4057">
        <v>4</v>
      </c>
      <c r="I4057">
        <f t="shared" si="63"/>
        <v>1</v>
      </c>
      <c r="J4057" s="58">
        <v>1</v>
      </c>
      <c r="O4057">
        <v>1</v>
      </c>
      <c r="P4057" s="58">
        <v>0</v>
      </c>
      <c r="Q4057" s="58">
        <v>0</v>
      </c>
      <c r="R4057" s="58">
        <v>0</v>
      </c>
      <c r="S4057" s="58">
        <v>0</v>
      </c>
      <c r="T4057" s="58">
        <v>0</v>
      </c>
      <c r="U4057" s="58">
        <v>0</v>
      </c>
      <c r="V4057" s="58">
        <v>0</v>
      </c>
      <c r="W4057" s="4">
        <v>0</v>
      </c>
    </row>
    <row r="4058" spans="1:23" x14ac:dyDescent="0.35">
      <c r="A4058">
        <v>4054</v>
      </c>
      <c r="B4058">
        <v>4055</v>
      </c>
      <c r="C4058">
        <v>146.03281269999999</v>
      </c>
      <c r="D4058">
        <v>-17.519291070000001</v>
      </c>
      <c r="F4058" t="str">
        <f>HYPERLINK("D:\Data From Lucan\2024\Johnstone\Frames_for_Analysis\4055_20240610_0005_L_2377.jpg","4055_20240610_0005_L_2377.jpg")</f>
        <v>4055_20240610_0005_L_2377.jpg</v>
      </c>
      <c r="G4058">
        <v>4</v>
      </c>
      <c r="I4058">
        <f t="shared" si="63"/>
        <v>1</v>
      </c>
      <c r="J4058" s="58">
        <v>1</v>
      </c>
      <c r="O4058">
        <v>1</v>
      </c>
      <c r="P4058" s="58">
        <v>0</v>
      </c>
      <c r="Q4058" s="58">
        <v>0</v>
      </c>
      <c r="R4058" s="58">
        <v>0</v>
      </c>
      <c r="S4058" s="58">
        <v>0</v>
      </c>
      <c r="T4058" s="58">
        <v>0</v>
      </c>
      <c r="U4058" s="58">
        <v>0</v>
      </c>
      <c r="V4058" s="58">
        <v>0</v>
      </c>
      <c r="W4058" s="4">
        <v>0</v>
      </c>
    </row>
    <row r="4059" spans="1:23" x14ac:dyDescent="0.35">
      <c r="A4059">
        <v>4055</v>
      </c>
      <c r="B4059">
        <v>4056</v>
      </c>
      <c r="C4059">
        <v>146.0328547</v>
      </c>
      <c r="D4059">
        <v>-17.51937551</v>
      </c>
      <c r="F4059" t="str">
        <f>HYPERLINK("D:\Data From Lucan\2024\Johnstone\Frames_for_Analysis\4056_20240610_0005_L_2381.jpg","4056_20240610_0005_L_2381.jpg")</f>
        <v>4056_20240610_0005_L_2381.jpg</v>
      </c>
      <c r="G4059">
        <v>4</v>
      </c>
      <c r="I4059">
        <f t="shared" si="63"/>
        <v>1</v>
      </c>
      <c r="J4059" s="58">
        <v>1</v>
      </c>
      <c r="O4059">
        <v>1</v>
      </c>
      <c r="P4059" s="58">
        <v>0</v>
      </c>
      <c r="Q4059" s="58">
        <v>0</v>
      </c>
      <c r="R4059" s="58">
        <v>0</v>
      </c>
      <c r="S4059" s="58">
        <v>0</v>
      </c>
      <c r="T4059" s="58">
        <v>0</v>
      </c>
      <c r="U4059" s="58">
        <v>0</v>
      </c>
      <c r="V4059" s="58">
        <v>0</v>
      </c>
      <c r="W4059" s="4">
        <v>0</v>
      </c>
    </row>
    <row r="4060" spans="1:23" x14ac:dyDescent="0.35">
      <c r="A4060">
        <v>4056</v>
      </c>
      <c r="B4060">
        <v>4057</v>
      </c>
      <c r="C4060">
        <v>146.03289609999999</v>
      </c>
      <c r="D4060">
        <v>-17.519460250000002</v>
      </c>
      <c r="F4060" t="str">
        <f>HYPERLINK("D:\Data From Lucan\2024\Johnstone\Frames_for_Analysis\4057_20240610_0005_L_2384.jpg","4057_20240610_0005_L_2384.jpg")</f>
        <v>4057_20240610_0005_L_2384.jpg</v>
      </c>
      <c r="G4060">
        <v>4</v>
      </c>
      <c r="I4060">
        <f t="shared" si="63"/>
        <v>1</v>
      </c>
      <c r="J4060" s="58">
        <v>1</v>
      </c>
      <c r="O4060">
        <v>1</v>
      </c>
      <c r="P4060" s="58">
        <v>0</v>
      </c>
      <c r="Q4060" s="58">
        <v>0</v>
      </c>
      <c r="R4060" s="58">
        <v>0</v>
      </c>
      <c r="S4060" s="58">
        <v>0</v>
      </c>
      <c r="T4060" s="58">
        <v>0</v>
      </c>
      <c r="U4060" s="58">
        <v>0</v>
      </c>
      <c r="V4060" s="58">
        <v>0</v>
      </c>
      <c r="W4060" s="4">
        <v>0</v>
      </c>
    </row>
    <row r="4061" spans="1:23" x14ac:dyDescent="0.35">
      <c r="A4061">
        <v>4057</v>
      </c>
      <c r="B4061">
        <v>4058</v>
      </c>
      <c r="C4061">
        <v>146.03293740000001</v>
      </c>
      <c r="D4061">
        <v>-17.519545000000001</v>
      </c>
      <c r="F4061" t="str">
        <f>HYPERLINK("D:\Data From Lucan\2024\Johnstone\Frames_for_Analysis\4058_20240610_0005_L_2388.jpg","4058_20240610_0005_L_2388.jpg")</f>
        <v>4058_20240610_0005_L_2388.jpg</v>
      </c>
      <c r="G4061">
        <v>4</v>
      </c>
      <c r="I4061">
        <f t="shared" si="63"/>
        <v>1</v>
      </c>
      <c r="J4061" s="58">
        <v>1</v>
      </c>
      <c r="O4061">
        <v>1</v>
      </c>
      <c r="P4061" s="58">
        <v>0</v>
      </c>
      <c r="Q4061" s="58">
        <v>0</v>
      </c>
      <c r="R4061" s="58">
        <v>0</v>
      </c>
      <c r="S4061" s="58">
        <v>0</v>
      </c>
      <c r="T4061" s="58">
        <v>0</v>
      </c>
      <c r="U4061" s="58">
        <v>0</v>
      </c>
      <c r="V4061" s="58">
        <v>0</v>
      </c>
      <c r="W4061" s="4">
        <v>0</v>
      </c>
    </row>
    <row r="4062" spans="1:23" x14ac:dyDescent="0.35">
      <c r="A4062">
        <v>4058</v>
      </c>
      <c r="B4062">
        <v>4059</v>
      </c>
      <c r="C4062">
        <v>146.0329788</v>
      </c>
      <c r="D4062">
        <v>-17.519629739999999</v>
      </c>
      <c r="F4062" t="str">
        <f>HYPERLINK("D:\Data From Lucan\2024\Johnstone\Frames_for_Analysis\4059_20240610_0005_L_2391.jpg","4059_20240610_0005_L_2391.jpg")</f>
        <v>4059_20240610_0005_L_2391.jpg</v>
      </c>
      <c r="G4062">
        <v>4</v>
      </c>
      <c r="I4062">
        <f t="shared" si="63"/>
        <v>1</v>
      </c>
      <c r="J4062" s="58">
        <v>1</v>
      </c>
      <c r="O4062">
        <v>1</v>
      </c>
      <c r="P4062" s="58">
        <v>0</v>
      </c>
      <c r="Q4062" s="58">
        <v>0</v>
      </c>
      <c r="R4062" s="58">
        <v>0</v>
      </c>
      <c r="S4062" s="58">
        <v>0</v>
      </c>
      <c r="T4062" s="58">
        <v>0</v>
      </c>
      <c r="U4062" s="58">
        <v>0</v>
      </c>
      <c r="V4062" s="58">
        <v>0</v>
      </c>
      <c r="W4062" s="4">
        <v>0</v>
      </c>
    </row>
    <row r="4063" spans="1:23" x14ac:dyDescent="0.35">
      <c r="A4063">
        <v>4059</v>
      </c>
      <c r="B4063">
        <v>4060</v>
      </c>
      <c r="C4063">
        <v>146.03303940000001</v>
      </c>
      <c r="D4063">
        <v>-17.519701699999999</v>
      </c>
      <c r="F4063" t="str">
        <f>HYPERLINK("D:\Data From Lucan\2024\Johnstone\Frames_for_Analysis\4060_20240610_0005_L_2394.jpg","4060_20240610_0005_L_2394.jpg")</f>
        <v>4060_20240610_0005_L_2394.jpg</v>
      </c>
      <c r="G4063">
        <v>4</v>
      </c>
      <c r="I4063">
        <f t="shared" si="63"/>
        <v>1</v>
      </c>
      <c r="J4063" s="58">
        <v>1</v>
      </c>
      <c r="O4063">
        <v>1</v>
      </c>
      <c r="P4063" s="58">
        <v>0</v>
      </c>
      <c r="Q4063" s="58">
        <v>0</v>
      </c>
      <c r="R4063" s="58">
        <v>0</v>
      </c>
      <c r="S4063" s="58">
        <v>0</v>
      </c>
      <c r="T4063" s="58">
        <v>0</v>
      </c>
      <c r="U4063" s="58">
        <v>0</v>
      </c>
      <c r="V4063" s="58">
        <v>0</v>
      </c>
      <c r="W4063" s="4">
        <v>0</v>
      </c>
    </row>
    <row r="4064" spans="1:23" x14ac:dyDescent="0.35">
      <c r="A4064">
        <v>4060</v>
      </c>
      <c r="B4064">
        <v>4061</v>
      </c>
      <c r="C4064">
        <v>146.03310160000001</v>
      </c>
      <c r="D4064">
        <v>-17.5197726</v>
      </c>
      <c r="F4064" t="str">
        <f>HYPERLINK("D:\Data From Lucan\2024\Johnstone\Frames_for_Analysis\4061_20240610_0005_L_2399.jpg","4061_20240610_0005_L_2399.jpg")</f>
        <v>4061_20240610_0005_L_2399.jpg</v>
      </c>
      <c r="G4064">
        <v>4</v>
      </c>
      <c r="I4064">
        <f t="shared" si="63"/>
        <v>1</v>
      </c>
      <c r="J4064" s="58">
        <v>1</v>
      </c>
      <c r="O4064">
        <v>1</v>
      </c>
      <c r="P4064" s="58">
        <v>0</v>
      </c>
      <c r="Q4064" s="58">
        <v>0</v>
      </c>
      <c r="R4064" s="58">
        <v>0</v>
      </c>
      <c r="S4064" s="58">
        <v>0</v>
      </c>
      <c r="T4064" s="58">
        <v>0</v>
      </c>
      <c r="U4064" s="58">
        <v>0</v>
      </c>
      <c r="V4064" s="58">
        <v>0</v>
      </c>
      <c r="W4064" s="4">
        <v>0</v>
      </c>
    </row>
    <row r="4065" spans="1:23" x14ac:dyDescent="0.35">
      <c r="A4065">
        <v>4061</v>
      </c>
      <c r="B4065">
        <v>4062</v>
      </c>
      <c r="C4065">
        <v>146.03316369999999</v>
      </c>
      <c r="D4065">
        <v>-17.519843510000001</v>
      </c>
      <c r="F4065" t="str">
        <f>HYPERLINK("D:\Data From Lucan\2024\Johnstone\Frames_for_Analysis\4062_20240610_0005_L_2404.jpg","4062_20240610_0005_L_2404.jpg")</f>
        <v>4062_20240610_0005_L_2404.jpg</v>
      </c>
      <c r="G4065">
        <v>4</v>
      </c>
      <c r="I4065">
        <f t="shared" si="63"/>
        <v>0</v>
      </c>
      <c r="J4065" s="58">
        <v>0</v>
      </c>
      <c r="O4065">
        <v>2</v>
      </c>
      <c r="P4065" s="58">
        <v>1</v>
      </c>
      <c r="Q4065" s="58">
        <v>0</v>
      </c>
      <c r="R4065" s="58">
        <v>0</v>
      </c>
      <c r="S4065" s="58">
        <v>0</v>
      </c>
      <c r="T4065" s="58">
        <v>0</v>
      </c>
      <c r="U4065" s="58">
        <v>0</v>
      </c>
      <c r="V4065" s="58">
        <v>0</v>
      </c>
      <c r="W4065" s="4">
        <v>1</v>
      </c>
    </row>
    <row r="4066" spans="1:23" x14ac:dyDescent="0.35">
      <c r="A4066">
        <v>4062</v>
      </c>
      <c r="B4066">
        <v>4063</v>
      </c>
      <c r="C4066">
        <v>146.0332119</v>
      </c>
      <c r="D4066">
        <v>-17.519924369999998</v>
      </c>
      <c r="F4066" t="str">
        <f>HYPERLINK("D:\Data From Lucan\2024\Johnstone\Frames_for_Analysis\4063_20240610_0005_L_2409.jpg","4063_20240610_0005_L_2409.jpg")</f>
        <v>4063_20240610_0005_L_2409.jpg</v>
      </c>
      <c r="G4066">
        <v>4</v>
      </c>
      <c r="I4066">
        <f t="shared" si="63"/>
        <v>0</v>
      </c>
      <c r="J4066" s="58">
        <v>0</v>
      </c>
      <c r="O4066">
        <v>2</v>
      </c>
      <c r="P4066" s="58">
        <v>1</v>
      </c>
      <c r="Q4066" s="58">
        <v>1</v>
      </c>
      <c r="R4066" s="58">
        <v>0</v>
      </c>
      <c r="S4066" s="58">
        <v>0</v>
      </c>
      <c r="T4066" s="58">
        <v>0</v>
      </c>
      <c r="U4066" s="58">
        <v>0</v>
      </c>
      <c r="V4066" s="58">
        <v>0</v>
      </c>
      <c r="W4066" s="4">
        <v>1</v>
      </c>
    </row>
    <row r="4067" spans="1:23" x14ac:dyDescent="0.35">
      <c r="A4067">
        <v>4063</v>
      </c>
      <c r="B4067">
        <v>4064</v>
      </c>
      <c r="C4067">
        <v>146.03325849999999</v>
      </c>
      <c r="D4067">
        <v>-17.520006380000002</v>
      </c>
      <c r="F4067" t="str">
        <f>HYPERLINK("D:\Data From Lucan\2024\Johnstone\Frames_for_Analysis\4064_20240610_0005_L_2412.jpg","4064_20240610_0005_L_2412.jpg")</f>
        <v>4064_20240610_0005_L_2412.jpg</v>
      </c>
      <c r="G4067">
        <v>4</v>
      </c>
      <c r="I4067">
        <f t="shared" si="63"/>
        <v>1</v>
      </c>
      <c r="J4067" s="58">
        <v>1</v>
      </c>
      <c r="O4067">
        <v>1</v>
      </c>
      <c r="P4067" s="58">
        <v>0</v>
      </c>
      <c r="Q4067" s="58">
        <v>0</v>
      </c>
      <c r="R4067" s="58">
        <v>0</v>
      </c>
      <c r="S4067" s="58">
        <v>0</v>
      </c>
      <c r="T4067" s="58">
        <v>0</v>
      </c>
      <c r="U4067" s="58">
        <v>0</v>
      </c>
      <c r="V4067" s="58">
        <v>0</v>
      </c>
      <c r="W4067" s="4">
        <v>1</v>
      </c>
    </row>
    <row r="4068" spans="1:23" x14ac:dyDescent="0.35">
      <c r="A4068">
        <v>4064</v>
      </c>
      <c r="B4068">
        <v>4065</v>
      </c>
      <c r="C4068">
        <v>146.03329199999999</v>
      </c>
      <c r="D4068">
        <v>-17.520094530000001</v>
      </c>
      <c r="F4068" t="str">
        <f>HYPERLINK("D:\Data From Lucan\2024\Johnstone\Frames_for_Analysis\4065_20240610_0005_L_2416.jpg","4065_20240610_0005_L_2416.jpg")</f>
        <v>4065_20240610_0005_L_2416.jpg</v>
      </c>
      <c r="G4068">
        <v>4</v>
      </c>
      <c r="I4068">
        <f t="shared" si="63"/>
        <v>1</v>
      </c>
      <c r="J4068" s="58">
        <v>1</v>
      </c>
      <c r="O4068">
        <v>1</v>
      </c>
      <c r="P4068" s="58">
        <v>0</v>
      </c>
      <c r="Q4068" s="58">
        <v>0</v>
      </c>
      <c r="R4068" s="58">
        <v>0</v>
      </c>
      <c r="S4068" s="58">
        <v>0</v>
      </c>
      <c r="T4068" s="58">
        <v>0</v>
      </c>
      <c r="U4068" s="58">
        <v>0</v>
      </c>
      <c r="V4068" s="58">
        <v>0</v>
      </c>
      <c r="W4068" s="4">
        <v>0</v>
      </c>
    </row>
    <row r="4069" spans="1:23" x14ac:dyDescent="0.35">
      <c r="A4069">
        <v>4065</v>
      </c>
      <c r="B4069">
        <v>4066</v>
      </c>
      <c r="C4069">
        <v>146.03331650000001</v>
      </c>
      <c r="D4069">
        <v>-17.520184780000001</v>
      </c>
      <c r="F4069" t="str">
        <f>HYPERLINK("D:\Data From Lucan\2024\Johnstone\Frames_for_Analysis\4066_20240610_0005_L_2420.jpg","4066_20240610_0005_L_2420.jpg")</f>
        <v>4066_20240610_0005_L_2420.jpg</v>
      </c>
      <c r="G4069">
        <v>4</v>
      </c>
      <c r="I4069">
        <v>0</v>
      </c>
      <c r="J4069" s="58">
        <v>2</v>
      </c>
      <c r="O4069">
        <v>1</v>
      </c>
      <c r="P4069" s="58">
        <v>0</v>
      </c>
      <c r="Q4069" s="58">
        <v>0</v>
      </c>
      <c r="R4069" s="58">
        <v>0</v>
      </c>
      <c r="S4069" s="58">
        <v>0</v>
      </c>
      <c r="T4069" s="58">
        <v>0</v>
      </c>
      <c r="U4069" s="58">
        <v>0</v>
      </c>
      <c r="V4069" s="58">
        <v>0</v>
      </c>
      <c r="W4069" s="4">
        <v>0</v>
      </c>
    </row>
    <row r="4070" spans="1:23" x14ac:dyDescent="0.35">
      <c r="A4070">
        <v>4066</v>
      </c>
      <c r="B4070">
        <v>4067</v>
      </c>
      <c r="C4070">
        <v>146.0333278</v>
      </c>
      <c r="D4070">
        <v>-17.52027824</v>
      </c>
      <c r="F4070" t="str">
        <f>HYPERLINK("D:\Data From Lucan\2024\Johnstone\Frames_for_Analysis\4067_20240610_0005_L_2423.jpg","4067_20240610_0005_L_2423.jpg")</f>
        <v>4067_20240610_0005_L_2423.jpg</v>
      </c>
      <c r="G4070">
        <v>4</v>
      </c>
      <c r="I4070">
        <f t="shared" si="63"/>
        <v>1</v>
      </c>
      <c r="J4070" s="58">
        <v>1</v>
      </c>
      <c r="O4070">
        <v>1</v>
      </c>
      <c r="P4070" s="58">
        <v>0</v>
      </c>
      <c r="Q4070" s="58">
        <v>0</v>
      </c>
      <c r="R4070" s="58">
        <v>0</v>
      </c>
      <c r="S4070" s="58">
        <v>0</v>
      </c>
      <c r="T4070" s="58">
        <v>0</v>
      </c>
      <c r="U4070" s="58">
        <v>0</v>
      </c>
      <c r="V4070" s="58">
        <v>0</v>
      </c>
      <c r="W4070" s="4">
        <v>0</v>
      </c>
    </row>
    <row r="4071" spans="1:23" x14ac:dyDescent="0.35">
      <c r="A4071">
        <v>4067</v>
      </c>
      <c r="B4071">
        <v>4068</v>
      </c>
      <c r="C4071">
        <v>146.03336920000001</v>
      </c>
      <c r="D4071">
        <v>-17.520361019999999</v>
      </c>
      <c r="F4071" t="str">
        <f>HYPERLINK("D:\Data From Lucan\2024\Johnstone\Frames_for_Analysis\4068_20240610_0005_L_2427.jpg","4068_20240610_0005_L_2427.jpg")</f>
        <v>4068_20240610_0005_L_2427.jpg</v>
      </c>
      <c r="G4071">
        <v>4</v>
      </c>
      <c r="I4071">
        <f t="shared" si="63"/>
        <v>1</v>
      </c>
      <c r="J4071" s="58">
        <v>1</v>
      </c>
      <c r="O4071">
        <v>1</v>
      </c>
      <c r="P4071" s="58">
        <v>0</v>
      </c>
      <c r="Q4071" s="58">
        <v>0</v>
      </c>
      <c r="R4071" s="58">
        <v>0</v>
      </c>
      <c r="S4071" s="58">
        <v>0</v>
      </c>
      <c r="T4071" s="58">
        <v>0</v>
      </c>
      <c r="U4071" s="58">
        <v>0</v>
      </c>
      <c r="V4071" s="58">
        <v>0</v>
      </c>
      <c r="W4071" s="4">
        <v>0</v>
      </c>
    </row>
    <row r="4072" spans="1:23" x14ac:dyDescent="0.35">
      <c r="A4072">
        <v>4068</v>
      </c>
      <c r="B4072">
        <v>4069</v>
      </c>
      <c r="C4072">
        <v>146.0334129</v>
      </c>
      <c r="D4072">
        <v>-17.520444520000002</v>
      </c>
      <c r="F4072" t="str">
        <f>HYPERLINK("D:\Data From Lucan\2024\Johnstone\Frames_for_Analysis\4069_20240610_0005_L_2430.jpg","4069_20240610_0005_L_2430.jpg")</f>
        <v>4069_20240610_0005_L_2430.jpg</v>
      </c>
      <c r="G4072">
        <v>4</v>
      </c>
      <c r="I4072">
        <f t="shared" si="63"/>
        <v>1</v>
      </c>
      <c r="J4072" s="58">
        <v>1</v>
      </c>
      <c r="O4072">
        <v>1</v>
      </c>
      <c r="P4072" s="58">
        <v>0</v>
      </c>
      <c r="Q4072" s="58">
        <v>0</v>
      </c>
      <c r="R4072" s="58">
        <v>0</v>
      </c>
      <c r="S4072" s="58">
        <v>0</v>
      </c>
      <c r="T4072" s="58">
        <v>0</v>
      </c>
      <c r="U4072" s="58">
        <v>0</v>
      </c>
      <c r="V4072" s="58">
        <v>0</v>
      </c>
      <c r="W4072" s="4">
        <v>0</v>
      </c>
    </row>
    <row r="4073" spans="1:23" x14ac:dyDescent="0.35">
      <c r="A4073">
        <v>4069</v>
      </c>
      <c r="B4073">
        <v>4070</v>
      </c>
      <c r="C4073">
        <v>146.03346379999999</v>
      </c>
      <c r="D4073">
        <v>-17.520522710000002</v>
      </c>
      <c r="F4073" t="str">
        <f>HYPERLINK("D:\Data From Lucan\2024\Johnstone\Frames_for_Analysis\4070_20240610_0005_L_2434.jpg","4070_20240610_0005_L_2434.jpg")</f>
        <v>4070_20240610_0005_L_2434.jpg</v>
      </c>
      <c r="G4073">
        <v>4</v>
      </c>
      <c r="I4073">
        <v>0</v>
      </c>
      <c r="J4073" s="58">
        <v>2</v>
      </c>
      <c r="O4073">
        <v>1</v>
      </c>
      <c r="P4073" s="58">
        <v>0</v>
      </c>
      <c r="Q4073" s="58">
        <v>0</v>
      </c>
      <c r="R4073" s="58">
        <v>0</v>
      </c>
      <c r="S4073" s="58">
        <v>0</v>
      </c>
      <c r="T4073" s="58">
        <v>0</v>
      </c>
      <c r="U4073" s="58">
        <v>0</v>
      </c>
      <c r="V4073" s="58">
        <v>0</v>
      </c>
      <c r="W4073" s="4">
        <v>0</v>
      </c>
    </row>
    <row r="4074" spans="1:23" x14ac:dyDescent="0.35">
      <c r="A4074">
        <v>4070</v>
      </c>
      <c r="B4074">
        <v>4071</v>
      </c>
      <c r="C4074">
        <v>146.03352839999999</v>
      </c>
      <c r="D4074">
        <v>-17.52059075</v>
      </c>
      <c r="F4074" t="str">
        <f>HYPERLINK("D:\Data From Lucan\2024\Johnstone\Frames_for_Analysis\4071_20240610_0005_L_2438.jpg","4071_20240610_0005_L_2438.jpg")</f>
        <v>4071_20240610_0005_L_2438.jpg</v>
      </c>
      <c r="G4074">
        <v>4</v>
      </c>
      <c r="I4074">
        <f t="shared" si="63"/>
        <v>1</v>
      </c>
      <c r="J4074" s="58">
        <v>1</v>
      </c>
      <c r="O4074">
        <v>1</v>
      </c>
      <c r="P4074" s="58">
        <v>0</v>
      </c>
      <c r="Q4074" s="58">
        <v>0</v>
      </c>
      <c r="R4074" s="58">
        <v>0</v>
      </c>
      <c r="S4074" s="58">
        <v>0</v>
      </c>
      <c r="T4074" s="58">
        <v>0</v>
      </c>
      <c r="U4074" s="58">
        <v>0</v>
      </c>
      <c r="V4074" s="58">
        <v>0</v>
      </c>
      <c r="W4074" s="4">
        <v>0</v>
      </c>
    </row>
    <row r="4075" spans="1:23" x14ac:dyDescent="0.35">
      <c r="A4075">
        <v>4071</v>
      </c>
      <c r="B4075">
        <v>4072</v>
      </c>
      <c r="C4075">
        <v>146.03356769999999</v>
      </c>
      <c r="D4075">
        <v>-17.52067649</v>
      </c>
      <c r="F4075" t="str">
        <f>HYPERLINK("D:\Data From Lucan\2024\Johnstone\Frames_for_Analysis\4072_20240610_0005_L_2442.jpg","4072_20240610_0005_L_2442.jpg")</f>
        <v>4072_20240610_0005_L_2442.jpg</v>
      </c>
      <c r="G4075">
        <v>4</v>
      </c>
      <c r="I4075">
        <f t="shared" si="63"/>
        <v>1</v>
      </c>
      <c r="J4075" s="58">
        <v>1</v>
      </c>
      <c r="O4075">
        <v>1</v>
      </c>
      <c r="P4075" s="58">
        <v>0</v>
      </c>
      <c r="Q4075" s="58">
        <v>0</v>
      </c>
      <c r="R4075" s="58">
        <v>0</v>
      </c>
      <c r="S4075" s="58">
        <v>0</v>
      </c>
      <c r="T4075" s="58">
        <v>0</v>
      </c>
      <c r="U4075" s="58">
        <v>0</v>
      </c>
      <c r="V4075" s="58">
        <v>0</v>
      </c>
      <c r="W4075" s="4">
        <v>0</v>
      </c>
    </row>
    <row r="4076" spans="1:23" x14ac:dyDescent="0.35">
      <c r="A4076">
        <v>4072</v>
      </c>
      <c r="B4076">
        <v>4073</v>
      </c>
      <c r="C4076">
        <v>146.03360119999999</v>
      </c>
      <c r="D4076">
        <v>-17.520764490000001</v>
      </c>
      <c r="F4076" t="str">
        <f>HYPERLINK("D:\Data From Lucan\2024\Johnstone\Frames_for_Analysis\4073_20240610_0005_L_2446.jpg","4073_20240610_0005_L_2446.jpg")</f>
        <v>4073_20240610_0005_L_2446.jpg</v>
      </c>
      <c r="G4076">
        <v>4</v>
      </c>
      <c r="I4076">
        <f t="shared" si="63"/>
        <v>1</v>
      </c>
      <c r="J4076" s="58">
        <v>1</v>
      </c>
      <c r="O4076">
        <v>1</v>
      </c>
      <c r="P4076" s="58">
        <v>0</v>
      </c>
      <c r="Q4076" s="58">
        <v>0</v>
      </c>
      <c r="R4076" s="58">
        <v>0</v>
      </c>
      <c r="S4076" s="58">
        <v>0</v>
      </c>
      <c r="T4076" s="58">
        <v>0</v>
      </c>
      <c r="U4076" s="58">
        <v>0</v>
      </c>
      <c r="V4076" s="58">
        <v>0</v>
      </c>
      <c r="W4076" s="4">
        <v>0</v>
      </c>
    </row>
    <row r="4077" spans="1:23" x14ac:dyDescent="0.35">
      <c r="A4077">
        <v>4073</v>
      </c>
      <c r="B4077">
        <v>4074</v>
      </c>
      <c r="C4077">
        <v>146.0336418</v>
      </c>
      <c r="D4077">
        <v>-17.52084833</v>
      </c>
      <c r="F4077" t="str">
        <f>HYPERLINK("D:\Data From Lucan\2024\Johnstone\Frames_for_Analysis\4074_20240610_0005_L_2450.jpg","4074_20240610_0005_L_2450.jpg")</f>
        <v>4074_20240610_0005_L_2450.jpg</v>
      </c>
      <c r="G4077">
        <v>4</v>
      </c>
      <c r="I4077">
        <f t="shared" si="63"/>
        <v>1</v>
      </c>
      <c r="J4077" s="58">
        <v>1</v>
      </c>
      <c r="O4077">
        <v>1</v>
      </c>
      <c r="P4077" s="58">
        <v>0</v>
      </c>
      <c r="Q4077" s="58">
        <v>0</v>
      </c>
      <c r="R4077" s="58">
        <v>0</v>
      </c>
      <c r="S4077" s="58">
        <v>0</v>
      </c>
      <c r="T4077" s="58">
        <v>0</v>
      </c>
      <c r="U4077" s="58">
        <v>0</v>
      </c>
      <c r="V4077" s="58">
        <v>0</v>
      </c>
      <c r="W4077" s="4">
        <v>0</v>
      </c>
    </row>
    <row r="4078" spans="1:23" x14ac:dyDescent="0.35">
      <c r="A4078">
        <v>4074</v>
      </c>
      <c r="B4078">
        <v>4075</v>
      </c>
      <c r="C4078">
        <v>146.03369789999999</v>
      </c>
      <c r="D4078">
        <v>-17.520924130000001</v>
      </c>
      <c r="F4078" t="str">
        <f>HYPERLINK("D:\Data From Lucan\2024\Johnstone\Frames_for_Analysis\4075_20240610_0005_L_2455.jpg","4075_20240610_0005_L_2455.jpg")</f>
        <v>4075_20240610_0005_L_2455.jpg</v>
      </c>
      <c r="G4078">
        <v>4</v>
      </c>
      <c r="I4078">
        <f t="shared" si="63"/>
        <v>1</v>
      </c>
      <c r="J4078" s="58">
        <v>1</v>
      </c>
      <c r="O4078">
        <v>1</v>
      </c>
      <c r="P4078" s="58">
        <v>0</v>
      </c>
      <c r="Q4078" s="58">
        <v>0</v>
      </c>
      <c r="R4078" s="58">
        <v>0</v>
      </c>
      <c r="S4078" s="58">
        <v>0</v>
      </c>
      <c r="T4078" s="58">
        <v>0</v>
      </c>
      <c r="U4078" s="58">
        <v>0</v>
      </c>
      <c r="V4078" s="58">
        <v>0</v>
      </c>
      <c r="W4078" s="4">
        <v>0</v>
      </c>
    </row>
    <row r="4079" spans="1:23" x14ac:dyDescent="0.35">
      <c r="A4079">
        <v>4075</v>
      </c>
      <c r="B4079">
        <v>4076</v>
      </c>
      <c r="C4079">
        <v>146.03375399999999</v>
      </c>
      <c r="D4079">
        <v>-17.520999920000001</v>
      </c>
      <c r="F4079" t="str">
        <f>HYPERLINK("D:\Data From Lucan\2024\Johnstone\Frames_for_Analysis\4076_20240610_0005_L_2458.jpg","4076_20240610_0005_L_2458.jpg")</f>
        <v>4076_20240610_0005_L_2458.jpg</v>
      </c>
      <c r="G4079">
        <v>4</v>
      </c>
      <c r="I4079">
        <f t="shared" si="63"/>
        <v>1</v>
      </c>
      <c r="J4079" s="58">
        <v>1</v>
      </c>
      <c r="O4079">
        <v>1</v>
      </c>
      <c r="P4079" s="58">
        <v>0</v>
      </c>
      <c r="Q4079" s="58">
        <v>0</v>
      </c>
      <c r="R4079" s="58">
        <v>0</v>
      </c>
      <c r="S4079" s="58">
        <v>0</v>
      </c>
      <c r="T4079" s="58">
        <v>0</v>
      </c>
      <c r="U4079" s="58">
        <v>0</v>
      </c>
      <c r="V4079" s="58">
        <v>0</v>
      </c>
      <c r="W4079" s="4">
        <v>0</v>
      </c>
    </row>
    <row r="4080" spans="1:23" x14ac:dyDescent="0.35">
      <c r="A4080">
        <v>4076</v>
      </c>
      <c r="B4080">
        <v>4077</v>
      </c>
      <c r="C4080">
        <v>146.03381010000001</v>
      </c>
      <c r="D4080">
        <v>-17.521075719999999</v>
      </c>
      <c r="F4080" t="str">
        <f>HYPERLINK("D:\Data From Lucan\2024\Johnstone\Frames_for_Analysis\4077_20240610_0005_L_2463.jpg","4077_20240610_0005_L_2463.jpg")</f>
        <v>4077_20240610_0005_L_2463.jpg</v>
      </c>
      <c r="G4080">
        <v>4</v>
      </c>
      <c r="I4080">
        <f t="shared" si="63"/>
        <v>1</v>
      </c>
      <c r="J4080" s="58">
        <v>1</v>
      </c>
      <c r="O4080">
        <v>1</v>
      </c>
      <c r="P4080" s="58">
        <v>0</v>
      </c>
      <c r="Q4080" s="58">
        <v>0</v>
      </c>
      <c r="R4080" s="58">
        <v>0</v>
      </c>
      <c r="S4080" s="58">
        <v>0</v>
      </c>
      <c r="T4080" s="58">
        <v>0</v>
      </c>
      <c r="U4080" s="58">
        <v>0</v>
      </c>
      <c r="V4080" s="58">
        <v>0</v>
      </c>
      <c r="W4080" s="4">
        <v>0</v>
      </c>
    </row>
    <row r="4081" spans="1:23" x14ac:dyDescent="0.35">
      <c r="A4081">
        <v>4077</v>
      </c>
      <c r="B4081">
        <v>4078</v>
      </c>
      <c r="C4081">
        <v>146.0338643</v>
      </c>
      <c r="D4081">
        <v>-17.52115285</v>
      </c>
      <c r="F4081" t="str">
        <f>HYPERLINK("D:\Data From Lucan\2024\Johnstone\Frames_for_Analysis\4078_20240610_0005_L_2467.jpg","4078_20240610_0005_L_2467.jpg")</f>
        <v>4078_20240610_0005_L_2467.jpg</v>
      </c>
      <c r="G4081">
        <v>4</v>
      </c>
      <c r="I4081">
        <f t="shared" si="63"/>
        <v>1</v>
      </c>
      <c r="J4081" s="58">
        <v>1</v>
      </c>
      <c r="O4081">
        <v>1</v>
      </c>
      <c r="P4081" s="58">
        <v>0</v>
      </c>
      <c r="Q4081" s="58">
        <v>0</v>
      </c>
      <c r="R4081" s="58">
        <v>0</v>
      </c>
      <c r="S4081" s="58">
        <v>0</v>
      </c>
      <c r="T4081" s="58">
        <v>0</v>
      </c>
      <c r="U4081" s="58">
        <v>0</v>
      </c>
      <c r="V4081" s="58">
        <v>0</v>
      </c>
      <c r="W4081" s="4">
        <v>0</v>
      </c>
    </row>
    <row r="4082" spans="1:23" x14ac:dyDescent="0.35">
      <c r="A4082">
        <v>4078</v>
      </c>
      <c r="B4082">
        <v>4079</v>
      </c>
      <c r="C4082">
        <v>146.03391550000001</v>
      </c>
      <c r="D4082">
        <v>-17.521232019999999</v>
      </c>
      <c r="F4082" t="str">
        <f>HYPERLINK("D:\Data From Lucan\2024\Johnstone\Frames_for_Analysis\4079_20240610_0005_L_2472.jpg","4079_20240610_0005_L_2472.jpg")</f>
        <v>4079_20240610_0005_L_2472.jpg</v>
      </c>
      <c r="G4082">
        <v>4</v>
      </c>
      <c r="I4082">
        <f t="shared" si="63"/>
        <v>1</v>
      </c>
      <c r="J4082" s="58">
        <v>1</v>
      </c>
      <c r="O4082">
        <v>1</v>
      </c>
      <c r="P4082" s="58">
        <v>0</v>
      </c>
      <c r="Q4082" s="58">
        <v>0</v>
      </c>
      <c r="R4082" s="58">
        <v>2</v>
      </c>
      <c r="S4082" s="58">
        <v>0</v>
      </c>
      <c r="T4082" s="58">
        <v>0</v>
      </c>
      <c r="U4082" s="58">
        <v>0</v>
      </c>
      <c r="V4082" s="58">
        <v>0</v>
      </c>
      <c r="W4082" s="4">
        <v>0</v>
      </c>
    </row>
    <row r="4083" spans="1:23" x14ac:dyDescent="0.35">
      <c r="A4083">
        <v>4079</v>
      </c>
      <c r="B4083">
        <v>4080</v>
      </c>
      <c r="C4083">
        <v>146.0339668</v>
      </c>
      <c r="D4083">
        <v>-17.521311180000001</v>
      </c>
      <c r="F4083" t="str">
        <f>HYPERLINK("D:\Data From Lucan\2024\Johnstone\Frames_for_Analysis\4080_20240610_0005_L_2477.jpg","4080_20240610_0005_L_2477.jpg")</f>
        <v>4080_20240610_0005_L_2477.jpg</v>
      </c>
      <c r="G4083">
        <v>4</v>
      </c>
      <c r="I4083">
        <f t="shared" si="63"/>
        <v>1</v>
      </c>
      <c r="J4083" s="58">
        <v>1</v>
      </c>
      <c r="O4083">
        <v>1</v>
      </c>
      <c r="P4083" s="58">
        <v>0</v>
      </c>
      <c r="Q4083" s="58">
        <v>0</v>
      </c>
      <c r="R4083" s="58">
        <v>0</v>
      </c>
      <c r="S4083" s="58">
        <v>0</v>
      </c>
      <c r="T4083" s="58">
        <v>0</v>
      </c>
      <c r="U4083" s="58">
        <v>0</v>
      </c>
      <c r="V4083" s="58">
        <v>0</v>
      </c>
      <c r="W4083" s="4">
        <v>0</v>
      </c>
    </row>
    <row r="4084" spans="1:23" x14ac:dyDescent="0.35">
      <c r="A4084">
        <v>4080</v>
      </c>
      <c r="B4084">
        <v>4081</v>
      </c>
      <c r="C4084">
        <v>146.034018</v>
      </c>
      <c r="D4084">
        <v>-17.521390350000001</v>
      </c>
      <c r="F4084" t="str">
        <f>HYPERLINK("D:\Data From Lucan\2024\Johnstone\Frames_for_Analysis\4081_20240610_0005_L_2480.jpg","4081_20240610_0005_L_2480.jpg")</f>
        <v>4081_20240610_0005_L_2480.jpg</v>
      </c>
      <c r="G4084">
        <v>4</v>
      </c>
      <c r="I4084">
        <f t="shared" si="63"/>
        <v>1</v>
      </c>
      <c r="J4084" s="58">
        <v>1</v>
      </c>
      <c r="O4084">
        <v>1</v>
      </c>
      <c r="P4084" s="58">
        <v>0</v>
      </c>
      <c r="Q4084" s="58">
        <v>0</v>
      </c>
      <c r="R4084" s="58">
        <v>0</v>
      </c>
      <c r="S4084" s="58">
        <v>0</v>
      </c>
      <c r="T4084" s="58">
        <v>0</v>
      </c>
      <c r="U4084" s="58">
        <v>0</v>
      </c>
      <c r="V4084" s="58">
        <v>0</v>
      </c>
      <c r="W4084" s="4">
        <v>0</v>
      </c>
    </row>
    <row r="4085" spans="1:23" x14ac:dyDescent="0.35">
      <c r="A4085">
        <v>4081</v>
      </c>
      <c r="B4085">
        <v>4082</v>
      </c>
      <c r="C4085">
        <v>146.0340692</v>
      </c>
      <c r="D4085">
        <v>-17.52146952</v>
      </c>
      <c r="F4085" t="str">
        <f>HYPERLINK("D:\Data From Lucan\2024\Johnstone\Frames_for_Analysis\4082_20240610_0005_L_2483.jpg","4082_20240610_0005_L_2483.jpg")</f>
        <v>4082_20240610_0005_L_2483.jpg</v>
      </c>
      <c r="G4085">
        <v>4</v>
      </c>
      <c r="I4085">
        <f t="shared" si="63"/>
        <v>1</v>
      </c>
      <c r="J4085" s="58">
        <v>1</v>
      </c>
      <c r="O4085">
        <v>1</v>
      </c>
      <c r="P4085" s="58">
        <v>0</v>
      </c>
      <c r="Q4085" s="58">
        <v>0</v>
      </c>
      <c r="R4085" s="58">
        <v>0</v>
      </c>
      <c r="S4085" s="58">
        <v>0</v>
      </c>
      <c r="T4085" s="58">
        <v>0</v>
      </c>
      <c r="U4085" s="58">
        <v>0</v>
      </c>
      <c r="V4085" s="58">
        <v>0</v>
      </c>
      <c r="W4085" s="4">
        <v>0</v>
      </c>
    </row>
    <row r="4086" spans="1:23" x14ac:dyDescent="0.35">
      <c r="A4086">
        <v>4082</v>
      </c>
      <c r="B4086">
        <v>4083</v>
      </c>
      <c r="C4086">
        <v>146.0341205</v>
      </c>
      <c r="D4086">
        <v>-17.521548679999999</v>
      </c>
      <c r="F4086" t="str">
        <f>HYPERLINK("D:\Data From Lucan\2024\Johnstone\Frames_for_Analysis\4083_20240610_0005_L_2489.jpg","4083_20240610_0005_L_2489.jpg")</f>
        <v>4083_20240610_0005_L_2489.jpg</v>
      </c>
      <c r="G4086">
        <v>4</v>
      </c>
      <c r="I4086">
        <f t="shared" si="63"/>
        <v>1</v>
      </c>
      <c r="J4086" s="58">
        <v>1</v>
      </c>
      <c r="O4086">
        <v>1</v>
      </c>
      <c r="P4086" s="58">
        <v>0</v>
      </c>
      <c r="Q4086" s="58">
        <v>0</v>
      </c>
      <c r="R4086" s="58">
        <v>0</v>
      </c>
      <c r="S4086" s="58">
        <v>0</v>
      </c>
      <c r="T4086" s="58">
        <v>0</v>
      </c>
      <c r="U4086" s="58">
        <v>0</v>
      </c>
      <c r="V4086" s="58">
        <v>0</v>
      </c>
      <c r="W4086" s="4">
        <v>0</v>
      </c>
    </row>
    <row r="4087" spans="1:23" x14ac:dyDescent="0.35">
      <c r="A4087">
        <v>4083</v>
      </c>
      <c r="B4087">
        <v>4084</v>
      </c>
      <c r="C4087">
        <v>146.0341755</v>
      </c>
      <c r="D4087">
        <v>-17.521625220000001</v>
      </c>
      <c r="F4087" t="str">
        <f>HYPERLINK("D:\Data From Lucan\2024\Johnstone\Frames_for_Analysis\4084_20240610_0005_L_2493.jpg","4084_20240610_0005_L_2493.jpg")</f>
        <v>4084_20240610_0005_L_2493.jpg</v>
      </c>
      <c r="G4087">
        <v>4</v>
      </c>
      <c r="I4087">
        <f t="shared" si="63"/>
        <v>1</v>
      </c>
      <c r="J4087" s="58">
        <v>1</v>
      </c>
      <c r="O4087">
        <v>1</v>
      </c>
      <c r="P4087" s="58">
        <v>0</v>
      </c>
      <c r="Q4087" s="58">
        <v>0</v>
      </c>
      <c r="R4087" s="58">
        <v>0</v>
      </c>
      <c r="S4087" s="58">
        <v>0</v>
      </c>
      <c r="T4087" s="58">
        <v>0</v>
      </c>
      <c r="U4087" s="58">
        <v>0</v>
      </c>
      <c r="V4087" s="58">
        <v>0</v>
      </c>
      <c r="W4087" s="4">
        <v>0</v>
      </c>
    </row>
    <row r="4088" spans="1:23" x14ac:dyDescent="0.35">
      <c r="A4088">
        <v>4084</v>
      </c>
      <c r="B4088">
        <v>4085</v>
      </c>
      <c r="C4088">
        <v>146.03423280000001</v>
      </c>
      <c r="D4088">
        <v>-17.521700060000001</v>
      </c>
      <c r="F4088" t="str">
        <f>HYPERLINK("D:\Data From Lucan\2024\Johnstone\Frames_for_Analysis\4085_20240610_0005_L_2497.jpg","4085_20240610_0005_L_2497.jpg")</f>
        <v>4085_20240610_0005_L_2497.jpg</v>
      </c>
      <c r="G4088">
        <v>4</v>
      </c>
      <c r="I4088">
        <f t="shared" si="63"/>
        <v>1</v>
      </c>
      <c r="J4088" s="58">
        <v>1</v>
      </c>
      <c r="O4088">
        <v>1</v>
      </c>
      <c r="P4088" s="58">
        <v>0</v>
      </c>
      <c r="Q4088" s="58">
        <v>0</v>
      </c>
      <c r="R4088" s="58">
        <v>0</v>
      </c>
      <c r="S4088" s="58">
        <v>0</v>
      </c>
      <c r="T4088" s="58">
        <v>0</v>
      </c>
      <c r="U4088" s="58">
        <v>0</v>
      </c>
      <c r="V4088" s="58">
        <v>0</v>
      </c>
      <c r="W4088" s="4">
        <v>0</v>
      </c>
    </row>
    <row r="4089" spans="1:23" x14ac:dyDescent="0.35">
      <c r="A4089">
        <v>4085</v>
      </c>
      <c r="B4089">
        <v>4086</v>
      </c>
      <c r="C4089">
        <v>146.03429019999999</v>
      </c>
      <c r="D4089">
        <v>-17.5217749</v>
      </c>
      <c r="F4089" t="str">
        <f>HYPERLINK("D:\Data From Lucan\2024\Johnstone\Frames_for_Analysis\4086_20240610_0005_L_2501.jpg","4086_20240610_0005_L_2501.jpg")</f>
        <v>4086_20240610_0005_L_2501.jpg</v>
      </c>
      <c r="G4089">
        <v>4</v>
      </c>
      <c r="I4089">
        <f t="shared" si="63"/>
        <v>1</v>
      </c>
      <c r="J4089" s="58">
        <v>1</v>
      </c>
      <c r="O4089">
        <v>1</v>
      </c>
      <c r="P4089" s="58">
        <v>0</v>
      </c>
      <c r="Q4089" s="58">
        <v>0</v>
      </c>
      <c r="R4089" s="58">
        <v>0</v>
      </c>
      <c r="S4089" s="58">
        <v>0</v>
      </c>
      <c r="T4089" s="58">
        <v>0</v>
      </c>
      <c r="U4089" s="58">
        <v>0</v>
      </c>
      <c r="V4089" s="58">
        <v>0</v>
      </c>
      <c r="W4089" s="4">
        <v>0</v>
      </c>
    </row>
    <row r="4090" spans="1:23" x14ac:dyDescent="0.35">
      <c r="A4090">
        <v>4086</v>
      </c>
      <c r="B4090">
        <v>4087</v>
      </c>
      <c r="C4090">
        <v>146.03434759999999</v>
      </c>
      <c r="D4090">
        <v>-17.52184973</v>
      </c>
      <c r="F4090" t="str">
        <f>HYPERLINK("D:\Data From Lucan\2024\Johnstone\Frames_for_Analysis\4087_20240610_0005_L_2505.jpg","4087_20240610_0005_L_2505.jpg")</f>
        <v>4087_20240610_0005_L_2505.jpg</v>
      </c>
      <c r="G4090">
        <v>4</v>
      </c>
      <c r="I4090">
        <f t="shared" si="63"/>
        <v>1</v>
      </c>
      <c r="J4090" s="58">
        <v>1</v>
      </c>
      <c r="O4090">
        <v>1</v>
      </c>
      <c r="P4090" s="58">
        <v>0</v>
      </c>
      <c r="Q4090" s="58">
        <v>0</v>
      </c>
      <c r="R4090" s="58">
        <v>0</v>
      </c>
      <c r="S4090" s="58">
        <v>0</v>
      </c>
      <c r="T4090" s="58">
        <v>0</v>
      </c>
      <c r="U4090" s="58">
        <v>0</v>
      </c>
      <c r="V4090" s="58">
        <v>0</v>
      </c>
      <c r="W4090" s="4">
        <v>0</v>
      </c>
    </row>
    <row r="4091" spans="1:23" x14ac:dyDescent="0.35">
      <c r="A4091">
        <v>4087</v>
      </c>
      <c r="B4091">
        <v>4088</v>
      </c>
      <c r="C4091">
        <v>146.03440499999999</v>
      </c>
      <c r="D4091">
        <v>-17.521924569999999</v>
      </c>
      <c r="F4091" t="str">
        <f>HYPERLINK("D:\Data From Lucan\2024\Johnstone\Frames_for_Analysis\4088_20240610_0005_L_2510.jpg","4088_20240610_0005_L_2510.jpg")</f>
        <v>4088_20240610_0005_L_2510.jpg</v>
      </c>
      <c r="G4091">
        <v>4</v>
      </c>
      <c r="I4091">
        <f t="shared" si="63"/>
        <v>1</v>
      </c>
      <c r="J4091" s="58">
        <v>1</v>
      </c>
      <c r="O4091">
        <v>1</v>
      </c>
      <c r="P4091" s="58">
        <v>0</v>
      </c>
      <c r="Q4091" s="58">
        <v>0</v>
      </c>
      <c r="R4091" s="58">
        <v>0</v>
      </c>
      <c r="S4091" s="58">
        <v>0</v>
      </c>
      <c r="T4091" s="58">
        <v>0</v>
      </c>
      <c r="U4091" s="58">
        <v>0</v>
      </c>
      <c r="V4091" s="58">
        <v>0</v>
      </c>
      <c r="W4091" s="4">
        <v>0</v>
      </c>
    </row>
    <row r="4092" spans="1:23" x14ac:dyDescent="0.35">
      <c r="A4092">
        <v>4088</v>
      </c>
      <c r="B4092">
        <v>4089</v>
      </c>
      <c r="C4092">
        <v>146.0344624</v>
      </c>
      <c r="D4092">
        <v>-17.521999409999999</v>
      </c>
      <c r="F4092" t="str">
        <f>HYPERLINK("D:\Data From Lucan\2024\Johnstone\Frames_for_Analysis\4089_20240610_0005_L_2514.jpg","4089_20240610_0005_L_2514.jpg")</f>
        <v>4089_20240610_0005_L_2514.jpg</v>
      </c>
      <c r="G4092">
        <v>4</v>
      </c>
      <c r="I4092">
        <f t="shared" si="63"/>
        <v>1</v>
      </c>
      <c r="J4092" s="58">
        <v>1</v>
      </c>
      <c r="O4092">
        <v>1</v>
      </c>
      <c r="P4092" s="58">
        <v>0</v>
      </c>
      <c r="Q4092" s="58">
        <v>0</v>
      </c>
      <c r="R4092" s="58">
        <v>0</v>
      </c>
      <c r="S4092" s="58">
        <v>0</v>
      </c>
      <c r="T4092" s="58">
        <v>0</v>
      </c>
      <c r="U4092" s="58">
        <v>0</v>
      </c>
      <c r="V4092" s="58">
        <v>0</v>
      </c>
      <c r="W4092" s="4">
        <v>0</v>
      </c>
    </row>
    <row r="4093" spans="1:23" x14ac:dyDescent="0.35">
      <c r="A4093">
        <v>4089</v>
      </c>
      <c r="B4093">
        <v>4090</v>
      </c>
      <c r="C4093">
        <v>146.0345197</v>
      </c>
      <c r="D4093">
        <v>-17.5220743</v>
      </c>
      <c r="F4093" t="str">
        <f>HYPERLINK("D:\Data From Lucan\2024\Johnstone\Frames_for_Analysis\4090_20240610_0005_L_2518.jpg","4090_20240610_0005_L_2518.jpg")</f>
        <v>4090_20240610_0005_L_2518.jpg</v>
      </c>
      <c r="G4093">
        <v>4</v>
      </c>
      <c r="I4093">
        <v>0</v>
      </c>
      <c r="J4093" s="58">
        <v>2</v>
      </c>
      <c r="O4093">
        <v>1</v>
      </c>
      <c r="P4093" s="58">
        <v>0</v>
      </c>
      <c r="Q4093" s="58">
        <v>0</v>
      </c>
      <c r="R4093" s="58">
        <v>0</v>
      </c>
      <c r="S4093" s="58">
        <v>0</v>
      </c>
      <c r="T4093" s="58">
        <v>0</v>
      </c>
      <c r="U4093" s="58">
        <v>0</v>
      </c>
      <c r="V4093" s="58">
        <v>0</v>
      </c>
      <c r="W4093" s="4">
        <v>0</v>
      </c>
    </row>
    <row r="4094" spans="1:23" x14ac:dyDescent="0.35">
      <c r="A4094">
        <v>4090</v>
      </c>
      <c r="B4094">
        <v>4091</v>
      </c>
      <c r="C4094">
        <v>146.03457589999999</v>
      </c>
      <c r="D4094">
        <v>-17.522149979999998</v>
      </c>
      <c r="F4094" t="str">
        <f>HYPERLINK("D:\Data From Lucan\2024\Johnstone\Frames_for_Analysis\4091_20240610_0005_L_2522.jpg","4091_20240610_0005_L_2522.jpg")</f>
        <v>4091_20240610_0005_L_2522.jpg</v>
      </c>
      <c r="G4094">
        <v>4</v>
      </c>
      <c r="I4094">
        <f t="shared" si="63"/>
        <v>1</v>
      </c>
      <c r="J4094" s="58">
        <v>1</v>
      </c>
      <c r="O4094">
        <v>1</v>
      </c>
      <c r="P4094" s="58">
        <v>0</v>
      </c>
      <c r="Q4094" s="58">
        <v>0</v>
      </c>
      <c r="R4094" s="58">
        <v>0</v>
      </c>
      <c r="S4094" s="58">
        <v>0</v>
      </c>
      <c r="T4094" s="58">
        <v>0</v>
      </c>
      <c r="U4094" s="58">
        <v>0</v>
      </c>
      <c r="V4094" s="58">
        <v>0</v>
      </c>
      <c r="W4094" s="4">
        <v>0</v>
      </c>
    </row>
    <row r="4095" spans="1:23" x14ac:dyDescent="0.35">
      <c r="A4095">
        <v>4091</v>
      </c>
      <c r="B4095">
        <v>4092</v>
      </c>
      <c r="C4095">
        <v>146.0346322</v>
      </c>
      <c r="D4095">
        <v>-17.52222566</v>
      </c>
      <c r="F4095" t="str">
        <f>HYPERLINK("D:\Data From Lucan\2024\Johnstone\Frames_for_Analysis\4092_20240610_0005_L_2527.jpg","4092_20240610_0005_L_2527.jpg")</f>
        <v>4092_20240610_0005_L_2527.jpg</v>
      </c>
      <c r="G4095">
        <v>4</v>
      </c>
      <c r="I4095">
        <f t="shared" si="63"/>
        <v>1</v>
      </c>
      <c r="J4095" s="58">
        <v>1</v>
      </c>
      <c r="O4095">
        <v>1</v>
      </c>
      <c r="P4095" s="58">
        <v>0</v>
      </c>
      <c r="Q4095" s="58">
        <v>0</v>
      </c>
      <c r="R4095" s="58">
        <v>0</v>
      </c>
      <c r="S4095" s="58">
        <v>0</v>
      </c>
      <c r="T4095" s="58">
        <v>0</v>
      </c>
      <c r="U4095" s="58">
        <v>0</v>
      </c>
      <c r="V4095" s="58">
        <v>0</v>
      </c>
      <c r="W4095" s="4">
        <v>0</v>
      </c>
    </row>
    <row r="4096" spans="1:23" x14ac:dyDescent="0.35">
      <c r="A4096">
        <v>4092</v>
      </c>
      <c r="B4096">
        <v>4093</v>
      </c>
      <c r="C4096">
        <v>146.03468849999999</v>
      </c>
      <c r="D4096">
        <v>-17.522301339999999</v>
      </c>
      <c r="F4096" t="str">
        <f>HYPERLINK("D:\Data From Lucan\2024\Johnstone\Frames_for_Analysis\4093_20240610_0005_L_2532.jpg","4093_20240610_0005_L_2532.jpg")</f>
        <v>4093_20240610_0005_L_2532.jpg</v>
      </c>
      <c r="G4096">
        <v>4</v>
      </c>
      <c r="I4096">
        <f t="shared" si="63"/>
        <v>1</v>
      </c>
      <c r="J4096" s="58">
        <v>1</v>
      </c>
      <c r="O4096">
        <v>1</v>
      </c>
      <c r="P4096" s="58">
        <v>0</v>
      </c>
      <c r="Q4096" s="58">
        <v>0</v>
      </c>
      <c r="R4096" s="58">
        <v>0</v>
      </c>
      <c r="S4096" s="58">
        <v>0</v>
      </c>
      <c r="T4096" s="58">
        <v>0</v>
      </c>
      <c r="U4096" s="58">
        <v>0</v>
      </c>
      <c r="V4096" s="58">
        <v>0</v>
      </c>
      <c r="W4096" s="4">
        <v>0</v>
      </c>
    </row>
    <row r="4097" spans="1:23" x14ac:dyDescent="0.35">
      <c r="A4097">
        <v>4093</v>
      </c>
      <c r="B4097">
        <v>4094</v>
      </c>
      <c r="C4097">
        <v>146.0347447</v>
      </c>
      <c r="D4097">
        <v>-17.52237702</v>
      </c>
      <c r="F4097" t="str">
        <f>HYPERLINK("D:\Data From Lucan\2024\Johnstone\Frames_for_Analysis\4094_20240610_0005_L_2535.jpg","4094_20240610_0005_L_2535.jpg")</f>
        <v>4094_20240610_0005_L_2535.jpg</v>
      </c>
      <c r="G4097">
        <v>4</v>
      </c>
      <c r="I4097">
        <f t="shared" si="63"/>
        <v>1</v>
      </c>
      <c r="J4097" s="58">
        <v>1</v>
      </c>
      <c r="O4097">
        <v>1</v>
      </c>
      <c r="P4097" s="58">
        <v>0</v>
      </c>
      <c r="Q4097" s="58">
        <v>0</v>
      </c>
      <c r="R4097" s="58">
        <v>0</v>
      </c>
      <c r="S4097" s="58">
        <v>0</v>
      </c>
      <c r="T4097" s="58">
        <v>0</v>
      </c>
      <c r="U4097" s="58">
        <v>0</v>
      </c>
      <c r="V4097" s="58">
        <v>0</v>
      </c>
      <c r="W4097" s="4">
        <v>0</v>
      </c>
    </row>
    <row r="4098" spans="1:23" x14ac:dyDescent="0.35">
      <c r="A4098">
        <v>4094</v>
      </c>
      <c r="B4098">
        <v>4095</v>
      </c>
      <c r="C4098">
        <v>146.03480490000001</v>
      </c>
      <c r="D4098">
        <v>-17.522449529999999</v>
      </c>
      <c r="F4098" t="str">
        <f>HYPERLINK("D:\Data From Lucan\2024\Johnstone\Frames_for_Analysis\4095_20240610_0005_L_2539.jpg","4095_20240610_0005_L_2539.jpg")</f>
        <v>4095_20240610_0005_L_2539.jpg</v>
      </c>
      <c r="G4098">
        <v>4</v>
      </c>
      <c r="I4098">
        <f t="shared" si="63"/>
        <v>1</v>
      </c>
      <c r="J4098" s="58">
        <v>1</v>
      </c>
      <c r="O4098">
        <v>1</v>
      </c>
      <c r="P4098" s="58">
        <v>0</v>
      </c>
      <c r="Q4098" s="58">
        <v>0</v>
      </c>
      <c r="R4098" s="58">
        <v>2</v>
      </c>
      <c r="S4098" s="58">
        <v>0</v>
      </c>
      <c r="T4098" s="58">
        <v>0</v>
      </c>
      <c r="U4098" s="58">
        <v>0</v>
      </c>
      <c r="V4098" s="58">
        <v>0</v>
      </c>
      <c r="W4098" s="4">
        <v>0</v>
      </c>
    </row>
    <row r="4099" spans="1:23" x14ac:dyDescent="0.35">
      <c r="A4099">
        <v>4095</v>
      </c>
      <c r="B4099">
        <v>4096</v>
      </c>
      <c r="C4099">
        <v>146.0348674</v>
      </c>
      <c r="D4099">
        <v>-17.522520109999999</v>
      </c>
      <c r="F4099" t="str">
        <f>HYPERLINK("D:\Data From Lucan\2024\Johnstone\Frames_for_Analysis\4096_20240610_0005_L_2544.jpg","4096_20240610_0005_L_2544.jpg")</f>
        <v>4096_20240610_0005_L_2544.jpg</v>
      </c>
      <c r="G4099">
        <v>4</v>
      </c>
      <c r="I4099">
        <f t="shared" si="63"/>
        <v>1</v>
      </c>
      <c r="J4099" s="58">
        <v>1</v>
      </c>
      <c r="O4099">
        <v>1</v>
      </c>
      <c r="P4099" s="58">
        <v>0</v>
      </c>
      <c r="Q4099" s="58">
        <v>0</v>
      </c>
      <c r="R4099" s="58">
        <v>0</v>
      </c>
      <c r="S4099" s="58">
        <v>0</v>
      </c>
      <c r="T4099" s="58">
        <v>0</v>
      </c>
      <c r="U4099" s="58">
        <v>0</v>
      </c>
      <c r="V4099" s="58">
        <v>0</v>
      </c>
      <c r="W4099" s="4">
        <v>0</v>
      </c>
    </row>
    <row r="4100" spans="1:23" x14ac:dyDescent="0.35">
      <c r="A4100">
        <v>4096</v>
      </c>
      <c r="B4100">
        <v>4097</v>
      </c>
      <c r="C4100">
        <v>146.03493</v>
      </c>
      <c r="D4100">
        <v>-17.522590699999999</v>
      </c>
      <c r="F4100" t="str">
        <f>HYPERLINK("D:\Data From Lucan\2024\Johnstone\Frames_for_Analysis\4097_20240610_0005_L_2547.jpg","4097_20240610_0005_L_2547.jpg")</f>
        <v>4097_20240610_0005_L_2547.jpg</v>
      </c>
      <c r="G4100">
        <v>4</v>
      </c>
      <c r="I4100">
        <f t="shared" si="63"/>
        <v>1</v>
      </c>
      <c r="J4100" s="58">
        <v>1</v>
      </c>
      <c r="O4100">
        <v>1</v>
      </c>
      <c r="P4100" s="58">
        <v>0</v>
      </c>
      <c r="Q4100" s="58">
        <v>0</v>
      </c>
      <c r="R4100" s="58">
        <v>0</v>
      </c>
      <c r="S4100" s="58">
        <v>0</v>
      </c>
      <c r="T4100" s="58">
        <v>0</v>
      </c>
      <c r="U4100" s="58">
        <v>0</v>
      </c>
      <c r="V4100" s="58">
        <v>0</v>
      </c>
      <c r="W4100" s="4">
        <v>0</v>
      </c>
    </row>
    <row r="4101" spans="1:23" x14ac:dyDescent="0.35">
      <c r="A4101">
        <v>4097</v>
      </c>
      <c r="B4101">
        <v>4098</v>
      </c>
      <c r="C4101">
        <v>146.03499629999999</v>
      </c>
      <c r="D4101">
        <v>-17.522657339999999</v>
      </c>
      <c r="F4101" t="str">
        <f>HYPERLINK("D:\Data From Lucan\2024\Johnstone\Frames_for_Analysis\4098_20240610_0005_L_2550.jpg","4098_20240610_0005_L_2550.jpg")</f>
        <v>4098_20240610_0005_L_2550.jpg</v>
      </c>
      <c r="G4101">
        <v>4</v>
      </c>
      <c r="I4101">
        <f t="shared" ref="I4101:I4164" si="64">IF(H4101="X","X",IF(J4101="NA","X",IF(J4101="","X",J4101)))</f>
        <v>1</v>
      </c>
      <c r="J4101" s="58">
        <v>1</v>
      </c>
      <c r="O4101">
        <v>1</v>
      </c>
      <c r="P4101" s="58">
        <v>0</v>
      </c>
      <c r="Q4101" s="58">
        <v>0</v>
      </c>
      <c r="R4101" s="58">
        <v>0</v>
      </c>
      <c r="S4101" s="58">
        <v>0</v>
      </c>
      <c r="T4101" s="58">
        <v>0</v>
      </c>
      <c r="U4101" s="58">
        <v>0</v>
      </c>
      <c r="V4101" s="58">
        <v>0</v>
      </c>
      <c r="W4101" s="4">
        <v>0</v>
      </c>
    </row>
    <row r="4102" spans="1:23" x14ac:dyDescent="0.35">
      <c r="A4102">
        <v>4098</v>
      </c>
      <c r="B4102">
        <v>4099</v>
      </c>
      <c r="C4102">
        <v>146.03506909999999</v>
      </c>
      <c r="D4102">
        <v>-17.522717239999999</v>
      </c>
      <c r="F4102" t="str">
        <f>HYPERLINK("D:\Data From Lucan\2024\Johnstone\Frames_for_Analysis\4099_20240610_0005_L_2554.jpg","4099_20240610_0005_L_2554.jpg")</f>
        <v>4099_20240610_0005_L_2554.jpg</v>
      </c>
      <c r="G4102">
        <v>4</v>
      </c>
      <c r="I4102">
        <f t="shared" si="64"/>
        <v>1</v>
      </c>
      <c r="J4102" s="58">
        <v>1</v>
      </c>
      <c r="O4102">
        <v>1</v>
      </c>
      <c r="P4102" s="58">
        <v>0</v>
      </c>
      <c r="Q4102" s="58">
        <v>0</v>
      </c>
      <c r="R4102" s="58">
        <v>0</v>
      </c>
      <c r="S4102" s="58">
        <v>0</v>
      </c>
      <c r="T4102" s="58">
        <v>0</v>
      </c>
      <c r="U4102" s="58">
        <v>0</v>
      </c>
      <c r="V4102" s="58">
        <v>0</v>
      </c>
      <c r="W4102" s="4">
        <v>0</v>
      </c>
    </row>
    <row r="4103" spans="1:23" x14ac:dyDescent="0.35">
      <c r="A4103">
        <v>4099</v>
      </c>
      <c r="B4103">
        <v>4100</v>
      </c>
      <c r="C4103">
        <v>146.03514200000001</v>
      </c>
      <c r="D4103">
        <v>-17.522777139999999</v>
      </c>
      <c r="F4103" t="str">
        <f>HYPERLINK("D:\Data From Lucan\2024\Johnstone\Frames_for_Analysis\4100_20240610_0005_L_2559.jpg","4100_20240610_0005_L_2559.jpg")</f>
        <v>4100_20240610_0005_L_2559.jpg</v>
      </c>
      <c r="G4103">
        <v>4</v>
      </c>
      <c r="I4103">
        <f t="shared" si="64"/>
        <v>1</v>
      </c>
      <c r="J4103" s="58">
        <v>1</v>
      </c>
      <c r="O4103">
        <v>1</v>
      </c>
      <c r="P4103" s="58">
        <v>0</v>
      </c>
      <c r="Q4103" s="58">
        <v>0</v>
      </c>
      <c r="R4103" s="58">
        <v>0</v>
      </c>
      <c r="S4103" s="58">
        <v>0</v>
      </c>
      <c r="T4103" s="58">
        <v>0</v>
      </c>
      <c r="U4103" s="58">
        <v>0</v>
      </c>
      <c r="V4103" s="58">
        <v>0</v>
      </c>
      <c r="W4103" s="4">
        <v>0</v>
      </c>
    </row>
    <row r="4104" spans="1:23" x14ac:dyDescent="0.35">
      <c r="A4104">
        <v>4100</v>
      </c>
      <c r="B4104">
        <v>4101</v>
      </c>
      <c r="C4104">
        <v>146.03521480000001</v>
      </c>
      <c r="D4104">
        <v>-17.522837039999999</v>
      </c>
      <c r="F4104" t="str">
        <f>HYPERLINK("D:\Data From Lucan\2024\Johnstone\Frames_for_Analysis\4101_20240610_0005_L_2569.jpg","4101_20240610_0005_L_2569.jpg")</f>
        <v>4101_20240610_0005_L_2569.jpg</v>
      </c>
      <c r="G4104">
        <v>4</v>
      </c>
      <c r="I4104">
        <f t="shared" si="64"/>
        <v>1</v>
      </c>
      <c r="J4104" s="58">
        <v>1</v>
      </c>
      <c r="O4104">
        <v>1</v>
      </c>
      <c r="P4104" s="58">
        <v>0</v>
      </c>
      <c r="Q4104" s="58">
        <v>0</v>
      </c>
      <c r="R4104" s="58">
        <v>0</v>
      </c>
      <c r="S4104" s="58">
        <v>0</v>
      </c>
      <c r="T4104" s="58">
        <v>0</v>
      </c>
      <c r="U4104" s="58">
        <v>0</v>
      </c>
      <c r="V4104" s="58">
        <v>0</v>
      </c>
      <c r="W4104" s="4">
        <v>0</v>
      </c>
    </row>
    <row r="4105" spans="1:23" x14ac:dyDescent="0.35">
      <c r="A4105">
        <v>4101</v>
      </c>
      <c r="B4105">
        <v>4102</v>
      </c>
      <c r="C4105">
        <v>146.0352877</v>
      </c>
      <c r="D4105">
        <v>-17.522896939999999</v>
      </c>
      <c r="F4105" t="str">
        <f>HYPERLINK("D:\Data From Lucan\2024\Johnstone\Frames_for_Analysis\4102_20240610_0005_L_2576.jpg","4102_20240610_0005_L_2576.jpg")</f>
        <v>4102_20240610_0005_L_2576.jpg</v>
      </c>
      <c r="G4105">
        <v>4</v>
      </c>
      <c r="I4105">
        <f t="shared" si="64"/>
        <v>1</v>
      </c>
      <c r="J4105" s="58">
        <v>1</v>
      </c>
      <c r="O4105">
        <v>1</v>
      </c>
      <c r="P4105" s="58">
        <v>0</v>
      </c>
      <c r="Q4105" s="58">
        <v>0</v>
      </c>
      <c r="R4105" s="58">
        <v>0</v>
      </c>
      <c r="S4105" s="58">
        <v>0</v>
      </c>
      <c r="T4105" s="58">
        <v>0</v>
      </c>
      <c r="U4105" s="58">
        <v>0</v>
      </c>
      <c r="V4105" s="58">
        <v>0</v>
      </c>
      <c r="W4105" s="4">
        <v>0</v>
      </c>
    </row>
    <row r="4106" spans="1:23" x14ac:dyDescent="0.35">
      <c r="A4106">
        <v>4102</v>
      </c>
      <c r="B4106">
        <v>4103</v>
      </c>
      <c r="C4106">
        <v>146.0353605</v>
      </c>
      <c r="D4106">
        <v>-17.522956839999999</v>
      </c>
      <c r="F4106" t="str">
        <f>HYPERLINK("D:\Data From Lucan\2024\Johnstone\Frames_for_Analysis\4103_20240610_0005_L_2580.jpg","4103_20240610_0005_L_2580.jpg")</f>
        <v>4103_20240610_0005_L_2580.jpg</v>
      </c>
      <c r="G4106">
        <v>4</v>
      </c>
      <c r="I4106">
        <f t="shared" si="64"/>
        <v>1</v>
      </c>
      <c r="J4106" s="58">
        <v>1</v>
      </c>
      <c r="O4106">
        <v>1</v>
      </c>
      <c r="P4106" s="58">
        <v>0</v>
      </c>
      <c r="Q4106" s="58">
        <v>0</v>
      </c>
      <c r="R4106" s="58">
        <v>0</v>
      </c>
      <c r="S4106" s="58">
        <v>0</v>
      </c>
      <c r="T4106" s="58">
        <v>0</v>
      </c>
      <c r="U4106" s="58">
        <v>0</v>
      </c>
      <c r="V4106" s="58">
        <v>0</v>
      </c>
      <c r="W4106" s="4">
        <v>0</v>
      </c>
    </row>
    <row r="4107" spans="1:23" x14ac:dyDescent="0.35">
      <c r="A4107">
        <v>4103</v>
      </c>
      <c r="B4107">
        <v>4104</v>
      </c>
      <c r="C4107">
        <v>146.0354466</v>
      </c>
      <c r="D4107">
        <v>-17.522995210000001</v>
      </c>
      <c r="F4107" t="str">
        <f>HYPERLINK("D:\Data From Lucan\2024\Johnstone\Frames_for_Analysis\4104_20240610_0005_L_2585.jpg","4104_20240610_0005_L_2585.jpg")</f>
        <v>4104_20240610_0005_L_2585.jpg</v>
      </c>
      <c r="G4107">
        <v>4</v>
      </c>
      <c r="I4107">
        <f t="shared" si="64"/>
        <v>1</v>
      </c>
      <c r="J4107" s="58">
        <v>1</v>
      </c>
      <c r="O4107">
        <v>1</v>
      </c>
      <c r="P4107" s="58">
        <v>0</v>
      </c>
      <c r="Q4107" s="58">
        <v>0</v>
      </c>
      <c r="R4107" s="58">
        <v>0</v>
      </c>
      <c r="S4107" s="58">
        <v>0</v>
      </c>
      <c r="T4107" s="58">
        <v>0</v>
      </c>
      <c r="U4107" s="58">
        <v>0</v>
      </c>
      <c r="V4107" s="58">
        <v>0</v>
      </c>
      <c r="W4107" s="4">
        <v>0</v>
      </c>
    </row>
    <row r="4108" spans="1:23" x14ac:dyDescent="0.35">
      <c r="A4108">
        <v>4104</v>
      </c>
      <c r="B4108">
        <v>4105</v>
      </c>
      <c r="C4108">
        <v>146.0355328</v>
      </c>
      <c r="D4108">
        <v>-17.523033399999999</v>
      </c>
      <c r="F4108" t="str">
        <f>HYPERLINK("D:\Data From Lucan\2024\Johnstone\Frames_for_Analysis\4105_20240610_0005_L_2588.jpg","4105_20240610_0005_L_2588.jpg")</f>
        <v>4105_20240610_0005_L_2588.jpg</v>
      </c>
      <c r="G4108">
        <v>4</v>
      </c>
      <c r="I4108">
        <f t="shared" si="64"/>
        <v>1</v>
      </c>
      <c r="J4108" s="58">
        <v>1</v>
      </c>
      <c r="O4108">
        <v>1</v>
      </c>
      <c r="P4108" s="58">
        <v>0</v>
      </c>
      <c r="Q4108" s="58">
        <v>0</v>
      </c>
      <c r="R4108" s="58">
        <v>0</v>
      </c>
      <c r="S4108" s="58">
        <v>0</v>
      </c>
      <c r="T4108" s="58">
        <v>0</v>
      </c>
      <c r="U4108" s="58">
        <v>0</v>
      </c>
      <c r="V4108" s="58">
        <v>0</v>
      </c>
      <c r="W4108" s="4">
        <v>0</v>
      </c>
    </row>
    <row r="4109" spans="1:23" x14ac:dyDescent="0.35">
      <c r="A4109">
        <v>4105</v>
      </c>
      <c r="B4109">
        <v>4106</v>
      </c>
      <c r="C4109">
        <v>146.03561909999999</v>
      </c>
      <c r="D4109">
        <v>-17.523071590000001</v>
      </c>
      <c r="F4109" t="str">
        <f>HYPERLINK("D:\Data From Lucan\2024\Johnstone\Frames_for_Analysis\4106_20240610_0005_L_2592.jpg","4106_20240610_0005_L_2592.jpg")</f>
        <v>4106_20240610_0005_L_2592.jpg</v>
      </c>
      <c r="G4109">
        <v>4</v>
      </c>
      <c r="I4109">
        <f t="shared" si="64"/>
        <v>1</v>
      </c>
      <c r="J4109" s="58">
        <v>1</v>
      </c>
      <c r="O4109">
        <v>1</v>
      </c>
      <c r="P4109" s="58">
        <v>0</v>
      </c>
      <c r="Q4109" s="58">
        <v>0</v>
      </c>
      <c r="R4109" s="58">
        <v>0</v>
      </c>
      <c r="S4109" s="58">
        <v>0</v>
      </c>
      <c r="T4109" s="58">
        <v>0</v>
      </c>
      <c r="U4109" s="58">
        <v>0</v>
      </c>
      <c r="V4109" s="58">
        <v>0</v>
      </c>
      <c r="W4109" s="4">
        <v>0</v>
      </c>
    </row>
    <row r="4110" spans="1:23" x14ac:dyDescent="0.35">
      <c r="A4110">
        <v>4106</v>
      </c>
      <c r="B4110">
        <v>4107</v>
      </c>
      <c r="C4110">
        <v>146.03570339999999</v>
      </c>
      <c r="D4110">
        <v>-17.5231134</v>
      </c>
      <c r="F4110" t="str">
        <f>HYPERLINK("D:\Data From Lucan\2024\Johnstone\Frames_for_Analysis\4107_20240610_0005_L_2597.jpg","4107_20240610_0005_L_2597.jpg")</f>
        <v>4107_20240610_0005_L_2597.jpg</v>
      </c>
      <c r="G4110">
        <v>3</v>
      </c>
      <c r="I4110">
        <f t="shared" si="64"/>
        <v>1</v>
      </c>
      <c r="J4110" s="58">
        <v>1</v>
      </c>
      <c r="O4110">
        <v>1</v>
      </c>
      <c r="P4110" s="58">
        <v>0</v>
      </c>
      <c r="Q4110" s="58">
        <v>0</v>
      </c>
      <c r="R4110" s="58">
        <v>0</v>
      </c>
      <c r="S4110" s="58">
        <v>0</v>
      </c>
      <c r="T4110" s="58">
        <v>0</v>
      </c>
      <c r="U4110" s="58">
        <v>0</v>
      </c>
      <c r="V4110" s="58">
        <v>0</v>
      </c>
      <c r="W4110" s="4">
        <v>0</v>
      </c>
    </row>
    <row r="4111" spans="1:23" x14ac:dyDescent="0.35">
      <c r="A4111">
        <v>4107</v>
      </c>
      <c r="B4111">
        <v>4108</v>
      </c>
      <c r="C4111">
        <v>146.03578429999999</v>
      </c>
      <c r="D4111">
        <v>-17.523161900000002</v>
      </c>
      <c r="F4111" t="str">
        <f>HYPERLINK("D:\Data From Lucan\2024\Johnstone\Frames_for_Analysis\4108_20240610_0005_L_2601.jpg","4108_20240610_0005_L_2601.jpg")</f>
        <v>4108_20240610_0005_L_2601.jpg</v>
      </c>
      <c r="G4111">
        <v>3</v>
      </c>
      <c r="I4111">
        <f t="shared" si="64"/>
        <v>1</v>
      </c>
      <c r="J4111" s="58">
        <v>1</v>
      </c>
      <c r="O4111">
        <v>1</v>
      </c>
      <c r="P4111" s="58">
        <v>0</v>
      </c>
      <c r="Q4111" s="58">
        <v>0</v>
      </c>
      <c r="R4111" s="58">
        <v>0</v>
      </c>
      <c r="S4111" s="58">
        <v>0</v>
      </c>
      <c r="T4111" s="58">
        <v>0</v>
      </c>
      <c r="U4111" s="58">
        <v>0</v>
      </c>
      <c r="V4111" s="58">
        <v>0</v>
      </c>
      <c r="W4111" s="4">
        <v>0</v>
      </c>
    </row>
    <row r="4112" spans="1:23" x14ac:dyDescent="0.35">
      <c r="A4112">
        <v>4108</v>
      </c>
      <c r="B4112">
        <v>4109</v>
      </c>
      <c r="C4112">
        <v>146.03586250000001</v>
      </c>
      <c r="D4112">
        <v>-17.523214459999998</v>
      </c>
      <c r="F4112" t="str">
        <f>HYPERLINK("D:\Data From Lucan\2024\Johnstone\Frames_for_Analysis\4109_20240610_0005_L_2604.jpg","4109_20240610_0005_L_2604.jpg")</f>
        <v>4109_20240610_0005_L_2604.jpg</v>
      </c>
      <c r="G4112">
        <v>3</v>
      </c>
      <c r="I4112">
        <f t="shared" si="64"/>
        <v>1</v>
      </c>
      <c r="J4112" s="58">
        <v>1</v>
      </c>
      <c r="O4112">
        <v>1</v>
      </c>
      <c r="P4112" s="58">
        <v>0</v>
      </c>
      <c r="Q4112" s="58">
        <v>0</v>
      </c>
      <c r="R4112" s="58">
        <v>0</v>
      </c>
      <c r="S4112" s="58">
        <v>0</v>
      </c>
      <c r="T4112" s="58">
        <v>0</v>
      </c>
      <c r="U4112" s="58">
        <v>0</v>
      </c>
      <c r="V4112" s="58">
        <v>0</v>
      </c>
      <c r="W4112" s="4">
        <v>0</v>
      </c>
    </row>
    <row r="4113" spans="1:23" x14ac:dyDescent="0.35">
      <c r="A4113">
        <v>4109</v>
      </c>
      <c r="B4113">
        <v>4110</v>
      </c>
      <c r="C4113">
        <v>146.03593889999999</v>
      </c>
      <c r="D4113">
        <v>-17.52326965</v>
      </c>
      <c r="F4113" t="str">
        <f>HYPERLINK("D:\Data From Lucan\2024\Johnstone\Frames_for_Analysis\4110_20240610_0005_L_2607.jpg","4110_20240610_0005_L_2607.jpg")</f>
        <v>4110_20240610_0005_L_2607.jpg</v>
      </c>
      <c r="G4113">
        <v>3</v>
      </c>
      <c r="I4113">
        <f t="shared" si="64"/>
        <v>1</v>
      </c>
      <c r="J4113" s="58">
        <v>1</v>
      </c>
      <c r="O4113">
        <v>1</v>
      </c>
      <c r="P4113" s="58">
        <v>0</v>
      </c>
      <c r="Q4113" s="58">
        <v>0</v>
      </c>
      <c r="R4113" s="58">
        <v>0</v>
      </c>
      <c r="S4113" s="58">
        <v>0</v>
      </c>
      <c r="T4113" s="58">
        <v>0</v>
      </c>
      <c r="U4113" s="58">
        <v>0</v>
      </c>
      <c r="V4113" s="58">
        <v>0</v>
      </c>
      <c r="W4113" s="4">
        <v>0</v>
      </c>
    </row>
    <row r="4114" spans="1:23" x14ac:dyDescent="0.35">
      <c r="A4114">
        <v>4110</v>
      </c>
      <c r="B4114">
        <v>4111</v>
      </c>
      <c r="C4114">
        <v>146.0360154</v>
      </c>
      <c r="D4114">
        <v>-17.523324850000002</v>
      </c>
      <c r="F4114" t="str">
        <f>HYPERLINK("D:\Data From Lucan\2024\Johnstone\Frames_for_Analysis\4111_20240610_0005_L_2611.jpg","4111_20240610_0005_L_2611.jpg")</f>
        <v>4111_20240610_0005_L_2611.jpg</v>
      </c>
      <c r="G4114">
        <v>3</v>
      </c>
      <c r="I4114">
        <f t="shared" si="64"/>
        <v>1</v>
      </c>
      <c r="J4114" s="58">
        <v>1</v>
      </c>
      <c r="O4114">
        <v>1</v>
      </c>
      <c r="P4114" s="58">
        <v>0</v>
      </c>
      <c r="Q4114" s="58">
        <v>0</v>
      </c>
      <c r="R4114" s="58">
        <v>0</v>
      </c>
      <c r="S4114" s="58">
        <v>0</v>
      </c>
      <c r="T4114" s="58">
        <v>0</v>
      </c>
      <c r="U4114" s="58">
        <v>0</v>
      </c>
      <c r="V4114" s="58">
        <v>0</v>
      </c>
      <c r="W4114" s="4">
        <v>0</v>
      </c>
    </row>
    <row r="4115" spans="1:23" x14ac:dyDescent="0.35">
      <c r="A4115">
        <v>4111</v>
      </c>
      <c r="B4115">
        <v>4112</v>
      </c>
      <c r="C4115">
        <v>146.0360919</v>
      </c>
      <c r="D4115">
        <v>-17.52338005</v>
      </c>
      <c r="F4115" t="str">
        <f>HYPERLINK("D:\Data From Lucan\2024\Johnstone\Frames_for_Analysis\4112_20240610_0005_L_2614.jpg","4112_20240610_0005_L_2614.jpg")</f>
        <v>4112_20240610_0005_L_2614.jpg</v>
      </c>
      <c r="G4115">
        <v>3</v>
      </c>
      <c r="I4115">
        <f t="shared" si="64"/>
        <v>1</v>
      </c>
      <c r="J4115" s="58">
        <v>1</v>
      </c>
      <c r="O4115">
        <v>1</v>
      </c>
      <c r="P4115" s="58">
        <v>0</v>
      </c>
      <c r="Q4115" s="58">
        <v>0</v>
      </c>
      <c r="R4115" s="58">
        <v>0</v>
      </c>
      <c r="S4115" s="58">
        <v>0</v>
      </c>
      <c r="T4115" s="58">
        <v>0</v>
      </c>
      <c r="U4115" s="58">
        <v>0</v>
      </c>
      <c r="V4115" s="58">
        <v>0</v>
      </c>
      <c r="W4115" s="4">
        <v>0</v>
      </c>
    </row>
    <row r="4116" spans="1:23" x14ac:dyDescent="0.35">
      <c r="A4116">
        <v>4112</v>
      </c>
      <c r="B4116">
        <v>4113</v>
      </c>
      <c r="C4116">
        <v>146.03617299999999</v>
      </c>
      <c r="D4116">
        <v>-17.523427810000001</v>
      </c>
      <c r="F4116" t="str">
        <f>HYPERLINK("D:\Data From Lucan\2024\Johnstone\Frames_for_Analysis\4113_20240610_0005_L_2617.jpg","4113_20240610_0005_L_2617.jpg")</f>
        <v>4113_20240610_0005_L_2617.jpg</v>
      </c>
      <c r="G4116">
        <v>3</v>
      </c>
      <c r="I4116">
        <f t="shared" si="64"/>
        <v>1</v>
      </c>
      <c r="J4116" s="58">
        <v>1</v>
      </c>
      <c r="O4116">
        <v>1</v>
      </c>
      <c r="P4116" s="58">
        <v>0</v>
      </c>
      <c r="Q4116" s="58">
        <v>0</v>
      </c>
      <c r="R4116" s="58">
        <v>0</v>
      </c>
      <c r="S4116" s="58">
        <v>0</v>
      </c>
      <c r="T4116" s="58">
        <v>0</v>
      </c>
      <c r="U4116" s="58">
        <v>0</v>
      </c>
      <c r="V4116" s="58">
        <v>0</v>
      </c>
      <c r="W4116" s="4">
        <v>0</v>
      </c>
    </row>
    <row r="4117" spans="1:23" x14ac:dyDescent="0.35">
      <c r="A4117">
        <v>4113</v>
      </c>
      <c r="B4117">
        <v>4114</v>
      </c>
      <c r="C4117">
        <v>146.03625600000001</v>
      </c>
      <c r="D4117">
        <v>-17.523472569999999</v>
      </c>
      <c r="F4117" t="str">
        <f>HYPERLINK("D:\Data From Lucan\2024\Johnstone\Frames_for_Analysis\4114_20240610_0005_L_2622.jpg","4114_20240610_0005_L_2622.jpg")</f>
        <v>4114_20240610_0005_L_2622.jpg</v>
      </c>
      <c r="G4117">
        <v>3</v>
      </c>
      <c r="I4117">
        <f t="shared" si="64"/>
        <v>1</v>
      </c>
      <c r="J4117" s="58">
        <v>1</v>
      </c>
      <c r="O4117">
        <v>1</v>
      </c>
      <c r="P4117" s="58">
        <v>0</v>
      </c>
      <c r="Q4117" s="58">
        <v>0</v>
      </c>
      <c r="R4117" s="58">
        <v>0</v>
      </c>
      <c r="S4117" s="58">
        <v>0</v>
      </c>
      <c r="T4117" s="58">
        <v>0</v>
      </c>
      <c r="U4117" s="58">
        <v>0</v>
      </c>
      <c r="V4117" s="58">
        <v>0</v>
      </c>
      <c r="W4117" s="4">
        <v>0</v>
      </c>
    </row>
    <row r="4118" spans="1:23" x14ac:dyDescent="0.35">
      <c r="A4118">
        <v>4114</v>
      </c>
      <c r="B4118">
        <v>4115</v>
      </c>
      <c r="C4118">
        <v>146.036339</v>
      </c>
      <c r="D4118">
        <v>-17.52351732</v>
      </c>
      <c r="F4118" t="str">
        <f>HYPERLINK("D:\Data From Lucan\2024\Johnstone\Frames_for_Analysis\4115_20240610_0005_L_2626.jpg","4115_20240610_0005_L_2626.jpg")</f>
        <v>4115_20240610_0005_L_2626.jpg</v>
      </c>
      <c r="G4118">
        <v>3</v>
      </c>
      <c r="I4118">
        <f t="shared" si="64"/>
        <v>1</v>
      </c>
      <c r="J4118" s="58">
        <v>1</v>
      </c>
      <c r="O4118">
        <v>1</v>
      </c>
      <c r="P4118" s="58">
        <v>0</v>
      </c>
      <c r="Q4118" s="58">
        <v>0</v>
      </c>
      <c r="R4118" s="58">
        <v>0</v>
      </c>
      <c r="S4118" s="58">
        <v>0</v>
      </c>
      <c r="T4118" s="58">
        <v>0</v>
      </c>
      <c r="U4118" s="58">
        <v>0</v>
      </c>
      <c r="V4118" s="58">
        <v>0</v>
      </c>
      <c r="W4118" s="4">
        <v>0</v>
      </c>
    </row>
    <row r="4119" spans="1:23" x14ac:dyDescent="0.35">
      <c r="A4119">
        <v>4115</v>
      </c>
      <c r="B4119">
        <v>4116</v>
      </c>
      <c r="C4119">
        <v>146.03642199999999</v>
      </c>
      <c r="D4119">
        <v>-17.523562080000001</v>
      </c>
      <c r="F4119" t="str">
        <f>HYPERLINK("D:\Data From Lucan\2024\Johnstone\Frames_for_Analysis\4116_20240610_0005_L_2630.jpg","4116_20240610_0005_L_2630.jpg")</f>
        <v>4116_20240610_0005_L_2630.jpg</v>
      </c>
      <c r="G4119">
        <v>3</v>
      </c>
      <c r="I4119">
        <f t="shared" si="64"/>
        <v>1</v>
      </c>
      <c r="J4119" s="58">
        <v>1</v>
      </c>
      <c r="O4119">
        <v>1</v>
      </c>
      <c r="P4119" s="58">
        <v>0</v>
      </c>
      <c r="Q4119" s="58">
        <v>0</v>
      </c>
      <c r="R4119" s="58">
        <v>0</v>
      </c>
      <c r="S4119" s="58">
        <v>0</v>
      </c>
      <c r="T4119" s="58">
        <v>0</v>
      </c>
      <c r="U4119" s="58">
        <v>0</v>
      </c>
      <c r="V4119" s="58">
        <v>0</v>
      </c>
      <c r="W4119" s="4">
        <v>0</v>
      </c>
    </row>
    <row r="4120" spans="1:23" x14ac:dyDescent="0.35">
      <c r="A4120">
        <v>4116</v>
      </c>
      <c r="B4120">
        <v>4117</v>
      </c>
      <c r="C4120">
        <v>146.03651350000001</v>
      </c>
      <c r="D4120">
        <v>-17.523583909999999</v>
      </c>
      <c r="F4120" t="str">
        <f>HYPERLINK("D:\Data From Lucan\2024\Johnstone\Frames_for_Analysis\4117_20240610_0005_L_2634.jpg","4117_20240610_0005_L_2634.jpg")</f>
        <v>4117_20240610_0005_L_2634.jpg</v>
      </c>
      <c r="G4120">
        <v>3</v>
      </c>
      <c r="I4120">
        <f t="shared" si="64"/>
        <v>1</v>
      </c>
      <c r="J4120" s="58">
        <v>1</v>
      </c>
      <c r="O4120">
        <v>1</v>
      </c>
      <c r="P4120" s="58">
        <v>0</v>
      </c>
      <c r="Q4120" s="58">
        <v>0</v>
      </c>
      <c r="R4120" s="58">
        <v>0</v>
      </c>
      <c r="S4120" s="58">
        <v>0</v>
      </c>
      <c r="T4120" s="58">
        <v>0</v>
      </c>
      <c r="U4120" s="58">
        <v>0</v>
      </c>
      <c r="V4120" s="58">
        <v>0</v>
      </c>
      <c r="W4120" s="4">
        <v>0</v>
      </c>
    </row>
    <row r="4121" spans="1:23" x14ac:dyDescent="0.35">
      <c r="A4121">
        <v>4117</v>
      </c>
      <c r="B4121">
        <v>4118</v>
      </c>
      <c r="C4121">
        <v>146.0366056</v>
      </c>
      <c r="D4121">
        <v>-17.523604030000001</v>
      </c>
      <c r="F4121" t="str">
        <f>HYPERLINK("D:\Data From Lucan\2024\Johnstone\Frames_for_Analysis\4118_20240610_0005_L_2638.jpg","4118_20240610_0005_L_2638.jpg")</f>
        <v>4118_20240610_0005_L_2638.jpg</v>
      </c>
      <c r="G4121">
        <v>3</v>
      </c>
      <c r="I4121">
        <f t="shared" si="64"/>
        <v>1</v>
      </c>
      <c r="J4121" s="58">
        <v>1</v>
      </c>
      <c r="O4121">
        <v>1</v>
      </c>
      <c r="P4121" s="58">
        <v>0</v>
      </c>
      <c r="Q4121" s="58">
        <v>0</v>
      </c>
      <c r="R4121" s="58">
        <v>0</v>
      </c>
      <c r="S4121" s="58">
        <v>0</v>
      </c>
      <c r="T4121" s="58">
        <v>0</v>
      </c>
      <c r="U4121" s="58">
        <v>0</v>
      </c>
      <c r="V4121" s="58">
        <v>0</v>
      </c>
      <c r="W4121" s="4">
        <v>0</v>
      </c>
    </row>
    <row r="4122" spans="1:23" x14ac:dyDescent="0.35">
      <c r="A4122">
        <v>4118</v>
      </c>
      <c r="B4122">
        <v>4119</v>
      </c>
      <c r="C4122">
        <v>146.03669780000001</v>
      </c>
      <c r="D4122">
        <v>-17.523624139999999</v>
      </c>
      <c r="F4122" t="str">
        <f>HYPERLINK("D:\Data From Lucan\2024\Johnstone\Frames_for_Analysis\4119_20240610_0005_L_2642.jpg","4119_20240610_0005_L_2642.jpg")</f>
        <v>4119_20240610_0005_L_2642.jpg</v>
      </c>
      <c r="G4122">
        <v>3</v>
      </c>
      <c r="I4122">
        <f t="shared" si="64"/>
        <v>1</v>
      </c>
      <c r="J4122" s="58">
        <v>1</v>
      </c>
      <c r="O4122">
        <v>1</v>
      </c>
      <c r="P4122" s="58">
        <v>0</v>
      </c>
      <c r="Q4122" s="58">
        <v>0</v>
      </c>
      <c r="R4122" s="58">
        <v>0</v>
      </c>
      <c r="S4122" s="58">
        <v>0</v>
      </c>
      <c r="T4122" s="58">
        <v>0</v>
      </c>
      <c r="U4122" s="58">
        <v>0</v>
      </c>
      <c r="V4122" s="58">
        <v>0</v>
      </c>
      <c r="W4122" s="4">
        <v>0</v>
      </c>
    </row>
    <row r="4123" spans="1:23" x14ac:dyDescent="0.35">
      <c r="A4123">
        <v>4119</v>
      </c>
      <c r="B4123">
        <v>4120</v>
      </c>
      <c r="C4123">
        <v>146.0367899</v>
      </c>
      <c r="D4123">
        <v>-17.523644239999999</v>
      </c>
      <c r="F4123" t="str">
        <f>HYPERLINK("D:\Data From Lucan\2024\Johnstone\Frames_for_Analysis\4120_20240610_0005_L_2646.jpg","4120_20240610_0005_L_2646.jpg")</f>
        <v>4120_20240610_0005_L_2646.jpg</v>
      </c>
      <c r="G4123">
        <v>3</v>
      </c>
      <c r="I4123">
        <f t="shared" si="64"/>
        <v>1</v>
      </c>
      <c r="J4123" s="58">
        <v>1</v>
      </c>
      <c r="O4123">
        <v>1</v>
      </c>
      <c r="P4123" s="58">
        <v>0</v>
      </c>
      <c r="Q4123" s="58">
        <v>0</v>
      </c>
      <c r="R4123" s="58">
        <v>0</v>
      </c>
      <c r="S4123" s="58">
        <v>0</v>
      </c>
      <c r="T4123" s="58">
        <v>0</v>
      </c>
      <c r="U4123" s="58">
        <v>0</v>
      </c>
      <c r="V4123" s="58">
        <v>0</v>
      </c>
      <c r="W4123" s="4">
        <v>0</v>
      </c>
    </row>
    <row r="4124" spans="1:23" x14ac:dyDescent="0.35">
      <c r="A4124">
        <v>4120</v>
      </c>
      <c r="B4124">
        <v>4121</v>
      </c>
      <c r="C4124">
        <v>146.03688220000001</v>
      </c>
      <c r="D4124">
        <v>-17.523663509999999</v>
      </c>
      <c r="F4124" t="str">
        <f>HYPERLINK("D:\Data From Lucan\2024\Johnstone\Frames_for_Analysis\4121_20240610_0005_L_2650.jpg","4121_20240610_0005_L_2650.jpg")</f>
        <v>4121_20240610_0005_L_2650.jpg</v>
      </c>
      <c r="G4124">
        <v>3</v>
      </c>
      <c r="I4124">
        <f t="shared" si="64"/>
        <v>1</v>
      </c>
      <c r="J4124" s="58">
        <v>1</v>
      </c>
      <c r="O4124">
        <v>1</v>
      </c>
      <c r="P4124" s="58">
        <v>0</v>
      </c>
      <c r="Q4124" s="58">
        <v>0</v>
      </c>
      <c r="R4124" s="58">
        <v>0</v>
      </c>
      <c r="S4124" s="58">
        <v>0</v>
      </c>
      <c r="T4124" s="58">
        <v>0</v>
      </c>
      <c r="U4124" s="58">
        <v>0</v>
      </c>
      <c r="V4124" s="58">
        <v>0</v>
      </c>
      <c r="W4124" s="4">
        <v>0</v>
      </c>
    </row>
    <row r="4125" spans="1:23" x14ac:dyDescent="0.35">
      <c r="A4125">
        <v>4121</v>
      </c>
      <c r="B4125">
        <v>4122</v>
      </c>
      <c r="C4125">
        <v>146.03697450000001</v>
      </c>
      <c r="D4125">
        <v>-17.523682780000001</v>
      </c>
      <c r="F4125" t="str">
        <f>HYPERLINK("D:\Data From Lucan\2024\Johnstone\Frames_for_Analysis\4122_20240610_0005_L_2654.jpg","4122_20240610_0005_L_2654.jpg")</f>
        <v>4122_20240610_0005_L_2654.jpg</v>
      </c>
      <c r="G4125">
        <v>3</v>
      </c>
      <c r="I4125">
        <f t="shared" si="64"/>
        <v>1</v>
      </c>
      <c r="J4125" s="58">
        <v>1</v>
      </c>
      <c r="O4125">
        <v>1</v>
      </c>
      <c r="P4125" s="58">
        <v>0</v>
      </c>
      <c r="Q4125" s="58">
        <v>0</v>
      </c>
      <c r="R4125" s="58">
        <v>0</v>
      </c>
      <c r="S4125" s="58">
        <v>0</v>
      </c>
      <c r="T4125" s="58">
        <v>0</v>
      </c>
      <c r="U4125" s="58">
        <v>0</v>
      </c>
      <c r="V4125" s="58">
        <v>0</v>
      </c>
      <c r="W4125" s="4">
        <v>0</v>
      </c>
    </row>
    <row r="4126" spans="1:23" x14ac:dyDescent="0.35">
      <c r="A4126">
        <v>4122</v>
      </c>
      <c r="B4126">
        <v>4123</v>
      </c>
      <c r="C4126">
        <v>146.03706679999999</v>
      </c>
      <c r="D4126">
        <v>-17.52370204</v>
      </c>
      <c r="F4126" t="str">
        <f>HYPERLINK("D:\Data From Lucan\2024\Johnstone\Frames_for_Analysis\4123_20240610_0005_L_2658.jpg","4123_20240610_0005_L_2658.jpg")</f>
        <v>4123_20240610_0005_L_2658.jpg</v>
      </c>
      <c r="G4126">
        <v>3</v>
      </c>
      <c r="I4126">
        <f t="shared" si="64"/>
        <v>1</v>
      </c>
      <c r="J4126" s="58">
        <v>1</v>
      </c>
      <c r="O4126">
        <v>1</v>
      </c>
      <c r="P4126" s="58">
        <v>0</v>
      </c>
      <c r="Q4126" s="58">
        <v>0</v>
      </c>
      <c r="R4126" s="58">
        <v>0</v>
      </c>
      <c r="S4126" s="58">
        <v>0</v>
      </c>
      <c r="T4126" s="58">
        <v>0</v>
      </c>
      <c r="U4126" s="58">
        <v>0</v>
      </c>
      <c r="V4126" s="58">
        <v>0</v>
      </c>
      <c r="W4126" s="4">
        <v>0</v>
      </c>
    </row>
    <row r="4127" spans="1:23" x14ac:dyDescent="0.35">
      <c r="A4127">
        <v>4123</v>
      </c>
      <c r="B4127">
        <v>4124</v>
      </c>
      <c r="C4127">
        <v>146.03715919999999</v>
      </c>
      <c r="D4127">
        <v>-17.523721309999999</v>
      </c>
      <c r="F4127" t="str">
        <f>HYPERLINK("D:\Data From Lucan\2024\Johnstone\Frames_for_Analysis\4124_20240610_0005_L_2661.jpg","4124_20240610_0005_L_2661.jpg")</f>
        <v>4124_20240610_0005_L_2661.jpg</v>
      </c>
      <c r="G4127">
        <v>3</v>
      </c>
      <c r="I4127">
        <f t="shared" si="64"/>
        <v>1</v>
      </c>
      <c r="J4127" s="58">
        <v>1</v>
      </c>
      <c r="O4127">
        <v>1</v>
      </c>
      <c r="P4127" s="58">
        <v>0</v>
      </c>
      <c r="Q4127" s="58">
        <v>0</v>
      </c>
      <c r="R4127" s="58">
        <v>0</v>
      </c>
      <c r="S4127" s="58">
        <v>0</v>
      </c>
      <c r="T4127" s="58">
        <v>0</v>
      </c>
      <c r="U4127" s="58">
        <v>0</v>
      </c>
      <c r="V4127" s="58">
        <v>0</v>
      </c>
      <c r="W4127" s="4">
        <v>0</v>
      </c>
    </row>
    <row r="4128" spans="1:23" x14ac:dyDescent="0.35">
      <c r="A4128">
        <v>4124</v>
      </c>
      <c r="B4128">
        <v>4125</v>
      </c>
      <c r="C4128">
        <v>146.0372533</v>
      </c>
      <c r="D4128">
        <v>-17.52372338</v>
      </c>
      <c r="F4128" t="str">
        <f>HYPERLINK("D:\Data From Lucan\2024\Johnstone\Frames_for_Analysis\4125_20240610_0005_L_2664.jpg","4125_20240610_0005_L_2664.jpg")</f>
        <v>4125_20240610_0005_L_2664.jpg</v>
      </c>
      <c r="G4128">
        <v>3</v>
      </c>
      <c r="I4128">
        <f t="shared" si="64"/>
        <v>1</v>
      </c>
      <c r="J4128" s="58">
        <v>1</v>
      </c>
      <c r="O4128">
        <v>1</v>
      </c>
      <c r="P4128" s="58">
        <v>0</v>
      </c>
      <c r="Q4128" s="58">
        <v>0</v>
      </c>
      <c r="R4128" s="58">
        <v>0</v>
      </c>
      <c r="S4128" s="58">
        <v>0</v>
      </c>
      <c r="T4128" s="58">
        <v>0</v>
      </c>
      <c r="U4128" s="58">
        <v>0</v>
      </c>
      <c r="V4128" s="58">
        <v>0</v>
      </c>
      <c r="W4128" s="4">
        <v>0</v>
      </c>
    </row>
    <row r="4129" spans="1:23" x14ac:dyDescent="0.35">
      <c r="A4129">
        <v>4125</v>
      </c>
      <c r="B4129">
        <v>4126</v>
      </c>
      <c r="C4129">
        <v>146.0373476</v>
      </c>
      <c r="D4129">
        <v>-17.523724349999998</v>
      </c>
      <c r="F4129" t="str">
        <f>HYPERLINK("D:\Data From Lucan\2024\Johnstone\Frames_for_Analysis\4126_20240610_0005_L_2668.jpg","4126_20240610_0005_L_2668.jpg")</f>
        <v>4126_20240610_0005_L_2668.jpg</v>
      </c>
      <c r="G4129">
        <v>3</v>
      </c>
      <c r="I4129">
        <f t="shared" si="64"/>
        <v>1</v>
      </c>
      <c r="J4129" s="58">
        <v>1</v>
      </c>
      <c r="O4129">
        <v>1</v>
      </c>
      <c r="P4129" s="58">
        <v>0</v>
      </c>
      <c r="Q4129" s="58">
        <v>0</v>
      </c>
      <c r="R4129" s="58">
        <v>0</v>
      </c>
      <c r="S4129" s="58">
        <v>0</v>
      </c>
      <c r="T4129" s="58">
        <v>0</v>
      </c>
      <c r="U4129" s="58">
        <v>0</v>
      </c>
      <c r="V4129" s="58">
        <v>0</v>
      </c>
      <c r="W4129" s="4">
        <v>0</v>
      </c>
    </row>
    <row r="4130" spans="1:23" x14ac:dyDescent="0.35">
      <c r="A4130">
        <v>4126</v>
      </c>
      <c r="B4130">
        <v>4127</v>
      </c>
      <c r="C4130">
        <v>146.0374419</v>
      </c>
      <c r="D4130">
        <v>-17.52372531</v>
      </c>
      <c r="F4130" t="str">
        <f>HYPERLINK("D:\Data From Lucan\2024\Johnstone\Frames_for_Analysis\4127_20240610_0005_L_2671.jpg","4127_20240610_0005_L_2671.jpg")</f>
        <v>4127_20240610_0005_L_2671.jpg</v>
      </c>
      <c r="G4130">
        <v>3</v>
      </c>
      <c r="I4130">
        <f t="shared" si="64"/>
        <v>1</v>
      </c>
      <c r="J4130" s="58">
        <v>1</v>
      </c>
      <c r="O4130">
        <v>1</v>
      </c>
      <c r="P4130" s="58">
        <v>0</v>
      </c>
      <c r="Q4130" s="58">
        <v>0</v>
      </c>
      <c r="R4130" s="58">
        <v>0</v>
      </c>
      <c r="S4130" s="58">
        <v>0</v>
      </c>
      <c r="T4130" s="58">
        <v>0</v>
      </c>
      <c r="U4130" s="58">
        <v>0</v>
      </c>
      <c r="V4130" s="58">
        <v>0</v>
      </c>
      <c r="W4130" s="4">
        <v>0</v>
      </c>
    </row>
    <row r="4131" spans="1:23" x14ac:dyDescent="0.35">
      <c r="A4131">
        <v>4127</v>
      </c>
      <c r="B4131">
        <v>4128</v>
      </c>
      <c r="C4131">
        <v>146.03753620000001</v>
      </c>
      <c r="D4131">
        <v>-17.523726270000001</v>
      </c>
      <c r="F4131" t="str">
        <f>HYPERLINK("D:\Data From Lucan\2024\Johnstone\Frames_for_Analysis\4128_20240610_0005_L_2675.jpg","4128_20240610_0005_L_2675.jpg")</f>
        <v>4128_20240610_0005_L_2675.jpg</v>
      </c>
      <c r="G4131">
        <v>3</v>
      </c>
      <c r="I4131">
        <f t="shared" si="64"/>
        <v>1</v>
      </c>
      <c r="J4131" s="58">
        <v>1</v>
      </c>
      <c r="O4131">
        <v>1</v>
      </c>
      <c r="P4131" s="58">
        <v>0</v>
      </c>
      <c r="Q4131" s="58">
        <v>0</v>
      </c>
      <c r="R4131" s="58">
        <v>0</v>
      </c>
      <c r="S4131" s="58">
        <v>0</v>
      </c>
      <c r="T4131" s="58">
        <v>0</v>
      </c>
      <c r="U4131" s="58">
        <v>0</v>
      </c>
      <c r="V4131" s="58">
        <v>0</v>
      </c>
      <c r="W4131" s="4">
        <v>0</v>
      </c>
    </row>
    <row r="4132" spans="1:23" x14ac:dyDescent="0.35">
      <c r="A4132">
        <v>4128</v>
      </c>
      <c r="B4132">
        <v>4129</v>
      </c>
      <c r="C4132">
        <v>146.03763050000001</v>
      </c>
      <c r="D4132">
        <v>-17.523727239999999</v>
      </c>
      <c r="F4132" t="str">
        <f>HYPERLINK("D:\Data From Lucan\2024\Johnstone\Frames_for_Analysis\4129_20240610_0005_L_2679.jpg","4129_20240610_0005_L_2679.jpg")</f>
        <v>4129_20240610_0005_L_2679.jpg</v>
      </c>
      <c r="G4132">
        <v>3</v>
      </c>
      <c r="I4132">
        <f t="shared" si="64"/>
        <v>1</v>
      </c>
      <c r="J4132" s="58">
        <v>1</v>
      </c>
      <c r="O4132">
        <v>1</v>
      </c>
      <c r="P4132" s="58">
        <v>0</v>
      </c>
      <c r="Q4132" s="58">
        <v>0</v>
      </c>
      <c r="R4132" s="58">
        <v>0</v>
      </c>
      <c r="S4132" s="58">
        <v>0</v>
      </c>
      <c r="T4132" s="58">
        <v>0</v>
      </c>
      <c r="U4132" s="58">
        <v>0</v>
      </c>
      <c r="V4132" s="58">
        <v>0</v>
      </c>
      <c r="W4132" s="4">
        <v>0</v>
      </c>
    </row>
    <row r="4133" spans="1:23" x14ac:dyDescent="0.35">
      <c r="A4133">
        <v>4129</v>
      </c>
      <c r="B4133">
        <v>4130</v>
      </c>
      <c r="C4133">
        <v>146.03772480000001</v>
      </c>
      <c r="D4133">
        <v>-17.523728200000001</v>
      </c>
      <c r="F4133" t="str">
        <f>HYPERLINK("D:\Data From Lucan\2024\Johnstone\Frames_for_Analysis\4130_20240610_0005_L_2678.jpg","4130_20240610_0005_L_2678.jpg")</f>
        <v>4130_20240610_0005_L_2678.jpg</v>
      </c>
      <c r="G4133">
        <v>3</v>
      </c>
      <c r="I4133">
        <f t="shared" si="64"/>
        <v>1</v>
      </c>
      <c r="J4133" s="58">
        <v>1</v>
      </c>
      <c r="O4133">
        <v>1</v>
      </c>
      <c r="P4133" s="58">
        <v>0</v>
      </c>
      <c r="Q4133" s="58">
        <v>0</v>
      </c>
      <c r="R4133" s="58">
        <v>0</v>
      </c>
      <c r="S4133" s="58">
        <v>0</v>
      </c>
      <c r="T4133" s="58">
        <v>0</v>
      </c>
      <c r="U4133" s="58">
        <v>0</v>
      </c>
      <c r="V4133" s="58">
        <v>0</v>
      </c>
      <c r="W4133" s="4">
        <v>0</v>
      </c>
    </row>
    <row r="4134" spans="1:23" x14ac:dyDescent="0.35">
      <c r="A4134">
        <v>4130</v>
      </c>
      <c r="B4134">
        <v>4131</v>
      </c>
      <c r="C4134">
        <v>146.03781910000001</v>
      </c>
      <c r="D4134">
        <v>-17.523729159999998</v>
      </c>
      <c r="F4134" t="str">
        <f>HYPERLINK("D:\Data From Lucan\2024\Johnstone\Frames_for_Analysis\4131_20240610_0005_L_2689.jpg","4131_20240610_0005_L_2689.jpg")</f>
        <v>4131_20240610_0005_L_2689.jpg</v>
      </c>
      <c r="G4134">
        <v>3</v>
      </c>
      <c r="H4134" s="65"/>
      <c r="I4134">
        <f t="shared" si="64"/>
        <v>1</v>
      </c>
      <c r="J4134" s="58">
        <v>1</v>
      </c>
      <c r="O4134">
        <v>1</v>
      </c>
      <c r="P4134" s="58">
        <v>0</v>
      </c>
      <c r="Q4134" s="58">
        <v>0</v>
      </c>
      <c r="R4134" s="58">
        <v>0</v>
      </c>
      <c r="S4134" s="58">
        <v>0</v>
      </c>
      <c r="T4134" s="58">
        <v>0</v>
      </c>
      <c r="U4134" s="58">
        <v>0</v>
      </c>
      <c r="V4134" s="58">
        <v>0</v>
      </c>
      <c r="W4134" s="4">
        <v>0</v>
      </c>
    </row>
    <row r="4135" spans="1:23" x14ac:dyDescent="0.35">
      <c r="A4135">
        <v>4131</v>
      </c>
      <c r="B4135">
        <v>4132</v>
      </c>
      <c r="C4135">
        <v>146.03791340000001</v>
      </c>
      <c r="D4135">
        <v>-17.523727690000001</v>
      </c>
      <c r="F4135" t="str">
        <f>HYPERLINK("D:\Data From Lucan\2024\Johnstone\Frames_for_Analysis\4132_20240610_0005_L_2693.jpg","4132_20240610_0005_L_2693.jpg")</f>
        <v>4132_20240610_0005_L_2693.jpg</v>
      </c>
      <c r="G4135">
        <v>3</v>
      </c>
      <c r="H4135" s="65"/>
      <c r="I4135">
        <f t="shared" si="64"/>
        <v>1</v>
      </c>
      <c r="J4135" s="58">
        <v>1</v>
      </c>
      <c r="O4135">
        <v>1</v>
      </c>
      <c r="P4135" s="58">
        <v>0</v>
      </c>
      <c r="Q4135" s="58">
        <v>0</v>
      </c>
      <c r="R4135" s="58">
        <v>0</v>
      </c>
      <c r="S4135" s="58">
        <v>0</v>
      </c>
      <c r="T4135" s="58">
        <v>0</v>
      </c>
      <c r="U4135" s="58">
        <v>0</v>
      </c>
      <c r="V4135" s="58">
        <v>0</v>
      </c>
      <c r="W4135" s="4">
        <v>0</v>
      </c>
    </row>
    <row r="4136" spans="1:23" x14ac:dyDescent="0.35">
      <c r="A4136">
        <v>4132</v>
      </c>
      <c r="B4136">
        <v>4133</v>
      </c>
      <c r="C4136">
        <v>146.03800759999999</v>
      </c>
      <c r="D4136">
        <v>-17.52372334</v>
      </c>
      <c r="F4136" t="str">
        <f>HYPERLINK("D:\Data From Lucan\2024\Johnstone\Frames_for_Analysis\4133_20240610_0005_L_2697.jpg","4133_20240610_0005_L_2697.jpg")</f>
        <v>4133_20240610_0005_L_2697.jpg</v>
      </c>
      <c r="G4136">
        <v>3</v>
      </c>
      <c r="I4136">
        <f t="shared" si="64"/>
        <v>1</v>
      </c>
      <c r="J4136" s="58">
        <v>1</v>
      </c>
      <c r="O4136">
        <v>1</v>
      </c>
      <c r="P4136" s="58">
        <v>0</v>
      </c>
      <c r="Q4136" s="58">
        <v>0</v>
      </c>
      <c r="R4136" s="58">
        <v>0</v>
      </c>
      <c r="S4136" s="58">
        <v>0</v>
      </c>
      <c r="T4136" s="58">
        <v>0</v>
      </c>
      <c r="U4136" s="58">
        <v>0</v>
      </c>
      <c r="V4136" s="58">
        <v>0</v>
      </c>
      <c r="W4136" s="4">
        <v>0</v>
      </c>
    </row>
    <row r="4137" spans="1:23" x14ac:dyDescent="0.35">
      <c r="A4137">
        <v>4133</v>
      </c>
      <c r="B4137">
        <v>4134</v>
      </c>
      <c r="C4137">
        <v>146.03810179999999</v>
      </c>
      <c r="D4137">
        <v>-17.523719</v>
      </c>
      <c r="F4137" t="str">
        <f>HYPERLINK("D:\Data From Lucan\2024\Johnstone\Frames_for_Analysis\4134_20240610_0005_L_2709.jpg","4134_20240610_0005_L_2709.jpg")</f>
        <v>4134_20240610_0005_L_2709.jpg</v>
      </c>
      <c r="G4137">
        <v>3</v>
      </c>
      <c r="I4137">
        <f t="shared" si="64"/>
        <v>1</v>
      </c>
      <c r="J4137" s="58">
        <v>1</v>
      </c>
      <c r="O4137">
        <v>1</v>
      </c>
      <c r="P4137" s="58">
        <v>0</v>
      </c>
      <c r="Q4137" s="58">
        <v>0</v>
      </c>
      <c r="R4137" s="58">
        <v>0</v>
      </c>
      <c r="S4137" s="58">
        <v>0</v>
      </c>
      <c r="T4137" s="58">
        <v>0</v>
      </c>
      <c r="U4137" s="58">
        <v>0</v>
      </c>
      <c r="V4137" s="58">
        <v>0</v>
      </c>
      <c r="W4137" s="4">
        <v>0</v>
      </c>
    </row>
    <row r="4138" spans="1:23" x14ac:dyDescent="0.35">
      <c r="A4138">
        <v>4134</v>
      </c>
      <c r="B4138">
        <v>4135</v>
      </c>
      <c r="C4138">
        <v>146.038196</v>
      </c>
      <c r="D4138">
        <v>-17.523714649999999</v>
      </c>
      <c r="F4138" t="str">
        <f>HYPERLINK("D:\Data From Lucan\2024\Johnstone\Frames_for_Analysis\4135_20240610_0005_L_2714.jpg","4135_20240610_0005_L_2714.jpg")</f>
        <v>4135_20240610_0005_L_2714.jpg</v>
      </c>
      <c r="G4138">
        <v>3</v>
      </c>
      <c r="I4138">
        <f t="shared" si="64"/>
        <v>1</v>
      </c>
      <c r="J4138" s="58">
        <v>1</v>
      </c>
      <c r="O4138">
        <v>1</v>
      </c>
      <c r="P4138" s="58">
        <v>0</v>
      </c>
      <c r="Q4138" s="58">
        <v>0</v>
      </c>
      <c r="R4138" s="58">
        <v>0</v>
      </c>
      <c r="S4138" s="58">
        <v>0</v>
      </c>
      <c r="T4138" s="58">
        <v>0</v>
      </c>
      <c r="U4138" s="58">
        <v>0</v>
      </c>
      <c r="V4138" s="58">
        <v>0</v>
      </c>
      <c r="W4138" s="4">
        <v>0</v>
      </c>
    </row>
    <row r="4139" spans="1:23" x14ac:dyDescent="0.35">
      <c r="A4139">
        <v>4135</v>
      </c>
      <c r="B4139">
        <v>4136</v>
      </c>
      <c r="C4139">
        <v>146.03829020000001</v>
      </c>
      <c r="D4139">
        <v>-17.523710309999998</v>
      </c>
      <c r="F4139" t="str">
        <f>HYPERLINK("D:\Data From Lucan\2024\Johnstone\Frames_for_Analysis\4136_20240610_0005_L_2719.jpg","4136_20240610_0005_L_2719.jpg")</f>
        <v>4136_20240610_0005_L_2719.jpg</v>
      </c>
      <c r="G4139">
        <v>3</v>
      </c>
      <c r="I4139">
        <f t="shared" si="64"/>
        <v>1</v>
      </c>
      <c r="J4139" s="58">
        <v>1</v>
      </c>
      <c r="O4139">
        <v>1</v>
      </c>
      <c r="P4139" s="58">
        <v>0</v>
      </c>
      <c r="Q4139" s="58">
        <v>0</v>
      </c>
      <c r="R4139" s="58">
        <v>0</v>
      </c>
      <c r="S4139" s="58">
        <v>0</v>
      </c>
      <c r="T4139" s="58">
        <v>0</v>
      </c>
      <c r="U4139" s="58">
        <v>0</v>
      </c>
      <c r="V4139" s="58">
        <v>0</v>
      </c>
      <c r="W4139" s="4">
        <v>0</v>
      </c>
    </row>
    <row r="4140" spans="1:23" x14ac:dyDescent="0.35">
      <c r="A4140">
        <v>4136</v>
      </c>
      <c r="B4140">
        <v>4137</v>
      </c>
      <c r="C4140">
        <v>146.03838440000001</v>
      </c>
      <c r="D4140">
        <v>-17.523705960000001</v>
      </c>
      <c r="F4140" t="str">
        <f>HYPERLINK("D:\Data From Lucan\2024\Johnstone\Frames_for_Analysis\4137_20240610_0005_L_2722.jpg","4137_20240610_0005_L_2722.jpg")</f>
        <v>4137_20240610_0005_L_2722.jpg</v>
      </c>
      <c r="G4140">
        <v>3</v>
      </c>
      <c r="I4140">
        <f t="shared" si="64"/>
        <v>1</v>
      </c>
      <c r="J4140" s="58">
        <v>1</v>
      </c>
      <c r="O4140">
        <v>1</v>
      </c>
      <c r="P4140" s="58">
        <v>0</v>
      </c>
      <c r="Q4140" s="58">
        <v>0</v>
      </c>
      <c r="R4140" s="58">
        <v>0</v>
      </c>
      <c r="S4140" s="58">
        <v>0</v>
      </c>
      <c r="T4140" s="58">
        <v>0</v>
      </c>
      <c r="U4140" s="58">
        <v>0</v>
      </c>
      <c r="V4140" s="58">
        <v>0</v>
      </c>
      <c r="W4140" s="4">
        <v>0</v>
      </c>
    </row>
    <row r="4141" spans="1:23" x14ac:dyDescent="0.35">
      <c r="A4141">
        <v>4137</v>
      </c>
      <c r="B4141">
        <v>4138</v>
      </c>
      <c r="C4141">
        <v>146.03847859999999</v>
      </c>
      <c r="D4141">
        <v>-17.523700730000002</v>
      </c>
      <c r="F4141" t="str">
        <f>HYPERLINK("D:\Data From Lucan\2024\Johnstone\Frames_for_Analysis\4138_20240610_0005_L_2726.jpg","4138_20240610_0005_L_2726.jpg")</f>
        <v>4138_20240610_0005_L_2726.jpg</v>
      </c>
      <c r="G4141">
        <v>3</v>
      </c>
      <c r="I4141">
        <f t="shared" si="64"/>
        <v>1</v>
      </c>
      <c r="J4141" s="58">
        <v>1</v>
      </c>
      <c r="O4141">
        <v>1</v>
      </c>
      <c r="P4141" s="58">
        <v>0</v>
      </c>
      <c r="Q4141" s="58">
        <v>0</v>
      </c>
      <c r="R4141" s="58">
        <v>0</v>
      </c>
      <c r="S4141" s="58">
        <v>0</v>
      </c>
      <c r="T4141" s="58">
        <v>0</v>
      </c>
      <c r="U4141" s="58">
        <v>0</v>
      </c>
      <c r="V4141" s="58">
        <v>0</v>
      </c>
      <c r="W4141" s="4">
        <v>0</v>
      </c>
    </row>
    <row r="4142" spans="1:23" x14ac:dyDescent="0.35">
      <c r="A4142">
        <v>4138</v>
      </c>
      <c r="B4142">
        <v>4139</v>
      </c>
      <c r="C4142">
        <v>146.03857260000001</v>
      </c>
      <c r="D4142">
        <v>-17.523693550000001</v>
      </c>
      <c r="F4142" t="str">
        <f>HYPERLINK("D:\Data From Lucan\2024\Johnstone\Frames_for_Analysis\4139_20240610_0005_L_2730.jpg","4139_20240610_0005_L_2730.jpg")</f>
        <v>4139_20240610_0005_L_2730.jpg</v>
      </c>
      <c r="G4142">
        <v>3</v>
      </c>
      <c r="I4142">
        <f t="shared" si="64"/>
        <v>1</v>
      </c>
      <c r="J4142" s="58">
        <v>1</v>
      </c>
      <c r="O4142">
        <v>1</v>
      </c>
      <c r="P4142" s="58">
        <v>0</v>
      </c>
      <c r="Q4142" s="58">
        <v>0</v>
      </c>
      <c r="R4142" s="58">
        <v>0</v>
      </c>
      <c r="S4142" s="58">
        <v>0</v>
      </c>
      <c r="T4142" s="58">
        <v>0</v>
      </c>
      <c r="U4142" s="58">
        <v>0</v>
      </c>
      <c r="V4142" s="58">
        <v>0</v>
      </c>
      <c r="W4142" s="4">
        <v>0</v>
      </c>
    </row>
    <row r="4143" spans="1:23" x14ac:dyDescent="0.35">
      <c r="A4143">
        <v>4139</v>
      </c>
      <c r="B4143">
        <v>4140</v>
      </c>
      <c r="C4143">
        <v>146.0386666</v>
      </c>
      <c r="D4143">
        <v>-17.52368637</v>
      </c>
      <c r="F4143" t="str">
        <f>HYPERLINK("D:\Data From Lucan\2024\Johnstone\Frames_for_Analysis\4140_20240610_0005_L_2733.jpg","4140_20240610_0005_L_2733.jpg")</f>
        <v>4140_20240610_0005_L_2733.jpg</v>
      </c>
      <c r="G4143">
        <v>3</v>
      </c>
      <c r="I4143">
        <f t="shared" si="64"/>
        <v>1</v>
      </c>
      <c r="J4143" s="58">
        <v>1</v>
      </c>
      <c r="O4143">
        <v>1</v>
      </c>
      <c r="P4143" s="58">
        <v>0</v>
      </c>
      <c r="Q4143" s="58">
        <v>0</v>
      </c>
      <c r="R4143" s="58">
        <v>1</v>
      </c>
      <c r="S4143" s="58">
        <v>0</v>
      </c>
      <c r="T4143" s="58">
        <v>0</v>
      </c>
      <c r="U4143" s="58">
        <v>0</v>
      </c>
      <c r="V4143" s="58">
        <v>0</v>
      </c>
      <c r="W4143" s="4">
        <v>0</v>
      </c>
    </row>
    <row r="4144" spans="1:23" x14ac:dyDescent="0.35">
      <c r="A4144">
        <v>4140</v>
      </c>
      <c r="B4144">
        <v>4141</v>
      </c>
      <c r="C4144">
        <v>146.03876059999999</v>
      </c>
      <c r="D4144">
        <v>-17.523679189999999</v>
      </c>
      <c r="F4144" t="str">
        <f>HYPERLINK("D:\Data From Lucan\2024\Johnstone\Frames_for_Analysis\4141_20240610_0005_L_2736.jpg","4141_20240610_0005_L_2736.jpg")</f>
        <v>4141_20240610_0005_L_2736.jpg</v>
      </c>
      <c r="G4144">
        <v>3</v>
      </c>
      <c r="I4144">
        <f t="shared" si="64"/>
        <v>1</v>
      </c>
      <c r="J4144" s="58">
        <v>1</v>
      </c>
      <c r="O4144">
        <v>1</v>
      </c>
      <c r="P4144" s="58">
        <v>0</v>
      </c>
      <c r="Q4144" s="58">
        <v>0</v>
      </c>
      <c r="R4144" s="58">
        <v>0</v>
      </c>
      <c r="S4144" s="58">
        <v>0</v>
      </c>
      <c r="T4144" s="58">
        <v>0</v>
      </c>
      <c r="U4144" s="58">
        <v>0</v>
      </c>
      <c r="V4144" s="58">
        <v>0</v>
      </c>
      <c r="W4144" s="4">
        <v>0</v>
      </c>
    </row>
    <row r="4145" spans="1:23" x14ac:dyDescent="0.35">
      <c r="A4145">
        <v>4141</v>
      </c>
      <c r="B4145">
        <v>4142</v>
      </c>
      <c r="C4145">
        <v>146.0388547</v>
      </c>
      <c r="D4145">
        <v>-17.523672009999999</v>
      </c>
      <c r="F4145" t="str">
        <f>HYPERLINK("D:\Data From Lucan\2024\Johnstone\Frames_for_Analysis\4142_20240610_0005_L_2740.jpg","4142_20240610_0005_L_2740.jpg")</f>
        <v>4142_20240610_0005_L_2740.jpg</v>
      </c>
      <c r="G4145">
        <v>3</v>
      </c>
      <c r="I4145">
        <f t="shared" si="64"/>
        <v>1</v>
      </c>
      <c r="J4145" s="58">
        <v>1</v>
      </c>
      <c r="O4145">
        <v>1</v>
      </c>
      <c r="P4145" s="58">
        <v>0</v>
      </c>
      <c r="Q4145" s="58">
        <v>0</v>
      </c>
      <c r="R4145" s="58">
        <v>0</v>
      </c>
      <c r="S4145" s="58">
        <v>0</v>
      </c>
      <c r="T4145" s="58">
        <v>0</v>
      </c>
      <c r="U4145" s="58">
        <v>0</v>
      </c>
      <c r="V4145" s="58">
        <v>0</v>
      </c>
      <c r="W4145" s="4">
        <v>0</v>
      </c>
    </row>
    <row r="4146" spans="1:23" x14ac:dyDescent="0.35">
      <c r="A4146">
        <v>4142</v>
      </c>
      <c r="B4146">
        <v>4143</v>
      </c>
      <c r="C4146">
        <v>146.03894869999999</v>
      </c>
      <c r="D4146">
        <v>-17.523664830000001</v>
      </c>
      <c r="F4146" t="str">
        <f>HYPERLINK("D:\Data From Lucan\2024\Johnstone\Frames_for_Analysis\4143_20240610_0005_L_2742.jpg","4143_20240610_0005_L_2742.jpg")</f>
        <v>4143_20240610_0005_L_2742.jpg</v>
      </c>
      <c r="G4146">
        <v>3</v>
      </c>
      <c r="I4146">
        <f t="shared" si="64"/>
        <v>1</v>
      </c>
      <c r="J4146" s="58">
        <v>1</v>
      </c>
      <c r="O4146">
        <v>1</v>
      </c>
      <c r="P4146" s="58">
        <v>0</v>
      </c>
      <c r="Q4146" s="58">
        <v>0</v>
      </c>
      <c r="R4146" s="58">
        <v>0</v>
      </c>
      <c r="S4146" s="58">
        <v>0</v>
      </c>
      <c r="T4146" s="58">
        <v>0</v>
      </c>
      <c r="U4146" s="58">
        <v>0</v>
      </c>
      <c r="V4146" s="58">
        <v>0</v>
      </c>
      <c r="W4146" s="4">
        <v>0</v>
      </c>
    </row>
    <row r="4147" spans="1:23" x14ac:dyDescent="0.35">
      <c r="A4147">
        <v>4143</v>
      </c>
      <c r="B4147">
        <v>4144</v>
      </c>
      <c r="C4147">
        <v>146.03904270000001</v>
      </c>
      <c r="D4147">
        <v>-17.523657650000001</v>
      </c>
      <c r="F4147" t="str">
        <f>HYPERLINK("D:\Data From Lucan\2024\Johnstone\Frames_for_Analysis\4144_20240610_0005_L_2744.jpg","4144_20240610_0005_L_2744.jpg")</f>
        <v>4144_20240610_0005_L_2744.jpg</v>
      </c>
      <c r="G4147">
        <v>3</v>
      </c>
      <c r="I4147">
        <f t="shared" si="64"/>
        <v>1</v>
      </c>
      <c r="J4147" s="58">
        <v>1</v>
      </c>
      <c r="O4147">
        <v>1</v>
      </c>
      <c r="P4147" s="58">
        <v>0</v>
      </c>
      <c r="Q4147" s="58">
        <v>0</v>
      </c>
      <c r="R4147" s="58">
        <v>0</v>
      </c>
      <c r="S4147" s="58">
        <v>0</v>
      </c>
      <c r="T4147" s="58">
        <v>0</v>
      </c>
      <c r="U4147" s="58">
        <v>0</v>
      </c>
      <c r="V4147" s="58">
        <v>0</v>
      </c>
      <c r="W4147" s="4">
        <v>0</v>
      </c>
    </row>
    <row r="4148" spans="1:23" x14ac:dyDescent="0.35">
      <c r="A4148">
        <v>4144</v>
      </c>
      <c r="B4148">
        <v>4145</v>
      </c>
      <c r="C4148">
        <v>146.03913679999999</v>
      </c>
      <c r="D4148">
        <v>-17.523650480000001</v>
      </c>
      <c r="F4148" t="str">
        <f>HYPERLINK("D:\Data From Lucan\2024\Johnstone\Frames_for_Analysis\4145_20240610_0005_L_2747.jpg","4145_20240610_0005_L_2747.jpg")</f>
        <v>4145_20240610_0005_L_2747.jpg</v>
      </c>
      <c r="G4148">
        <v>3</v>
      </c>
      <c r="I4148">
        <f t="shared" si="64"/>
        <v>1</v>
      </c>
      <c r="J4148" s="58">
        <v>1</v>
      </c>
      <c r="O4148">
        <v>1</v>
      </c>
      <c r="P4148" s="58">
        <v>0</v>
      </c>
      <c r="Q4148" s="58">
        <v>0</v>
      </c>
      <c r="R4148" s="58">
        <v>0</v>
      </c>
      <c r="S4148" s="58">
        <v>0</v>
      </c>
      <c r="T4148" s="58">
        <v>0</v>
      </c>
      <c r="U4148" s="58">
        <v>0</v>
      </c>
      <c r="V4148" s="58">
        <v>0</v>
      </c>
      <c r="W4148" s="4">
        <v>0</v>
      </c>
    </row>
    <row r="4149" spans="1:23" x14ac:dyDescent="0.35">
      <c r="A4149">
        <v>4145</v>
      </c>
      <c r="B4149">
        <v>4146</v>
      </c>
      <c r="C4149">
        <v>146.03923080000001</v>
      </c>
      <c r="D4149">
        <v>-17.523643289999999</v>
      </c>
      <c r="F4149" t="str">
        <f>HYPERLINK("D:\Data From Lucan\2024\Johnstone\Frames_for_Analysis\4146_20240610_0005_L_2750.jpg","4146_20240610_0005_L_2750.jpg")</f>
        <v>4146_20240610_0005_L_2750.jpg</v>
      </c>
      <c r="G4149">
        <v>3</v>
      </c>
      <c r="I4149">
        <f t="shared" si="64"/>
        <v>1</v>
      </c>
      <c r="J4149" s="58">
        <v>1</v>
      </c>
      <c r="O4149">
        <v>1</v>
      </c>
      <c r="P4149" s="58">
        <v>0</v>
      </c>
      <c r="Q4149" s="58">
        <v>0</v>
      </c>
      <c r="R4149" s="58">
        <v>0</v>
      </c>
      <c r="S4149" s="58">
        <v>0</v>
      </c>
      <c r="T4149" s="58">
        <v>0</v>
      </c>
      <c r="U4149" s="58">
        <v>0</v>
      </c>
      <c r="V4149" s="58">
        <v>0</v>
      </c>
      <c r="W4149" s="4">
        <v>0</v>
      </c>
    </row>
    <row r="4150" spans="1:23" x14ac:dyDescent="0.35">
      <c r="A4150">
        <v>4146</v>
      </c>
      <c r="B4150">
        <v>4147</v>
      </c>
      <c r="C4150">
        <v>146.0393248</v>
      </c>
      <c r="D4150">
        <v>-17.52363574</v>
      </c>
      <c r="F4150" t="str">
        <f>HYPERLINK("D:\Data From Lucan\2024\Johnstone\Frames_for_Analysis\4147_20240610_0005_L_2752.jpg","4147_20240610_0005_L_2752.jpg")</f>
        <v>4147_20240610_0005_L_2752.jpg</v>
      </c>
      <c r="G4150">
        <v>3</v>
      </c>
      <c r="I4150">
        <f t="shared" si="64"/>
        <v>1</v>
      </c>
      <c r="J4150" s="58">
        <v>1</v>
      </c>
      <c r="O4150">
        <v>1</v>
      </c>
      <c r="P4150" s="58">
        <v>0</v>
      </c>
      <c r="Q4150" s="58">
        <v>0</v>
      </c>
      <c r="R4150" s="58">
        <v>0</v>
      </c>
      <c r="S4150" s="58">
        <v>0</v>
      </c>
      <c r="T4150" s="58">
        <v>0</v>
      </c>
      <c r="U4150" s="58">
        <v>0</v>
      </c>
      <c r="V4150" s="58">
        <v>0</v>
      </c>
      <c r="W4150" s="4">
        <v>0</v>
      </c>
    </row>
    <row r="4151" spans="1:23" x14ac:dyDescent="0.35">
      <c r="A4151">
        <v>4147</v>
      </c>
      <c r="B4151">
        <v>4148</v>
      </c>
      <c r="C4151">
        <v>146.03941750000001</v>
      </c>
      <c r="D4151">
        <v>-17.52361844</v>
      </c>
      <c r="F4151" t="str">
        <f>HYPERLINK("D:\Data From Lucan\2024\Johnstone\Frames_for_Analysis\4148_20240610_0005_L_2754.jpg","4148_20240610_0005_L_2754.jpg")</f>
        <v>4148_20240610_0005_L_2754.jpg</v>
      </c>
      <c r="G4151">
        <v>3</v>
      </c>
      <c r="I4151">
        <f t="shared" si="64"/>
        <v>1</v>
      </c>
      <c r="J4151" s="58">
        <v>1</v>
      </c>
      <c r="O4151">
        <v>1</v>
      </c>
      <c r="P4151" s="58">
        <v>0</v>
      </c>
      <c r="Q4151" s="58">
        <v>0</v>
      </c>
      <c r="R4151" s="58">
        <v>0</v>
      </c>
      <c r="S4151" s="58">
        <v>0</v>
      </c>
      <c r="T4151" s="58">
        <v>0</v>
      </c>
      <c r="U4151" s="58">
        <v>0</v>
      </c>
      <c r="V4151" s="58">
        <v>0</v>
      </c>
      <c r="W4151" s="4">
        <v>0</v>
      </c>
    </row>
    <row r="4152" spans="1:23" x14ac:dyDescent="0.35">
      <c r="A4152">
        <v>4148</v>
      </c>
      <c r="B4152">
        <v>4149</v>
      </c>
      <c r="C4152">
        <v>146.0395102</v>
      </c>
      <c r="D4152">
        <v>-17.52360114</v>
      </c>
      <c r="F4152" t="str">
        <f>HYPERLINK("D:\Data From Lucan\2024\Johnstone\Frames_for_Analysis\4149_20240610_0005_L_2756.jpg","4149_20240610_0005_L_2756.jpg")</f>
        <v>4149_20240610_0005_L_2756.jpg</v>
      </c>
      <c r="G4152">
        <v>3</v>
      </c>
      <c r="I4152">
        <f t="shared" si="64"/>
        <v>1</v>
      </c>
      <c r="J4152" s="58">
        <v>1</v>
      </c>
      <c r="O4152">
        <v>1</v>
      </c>
      <c r="P4152" s="58">
        <v>0</v>
      </c>
      <c r="Q4152" s="58">
        <v>0</v>
      </c>
      <c r="R4152" s="58">
        <v>0</v>
      </c>
      <c r="S4152" s="58">
        <v>0</v>
      </c>
      <c r="T4152" s="58">
        <v>0</v>
      </c>
      <c r="U4152" s="58">
        <v>0</v>
      </c>
      <c r="V4152" s="58">
        <v>0</v>
      </c>
      <c r="W4152" s="4">
        <v>0</v>
      </c>
    </row>
    <row r="4153" spans="1:23" x14ac:dyDescent="0.35">
      <c r="A4153">
        <v>4149</v>
      </c>
      <c r="B4153">
        <v>4150</v>
      </c>
      <c r="C4153">
        <v>146.03960290000001</v>
      </c>
      <c r="D4153">
        <v>-17.523583840000001</v>
      </c>
      <c r="F4153" t="str">
        <f>HYPERLINK("D:\Data From Lucan\2024\Johnstone\Frames_for_Analysis\4150_20240610_0005_L_2759.jpg","4150_20240610_0005_L_2759.jpg")</f>
        <v>4150_20240610_0005_L_2759.jpg</v>
      </c>
      <c r="G4153">
        <v>3</v>
      </c>
      <c r="I4153">
        <f t="shared" si="64"/>
        <v>1</v>
      </c>
      <c r="J4153" s="58">
        <v>1</v>
      </c>
      <c r="O4153">
        <v>1</v>
      </c>
      <c r="P4153" s="58">
        <v>0</v>
      </c>
      <c r="Q4153" s="58">
        <v>0</v>
      </c>
      <c r="R4153" s="58">
        <v>0</v>
      </c>
      <c r="S4153" s="58">
        <v>0</v>
      </c>
      <c r="T4153" s="58">
        <v>0</v>
      </c>
      <c r="U4153" s="58">
        <v>0</v>
      </c>
      <c r="V4153" s="58">
        <v>0</v>
      </c>
      <c r="W4153" s="4">
        <v>0</v>
      </c>
    </row>
    <row r="4154" spans="1:23" x14ac:dyDescent="0.35">
      <c r="A4154">
        <v>4150</v>
      </c>
      <c r="B4154">
        <v>4151</v>
      </c>
      <c r="C4154">
        <v>146.03969559999999</v>
      </c>
      <c r="D4154">
        <v>-17.523566540000001</v>
      </c>
      <c r="F4154" t="str">
        <f>HYPERLINK("D:\Data From Lucan\2024\Johnstone\Frames_for_Analysis\4151_20240610_0005_L_2763.jpg","4151_20240610_0005_L_2763.jpg")</f>
        <v>4151_20240610_0005_L_2763.jpg</v>
      </c>
      <c r="G4154">
        <v>3</v>
      </c>
      <c r="I4154">
        <f t="shared" si="64"/>
        <v>1</v>
      </c>
      <c r="J4154" s="58">
        <v>1</v>
      </c>
      <c r="O4154">
        <v>1</v>
      </c>
      <c r="P4154" s="58">
        <v>0</v>
      </c>
      <c r="Q4154" s="58">
        <v>0</v>
      </c>
      <c r="R4154" s="58">
        <v>0</v>
      </c>
      <c r="S4154" s="58">
        <v>0</v>
      </c>
      <c r="T4154" s="58">
        <v>0</v>
      </c>
      <c r="U4154" s="58">
        <v>0</v>
      </c>
      <c r="V4154" s="58">
        <v>0</v>
      </c>
      <c r="W4154" s="4">
        <v>0</v>
      </c>
    </row>
    <row r="4155" spans="1:23" x14ac:dyDescent="0.35">
      <c r="A4155">
        <v>4151</v>
      </c>
      <c r="B4155">
        <v>4152</v>
      </c>
      <c r="C4155">
        <v>146.0397883</v>
      </c>
      <c r="D4155">
        <v>-17.523549240000001</v>
      </c>
      <c r="F4155" t="str">
        <f>HYPERLINK("D:\Data From Lucan\2024\Johnstone\Frames_for_Analysis\4152_20240610_0005_L_2766.jpg","4152_20240610_0005_L_2766.jpg")</f>
        <v>4152_20240610_0005_L_2766.jpg</v>
      </c>
      <c r="G4155">
        <v>3</v>
      </c>
      <c r="I4155">
        <f t="shared" si="64"/>
        <v>1</v>
      </c>
      <c r="J4155" s="58">
        <v>1</v>
      </c>
      <c r="O4155">
        <v>1</v>
      </c>
      <c r="P4155" s="58">
        <v>0</v>
      </c>
      <c r="Q4155" s="58">
        <v>0</v>
      </c>
      <c r="R4155" s="58">
        <v>0</v>
      </c>
      <c r="S4155" s="58">
        <v>0</v>
      </c>
      <c r="T4155" s="58">
        <v>0</v>
      </c>
      <c r="U4155" s="58">
        <v>0</v>
      </c>
      <c r="V4155" s="58">
        <v>0</v>
      </c>
      <c r="W4155" s="4">
        <v>0</v>
      </c>
    </row>
    <row r="4156" spans="1:23" x14ac:dyDescent="0.35">
      <c r="A4156">
        <v>4152</v>
      </c>
      <c r="B4156">
        <v>4153</v>
      </c>
      <c r="C4156">
        <v>146.03988100000001</v>
      </c>
      <c r="D4156">
        <v>-17.523531940000002</v>
      </c>
      <c r="F4156" t="str">
        <f>HYPERLINK("D:\Data From Lucan\2024\Johnstone\Frames_for_Analysis\4153_20240610_0005_L_2768.jpg","4153_20240610_0005_L_2768.jpg")</f>
        <v>4153_20240610_0005_L_2768.jpg</v>
      </c>
      <c r="G4156">
        <v>3</v>
      </c>
      <c r="I4156">
        <f t="shared" si="64"/>
        <v>1</v>
      </c>
      <c r="J4156" s="58">
        <v>1</v>
      </c>
      <c r="O4156">
        <v>1</v>
      </c>
      <c r="P4156" s="58">
        <v>0</v>
      </c>
      <c r="Q4156" s="58">
        <v>0</v>
      </c>
      <c r="R4156" s="58">
        <v>0</v>
      </c>
      <c r="S4156" s="58">
        <v>0</v>
      </c>
      <c r="T4156" s="58">
        <v>0</v>
      </c>
      <c r="U4156" s="58">
        <v>0</v>
      </c>
      <c r="V4156" s="58">
        <v>0</v>
      </c>
      <c r="W4156" s="4">
        <v>0</v>
      </c>
    </row>
    <row r="4157" spans="1:23" x14ac:dyDescent="0.35">
      <c r="A4157">
        <v>4153</v>
      </c>
      <c r="B4157">
        <v>4154</v>
      </c>
      <c r="C4157">
        <v>146.03997369999999</v>
      </c>
      <c r="D4157">
        <v>-17.523514639999998</v>
      </c>
      <c r="F4157" t="str">
        <f>HYPERLINK("D:\Data From Lucan\2024\Johnstone\Frames_for_Analysis\4154_20240610_0005_L_2769.jpg","4154_20240610_0005_L_2769.jpg")</f>
        <v>4154_20240610_0005_L_2769.jpg</v>
      </c>
      <c r="G4157">
        <v>3</v>
      </c>
      <c r="I4157">
        <f t="shared" si="64"/>
        <v>1</v>
      </c>
      <c r="J4157" s="58">
        <v>1</v>
      </c>
      <c r="O4157">
        <v>1</v>
      </c>
      <c r="P4157" s="58">
        <v>0</v>
      </c>
      <c r="Q4157" s="58">
        <v>0</v>
      </c>
      <c r="R4157" s="58">
        <v>0</v>
      </c>
      <c r="S4157" s="58">
        <v>0</v>
      </c>
      <c r="T4157" s="58">
        <v>0</v>
      </c>
      <c r="U4157" s="58">
        <v>0</v>
      </c>
      <c r="V4157" s="58">
        <v>0</v>
      </c>
      <c r="W4157" s="4">
        <v>0</v>
      </c>
    </row>
    <row r="4158" spans="1:23" x14ac:dyDescent="0.35">
      <c r="A4158">
        <v>4154</v>
      </c>
      <c r="B4158">
        <v>4155</v>
      </c>
      <c r="C4158">
        <v>146.0400664</v>
      </c>
      <c r="D4158">
        <v>-17.52349735</v>
      </c>
      <c r="F4158" t="str">
        <f>HYPERLINK("D:\Data From Lucan\2024\Johnstone\Frames_for_Analysis\4155_20240610_0005_L_2774.jpg","4155_20240610_0005_L_2774.jpg")</f>
        <v>4155_20240610_0005_L_2774.jpg</v>
      </c>
      <c r="G4158">
        <v>3</v>
      </c>
      <c r="I4158">
        <f t="shared" si="64"/>
        <v>1</v>
      </c>
      <c r="J4158" s="58">
        <v>1</v>
      </c>
      <c r="O4158">
        <v>1</v>
      </c>
      <c r="P4158" s="58">
        <v>0</v>
      </c>
      <c r="Q4158" s="58">
        <v>0</v>
      </c>
      <c r="R4158" s="58">
        <v>0</v>
      </c>
      <c r="S4158" s="58">
        <v>0</v>
      </c>
      <c r="T4158" s="58">
        <v>0</v>
      </c>
      <c r="U4158" s="58">
        <v>0</v>
      </c>
      <c r="V4158" s="58">
        <v>0</v>
      </c>
      <c r="W4158" s="4">
        <v>0</v>
      </c>
    </row>
    <row r="4159" spans="1:23" x14ac:dyDescent="0.35">
      <c r="A4159">
        <v>4155</v>
      </c>
      <c r="B4159">
        <v>4156</v>
      </c>
      <c r="C4159">
        <v>146.0401564</v>
      </c>
      <c r="D4159">
        <v>-17.523469219999999</v>
      </c>
      <c r="F4159" t="str">
        <f>HYPERLINK("D:\Data From Lucan\2024\Johnstone\Frames_for_Analysis\4156_20240610_0005_L_2778.jpg","4156_20240610_0005_L_2778.jpg")</f>
        <v>4156_20240610_0005_L_2778.jpg</v>
      </c>
      <c r="G4159">
        <v>3</v>
      </c>
      <c r="I4159">
        <f t="shared" si="64"/>
        <v>1</v>
      </c>
      <c r="J4159" s="58">
        <v>1</v>
      </c>
      <c r="O4159">
        <v>1</v>
      </c>
      <c r="P4159" s="58">
        <v>0</v>
      </c>
      <c r="Q4159" s="58">
        <v>0</v>
      </c>
      <c r="R4159" s="58">
        <v>0</v>
      </c>
      <c r="S4159" s="58">
        <v>0</v>
      </c>
      <c r="T4159" s="58">
        <v>0</v>
      </c>
      <c r="U4159" s="58">
        <v>0</v>
      </c>
      <c r="V4159" s="58">
        <v>0</v>
      </c>
      <c r="W4159" s="4">
        <v>0</v>
      </c>
    </row>
    <row r="4160" spans="1:23" x14ac:dyDescent="0.35">
      <c r="A4160">
        <v>4156</v>
      </c>
      <c r="B4160">
        <v>4157</v>
      </c>
      <c r="C4160">
        <v>146.04024630000001</v>
      </c>
      <c r="D4160">
        <v>-17.523440820000001</v>
      </c>
      <c r="F4160" t="str">
        <f>HYPERLINK("D:\Data From Lucan\2024\Johnstone\Frames_for_Analysis\4157_20240610_0005_L_2781.jpg","4157_20240610_0005_L_2781.jpg")</f>
        <v>4157_20240610_0005_L_2781.jpg</v>
      </c>
      <c r="G4160">
        <v>3</v>
      </c>
      <c r="I4160">
        <f t="shared" si="64"/>
        <v>1</v>
      </c>
      <c r="J4160" s="58">
        <v>1</v>
      </c>
      <c r="O4160">
        <v>1</v>
      </c>
      <c r="P4160" s="58">
        <v>0</v>
      </c>
      <c r="Q4160" s="58">
        <v>0</v>
      </c>
      <c r="R4160" s="58">
        <v>0</v>
      </c>
      <c r="S4160" s="58">
        <v>0</v>
      </c>
      <c r="T4160" s="58">
        <v>0</v>
      </c>
      <c r="U4160" s="58">
        <v>0</v>
      </c>
      <c r="V4160" s="58">
        <v>0</v>
      </c>
      <c r="W4160" s="4">
        <v>0</v>
      </c>
    </row>
    <row r="4161" spans="1:23" x14ac:dyDescent="0.35">
      <c r="A4161">
        <v>4157</v>
      </c>
      <c r="B4161">
        <v>4158</v>
      </c>
      <c r="C4161">
        <v>146.04033620000001</v>
      </c>
      <c r="D4161">
        <v>-17.523412409999999</v>
      </c>
      <c r="F4161" t="str">
        <f>HYPERLINK("D:\Data From Lucan\2024\Johnstone\Frames_for_Analysis\4158_20240610_0005_L_2784.jpg","4158_20240610_0005_L_2784.jpg")</f>
        <v>4158_20240610_0005_L_2784.jpg</v>
      </c>
      <c r="G4161">
        <v>3</v>
      </c>
      <c r="I4161">
        <f t="shared" si="64"/>
        <v>1</v>
      </c>
      <c r="J4161" s="58">
        <v>1</v>
      </c>
      <c r="O4161">
        <v>1</v>
      </c>
      <c r="P4161" s="58">
        <v>0</v>
      </c>
      <c r="Q4161" s="58">
        <v>0</v>
      </c>
      <c r="R4161" s="58">
        <v>0</v>
      </c>
      <c r="S4161" s="58">
        <v>0</v>
      </c>
      <c r="T4161" s="58">
        <v>0</v>
      </c>
      <c r="U4161" s="58">
        <v>0</v>
      </c>
      <c r="V4161" s="58">
        <v>0</v>
      </c>
      <c r="W4161" s="4">
        <v>0</v>
      </c>
    </row>
    <row r="4162" spans="1:23" x14ac:dyDescent="0.35">
      <c r="A4162">
        <v>4158</v>
      </c>
      <c r="B4162">
        <v>4159</v>
      </c>
      <c r="C4162">
        <v>146.04042620000001</v>
      </c>
      <c r="D4162">
        <v>-17.523384010000001</v>
      </c>
      <c r="F4162" t="str">
        <f>HYPERLINK("D:\Data From Lucan\2024\Johnstone\Frames_for_Analysis\4159_20240610_0005_L_2787.jpg","4159_20240610_0005_L_2787.jpg")</f>
        <v>4159_20240610_0005_L_2787.jpg</v>
      </c>
      <c r="G4162">
        <v>3</v>
      </c>
      <c r="I4162">
        <f t="shared" si="64"/>
        <v>1</v>
      </c>
      <c r="J4162" s="58">
        <v>1</v>
      </c>
      <c r="O4162">
        <v>1</v>
      </c>
      <c r="P4162" s="58">
        <v>0</v>
      </c>
      <c r="Q4162" s="58">
        <v>0</v>
      </c>
      <c r="R4162" s="58">
        <v>0</v>
      </c>
      <c r="S4162" s="58">
        <v>0</v>
      </c>
      <c r="T4162" s="58">
        <v>0</v>
      </c>
      <c r="U4162" s="58">
        <v>0</v>
      </c>
      <c r="V4162" s="58">
        <v>0</v>
      </c>
      <c r="W4162" s="4">
        <v>0</v>
      </c>
    </row>
    <row r="4163" spans="1:23" x14ac:dyDescent="0.35">
      <c r="A4163">
        <v>4159</v>
      </c>
      <c r="B4163">
        <v>4160</v>
      </c>
      <c r="C4163">
        <v>146.04051609999999</v>
      </c>
      <c r="D4163">
        <v>-17.523355609999999</v>
      </c>
      <c r="F4163" t="str">
        <f>HYPERLINK("D:\Data From Lucan\2024\Johnstone\Frames_for_Analysis\4160_20240610_0005_L_2790.jpg","4160_20240610_0005_L_2790.jpg")</f>
        <v>4160_20240610_0005_L_2790.jpg</v>
      </c>
      <c r="G4163">
        <v>3</v>
      </c>
      <c r="I4163">
        <f t="shared" si="64"/>
        <v>1</v>
      </c>
      <c r="J4163" s="58">
        <v>1</v>
      </c>
      <c r="O4163">
        <v>1</v>
      </c>
      <c r="P4163" s="58">
        <v>0</v>
      </c>
      <c r="Q4163" s="58">
        <v>0</v>
      </c>
      <c r="R4163" s="58">
        <v>0</v>
      </c>
      <c r="S4163" s="58">
        <v>0</v>
      </c>
      <c r="T4163" s="58">
        <v>0</v>
      </c>
      <c r="U4163" s="58">
        <v>0</v>
      </c>
      <c r="V4163" s="58">
        <v>0</v>
      </c>
      <c r="W4163" s="4">
        <v>0</v>
      </c>
    </row>
    <row r="4164" spans="1:23" x14ac:dyDescent="0.35">
      <c r="A4164">
        <v>4160</v>
      </c>
      <c r="B4164">
        <v>4161</v>
      </c>
      <c r="C4164">
        <v>146.040606</v>
      </c>
      <c r="D4164">
        <v>-17.523327200000001</v>
      </c>
      <c r="F4164" t="str">
        <f>HYPERLINK("D:\Data From Lucan\2024\Johnstone\Frames_for_Analysis\4161_20240610_0005_L_2793.jpg","4161_20240610_0005_L_2793.jpg")</f>
        <v>4161_20240610_0005_L_2793.jpg</v>
      </c>
      <c r="G4164">
        <v>3</v>
      </c>
      <c r="I4164">
        <f t="shared" si="64"/>
        <v>1</v>
      </c>
      <c r="J4164" s="58">
        <v>1</v>
      </c>
      <c r="O4164">
        <v>1</v>
      </c>
      <c r="P4164" s="58">
        <v>0</v>
      </c>
      <c r="Q4164" s="58">
        <v>0</v>
      </c>
      <c r="R4164" s="58">
        <v>0</v>
      </c>
      <c r="S4164" s="58">
        <v>0</v>
      </c>
      <c r="T4164" s="58">
        <v>0</v>
      </c>
      <c r="U4164" s="58">
        <v>0</v>
      </c>
      <c r="V4164" s="58">
        <v>0</v>
      </c>
      <c r="W4164" s="4">
        <v>0</v>
      </c>
    </row>
    <row r="4165" spans="1:23" x14ac:dyDescent="0.35">
      <c r="A4165">
        <v>4161</v>
      </c>
      <c r="B4165">
        <v>4162</v>
      </c>
      <c r="C4165">
        <v>146.04069670000001</v>
      </c>
      <c r="D4165">
        <v>-17.523301360000001</v>
      </c>
      <c r="F4165" t="str">
        <f>HYPERLINK("D:\Data From Lucan\2024\Johnstone\Frames_for_Analysis\4162_20240610_0005_L_2796.jpg","4162_20240610_0005_L_2796.jpg")</f>
        <v>4162_20240610_0005_L_2796.jpg</v>
      </c>
      <c r="G4165">
        <v>3</v>
      </c>
      <c r="I4165">
        <f t="shared" ref="I4165:I4228" si="65">IF(H4165="X","X",IF(J4165="NA","X",IF(J4165="","X",J4165)))</f>
        <v>1</v>
      </c>
      <c r="J4165" s="58">
        <v>1</v>
      </c>
      <c r="O4165">
        <v>1</v>
      </c>
      <c r="P4165" s="58">
        <v>0</v>
      </c>
      <c r="Q4165" s="58">
        <v>0</v>
      </c>
      <c r="R4165" s="58">
        <v>0</v>
      </c>
      <c r="S4165" s="58">
        <v>0</v>
      </c>
      <c r="T4165" s="58">
        <v>0</v>
      </c>
      <c r="U4165" s="58">
        <v>0</v>
      </c>
      <c r="V4165" s="58">
        <v>0</v>
      </c>
      <c r="W4165" s="4">
        <v>0</v>
      </c>
    </row>
    <row r="4166" spans="1:23" x14ac:dyDescent="0.35">
      <c r="A4166">
        <v>4162</v>
      </c>
      <c r="B4166">
        <v>4163</v>
      </c>
      <c r="C4166">
        <v>146.04078770000001</v>
      </c>
      <c r="D4166">
        <v>-17.523276660000001</v>
      </c>
      <c r="F4166" t="str">
        <f>HYPERLINK("D:\Data From Lucan\2024\Johnstone\Frames_for_Analysis\4163_20240610_0005_L_2800.jpg","4163_20240610_0005_L_2800.jpg")</f>
        <v>4163_20240610_0005_L_2800.jpg</v>
      </c>
      <c r="G4166">
        <v>3</v>
      </c>
      <c r="I4166">
        <f t="shared" si="65"/>
        <v>1</v>
      </c>
      <c r="J4166" s="58">
        <v>1</v>
      </c>
      <c r="O4166">
        <v>1</v>
      </c>
      <c r="P4166" s="58">
        <v>0</v>
      </c>
      <c r="Q4166" s="58">
        <v>0</v>
      </c>
      <c r="R4166" s="58">
        <v>0</v>
      </c>
      <c r="S4166" s="58">
        <v>0</v>
      </c>
      <c r="T4166" s="58">
        <v>1</v>
      </c>
      <c r="U4166" s="58">
        <v>0</v>
      </c>
      <c r="V4166" s="58">
        <v>0</v>
      </c>
      <c r="W4166" s="4">
        <v>0</v>
      </c>
    </row>
    <row r="4167" spans="1:23" x14ac:dyDescent="0.35">
      <c r="A4167">
        <v>4163</v>
      </c>
      <c r="B4167">
        <v>4164</v>
      </c>
      <c r="C4167">
        <v>146.04087870000001</v>
      </c>
      <c r="D4167">
        <v>-17.523251949999999</v>
      </c>
      <c r="F4167" t="str">
        <f>HYPERLINK("D:\Data From Lucan\2024\Johnstone\Frames_for_Analysis\4164_20240610_0005_L_2802.jpg","4164_20240610_0005_L_2802.jpg")</f>
        <v>4164_20240610_0005_L_2802.jpg</v>
      </c>
      <c r="G4167">
        <v>3</v>
      </c>
      <c r="I4167">
        <f t="shared" si="65"/>
        <v>1</v>
      </c>
      <c r="J4167" s="58">
        <v>1</v>
      </c>
      <c r="O4167">
        <v>1</v>
      </c>
      <c r="P4167" s="58">
        <v>0</v>
      </c>
      <c r="Q4167" s="58">
        <v>0</v>
      </c>
      <c r="R4167" s="58">
        <v>0</v>
      </c>
      <c r="S4167" s="58">
        <v>0</v>
      </c>
      <c r="T4167" s="58">
        <v>0</v>
      </c>
      <c r="U4167" s="58">
        <v>0</v>
      </c>
      <c r="V4167" s="58">
        <v>0</v>
      </c>
      <c r="W4167" s="4">
        <v>0</v>
      </c>
    </row>
    <row r="4168" spans="1:23" x14ac:dyDescent="0.35">
      <c r="A4168">
        <v>4164</v>
      </c>
      <c r="B4168">
        <v>4165</v>
      </c>
      <c r="C4168">
        <v>146.04096970000001</v>
      </c>
      <c r="D4168">
        <v>-17.523227240000001</v>
      </c>
      <c r="F4168" t="str">
        <f>HYPERLINK("D:\Data From Lucan\2024\Johnstone\Frames_for_Analysis\4165_20240610_0005_L_2805.jpg","4165_20240610_0005_L_2805.jpg")</f>
        <v>4165_20240610_0005_L_2805.jpg</v>
      </c>
      <c r="G4168">
        <v>3</v>
      </c>
      <c r="I4168">
        <f t="shared" si="65"/>
        <v>1</v>
      </c>
      <c r="J4168" s="58">
        <v>1</v>
      </c>
      <c r="O4168">
        <v>1</v>
      </c>
      <c r="P4168" s="58">
        <v>0</v>
      </c>
      <c r="Q4168" s="58">
        <v>0</v>
      </c>
      <c r="R4168" s="58">
        <v>0</v>
      </c>
      <c r="S4168" s="58">
        <v>0</v>
      </c>
      <c r="T4168" s="58">
        <v>0</v>
      </c>
      <c r="U4168" s="58">
        <v>0</v>
      </c>
      <c r="V4168" s="58">
        <v>0</v>
      </c>
      <c r="W4168" s="4">
        <v>0</v>
      </c>
    </row>
    <row r="4169" spans="1:23" x14ac:dyDescent="0.35">
      <c r="A4169">
        <v>4165</v>
      </c>
      <c r="B4169">
        <v>4166</v>
      </c>
      <c r="C4169">
        <v>146.0410607</v>
      </c>
      <c r="D4169">
        <v>-17.52320254</v>
      </c>
      <c r="F4169" t="str">
        <f>HYPERLINK("D:\Data From Lucan\2024\Johnstone\Frames_for_Analysis\4166_20240610_0005_L_2807.jpg","4166_20240610_0005_L_2807.jpg")</f>
        <v>4166_20240610_0005_L_2807.jpg</v>
      </c>
      <c r="G4169">
        <v>3</v>
      </c>
      <c r="I4169">
        <f t="shared" si="65"/>
        <v>1</v>
      </c>
      <c r="J4169" s="58">
        <v>1</v>
      </c>
      <c r="O4169">
        <v>1</v>
      </c>
      <c r="P4169" s="58">
        <v>0</v>
      </c>
      <c r="Q4169" s="58">
        <v>0</v>
      </c>
      <c r="R4169" s="58">
        <v>0</v>
      </c>
      <c r="S4169" s="58">
        <v>0</v>
      </c>
      <c r="T4169" s="58">
        <v>0</v>
      </c>
      <c r="U4169" s="58">
        <v>0</v>
      </c>
      <c r="V4169" s="58">
        <v>0</v>
      </c>
      <c r="W4169" s="4">
        <v>0</v>
      </c>
    </row>
    <row r="4170" spans="1:23" x14ac:dyDescent="0.35">
      <c r="A4170">
        <v>4166</v>
      </c>
      <c r="B4170">
        <v>4167</v>
      </c>
      <c r="C4170">
        <v>146.0411517</v>
      </c>
      <c r="D4170">
        <v>-17.523177830000002</v>
      </c>
      <c r="F4170" t="str">
        <f>HYPERLINK("D:\Data From Lucan\2024\Johnstone\Frames_for_Analysis\4167_20240610_0005_L_2812.jpg","4167_20240610_0005_L_2812.jpg")</f>
        <v>4167_20240610_0005_L_2812.jpg</v>
      </c>
      <c r="G4170">
        <v>3</v>
      </c>
      <c r="I4170">
        <f t="shared" si="65"/>
        <v>1</v>
      </c>
      <c r="J4170" s="58">
        <v>1</v>
      </c>
      <c r="O4170">
        <v>1</v>
      </c>
      <c r="P4170" s="58">
        <v>0</v>
      </c>
      <c r="Q4170" s="58">
        <v>0</v>
      </c>
      <c r="R4170" s="58">
        <v>0</v>
      </c>
      <c r="S4170" s="58">
        <v>0</v>
      </c>
      <c r="T4170" s="58">
        <v>0</v>
      </c>
      <c r="U4170" s="58">
        <v>0</v>
      </c>
      <c r="V4170" s="58">
        <v>0</v>
      </c>
      <c r="W4170" s="4">
        <v>0</v>
      </c>
    </row>
    <row r="4171" spans="1:23" x14ac:dyDescent="0.35">
      <c r="A4171">
        <v>4167</v>
      </c>
      <c r="B4171">
        <v>4168</v>
      </c>
      <c r="C4171">
        <v>146.04123490000001</v>
      </c>
      <c r="D4171">
        <v>-17.523136959999999</v>
      </c>
      <c r="F4171" t="str">
        <f>HYPERLINK("D:\Data From Lucan\2024\Johnstone\Frames_for_Analysis\4168_20240610_0005_L_2840.jpg","4168_20240610_0005_L_2840.jpg")</f>
        <v>4168_20240610_0005_L_2840.jpg</v>
      </c>
      <c r="G4171">
        <v>3</v>
      </c>
      <c r="I4171">
        <f t="shared" si="65"/>
        <v>1</v>
      </c>
      <c r="J4171" s="58">
        <v>1</v>
      </c>
      <c r="O4171">
        <v>1</v>
      </c>
      <c r="P4171" s="58">
        <v>0</v>
      </c>
      <c r="Q4171" s="58">
        <v>0</v>
      </c>
      <c r="R4171" s="58">
        <v>0</v>
      </c>
      <c r="S4171" s="58">
        <v>0</v>
      </c>
      <c r="T4171" s="58">
        <v>0</v>
      </c>
      <c r="U4171" s="58">
        <v>0</v>
      </c>
      <c r="V4171" s="58">
        <v>0</v>
      </c>
      <c r="W4171" s="4">
        <v>0</v>
      </c>
    </row>
    <row r="4172" spans="1:23" x14ac:dyDescent="0.35">
      <c r="A4172">
        <v>4168</v>
      </c>
      <c r="B4172">
        <v>4169</v>
      </c>
      <c r="C4172">
        <v>146.0413106</v>
      </c>
      <c r="D4172">
        <v>-17.523080749999998</v>
      </c>
      <c r="F4172" t="str">
        <f>HYPERLINK("D:\Data From Lucan\2024\Johnstone\Frames_for_Analysis\4169_20240610_0005_L_2828.jpg","4169_20240610_0005_L_2828.jpg")</f>
        <v>4169_20240610_0005_L_2828.jpg</v>
      </c>
      <c r="G4172">
        <v>3</v>
      </c>
      <c r="I4172">
        <f t="shared" si="65"/>
        <v>1</v>
      </c>
      <c r="J4172" s="58">
        <v>1</v>
      </c>
      <c r="O4172">
        <v>1</v>
      </c>
      <c r="P4172" s="58">
        <v>0</v>
      </c>
      <c r="Q4172" s="58">
        <v>0</v>
      </c>
      <c r="R4172" s="58">
        <v>0</v>
      </c>
      <c r="S4172" s="58">
        <v>0</v>
      </c>
      <c r="T4172" s="58">
        <v>0</v>
      </c>
      <c r="U4172" s="58">
        <v>0</v>
      </c>
      <c r="V4172" s="58">
        <v>0</v>
      </c>
      <c r="W4172" s="4">
        <v>0</v>
      </c>
    </row>
    <row r="4173" spans="1:23" x14ac:dyDescent="0.35">
      <c r="A4173">
        <v>4169</v>
      </c>
      <c r="B4173">
        <v>4170</v>
      </c>
      <c r="C4173">
        <v>146.0413891</v>
      </c>
      <c r="D4173">
        <v>-17.523029520000001</v>
      </c>
      <c r="F4173" t="str">
        <f>HYPERLINK("D:\Data From Lucan\2024\Johnstone\Frames_for_Analysis\4170_20240610_0005_L_2845.jpg","4170_20240610_0005_L_2845.jpg")</f>
        <v>4170_20240610_0005_L_2845.jpg</v>
      </c>
      <c r="G4173">
        <v>3</v>
      </c>
      <c r="I4173">
        <f t="shared" si="65"/>
        <v>1</v>
      </c>
      <c r="J4173" s="58">
        <v>1</v>
      </c>
      <c r="O4173">
        <v>1</v>
      </c>
      <c r="P4173" s="58">
        <v>0</v>
      </c>
      <c r="Q4173" s="58">
        <v>0</v>
      </c>
      <c r="R4173" s="58">
        <v>0</v>
      </c>
      <c r="S4173" s="58">
        <v>0</v>
      </c>
      <c r="T4173" s="58">
        <v>0</v>
      </c>
      <c r="U4173" s="58">
        <v>0</v>
      </c>
      <c r="V4173" s="58">
        <v>0</v>
      </c>
      <c r="W4173" s="4">
        <v>0</v>
      </c>
    </row>
    <row r="4174" spans="1:23" x14ac:dyDescent="0.35">
      <c r="A4174">
        <v>4170</v>
      </c>
      <c r="B4174">
        <v>4171</v>
      </c>
      <c r="C4174">
        <v>146.0414773</v>
      </c>
      <c r="D4174">
        <v>-17.522996330000002</v>
      </c>
      <c r="F4174" t="str">
        <f>HYPERLINK("D:\Data From Lucan\2024\Johnstone\Frames_for_Analysis\4171_20240610_0005_L_2819.jpg","4171_20240610_0005_L_2819.jpg")</f>
        <v>4171_20240610_0005_L_2819.jpg</v>
      </c>
      <c r="G4174">
        <v>3</v>
      </c>
      <c r="I4174">
        <f t="shared" si="65"/>
        <v>1</v>
      </c>
      <c r="J4174" s="58">
        <v>1</v>
      </c>
      <c r="O4174">
        <v>1</v>
      </c>
      <c r="P4174" s="58">
        <v>0</v>
      </c>
      <c r="Q4174" s="58">
        <v>0</v>
      </c>
      <c r="R4174" s="58">
        <v>0</v>
      </c>
      <c r="S4174" s="58">
        <v>0</v>
      </c>
      <c r="T4174" s="58">
        <v>0</v>
      </c>
      <c r="U4174" s="58">
        <v>0</v>
      </c>
      <c r="V4174" s="58">
        <v>0</v>
      </c>
      <c r="W4174" s="4">
        <v>0</v>
      </c>
    </row>
    <row r="4175" spans="1:23" x14ac:dyDescent="0.35">
      <c r="A4175">
        <v>4171</v>
      </c>
      <c r="B4175">
        <v>4172</v>
      </c>
      <c r="C4175">
        <v>146.04156560000001</v>
      </c>
      <c r="D4175">
        <v>-17.522963140000002</v>
      </c>
      <c r="F4175" t="str">
        <f>HYPERLINK("D:\Data From Lucan\2024\Johnstone\Frames_for_Analysis\4172_20240610_0005_L_2823.jpg","4172_20240610_0005_L_2823.jpg")</f>
        <v>4172_20240610_0005_L_2823.jpg</v>
      </c>
      <c r="G4175">
        <v>3</v>
      </c>
      <c r="I4175">
        <f t="shared" si="65"/>
        <v>1</v>
      </c>
      <c r="J4175" s="58">
        <v>1</v>
      </c>
      <c r="O4175">
        <v>1</v>
      </c>
      <c r="P4175" s="58">
        <v>0</v>
      </c>
      <c r="Q4175" s="58">
        <v>0</v>
      </c>
      <c r="R4175" s="58">
        <v>0</v>
      </c>
      <c r="S4175" s="58">
        <v>0</v>
      </c>
      <c r="T4175" s="58">
        <v>0</v>
      </c>
      <c r="U4175" s="58">
        <v>0</v>
      </c>
      <c r="V4175" s="58">
        <v>0</v>
      </c>
      <c r="W4175" s="4">
        <v>0</v>
      </c>
    </row>
    <row r="4176" spans="1:23" x14ac:dyDescent="0.35">
      <c r="A4176">
        <v>4172</v>
      </c>
      <c r="B4176">
        <v>4173</v>
      </c>
      <c r="C4176">
        <v>146.0416539</v>
      </c>
      <c r="D4176">
        <v>-17.522929950000002</v>
      </c>
      <c r="F4176" t="str">
        <f>HYPERLINK("D:\Data From Lucan\2024\Johnstone\Frames_for_Analysis\4173_20240610_0005_L_2833.jpg","4173_20240610_0005_L_2833.jpg")</f>
        <v>4173_20240610_0005_L_2833.jpg</v>
      </c>
      <c r="G4176">
        <v>3</v>
      </c>
      <c r="I4176">
        <f t="shared" si="65"/>
        <v>1</v>
      </c>
      <c r="J4176" s="58">
        <v>1</v>
      </c>
      <c r="O4176">
        <v>1</v>
      </c>
      <c r="P4176" s="58">
        <v>0</v>
      </c>
      <c r="Q4176" s="58">
        <v>0</v>
      </c>
      <c r="R4176" s="58">
        <v>0</v>
      </c>
      <c r="S4176" s="58">
        <v>0</v>
      </c>
      <c r="T4176" s="58">
        <v>0</v>
      </c>
      <c r="U4176" s="58">
        <v>0</v>
      </c>
      <c r="V4176" s="58">
        <v>0</v>
      </c>
      <c r="W4176" s="4">
        <v>0</v>
      </c>
    </row>
    <row r="4177" spans="1:23" x14ac:dyDescent="0.35">
      <c r="A4177">
        <v>4173</v>
      </c>
      <c r="B4177">
        <v>4174</v>
      </c>
      <c r="C4177">
        <v>146.04172460000001</v>
      </c>
      <c r="D4177">
        <v>-17.522867659999999</v>
      </c>
      <c r="F4177" t="str">
        <f>HYPERLINK("D:\Data From Lucan\2024\Johnstone\Frames_for_Analysis\4174_20240610_0005_L_2862.jpg","4174_20240610_0005_L_2862.jpg")</f>
        <v>4174_20240610_0005_L_2862.jpg</v>
      </c>
      <c r="G4177">
        <v>3</v>
      </c>
      <c r="I4177">
        <f t="shared" si="65"/>
        <v>1</v>
      </c>
      <c r="J4177" s="58">
        <v>1</v>
      </c>
      <c r="O4177">
        <v>1</v>
      </c>
      <c r="P4177" s="58">
        <v>0</v>
      </c>
      <c r="Q4177" s="58">
        <v>0</v>
      </c>
      <c r="R4177" s="58">
        <v>0</v>
      </c>
      <c r="S4177" s="58">
        <v>0</v>
      </c>
      <c r="T4177" s="58">
        <v>0</v>
      </c>
      <c r="U4177" s="58">
        <v>0</v>
      </c>
      <c r="V4177" s="58">
        <v>0</v>
      </c>
      <c r="W4177" s="4">
        <v>0</v>
      </c>
    </row>
    <row r="4178" spans="1:23" x14ac:dyDescent="0.35">
      <c r="A4178">
        <v>4174</v>
      </c>
      <c r="B4178">
        <v>4175</v>
      </c>
      <c r="C4178">
        <v>146.04179529999999</v>
      </c>
      <c r="D4178">
        <v>-17.522805250000001</v>
      </c>
      <c r="G4178">
        <v>3</v>
      </c>
      <c r="H4178" t="s">
        <v>26</v>
      </c>
      <c r="I4178" t="str">
        <f t="shared" si="65"/>
        <v>X</v>
      </c>
      <c r="O4178">
        <v>1</v>
      </c>
      <c r="W4178" s="4">
        <v>0</v>
      </c>
    </row>
    <row r="4179" spans="1:23" x14ac:dyDescent="0.35">
      <c r="A4179">
        <v>4175</v>
      </c>
      <c r="B4179">
        <v>4176</v>
      </c>
      <c r="C4179">
        <v>146.04186530000001</v>
      </c>
      <c r="D4179">
        <v>-17.522765490000001</v>
      </c>
      <c r="G4179">
        <v>3</v>
      </c>
      <c r="H4179" t="s">
        <v>26</v>
      </c>
      <c r="I4179" t="str">
        <f t="shared" si="65"/>
        <v>X</v>
      </c>
      <c r="O4179">
        <v>1</v>
      </c>
      <c r="W4179" s="4">
        <v>0</v>
      </c>
    </row>
    <row r="4180" spans="1:23" x14ac:dyDescent="0.35">
      <c r="A4180">
        <v>4176</v>
      </c>
      <c r="B4180">
        <v>4177</v>
      </c>
      <c r="C4180">
        <v>146.04209539999999</v>
      </c>
      <c r="D4180">
        <v>-17.523207849999999</v>
      </c>
      <c r="G4180">
        <v>3</v>
      </c>
      <c r="H4180" t="s">
        <v>26</v>
      </c>
      <c r="I4180" t="str">
        <f t="shared" si="65"/>
        <v>X</v>
      </c>
      <c r="O4180">
        <v>1</v>
      </c>
      <c r="W4180" s="4">
        <v>0</v>
      </c>
    </row>
    <row r="4181" spans="1:23" x14ac:dyDescent="0.35">
      <c r="A4181">
        <v>4177</v>
      </c>
      <c r="B4181">
        <v>4178</v>
      </c>
      <c r="C4181">
        <v>146.04202119999999</v>
      </c>
      <c r="D4181">
        <v>-17.52326609</v>
      </c>
      <c r="G4181">
        <v>3</v>
      </c>
      <c r="H4181" t="s">
        <v>26</v>
      </c>
      <c r="I4181" t="str">
        <f t="shared" si="65"/>
        <v>X</v>
      </c>
      <c r="O4181">
        <v>1</v>
      </c>
      <c r="W4181" s="4">
        <v>0</v>
      </c>
    </row>
    <row r="4182" spans="1:23" x14ac:dyDescent="0.35">
      <c r="A4182">
        <v>4178</v>
      </c>
      <c r="B4182">
        <v>4179</v>
      </c>
      <c r="C4182">
        <v>146.0419641</v>
      </c>
      <c r="D4182">
        <v>-17.523337649999998</v>
      </c>
      <c r="G4182">
        <v>3</v>
      </c>
      <c r="H4182" t="s">
        <v>26</v>
      </c>
      <c r="I4182" t="str">
        <f t="shared" si="65"/>
        <v>X</v>
      </c>
      <c r="O4182">
        <v>1</v>
      </c>
      <c r="W4182" s="4">
        <v>0</v>
      </c>
    </row>
    <row r="4183" spans="1:23" x14ac:dyDescent="0.35">
      <c r="A4183">
        <v>4179</v>
      </c>
      <c r="B4183">
        <v>4180</v>
      </c>
      <c r="C4183">
        <v>146.04192549999999</v>
      </c>
      <c r="D4183">
        <v>-17.523423699999999</v>
      </c>
      <c r="G4183">
        <v>3</v>
      </c>
      <c r="H4183" t="s">
        <v>26</v>
      </c>
      <c r="I4183" t="str">
        <f t="shared" si="65"/>
        <v>X</v>
      </c>
      <c r="O4183">
        <v>1</v>
      </c>
      <c r="W4183" s="4">
        <v>0</v>
      </c>
    </row>
    <row r="4184" spans="1:23" x14ac:dyDescent="0.35">
      <c r="A4184">
        <v>4180</v>
      </c>
      <c r="B4184">
        <v>4181</v>
      </c>
      <c r="C4184">
        <v>146.04191489999999</v>
      </c>
      <c r="D4184">
        <v>-17.52351178</v>
      </c>
      <c r="G4184">
        <v>3</v>
      </c>
      <c r="H4184" t="s">
        <v>26</v>
      </c>
      <c r="I4184" t="str">
        <f t="shared" si="65"/>
        <v>X</v>
      </c>
      <c r="O4184">
        <v>1</v>
      </c>
      <c r="W4184" s="4">
        <v>0</v>
      </c>
    </row>
    <row r="4185" spans="1:23" x14ac:dyDescent="0.35">
      <c r="A4185">
        <v>4181</v>
      </c>
      <c r="B4185">
        <v>4182</v>
      </c>
      <c r="C4185">
        <v>146.04196300000001</v>
      </c>
      <c r="D4185">
        <v>-17.52358328</v>
      </c>
      <c r="F4185" t="str">
        <f>HYPERLINK("D:\Data From Lucan\2024\Johnstone\Frames_for_Analysis\4182_20240610_0005_L_2863.jpg","4182_20240610_0005_L_2863.jpg")</f>
        <v>4182_20240610_0005_L_2863.jpg</v>
      </c>
      <c r="G4185">
        <v>3</v>
      </c>
      <c r="I4185">
        <f t="shared" si="65"/>
        <v>1</v>
      </c>
      <c r="J4185" s="58">
        <v>1</v>
      </c>
      <c r="O4185">
        <v>1</v>
      </c>
      <c r="P4185" s="58">
        <v>0</v>
      </c>
      <c r="Q4185" s="58">
        <v>0</v>
      </c>
      <c r="R4185" s="58">
        <v>0</v>
      </c>
      <c r="S4185" s="58">
        <v>0</v>
      </c>
      <c r="T4185" s="58">
        <v>0</v>
      </c>
      <c r="U4185" s="58">
        <v>0</v>
      </c>
      <c r="V4185" s="58">
        <v>0</v>
      </c>
      <c r="W4185" s="4">
        <v>0</v>
      </c>
    </row>
    <row r="4186" spans="1:23" x14ac:dyDescent="0.35">
      <c r="A4186">
        <v>4182</v>
      </c>
      <c r="B4186">
        <v>4183</v>
      </c>
      <c r="C4186">
        <v>146.0420488</v>
      </c>
      <c r="D4186">
        <v>-17.523622509999999</v>
      </c>
      <c r="F4186" t="str">
        <f>HYPERLINK("D:\Data From Lucan\2024\Johnstone\Frames_for_Analysis\4183_20240610_0005_L_2865.jpg","4183_20240610_0005_L_2865.jpg")</f>
        <v>4183_20240610_0005_L_2865.jpg</v>
      </c>
      <c r="G4186">
        <v>3</v>
      </c>
      <c r="I4186">
        <f t="shared" si="65"/>
        <v>1</v>
      </c>
      <c r="J4186" s="58">
        <v>1</v>
      </c>
      <c r="O4186">
        <v>1</v>
      </c>
      <c r="P4186" s="58">
        <v>0</v>
      </c>
      <c r="Q4186" s="58">
        <v>0</v>
      </c>
      <c r="R4186" s="58">
        <v>0</v>
      </c>
      <c r="S4186" s="58">
        <v>0</v>
      </c>
      <c r="T4186" s="58">
        <v>0</v>
      </c>
      <c r="U4186" s="58">
        <v>0</v>
      </c>
      <c r="V4186" s="58">
        <v>0</v>
      </c>
      <c r="W4186" s="4">
        <v>0</v>
      </c>
    </row>
    <row r="4187" spans="1:23" x14ac:dyDescent="0.35">
      <c r="A4187">
        <v>4183</v>
      </c>
      <c r="B4187">
        <v>4184</v>
      </c>
      <c r="C4187">
        <v>146.042136</v>
      </c>
      <c r="D4187">
        <v>-17.523654969999999</v>
      </c>
      <c r="F4187" t="str">
        <f>HYPERLINK("D:\Data From Lucan\2024\Johnstone\Frames_for_Analysis\4184_20240610_0005_L_2867.jpg","4184_20240610_0005_L_2867.jpg")</f>
        <v>4184_20240610_0005_L_2867.jpg</v>
      </c>
      <c r="G4187">
        <v>3</v>
      </c>
      <c r="I4187">
        <f t="shared" si="65"/>
        <v>1</v>
      </c>
      <c r="J4187" s="58">
        <v>1</v>
      </c>
      <c r="O4187">
        <v>1</v>
      </c>
      <c r="P4187" s="58">
        <v>0</v>
      </c>
      <c r="Q4187" s="58">
        <v>0</v>
      </c>
      <c r="R4187" s="58">
        <v>0</v>
      </c>
      <c r="S4187" s="58">
        <v>0</v>
      </c>
      <c r="T4187" s="58">
        <v>0</v>
      </c>
      <c r="U4187" s="58">
        <v>0</v>
      </c>
      <c r="V4187" s="58">
        <v>0</v>
      </c>
      <c r="W4187" s="4">
        <v>0</v>
      </c>
    </row>
    <row r="4188" spans="1:23" x14ac:dyDescent="0.35">
      <c r="A4188">
        <v>4184</v>
      </c>
      <c r="B4188">
        <v>4185</v>
      </c>
      <c r="C4188">
        <v>146.0422303</v>
      </c>
      <c r="D4188">
        <v>-17.523654629999999</v>
      </c>
      <c r="F4188" t="str">
        <f>HYPERLINK("D:\Data From Lucan\2024\Johnstone\Frames_for_Analysis\4185_20240610_0005_L_2872.jpg","4185_20240610_0005_L_2872.jpg")</f>
        <v>4185_20240610_0005_L_2872.jpg</v>
      </c>
      <c r="G4188">
        <v>3</v>
      </c>
      <c r="I4188">
        <f t="shared" si="65"/>
        <v>1</v>
      </c>
      <c r="J4188" s="58">
        <v>1</v>
      </c>
      <c r="O4188">
        <v>1</v>
      </c>
      <c r="P4188" s="58">
        <v>0</v>
      </c>
      <c r="Q4188" s="58">
        <v>0</v>
      </c>
      <c r="R4188" s="58">
        <v>0</v>
      </c>
      <c r="S4188" s="58">
        <v>0</v>
      </c>
      <c r="T4188" s="58">
        <v>0</v>
      </c>
      <c r="U4188" s="58">
        <v>0</v>
      </c>
      <c r="V4188" s="58">
        <v>0</v>
      </c>
      <c r="W4188" s="4">
        <v>0</v>
      </c>
    </row>
    <row r="4189" spans="1:23" x14ac:dyDescent="0.35">
      <c r="A4189">
        <v>4185</v>
      </c>
      <c r="B4189">
        <v>4186</v>
      </c>
      <c r="C4189">
        <v>146.0423246</v>
      </c>
      <c r="D4189">
        <v>-17.52365429</v>
      </c>
      <c r="F4189" t="str">
        <f>HYPERLINK("D:\Data From Lucan\2024\Johnstone\Frames_for_Analysis\4186_20240610_0005_L_2876.jpg","4186_20240610_0005_L_2876.jpg")</f>
        <v>4186_20240610_0005_L_2876.jpg</v>
      </c>
      <c r="G4189">
        <v>3</v>
      </c>
      <c r="I4189">
        <f t="shared" si="65"/>
        <v>1</v>
      </c>
      <c r="J4189" s="58">
        <v>1</v>
      </c>
      <c r="O4189">
        <v>1</v>
      </c>
      <c r="P4189" s="58">
        <v>0</v>
      </c>
      <c r="Q4189" s="58">
        <v>0</v>
      </c>
      <c r="R4189" s="58">
        <v>0</v>
      </c>
      <c r="S4189" s="58">
        <v>0</v>
      </c>
      <c r="T4189" s="58">
        <v>0</v>
      </c>
      <c r="U4189" s="58">
        <v>0</v>
      </c>
      <c r="V4189" s="58">
        <v>0</v>
      </c>
      <c r="W4189" s="4">
        <v>0</v>
      </c>
    </row>
    <row r="4190" spans="1:23" x14ac:dyDescent="0.35">
      <c r="A4190">
        <v>4186</v>
      </c>
      <c r="B4190">
        <v>4187</v>
      </c>
      <c r="C4190">
        <v>146.0424189</v>
      </c>
      <c r="D4190">
        <v>-17.523653960000001</v>
      </c>
      <c r="F4190" t="str">
        <f>HYPERLINK("D:\Data From Lucan\2024\Johnstone\Frames_for_Analysis\4187_20240610_0005_L_2879.jpg","4187_20240610_0005_L_2879.jpg")</f>
        <v>4187_20240610_0005_L_2879.jpg</v>
      </c>
      <c r="G4190">
        <v>3</v>
      </c>
      <c r="I4190">
        <f t="shared" si="65"/>
        <v>1</v>
      </c>
      <c r="J4190" s="58">
        <v>1</v>
      </c>
      <c r="O4190">
        <v>1</v>
      </c>
      <c r="P4190" s="58">
        <v>0</v>
      </c>
      <c r="Q4190" s="58">
        <v>0</v>
      </c>
      <c r="R4190" s="58">
        <v>0</v>
      </c>
      <c r="S4190" s="58">
        <v>0</v>
      </c>
      <c r="T4190" s="58">
        <v>0</v>
      </c>
      <c r="U4190" s="58">
        <v>0</v>
      </c>
      <c r="V4190" s="58">
        <v>0</v>
      </c>
      <c r="W4190" s="4">
        <v>0</v>
      </c>
    </row>
    <row r="4191" spans="1:23" x14ac:dyDescent="0.35">
      <c r="A4191">
        <v>4187</v>
      </c>
      <c r="B4191">
        <v>4188</v>
      </c>
      <c r="C4191">
        <v>146.0425132</v>
      </c>
      <c r="D4191">
        <v>-17.523653620000001</v>
      </c>
      <c r="F4191" t="str">
        <f>HYPERLINK("D:\Data From Lucan\2024\Johnstone\Frames_for_Analysis\4188_20240610_0005_L_2882.jpg","4188_20240610_0005_L_2882.jpg")</f>
        <v>4188_20240610_0005_L_2882.jpg</v>
      </c>
      <c r="G4191">
        <v>3</v>
      </c>
      <c r="I4191">
        <f t="shared" si="65"/>
        <v>1</v>
      </c>
      <c r="J4191" s="58">
        <v>1</v>
      </c>
      <c r="O4191">
        <v>1</v>
      </c>
      <c r="P4191" s="58">
        <v>0</v>
      </c>
      <c r="Q4191" s="58">
        <v>0</v>
      </c>
      <c r="R4191" s="58">
        <v>0</v>
      </c>
      <c r="S4191" s="58">
        <v>0</v>
      </c>
      <c r="T4191" s="58">
        <v>0</v>
      </c>
      <c r="U4191" s="58">
        <v>0</v>
      </c>
      <c r="V4191" s="58">
        <v>0</v>
      </c>
      <c r="W4191" s="4">
        <v>0</v>
      </c>
    </row>
    <row r="4192" spans="1:23" x14ac:dyDescent="0.35">
      <c r="A4192">
        <v>4188</v>
      </c>
      <c r="B4192">
        <v>4189</v>
      </c>
      <c r="C4192">
        <v>146.0426075</v>
      </c>
      <c r="D4192">
        <v>-17.523653280000001</v>
      </c>
      <c r="F4192" t="str">
        <f>HYPERLINK("D:\Data From Lucan\2024\Johnstone\Frames_for_Analysis\4189_20240610_0005_L_2883.jpg","4189_20240610_0005_L_2883.jpg")</f>
        <v>4189_20240610_0005_L_2883.jpg</v>
      </c>
      <c r="G4192">
        <v>3</v>
      </c>
      <c r="I4192">
        <f t="shared" si="65"/>
        <v>1</v>
      </c>
      <c r="J4192" s="58">
        <v>1</v>
      </c>
      <c r="O4192">
        <v>1</v>
      </c>
      <c r="P4192" s="58">
        <v>0</v>
      </c>
      <c r="Q4192" s="58">
        <v>0</v>
      </c>
      <c r="R4192" s="58">
        <v>0</v>
      </c>
      <c r="S4192" s="58">
        <v>0</v>
      </c>
      <c r="T4192" s="58">
        <v>0</v>
      </c>
      <c r="U4192" s="58">
        <v>0</v>
      </c>
      <c r="V4192" s="58">
        <v>0</v>
      </c>
      <c r="W4192" s="4">
        <v>0</v>
      </c>
    </row>
    <row r="4193" spans="1:23" x14ac:dyDescent="0.35">
      <c r="A4193">
        <v>4189</v>
      </c>
      <c r="B4193">
        <v>4190</v>
      </c>
      <c r="C4193">
        <v>146.0427018</v>
      </c>
      <c r="D4193">
        <v>-17.523652940000002</v>
      </c>
      <c r="F4193" t="str">
        <f>HYPERLINK("D:\Data From Lucan\2024\Johnstone\Frames_for_Analysis\4190_20240610_0005_L_2886.jpg","4190_20240610_0005_L_2886.jpg")</f>
        <v>4190_20240610_0005_L_2886.jpg</v>
      </c>
      <c r="G4193">
        <v>3</v>
      </c>
      <c r="I4193">
        <f t="shared" si="65"/>
        <v>1</v>
      </c>
      <c r="J4193" s="58">
        <v>1</v>
      </c>
      <c r="O4193">
        <v>1</v>
      </c>
      <c r="P4193" s="58">
        <v>0</v>
      </c>
      <c r="Q4193" s="58">
        <v>0</v>
      </c>
      <c r="R4193" s="58">
        <v>0</v>
      </c>
      <c r="S4193" s="58">
        <v>0</v>
      </c>
      <c r="T4193" s="58">
        <v>0</v>
      </c>
      <c r="U4193" s="58">
        <v>0</v>
      </c>
      <c r="V4193" s="58">
        <v>0</v>
      </c>
      <c r="W4193" s="4">
        <v>0</v>
      </c>
    </row>
    <row r="4194" spans="1:23" x14ac:dyDescent="0.35">
      <c r="A4194">
        <v>4190</v>
      </c>
      <c r="B4194">
        <v>4191</v>
      </c>
      <c r="C4194">
        <v>146.0427961</v>
      </c>
      <c r="D4194">
        <v>-17.523652210000002</v>
      </c>
      <c r="F4194" t="str">
        <f>HYPERLINK("D:\Data From Lucan\2024\Johnstone\Frames_for_Analysis\4191_20240610_0005_L_2893.jpg","4191_20240610_0005_L_2893.jpg")</f>
        <v>4191_20240610_0005_L_2893.jpg</v>
      </c>
      <c r="G4194">
        <v>3</v>
      </c>
      <c r="I4194">
        <f t="shared" si="65"/>
        <v>1</v>
      </c>
      <c r="J4194" s="58">
        <v>1</v>
      </c>
      <c r="O4194">
        <v>1</v>
      </c>
      <c r="P4194" s="58">
        <v>0</v>
      </c>
      <c r="Q4194" s="58">
        <v>0</v>
      </c>
      <c r="R4194" s="58">
        <v>0</v>
      </c>
      <c r="S4194" s="58">
        <v>0</v>
      </c>
      <c r="T4194" s="58">
        <v>0</v>
      </c>
      <c r="U4194" s="58">
        <v>0</v>
      </c>
      <c r="V4194" s="58">
        <v>0</v>
      </c>
      <c r="W4194" s="4">
        <v>0</v>
      </c>
    </row>
    <row r="4195" spans="1:23" x14ac:dyDescent="0.35">
      <c r="A4195">
        <v>4191</v>
      </c>
      <c r="B4195">
        <v>4192</v>
      </c>
      <c r="C4195">
        <v>146.0428904</v>
      </c>
      <c r="D4195">
        <v>-17.523650979999999</v>
      </c>
      <c r="F4195" t="str">
        <f>HYPERLINK("D:\Data From Lucan\2024\Johnstone\Frames_for_Analysis\4192_20240610_0005_L_2896.jpg","4192_20240610_0005_L_2896.jpg")</f>
        <v>4192_20240610_0005_L_2896.jpg</v>
      </c>
      <c r="G4195">
        <v>3</v>
      </c>
      <c r="I4195">
        <f t="shared" si="65"/>
        <v>1</v>
      </c>
      <c r="J4195" s="58">
        <v>1</v>
      </c>
      <c r="O4195">
        <v>1</v>
      </c>
      <c r="P4195" s="58">
        <v>0</v>
      </c>
      <c r="Q4195" s="58">
        <v>0</v>
      </c>
      <c r="R4195" s="58">
        <v>0</v>
      </c>
      <c r="S4195" s="58">
        <v>0</v>
      </c>
      <c r="T4195" s="58">
        <v>0</v>
      </c>
      <c r="U4195" s="58">
        <v>0</v>
      </c>
      <c r="V4195" s="58">
        <v>0</v>
      </c>
      <c r="W4195" s="4">
        <v>0</v>
      </c>
    </row>
    <row r="4196" spans="1:23" x14ac:dyDescent="0.35">
      <c r="A4196">
        <v>4192</v>
      </c>
      <c r="B4196">
        <v>4193</v>
      </c>
      <c r="C4196">
        <v>146.04298470000001</v>
      </c>
      <c r="D4196">
        <v>-17.523649750000001</v>
      </c>
      <c r="F4196" t="str">
        <f>HYPERLINK("D:\Data From Lucan\2024\Johnstone\Frames_for_Analysis\4193_20240610_0005_L_2900.jpg","4193_20240610_0005_L_2900.jpg")</f>
        <v>4193_20240610_0005_L_2900.jpg</v>
      </c>
      <c r="G4196">
        <v>3</v>
      </c>
      <c r="I4196">
        <f t="shared" si="65"/>
        <v>1</v>
      </c>
      <c r="J4196" s="58">
        <v>1</v>
      </c>
      <c r="O4196">
        <v>1</v>
      </c>
      <c r="P4196" s="58">
        <v>0</v>
      </c>
      <c r="Q4196" s="58">
        <v>0</v>
      </c>
      <c r="R4196" s="58">
        <v>0</v>
      </c>
      <c r="S4196" s="58">
        <v>0</v>
      </c>
      <c r="T4196" s="58">
        <v>0</v>
      </c>
      <c r="U4196" s="58">
        <v>0</v>
      </c>
      <c r="V4196" s="58">
        <v>0</v>
      </c>
      <c r="W4196" s="4">
        <v>0</v>
      </c>
    </row>
    <row r="4197" spans="1:23" x14ac:dyDescent="0.35">
      <c r="A4197">
        <v>4193</v>
      </c>
      <c r="B4197">
        <v>4194</v>
      </c>
      <c r="C4197">
        <v>146.04307900000001</v>
      </c>
      <c r="D4197">
        <v>-17.523648519999998</v>
      </c>
      <c r="F4197" t="str">
        <f>HYPERLINK("D:\Data From Lucan\2024\Johnstone\Frames_for_Analysis\4194_20240610_0005_L_2904.jpg","4194_20240610_0005_L_2904.jpg")</f>
        <v>4194_20240610_0005_L_2904.jpg</v>
      </c>
      <c r="G4197">
        <v>3</v>
      </c>
      <c r="I4197">
        <f t="shared" si="65"/>
        <v>1</v>
      </c>
      <c r="J4197" s="58">
        <v>1</v>
      </c>
      <c r="O4197">
        <v>1</v>
      </c>
      <c r="P4197" s="58">
        <v>0</v>
      </c>
      <c r="Q4197" s="58">
        <v>0</v>
      </c>
      <c r="R4197" s="58">
        <v>0</v>
      </c>
      <c r="S4197" s="58">
        <v>0</v>
      </c>
      <c r="T4197" s="58">
        <v>0</v>
      </c>
      <c r="U4197" s="58">
        <v>0</v>
      </c>
      <c r="V4197" s="58">
        <v>0</v>
      </c>
      <c r="W4197" s="4">
        <v>0</v>
      </c>
    </row>
    <row r="4198" spans="1:23" x14ac:dyDescent="0.35">
      <c r="A4198">
        <v>4194</v>
      </c>
      <c r="B4198">
        <v>4195</v>
      </c>
      <c r="C4198">
        <v>146.04317330000001</v>
      </c>
      <c r="D4198">
        <v>-17.52364729</v>
      </c>
      <c r="F4198" t="str">
        <f>HYPERLINK("D:\Data From Lucan\2024\Johnstone\Frames_for_Analysis\4195_20240610_0005_L_2907.jpg","4195_20240610_0005_L_2907.jpg")</f>
        <v>4195_20240610_0005_L_2907.jpg</v>
      </c>
      <c r="G4198">
        <v>3</v>
      </c>
      <c r="I4198">
        <f t="shared" si="65"/>
        <v>1</v>
      </c>
      <c r="J4198" s="58">
        <v>1</v>
      </c>
      <c r="O4198">
        <v>1</v>
      </c>
      <c r="P4198" s="58">
        <v>0</v>
      </c>
      <c r="Q4198" s="58">
        <v>0</v>
      </c>
      <c r="R4198" s="58">
        <v>0</v>
      </c>
      <c r="S4198" s="58">
        <v>0</v>
      </c>
      <c r="T4198" s="58">
        <v>0</v>
      </c>
      <c r="U4198" s="58">
        <v>0</v>
      </c>
      <c r="V4198" s="58">
        <v>0</v>
      </c>
      <c r="W4198" s="4">
        <v>0</v>
      </c>
    </row>
    <row r="4199" spans="1:23" x14ac:dyDescent="0.35">
      <c r="A4199">
        <v>4195</v>
      </c>
      <c r="B4199">
        <v>4196</v>
      </c>
      <c r="C4199">
        <v>146.04326760000001</v>
      </c>
      <c r="D4199">
        <v>-17.523646060000001</v>
      </c>
      <c r="F4199" t="str">
        <f>HYPERLINK("D:\Data From Lucan\2024\Johnstone\Frames_for_Analysis\4196_20240610_0005_L_2913.jpg","4196_20240610_0005_L_2913.jpg")</f>
        <v>4196_20240610_0005_L_2913.jpg</v>
      </c>
      <c r="G4199">
        <v>3</v>
      </c>
      <c r="I4199">
        <f t="shared" si="65"/>
        <v>1</v>
      </c>
      <c r="J4199" s="58">
        <v>1</v>
      </c>
      <c r="O4199">
        <v>1</v>
      </c>
      <c r="P4199" s="58">
        <v>0</v>
      </c>
      <c r="Q4199" s="58">
        <v>0</v>
      </c>
      <c r="R4199" s="58">
        <v>0</v>
      </c>
      <c r="S4199" s="58">
        <v>0</v>
      </c>
      <c r="T4199" s="58">
        <v>0</v>
      </c>
      <c r="U4199" s="58">
        <v>0</v>
      </c>
      <c r="V4199" s="58">
        <v>0</v>
      </c>
      <c r="W4199" s="4">
        <v>0</v>
      </c>
    </row>
    <row r="4200" spans="1:23" x14ac:dyDescent="0.35">
      <c r="A4200">
        <v>4196</v>
      </c>
      <c r="B4200">
        <v>4197</v>
      </c>
      <c r="C4200">
        <v>146.04336190000001</v>
      </c>
      <c r="D4200">
        <v>-17.523644829999999</v>
      </c>
      <c r="F4200" t="str">
        <f>HYPERLINK("D:\Data From Lucan\2024\Johnstone\Frames_for_Analysis\4197_20240610_0005_L_2916.jpg","4197_20240610_0005_L_2916.jpg")</f>
        <v>4197_20240610_0005_L_2916.jpg</v>
      </c>
      <c r="G4200">
        <v>3</v>
      </c>
      <c r="I4200">
        <f t="shared" si="65"/>
        <v>1</v>
      </c>
      <c r="J4200" s="58">
        <v>1</v>
      </c>
      <c r="O4200">
        <v>1</v>
      </c>
      <c r="P4200" s="58">
        <v>0</v>
      </c>
      <c r="Q4200" s="58">
        <v>0</v>
      </c>
      <c r="R4200" s="58">
        <v>0</v>
      </c>
      <c r="S4200" s="58">
        <v>0</v>
      </c>
      <c r="T4200" s="58">
        <v>0</v>
      </c>
      <c r="U4200" s="58">
        <v>0</v>
      </c>
      <c r="V4200" s="58">
        <v>0</v>
      </c>
      <c r="W4200" s="4">
        <v>0</v>
      </c>
    </row>
    <row r="4201" spans="1:23" x14ac:dyDescent="0.35">
      <c r="A4201">
        <v>4197</v>
      </c>
      <c r="B4201">
        <v>4198</v>
      </c>
      <c r="C4201">
        <v>146.04345620000001</v>
      </c>
      <c r="D4201">
        <v>-17.5236436</v>
      </c>
      <c r="F4201" t="str">
        <f>HYPERLINK("D:\Data From Lucan\2024\Johnstone\Frames_for_Analysis\4198_20240610_0005_L_2921.jpg","4198_20240610_0005_L_2921.jpg")</f>
        <v>4198_20240610_0005_L_2921.jpg</v>
      </c>
      <c r="G4201">
        <v>3</v>
      </c>
      <c r="I4201">
        <v>0</v>
      </c>
      <c r="J4201" s="58">
        <v>2</v>
      </c>
      <c r="O4201">
        <v>1</v>
      </c>
      <c r="P4201" s="58">
        <v>0</v>
      </c>
      <c r="Q4201" s="58">
        <v>0</v>
      </c>
      <c r="R4201" s="58">
        <v>0</v>
      </c>
      <c r="S4201" s="58">
        <v>0</v>
      </c>
      <c r="T4201" s="58">
        <v>0</v>
      </c>
      <c r="U4201" s="58">
        <v>0</v>
      </c>
      <c r="V4201" s="58">
        <v>0</v>
      </c>
      <c r="W4201" s="4">
        <v>0</v>
      </c>
    </row>
    <row r="4202" spans="1:23" x14ac:dyDescent="0.35">
      <c r="A4202">
        <v>4198</v>
      </c>
      <c r="B4202">
        <v>4199</v>
      </c>
      <c r="C4202">
        <v>146.04355050000001</v>
      </c>
      <c r="D4202">
        <v>-17.52364236</v>
      </c>
      <c r="F4202" t="str">
        <f>HYPERLINK("D:\Data From Lucan\2024\Johnstone\Frames_for_Analysis\4199_20240610_0005_L_2928.jpg","4199_20240610_0005_L_2928.jpg")</f>
        <v>4199_20240610_0005_L_2928.jpg</v>
      </c>
      <c r="G4202">
        <v>3</v>
      </c>
      <c r="I4202">
        <f t="shared" si="65"/>
        <v>1</v>
      </c>
      <c r="J4202" s="58">
        <v>1</v>
      </c>
      <c r="O4202">
        <v>1</v>
      </c>
      <c r="P4202" s="58">
        <v>0</v>
      </c>
      <c r="Q4202" s="58">
        <v>0</v>
      </c>
      <c r="R4202" s="58">
        <v>0</v>
      </c>
      <c r="S4202" s="58">
        <v>0</v>
      </c>
      <c r="T4202" s="58">
        <v>0</v>
      </c>
      <c r="U4202" s="58">
        <v>0</v>
      </c>
      <c r="V4202" s="58">
        <v>0</v>
      </c>
      <c r="W4202" s="4">
        <v>0</v>
      </c>
    </row>
    <row r="4203" spans="1:23" x14ac:dyDescent="0.35">
      <c r="A4203">
        <v>4199</v>
      </c>
      <c r="B4203">
        <v>4200</v>
      </c>
      <c r="C4203">
        <v>146.04364000000001</v>
      </c>
      <c r="D4203">
        <v>-17.523617739999999</v>
      </c>
      <c r="F4203" t="str">
        <f>HYPERLINK("D:\Data From Lucan\2024\Johnstone\Frames_for_Analysis\4200_20240610_0005_L_2931.jpg","4200_20240610_0005_L_2931.jpg")</f>
        <v>4200_20240610_0005_L_2931.jpg</v>
      </c>
      <c r="G4203">
        <v>3</v>
      </c>
      <c r="I4203">
        <v>0</v>
      </c>
      <c r="J4203" s="58">
        <v>2</v>
      </c>
      <c r="O4203">
        <v>1</v>
      </c>
      <c r="P4203" s="58">
        <v>0</v>
      </c>
      <c r="Q4203" s="58">
        <v>0</v>
      </c>
      <c r="R4203" s="58">
        <v>0</v>
      </c>
      <c r="S4203" s="58">
        <v>0</v>
      </c>
      <c r="T4203" s="58">
        <v>0</v>
      </c>
      <c r="U4203" s="58">
        <v>0</v>
      </c>
      <c r="V4203" s="58">
        <v>0</v>
      </c>
      <c r="W4203" s="4">
        <v>0</v>
      </c>
    </row>
    <row r="4204" spans="1:23" x14ac:dyDescent="0.35">
      <c r="A4204">
        <v>4200</v>
      </c>
      <c r="B4204">
        <v>4201</v>
      </c>
      <c r="C4204">
        <v>146.043734</v>
      </c>
      <c r="D4204">
        <v>-17.523610139999999</v>
      </c>
      <c r="F4204" t="str">
        <f>HYPERLINK("D:\Data From Lucan\2024\Johnstone\Frames_for_Analysis\4201_20240610_0005_L_2934.jpg","4201_20240610_0005_L_2934.jpg")</f>
        <v>4201_20240610_0005_L_2934.jpg</v>
      </c>
      <c r="G4204">
        <v>3</v>
      </c>
      <c r="I4204">
        <v>0</v>
      </c>
      <c r="J4204" s="58">
        <v>2</v>
      </c>
      <c r="O4204">
        <v>1</v>
      </c>
      <c r="P4204" s="58">
        <v>0</v>
      </c>
      <c r="Q4204" s="58">
        <v>0</v>
      </c>
      <c r="R4204" s="58">
        <v>0</v>
      </c>
      <c r="S4204" s="58">
        <v>0</v>
      </c>
      <c r="T4204" s="58">
        <v>0</v>
      </c>
      <c r="U4204" s="58">
        <v>0</v>
      </c>
      <c r="V4204" s="58">
        <v>0</v>
      </c>
      <c r="W4204" s="4">
        <v>0</v>
      </c>
    </row>
    <row r="4205" spans="1:23" x14ac:dyDescent="0.35">
      <c r="A4205">
        <v>4201</v>
      </c>
      <c r="B4205">
        <v>4202</v>
      </c>
      <c r="C4205">
        <v>146.04382799999999</v>
      </c>
      <c r="D4205">
        <v>-17.523602539999999</v>
      </c>
      <c r="F4205" t="str">
        <f>HYPERLINK("D:\Data From Lucan\2024\Johnstone\Frames_for_Analysis\4202_20240610_0005_L_2939.jpg","4202_20240610_0005_L_2939.jpg")</f>
        <v>4202_20240610_0005_L_2939.jpg</v>
      </c>
      <c r="G4205">
        <v>3</v>
      </c>
      <c r="I4205">
        <f t="shared" si="65"/>
        <v>1</v>
      </c>
      <c r="J4205" s="58">
        <v>1</v>
      </c>
      <c r="O4205">
        <v>1</v>
      </c>
      <c r="P4205" s="58">
        <v>0</v>
      </c>
      <c r="Q4205" s="58">
        <v>0</v>
      </c>
      <c r="R4205" s="58">
        <v>0</v>
      </c>
      <c r="S4205" s="58">
        <v>0</v>
      </c>
      <c r="T4205" s="58">
        <v>0</v>
      </c>
      <c r="U4205" s="58">
        <v>0</v>
      </c>
      <c r="V4205" s="58">
        <v>0</v>
      </c>
      <c r="W4205" s="4">
        <v>0</v>
      </c>
    </row>
    <row r="4206" spans="1:23" x14ac:dyDescent="0.35">
      <c r="A4206">
        <v>4202</v>
      </c>
      <c r="B4206">
        <v>4203</v>
      </c>
      <c r="C4206">
        <v>146.04392200000001</v>
      </c>
      <c r="D4206">
        <v>-17.52359495</v>
      </c>
      <c r="F4206" t="str">
        <f>HYPERLINK("D:\Data From Lucan\2024\Johnstone\Frames_for_Analysis\4203_20240610_0005_L_2942.jpg","4203_20240610_0005_L_2942.jpg")</f>
        <v>4203_20240610_0005_L_2942.jpg</v>
      </c>
      <c r="G4206">
        <v>3</v>
      </c>
      <c r="I4206">
        <f t="shared" si="65"/>
        <v>1</v>
      </c>
      <c r="J4206" s="58">
        <v>1</v>
      </c>
      <c r="O4206">
        <v>1</v>
      </c>
      <c r="P4206" s="58">
        <v>0</v>
      </c>
      <c r="Q4206" s="58">
        <v>0</v>
      </c>
      <c r="R4206" s="58">
        <v>0</v>
      </c>
      <c r="S4206" s="58">
        <v>0</v>
      </c>
      <c r="T4206" s="58">
        <v>0</v>
      </c>
      <c r="U4206" s="58">
        <v>0</v>
      </c>
      <c r="V4206" s="58">
        <v>0</v>
      </c>
      <c r="W4206" s="4">
        <v>0</v>
      </c>
    </row>
    <row r="4207" spans="1:23" x14ac:dyDescent="0.35">
      <c r="A4207">
        <v>4203</v>
      </c>
      <c r="B4207">
        <v>4204</v>
      </c>
      <c r="C4207">
        <v>146.04401559999999</v>
      </c>
      <c r="D4207">
        <v>-17.523584</v>
      </c>
      <c r="F4207" t="str">
        <f>HYPERLINK("D:\Data From Lucan\2024\Johnstone\Frames_for_Analysis\4204_20240610_0005_L_2946.jpg","4204_20240610_0005_L_2946.jpg")</f>
        <v>4204_20240610_0005_L_2946.jpg</v>
      </c>
      <c r="G4207">
        <v>3</v>
      </c>
      <c r="I4207">
        <f t="shared" si="65"/>
        <v>1</v>
      </c>
      <c r="J4207" s="58">
        <v>1</v>
      </c>
      <c r="O4207">
        <v>1</v>
      </c>
      <c r="P4207" s="58">
        <v>0</v>
      </c>
      <c r="Q4207" s="58">
        <v>0</v>
      </c>
      <c r="R4207" s="58">
        <v>0</v>
      </c>
      <c r="S4207" s="58">
        <v>0</v>
      </c>
      <c r="T4207" s="58">
        <v>0</v>
      </c>
      <c r="U4207" s="58">
        <v>0</v>
      </c>
      <c r="V4207" s="58">
        <v>0</v>
      </c>
      <c r="W4207" s="4">
        <v>0</v>
      </c>
    </row>
    <row r="4208" spans="1:23" x14ac:dyDescent="0.35">
      <c r="A4208">
        <v>4204</v>
      </c>
      <c r="B4208">
        <v>4205</v>
      </c>
      <c r="C4208">
        <v>146.04410920000001</v>
      </c>
      <c r="D4208">
        <v>-17.523572739999999</v>
      </c>
      <c r="F4208" t="str">
        <f>HYPERLINK("D:\Data From Lucan\2024\Johnstone\Frames_for_Analysis\4205_20240610_0005_L_2949.jpg","4205_20240610_0005_L_2949.jpg")</f>
        <v>4205_20240610_0005_L_2949.jpg</v>
      </c>
      <c r="G4208">
        <v>3</v>
      </c>
      <c r="I4208">
        <f t="shared" si="65"/>
        <v>1</v>
      </c>
      <c r="J4208" s="58">
        <v>1</v>
      </c>
      <c r="O4208">
        <v>1</v>
      </c>
      <c r="P4208" s="58">
        <v>0</v>
      </c>
      <c r="Q4208" s="58">
        <v>0</v>
      </c>
      <c r="R4208" s="58">
        <v>0</v>
      </c>
      <c r="S4208" s="58">
        <v>0</v>
      </c>
      <c r="T4208" s="58">
        <v>1</v>
      </c>
      <c r="U4208" s="58">
        <v>0</v>
      </c>
      <c r="V4208" s="58">
        <v>0</v>
      </c>
      <c r="W4208" s="4">
        <v>0</v>
      </c>
    </row>
    <row r="4209" spans="1:23" x14ac:dyDescent="0.35">
      <c r="A4209">
        <v>4205</v>
      </c>
      <c r="B4209">
        <v>4206</v>
      </c>
      <c r="C4209">
        <v>146.04420289999999</v>
      </c>
      <c r="D4209">
        <v>-17.523561480000001</v>
      </c>
      <c r="F4209" t="str">
        <f>HYPERLINK("D:\Data From Lucan\2024\Johnstone\Frames_for_Analysis\4206_20240610_0005_L_2954.jpg","4206_20240610_0005_L_2954.jpg")</f>
        <v>4206_20240610_0005_L_2954.jpg</v>
      </c>
      <c r="G4209">
        <v>3</v>
      </c>
      <c r="I4209">
        <f t="shared" si="65"/>
        <v>1</v>
      </c>
      <c r="J4209" s="58">
        <v>1</v>
      </c>
      <c r="O4209">
        <v>1</v>
      </c>
      <c r="P4209" s="58">
        <v>0</v>
      </c>
      <c r="Q4209" s="58">
        <v>0</v>
      </c>
      <c r="R4209" s="58">
        <v>0</v>
      </c>
      <c r="S4209" s="58">
        <v>0</v>
      </c>
      <c r="T4209" s="58">
        <v>0</v>
      </c>
      <c r="U4209" s="58">
        <v>0</v>
      </c>
      <c r="V4209" s="58">
        <v>0</v>
      </c>
      <c r="W4209" s="4">
        <v>0</v>
      </c>
    </row>
    <row r="4210" spans="1:23" x14ac:dyDescent="0.35">
      <c r="A4210">
        <v>4206</v>
      </c>
      <c r="B4210">
        <v>4207</v>
      </c>
      <c r="C4210">
        <v>146.0442965</v>
      </c>
      <c r="D4210">
        <v>-17.523550220000001</v>
      </c>
      <c r="F4210" t="str">
        <f>HYPERLINK("D:\Data From Lucan\2024\Johnstone\Frames_for_Analysis\4207_20240610_0005_L_2956.jpg","4207_20240610_0005_L_2956.jpg")</f>
        <v>4207_20240610_0005_L_2956.jpg</v>
      </c>
      <c r="G4210">
        <v>3</v>
      </c>
      <c r="I4210">
        <f t="shared" si="65"/>
        <v>1</v>
      </c>
      <c r="J4210" s="58">
        <v>1</v>
      </c>
      <c r="O4210">
        <v>1</v>
      </c>
      <c r="P4210" s="58">
        <v>0</v>
      </c>
      <c r="Q4210" s="58">
        <v>0</v>
      </c>
      <c r="R4210" s="58">
        <v>0</v>
      </c>
      <c r="S4210" s="58">
        <v>0</v>
      </c>
      <c r="T4210" s="58">
        <v>0</v>
      </c>
      <c r="U4210" s="58">
        <v>0</v>
      </c>
      <c r="V4210" s="58">
        <v>0</v>
      </c>
      <c r="W4210" s="4">
        <v>0</v>
      </c>
    </row>
    <row r="4211" spans="1:23" x14ac:dyDescent="0.35">
      <c r="A4211">
        <v>4207</v>
      </c>
      <c r="B4211">
        <v>4208</v>
      </c>
      <c r="C4211">
        <v>146.04439009999999</v>
      </c>
      <c r="D4211">
        <v>-17.52353896</v>
      </c>
      <c r="F4211" t="str">
        <f>HYPERLINK("D:\Data From Lucan\2024\Johnstone\Frames_for_Analysis\4208_20240610_0005_L_2958.jpg","4208_20240610_0005_L_2958.jpg")</f>
        <v>4208_20240610_0005_L_2958.jpg</v>
      </c>
      <c r="G4211">
        <v>3</v>
      </c>
      <c r="I4211">
        <f t="shared" si="65"/>
        <v>1</v>
      </c>
      <c r="J4211" s="58">
        <v>1</v>
      </c>
      <c r="O4211">
        <v>1</v>
      </c>
      <c r="P4211" s="58">
        <v>0</v>
      </c>
      <c r="Q4211" s="58">
        <v>0</v>
      </c>
      <c r="R4211" s="58">
        <v>0</v>
      </c>
      <c r="S4211" s="58">
        <v>0</v>
      </c>
      <c r="T4211" s="58">
        <v>0</v>
      </c>
      <c r="U4211" s="58">
        <v>0</v>
      </c>
      <c r="V4211" s="58">
        <v>0</v>
      </c>
      <c r="W4211" s="4">
        <v>0</v>
      </c>
    </row>
    <row r="4212" spans="1:23" x14ac:dyDescent="0.35">
      <c r="A4212">
        <v>4208</v>
      </c>
      <c r="B4212">
        <v>4209</v>
      </c>
      <c r="C4212">
        <v>146.0444832</v>
      </c>
      <c r="D4212">
        <v>-17.52352419</v>
      </c>
      <c r="F4212" t="str">
        <f>HYPERLINK("D:\Data From Lucan\2024\Johnstone\Frames_for_Analysis\4209_20240610_0005_L_2964.jpg","4209_20240610_0005_L_2964.jpg")</f>
        <v>4209_20240610_0005_L_2964.jpg</v>
      </c>
      <c r="G4212">
        <v>3</v>
      </c>
      <c r="I4212">
        <f t="shared" si="65"/>
        <v>1</v>
      </c>
      <c r="J4212" s="58">
        <v>1</v>
      </c>
      <c r="O4212">
        <v>1</v>
      </c>
      <c r="P4212" s="58">
        <v>0</v>
      </c>
      <c r="Q4212" s="58">
        <v>0</v>
      </c>
      <c r="R4212" s="58">
        <v>0</v>
      </c>
      <c r="S4212" s="58">
        <v>0</v>
      </c>
      <c r="T4212" s="58">
        <v>0</v>
      </c>
      <c r="U4212" s="58">
        <v>0</v>
      </c>
      <c r="V4212" s="58">
        <v>0</v>
      </c>
      <c r="W4212" s="4">
        <v>0</v>
      </c>
    </row>
    <row r="4213" spans="1:23" x14ac:dyDescent="0.35">
      <c r="A4213">
        <v>4209</v>
      </c>
      <c r="B4213">
        <v>4210</v>
      </c>
      <c r="C4213">
        <v>146.04457550000001</v>
      </c>
      <c r="D4213">
        <v>-17.523504970000001</v>
      </c>
      <c r="F4213" t="str">
        <f>HYPERLINK("D:\Data From Lucan\2024\Johnstone\Frames_for_Analysis\4210_20240610_0005_L_2966.jpg","4210_20240610_0005_L_2966.jpg")</f>
        <v>4210_20240610_0005_L_2966.jpg</v>
      </c>
      <c r="G4213">
        <v>3</v>
      </c>
      <c r="I4213">
        <f t="shared" si="65"/>
        <v>1</v>
      </c>
      <c r="J4213" s="58">
        <v>1</v>
      </c>
      <c r="O4213">
        <v>1</v>
      </c>
      <c r="P4213" s="58">
        <v>0</v>
      </c>
      <c r="Q4213" s="58">
        <v>0</v>
      </c>
      <c r="R4213" s="58">
        <v>0</v>
      </c>
      <c r="S4213" s="58">
        <v>0</v>
      </c>
      <c r="T4213" s="58">
        <v>0</v>
      </c>
      <c r="U4213" s="58">
        <v>0</v>
      </c>
      <c r="V4213" s="58">
        <v>0</v>
      </c>
      <c r="W4213" s="4">
        <v>0</v>
      </c>
    </row>
    <row r="4214" spans="1:23" x14ac:dyDescent="0.35">
      <c r="A4214">
        <v>4210</v>
      </c>
      <c r="B4214">
        <v>4211</v>
      </c>
      <c r="C4214">
        <v>146.04466780000001</v>
      </c>
      <c r="D4214">
        <v>-17.523485749999999</v>
      </c>
      <c r="F4214" t="str">
        <f>HYPERLINK("D:\Data From Lucan\2024\Johnstone\Frames_for_Analysis\4211_20240610_0005_L_2970.jpg","4211_20240610_0005_L_2970.jpg")</f>
        <v>4211_20240610_0005_L_2970.jpg</v>
      </c>
      <c r="G4214">
        <v>3</v>
      </c>
      <c r="I4214">
        <f t="shared" si="65"/>
        <v>1</v>
      </c>
      <c r="J4214" s="58">
        <v>1</v>
      </c>
      <c r="O4214">
        <v>1</v>
      </c>
      <c r="P4214" s="58">
        <v>0</v>
      </c>
      <c r="Q4214" s="58">
        <v>0</v>
      </c>
      <c r="R4214" s="58">
        <v>0</v>
      </c>
      <c r="S4214" s="58">
        <v>0</v>
      </c>
      <c r="T4214" s="58">
        <v>0</v>
      </c>
      <c r="U4214" s="58">
        <v>0</v>
      </c>
      <c r="V4214" s="58">
        <v>0</v>
      </c>
      <c r="W4214" s="4">
        <v>0</v>
      </c>
    </row>
    <row r="4215" spans="1:23" x14ac:dyDescent="0.35">
      <c r="A4215">
        <v>4211</v>
      </c>
      <c r="B4215">
        <v>4212</v>
      </c>
      <c r="C4215">
        <v>146.04476020000001</v>
      </c>
      <c r="D4215">
        <v>-17.52346653</v>
      </c>
      <c r="F4215" t="str">
        <f>HYPERLINK("D:\Data From Lucan\2024\Johnstone\Frames_for_Analysis\4212_20240610_0005_L_2974.jpg","4212_20240610_0005_L_2974.jpg")</f>
        <v>4212_20240610_0005_L_2974.jpg</v>
      </c>
      <c r="G4215">
        <v>3</v>
      </c>
      <c r="I4215">
        <f t="shared" si="65"/>
        <v>1</v>
      </c>
      <c r="J4215" s="58">
        <v>1</v>
      </c>
      <c r="O4215">
        <v>1</v>
      </c>
      <c r="P4215" s="58">
        <v>0</v>
      </c>
      <c r="Q4215" s="58">
        <v>0</v>
      </c>
      <c r="R4215" s="58">
        <v>0</v>
      </c>
      <c r="S4215" s="58">
        <v>0</v>
      </c>
      <c r="T4215" s="58">
        <v>0</v>
      </c>
      <c r="U4215" s="58">
        <v>0</v>
      </c>
      <c r="V4215" s="58">
        <v>0</v>
      </c>
      <c r="W4215" s="4">
        <v>0</v>
      </c>
    </row>
    <row r="4216" spans="1:23" x14ac:dyDescent="0.35">
      <c r="A4216">
        <v>4212</v>
      </c>
      <c r="B4216">
        <v>4213</v>
      </c>
      <c r="C4216">
        <v>146.04485249999999</v>
      </c>
      <c r="D4216">
        <v>-17.523447310000002</v>
      </c>
      <c r="F4216" t="str">
        <f>HYPERLINK("D:\Data From Lucan\2024\Johnstone\Frames_for_Analysis\4213_20240610_0005_L_2977.jpg","4213_20240610_0005_L_2977.jpg")</f>
        <v>4213_20240610_0005_L_2977.jpg</v>
      </c>
      <c r="G4216">
        <v>3</v>
      </c>
      <c r="I4216">
        <f t="shared" si="65"/>
        <v>1</v>
      </c>
      <c r="J4216" s="58">
        <v>1</v>
      </c>
      <c r="O4216">
        <v>1</v>
      </c>
      <c r="P4216" s="58">
        <v>0</v>
      </c>
      <c r="Q4216" s="58">
        <v>0</v>
      </c>
      <c r="R4216" s="58">
        <v>0</v>
      </c>
      <c r="S4216" s="58">
        <v>0</v>
      </c>
      <c r="T4216" s="58">
        <v>0</v>
      </c>
      <c r="U4216" s="58">
        <v>0</v>
      </c>
      <c r="V4216" s="58">
        <v>0</v>
      </c>
      <c r="W4216" s="4">
        <v>0</v>
      </c>
    </row>
    <row r="4217" spans="1:23" x14ac:dyDescent="0.35">
      <c r="A4217">
        <v>4213</v>
      </c>
      <c r="B4217">
        <v>4214</v>
      </c>
      <c r="C4217">
        <v>146.0449448</v>
      </c>
      <c r="D4217">
        <v>-17.523428089999999</v>
      </c>
      <c r="F4217" t="str">
        <f>HYPERLINK("D:\Data From Lucan\2024\Johnstone\Frames_for_Analysis\4214_20240610_0005_L_2981.jpg","4214_20240610_0005_L_2981.jpg")</f>
        <v>4214_20240610_0005_L_2981.jpg</v>
      </c>
      <c r="G4217">
        <v>3</v>
      </c>
      <c r="I4217">
        <f t="shared" si="65"/>
        <v>1</v>
      </c>
      <c r="J4217" s="58">
        <v>1</v>
      </c>
      <c r="O4217">
        <v>1</v>
      </c>
      <c r="P4217" s="58">
        <v>0</v>
      </c>
      <c r="Q4217" s="58">
        <v>0</v>
      </c>
      <c r="R4217" s="58">
        <v>0</v>
      </c>
      <c r="S4217" s="58">
        <v>0</v>
      </c>
      <c r="T4217" s="58">
        <v>0</v>
      </c>
      <c r="U4217" s="58">
        <v>0</v>
      </c>
      <c r="V4217" s="58">
        <v>0</v>
      </c>
      <c r="W4217" s="4">
        <v>0</v>
      </c>
    </row>
    <row r="4218" spans="1:23" x14ac:dyDescent="0.35">
      <c r="A4218">
        <v>4214</v>
      </c>
      <c r="B4218">
        <v>4215</v>
      </c>
      <c r="C4218">
        <v>146.0450371</v>
      </c>
      <c r="D4218">
        <v>-17.523408880000002</v>
      </c>
      <c r="F4218" t="str">
        <f>HYPERLINK("D:\Data From Lucan\2024\Johnstone\Frames_for_Analysis\4215_20240610_0005_L_2984.jpg","4215_20240610_0005_L_2984.jpg")</f>
        <v>4215_20240610_0005_L_2984.jpg</v>
      </c>
      <c r="G4218">
        <v>3</v>
      </c>
      <c r="I4218">
        <f t="shared" si="65"/>
        <v>1</v>
      </c>
      <c r="J4218" s="58">
        <v>1</v>
      </c>
      <c r="O4218">
        <v>1</v>
      </c>
      <c r="P4218" s="58">
        <v>0</v>
      </c>
      <c r="Q4218" s="58">
        <v>0</v>
      </c>
      <c r="R4218" s="58">
        <v>0</v>
      </c>
      <c r="S4218" s="58">
        <v>0</v>
      </c>
      <c r="T4218" s="58">
        <v>0</v>
      </c>
      <c r="U4218" s="58">
        <v>0</v>
      </c>
      <c r="V4218" s="58">
        <v>0</v>
      </c>
      <c r="W4218" s="4">
        <v>0</v>
      </c>
    </row>
    <row r="4219" spans="1:23" x14ac:dyDescent="0.35">
      <c r="A4219">
        <v>4215</v>
      </c>
      <c r="B4219">
        <v>4216</v>
      </c>
      <c r="C4219">
        <v>146.0451295</v>
      </c>
      <c r="D4219">
        <v>-17.523389659999999</v>
      </c>
      <c r="F4219" t="str">
        <f>HYPERLINK("D:\Data From Lucan\2024\Johnstone\Frames_for_Analysis\4216_20240610_0005_L_2987.jpg","4216_20240610_0005_L_2987.jpg")</f>
        <v>4216_20240610_0005_L_2987.jpg</v>
      </c>
      <c r="G4219">
        <v>3</v>
      </c>
      <c r="I4219">
        <f t="shared" si="65"/>
        <v>1</v>
      </c>
      <c r="J4219" s="58">
        <v>1</v>
      </c>
      <c r="O4219">
        <v>1</v>
      </c>
      <c r="P4219" s="58">
        <v>0</v>
      </c>
      <c r="Q4219" s="58">
        <v>0</v>
      </c>
      <c r="R4219" s="58">
        <v>0</v>
      </c>
      <c r="S4219" s="58">
        <v>0</v>
      </c>
      <c r="T4219" s="58">
        <v>0</v>
      </c>
      <c r="U4219" s="58">
        <v>0</v>
      </c>
      <c r="V4219" s="58">
        <v>0</v>
      </c>
      <c r="W4219" s="4">
        <v>0</v>
      </c>
    </row>
    <row r="4220" spans="1:23" x14ac:dyDescent="0.35">
      <c r="A4220">
        <v>4216</v>
      </c>
      <c r="B4220">
        <v>4217</v>
      </c>
      <c r="C4220">
        <v>146.04522159999999</v>
      </c>
      <c r="D4220">
        <v>-17.52336983</v>
      </c>
      <c r="F4220" t="str">
        <f>HYPERLINK("D:\Data From Lucan\2024\Johnstone\Frames_for_Analysis\4217_20240610_0005_L_2991.jpg","4217_20240610_0005_L_2991.jpg")</f>
        <v>4217_20240610_0005_L_2991.jpg</v>
      </c>
      <c r="G4220">
        <v>3</v>
      </c>
      <c r="I4220">
        <f t="shared" si="65"/>
        <v>1</v>
      </c>
      <c r="J4220" s="58">
        <v>1</v>
      </c>
      <c r="O4220">
        <v>1</v>
      </c>
      <c r="P4220" s="58">
        <v>0</v>
      </c>
      <c r="Q4220" s="58">
        <v>0</v>
      </c>
      <c r="R4220" s="58">
        <v>0</v>
      </c>
      <c r="S4220" s="58">
        <v>0</v>
      </c>
      <c r="T4220" s="58">
        <v>0</v>
      </c>
      <c r="U4220" s="58">
        <v>0</v>
      </c>
      <c r="V4220" s="58">
        <v>0</v>
      </c>
      <c r="W4220" s="4">
        <v>0</v>
      </c>
    </row>
    <row r="4221" spans="1:23" x14ac:dyDescent="0.35">
      <c r="A4221">
        <v>4217</v>
      </c>
      <c r="B4221">
        <v>4218</v>
      </c>
      <c r="C4221">
        <v>146.04531349999999</v>
      </c>
      <c r="D4221">
        <v>-17.52334853</v>
      </c>
      <c r="F4221" t="str">
        <f>HYPERLINK("D:\Data From Lucan\2024\Johnstone\Frames_for_Analysis\4218_20240610_0005_L_2994.jpg","4218_20240610_0005_L_2994.jpg")</f>
        <v>4218_20240610_0005_L_2994.jpg</v>
      </c>
      <c r="G4221">
        <v>3</v>
      </c>
      <c r="I4221">
        <f t="shared" si="65"/>
        <v>1</v>
      </c>
      <c r="J4221" s="58">
        <v>1</v>
      </c>
      <c r="O4221">
        <v>1</v>
      </c>
      <c r="P4221" s="58">
        <v>0</v>
      </c>
      <c r="Q4221" s="58">
        <v>0</v>
      </c>
      <c r="R4221" s="58">
        <v>0</v>
      </c>
      <c r="S4221" s="58">
        <v>0</v>
      </c>
      <c r="T4221" s="58">
        <v>0</v>
      </c>
      <c r="U4221" s="58">
        <v>0</v>
      </c>
      <c r="V4221" s="58">
        <v>0</v>
      </c>
      <c r="W4221" s="4">
        <v>0</v>
      </c>
    </row>
    <row r="4222" spans="1:23" x14ac:dyDescent="0.35">
      <c r="A4222">
        <v>4218</v>
      </c>
      <c r="B4222">
        <v>4219</v>
      </c>
      <c r="C4222">
        <v>146.04540539999999</v>
      </c>
      <c r="D4222">
        <v>-17.52332723</v>
      </c>
      <c r="F4222" t="str">
        <f>HYPERLINK("D:\Data From Lucan\2024\Johnstone\Frames_for_Analysis\4219_20240610_0005_L_2999.jpg","4219_20240610_0005_L_2999.jpg")</f>
        <v>4219_20240610_0005_L_2999.jpg</v>
      </c>
      <c r="G4222">
        <v>3</v>
      </c>
      <c r="I4222">
        <f t="shared" si="65"/>
        <v>1</v>
      </c>
      <c r="J4222" s="58">
        <v>1</v>
      </c>
      <c r="O4222">
        <v>1</v>
      </c>
      <c r="P4222" s="58">
        <v>0</v>
      </c>
      <c r="Q4222" s="58">
        <v>0</v>
      </c>
      <c r="R4222" s="58">
        <v>0</v>
      </c>
      <c r="S4222" s="58">
        <v>0</v>
      </c>
      <c r="T4222" s="58">
        <v>0</v>
      </c>
      <c r="U4222" s="58">
        <v>0</v>
      </c>
      <c r="V4222" s="58">
        <v>0</v>
      </c>
      <c r="W4222" s="4">
        <v>0</v>
      </c>
    </row>
    <row r="4223" spans="1:23" x14ac:dyDescent="0.35">
      <c r="A4223">
        <v>4219</v>
      </c>
      <c r="B4223">
        <v>4220</v>
      </c>
      <c r="C4223">
        <v>146.0454972</v>
      </c>
      <c r="D4223">
        <v>-17.523305929999999</v>
      </c>
      <c r="F4223" t="str">
        <f>HYPERLINK("D:\Data From Lucan\2024\Johnstone\Frames_for_Analysis\4220_20240610_0005_L_3001.jpg","4220_20240610_0005_L_3001.jpg")</f>
        <v>4220_20240610_0005_L_3001.jpg</v>
      </c>
      <c r="G4223">
        <v>3</v>
      </c>
      <c r="I4223">
        <f t="shared" si="65"/>
        <v>1</v>
      </c>
      <c r="J4223" s="58">
        <v>1</v>
      </c>
      <c r="O4223">
        <v>1</v>
      </c>
      <c r="P4223" s="58">
        <v>0</v>
      </c>
      <c r="Q4223" s="58">
        <v>0</v>
      </c>
      <c r="R4223" s="58">
        <v>0</v>
      </c>
      <c r="S4223" s="58">
        <v>0</v>
      </c>
      <c r="T4223" s="58">
        <v>0</v>
      </c>
      <c r="U4223" s="58">
        <v>0</v>
      </c>
      <c r="V4223" s="58">
        <v>0</v>
      </c>
      <c r="W4223" s="4">
        <v>0</v>
      </c>
    </row>
    <row r="4224" spans="1:23" x14ac:dyDescent="0.35">
      <c r="A4224">
        <v>4220</v>
      </c>
      <c r="B4224">
        <v>4221</v>
      </c>
      <c r="C4224">
        <v>146.0455891</v>
      </c>
      <c r="D4224">
        <v>-17.523284629999999</v>
      </c>
      <c r="F4224" t="str">
        <f>HYPERLINK("D:\Data From Lucan\2024\Johnstone\Frames_for_Analysis\4221_20240610_0005_L_3005.jpg","4221_20240610_0005_L_3005.jpg")</f>
        <v>4221_20240610_0005_L_3005.jpg</v>
      </c>
      <c r="G4224">
        <v>3</v>
      </c>
      <c r="I4224">
        <f t="shared" si="65"/>
        <v>1</v>
      </c>
      <c r="J4224" s="58">
        <v>1</v>
      </c>
      <c r="O4224">
        <v>1</v>
      </c>
      <c r="P4224" s="58">
        <v>0</v>
      </c>
      <c r="Q4224" s="58">
        <v>0</v>
      </c>
      <c r="R4224" s="58">
        <v>0</v>
      </c>
      <c r="S4224" s="58">
        <v>0</v>
      </c>
      <c r="T4224" s="58">
        <v>0</v>
      </c>
      <c r="U4224" s="58">
        <v>0</v>
      </c>
      <c r="V4224" s="58">
        <v>0</v>
      </c>
      <c r="W4224" s="4">
        <v>0</v>
      </c>
    </row>
    <row r="4225" spans="1:23" x14ac:dyDescent="0.35">
      <c r="A4225">
        <v>4221</v>
      </c>
      <c r="B4225">
        <v>4222</v>
      </c>
      <c r="C4225">
        <v>146.045681</v>
      </c>
      <c r="D4225">
        <v>-17.523263329999999</v>
      </c>
      <c r="F4225" t="str">
        <f>HYPERLINK("D:\Data From Lucan\2024\Johnstone\Frames_for_Analysis\4222_20240610_0005_L_3008.jpg","4222_20240610_0005_L_3008.jpg")</f>
        <v>4222_20240610_0005_L_3008.jpg</v>
      </c>
      <c r="G4225">
        <v>3</v>
      </c>
      <c r="I4225">
        <f t="shared" si="65"/>
        <v>1</v>
      </c>
      <c r="J4225" s="58">
        <v>1</v>
      </c>
      <c r="O4225">
        <v>1</v>
      </c>
      <c r="P4225" s="58">
        <v>0</v>
      </c>
      <c r="Q4225" s="58">
        <v>0</v>
      </c>
      <c r="R4225" s="58">
        <v>0</v>
      </c>
      <c r="S4225" s="58">
        <v>0</v>
      </c>
      <c r="T4225" s="58">
        <v>0</v>
      </c>
      <c r="U4225" s="58">
        <v>0</v>
      </c>
      <c r="V4225" s="58">
        <v>0</v>
      </c>
      <c r="W4225" s="4">
        <v>0</v>
      </c>
    </row>
    <row r="4226" spans="1:23" x14ac:dyDescent="0.35">
      <c r="A4226">
        <v>4222</v>
      </c>
      <c r="B4226">
        <v>4223</v>
      </c>
      <c r="C4226">
        <v>146.04577280000001</v>
      </c>
      <c r="D4226">
        <v>-17.523242029999999</v>
      </c>
      <c r="F4226" t="str">
        <f>HYPERLINK("D:\Data From Lucan\2024\Johnstone\Frames_for_Analysis\4223_20240610_0005_L_3012.jpg","4223_20240610_0005_L_3012.jpg")</f>
        <v>4223_20240610_0005_L_3012.jpg</v>
      </c>
      <c r="G4226">
        <v>3</v>
      </c>
      <c r="I4226">
        <f t="shared" si="65"/>
        <v>1</v>
      </c>
      <c r="J4226" s="58">
        <v>1</v>
      </c>
      <c r="O4226">
        <v>1</v>
      </c>
      <c r="P4226" s="58">
        <v>0</v>
      </c>
      <c r="Q4226" s="58">
        <v>0</v>
      </c>
      <c r="R4226" s="58">
        <v>0</v>
      </c>
      <c r="S4226" s="58">
        <v>0</v>
      </c>
      <c r="T4226" s="58">
        <v>0</v>
      </c>
      <c r="U4226" s="58">
        <v>0</v>
      </c>
      <c r="V4226" s="58">
        <v>0</v>
      </c>
      <c r="W4226" s="4">
        <v>0</v>
      </c>
    </row>
    <row r="4227" spans="1:23" x14ac:dyDescent="0.35">
      <c r="A4227">
        <v>4223</v>
      </c>
      <c r="B4227">
        <v>4224</v>
      </c>
      <c r="C4227">
        <v>146.04586470000001</v>
      </c>
      <c r="D4227">
        <v>-17.523220729999998</v>
      </c>
      <c r="F4227" t="str">
        <f>HYPERLINK("D:\Data From Lucan\2024\Johnstone\Frames_for_Analysis\4224_20240610_0005_L_3014.jpg","4224_20240610_0005_L_3014.jpg")</f>
        <v>4224_20240610_0005_L_3014.jpg</v>
      </c>
      <c r="G4227">
        <v>3</v>
      </c>
      <c r="I4227">
        <f t="shared" si="65"/>
        <v>1</v>
      </c>
      <c r="J4227" s="58">
        <v>1</v>
      </c>
      <c r="O4227">
        <v>1</v>
      </c>
      <c r="P4227" s="58">
        <v>0</v>
      </c>
      <c r="Q4227" s="58">
        <v>0</v>
      </c>
      <c r="R4227" s="58">
        <v>0</v>
      </c>
      <c r="S4227" s="58">
        <v>0</v>
      </c>
      <c r="T4227" s="58">
        <v>0</v>
      </c>
      <c r="U4227" s="58">
        <v>0</v>
      </c>
      <c r="V4227" s="58">
        <v>0</v>
      </c>
      <c r="W4227" s="4">
        <v>0</v>
      </c>
    </row>
    <row r="4228" spans="1:23" x14ac:dyDescent="0.35">
      <c r="A4228">
        <v>4224</v>
      </c>
      <c r="B4228">
        <v>4225</v>
      </c>
      <c r="C4228">
        <v>146.04595660000001</v>
      </c>
      <c r="D4228">
        <v>-17.523199429999998</v>
      </c>
      <c r="F4228" t="str">
        <f>HYPERLINK("D:\Data From Lucan\2024\Johnstone\Frames_for_Analysis\4225_20240610_0005_L_3018.jpg","4225_20240610_0005_L_3018.jpg")</f>
        <v>4225_20240610_0005_L_3018.jpg</v>
      </c>
      <c r="G4228">
        <v>3</v>
      </c>
      <c r="I4228">
        <f t="shared" si="65"/>
        <v>1</v>
      </c>
      <c r="J4228" s="58">
        <v>1</v>
      </c>
      <c r="O4228">
        <v>1</v>
      </c>
      <c r="P4228" s="58">
        <v>0</v>
      </c>
      <c r="Q4228" s="58">
        <v>0</v>
      </c>
      <c r="R4228" s="58">
        <v>0</v>
      </c>
      <c r="S4228" s="58">
        <v>0</v>
      </c>
      <c r="T4228" s="58">
        <v>0</v>
      </c>
      <c r="U4228" s="58">
        <v>0</v>
      </c>
      <c r="V4228" s="58">
        <v>0</v>
      </c>
      <c r="W4228" s="4">
        <v>0</v>
      </c>
    </row>
    <row r="4229" spans="1:23" x14ac:dyDescent="0.35">
      <c r="A4229">
        <v>4225</v>
      </c>
      <c r="B4229">
        <v>4226</v>
      </c>
      <c r="C4229">
        <v>146.04604839999999</v>
      </c>
      <c r="D4229">
        <v>-17.523178120000001</v>
      </c>
      <c r="F4229" t="str">
        <f>HYPERLINK("D:\Data From Lucan\2024\Johnstone\Frames_for_Analysis\4226_20240610_0005_L_3022.jpg","4226_20240610_0005_L_3022.jpg")</f>
        <v>4226_20240610_0005_L_3022.jpg</v>
      </c>
      <c r="G4229">
        <v>3</v>
      </c>
      <c r="I4229">
        <f t="shared" ref="I4229:I4292" si="66">IF(H4229="X","X",IF(J4229="NA","X",IF(J4229="","X",J4229)))</f>
        <v>1</v>
      </c>
      <c r="J4229" s="58">
        <v>1</v>
      </c>
      <c r="O4229">
        <v>1</v>
      </c>
      <c r="P4229" s="58">
        <v>0</v>
      </c>
      <c r="Q4229" s="58">
        <v>0</v>
      </c>
      <c r="R4229" s="58">
        <v>0</v>
      </c>
      <c r="S4229" s="58">
        <v>0</v>
      </c>
      <c r="T4229" s="58">
        <v>0</v>
      </c>
      <c r="U4229" s="58">
        <v>0</v>
      </c>
      <c r="V4229" s="58">
        <v>0</v>
      </c>
      <c r="W4229" s="4">
        <v>0</v>
      </c>
    </row>
    <row r="4230" spans="1:23" x14ac:dyDescent="0.35">
      <c r="A4230">
        <v>4226</v>
      </c>
      <c r="B4230">
        <v>4227</v>
      </c>
      <c r="C4230">
        <v>146.0461402</v>
      </c>
      <c r="D4230">
        <v>-17.523156310000001</v>
      </c>
      <c r="F4230" t="str">
        <f>HYPERLINK("D:\Data From Lucan\2024\Johnstone\Frames_for_Analysis\4227_20240610_0005_L_3026.jpg","4227_20240610_0005_L_3026.jpg")</f>
        <v>4227_20240610_0005_L_3026.jpg</v>
      </c>
      <c r="G4230">
        <v>3</v>
      </c>
      <c r="I4230">
        <f t="shared" si="66"/>
        <v>1</v>
      </c>
      <c r="J4230" s="58">
        <v>1</v>
      </c>
      <c r="O4230">
        <v>1</v>
      </c>
      <c r="P4230" s="58">
        <v>0</v>
      </c>
      <c r="Q4230" s="58">
        <v>0</v>
      </c>
      <c r="R4230" s="58">
        <v>0</v>
      </c>
      <c r="S4230" s="58">
        <v>0</v>
      </c>
      <c r="T4230" s="58">
        <v>0</v>
      </c>
      <c r="U4230" s="58">
        <v>0</v>
      </c>
      <c r="V4230" s="58">
        <v>0</v>
      </c>
      <c r="W4230" s="4">
        <v>0</v>
      </c>
    </row>
    <row r="4231" spans="1:23" x14ac:dyDescent="0.35">
      <c r="A4231">
        <v>4227</v>
      </c>
      <c r="B4231">
        <v>4228</v>
      </c>
      <c r="C4231">
        <v>146.0462315</v>
      </c>
      <c r="D4231">
        <v>-17.523132650000001</v>
      </c>
      <c r="F4231" t="str">
        <f>HYPERLINK("D:\Data From Lucan\2024\Johnstone\Frames_for_Analysis\4228_20240610_0005_L_3029.jpg","4228_20240610_0005_L_3029.jpg")</f>
        <v>4228_20240610_0005_L_3029.jpg</v>
      </c>
      <c r="G4231">
        <v>3</v>
      </c>
      <c r="I4231">
        <f t="shared" si="66"/>
        <v>1</v>
      </c>
      <c r="J4231" s="58">
        <v>1</v>
      </c>
      <c r="O4231">
        <v>1</v>
      </c>
      <c r="P4231" s="58">
        <v>0</v>
      </c>
      <c r="Q4231" s="58">
        <v>0</v>
      </c>
      <c r="R4231" s="58">
        <v>0</v>
      </c>
      <c r="S4231" s="58">
        <v>0</v>
      </c>
      <c r="T4231" s="58">
        <v>0</v>
      </c>
      <c r="U4231" s="58">
        <v>0</v>
      </c>
      <c r="V4231" s="58">
        <v>0</v>
      </c>
      <c r="W4231" s="4">
        <v>0</v>
      </c>
    </row>
    <row r="4232" spans="1:23" x14ac:dyDescent="0.35">
      <c r="A4232">
        <v>4228</v>
      </c>
      <c r="B4232">
        <v>4229</v>
      </c>
      <c r="C4232">
        <v>146.04632280000001</v>
      </c>
      <c r="D4232">
        <v>-17.523109000000002</v>
      </c>
      <c r="F4232" t="str">
        <f>HYPERLINK("D:\Data From Lucan\2024\Johnstone\Frames_for_Analysis\4229_20240610_0005_L_3033.jpg","4229_20240610_0005_L_3033.jpg")</f>
        <v>4229_20240610_0005_L_3033.jpg</v>
      </c>
      <c r="G4232">
        <v>3</v>
      </c>
      <c r="I4232">
        <f t="shared" si="66"/>
        <v>1</v>
      </c>
      <c r="J4232" s="58">
        <v>1</v>
      </c>
      <c r="O4232">
        <v>1</v>
      </c>
      <c r="P4232" s="58">
        <v>0</v>
      </c>
      <c r="Q4232" s="58">
        <v>0</v>
      </c>
      <c r="R4232" s="58">
        <v>0</v>
      </c>
      <c r="S4232" s="58">
        <v>0</v>
      </c>
      <c r="T4232" s="58">
        <v>0</v>
      </c>
      <c r="U4232" s="58">
        <v>0</v>
      </c>
      <c r="V4232" s="58">
        <v>0</v>
      </c>
      <c r="W4232" s="4">
        <v>0</v>
      </c>
    </row>
    <row r="4233" spans="1:23" x14ac:dyDescent="0.35">
      <c r="A4233">
        <v>4229</v>
      </c>
      <c r="B4233">
        <v>4230</v>
      </c>
      <c r="C4233">
        <v>146.046414</v>
      </c>
      <c r="D4233">
        <v>-17.523085349999999</v>
      </c>
      <c r="F4233" t="str">
        <f>HYPERLINK("D:\Data From Lucan\2024\Johnstone\Frames_for_Analysis\4230_20240610_0005_L_3037.jpg","4230_20240610_0005_L_3037.jpg")</f>
        <v>4230_20240610_0005_L_3037.jpg</v>
      </c>
      <c r="G4233">
        <v>3</v>
      </c>
      <c r="I4233">
        <f t="shared" si="66"/>
        <v>1</v>
      </c>
      <c r="J4233" s="58">
        <v>1</v>
      </c>
      <c r="O4233">
        <v>1</v>
      </c>
      <c r="P4233" s="58">
        <v>0</v>
      </c>
      <c r="Q4233" s="58">
        <v>0</v>
      </c>
      <c r="R4233" s="58">
        <v>0</v>
      </c>
      <c r="S4233" s="58">
        <v>0</v>
      </c>
      <c r="T4233" s="58">
        <v>0</v>
      </c>
      <c r="U4233" s="58">
        <v>0</v>
      </c>
      <c r="V4233" s="58">
        <v>0</v>
      </c>
      <c r="W4233" s="4">
        <v>0</v>
      </c>
    </row>
    <row r="4234" spans="1:23" x14ac:dyDescent="0.35">
      <c r="A4234">
        <v>4230</v>
      </c>
      <c r="B4234">
        <v>4231</v>
      </c>
      <c r="C4234">
        <v>146.04650530000001</v>
      </c>
      <c r="D4234">
        <v>-17.523061689999999</v>
      </c>
      <c r="F4234" t="str">
        <f>HYPERLINK("D:\Data From Lucan\2024\Johnstone\Frames_for_Analysis\4231_20240610_0005_L_3041.jpg","4231_20240610_0005_L_3041.jpg")</f>
        <v>4231_20240610_0005_L_3041.jpg</v>
      </c>
      <c r="G4234">
        <v>3</v>
      </c>
      <c r="I4234">
        <f t="shared" si="66"/>
        <v>1</v>
      </c>
      <c r="J4234" s="58">
        <v>1</v>
      </c>
      <c r="O4234">
        <v>1</v>
      </c>
      <c r="P4234" s="58">
        <v>0</v>
      </c>
      <c r="Q4234" s="58">
        <v>0</v>
      </c>
      <c r="R4234" s="58">
        <v>0</v>
      </c>
      <c r="S4234" s="58">
        <v>0</v>
      </c>
      <c r="T4234" s="58">
        <v>0</v>
      </c>
      <c r="U4234" s="58">
        <v>0</v>
      </c>
      <c r="V4234" s="58">
        <v>0</v>
      </c>
      <c r="W4234" s="4">
        <v>0</v>
      </c>
    </row>
    <row r="4235" spans="1:23" x14ac:dyDescent="0.35">
      <c r="A4235">
        <v>4231</v>
      </c>
      <c r="B4235">
        <v>4232</v>
      </c>
      <c r="C4235">
        <v>146.04659659999999</v>
      </c>
      <c r="D4235">
        <v>-17.523038039999999</v>
      </c>
      <c r="F4235" t="str">
        <f>HYPERLINK("D:\Data From Lucan\2024\Johnstone\Frames_for_Analysis\4232_20240610_0005_L_3045.jpg","4232_20240610_0005_L_3045.jpg")</f>
        <v>4232_20240610_0005_L_3045.jpg</v>
      </c>
      <c r="G4235">
        <v>3</v>
      </c>
      <c r="I4235">
        <f t="shared" si="66"/>
        <v>1</v>
      </c>
      <c r="J4235" s="58">
        <v>1</v>
      </c>
      <c r="O4235">
        <v>1</v>
      </c>
      <c r="P4235" s="58">
        <v>0</v>
      </c>
      <c r="Q4235" s="58">
        <v>0</v>
      </c>
      <c r="R4235" s="58">
        <v>0</v>
      </c>
      <c r="S4235" s="58">
        <v>0</v>
      </c>
      <c r="T4235" s="58">
        <v>0</v>
      </c>
      <c r="U4235" s="58">
        <v>0</v>
      </c>
      <c r="V4235" s="58">
        <v>0</v>
      </c>
      <c r="W4235" s="4">
        <v>0</v>
      </c>
    </row>
    <row r="4236" spans="1:23" x14ac:dyDescent="0.35">
      <c r="A4236">
        <v>4232</v>
      </c>
      <c r="B4236">
        <v>4233</v>
      </c>
      <c r="C4236">
        <v>146.04668789999999</v>
      </c>
      <c r="D4236">
        <v>-17.52301439</v>
      </c>
      <c r="F4236" t="str">
        <f>HYPERLINK("D:\Data From Lucan\2024\Johnstone\Frames_for_Analysis\4233_20240610_0005_L_3048.jpg","4233_20240610_0005_L_3048.jpg")</f>
        <v>4233_20240610_0005_L_3048.jpg</v>
      </c>
      <c r="G4236">
        <v>3</v>
      </c>
      <c r="I4236">
        <f t="shared" si="66"/>
        <v>1</v>
      </c>
      <c r="J4236" s="58">
        <v>1</v>
      </c>
      <c r="O4236">
        <v>1</v>
      </c>
      <c r="P4236" s="58">
        <v>0</v>
      </c>
      <c r="Q4236" s="58">
        <v>0</v>
      </c>
      <c r="R4236" s="58">
        <v>0</v>
      </c>
      <c r="S4236" s="58">
        <v>0</v>
      </c>
      <c r="T4236" s="58">
        <v>0</v>
      </c>
      <c r="U4236" s="58">
        <v>0</v>
      </c>
      <c r="V4236" s="58">
        <v>0</v>
      </c>
      <c r="W4236" s="4">
        <v>0</v>
      </c>
    </row>
    <row r="4237" spans="1:23" x14ac:dyDescent="0.35">
      <c r="A4237">
        <v>4233</v>
      </c>
      <c r="B4237">
        <v>4234</v>
      </c>
      <c r="C4237">
        <v>146.0467792</v>
      </c>
      <c r="D4237">
        <v>-17.52299073</v>
      </c>
      <c r="F4237" t="str">
        <f>HYPERLINK("D:\Data From Lucan\2024\Johnstone\Frames_for_Analysis\4234_20240610_0005_L_3053.jpg","4234_20240610_0005_L_3053.jpg")</f>
        <v>4234_20240610_0005_L_3053.jpg</v>
      </c>
      <c r="G4237">
        <v>3</v>
      </c>
      <c r="I4237">
        <f t="shared" si="66"/>
        <v>1</v>
      </c>
      <c r="J4237" s="58">
        <v>1</v>
      </c>
      <c r="O4237">
        <v>1</v>
      </c>
      <c r="P4237" s="58">
        <v>0</v>
      </c>
      <c r="Q4237" s="58">
        <v>0</v>
      </c>
      <c r="R4237" s="58">
        <v>0</v>
      </c>
      <c r="S4237" s="58">
        <v>0</v>
      </c>
      <c r="T4237" s="58">
        <v>0</v>
      </c>
      <c r="U4237" s="58">
        <v>0</v>
      </c>
      <c r="V4237" s="58">
        <v>0</v>
      </c>
      <c r="W4237" s="4">
        <v>0</v>
      </c>
    </row>
    <row r="4238" spans="1:23" x14ac:dyDescent="0.35">
      <c r="A4238">
        <v>4234</v>
      </c>
      <c r="B4238">
        <v>4235</v>
      </c>
      <c r="C4238">
        <v>146.04687050000001</v>
      </c>
      <c r="D4238">
        <v>-17.522967080000001</v>
      </c>
      <c r="F4238" t="str">
        <f>HYPERLINK("D:\Data From Lucan\2024\Johnstone\Frames_for_Analysis\4235_20240610_0005_L_3056.jpg","4235_20240610_0005_L_3056.jpg")</f>
        <v>4235_20240610_0005_L_3056.jpg</v>
      </c>
      <c r="G4238">
        <v>3</v>
      </c>
      <c r="I4238">
        <f t="shared" si="66"/>
        <v>1</v>
      </c>
      <c r="J4238" s="58">
        <v>1</v>
      </c>
      <c r="O4238">
        <v>1</v>
      </c>
      <c r="P4238" s="58">
        <v>0</v>
      </c>
      <c r="Q4238" s="58">
        <v>0</v>
      </c>
      <c r="R4238" s="58">
        <v>0</v>
      </c>
      <c r="S4238" s="58">
        <v>0</v>
      </c>
      <c r="T4238" s="58">
        <v>0</v>
      </c>
      <c r="U4238" s="58">
        <v>0</v>
      </c>
      <c r="V4238" s="58">
        <v>0</v>
      </c>
      <c r="W4238" s="4">
        <v>0</v>
      </c>
    </row>
    <row r="4239" spans="1:23" x14ac:dyDescent="0.35">
      <c r="A4239">
        <v>4235</v>
      </c>
      <c r="B4239">
        <v>4236</v>
      </c>
      <c r="C4239">
        <v>146.04696179999999</v>
      </c>
      <c r="D4239">
        <v>-17.522943420000001</v>
      </c>
      <c r="F4239" t="str">
        <f>HYPERLINK("D:\Data From Lucan\2024\Johnstone\Frames_for_Analysis\4236_20240610_0005_L_3059.jpg","4236_20240610_0005_L_3059.jpg")</f>
        <v>4236_20240610_0005_L_3059.jpg</v>
      </c>
      <c r="G4239">
        <v>3</v>
      </c>
      <c r="H4239" s="65"/>
      <c r="I4239">
        <f t="shared" si="66"/>
        <v>1</v>
      </c>
      <c r="J4239" s="58">
        <v>1</v>
      </c>
      <c r="O4239">
        <v>1</v>
      </c>
      <c r="P4239" s="58">
        <v>0</v>
      </c>
      <c r="Q4239" s="58">
        <v>0</v>
      </c>
      <c r="R4239" s="58">
        <v>0</v>
      </c>
      <c r="S4239" s="58">
        <v>0</v>
      </c>
      <c r="T4239" s="58">
        <v>0</v>
      </c>
      <c r="U4239" s="58">
        <v>0</v>
      </c>
      <c r="V4239" s="58">
        <v>0</v>
      </c>
      <c r="W4239" s="4">
        <v>0</v>
      </c>
    </row>
    <row r="4240" spans="1:23" x14ac:dyDescent="0.35">
      <c r="A4240">
        <v>4236</v>
      </c>
      <c r="B4240">
        <v>4237</v>
      </c>
      <c r="C4240">
        <v>146.04705300000001</v>
      </c>
      <c r="D4240">
        <v>-17.522919689999998</v>
      </c>
      <c r="F4240" t="str">
        <f>HYPERLINK("D:\Data From Lucan\2024\Johnstone\Frames_for_Analysis\4237_20240610_0005_L_3065.jpg","4237_20240610_0005_L_3065.jpg")</f>
        <v>4237_20240610_0005_L_3065.jpg</v>
      </c>
      <c r="G4240">
        <v>3</v>
      </c>
      <c r="I4240">
        <v>0</v>
      </c>
      <c r="J4240" s="58">
        <v>2</v>
      </c>
      <c r="O4240">
        <v>1</v>
      </c>
      <c r="P4240" s="58">
        <v>0</v>
      </c>
      <c r="Q4240" s="58">
        <v>0</v>
      </c>
      <c r="R4240" s="58">
        <v>0</v>
      </c>
      <c r="S4240" s="58">
        <v>0</v>
      </c>
      <c r="T4240" s="58">
        <v>0</v>
      </c>
      <c r="U4240" s="58">
        <v>0</v>
      </c>
      <c r="V4240" s="58">
        <v>0</v>
      </c>
      <c r="W4240" s="4">
        <v>0</v>
      </c>
    </row>
    <row r="4241" spans="1:23" x14ac:dyDescent="0.35">
      <c r="A4241">
        <v>4237</v>
      </c>
      <c r="B4241">
        <v>4238</v>
      </c>
      <c r="C4241">
        <v>146.04714319999999</v>
      </c>
      <c r="D4241">
        <v>-17.522892030000001</v>
      </c>
      <c r="F4241" t="str">
        <f>HYPERLINK("D:\Data From Lucan\2024\Johnstone\Frames_for_Analysis\4238_20240610_0005_L_3070.jpg","4238_20240610_0005_L_3070.jpg")</f>
        <v>4238_20240610_0005_L_3070.jpg</v>
      </c>
      <c r="G4241">
        <v>3</v>
      </c>
      <c r="I4241">
        <v>0</v>
      </c>
      <c r="J4241" s="58">
        <v>2</v>
      </c>
      <c r="O4241">
        <v>1</v>
      </c>
      <c r="P4241" s="58">
        <v>0</v>
      </c>
      <c r="Q4241" s="58">
        <v>0</v>
      </c>
      <c r="R4241" s="58">
        <v>0</v>
      </c>
      <c r="S4241" s="58">
        <v>0</v>
      </c>
      <c r="T4241" s="58">
        <v>0</v>
      </c>
      <c r="U4241" s="58">
        <v>0</v>
      </c>
      <c r="V4241" s="58">
        <v>0</v>
      </c>
      <c r="W4241" s="4">
        <v>0</v>
      </c>
    </row>
    <row r="4242" spans="1:23" x14ac:dyDescent="0.35">
      <c r="A4242">
        <v>4238</v>
      </c>
      <c r="B4242">
        <v>4239</v>
      </c>
      <c r="C4242">
        <v>146.04723340000001</v>
      </c>
      <c r="D4242">
        <v>-17.52286436</v>
      </c>
      <c r="F4242" t="str">
        <f>HYPERLINK("D:\Data From Lucan\2024\Johnstone\Frames_for_Analysis\4239_20240610_0005_L_3074.jpg","4239_20240610_0005_L_3074.jpg")</f>
        <v>4239_20240610_0005_L_3074.jpg</v>
      </c>
      <c r="G4242">
        <v>3</v>
      </c>
      <c r="I4242">
        <f t="shared" si="66"/>
        <v>1</v>
      </c>
      <c r="J4242" s="58">
        <v>1</v>
      </c>
      <c r="O4242">
        <v>1</v>
      </c>
      <c r="P4242" s="58">
        <v>0</v>
      </c>
      <c r="Q4242" s="58">
        <v>0</v>
      </c>
      <c r="R4242" s="58">
        <v>0</v>
      </c>
      <c r="S4242" s="58">
        <v>0</v>
      </c>
      <c r="T4242" s="58">
        <v>0</v>
      </c>
      <c r="U4242" s="58">
        <v>0</v>
      </c>
      <c r="V4242" s="58">
        <v>0</v>
      </c>
      <c r="W4242" s="4">
        <v>0</v>
      </c>
    </row>
    <row r="4243" spans="1:23" x14ac:dyDescent="0.35">
      <c r="A4243">
        <v>4239</v>
      </c>
      <c r="B4243">
        <v>4240</v>
      </c>
      <c r="C4243">
        <v>146.0473235</v>
      </c>
      <c r="D4243">
        <v>-17.522836689999998</v>
      </c>
      <c r="F4243" t="str">
        <f>HYPERLINK("D:\Data From Lucan\2024\Johnstone\Frames_for_Analysis\4240_20240610_0005_L_3078.jpg","4240_20240610_0005_L_3078.jpg")</f>
        <v>4240_20240610_0005_L_3078.jpg</v>
      </c>
      <c r="G4243">
        <v>3</v>
      </c>
      <c r="I4243">
        <f t="shared" si="66"/>
        <v>1</v>
      </c>
      <c r="J4243" s="58">
        <v>1</v>
      </c>
      <c r="O4243">
        <v>1</v>
      </c>
      <c r="P4243" s="58">
        <v>0</v>
      </c>
      <c r="Q4243" s="58">
        <v>0</v>
      </c>
      <c r="R4243" s="58">
        <v>0</v>
      </c>
      <c r="S4243" s="58">
        <v>0</v>
      </c>
      <c r="T4243" s="58">
        <v>0</v>
      </c>
      <c r="U4243" s="58">
        <v>0</v>
      </c>
      <c r="V4243" s="58">
        <v>0</v>
      </c>
      <c r="W4243" s="4">
        <v>0</v>
      </c>
    </row>
    <row r="4244" spans="1:23" x14ac:dyDescent="0.35">
      <c r="A4244">
        <v>4240</v>
      </c>
      <c r="B4244">
        <v>4241</v>
      </c>
      <c r="C4244">
        <v>146.04741369999999</v>
      </c>
      <c r="D4244">
        <v>-17.52280902</v>
      </c>
      <c r="F4244" t="str">
        <f>HYPERLINK("D:\Data From Lucan\2024\Johnstone\Frames_for_Analysis\4241_20240610_0005_L_3082.jpg","4241_20240610_0005_L_3082.jpg")</f>
        <v>4241_20240610_0005_L_3082.jpg</v>
      </c>
      <c r="G4244">
        <v>3</v>
      </c>
      <c r="I4244">
        <f t="shared" si="66"/>
        <v>1</v>
      </c>
      <c r="J4244" s="58">
        <v>1</v>
      </c>
      <c r="O4244">
        <v>1</v>
      </c>
      <c r="P4244" s="58">
        <v>0</v>
      </c>
      <c r="Q4244" s="58">
        <v>0</v>
      </c>
      <c r="R4244" s="58">
        <v>0</v>
      </c>
      <c r="S4244" s="58">
        <v>0</v>
      </c>
      <c r="T4244" s="58">
        <v>0</v>
      </c>
      <c r="U4244" s="58">
        <v>0</v>
      </c>
      <c r="V4244" s="58">
        <v>0</v>
      </c>
      <c r="W4244" s="4">
        <v>0</v>
      </c>
    </row>
    <row r="4245" spans="1:23" x14ac:dyDescent="0.35">
      <c r="A4245">
        <v>4241</v>
      </c>
      <c r="B4245">
        <v>4242</v>
      </c>
      <c r="C4245">
        <v>146.04750379999999</v>
      </c>
      <c r="D4245">
        <v>-17.52278136</v>
      </c>
      <c r="F4245" t="str">
        <f>HYPERLINK("D:\Data From Lucan\2024\Johnstone\Frames_for_Analysis\4242_20240610_0005_L_3085.jpg","4242_20240610_0005_L_3085.jpg")</f>
        <v>4242_20240610_0005_L_3085.jpg</v>
      </c>
      <c r="G4245">
        <v>3</v>
      </c>
      <c r="I4245">
        <f t="shared" si="66"/>
        <v>1</v>
      </c>
      <c r="J4245" s="58">
        <v>1</v>
      </c>
      <c r="O4245">
        <v>1</v>
      </c>
      <c r="P4245" s="58">
        <v>0</v>
      </c>
      <c r="Q4245" s="58">
        <v>0</v>
      </c>
      <c r="R4245" s="58">
        <v>0</v>
      </c>
      <c r="S4245" s="58">
        <v>0</v>
      </c>
      <c r="T4245" s="58">
        <v>0</v>
      </c>
      <c r="U4245" s="58">
        <v>0</v>
      </c>
      <c r="V4245" s="58">
        <v>0</v>
      </c>
      <c r="W4245" s="4">
        <v>0</v>
      </c>
    </row>
    <row r="4246" spans="1:23" x14ac:dyDescent="0.35">
      <c r="A4246">
        <v>4242</v>
      </c>
      <c r="B4246">
        <v>4243</v>
      </c>
      <c r="C4246">
        <v>146.047594</v>
      </c>
      <c r="D4246">
        <v>-17.522753689999998</v>
      </c>
      <c r="F4246" t="str">
        <f>HYPERLINK("D:\Data From Lucan\2024\Johnstone\Frames_for_Analysis\4243_20240610_0005_L_3090.jpg","4243_20240610_0005_L_3090.jpg")</f>
        <v>4243_20240610_0005_L_3090.jpg</v>
      </c>
      <c r="G4246">
        <v>3</v>
      </c>
      <c r="I4246">
        <f t="shared" si="66"/>
        <v>1</v>
      </c>
      <c r="J4246" s="58">
        <v>1</v>
      </c>
      <c r="O4246">
        <v>1</v>
      </c>
      <c r="P4246" s="58">
        <v>0</v>
      </c>
      <c r="Q4246" s="58">
        <v>0</v>
      </c>
      <c r="R4246" s="58">
        <v>0</v>
      </c>
      <c r="S4246" s="58">
        <v>0</v>
      </c>
      <c r="T4246" s="58">
        <v>0</v>
      </c>
      <c r="U4246" s="58">
        <v>0</v>
      </c>
      <c r="V4246" s="58">
        <v>0</v>
      </c>
      <c r="W4246" s="4">
        <v>0</v>
      </c>
    </row>
    <row r="4247" spans="1:23" x14ac:dyDescent="0.35">
      <c r="A4247">
        <v>4243</v>
      </c>
      <c r="B4247">
        <v>4244</v>
      </c>
      <c r="C4247">
        <v>146.0476841</v>
      </c>
      <c r="D4247">
        <v>-17.52272602</v>
      </c>
      <c r="F4247" t="str">
        <f>HYPERLINK("D:\Data From Lucan\2024\Johnstone\Frames_for_Analysis\4244_20240610_0005_L_3093.jpg","4244_20240610_0005_L_3093.jpg")</f>
        <v>4244_20240610_0005_L_3093.jpg</v>
      </c>
      <c r="G4247">
        <v>3</v>
      </c>
      <c r="I4247">
        <f t="shared" si="66"/>
        <v>1</v>
      </c>
      <c r="J4247" s="58">
        <v>1</v>
      </c>
      <c r="O4247">
        <v>1</v>
      </c>
      <c r="P4247" s="58">
        <v>0</v>
      </c>
      <c r="Q4247" s="58">
        <v>0</v>
      </c>
      <c r="R4247" s="58">
        <v>0</v>
      </c>
      <c r="S4247" s="58">
        <v>0</v>
      </c>
      <c r="T4247" s="58">
        <v>0</v>
      </c>
      <c r="U4247" s="58">
        <v>0</v>
      </c>
      <c r="V4247" s="58">
        <v>0</v>
      </c>
      <c r="W4247" s="4">
        <v>0</v>
      </c>
    </row>
    <row r="4248" spans="1:23" x14ac:dyDescent="0.35">
      <c r="A4248">
        <v>4244</v>
      </c>
      <c r="B4248">
        <v>4245</v>
      </c>
      <c r="C4248">
        <v>146.04777350000001</v>
      </c>
      <c r="D4248">
        <v>-17.522696289999999</v>
      </c>
      <c r="F4248" t="str">
        <f>HYPERLINK("D:\Data From Lucan\2024\Johnstone\Frames_for_Analysis\4245_20240610_0005_L_3097.jpg","4245_20240610_0005_L_3097.jpg")</f>
        <v>4245_20240610_0005_L_3097.jpg</v>
      </c>
      <c r="G4248">
        <v>3</v>
      </c>
      <c r="I4248">
        <f t="shared" si="66"/>
        <v>1</v>
      </c>
      <c r="J4248" s="58">
        <v>1</v>
      </c>
      <c r="O4248">
        <v>1</v>
      </c>
      <c r="P4248" s="58">
        <v>0</v>
      </c>
      <c r="Q4248" s="58">
        <v>0</v>
      </c>
      <c r="R4248" s="58">
        <v>0</v>
      </c>
      <c r="S4248" s="58">
        <v>0</v>
      </c>
      <c r="T4248" s="58">
        <v>0</v>
      </c>
      <c r="U4248" s="58">
        <v>0</v>
      </c>
      <c r="V4248" s="58">
        <v>0</v>
      </c>
      <c r="W4248" s="4">
        <v>0</v>
      </c>
    </row>
    <row r="4249" spans="1:23" x14ac:dyDescent="0.35">
      <c r="A4249">
        <v>4245</v>
      </c>
      <c r="B4249">
        <v>4246</v>
      </c>
      <c r="C4249">
        <v>146.0478603</v>
      </c>
      <c r="D4249">
        <v>-17.52265942</v>
      </c>
      <c r="F4249" t="str">
        <f>HYPERLINK("D:\Data From Lucan\2024\Johnstone\Frames_for_Analysis\4246_20240610_0005_L_3101.jpg","4246_20240610_0005_L_3101.jpg")</f>
        <v>4246_20240610_0005_L_3101.jpg</v>
      </c>
      <c r="G4249">
        <v>3</v>
      </c>
      <c r="I4249">
        <f t="shared" si="66"/>
        <v>1</v>
      </c>
      <c r="J4249" s="58">
        <v>1</v>
      </c>
      <c r="O4249">
        <v>1</v>
      </c>
      <c r="P4249" s="58">
        <v>0</v>
      </c>
      <c r="Q4249" s="58">
        <v>0</v>
      </c>
      <c r="R4249" s="58">
        <v>0</v>
      </c>
      <c r="S4249" s="58">
        <v>0</v>
      </c>
      <c r="T4249" s="58">
        <v>0</v>
      </c>
      <c r="U4249" s="58">
        <v>0</v>
      </c>
      <c r="V4249" s="58">
        <v>0</v>
      </c>
      <c r="W4249" s="4">
        <v>0</v>
      </c>
    </row>
    <row r="4250" spans="1:23" x14ac:dyDescent="0.35">
      <c r="A4250">
        <v>4246</v>
      </c>
      <c r="B4250">
        <v>4247</v>
      </c>
      <c r="C4250">
        <v>146.04794709999999</v>
      </c>
      <c r="D4250">
        <v>-17.522622550000001</v>
      </c>
      <c r="F4250" t="str">
        <f>HYPERLINK("D:\Data From Lucan\2024\Johnstone\Frames_for_Analysis\4247_20240610_0005_L_3105.jpg","4247_20240610_0005_L_3105.jpg")</f>
        <v>4247_20240610_0005_L_3105.jpg</v>
      </c>
      <c r="G4250">
        <v>3</v>
      </c>
      <c r="I4250">
        <f t="shared" si="66"/>
        <v>1</v>
      </c>
      <c r="J4250" s="58">
        <v>1</v>
      </c>
      <c r="O4250">
        <v>1</v>
      </c>
      <c r="P4250" s="58">
        <v>0</v>
      </c>
      <c r="Q4250" s="58">
        <v>0</v>
      </c>
      <c r="R4250" s="58">
        <v>0</v>
      </c>
      <c r="S4250" s="58">
        <v>0</v>
      </c>
      <c r="T4250" s="58">
        <v>0</v>
      </c>
      <c r="U4250" s="58">
        <v>0</v>
      </c>
      <c r="V4250" s="58">
        <v>0</v>
      </c>
      <c r="W4250" s="4">
        <v>0</v>
      </c>
    </row>
    <row r="4251" spans="1:23" x14ac:dyDescent="0.35">
      <c r="A4251">
        <v>4247</v>
      </c>
      <c r="B4251">
        <v>4248</v>
      </c>
      <c r="C4251">
        <v>146.04803390000001</v>
      </c>
      <c r="D4251">
        <v>-17.522585679999999</v>
      </c>
      <c r="F4251" t="str">
        <f>HYPERLINK("D:\Data From Lucan\2024\Johnstone\Frames_for_Analysis\4248_20240610_0005_L_3109.jpg","4248_20240610_0005_L_3109.jpg")</f>
        <v>4248_20240610_0005_L_3109.jpg</v>
      </c>
      <c r="G4251">
        <v>3</v>
      </c>
      <c r="I4251">
        <f t="shared" si="66"/>
        <v>1</v>
      </c>
      <c r="J4251" s="58">
        <v>1</v>
      </c>
      <c r="O4251">
        <v>1</v>
      </c>
      <c r="P4251" s="58">
        <v>0</v>
      </c>
      <c r="Q4251" s="58">
        <v>0</v>
      </c>
      <c r="R4251" s="58">
        <v>0</v>
      </c>
      <c r="S4251" s="58">
        <v>0</v>
      </c>
      <c r="T4251" s="58">
        <v>0</v>
      </c>
      <c r="U4251" s="58">
        <v>0</v>
      </c>
      <c r="V4251" s="58">
        <v>0</v>
      </c>
      <c r="W4251" s="4">
        <v>0</v>
      </c>
    </row>
    <row r="4252" spans="1:23" x14ac:dyDescent="0.35">
      <c r="A4252">
        <v>4248</v>
      </c>
      <c r="B4252">
        <v>4249</v>
      </c>
      <c r="C4252">
        <v>146.0481207</v>
      </c>
      <c r="D4252">
        <v>-17.52254881</v>
      </c>
      <c r="F4252" t="str">
        <f>HYPERLINK("D:\Data From Lucan\2024\Johnstone\Frames_for_Analysis\4249_20240610_0005_L_3113.jpg","4249_20240610_0005_L_3113.jpg")</f>
        <v>4249_20240610_0005_L_3113.jpg</v>
      </c>
      <c r="G4252">
        <v>3</v>
      </c>
      <c r="I4252">
        <f t="shared" si="66"/>
        <v>1</v>
      </c>
      <c r="J4252" s="58">
        <v>1</v>
      </c>
      <c r="O4252">
        <v>1</v>
      </c>
      <c r="P4252" s="58">
        <v>0</v>
      </c>
      <c r="Q4252" s="58">
        <v>0</v>
      </c>
      <c r="R4252" s="58">
        <v>0</v>
      </c>
      <c r="S4252" s="58">
        <v>0</v>
      </c>
      <c r="T4252" s="58">
        <v>0</v>
      </c>
      <c r="U4252" s="58">
        <v>0</v>
      </c>
      <c r="V4252" s="58">
        <v>0</v>
      </c>
      <c r="W4252" s="4">
        <v>0</v>
      </c>
    </row>
    <row r="4253" spans="1:23" x14ac:dyDescent="0.35">
      <c r="A4253">
        <v>4249</v>
      </c>
      <c r="B4253">
        <v>4250</v>
      </c>
      <c r="C4253">
        <v>146.04820699999999</v>
      </c>
      <c r="D4253">
        <v>-17.522510740000001</v>
      </c>
      <c r="F4253" t="str">
        <f>HYPERLINK("D:\Data From Lucan\2024\Johnstone\Frames_for_Analysis\4250_20240610_0005_L_3117.jpg","4250_20240610_0005_L_3117.jpg")</f>
        <v>4250_20240610_0005_L_3117.jpg</v>
      </c>
      <c r="G4253">
        <v>3</v>
      </c>
      <c r="I4253">
        <f t="shared" si="66"/>
        <v>1</v>
      </c>
      <c r="J4253" s="58">
        <v>1</v>
      </c>
      <c r="O4253">
        <v>1</v>
      </c>
      <c r="P4253" s="58">
        <v>0</v>
      </c>
      <c r="Q4253" s="58">
        <v>0</v>
      </c>
      <c r="R4253" s="58">
        <v>0</v>
      </c>
      <c r="S4253" s="58">
        <v>0</v>
      </c>
      <c r="T4253" s="58">
        <v>0</v>
      </c>
      <c r="U4253" s="58">
        <v>0</v>
      </c>
      <c r="V4253" s="58">
        <v>0</v>
      </c>
      <c r="W4253" s="4">
        <v>0</v>
      </c>
    </row>
    <row r="4254" spans="1:23" x14ac:dyDescent="0.35">
      <c r="A4254">
        <v>4250</v>
      </c>
      <c r="B4254">
        <v>4251</v>
      </c>
      <c r="C4254">
        <v>146.0482911</v>
      </c>
      <c r="D4254">
        <v>-17.522468119999999</v>
      </c>
      <c r="F4254" t="str">
        <f>HYPERLINK("D:\Data From Lucan\2024\Johnstone\Frames_for_Analysis\4251_20240610_0005_L_3122.jpg","4251_20240610_0005_L_3122.jpg")</f>
        <v>4251_20240610_0005_L_3122.jpg</v>
      </c>
      <c r="G4254">
        <v>3</v>
      </c>
      <c r="I4254">
        <f t="shared" si="66"/>
        <v>1</v>
      </c>
      <c r="J4254" s="58">
        <v>1</v>
      </c>
      <c r="O4254">
        <v>1</v>
      </c>
      <c r="P4254" s="58">
        <v>0</v>
      </c>
      <c r="Q4254" s="58">
        <v>0</v>
      </c>
      <c r="R4254" s="58">
        <v>0</v>
      </c>
      <c r="S4254" s="58">
        <v>0</v>
      </c>
      <c r="T4254" s="58">
        <v>0</v>
      </c>
      <c r="U4254" s="58">
        <v>0</v>
      </c>
      <c r="V4254" s="58">
        <v>0</v>
      </c>
      <c r="W4254" s="4">
        <v>0</v>
      </c>
    </row>
    <row r="4255" spans="1:23" x14ac:dyDescent="0.35">
      <c r="A4255">
        <v>4251</v>
      </c>
      <c r="B4255">
        <v>4252</v>
      </c>
      <c r="C4255">
        <v>146.04837520000001</v>
      </c>
      <c r="D4255">
        <v>-17.522425500000001</v>
      </c>
      <c r="F4255" t="str">
        <f>HYPERLINK("D:\Data From Lucan\2024\Johnstone\Frames_for_Analysis\4252_20240610_0005_L_3126.jpg","4252_20240610_0005_L_3126.jpg")</f>
        <v>4252_20240610_0005_L_3126.jpg</v>
      </c>
      <c r="G4255">
        <v>3</v>
      </c>
      <c r="I4255">
        <f t="shared" si="66"/>
        <v>1</v>
      </c>
      <c r="J4255" s="58">
        <v>1</v>
      </c>
      <c r="O4255">
        <v>1</v>
      </c>
      <c r="P4255" s="58">
        <v>0</v>
      </c>
      <c r="Q4255" s="58">
        <v>0</v>
      </c>
      <c r="R4255" s="58">
        <v>0</v>
      </c>
      <c r="S4255" s="58">
        <v>0</v>
      </c>
      <c r="T4255" s="58">
        <v>0</v>
      </c>
      <c r="U4255" s="58">
        <v>0</v>
      </c>
      <c r="V4255" s="58">
        <v>0</v>
      </c>
      <c r="W4255" s="4">
        <v>0</v>
      </c>
    </row>
    <row r="4256" spans="1:23" x14ac:dyDescent="0.35">
      <c r="A4256">
        <v>4252</v>
      </c>
      <c r="B4256">
        <v>4253</v>
      </c>
      <c r="C4256">
        <v>146.04845929999999</v>
      </c>
      <c r="D4256">
        <v>-17.522382879999999</v>
      </c>
      <c r="F4256" t="str">
        <f>HYPERLINK("D:\Data From Lucan\2024\Johnstone\Frames_for_Analysis\4253_20240610_0005_L_3130.jpg","4253_20240610_0005_L_3130.jpg")</f>
        <v>4253_20240610_0005_L_3130.jpg</v>
      </c>
      <c r="G4256">
        <v>3</v>
      </c>
      <c r="I4256">
        <f t="shared" si="66"/>
        <v>1</v>
      </c>
      <c r="J4256" s="58">
        <v>1</v>
      </c>
      <c r="O4256">
        <v>1</v>
      </c>
      <c r="P4256" s="58">
        <v>0</v>
      </c>
      <c r="Q4256" s="58">
        <v>0</v>
      </c>
      <c r="R4256" s="58">
        <v>0</v>
      </c>
      <c r="S4256" s="58">
        <v>0</v>
      </c>
      <c r="T4256" s="58">
        <v>0</v>
      </c>
      <c r="U4256" s="58">
        <v>0</v>
      </c>
      <c r="V4256" s="58">
        <v>0</v>
      </c>
      <c r="W4256" s="4">
        <v>0</v>
      </c>
    </row>
    <row r="4257" spans="1:23" x14ac:dyDescent="0.35">
      <c r="A4257">
        <v>4253</v>
      </c>
      <c r="B4257">
        <v>4254</v>
      </c>
      <c r="C4257">
        <v>146.04854040000001</v>
      </c>
      <c r="D4257">
        <v>-17.522335340000001</v>
      </c>
      <c r="F4257" t="str">
        <f>HYPERLINK("D:\Data From Lucan\2024\Johnstone\Frames_for_Analysis\4254_20240610_0005_L_3135.jpg","4254_20240610_0005_L_3135.jpg")</f>
        <v>4254_20240610_0005_L_3135.jpg</v>
      </c>
      <c r="G4257">
        <v>3</v>
      </c>
      <c r="I4257">
        <f t="shared" si="66"/>
        <v>1</v>
      </c>
      <c r="J4257" s="58">
        <v>1</v>
      </c>
      <c r="O4257">
        <v>1</v>
      </c>
      <c r="P4257" s="58">
        <v>0</v>
      </c>
      <c r="Q4257" s="58">
        <v>0</v>
      </c>
      <c r="R4257" s="58">
        <v>0</v>
      </c>
      <c r="S4257" s="58">
        <v>0</v>
      </c>
      <c r="T4257" s="58">
        <v>0</v>
      </c>
      <c r="U4257" s="58">
        <v>0</v>
      </c>
      <c r="V4257" s="58">
        <v>0</v>
      </c>
      <c r="W4257" s="4">
        <v>0</v>
      </c>
    </row>
    <row r="4258" spans="1:23" x14ac:dyDescent="0.35">
      <c r="A4258">
        <v>4254</v>
      </c>
      <c r="B4258">
        <v>4255</v>
      </c>
      <c r="C4258">
        <v>146.0486161</v>
      </c>
      <c r="D4258">
        <v>-17.522279090000001</v>
      </c>
      <c r="F4258" t="str">
        <f>HYPERLINK("D:\Data From Lucan\2024\Johnstone\Frames_for_Analysis\4255_20240610_0005_L_3138.jpg","4255_20240610_0005_L_3138.jpg")</f>
        <v>4255_20240610_0005_L_3138.jpg</v>
      </c>
      <c r="G4258">
        <v>3</v>
      </c>
      <c r="I4258">
        <f t="shared" si="66"/>
        <v>1</v>
      </c>
      <c r="J4258" s="58">
        <v>1</v>
      </c>
      <c r="O4258">
        <v>1</v>
      </c>
      <c r="P4258" s="58">
        <v>0</v>
      </c>
      <c r="Q4258" s="58">
        <v>0</v>
      </c>
      <c r="R4258" s="58">
        <v>0</v>
      </c>
      <c r="S4258" s="58">
        <v>0</v>
      </c>
      <c r="T4258" s="58">
        <v>0</v>
      </c>
      <c r="U4258" s="58">
        <v>0</v>
      </c>
      <c r="V4258" s="58">
        <v>0</v>
      </c>
      <c r="W4258" s="4">
        <v>0</v>
      </c>
    </row>
    <row r="4259" spans="1:23" x14ac:dyDescent="0.35">
      <c r="A4259">
        <v>4255</v>
      </c>
      <c r="B4259">
        <v>4256</v>
      </c>
      <c r="C4259">
        <v>146.0486454</v>
      </c>
      <c r="D4259">
        <v>-17.522197760000001</v>
      </c>
      <c r="F4259" t="str">
        <f>HYPERLINK("D:\Data From Lucan\2024\Johnstone\Frames_for_Analysis\4256_20240610_0005_L_3140.jpg","4256_20240610_0005_L_3140.jpg")</f>
        <v>4256_20240610_0005_L_3140.jpg</v>
      </c>
      <c r="G4259">
        <v>3</v>
      </c>
      <c r="H4259" t="s">
        <v>26</v>
      </c>
      <c r="I4259" t="str">
        <f t="shared" si="66"/>
        <v>X</v>
      </c>
      <c r="O4259">
        <v>1</v>
      </c>
      <c r="P4259" s="58">
        <v>0</v>
      </c>
      <c r="Q4259" s="58">
        <v>0</v>
      </c>
      <c r="S4259" s="58">
        <v>0</v>
      </c>
      <c r="T4259" s="58">
        <v>0</v>
      </c>
      <c r="U4259" s="58">
        <v>0</v>
      </c>
      <c r="V4259" s="58">
        <v>0</v>
      </c>
      <c r="W4259" s="4"/>
    </row>
    <row r="4260" spans="1:23" x14ac:dyDescent="0.35">
      <c r="A4260">
        <v>4256</v>
      </c>
      <c r="B4260">
        <v>4257</v>
      </c>
      <c r="C4260">
        <v>146.04861450000001</v>
      </c>
      <c r="D4260">
        <v>-17.522114680000001</v>
      </c>
      <c r="G4260">
        <v>3</v>
      </c>
      <c r="H4260" t="s">
        <v>26</v>
      </c>
      <c r="I4260" t="str">
        <f t="shared" si="66"/>
        <v>X</v>
      </c>
      <c r="W4260" s="4"/>
    </row>
    <row r="4261" spans="1:23" x14ac:dyDescent="0.35">
      <c r="A4261">
        <v>4257</v>
      </c>
      <c r="B4261">
        <v>4258</v>
      </c>
      <c r="C4261">
        <v>146.0485462</v>
      </c>
      <c r="D4261">
        <v>-17.522051829999999</v>
      </c>
      <c r="G4261">
        <v>3</v>
      </c>
      <c r="H4261" t="s">
        <v>26</v>
      </c>
      <c r="I4261" t="str">
        <f t="shared" si="66"/>
        <v>X</v>
      </c>
      <c r="W4261" s="4"/>
    </row>
    <row r="4262" spans="1:23" x14ac:dyDescent="0.35">
      <c r="A4262">
        <v>4258</v>
      </c>
      <c r="B4262">
        <v>4259</v>
      </c>
      <c r="C4262">
        <v>146.04846699999999</v>
      </c>
      <c r="D4262">
        <v>-17.52200062</v>
      </c>
      <c r="G4262">
        <v>3</v>
      </c>
      <c r="H4262" t="s">
        <v>26</v>
      </c>
      <c r="I4262" t="str">
        <f t="shared" si="66"/>
        <v>X</v>
      </c>
      <c r="W4262" s="4"/>
    </row>
    <row r="4263" spans="1:23" x14ac:dyDescent="0.35">
      <c r="A4263">
        <v>4259</v>
      </c>
      <c r="B4263">
        <v>4260</v>
      </c>
      <c r="C4263">
        <v>146.04838430000001</v>
      </c>
      <c r="D4263">
        <v>-17.521955649999999</v>
      </c>
      <c r="G4263">
        <v>3</v>
      </c>
      <c r="H4263" t="s">
        <v>26</v>
      </c>
      <c r="I4263" t="str">
        <f t="shared" si="66"/>
        <v>X</v>
      </c>
      <c r="W4263" s="4"/>
    </row>
    <row r="4264" spans="1:23" x14ac:dyDescent="0.35">
      <c r="A4264">
        <v>4260</v>
      </c>
      <c r="B4264">
        <v>4261</v>
      </c>
      <c r="C4264">
        <v>146.04829950000001</v>
      </c>
      <c r="D4264">
        <v>-17.52191444</v>
      </c>
      <c r="G4264">
        <v>3</v>
      </c>
      <c r="H4264" t="s">
        <v>26</v>
      </c>
      <c r="I4264" t="str">
        <f t="shared" si="66"/>
        <v>X</v>
      </c>
      <c r="W4264" s="4"/>
    </row>
    <row r="4265" spans="1:23" x14ac:dyDescent="0.35">
      <c r="A4265">
        <v>4261</v>
      </c>
      <c r="B4265">
        <v>4262</v>
      </c>
      <c r="C4265">
        <v>146.04821810000001</v>
      </c>
      <c r="D4265">
        <v>-17.52186798</v>
      </c>
      <c r="G4265">
        <v>3</v>
      </c>
      <c r="H4265" t="s">
        <v>26</v>
      </c>
      <c r="I4265" t="str">
        <f t="shared" si="66"/>
        <v>X</v>
      </c>
      <c r="W4265" s="4"/>
    </row>
    <row r="4266" spans="1:23" x14ac:dyDescent="0.35">
      <c r="A4266">
        <v>4262</v>
      </c>
      <c r="B4266">
        <v>4263</v>
      </c>
      <c r="C4266">
        <v>146.0481461</v>
      </c>
      <c r="D4266">
        <v>-17.521806990000002</v>
      </c>
      <c r="G4266">
        <v>3</v>
      </c>
      <c r="H4266" t="s">
        <v>26</v>
      </c>
      <c r="I4266" t="str">
        <f t="shared" si="66"/>
        <v>X</v>
      </c>
      <c r="W4266" s="4"/>
    </row>
    <row r="4267" spans="1:23" x14ac:dyDescent="0.35">
      <c r="A4267">
        <v>4263</v>
      </c>
      <c r="B4267">
        <v>4264</v>
      </c>
      <c r="C4267">
        <v>146.0480742</v>
      </c>
      <c r="D4267">
        <v>-17.521745989999999</v>
      </c>
      <c r="G4267">
        <v>3</v>
      </c>
      <c r="H4267" t="s">
        <v>26</v>
      </c>
      <c r="I4267" t="str">
        <f t="shared" si="66"/>
        <v>X</v>
      </c>
      <c r="W4267" s="4"/>
    </row>
    <row r="4268" spans="1:23" x14ac:dyDescent="0.35">
      <c r="A4268">
        <v>4264</v>
      </c>
      <c r="B4268">
        <v>4265</v>
      </c>
      <c r="C4268">
        <v>146.04800090000001</v>
      </c>
      <c r="D4268">
        <v>-17.52168692</v>
      </c>
      <c r="G4268">
        <v>3</v>
      </c>
      <c r="H4268" t="s">
        <v>26</v>
      </c>
      <c r="I4268" t="str">
        <f t="shared" si="66"/>
        <v>X</v>
      </c>
      <c r="W4268" s="4"/>
    </row>
    <row r="4269" spans="1:23" x14ac:dyDescent="0.35">
      <c r="A4269">
        <v>4265</v>
      </c>
      <c r="B4269">
        <v>4266</v>
      </c>
      <c r="C4269">
        <v>146.04792119999999</v>
      </c>
      <c r="D4269">
        <v>-17.521636449999999</v>
      </c>
      <c r="G4269">
        <v>3</v>
      </c>
      <c r="H4269" t="s">
        <v>26</v>
      </c>
      <c r="I4269" t="str">
        <f t="shared" si="66"/>
        <v>X</v>
      </c>
      <c r="W4269" s="4"/>
    </row>
    <row r="4270" spans="1:23" x14ac:dyDescent="0.35">
      <c r="A4270">
        <v>4266</v>
      </c>
      <c r="B4270">
        <v>4267</v>
      </c>
      <c r="C4270">
        <v>146.0478416</v>
      </c>
      <c r="D4270">
        <v>-17.52158597</v>
      </c>
      <c r="G4270">
        <v>3</v>
      </c>
      <c r="H4270" t="s">
        <v>26</v>
      </c>
      <c r="I4270" t="str">
        <f t="shared" si="66"/>
        <v>X</v>
      </c>
      <c r="W4270" s="4"/>
    </row>
    <row r="4271" spans="1:23" x14ac:dyDescent="0.35">
      <c r="A4271">
        <v>4267</v>
      </c>
      <c r="B4271">
        <v>4268</v>
      </c>
      <c r="C4271">
        <v>146.04776190000001</v>
      </c>
      <c r="D4271">
        <v>-17.521535490000002</v>
      </c>
      <c r="G4271">
        <v>3</v>
      </c>
      <c r="H4271" t="s">
        <v>26</v>
      </c>
      <c r="I4271" t="str">
        <f t="shared" si="66"/>
        <v>X</v>
      </c>
      <c r="W4271" s="4"/>
    </row>
    <row r="4272" spans="1:23" x14ac:dyDescent="0.35">
      <c r="A4272">
        <v>4268</v>
      </c>
      <c r="B4272">
        <v>4269</v>
      </c>
      <c r="C4272">
        <v>146.04768229999999</v>
      </c>
      <c r="D4272">
        <v>-17.521485009999999</v>
      </c>
      <c r="G4272">
        <v>3</v>
      </c>
      <c r="H4272" t="s">
        <v>26</v>
      </c>
      <c r="I4272" t="str">
        <f t="shared" si="66"/>
        <v>X</v>
      </c>
      <c r="W4272" s="4"/>
    </row>
    <row r="4273" spans="1:23" x14ac:dyDescent="0.35">
      <c r="A4273">
        <v>4269</v>
      </c>
      <c r="B4273">
        <v>4270</v>
      </c>
      <c r="C4273">
        <v>146.0476026</v>
      </c>
      <c r="D4273">
        <v>-17.521434530000001</v>
      </c>
      <c r="G4273">
        <v>3</v>
      </c>
      <c r="H4273" t="s">
        <v>26</v>
      </c>
      <c r="I4273" t="str">
        <f t="shared" si="66"/>
        <v>X</v>
      </c>
      <c r="W4273" s="4"/>
    </row>
    <row r="4274" spans="1:23" x14ac:dyDescent="0.35">
      <c r="A4274">
        <v>4270</v>
      </c>
      <c r="B4274">
        <v>4271</v>
      </c>
      <c r="C4274">
        <v>146.0475113</v>
      </c>
      <c r="D4274">
        <v>-17.52141164</v>
      </c>
      <c r="G4274">
        <v>3</v>
      </c>
      <c r="H4274" t="s">
        <v>26</v>
      </c>
      <c r="I4274" t="str">
        <f t="shared" si="66"/>
        <v>X</v>
      </c>
      <c r="W4274" s="4"/>
    </row>
    <row r="4275" spans="1:23" x14ac:dyDescent="0.35">
      <c r="A4275">
        <v>4271</v>
      </c>
      <c r="B4275">
        <v>4272</v>
      </c>
      <c r="C4275">
        <v>146.04741960000001</v>
      </c>
      <c r="D4275">
        <v>-17.521389979999999</v>
      </c>
      <c r="G4275">
        <v>3</v>
      </c>
      <c r="H4275" t="s">
        <v>26</v>
      </c>
      <c r="I4275" t="str">
        <f t="shared" si="66"/>
        <v>X</v>
      </c>
      <c r="W4275" s="4"/>
    </row>
    <row r="4276" spans="1:23" x14ac:dyDescent="0.35">
      <c r="A4276">
        <v>4272</v>
      </c>
      <c r="B4276">
        <v>4273</v>
      </c>
      <c r="C4276">
        <v>146.04732780000001</v>
      </c>
      <c r="D4276">
        <v>-17.52136831</v>
      </c>
      <c r="G4276">
        <v>3</v>
      </c>
      <c r="H4276" t="s">
        <v>26</v>
      </c>
      <c r="I4276" t="str">
        <f t="shared" si="66"/>
        <v>X</v>
      </c>
      <c r="W4276" s="4"/>
    </row>
    <row r="4277" spans="1:23" x14ac:dyDescent="0.35">
      <c r="A4277">
        <v>4273</v>
      </c>
      <c r="B4277">
        <v>4274</v>
      </c>
      <c r="C4277">
        <v>146.047236</v>
      </c>
      <c r="D4277">
        <v>-17.521346640000001</v>
      </c>
      <c r="G4277">
        <v>3</v>
      </c>
      <c r="H4277" t="s">
        <v>26</v>
      </c>
      <c r="I4277" t="str">
        <f t="shared" si="66"/>
        <v>X</v>
      </c>
      <c r="W4277" s="4"/>
    </row>
    <row r="4278" spans="1:23" x14ac:dyDescent="0.35">
      <c r="A4278">
        <v>4274</v>
      </c>
      <c r="B4278">
        <v>4275</v>
      </c>
      <c r="C4278">
        <v>146.04714419999999</v>
      </c>
      <c r="D4278">
        <v>-17.521324979999999</v>
      </c>
      <c r="G4278">
        <v>3</v>
      </c>
      <c r="H4278" t="s">
        <v>26</v>
      </c>
      <c r="I4278" t="str">
        <f t="shared" si="66"/>
        <v>X</v>
      </c>
      <c r="W4278" s="4"/>
    </row>
    <row r="4279" spans="1:23" x14ac:dyDescent="0.35">
      <c r="A4279">
        <v>4275</v>
      </c>
      <c r="B4279">
        <v>4276</v>
      </c>
      <c r="C4279">
        <v>146.04705240000001</v>
      </c>
      <c r="D4279">
        <v>-17.52130331</v>
      </c>
      <c r="G4279">
        <v>3</v>
      </c>
      <c r="H4279" t="s">
        <v>26</v>
      </c>
      <c r="I4279" t="str">
        <f t="shared" si="66"/>
        <v>X</v>
      </c>
      <c r="W4279" s="4"/>
    </row>
    <row r="4280" spans="1:23" x14ac:dyDescent="0.35">
      <c r="A4280">
        <v>4276</v>
      </c>
      <c r="B4280">
        <v>4277</v>
      </c>
      <c r="C4280">
        <v>146.04695960000001</v>
      </c>
      <c r="D4280">
        <v>-17.521289530000001</v>
      </c>
      <c r="G4280">
        <v>3</v>
      </c>
      <c r="H4280" t="s">
        <v>26</v>
      </c>
      <c r="I4280" t="str">
        <f t="shared" si="66"/>
        <v>X</v>
      </c>
      <c r="W4280" s="4"/>
    </row>
    <row r="4281" spans="1:23" x14ac:dyDescent="0.35">
      <c r="A4281">
        <v>4277</v>
      </c>
      <c r="B4281">
        <v>4278</v>
      </c>
      <c r="C4281">
        <v>146.04686530000001</v>
      </c>
      <c r="D4281">
        <v>-17.5212869</v>
      </c>
      <c r="G4281">
        <v>3</v>
      </c>
      <c r="H4281" t="s">
        <v>26</v>
      </c>
      <c r="I4281" t="str">
        <f t="shared" si="66"/>
        <v>X</v>
      </c>
      <c r="W4281" s="4"/>
    </row>
    <row r="4282" spans="1:23" x14ac:dyDescent="0.35">
      <c r="A4282">
        <v>4278</v>
      </c>
      <c r="B4282">
        <v>4279</v>
      </c>
      <c r="C4282">
        <v>146.0467711</v>
      </c>
      <c r="D4282">
        <v>-17.52128428</v>
      </c>
      <c r="G4282">
        <v>3</v>
      </c>
      <c r="H4282" t="s">
        <v>26</v>
      </c>
      <c r="I4282" t="str">
        <f t="shared" si="66"/>
        <v>X</v>
      </c>
      <c r="W4282" s="4"/>
    </row>
    <row r="4283" spans="1:23" x14ac:dyDescent="0.35">
      <c r="A4283">
        <v>4279</v>
      </c>
      <c r="B4283">
        <v>4280</v>
      </c>
      <c r="C4283">
        <v>146.0466768</v>
      </c>
      <c r="D4283">
        <v>-17.52128166</v>
      </c>
      <c r="G4283">
        <v>3</v>
      </c>
      <c r="H4283" t="s">
        <v>26</v>
      </c>
      <c r="I4283" t="str">
        <f t="shared" si="66"/>
        <v>X</v>
      </c>
      <c r="W4283" s="4"/>
    </row>
    <row r="4284" spans="1:23" x14ac:dyDescent="0.35">
      <c r="A4284">
        <v>4280</v>
      </c>
      <c r="B4284">
        <v>4281</v>
      </c>
      <c r="C4284">
        <v>146.0465825</v>
      </c>
      <c r="D4284">
        <v>-17.521279029999999</v>
      </c>
      <c r="G4284">
        <v>3</v>
      </c>
      <c r="H4284" t="s">
        <v>26</v>
      </c>
      <c r="I4284" t="str">
        <f t="shared" si="66"/>
        <v>X</v>
      </c>
      <c r="W4284" s="4"/>
    </row>
    <row r="4285" spans="1:23" x14ac:dyDescent="0.35">
      <c r="A4285">
        <v>4281</v>
      </c>
      <c r="B4285">
        <v>4282</v>
      </c>
      <c r="C4285">
        <v>146.04648829999999</v>
      </c>
      <c r="D4285">
        <v>-17.521276409999999</v>
      </c>
      <c r="G4285">
        <v>3</v>
      </c>
      <c r="H4285" t="s">
        <v>26</v>
      </c>
      <c r="I4285" t="str">
        <f t="shared" si="66"/>
        <v>X</v>
      </c>
      <c r="W4285" s="4"/>
    </row>
    <row r="4286" spans="1:23" x14ac:dyDescent="0.35">
      <c r="A4286">
        <v>4282</v>
      </c>
      <c r="B4286">
        <v>4283</v>
      </c>
      <c r="C4286">
        <v>146.04639399999999</v>
      </c>
      <c r="D4286">
        <v>-17.521273780000001</v>
      </c>
      <c r="G4286">
        <v>3</v>
      </c>
      <c r="H4286" t="s">
        <v>26</v>
      </c>
      <c r="I4286" t="str">
        <f t="shared" si="66"/>
        <v>X</v>
      </c>
      <c r="W4286" s="4"/>
    </row>
    <row r="4287" spans="1:23" x14ac:dyDescent="0.35">
      <c r="A4287">
        <v>4283</v>
      </c>
      <c r="B4287">
        <v>4284</v>
      </c>
      <c r="C4287">
        <v>146.04629980000001</v>
      </c>
      <c r="D4287">
        <v>-17.521271479999999</v>
      </c>
      <c r="G4287">
        <v>3</v>
      </c>
      <c r="H4287" t="s">
        <v>26</v>
      </c>
      <c r="I4287" t="str">
        <f t="shared" si="66"/>
        <v>X</v>
      </c>
      <c r="W4287" s="4"/>
    </row>
    <row r="4288" spans="1:23" x14ac:dyDescent="0.35">
      <c r="A4288">
        <v>4284</v>
      </c>
      <c r="B4288">
        <v>4285</v>
      </c>
      <c r="C4288">
        <v>146.0462057</v>
      </c>
      <c r="D4288">
        <v>-17.52127896</v>
      </c>
      <c r="G4288">
        <v>3</v>
      </c>
      <c r="H4288" t="s">
        <v>26</v>
      </c>
      <c r="I4288" t="str">
        <f t="shared" si="66"/>
        <v>X</v>
      </c>
      <c r="W4288" s="4"/>
    </row>
    <row r="4289" spans="1:23" x14ac:dyDescent="0.35">
      <c r="A4289">
        <v>4285</v>
      </c>
      <c r="B4289">
        <v>4286</v>
      </c>
      <c r="C4289">
        <v>146.04611170000001</v>
      </c>
      <c r="D4289">
        <v>-17.52128643</v>
      </c>
      <c r="G4289">
        <v>3</v>
      </c>
      <c r="H4289" t="s">
        <v>26</v>
      </c>
      <c r="I4289" t="str">
        <f t="shared" si="66"/>
        <v>X</v>
      </c>
      <c r="W4289" s="4"/>
    </row>
    <row r="4290" spans="1:23" x14ac:dyDescent="0.35">
      <c r="A4290">
        <v>4286</v>
      </c>
      <c r="B4290">
        <v>4287</v>
      </c>
      <c r="C4290">
        <v>146.04601769999999</v>
      </c>
      <c r="D4290">
        <v>-17.5212939</v>
      </c>
      <c r="G4290">
        <v>3</v>
      </c>
      <c r="H4290" t="s">
        <v>26</v>
      </c>
      <c r="I4290" t="str">
        <f t="shared" si="66"/>
        <v>X</v>
      </c>
      <c r="W4290" s="4"/>
    </row>
    <row r="4291" spans="1:23" x14ac:dyDescent="0.35">
      <c r="A4291">
        <v>4287</v>
      </c>
      <c r="B4291">
        <v>4288</v>
      </c>
      <c r="C4291">
        <v>146.0459237</v>
      </c>
      <c r="D4291">
        <v>-17.521301380000001</v>
      </c>
      <c r="G4291">
        <v>3</v>
      </c>
      <c r="H4291" t="s">
        <v>26</v>
      </c>
      <c r="I4291" t="str">
        <f t="shared" si="66"/>
        <v>X</v>
      </c>
      <c r="W4291" s="4"/>
    </row>
    <row r="4292" spans="1:23" x14ac:dyDescent="0.35">
      <c r="A4292">
        <v>4288</v>
      </c>
      <c r="B4292">
        <v>4289</v>
      </c>
      <c r="C4292">
        <v>146.04582970000001</v>
      </c>
      <c r="D4292">
        <v>-17.52130885</v>
      </c>
      <c r="G4292">
        <v>3</v>
      </c>
      <c r="H4292" t="s">
        <v>26</v>
      </c>
      <c r="I4292" t="str">
        <f t="shared" si="66"/>
        <v>X</v>
      </c>
      <c r="W4292" s="4"/>
    </row>
    <row r="4293" spans="1:23" x14ac:dyDescent="0.35">
      <c r="A4293">
        <v>4289</v>
      </c>
      <c r="B4293">
        <v>4290</v>
      </c>
      <c r="C4293">
        <v>146.0457361</v>
      </c>
      <c r="D4293">
        <v>-17.52132014</v>
      </c>
      <c r="G4293">
        <v>3</v>
      </c>
      <c r="H4293" t="s">
        <v>26</v>
      </c>
      <c r="I4293" t="str">
        <f t="shared" ref="I4293:I4356" si="67">IF(H4293="X","X",IF(J4293="NA","X",IF(J4293="","X",J4293)))</f>
        <v>X</v>
      </c>
      <c r="W4293" s="4"/>
    </row>
    <row r="4294" spans="1:23" x14ac:dyDescent="0.35">
      <c r="A4294">
        <v>4290</v>
      </c>
      <c r="B4294">
        <v>4291</v>
      </c>
      <c r="C4294">
        <v>146.0456428</v>
      </c>
      <c r="D4294">
        <v>-17.52133358</v>
      </c>
      <c r="G4294">
        <v>3</v>
      </c>
      <c r="H4294" t="s">
        <v>26</v>
      </c>
      <c r="I4294" t="str">
        <f t="shared" si="67"/>
        <v>X</v>
      </c>
      <c r="W4294" s="4"/>
    </row>
    <row r="4295" spans="1:23" x14ac:dyDescent="0.35">
      <c r="A4295">
        <v>4291</v>
      </c>
      <c r="B4295">
        <v>4292</v>
      </c>
      <c r="C4295">
        <v>146.04554949999999</v>
      </c>
      <c r="D4295">
        <v>-17.521347009999999</v>
      </c>
      <c r="G4295">
        <v>3</v>
      </c>
      <c r="H4295" t="s">
        <v>26</v>
      </c>
      <c r="I4295" t="str">
        <f t="shared" si="67"/>
        <v>X</v>
      </c>
      <c r="W4295" s="4"/>
    </row>
    <row r="4296" spans="1:23" x14ac:dyDescent="0.35">
      <c r="A4296">
        <v>4292</v>
      </c>
      <c r="B4296">
        <v>4293</v>
      </c>
      <c r="C4296">
        <v>146.04545780000001</v>
      </c>
      <c r="D4296">
        <v>-17.521365800000002</v>
      </c>
      <c r="G4296">
        <v>3</v>
      </c>
      <c r="H4296" t="s">
        <v>26</v>
      </c>
      <c r="I4296" t="str">
        <f t="shared" si="67"/>
        <v>X</v>
      </c>
      <c r="W4296" s="4"/>
    </row>
    <row r="4297" spans="1:23" x14ac:dyDescent="0.35">
      <c r="A4297">
        <v>4293</v>
      </c>
      <c r="B4297">
        <v>4294</v>
      </c>
      <c r="C4297">
        <v>146.0453742</v>
      </c>
      <c r="D4297">
        <v>-17.52140941</v>
      </c>
      <c r="G4297">
        <v>3</v>
      </c>
      <c r="H4297" t="s">
        <v>26</v>
      </c>
      <c r="I4297" t="str">
        <f t="shared" si="67"/>
        <v>X</v>
      </c>
      <c r="W4297" s="4"/>
    </row>
    <row r="4298" spans="1:23" x14ac:dyDescent="0.35">
      <c r="A4298">
        <v>4294</v>
      </c>
      <c r="B4298">
        <v>4295</v>
      </c>
      <c r="C4298">
        <v>146.04529059999999</v>
      </c>
      <c r="D4298">
        <v>-17.521453009999998</v>
      </c>
      <c r="G4298">
        <v>3</v>
      </c>
      <c r="H4298" t="s">
        <v>26</v>
      </c>
      <c r="I4298" t="str">
        <f t="shared" si="67"/>
        <v>X</v>
      </c>
      <c r="W4298" s="4"/>
    </row>
    <row r="4299" spans="1:23" x14ac:dyDescent="0.35">
      <c r="A4299">
        <v>4295</v>
      </c>
      <c r="B4299">
        <v>4296</v>
      </c>
      <c r="C4299">
        <v>146.045207</v>
      </c>
      <c r="D4299">
        <v>-17.52149661</v>
      </c>
      <c r="G4299">
        <v>3</v>
      </c>
      <c r="H4299" t="s">
        <v>26</v>
      </c>
      <c r="I4299" t="str">
        <f t="shared" si="67"/>
        <v>X</v>
      </c>
      <c r="W4299" s="4"/>
    </row>
    <row r="4300" spans="1:23" x14ac:dyDescent="0.35">
      <c r="A4300">
        <v>4296</v>
      </c>
      <c r="B4300">
        <v>4297</v>
      </c>
      <c r="C4300">
        <v>146.04512270000001</v>
      </c>
      <c r="D4300">
        <v>-17.52153874</v>
      </c>
      <c r="G4300">
        <v>3</v>
      </c>
      <c r="H4300" t="s">
        <v>26</v>
      </c>
      <c r="I4300" t="str">
        <f t="shared" si="67"/>
        <v>X</v>
      </c>
      <c r="W4300" s="4"/>
    </row>
    <row r="4301" spans="1:23" x14ac:dyDescent="0.35">
      <c r="A4301">
        <v>4297</v>
      </c>
      <c r="B4301">
        <v>4298</v>
      </c>
      <c r="C4301">
        <v>146.04503510000001</v>
      </c>
      <c r="D4301">
        <v>-17.521573790000001</v>
      </c>
      <c r="G4301">
        <v>3</v>
      </c>
      <c r="H4301" t="s">
        <v>26</v>
      </c>
      <c r="I4301" t="str">
        <f t="shared" si="67"/>
        <v>X</v>
      </c>
      <c r="W4301" s="4"/>
    </row>
    <row r="4302" spans="1:23" x14ac:dyDescent="0.35">
      <c r="A4302">
        <v>4298</v>
      </c>
      <c r="B4302">
        <v>4299</v>
      </c>
      <c r="C4302">
        <v>146.0449476</v>
      </c>
      <c r="D4302">
        <v>-17.521608830000002</v>
      </c>
      <c r="G4302">
        <v>3</v>
      </c>
      <c r="H4302" t="s">
        <v>26</v>
      </c>
      <c r="I4302" t="str">
        <f t="shared" si="67"/>
        <v>X</v>
      </c>
      <c r="W4302" s="4"/>
    </row>
    <row r="4303" spans="1:23" x14ac:dyDescent="0.35">
      <c r="A4303">
        <v>4299</v>
      </c>
      <c r="B4303">
        <v>4300</v>
      </c>
      <c r="C4303">
        <v>146.04486</v>
      </c>
      <c r="D4303">
        <v>-17.521643869999998</v>
      </c>
      <c r="G4303">
        <v>3</v>
      </c>
      <c r="H4303" t="s">
        <v>26</v>
      </c>
      <c r="I4303" t="str">
        <f t="shared" si="67"/>
        <v>X</v>
      </c>
      <c r="W4303" s="4"/>
    </row>
    <row r="4304" spans="1:23" x14ac:dyDescent="0.35">
      <c r="A4304">
        <v>4300</v>
      </c>
      <c r="B4304">
        <v>4301</v>
      </c>
      <c r="C4304">
        <v>146.04477249999999</v>
      </c>
      <c r="D4304">
        <v>-17.521678919999999</v>
      </c>
      <c r="G4304">
        <v>3</v>
      </c>
      <c r="H4304" t="s">
        <v>26</v>
      </c>
      <c r="I4304" t="str">
        <f t="shared" si="67"/>
        <v>X</v>
      </c>
      <c r="W4304" s="4"/>
    </row>
    <row r="4305" spans="1:23" x14ac:dyDescent="0.35">
      <c r="A4305">
        <v>4301</v>
      </c>
      <c r="B4305">
        <v>4302</v>
      </c>
      <c r="C4305">
        <v>146.04468589999999</v>
      </c>
      <c r="D4305">
        <v>-17.521715969999999</v>
      </c>
      <c r="G4305">
        <v>3</v>
      </c>
      <c r="H4305" t="s">
        <v>26</v>
      </c>
      <c r="I4305" t="str">
        <f t="shared" si="67"/>
        <v>X</v>
      </c>
      <c r="W4305" s="4"/>
    </row>
    <row r="4306" spans="1:23" x14ac:dyDescent="0.35">
      <c r="A4306">
        <v>4302</v>
      </c>
      <c r="B4306">
        <v>4303</v>
      </c>
      <c r="C4306">
        <v>146.04460309999999</v>
      </c>
      <c r="D4306">
        <v>-17.521761059999999</v>
      </c>
      <c r="G4306">
        <v>3</v>
      </c>
      <c r="H4306" t="s">
        <v>26</v>
      </c>
      <c r="I4306" t="str">
        <f t="shared" si="67"/>
        <v>X</v>
      </c>
      <c r="W4306" s="4"/>
    </row>
    <row r="4307" spans="1:23" x14ac:dyDescent="0.35">
      <c r="A4307">
        <v>4303</v>
      </c>
      <c r="B4307">
        <v>4304</v>
      </c>
      <c r="C4307">
        <v>146.04452019999999</v>
      </c>
      <c r="D4307">
        <v>-17.521806160000001</v>
      </c>
      <c r="G4307">
        <v>3</v>
      </c>
      <c r="H4307" t="s">
        <v>26</v>
      </c>
      <c r="I4307" t="str">
        <f t="shared" si="67"/>
        <v>X</v>
      </c>
      <c r="W4307" s="4"/>
    </row>
    <row r="4308" spans="1:23" x14ac:dyDescent="0.35">
      <c r="A4308">
        <v>4304</v>
      </c>
      <c r="B4308">
        <v>4305</v>
      </c>
      <c r="C4308">
        <v>146.04443739999999</v>
      </c>
      <c r="D4308">
        <v>-17.52185124</v>
      </c>
      <c r="G4308">
        <v>3</v>
      </c>
      <c r="H4308" t="s">
        <v>26</v>
      </c>
      <c r="I4308" t="str">
        <f t="shared" si="67"/>
        <v>X</v>
      </c>
      <c r="W4308" s="4"/>
    </row>
    <row r="4309" spans="1:23" x14ac:dyDescent="0.35">
      <c r="A4309">
        <v>4305</v>
      </c>
      <c r="B4309">
        <v>4306</v>
      </c>
      <c r="C4309">
        <v>146.04435459999999</v>
      </c>
      <c r="D4309">
        <v>-17.521896340000001</v>
      </c>
      <c r="G4309">
        <v>3</v>
      </c>
      <c r="H4309" t="s">
        <v>26</v>
      </c>
      <c r="I4309" t="str">
        <f t="shared" si="67"/>
        <v>X</v>
      </c>
      <c r="W4309" s="4"/>
    </row>
    <row r="4310" spans="1:23" x14ac:dyDescent="0.35">
      <c r="A4310">
        <v>4306</v>
      </c>
      <c r="B4310">
        <v>4307</v>
      </c>
      <c r="C4310">
        <v>146.04427179999999</v>
      </c>
      <c r="D4310">
        <v>-17.521941429999998</v>
      </c>
      <c r="G4310">
        <v>3</v>
      </c>
      <c r="H4310" t="s">
        <v>26</v>
      </c>
      <c r="I4310" t="str">
        <f t="shared" si="67"/>
        <v>X</v>
      </c>
      <c r="W4310" s="4"/>
    </row>
    <row r="4311" spans="1:23" x14ac:dyDescent="0.35">
      <c r="A4311">
        <v>4307</v>
      </c>
      <c r="B4311">
        <v>4308</v>
      </c>
      <c r="C4311">
        <v>146.04418889999999</v>
      </c>
      <c r="D4311">
        <v>-17.521986519999999</v>
      </c>
      <c r="G4311">
        <v>3</v>
      </c>
      <c r="H4311" t="s">
        <v>26</v>
      </c>
      <c r="I4311" t="str">
        <f t="shared" si="67"/>
        <v>X</v>
      </c>
      <c r="W4311" s="4"/>
    </row>
    <row r="4312" spans="1:23" x14ac:dyDescent="0.35">
      <c r="A4312">
        <v>4308</v>
      </c>
      <c r="B4312">
        <v>4309</v>
      </c>
      <c r="C4312">
        <v>146.04410609999999</v>
      </c>
      <c r="D4312">
        <v>-17.522031609999999</v>
      </c>
      <c r="G4312">
        <v>3</v>
      </c>
      <c r="H4312" t="s">
        <v>26</v>
      </c>
      <c r="I4312" t="str">
        <f t="shared" si="67"/>
        <v>X</v>
      </c>
      <c r="W4312" s="4"/>
    </row>
    <row r="4313" spans="1:23" x14ac:dyDescent="0.35">
      <c r="A4313">
        <v>4309</v>
      </c>
      <c r="B4313">
        <v>4310</v>
      </c>
      <c r="C4313">
        <v>146.04402049999999</v>
      </c>
      <c r="D4313">
        <v>-17.52207108</v>
      </c>
      <c r="G4313">
        <v>3</v>
      </c>
      <c r="H4313" t="s">
        <v>26</v>
      </c>
      <c r="I4313" t="str">
        <f t="shared" si="67"/>
        <v>X</v>
      </c>
      <c r="W4313" s="4"/>
    </row>
    <row r="4314" spans="1:23" x14ac:dyDescent="0.35">
      <c r="A4314">
        <v>4310</v>
      </c>
      <c r="B4314">
        <v>4311</v>
      </c>
      <c r="C4314">
        <v>146.0439346</v>
      </c>
      <c r="D4314">
        <v>-17.522110059999999</v>
      </c>
      <c r="G4314">
        <v>3</v>
      </c>
      <c r="H4314" t="s">
        <v>26</v>
      </c>
      <c r="I4314" t="str">
        <f t="shared" si="67"/>
        <v>X</v>
      </c>
      <c r="W4314" s="4"/>
    </row>
    <row r="4315" spans="1:23" x14ac:dyDescent="0.35">
      <c r="A4315">
        <v>4311</v>
      </c>
      <c r="B4315">
        <v>4312</v>
      </c>
      <c r="C4315">
        <v>146.04384870000001</v>
      </c>
      <c r="D4315">
        <v>-17.522149049999999</v>
      </c>
      <c r="G4315">
        <v>3</v>
      </c>
      <c r="H4315" t="s">
        <v>26</v>
      </c>
      <c r="I4315" t="str">
        <f t="shared" si="67"/>
        <v>X</v>
      </c>
      <c r="W4315" s="4"/>
    </row>
    <row r="4316" spans="1:23" x14ac:dyDescent="0.35">
      <c r="A4316">
        <v>4312</v>
      </c>
      <c r="B4316">
        <v>4313</v>
      </c>
      <c r="C4316">
        <v>146.04376289999999</v>
      </c>
      <c r="D4316">
        <v>-17.522188029999999</v>
      </c>
      <c r="G4316">
        <v>3</v>
      </c>
      <c r="H4316" t="s">
        <v>26</v>
      </c>
      <c r="I4316" t="str">
        <f t="shared" si="67"/>
        <v>X</v>
      </c>
      <c r="W4316" s="4"/>
    </row>
    <row r="4317" spans="1:23" x14ac:dyDescent="0.35">
      <c r="A4317">
        <v>4313</v>
      </c>
      <c r="B4317">
        <v>4314</v>
      </c>
      <c r="C4317">
        <v>146.043677</v>
      </c>
      <c r="D4317">
        <v>-17.522227010000002</v>
      </c>
      <c r="G4317">
        <v>3</v>
      </c>
      <c r="H4317" t="s">
        <v>26</v>
      </c>
      <c r="I4317" t="str">
        <f t="shared" si="67"/>
        <v>X</v>
      </c>
      <c r="W4317" s="4"/>
    </row>
    <row r="4318" spans="1:23" x14ac:dyDescent="0.35">
      <c r="A4318">
        <v>4314</v>
      </c>
      <c r="B4318">
        <v>4315</v>
      </c>
      <c r="C4318">
        <v>146.04359109999999</v>
      </c>
      <c r="D4318">
        <v>-17.522265999999998</v>
      </c>
      <c r="G4318">
        <v>3</v>
      </c>
      <c r="H4318" t="s">
        <v>26</v>
      </c>
      <c r="I4318" t="str">
        <f t="shared" si="67"/>
        <v>X</v>
      </c>
      <c r="W4318" s="4"/>
    </row>
    <row r="4319" spans="1:23" x14ac:dyDescent="0.35">
      <c r="A4319">
        <v>4315</v>
      </c>
      <c r="B4319">
        <v>4316</v>
      </c>
      <c r="C4319">
        <v>146.04350529999999</v>
      </c>
      <c r="D4319">
        <v>-17.522304980000001</v>
      </c>
      <c r="G4319">
        <v>3</v>
      </c>
      <c r="H4319" t="s">
        <v>26</v>
      </c>
      <c r="I4319" t="str">
        <f t="shared" si="67"/>
        <v>X</v>
      </c>
      <c r="W4319" s="4"/>
    </row>
    <row r="4320" spans="1:23" x14ac:dyDescent="0.35">
      <c r="A4320">
        <v>4316</v>
      </c>
      <c r="B4320">
        <v>4317</v>
      </c>
      <c r="C4320">
        <v>146.04341969999999</v>
      </c>
      <c r="D4320">
        <v>-17.522344589999999</v>
      </c>
      <c r="G4320">
        <v>3</v>
      </c>
      <c r="H4320" t="s">
        <v>26</v>
      </c>
      <c r="I4320" t="str">
        <f t="shared" si="67"/>
        <v>X</v>
      </c>
      <c r="W4320" s="4"/>
    </row>
    <row r="4321" spans="1:23" x14ac:dyDescent="0.35">
      <c r="A4321">
        <v>4317</v>
      </c>
      <c r="B4321">
        <v>4318</v>
      </c>
      <c r="C4321">
        <v>146.04334</v>
      </c>
      <c r="D4321">
        <v>-17.52239492</v>
      </c>
      <c r="G4321">
        <v>3</v>
      </c>
      <c r="H4321" t="s">
        <v>26</v>
      </c>
      <c r="I4321" t="str">
        <f t="shared" si="67"/>
        <v>X</v>
      </c>
      <c r="W4321" s="4"/>
    </row>
    <row r="4322" spans="1:23" x14ac:dyDescent="0.35">
      <c r="A4322">
        <v>4318</v>
      </c>
      <c r="B4322">
        <v>4319</v>
      </c>
      <c r="C4322">
        <v>146.04326019999999</v>
      </c>
      <c r="D4322">
        <v>-17.522445250000001</v>
      </c>
      <c r="G4322">
        <v>3</v>
      </c>
      <c r="H4322" t="s">
        <v>26</v>
      </c>
      <c r="I4322" t="str">
        <f t="shared" si="67"/>
        <v>X</v>
      </c>
      <c r="W4322" s="4"/>
    </row>
    <row r="4323" spans="1:23" x14ac:dyDescent="0.35">
      <c r="A4323">
        <v>4319</v>
      </c>
      <c r="B4323">
        <v>4320</v>
      </c>
      <c r="C4323">
        <v>146.04318050000001</v>
      </c>
      <c r="D4323">
        <v>-17.522495580000001</v>
      </c>
      <c r="G4323">
        <v>3</v>
      </c>
      <c r="H4323" t="s">
        <v>26</v>
      </c>
      <c r="I4323" t="str">
        <f t="shared" si="67"/>
        <v>X</v>
      </c>
      <c r="W4323" s="4"/>
    </row>
    <row r="4324" spans="1:23" x14ac:dyDescent="0.35">
      <c r="A4324">
        <v>4320</v>
      </c>
      <c r="B4324">
        <v>4321</v>
      </c>
      <c r="C4324">
        <v>146.0431007</v>
      </c>
      <c r="D4324">
        <v>-17.522545919999999</v>
      </c>
      <c r="G4324">
        <v>3</v>
      </c>
      <c r="H4324" t="s">
        <v>26</v>
      </c>
      <c r="I4324" t="str">
        <f t="shared" si="67"/>
        <v>X</v>
      </c>
      <c r="W4324" s="4"/>
    </row>
    <row r="4325" spans="1:23" x14ac:dyDescent="0.35">
      <c r="A4325">
        <v>4321</v>
      </c>
      <c r="B4325">
        <v>4322</v>
      </c>
      <c r="C4325">
        <v>146.04302100000001</v>
      </c>
      <c r="D4325">
        <v>-17.522596249999999</v>
      </c>
      <c r="G4325">
        <v>3</v>
      </c>
      <c r="H4325" t="s">
        <v>26</v>
      </c>
      <c r="I4325" t="str">
        <f t="shared" si="67"/>
        <v>X</v>
      </c>
      <c r="W4325" s="4"/>
    </row>
    <row r="4326" spans="1:23" x14ac:dyDescent="0.35">
      <c r="A4326">
        <v>4322</v>
      </c>
      <c r="B4326">
        <v>4323</v>
      </c>
      <c r="C4326">
        <v>146.0429412</v>
      </c>
      <c r="D4326">
        <v>-17.52264658</v>
      </c>
      <c r="G4326">
        <v>3</v>
      </c>
      <c r="H4326" t="s">
        <v>26</v>
      </c>
      <c r="I4326" t="str">
        <f t="shared" si="67"/>
        <v>X</v>
      </c>
      <c r="W4326" s="4"/>
    </row>
    <row r="4327" spans="1:23" x14ac:dyDescent="0.35">
      <c r="A4327">
        <v>4323</v>
      </c>
      <c r="B4327">
        <v>4324</v>
      </c>
      <c r="C4327">
        <v>146.04286149999999</v>
      </c>
      <c r="D4327">
        <v>-17.522696910000001</v>
      </c>
      <c r="G4327">
        <v>3</v>
      </c>
      <c r="H4327" t="s">
        <v>26</v>
      </c>
      <c r="I4327" t="str">
        <f t="shared" si="67"/>
        <v>X</v>
      </c>
      <c r="W4327" s="4"/>
    </row>
    <row r="4328" spans="1:23" x14ac:dyDescent="0.35">
      <c r="A4328">
        <v>4324</v>
      </c>
      <c r="B4328">
        <v>4325</v>
      </c>
      <c r="C4328">
        <v>146.0427818</v>
      </c>
      <c r="D4328">
        <v>-17.522747249999998</v>
      </c>
      <c r="G4328">
        <v>3</v>
      </c>
      <c r="H4328" t="s">
        <v>26</v>
      </c>
      <c r="I4328" t="str">
        <f t="shared" si="67"/>
        <v>X</v>
      </c>
      <c r="W4328" s="4"/>
    </row>
    <row r="4329" spans="1:23" x14ac:dyDescent="0.35">
      <c r="A4329">
        <v>4325</v>
      </c>
      <c r="B4329">
        <v>4326</v>
      </c>
      <c r="C4329">
        <v>146.04270199999999</v>
      </c>
      <c r="D4329">
        <v>-17.522797579999999</v>
      </c>
      <c r="G4329">
        <v>3</v>
      </c>
      <c r="H4329" t="s">
        <v>26</v>
      </c>
      <c r="I4329" t="str">
        <f t="shared" si="67"/>
        <v>X</v>
      </c>
      <c r="W4329" s="4"/>
    </row>
    <row r="4330" spans="1:23" x14ac:dyDescent="0.35">
      <c r="A4330">
        <v>4326</v>
      </c>
      <c r="B4330">
        <v>4327</v>
      </c>
      <c r="C4330">
        <v>146.0426223</v>
      </c>
      <c r="D4330">
        <v>-17.522847909999999</v>
      </c>
      <c r="G4330">
        <v>3</v>
      </c>
      <c r="H4330" t="s">
        <v>26</v>
      </c>
      <c r="I4330" t="str">
        <f t="shared" si="67"/>
        <v>X</v>
      </c>
      <c r="W4330" s="4"/>
    </row>
    <row r="4331" spans="1:23" x14ac:dyDescent="0.35">
      <c r="A4331">
        <v>4327</v>
      </c>
      <c r="B4331">
        <v>4328</v>
      </c>
      <c r="C4331">
        <v>146.0425425</v>
      </c>
      <c r="D4331">
        <v>-17.52289824</v>
      </c>
      <c r="G4331">
        <v>3</v>
      </c>
      <c r="H4331" t="s">
        <v>26</v>
      </c>
      <c r="I4331" t="str">
        <f t="shared" si="67"/>
        <v>X</v>
      </c>
      <c r="W4331" s="4"/>
    </row>
    <row r="4332" spans="1:23" x14ac:dyDescent="0.35">
      <c r="A4332">
        <v>4328</v>
      </c>
      <c r="B4332">
        <v>4329</v>
      </c>
      <c r="C4332">
        <v>146.04246280000001</v>
      </c>
      <c r="D4332">
        <v>-17.522948570000001</v>
      </c>
      <c r="G4332">
        <v>3</v>
      </c>
      <c r="H4332" t="s">
        <v>26</v>
      </c>
      <c r="I4332" t="str">
        <f t="shared" si="67"/>
        <v>X</v>
      </c>
      <c r="W4332" s="4"/>
    </row>
    <row r="4333" spans="1:23" x14ac:dyDescent="0.35">
      <c r="A4333">
        <v>4329</v>
      </c>
      <c r="B4333">
        <v>4330</v>
      </c>
      <c r="C4333">
        <v>146.042383</v>
      </c>
      <c r="D4333">
        <v>-17.522998909999998</v>
      </c>
      <c r="G4333">
        <v>3</v>
      </c>
      <c r="H4333" t="s">
        <v>26</v>
      </c>
      <c r="I4333" t="str">
        <f t="shared" si="67"/>
        <v>X</v>
      </c>
      <c r="W4333" s="4"/>
    </row>
    <row r="4334" spans="1:23" x14ac:dyDescent="0.35">
      <c r="A4334">
        <v>4330</v>
      </c>
      <c r="B4334">
        <v>4331</v>
      </c>
      <c r="C4334">
        <v>146.04230329999999</v>
      </c>
      <c r="D4334">
        <v>-17.523049239999999</v>
      </c>
      <c r="G4334">
        <v>3</v>
      </c>
      <c r="H4334" t="s">
        <v>26</v>
      </c>
      <c r="I4334" t="str">
        <f t="shared" si="67"/>
        <v>X</v>
      </c>
      <c r="W4334" s="4"/>
    </row>
    <row r="4335" spans="1:23" x14ac:dyDescent="0.35">
      <c r="A4335">
        <v>4331</v>
      </c>
      <c r="B4335">
        <v>4332</v>
      </c>
      <c r="C4335">
        <v>146.042227</v>
      </c>
      <c r="D4335">
        <v>-17.52310451</v>
      </c>
      <c r="G4335">
        <v>3</v>
      </c>
      <c r="H4335" t="s">
        <v>26</v>
      </c>
      <c r="I4335" t="str">
        <f t="shared" si="67"/>
        <v>X</v>
      </c>
      <c r="W4335" s="4"/>
    </row>
    <row r="4336" spans="1:23" x14ac:dyDescent="0.35">
      <c r="A4336">
        <v>4332</v>
      </c>
      <c r="B4336">
        <v>4333</v>
      </c>
      <c r="C4336">
        <v>146.04215429999999</v>
      </c>
      <c r="D4336">
        <v>-17.523152079999999</v>
      </c>
      <c r="G4336">
        <v>3</v>
      </c>
      <c r="H4336" t="s">
        <v>26</v>
      </c>
      <c r="I4336" t="str">
        <f t="shared" si="67"/>
        <v>X</v>
      </c>
      <c r="W4336" s="4"/>
    </row>
    <row r="4337" spans="1:23" x14ac:dyDescent="0.35">
      <c r="A4337">
        <v>4333</v>
      </c>
      <c r="B4337">
        <v>4334</v>
      </c>
      <c r="C4337">
        <v>146.0419215</v>
      </c>
      <c r="D4337">
        <v>-17.522713769999999</v>
      </c>
      <c r="G4337">
        <v>3</v>
      </c>
      <c r="H4337" t="s">
        <v>26</v>
      </c>
      <c r="I4337" t="str">
        <f t="shared" si="67"/>
        <v>X</v>
      </c>
      <c r="W4337" s="4"/>
    </row>
    <row r="4338" spans="1:23" x14ac:dyDescent="0.35">
      <c r="A4338">
        <v>4334</v>
      </c>
      <c r="B4338">
        <v>4335</v>
      </c>
      <c r="C4338">
        <v>146.0420014</v>
      </c>
      <c r="D4338">
        <v>-17.52266371</v>
      </c>
      <c r="G4338">
        <v>3</v>
      </c>
      <c r="H4338" t="s">
        <v>26</v>
      </c>
      <c r="I4338" t="str">
        <f t="shared" si="67"/>
        <v>X</v>
      </c>
      <c r="W4338" s="4"/>
    </row>
    <row r="4339" spans="1:23" x14ac:dyDescent="0.35">
      <c r="A4339">
        <v>4335</v>
      </c>
      <c r="B4339">
        <v>4336</v>
      </c>
      <c r="C4339">
        <v>146.0420814</v>
      </c>
      <c r="D4339">
        <v>-17.52261365</v>
      </c>
      <c r="G4339">
        <v>3</v>
      </c>
      <c r="H4339" t="s">
        <v>26</v>
      </c>
      <c r="I4339" t="str">
        <f t="shared" si="67"/>
        <v>X</v>
      </c>
      <c r="W4339" s="4"/>
    </row>
    <row r="4340" spans="1:23" x14ac:dyDescent="0.35">
      <c r="A4340">
        <v>4336</v>
      </c>
      <c r="B4340">
        <v>4337</v>
      </c>
      <c r="C4340">
        <v>146.0421667</v>
      </c>
      <c r="D4340">
        <v>-17.522574819999999</v>
      </c>
      <c r="G4340">
        <v>3</v>
      </c>
      <c r="H4340" t="s">
        <v>26</v>
      </c>
      <c r="I4340" t="str">
        <f t="shared" si="67"/>
        <v>X</v>
      </c>
      <c r="W4340" s="4"/>
    </row>
    <row r="4341" spans="1:23" x14ac:dyDescent="0.35">
      <c r="A4341">
        <v>4337</v>
      </c>
      <c r="B4341">
        <v>4338</v>
      </c>
      <c r="C4341">
        <v>146.04225550000001</v>
      </c>
      <c r="D4341">
        <v>-17.522543070000001</v>
      </c>
      <c r="G4341">
        <v>3</v>
      </c>
      <c r="H4341" t="s">
        <v>26</v>
      </c>
      <c r="I4341" t="str">
        <f t="shared" si="67"/>
        <v>X</v>
      </c>
      <c r="W4341" s="4"/>
    </row>
    <row r="4342" spans="1:23" x14ac:dyDescent="0.35">
      <c r="A4342">
        <v>4338</v>
      </c>
      <c r="B4342">
        <v>4339</v>
      </c>
      <c r="C4342">
        <v>146.0423443</v>
      </c>
      <c r="D4342">
        <v>-17.52251132</v>
      </c>
      <c r="G4342">
        <v>3</v>
      </c>
      <c r="H4342" t="s">
        <v>26</v>
      </c>
      <c r="I4342" t="str">
        <f t="shared" si="67"/>
        <v>X</v>
      </c>
      <c r="W4342" s="4"/>
    </row>
    <row r="4343" spans="1:23" x14ac:dyDescent="0.35">
      <c r="A4343">
        <v>4339</v>
      </c>
      <c r="B4343">
        <v>4340</v>
      </c>
      <c r="C4343">
        <v>146.04243310000001</v>
      </c>
      <c r="D4343">
        <v>-17.522479579999999</v>
      </c>
      <c r="G4343">
        <v>3</v>
      </c>
      <c r="H4343" t="s">
        <v>26</v>
      </c>
      <c r="I4343" t="str">
        <f t="shared" si="67"/>
        <v>X</v>
      </c>
      <c r="W4343" s="4"/>
    </row>
    <row r="4344" spans="1:23" x14ac:dyDescent="0.35">
      <c r="A4344">
        <v>4340</v>
      </c>
      <c r="B4344">
        <v>4341</v>
      </c>
      <c r="C4344">
        <v>146.04251919999999</v>
      </c>
      <c r="D4344">
        <v>-17.522442139999999</v>
      </c>
      <c r="G4344">
        <v>3</v>
      </c>
      <c r="H4344" t="s">
        <v>26</v>
      </c>
      <c r="I4344" t="str">
        <f t="shared" si="67"/>
        <v>X</v>
      </c>
      <c r="W4344" s="4"/>
    </row>
    <row r="4345" spans="1:23" x14ac:dyDescent="0.35">
      <c r="A4345">
        <v>4341</v>
      </c>
      <c r="B4345">
        <v>4342</v>
      </c>
      <c r="C4345">
        <v>146.04260009999999</v>
      </c>
      <c r="D4345">
        <v>-17.522393600000001</v>
      </c>
      <c r="G4345">
        <v>3</v>
      </c>
      <c r="H4345" t="s">
        <v>26</v>
      </c>
      <c r="I4345" t="str">
        <f t="shared" si="67"/>
        <v>X</v>
      </c>
      <c r="W4345" s="4"/>
    </row>
    <row r="4346" spans="1:23" x14ac:dyDescent="0.35">
      <c r="A4346">
        <v>4342</v>
      </c>
      <c r="B4346">
        <v>4343</v>
      </c>
      <c r="C4346">
        <v>146.04268089999999</v>
      </c>
      <c r="D4346">
        <v>-17.522345059999999</v>
      </c>
      <c r="G4346">
        <v>3</v>
      </c>
      <c r="H4346" t="s">
        <v>26</v>
      </c>
      <c r="I4346" t="str">
        <f t="shared" si="67"/>
        <v>X</v>
      </c>
      <c r="W4346" s="4"/>
    </row>
    <row r="4347" spans="1:23" x14ac:dyDescent="0.35">
      <c r="A4347">
        <v>4343</v>
      </c>
      <c r="B4347">
        <v>4344</v>
      </c>
      <c r="C4347">
        <v>146.04276179999999</v>
      </c>
      <c r="D4347">
        <v>-17.522296520000001</v>
      </c>
      <c r="G4347">
        <v>3</v>
      </c>
      <c r="H4347" t="s">
        <v>26</v>
      </c>
      <c r="I4347" t="str">
        <f t="shared" si="67"/>
        <v>X</v>
      </c>
      <c r="W4347" s="4"/>
    </row>
    <row r="4348" spans="1:23" x14ac:dyDescent="0.35">
      <c r="A4348">
        <v>4344</v>
      </c>
      <c r="B4348">
        <v>4345</v>
      </c>
      <c r="C4348">
        <v>146.0428426</v>
      </c>
      <c r="D4348">
        <v>-17.52224798</v>
      </c>
      <c r="G4348">
        <v>3</v>
      </c>
      <c r="H4348" t="s">
        <v>26</v>
      </c>
      <c r="I4348" t="str">
        <f t="shared" si="67"/>
        <v>X</v>
      </c>
      <c r="W4348" s="4"/>
    </row>
    <row r="4349" spans="1:23" x14ac:dyDescent="0.35">
      <c r="A4349">
        <v>4345</v>
      </c>
      <c r="B4349">
        <v>4346</v>
      </c>
      <c r="C4349">
        <v>146.0429244</v>
      </c>
      <c r="D4349">
        <v>-17.522200959999999</v>
      </c>
      <c r="G4349">
        <v>3</v>
      </c>
      <c r="H4349" t="s">
        <v>26</v>
      </c>
      <c r="I4349" t="str">
        <f t="shared" si="67"/>
        <v>X</v>
      </c>
      <c r="W4349" s="4"/>
    </row>
    <row r="4350" spans="1:23" x14ac:dyDescent="0.35">
      <c r="A4350">
        <v>4346</v>
      </c>
      <c r="B4350">
        <v>4347</v>
      </c>
      <c r="C4350">
        <v>146.04300660000001</v>
      </c>
      <c r="D4350">
        <v>-17.52215477</v>
      </c>
      <c r="G4350">
        <v>3</v>
      </c>
      <c r="H4350" t="s">
        <v>26</v>
      </c>
      <c r="I4350" t="str">
        <f t="shared" si="67"/>
        <v>X</v>
      </c>
      <c r="W4350" s="4"/>
    </row>
    <row r="4351" spans="1:23" x14ac:dyDescent="0.35">
      <c r="A4351">
        <v>4347</v>
      </c>
      <c r="B4351">
        <v>4348</v>
      </c>
      <c r="C4351">
        <v>146.04308879999999</v>
      </c>
      <c r="D4351">
        <v>-17.52210857</v>
      </c>
      <c r="G4351">
        <v>3</v>
      </c>
      <c r="H4351" t="s">
        <v>26</v>
      </c>
      <c r="I4351" t="str">
        <f t="shared" si="67"/>
        <v>X</v>
      </c>
      <c r="W4351" s="4"/>
    </row>
    <row r="4352" spans="1:23" x14ac:dyDescent="0.35">
      <c r="A4352">
        <v>4348</v>
      </c>
      <c r="B4352">
        <v>4349</v>
      </c>
      <c r="C4352">
        <v>146.043171</v>
      </c>
      <c r="D4352">
        <v>-17.52206241</v>
      </c>
      <c r="G4352">
        <v>3</v>
      </c>
      <c r="H4352" t="s">
        <v>26</v>
      </c>
      <c r="I4352" t="str">
        <f t="shared" si="67"/>
        <v>X</v>
      </c>
      <c r="W4352" s="4"/>
    </row>
    <row r="4353" spans="1:23" x14ac:dyDescent="0.35">
      <c r="A4353">
        <v>4349</v>
      </c>
      <c r="B4353">
        <v>4350</v>
      </c>
      <c r="C4353">
        <v>146.04325510000001</v>
      </c>
      <c r="D4353">
        <v>-17.522019619999998</v>
      </c>
      <c r="G4353">
        <v>3</v>
      </c>
      <c r="H4353" t="s">
        <v>26</v>
      </c>
      <c r="I4353" t="str">
        <f t="shared" si="67"/>
        <v>X</v>
      </c>
      <c r="W4353" s="4"/>
    </row>
    <row r="4354" spans="1:23" x14ac:dyDescent="0.35">
      <c r="A4354">
        <v>4350</v>
      </c>
      <c r="B4354">
        <v>4351</v>
      </c>
      <c r="C4354">
        <v>146.0433391</v>
      </c>
      <c r="D4354">
        <v>-17.52197683</v>
      </c>
      <c r="G4354">
        <v>3</v>
      </c>
      <c r="H4354" t="s">
        <v>26</v>
      </c>
      <c r="I4354" t="str">
        <f t="shared" si="67"/>
        <v>X</v>
      </c>
      <c r="W4354" s="4"/>
    </row>
    <row r="4355" spans="1:23" x14ac:dyDescent="0.35">
      <c r="A4355">
        <v>4351</v>
      </c>
      <c r="B4355">
        <v>4352</v>
      </c>
      <c r="C4355">
        <v>146.04342310000001</v>
      </c>
      <c r="D4355">
        <v>-17.521934040000001</v>
      </c>
      <c r="G4355">
        <v>3</v>
      </c>
      <c r="H4355" t="s">
        <v>26</v>
      </c>
      <c r="I4355" t="str">
        <f t="shared" si="67"/>
        <v>X</v>
      </c>
      <c r="W4355" s="4"/>
    </row>
    <row r="4356" spans="1:23" x14ac:dyDescent="0.35">
      <c r="A4356">
        <v>4352</v>
      </c>
      <c r="B4356">
        <v>4353</v>
      </c>
      <c r="C4356">
        <v>146.04350719999999</v>
      </c>
      <c r="D4356">
        <v>-17.521891239999999</v>
      </c>
      <c r="G4356">
        <v>3</v>
      </c>
      <c r="H4356" t="s">
        <v>26</v>
      </c>
      <c r="I4356" t="str">
        <f t="shared" si="67"/>
        <v>X</v>
      </c>
      <c r="W4356" s="4"/>
    </row>
    <row r="4357" spans="1:23" x14ac:dyDescent="0.35">
      <c r="A4357">
        <v>4353</v>
      </c>
      <c r="B4357">
        <v>4354</v>
      </c>
      <c r="C4357">
        <v>146.04359120000001</v>
      </c>
      <c r="D4357">
        <v>-17.52184845</v>
      </c>
      <c r="G4357">
        <v>3</v>
      </c>
      <c r="H4357" t="s">
        <v>26</v>
      </c>
      <c r="I4357" t="str">
        <f t="shared" ref="I4357:I4420" si="68">IF(H4357="X","X",IF(J4357="NA","X",IF(J4357="","X",J4357)))</f>
        <v>X</v>
      </c>
      <c r="W4357" s="4"/>
    </row>
    <row r="4358" spans="1:23" x14ac:dyDescent="0.35">
      <c r="A4358">
        <v>4354</v>
      </c>
      <c r="B4358">
        <v>4355</v>
      </c>
      <c r="C4358">
        <v>146.0436747</v>
      </c>
      <c r="D4358">
        <v>-17.52180461</v>
      </c>
      <c r="G4358">
        <v>3</v>
      </c>
      <c r="H4358" t="s">
        <v>26</v>
      </c>
      <c r="I4358" t="str">
        <f t="shared" si="68"/>
        <v>X</v>
      </c>
      <c r="W4358" s="4"/>
    </row>
    <row r="4359" spans="1:23" x14ac:dyDescent="0.35">
      <c r="A4359">
        <v>4355</v>
      </c>
      <c r="B4359">
        <v>4356</v>
      </c>
      <c r="C4359">
        <v>146.04375820000001</v>
      </c>
      <c r="D4359">
        <v>-17.52176072</v>
      </c>
      <c r="G4359">
        <v>3</v>
      </c>
      <c r="H4359" t="s">
        <v>26</v>
      </c>
      <c r="I4359" t="str">
        <f t="shared" si="68"/>
        <v>X</v>
      </c>
      <c r="W4359" s="4"/>
    </row>
    <row r="4360" spans="1:23" x14ac:dyDescent="0.35">
      <c r="A4360">
        <v>4356</v>
      </c>
      <c r="B4360">
        <v>4357</v>
      </c>
      <c r="C4360">
        <v>146.04384160000001</v>
      </c>
      <c r="D4360">
        <v>-17.52171684</v>
      </c>
      <c r="G4360">
        <v>3</v>
      </c>
      <c r="H4360" t="s">
        <v>26</v>
      </c>
      <c r="I4360" t="str">
        <f t="shared" si="68"/>
        <v>X</v>
      </c>
      <c r="W4360" s="4"/>
    </row>
    <row r="4361" spans="1:23" x14ac:dyDescent="0.35">
      <c r="A4361">
        <v>4357</v>
      </c>
      <c r="B4361">
        <v>4358</v>
      </c>
      <c r="C4361">
        <v>146.0439251</v>
      </c>
      <c r="D4361">
        <v>-17.52167296</v>
      </c>
      <c r="G4361">
        <v>3</v>
      </c>
      <c r="H4361" t="s">
        <v>26</v>
      </c>
      <c r="I4361" t="str">
        <f t="shared" si="68"/>
        <v>X</v>
      </c>
      <c r="W4361" s="4"/>
    </row>
    <row r="4362" spans="1:23" x14ac:dyDescent="0.35">
      <c r="A4362">
        <v>4358</v>
      </c>
      <c r="B4362">
        <v>4359</v>
      </c>
      <c r="C4362">
        <v>146.04400860000001</v>
      </c>
      <c r="D4362">
        <v>-17.52162908</v>
      </c>
      <c r="G4362">
        <v>3</v>
      </c>
      <c r="H4362" t="s">
        <v>26</v>
      </c>
      <c r="I4362" t="str">
        <f t="shared" si="68"/>
        <v>X</v>
      </c>
      <c r="W4362" s="4"/>
    </row>
    <row r="4363" spans="1:23" x14ac:dyDescent="0.35">
      <c r="A4363">
        <v>4359</v>
      </c>
      <c r="B4363">
        <v>4360</v>
      </c>
      <c r="C4363">
        <v>146.0440974</v>
      </c>
      <c r="D4363">
        <v>-17.521598940000001</v>
      </c>
      <c r="G4363">
        <v>3</v>
      </c>
      <c r="H4363" t="s">
        <v>26</v>
      </c>
      <c r="I4363" t="str">
        <f t="shared" si="68"/>
        <v>X</v>
      </c>
      <c r="W4363" s="4"/>
    </row>
    <row r="4364" spans="1:23" x14ac:dyDescent="0.35">
      <c r="A4364">
        <v>4360</v>
      </c>
      <c r="B4364">
        <v>4361</v>
      </c>
      <c r="C4364">
        <v>146.04418849999999</v>
      </c>
      <c r="D4364">
        <v>-17.521574480000002</v>
      </c>
      <c r="G4364">
        <v>3</v>
      </c>
      <c r="H4364" t="s">
        <v>26</v>
      </c>
      <c r="I4364" t="str">
        <f t="shared" si="68"/>
        <v>X</v>
      </c>
      <c r="W4364" s="4"/>
    </row>
    <row r="4365" spans="1:23" x14ac:dyDescent="0.35">
      <c r="A4365">
        <v>4361</v>
      </c>
      <c r="B4365">
        <v>4362</v>
      </c>
      <c r="C4365">
        <v>146.04427960000001</v>
      </c>
      <c r="D4365">
        <v>-17.52155003</v>
      </c>
      <c r="G4365">
        <v>3</v>
      </c>
      <c r="H4365" t="s">
        <v>26</v>
      </c>
      <c r="I4365" t="str">
        <f t="shared" si="68"/>
        <v>X</v>
      </c>
      <c r="W4365" s="4"/>
    </row>
    <row r="4366" spans="1:23" x14ac:dyDescent="0.35">
      <c r="A4366">
        <v>4362</v>
      </c>
      <c r="B4366">
        <v>4363</v>
      </c>
      <c r="C4366">
        <v>146.04436999999999</v>
      </c>
      <c r="D4366">
        <v>-17.521524240000002</v>
      </c>
      <c r="G4366">
        <v>3</v>
      </c>
      <c r="H4366" t="s">
        <v>26</v>
      </c>
      <c r="I4366" t="str">
        <f t="shared" si="68"/>
        <v>X</v>
      </c>
      <c r="W4366" s="4"/>
    </row>
    <row r="4367" spans="1:23" x14ac:dyDescent="0.35">
      <c r="A4367">
        <v>4363</v>
      </c>
      <c r="B4367">
        <v>4364</v>
      </c>
      <c r="C4367">
        <v>146.0444426</v>
      </c>
      <c r="D4367">
        <v>-17.521464080000001</v>
      </c>
      <c r="G4367">
        <v>3</v>
      </c>
      <c r="H4367" t="s">
        <v>26</v>
      </c>
      <c r="I4367" t="str">
        <f t="shared" si="68"/>
        <v>X</v>
      </c>
      <c r="W4367" s="4"/>
    </row>
    <row r="4368" spans="1:23" x14ac:dyDescent="0.35">
      <c r="A4368">
        <v>4364</v>
      </c>
      <c r="B4368">
        <v>4365</v>
      </c>
      <c r="C4368">
        <v>146.04451520000001</v>
      </c>
      <c r="D4368">
        <v>-17.521403920000001</v>
      </c>
      <c r="G4368">
        <v>3</v>
      </c>
      <c r="H4368" t="s">
        <v>26</v>
      </c>
      <c r="I4368" t="str">
        <f t="shared" si="68"/>
        <v>X</v>
      </c>
      <c r="W4368" s="4"/>
    </row>
    <row r="4369" spans="1:23" x14ac:dyDescent="0.35">
      <c r="A4369">
        <v>4365</v>
      </c>
      <c r="B4369">
        <v>4366</v>
      </c>
      <c r="C4369">
        <v>146.04458779999999</v>
      </c>
      <c r="D4369">
        <v>-17.52134375</v>
      </c>
      <c r="G4369">
        <v>3</v>
      </c>
      <c r="H4369" t="s">
        <v>26</v>
      </c>
      <c r="I4369" t="str">
        <f t="shared" si="68"/>
        <v>X</v>
      </c>
      <c r="W4369" s="4"/>
    </row>
    <row r="4370" spans="1:23" x14ac:dyDescent="0.35">
      <c r="A4370">
        <v>4366</v>
      </c>
      <c r="B4370">
        <v>4367</v>
      </c>
      <c r="C4370">
        <v>146.0446656</v>
      </c>
      <c r="D4370">
        <v>-17.52129326</v>
      </c>
      <c r="G4370">
        <v>3</v>
      </c>
      <c r="H4370" t="s">
        <v>26</v>
      </c>
      <c r="I4370" t="str">
        <f t="shared" si="68"/>
        <v>X</v>
      </c>
      <c r="W4370" s="4"/>
    </row>
    <row r="4371" spans="1:23" x14ac:dyDescent="0.35">
      <c r="A4371">
        <v>4367</v>
      </c>
      <c r="B4371">
        <v>4368</v>
      </c>
      <c r="C4371">
        <v>146.0447561</v>
      </c>
      <c r="D4371">
        <v>-17.52126681</v>
      </c>
      <c r="G4371">
        <v>3</v>
      </c>
      <c r="H4371" t="s">
        <v>26</v>
      </c>
      <c r="I4371" t="str">
        <f t="shared" si="68"/>
        <v>X</v>
      </c>
      <c r="W4371" s="4"/>
    </row>
    <row r="4372" spans="1:23" x14ac:dyDescent="0.35">
      <c r="A4372">
        <v>4368</v>
      </c>
      <c r="B4372">
        <v>4369</v>
      </c>
      <c r="C4372">
        <v>146.0448466</v>
      </c>
      <c r="D4372">
        <v>-17.52124036</v>
      </c>
      <c r="G4372">
        <v>3</v>
      </c>
      <c r="H4372" t="s">
        <v>26</v>
      </c>
      <c r="I4372" t="str">
        <f t="shared" si="68"/>
        <v>X</v>
      </c>
      <c r="W4372" s="4"/>
    </row>
    <row r="4373" spans="1:23" x14ac:dyDescent="0.35">
      <c r="A4373">
        <v>4369</v>
      </c>
      <c r="B4373">
        <v>4370</v>
      </c>
      <c r="C4373">
        <v>146.0449371</v>
      </c>
      <c r="D4373">
        <v>-17.521213920000001</v>
      </c>
      <c r="G4373">
        <v>3</v>
      </c>
      <c r="H4373" t="s">
        <v>26</v>
      </c>
      <c r="I4373" t="str">
        <f t="shared" si="68"/>
        <v>X</v>
      </c>
      <c r="W4373" s="4"/>
    </row>
    <row r="4374" spans="1:23" x14ac:dyDescent="0.35">
      <c r="A4374">
        <v>4370</v>
      </c>
      <c r="B4374">
        <v>4371</v>
      </c>
      <c r="C4374">
        <v>146.04502869999999</v>
      </c>
      <c r="D4374">
        <v>-17.521192039999999</v>
      </c>
      <c r="G4374">
        <v>3</v>
      </c>
      <c r="H4374" t="s">
        <v>26</v>
      </c>
      <c r="I4374" t="str">
        <f t="shared" si="68"/>
        <v>X</v>
      </c>
      <c r="W4374" s="4"/>
    </row>
    <row r="4375" spans="1:23" x14ac:dyDescent="0.35">
      <c r="A4375">
        <v>4371</v>
      </c>
      <c r="B4375">
        <v>4372</v>
      </c>
      <c r="C4375">
        <v>146.0451218</v>
      </c>
      <c r="D4375">
        <v>-17.521177380000001</v>
      </c>
      <c r="G4375">
        <v>3</v>
      </c>
      <c r="H4375" t="s">
        <v>26</v>
      </c>
      <c r="I4375" t="str">
        <f t="shared" si="68"/>
        <v>X</v>
      </c>
      <c r="W4375" s="4"/>
    </row>
    <row r="4376" spans="1:23" x14ac:dyDescent="0.35">
      <c r="A4376">
        <v>4372</v>
      </c>
      <c r="B4376">
        <v>4373</v>
      </c>
      <c r="C4376">
        <v>146.04521500000001</v>
      </c>
      <c r="D4376">
        <v>-17.521162709999999</v>
      </c>
      <c r="G4376">
        <v>3</v>
      </c>
      <c r="H4376" t="s">
        <v>26</v>
      </c>
      <c r="I4376" t="str">
        <f t="shared" si="68"/>
        <v>X</v>
      </c>
      <c r="W4376" s="4"/>
    </row>
    <row r="4377" spans="1:23" x14ac:dyDescent="0.35">
      <c r="A4377">
        <v>4373</v>
      </c>
      <c r="B4377">
        <v>4374</v>
      </c>
      <c r="C4377">
        <v>146.04530819999999</v>
      </c>
      <c r="D4377">
        <v>-17.521148050000001</v>
      </c>
      <c r="G4377">
        <v>3</v>
      </c>
      <c r="H4377" t="s">
        <v>26</v>
      </c>
      <c r="I4377" t="str">
        <f t="shared" si="68"/>
        <v>X</v>
      </c>
      <c r="W4377" s="4"/>
    </row>
    <row r="4378" spans="1:23" x14ac:dyDescent="0.35">
      <c r="A4378">
        <v>4374</v>
      </c>
      <c r="B4378">
        <v>4375</v>
      </c>
      <c r="C4378">
        <v>146.04540130000001</v>
      </c>
      <c r="D4378">
        <v>-17.521133379999998</v>
      </c>
      <c r="G4378">
        <v>3</v>
      </c>
      <c r="H4378" t="s">
        <v>26</v>
      </c>
      <c r="I4378" t="str">
        <f t="shared" si="68"/>
        <v>X</v>
      </c>
      <c r="W4378" s="4"/>
    </row>
    <row r="4379" spans="1:23" x14ac:dyDescent="0.35">
      <c r="A4379">
        <v>4375</v>
      </c>
      <c r="B4379">
        <v>4376</v>
      </c>
      <c r="C4379">
        <v>146.04549449999999</v>
      </c>
      <c r="D4379">
        <v>-17.52111871</v>
      </c>
      <c r="G4379">
        <v>3</v>
      </c>
      <c r="H4379" t="s">
        <v>26</v>
      </c>
      <c r="I4379" t="str">
        <f t="shared" si="68"/>
        <v>X</v>
      </c>
      <c r="W4379" s="4"/>
    </row>
    <row r="4380" spans="1:23" x14ac:dyDescent="0.35">
      <c r="A4380">
        <v>4376</v>
      </c>
      <c r="B4380">
        <v>4377</v>
      </c>
      <c r="C4380">
        <v>146.04558510000001</v>
      </c>
      <c r="D4380">
        <v>-17.5210945</v>
      </c>
      <c r="G4380">
        <v>3</v>
      </c>
      <c r="H4380" t="s">
        <v>26</v>
      </c>
      <c r="I4380" t="str">
        <f t="shared" si="68"/>
        <v>X</v>
      </c>
      <c r="W4380" s="4"/>
    </row>
    <row r="4381" spans="1:23" x14ac:dyDescent="0.35">
      <c r="A4381">
        <v>4377</v>
      </c>
      <c r="B4381">
        <v>4378</v>
      </c>
      <c r="C4381">
        <v>146.04567359999999</v>
      </c>
      <c r="D4381">
        <v>-17.521061759999998</v>
      </c>
      <c r="G4381">
        <v>3</v>
      </c>
      <c r="H4381" t="s">
        <v>26</v>
      </c>
      <c r="I4381" t="str">
        <f t="shared" si="68"/>
        <v>X</v>
      </c>
      <c r="W4381" s="4"/>
    </row>
    <row r="4382" spans="1:23" x14ac:dyDescent="0.35">
      <c r="A4382">
        <v>4378</v>
      </c>
      <c r="B4382">
        <v>4379</v>
      </c>
      <c r="C4382">
        <v>146.045762</v>
      </c>
      <c r="D4382">
        <v>-17.521029030000001</v>
      </c>
      <c r="G4382">
        <v>3</v>
      </c>
      <c r="H4382" t="s">
        <v>26</v>
      </c>
      <c r="I4382" t="str">
        <f t="shared" si="68"/>
        <v>X</v>
      </c>
      <c r="W4382" s="4"/>
    </row>
    <row r="4383" spans="1:23" x14ac:dyDescent="0.35">
      <c r="A4383">
        <v>4379</v>
      </c>
      <c r="B4383">
        <v>4380</v>
      </c>
      <c r="C4383">
        <v>146.0458505</v>
      </c>
      <c r="D4383">
        <v>-17.5209963</v>
      </c>
      <c r="G4383">
        <v>3</v>
      </c>
      <c r="H4383" t="s">
        <v>26</v>
      </c>
      <c r="I4383" t="str">
        <f t="shared" si="68"/>
        <v>X</v>
      </c>
      <c r="W4383" s="4"/>
    </row>
    <row r="4384" spans="1:23" x14ac:dyDescent="0.35">
      <c r="A4384">
        <v>4380</v>
      </c>
      <c r="B4384">
        <v>4381</v>
      </c>
      <c r="C4384">
        <v>146.04594420000001</v>
      </c>
      <c r="D4384">
        <v>-17.520990980000001</v>
      </c>
      <c r="G4384">
        <v>3</v>
      </c>
      <c r="H4384" t="s">
        <v>26</v>
      </c>
      <c r="I4384" t="str">
        <f t="shared" si="68"/>
        <v>X</v>
      </c>
      <c r="W4384" s="4"/>
    </row>
    <row r="4385" spans="1:23" x14ac:dyDescent="0.35">
      <c r="A4385">
        <v>4381</v>
      </c>
      <c r="B4385">
        <v>4382</v>
      </c>
      <c r="C4385">
        <v>146.04603839999999</v>
      </c>
      <c r="D4385">
        <v>-17.520988599999999</v>
      </c>
      <c r="G4385">
        <v>3</v>
      </c>
      <c r="H4385" t="s">
        <v>26</v>
      </c>
      <c r="I4385" t="str">
        <f t="shared" si="68"/>
        <v>X</v>
      </c>
      <c r="W4385" s="4"/>
    </row>
    <row r="4386" spans="1:23" x14ac:dyDescent="0.35">
      <c r="A4386">
        <v>4382</v>
      </c>
      <c r="B4386">
        <v>4383</v>
      </c>
      <c r="C4386">
        <v>146.04613269999999</v>
      </c>
      <c r="D4386">
        <v>-17.520986229999998</v>
      </c>
      <c r="G4386">
        <v>3</v>
      </c>
      <c r="H4386" t="s">
        <v>26</v>
      </c>
      <c r="I4386" t="str">
        <f t="shared" si="68"/>
        <v>X</v>
      </c>
      <c r="W4386" s="4"/>
    </row>
    <row r="4387" spans="1:23" x14ac:dyDescent="0.35">
      <c r="A4387">
        <v>4383</v>
      </c>
      <c r="B4387">
        <v>4384</v>
      </c>
      <c r="C4387">
        <v>146.04622699999999</v>
      </c>
      <c r="D4387">
        <v>-17.520983860000001</v>
      </c>
      <c r="G4387">
        <v>3</v>
      </c>
      <c r="H4387" t="s">
        <v>26</v>
      </c>
      <c r="I4387" t="str">
        <f t="shared" si="68"/>
        <v>X</v>
      </c>
      <c r="W4387" s="4"/>
    </row>
    <row r="4388" spans="1:23" x14ac:dyDescent="0.35">
      <c r="A4388">
        <v>4384</v>
      </c>
      <c r="B4388">
        <v>4385</v>
      </c>
      <c r="C4388">
        <v>146.04632129999999</v>
      </c>
      <c r="D4388">
        <v>-17.52098148</v>
      </c>
      <c r="G4388">
        <v>3</v>
      </c>
      <c r="H4388" t="s">
        <v>26</v>
      </c>
      <c r="I4388" t="str">
        <f t="shared" si="68"/>
        <v>X</v>
      </c>
      <c r="W4388" s="4"/>
    </row>
    <row r="4389" spans="1:23" x14ac:dyDescent="0.35">
      <c r="A4389">
        <v>4385</v>
      </c>
      <c r="B4389">
        <v>4386</v>
      </c>
      <c r="C4389">
        <v>146.0464029</v>
      </c>
      <c r="D4389">
        <v>-17.520938180000002</v>
      </c>
      <c r="G4389">
        <v>3</v>
      </c>
      <c r="H4389" t="s">
        <v>26</v>
      </c>
      <c r="I4389" t="str">
        <f t="shared" si="68"/>
        <v>X</v>
      </c>
      <c r="W4389" s="4"/>
    </row>
    <row r="4390" spans="1:23" x14ac:dyDescent="0.35">
      <c r="A4390">
        <v>4386</v>
      </c>
      <c r="B4390">
        <v>4387</v>
      </c>
      <c r="C4390">
        <v>146.04648309999999</v>
      </c>
      <c r="D4390">
        <v>-17.520899140000001</v>
      </c>
      <c r="G4390">
        <v>3</v>
      </c>
      <c r="H4390" t="s">
        <v>26</v>
      </c>
      <c r="I4390" t="str">
        <f t="shared" si="68"/>
        <v>X</v>
      </c>
      <c r="W4390" s="4"/>
    </row>
    <row r="4391" spans="1:23" x14ac:dyDescent="0.35">
      <c r="A4391">
        <v>4387</v>
      </c>
      <c r="B4391">
        <v>4388</v>
      </c>
      <c r="C4391">
        <v>146.04657</v>
      </c>
      <c r="D4391">
        <v>-17.520935730000001</v>
      </c>
      <c r="G4391">
        <v>3</v>
      </c>
      <c r="H4391" t="s">
        <v>26</v>
      </c>
      <c r="I4391" t="str">
        <f t="shared" si="68"/>
        <v>X</v>
      </c>
      <c r="W4391" s="4"/>
    </row>
    <row r="4392" spans="1:23" x14ac:dyDescent="0.35">
      <c r="A4392">
        <v>4388</v>
      </c>
      <c r="B4392">
        <v>4389</v>
      </c>
      <c r="C4392">
        <v>146.04666090000001</v>
      </c>
      <c r="D4392">
        <v>-17.5209489</v>
      </c>
      <c r="G4392">
        <v>3</v>
      </c>
      <c r="H4392" t="s">
        <v>26</v>
      </c>
      <c r="I4392" t="str">
        <f t="shared" si="68"/>
        <v>X</v>
      </c>
      <c r="W4392" s="4"/>
    </row>
    <row r="4393" spans="1:23" x14ac:dyDescent="0.35">
      <c r="A4393">
        <v>4389</v>
      </c>
      <c r="B4393">
        <v>4390</v>
      </c>
      <c r="C4393">
        <v>146.04675510000001</v>
      </c>
      <c r="D4393">
        <v>-17.520943219999999</v>
      </c>
      <c r="G4393">
        <v>3</v>
      </c>
      <c r="H4393" t="s">
        <v>26</v>
      </c>
      <c r="I4393" t="str">
        <f t="shared" si="68"/>
        <v>X</v>
      </c>
      <c r="W4393" s="4"/>
    </row>
    <row r="4394" spans="1:23" x14ac:dyDescent="0.35">
      <c r="A4394">
        <v>4390</v>
      </c>
      <c r="B4394">
        <v>4391</v>
      </c>
      <c r="C4394">
        <v>146.0468491</v>
      </c>
      <c r="D4394">
        <v>-17.520936710000001</v>
      </c>
      <c r="G4394">
        <v>3</v>
      </c>
      <c r="H4394" t="s">
        <v>26</v>
      </c>
      <c r="I4394" t="str">
        <f t="shared" si="68"/>
        <v>X</v>
      </c>
      <c r="W4394" s="4"/>
    </row>
    <row r="4395" spans="1:23" x14ac:dyDescent="0.35">
      <c r="A4395">
        <v>4391</v>
      </c>
      <c r="B4395">
        <v>4392</v>
      </c>
      <c r="C4395">
        <v>146.046943</v>
      </c>
      <c r="D4395">
        <v>-17.520928009999999</v>
      </c>
      <c r="G4395">
        <v>3</v>
      </c>
      <c r="H4395" t="s">
        <v>26</v>
      </c>
      <c r="I4395" t="str">
        <f t="shared" si="68"/>
        <v>X</v>
      </c>
      <c r="W4395" s="4"/>
    </row>
    <row r="4396" spans="1:23" x14ac:dyDescent="0.35">
      <c r="A4396">
        <v>4392</v>
      </c>
      <c r="B4396">
        <v>4393</v>
      </c>
      <c r="C4396">
        <v>146.04703689999999</v>
      </c>
      <c r="D4396">
        <v>-17.52091931</v>
      </c>
      <c r="G4396">
        <v>3</v>
      </c>
      <c r="H4396" t="s">
        <v>26</v>
      </c>
      <c r="I4396" t="str">
        <f t="shared" si="68"/>
        <v>X</v>
      </c>
      <c r="W4396" s="4"/>
    </row>
    <row r="4397" spans="1:23" x14ac:dyDescent="0.35">
      <c r="A4397">
        <v>4393</v>
      </c>
      <c r="B4397">
        <v>4394</v>
      </c>
      <c r="C4397">
        <v>146.04712900000001</v>
      </c>
      <c r="D4397">
        <v>-17.520930589999999</v>
      </c>
      <c r="G4397">
        <v>3</v>
      </c>
      <c r="H4397" t="s">
        <v>26</v>
      </c>
      <c r="I4397" t="str">
        <f t="shared" si="68"/>
        <v>X</v>
      </c>
      <c r="W4397" s="4"/>
    </row>
    <row r="4398" spans="1:23" x14ac:dyDescent="0.35">
      <c r="A4398">
        <v>4394</v>
      </c>
      <c r="B4398">
        <v>4395</v>
      </c>
      <c r="C4398">
        <v>146.04721979999999</v>
      </c>
      <c r="D4398">
        <v>-17.520956219999999</v>
      </c>
      <c r="G4398">
        <v>3</v>
      </c>
      <c r="H4398" t="s">
        <v>26</v>
      </c>
      <c r="I4398" t="str">
        <f t="shared" si="68"/>
        <v>X</v>
      </c>
      <c r="W4398" s="4"/>
    </row>
    <row r="4399" spans="1:23" x14ac:dyDescent="0.35">
      <c r="A4399">
        <v>4395</v>
      </c>
      <c r="B4399">
        <v>4396</v>
      </c>
      <c r="C4399">
        <v>146.04731050000001</v>
      </c>
      <c r="D4399">
        <v>-17.520981849999998</v>
      </c>
      <c r="G4399">
        <v>3</v>
      </c>
      <c r="H4399" t="s">
        <v>26</v>
      </c>
      <c r="I4399" t="str">
        <f t="shared" si="68"/>
        <v>X</v>
      </c>
      <c r="W4399" s="4"/>
    </row>
    <row r="4400" spans="1:23" x14ac:dyDescent="0.35">
      <c r="A4400">
        <v>4396</v>
      </c>
      <c r="B4400">
        <v>4397</v>
      </c>
      <c r="C4400">
        <v>146.04740129999999</v>
      </c>
      <c r="D4400">
        <v>-17.521007489999999</v>
      </c>
      <c r="G4400">
        <v>3</v>
      </c>
      <c r="H4400" t="s">
        <v>26</v>
      </c>
      <c r="I4400" t="str">
        <f t="shared" si="68"/>
        <v>X</v>
      </c>
      <c r="W4400" s="4"/>
    </row>
    <row r="4401" spans="1:23" x14ac:dyDescent="0.35">
      <c r="A4401">
        <v>4397</v>
      </c>
      <c r="B4401">
        <v>4398</v>
      </c>
      <c r="C4401">
        <v>146.04749200000001</v>
      </c>
      <c r="D4401">
        <v>-17.521033119999998</v>
      </c>
      <c r="G4401">
        <v>3</v>
      </c>
      <c r="H4401" t="s">
        <v>26</v>
      </c>
      <c r="I4401" t="str">
        <f t="shared" si="68"/>
        <v>X</v>
      </c>
      <c r="W4401" s="4"/>
    </row>
    <row r="4402" spans="1:23" x14ac:dyDescent="0.35">
      <c r="A4402">
        <v>4398</v>
      </c>
      <c r="B4402">
        <v>4399</v>
      </c>
      <c r="C4402">
        <v>146.04758269999999</v>
      </c>
      <c r="D4402">
        <v>-17.52105907</v>
      </c>
      <c r="G4402">
        <v>3</v>
      </c>
      <c r="H4402" t="s">
        <v>26</v>
      </c>
      <c r="I4402" t="str">
        <f t="shared" si="68"/>
        <v>X</v>
      </c>
      <c r="W4402" s="4"/>
    </row>
    <row r="4403" spans="1:23" x14ac:dyDescent="0.35">
      <c r="A4403">
        <v>4399</v>
      </c>
      <c r="B4403">
        <v>4400</v>
      </c>
      <c r="C4403">
        <v>146.04767229999999</v>
      </c>
      <c r="D4403">
        <v>-17.521088290000002</v>
      </c>
      <c r="G4403">
        <v>3</v>
      </c>
      <c r="H4403" t="s">
        <v>26</v>
      </c>
      <c r="I4403" t="str">
        <f t="shared" si="68"/>
        <v>X</v>
      </c>
      <c r="W4403" s="4"/>
    </row>
    <row r="4404" spans="1:23" x14ac:dyDescent="0.35">
      <c r="A4404">
        <v>4400</v>
      </c>
      <c r="B4404">
        <v>4401</v>
      </c>
      <c r="C4404">
        <v>146.04776200000001</v>
      </c>
      <c r="D4404">
        <v>-17.52111751</v>
      </c>
      <c r="G4404">
        <v>3</v>
      </c>
      <c r="H4404" t="s">
        <v>26</v>
      </c>
      <c r="I4404" t="str">
        <f t="shared" si="68"/>
        <v>X</v>
      </c>
      <c r="W4404" s="4"/>
    </row>
    <row r="4405" spans="1:23" x14ac:dyDescent="0.35">
      <c r="A4405">
        <v>4401</v>
      </c>
      <c r="B4405">
        <v>4402</v>
      </c>
      <c r="C4405">
        <v>146.0478517</v>
      </c>
      <c r="D4405">
        <v>-17.521146720000001</v>
      </c>
      <c r="G4405">
        <v>3</v>
      </c>
      <c r="H4405" t="s">
        <v>26</v>
      </c>
      <c r="I4405" t="str">
        <f t="shared" si="68"/>
        <v>X</v>
      </c>
      <c r="W4405" s="4"/>
    </row>
    <row r="4406" spans="1:23" x14ac:dyDescent="0.35">
      <c r="A4406">
        <v>4402</v>
      </c>
      <c r="B4406">
        <v>4403</v>
      </c>
      <c r="C4406">
        <v>146.04794129999999</v>
      </c>
      <c r="D4406">
        <v>-17.521175939999999</v>
      </c>
      <c r="G4406">
        <v>3</v>
      </c>
      <c r="H4406" t="s">
        <v>26</v>
      </c>
      <c r="I4406" t="str">
        <f t="shared" si="68"/>
        <v>X</v>
      </c>
      <c r="W4406" s="4"/>
    </row>
    <row r="4407" spans="1:23" x14ac:dyDescent="0.35">
      <c r="A4407">
        <v>4403</v>
      </c>
      <c r="B4407">
        <v>4404</v>
      </c>
      <c r="C4407">
        <v>146.04803100000001</v>
      </c>
      <c r="D4407">
        <v>-17.521205160000001</v>
      </c>
      <c r="G4407">
        <v>3</v>
      </c>
      <c r="H4407" t="s">
        <v>26</v>
      </c>
      <c r="I4407" t="str">
        <f t="shared" si="68"/>
        <v>X</v>
      </c>
      <c r="W4407" s="4"/>
    </row>
    <row r="4408" spans="1:23" x14ac:dyDescent="0.35">
      <c r="A4408">
        <v>4404</v>
      </c>
      <c r="B4408">
        <v>4405</v>
      </c>
      <c r="C4408">
        <v>146.0481206</v>
      </c>
      <c r="D4408">
        <v>-17.521234369999998</v>
      </c>
      <c r="G4408">
        <v>3</v>
      </c>
      <c r="H4408" t="s">
        <v>26</v>
      </c>
      <c r="I4408" t="str">
        <f t="shared" si="68"/>
        <v>X</v>
      </c>
      <c r="W4408" s="4"/>
    </row>
    <row r="4409" spans="1:23" x14ac:dyDescent="0.35">
      <c r="A4409">
        <v>4405</v>
      </c>
      <c r="B4409">
        <v>4406</v>
      </c>
      <c r="C4409">
        <v>146.04821039999999</v>
      </c>
      <c r="D4409">
        <v>-17.52126329</v>
      </c>
      <c r="G4409">
        <v>3</v>
      </c>
      <c r="H4409" t="s">
        <v>26</v>
      </c>
      <c r="I4409" t="str">
        <f t="shared" si="68"/>
        <v>X</v>
      </c>
      <c r="W4409" s="4"/>
    </row>
    <row r="4410" spans="1:23" x14ac:dyDescent="0.35">
      <c r="A4410">
        <v>4406</v>
      </c>
      <c r="B4410">
        <v>4407</v>
      </c>
      <c r="C4410">
        <v>146.04830050000001</v>
      </c>
      <c r="D4410">
        <v>-17.521291269999999</v>
      </c>
      <c r="G4410">
        <v>3</v>
      </c>
      <c r="H4410" t="s">
        <v>26</v>
      </c>
      <c r="I4410" t="str">
        <f t="shared" si="68"/>
        <v>X</v>
      </c>
      <c r="W4410" s="4"/>
    </row>
    <row r="4411" spans="1:23" x14ac:dyDescent="0.35">
      <c r="A4411">
        <v>4407</v>
      </c>
      <c r="B4411">
        <v>4408</v>
      </c>
      <c r="C4411">
        <v>146.04839050000001</v>
      </c>
      <c r="D4411">
        <v>-17.521319250000001</v>
      </c>
      <c r="F4411" t="str">
        <f>HYPERLINK("D:\Data From Lucan\2024\Johnstone\Frames_for_Analysis\4408_20240610_0005_L_3142.jpg","4408_20240610_0005_L_3142.jpg")</f>
        <v>4408_20240610_0005_L_3142.jpg</v>
      </c>
      <c r="G4411">
        <v>3</v>
      </c>
      <c r="H4411" t="s">
        <v>26</v>
      </c>
      <c r="I4411" t="str">
        <f t="shared" si="68"/>
        <v>X</v>
      </c>
      <c r="O4411">
        <v>1</v>
      </c>
      <c r="P4411" s="58">
        <v>0</v>
      </c>
      <c r="Q4411" s="58">
        <v>0</v>
      </c>
      <c r="S4411" s="58">
        <v>0</v>
      </c>
      <c r="T4411" s="58">
        <v>0</v>
      </c>
      <c r="U4411" s="58">
        <v>0</v>
      </c>
      <c r="V4411" s="58">
        <v>0</v>
      </c>
      <c r="W4411" s="4"/>
    </row>
    <row r="4412" spans="1:23" x14ac:dyDescent="0.35">
      <c r="A4412">
        <v>4408</v>
      </c>
      <c r="B4412">
        <v>4409</v>
      </c>
      <c r="C4412">
        <v>146.0484806</v>
      </c>
      <c r="D4412">
        <v>-17.52134723</v>
      </c>
      <c r="F4412" t="str">
        <f>HYPERLINK("D:\Data From Lucan\2024\Johnstone\Frames_for_Analysis\4409_20240610_0005_L_3147.jpg","4409_20240610_0005_L_3147.jpg")</f>
        <v>4409_20240610_0005_L_3147.jpg</v>
      </c>
      <c r="G4412">
        <v>3</v>
      </c>
      <c r="I4412">
        <f t="shared" si="68"/>
        <v>1</v>
      </c>
      <c r="J4412" s="58">
        <v>1</v>
      </c>
      <c r="O4412">
        <v>1</v>
      </c>
      <c r="P4412" s="58">
        <v>0</v>
      </c>
      <c r="Q4412" s="58">
        <v>0</v>
      </c>
      <c r="R4412" s="58">
        <v>0</v>
      </c>
      <c r="S4412" s="58">
        <v>0</v>
      </c>
      <c r="T4412" s="58">
        <v>0</v>
      </c>
      <c r="U4412" s="58">
        <v>0</v>
      </c>
      <c r="V4412" s="58">
        <v>0</v>
      </c>
      <c r="W4412" s="4">
        <v>0</v>
      </c>
    </row>
    <row r="4413" spans="1:23" x14ac:dyDescent="0.35">
      <c r="A4413">
        <v>4409</v>
      </c>
      <c r="B4413">
        <v>4410</v>
      </c>
      <c r="C4413">
        <v>146.04857060000001</v>
      </c>
      <c r="D4413">
        <v>-17.521375219999999</v>
      </c>
      <c r="F4413" t="str">
        <f>HYPERLINK("D:\Data From Lucan\2024\Johnstone\Frames_for_Analysis\4410_20240610_0005_L_3149.jpg","4410_20240610_0005_L_3149.jpg")</f>
        <v>4410_20240610_0005_L_3149.jpg</v>
      </c>
      <c r="G4413">
        <v>3</v>
      </c>
      <c r="I4413">
        <f t="shared" si="68"/>
        <v>1</v>
      </c>
      <c r="J4413" s="58">
        <v>1</v>
      </c>
      <c r="O4413">
        <v>1</v>
      </c>
      <c r="P4413" s="58">
        <v>0</v>
      </c>
      <c r="Q4413" s="58">
        <v>0</v>
      </c>
      <c r="R4413" s="58">
        <v>0</v>
      </c>
      <c r="S4413" s="58">
        <v>0</v>
      </c>
      <c r="T4413" s="58">
        <v>0</v>
      </c>
      <c r="U4413" s="58">
        <v>0</v>
      </c>
      <c r="V4413" s="58">
        <v>0</v>
      </c>
      <c r="W4413" s="4">
        <v>0</v>
      </c>
    </row>
    <row r="4414" spans="1:23" x14ac:dyDescent="0.35">
      <c r="A4414">
        <v>4410</v>
      </c>
      <c r="B4414">
        <v>4411</v>
      </c>
      <c r="C4414">
        <v>146.0486607</v>
      </c>
      <c r="D4414">
        <v>-17.521403200000002</v>
      </c>
      <c r="F4414" t="str">
        <f>HYPERLINK("D:\Data From Lucan\2024\Johnstone\Frames_for_Analysis\4411_20240610_0005_L_3150.jpg","4411_20240610_0005_L_3150.jpg")</f>
        <v>4411_20240610_0005_L_3150.jpg</v>
      </c>
      <c r="G4414">
        <v>3</v>
      </c>
      <c r="I4414">
        <f t="shared" si="68"/>
        <v>1</v>
      </c>
      <c r="J4414" s="58">
        <v>1</v>
      </c>
      <c r="O4414">
        <v>1</v>
      </c>
      <c r="P4414" s="58">
        <v>0</v>
      </c>
      <c r="Q4414" s="58">
        <v>0</v>
      </c>
      <c r="R4414" s="58">
        <v>0</v>
      </c>
      <c r="S4414" s="58">
        <v>0</v>
      </c>
      <c r="T4414" s="58">
        <v>0</v>
      </c>
      <c r="U4414" s="58">
        <v>0</v>
      </c>
      <c r="V4414" s="58">
        <v>0</v>
      </c>
      <c r="W4414" s="4">
        <v>0</v>
      </c>
    </row>
    <row r="4415" spans="1:23" x14ac:dyDescent="0.35">
      <c r="A4415">
        <v>4411</v>
      </c>
      <c r="B4415">
        <v>4412</v>
      </c>
      <c r="C4415">
        <v>146.0487507</v>
      </c>
      <c r="D4415">
        <v>-17.52143118</v>
      </c>
      <c r="F4415" t="str">
        <f>HYPERLINK("D:\Data From Lucan\2024\Johnstone\Frames_for_Analysis\4412_20240610_0005_L_3165.jpg","4412_20240610_0005_L_3165.jpg")</f>
        <v>4412_20240610_0005_L_3165.jpg</v>
      </c>
      <c r="G4415">
        <v>3</v>
      </c>
      <c r="I4415">
        <f t="shared" si="68"/>
        <v>1</v>
      </c>
      <c r="J4415" s="58">
        <v>1</v>
      </c>
      <c r="O4415">
        <v>1</v>
      </c>
      <c r="P4415" s="58">
        <v>0</v>
      </c>
      <c r="Q4415" s="58">
        <v>0</v>
      </c>
      <c r="R4415" s="58">
        <v>0</v>
      </c>
      <c r="S4415" s="58">
        <v>0</v>
      </c>
      <c r="T4415" s="58">
        <v>0</v>
      </c>
      <c r="U4415" s="58">
        <v>0</v>
      </c>
      <c r="V4415" s="58">
        <v>0</v>
      </c>
      <c r="W4415" s="4">
        <v>0</v>
      </c>
    </row>
    <row r="4416" spans="1:23" x14ac:dyDescent="0.35">
      <c r="A4416">
        <v>4412</v>
      </c>
      <c r="B4416">
        <v>4413</v>
      </c>
      <c r="C4416">
        <v>146.04884179999999</v>
      </c>
      <c r="D4416">
        <v>-17.521455530000001</v>
      </c>
      <c r="F4416" t="str">
        <f>HYPERLINK("D:\Data From Lucan\2024\Johnstone\Frames_for_Analysis\4413_20240610_0005_L_3167.jpg","4413_20240610_0005_L_3167.jpg")</f>
        <v>4413_20240610_0005_L_3167.jpg</v>
      </c>
      <c r="G4416">
        <v>3</v>
      </c>
      <c r="I4416">
        <f t="shared" si="68"/>
        <v>1</v>
      </c>
      <c r="J4416" s="58">
        <v>1</v>
      </c>
      <c r="O4416">
        <v>1</v>
      </c>
      <c r="P4416" s="58">
        <v>0</v>
      </c>
      <c r="Q4416" s="58">
        <v>0</v>
      </c>
      <c r="R4416" s="58">
        <v>0</v>
      </c>
      <c r="S4416" s="58">
        <v>0</v>
      </c>
      <c r="T4416" s="58">
        <v>0</v>
      </c>
      <c r="U4416" s="58">
        <v>0</v>
      </c>
      <c r="V4416" s="58">
        <v>0</v>
      </c>
      <c r="W4416" s="4">
        <v>0</v>
      </c>
    </row>
    <row r="4417" spans="1:23" x14ac:dyDescent="0.35">
      <c r="A4417">
        <v>4413</v>
      </c>
      <c r="B4417">
        <v>4414</v>
      </c>
      <c r="C4417">
        <v>146.0489335</v>
      </c>
      <c r="D4417">
        <v>-17.52147772</v>
      </c>
      <c r="F4417" t="str">
        <f>HYPERLINK("D:\Data From Lucan\2024\Johnstone\Frames_for_Analysis\4414_20240610_0005_L_3172.jpg","4414_20240610_0005_L_3172.jpg")</f>
        <v>4414_20240610_0005_L_3172.jpg</v>
      </c>
      <c r="G4417">
        <v>3</v>
      </c>
      <c r="I4417">
        <f t="shared" si="68"/>
        <v>1</v>
      </c>
      <c r="J4417" s="58">
        <v>1</v>
      </c>
      <c r="O4417">
        <v>1</v>
      </c>
      <c r="P4417" s="58">
        <v>0</v>
      </c>
      <c r="Q4417" s="58">
        <v>0</v>
      </c>
      <c r="R4417" s="58">
        <v>0</v>
      </c>
      <c r="S4417" s="58">
        <v>0</v>
      </c>
      <c r="T4417" s="58">
        <v>0</v>
      </c>
      <c r="U4417" s="58">
        <v>0</v>
      </c>
      <c r="V4417" s="58">
        <v>0</v>
      </c>
      <c r="W4417" s="4">
        <v>0</v>
      </c>
    </row>
    <row r="4418" spans="1:23" x14ac:dyDescent="0.35">
      <c r="A4418">
        <v>4414</v>
      </c>
      <c r="B4418">
        <v>4415</v>
      </c>
      <c r="C4418">
        <v>146.04902509999999</v>
      </c>
      <c r="D4418">
        <v>-17.521499909999999</v>
      </c>
      <c r="F4418" t="str">
        <f>HYPERLINK("D:\Data From Lucan\2024\Johnstone\Frames_for_Analysis\4415_20240610_0005_L_3175.jpg","4415_20240610_0005_L_3175.jpg")</f>
        <v>4415_20240610_0005_L_3175.jpg</v>
      </c>
      <c r="G4418">
        <v>3</v>
      </c>
      <c r="I4418">
        <f t="shared" si="68"/>
        <v>1</v>
      </c>
      <c r="J4418" s="58">
        <v>1</v>
      </c>
      <c r="O4418">
        <v>1</v>
      </c>
      <c r="P4418" s="58">
        <v>0</v>
      </c>
      <c r="Q4418" s="58">
        <v>0</v>
      </c>
      <c r="R4418" s="58">
        <v>0</v>
      </c>
      <c r="S4418" s="58">
        <v>0</v>
      </c>
      <c r="T4418" s="58">
        <v>0</v>
      </c>
      <c r="U4418" s="58">
        <v>0</v>
      </c>
      <c r="V4418" s="58">
        <v>0</v>
      </c>
      <c r="W4418" s="4">
        <v>0</v>
      </c>
    </row>
    <row r="4419" spans="1:23" x14ac:dyDescent="0.35">
      <c r="A4419">
        <v>4415</v>
      </c>
      <c r="B4419">
        <v>4416</v>
      </c>
      <c r="C4419">
        <v>146.04911680000001</v>
      </c>
      <c r="D4419">
        <v>-17.521522099999999</v>
      </c>
      <c r="F4419" t="str">
        <f>HYPERLINK("D:\Data From Lucan\2024\Johnstone\Frames_for_Analysis\4416_20240610_0005_L_3179.jpg","4416_20240610_0005_L_3179.jpg")</f>
        <v>4416_20240610_0005_L_3179.jpg</v>
      </c>
      <c r="G4419">
        <v>3</v>
      </c>
      <c r="I4419">
        <f t="shared" si="68"/>
        <v>1</v>
      </c>
      <c r="J4419" s="58">
        <v>1</v>
      </c>
      <c r="O4419">
        <v>1</v>
      </c>
      <c r="P4419" s="58">
        <v>0</v>
      </c>
      <c r="Q4419" s="58">
        <v>0</v>
      </c>
      <c r="R4419" s="58">
        <v>0</v>
      </c>
      <c r="S4419" s="58">
        <v>0</v>
      </c>
      <c r="T4419" s="58">
        <v>0</v>
      </c>
      <c r="U4419" s="58">
        <v>0</v>
      </c>
      <c r="V4419" s="58">
        <v>0</v>
      </c>
      <c r="W4419" s="4">
        <v>0</v>
      </c>
    </row>
    <row r="4420" spans="1:23" x14ac:dyDescent="0.35">
      <c r="A4420">
        <v>4416</v>
      </c>
      <c r="B4420">
        <v>4417</v>
      </c>
      <c r="C4420">
        <v>146.0492084</v>
      </c>
      <c r="D4420">
        <v>-17.521544290000001</v>
      </c>
      <c r="F4420" t="str">
        <f>HYPERLINK("D:\Data From Lucan\2024\Johnstone\Frames_for_Analysis\4417_20240610_0005_L_3193.jpg","4417_20240610_0005_L_3193.jpg")</f>
        <v>4417_20240610_0005_L_3193.jpg</v>
      </c>
      <c r="G4420">
        <v>3</v>
      </c>
      <c r="I4420">
        <f t="shared" si="68"/>
        <v>1</v>
      </c>
      <c r="J4420" s="58">
        <v>1</v>
      </c>
      <c r="O4420">
        <v>1</v>
      </c>
      <c r="P4420" s="58">
        <v>0</v>
      </c>
      <c r="Q4420" s="58">
        <v>0</v>
      </c>
      <c r="R4420" s="58">
        <v>0</v>
      </c>
      <c r="S4420" s="58">
        <v>0</v>
      </c>
      <c r="T4420" s="58">
        <v>0</v>
      </c>
      <c r="U4420" s="58">
        <v>0</v>
      </c>
      <c r="V4420" s="58">
        <v>0</v>
      </c>
      <c r="W4420" s="4">
        <v>0</v>
      </c>
    </row>
    <row r="4421" spans="1:23" x14ac:dyDescent="0.35">
      <c r="A4421">
        <v>4417</v>
      </c>
      <c r="B4421">
        <v>4418</v>
      </c>
      <c r="C4421">
        <v>146.04930010000001</v>
      </c>
      <c r="D4421">
        <v>-17.521566480000001</v>
      </c>
      <c r="F4421" t="str">
        <f>HYPERLINK("D:\Data From Lucan\2024\Johnstone\Frames_for_Analysis\4418_20240610_0005_L_3187.jpg","4418_20240610_0005_L_3187.jpg")</f>
        <v>4418_20240610_0005_L_3187.jpg</v>
      </c>
      <c r="G4421">
        <v>3</v>
      </c>
      <c r="I4421">
        <f t="shared" ref="I4421:I4484" si="69">IF(H4421="X","X",IF(J4421="NA","X",IF(J4421="","X",J4421)))</f>
        <v>1</v>
      </c>
      <c r="J4421" s="58">
        <v>1</v>
      </c>
      <c r="O4421">
        <v>1</v>
      </c>
      <c r="P4421" s="58">
        <v>0</v>
      </c>
      <c r="Q4421" s="58">
        <v>0</v>
      </c>
      <c r="R4421" s="58">
        <v>0</v>
      </c>
      <c r="S4421" s="58">
        <v>0</v>
      </c>
      <c r="T4421" s="58">
        <v>0</v>
      </c>
      <c r="U4421" s="58">
        <v>0</v>
      </c>
      <c r="V4421" s="58">
        <v>0</v>
      </c>
      <c r="W4421" s="4">
        <v>0</v>
      </c>
    </row>
    <row r="4422" spans="1:23" x14ac:dyDescent="0.35">
      <c r="A4422">
        <v>4418</v>
      </c>
      <c r="B4422">
        <v>4419</v>
      </c>
      <c r="C4422">
        <v>146.0493917</v>
      </c>
      <c r="D4422">
        <v>-17.521588680000001</v>
      </c>
      <c r="F4422" t="str">
        <f>HYPERLINK("D:\Data From Lucan\2024\Johnstone\Frames_for_Analysis\4419_20240610_0005_L_3191.jpg","4419_20240610_0005_L_3191.jpg")</f>
        <v>4419_20240610_0005_L_3191.jpg</v>
      </c>
      <c r="G4422">
        <v>3</v>
      </c>
      <c r="I4422">
        <f t="shared" si="69"/>
        <v>1</v>
      </c>
      <c r="J4422" s="58">
        <v>1</v>
      </c>
      <c r="O4422">
        <v>1</v>
      </c>
      <c r="P4422" s="58">
        <v>0</v>
      </c>
      <c r="Q4422" s="58">
        <v>0</v>
      </c>
      <c r="R4422" s="58">
        <v>0</v>
      </c>
      <c r="S4422" s="58">
        <v>0</v>
      </c>
      <c r="T4422" s="58">
        <v>0</v>
      </c>
      <c r="U4422" s="58">
        <v>0</v>
      </c>
      <c r="V4422" s="58">
        <v>0</v>
      </c>
      <c r="W4422" s="4">
        <v>0</v>
      </c>
    </row>
    <row r="4423" spans="1:23" x14ac:dyDescent="0.35">
      <c r="A4423">
        <v>4419</v>
      </c>
      <c r="B4423">
        <v>4420</v>
      </c>
      <c r="C4423">
        <v>146.04948340000001</v>
      </c>
      <c r="D4423">
        <v>-17.52161087</v>
      </c>
      <c r="F4423" t="str">
        <f>HYPERLINK("D:\Data From Lucan\2024\Johnstone\Frames_for_Analysis\4420_20240610_0005_L_3204.jpg","4420_20240610_0005_L_3204.jpg")</f>
        <v>4420_20240610_0005_L_3204.jpg</v>
      </c>
      <c r="G4423">
        <v>3</v>
      </c>
      <c r="I4423">
        <f t="shared" si="69"/>
        <v>1</v>
      </c>
      <c r="J4423" s="58">
        <v>1</v>
      </c>
      <c r="O4423">
        <v>1</v>
      </c>
      <c r="P4423" s="58">
        <v>0</v>
      </c>
      <c r="Q4423" s="58">
        <v>0</v>
      </c>
      <c r="R4423" s="58">
        <v>0</v>
      </c>
      <c r="S4423" s="58">
        <v>0</v>
      </c>
      <c r="T4423" s="58">
        <v>0</v>
      </c>
      <c r="U4423" s="58">
        <v>0</v>
      </c>
      <c r="V4423" s="58">
        <v>0</v>
      </c>
      <c r="W4423" s="4">
        <v>0</v>
      </c>
    </row>
    <row r="4424" spans="1:23" x14ac:dyDescent="0.35">
      <c r="A4424">
        <v>4420</v>
      </c>
      <c r="B4424">
        <v>4421</v>
      </c>
      <c r="C4424">
        <v>146.04957730000001</v>
      </c>
      <c r="D4424">
        <v>-17.521618029999999</v>
      </c>
      <c r="F4424" t="str">
        <f>HYPERLINK("D:\Data From Lucan\2024\Johnstone\Frames_for_Analysis\4421_20240610_0005_L_3209.jpg","4421_20240610_0005_L_3209.jpg")</f>
        <v>4421_20240610_0005_L_3209.jpg</v>
      </c>
      <c r="G4424">
        <v>3</v>
      </c>
      <c r="I4424">
        <f t="shared" si="69"/>
        <v>1</v>
      </c>
      <c r="J4424" s="58">
        <v>1</v>
      </c>
      <c r="O4424">
        <v>1</v>
      </c>
      <c r="P4424" s="58">
        <v>0</v>
      </c>
      <c r="Q4424" s="58">
        <v>0</v>
      </c>
      <c r="R4424" s="58">
        <v>0</v>
      </c>
      <c r="S4424" s="58">
        <v>0</v>
      </c>
      <c r="T4424" s="58">
        <v>0</v>
      </c>
      <c r="U4424" s="58">
        <v>0</v>
      </c>
      <c r="V4424" s="58">
        <v>0</v>
      </c>
      <c r="W4424" s="4">
        <v>0</v>
      </c>
    </row>
    <row r="4425" spans="1:23" x14ac:dyDescent="0.35">
      <c r="A4425">
        <v>4421</v>
      </c>
      <c r="B4425">
        <v>4422</v>
      </c>
      <c r="C4425">
        <v>146.04967139999999</v>
      </c>
      <c r="D4425">
        <v>-17.52162379</v>
      </c>
      <c r="F4425" t="str">
        <f>HYPERLINK("D:\Data From Lucan\2024\Johnstone\Frames_for_Analysis\4422_20240610_0005_L_3212.jpg","4422_20240610_0005_L_3212.jpg")</f>
        <v>4422_20240610_0005_L_3212.jpg</v>
      </c>
      <c r="G4425">
        <v>3</v>
      </c>
      <c r="I4425">
        <f t="shared" si="69"/>
        <v>1</v>
      </c>
      <c r="J4425" s="58">
        <v>1</v>
      </c>
      <c r="O4425">
        <v>1</v>
      </c>
      <c r="P4425" s="58">
        <v>0</v>
      </c>
      <c r="Q4425" s="58">
        <v>0</v>
      </c>
      <c r="R4425" s="58">
        <v>0</v>
      </c>
      <c r="S4425" s="58">
        <v>0</v>
      </c>
      <c r="T4425" s="58">
        <v>0</v>
      </c>
      <c r="U4425" s="58">
        <v>0</v>
      </c>
      <c r="V4425" s="58">
        <v>0</v>
      </c>
      <c r="W4425" s="4">
        <v>0</v>
      </c>
    </row>
    <row r="4426" spans="1:23" x14ac:dyDescent="0.35">
      <c r="A4426">
        <v>4422</v>
      </c>
      <c r="B4426">
        <v>4423</v>
      </c>
      <c r="C4426">
        <v>146.0497656</v>
      </c>
      <c r="D4426">
        <v>-17.52162955</v>
      </c>
      <c r="F4426" t="str">
        <f>HYPERLINK("D:\Data From Lucan\2024\Johnstone\Frames_for_Analysis\4423_20240610_0005_L_3218.jpg","4423_20240610_0005_L_3218.jpg")</f>
        <v>4423_20240610_0005_L_3218.jpg</v>
      </c>
      <c r="G4426">
        <v>3</v>
      </c>
      <c r="I4426">
        <f t="shared" si="69"/>
        <v>1</v>
      </c>
      <c r="J4426" s="58">
        <v>1</v>
      </c>
      <c r="O4426">
        <v>1</v>
      </c>
      <c r="P4426" s="58">
        <v>0</v>
      </c>
      <c r="Q4426" s="58">
        <v>0</v>
      </c>
      <c r="R4426" s="58">
        <v>0</v>
      </c>
      <c r="S4426" s="58">
        <v>0</v>
      </c>
      <c r="T4426" s="58">
        <v>0</v>
      </c>
      <c r="U4426" s="58">
        <v>0</v>
      </c>
      <c r="V4426" s="58">
        <v>0</v>
      </c>
      <c r="W4426" s="4">
        <v>0</v>
      </c>
    </row>
    <row r="4427" spans="1:23" x14ac:dyDescent="0.35">
      <c r="A4427">
        <v>4423</v>
      </c>
      <c r="B4427">
        <v>4424</v>
      </c>
      <c r="C4427">
        <v>146.04985970000001</v>
      </c>
      <c r="D4427">
        <v>-17.521635320000001</v>
      </c>
      <c r="F4427" t="str">
        <f>HYPERLINK("D:\Data From Lucan\2024\Johnstone\Frames_for_Analysis\4424_20240610_0005_L_3222.jpg","4424_20240610_0005_L_3222.jpg")</f>
        <v>4424_20240610_0005_L_3222.jpg</v>
      </c>
      <c r="G4427">
        <v>3</v>
      </c>
      <c r="I4427">
        <f t="shared" si="69"/>
        <v>1</v>
      </c>
      <c r="J4427" s="58">
        <v>1</v>
      </c>
      <c r="O4427">
        <v>1</v>
      </c>
      <c r="P4427" s="58">
        <v>0</v>
      </c>
      <c r="Q4427" s="58">
        <v>0</v>
      </c>
      <c r="R4427" s="58">
        <v>0</v>
      </c>
      <c r="S4427" s="58">
        <v>0</v>
      </c>
      <c r="T4427" s="58">
        <v>0</v>
      </c>
      <c r="U4427" s="58">
        <v>0</v>
      </c>
      <c r="V4427" s="58">
        <v>0</v>
      </c>
      <c r="W4427" s="4">
        <v>0</v>
      </c>
    </row>
    <row r="4428" spans="1:23" x14ac:dyDescent="0.35">
      <c r="A4428">
        <v>4424</v>
      </c>
      <c r="B4428">
        <v>4425</v>
      </c>
      <c r="C4428">
        <v>146.0499538</v>
      </c>
      <c r="D4428">
        <v>-17.521641079999998</v>
      </c>
      <c r="F4428" t="str">
        <f>HYPERLINK("D:\Data From Lucan\2024\Johnstone\Frames_for_Analysis\4425_20240610_0005_L_3225.jpg","4425_20240610_0005_L_3225.jpg")</f>
        <v>4425_20240610_0005_L_3225.jpg</v>
      </c>
      <c r="G4428">
        <v>3</v>
      </c>
      <c r="I4428">
        <f t="shared" si="69"/>
        <v>1</v>
      </c>
      <c r="J4428" s="58">
        <v>1</v>
      </c>
      <c r="O4428">
        <v>1</v>
      </c>
      <c r="P4428" s="58">
        <v>0</v>
      </c>
      <c r="Q4428" s="58">
        <v>0</v>
      </c>
      <c r="R4428" s="58">
        <v>0</v>
      </c>
      <c r="S4428" s="58">
        <v>0</v>
      </c>
      <c r="T4428" s="58">
        <v>0</v>
      </c>
      <c r="U4428" s="58">
        <v>0</v>
      </c>
      <c r="V4428" s="58">
        <v>0</v>
      </c>
      <c r="W4428" s="4">
        <v>0</v>
      </c>
    </row>
    <row r="4429" spans="1:23" x14ac:dyDescent="0.35">
      <c r="A4429">
        <v>4425</v>
      </c>
      <c r="B4429">
        <v>4426</v>
      </c>
      <c r="C4429">
        <v>146.05004790000001</v>
      </c>
      <c r="D4429">
        <v>-17.521646839999999</v>
      </c>
      <c r="F4429" t="str">
        <f>HYPERLINK("D:\Data From Lucan\2024\Johnstone\Frames_for_Analysis\4426_20240610_0005_L_3231.jpg","4426_20240610_0005_L_3231.jpg")</f>
        <v>4426_20240610_0005_L_3231.jpg</v>
      </c>
      <c r="G4429">
        <v>3</v>
      </c>
      <c r="I4429">
        <f t="shared" si="69"/>
        <v>1</v>
      </c>
      <c r="J4429" s="58">
        <v>1</v>
      </c>
      <c r="O4429">
        <v>1</v>
      </c>
      <c r="P4429" s="58">
        <v>0</v>
      </c>
      <c r="Q4429" s="58">
        <v>0</v>
      </c>
      <c r="R4429" s="58">
        <v>0</v>
      </c>
      <c r="S4429" s="58">
        <v>0</v>
      </c>
      <c r="T4429" s="58">
        <v>0</v>
      </c>
      <c r="U4429" s="58">
        <v>0</v>
      </c>
      <c r="V4429" s="58">
        <v>0</v>
      </c>
      <c r="W4429" s="4">
        <v>0</v>
      </c>
    </row>
    <row r="4430" spans="1:23" x14ac:dyDescent="0.35">
      <c r="A4430">
        <v>4426</v>
      </c>
      <c r="B4430">
        <v>4427</v>
      </c>
      <c r="C4430">
        <v>146.0501415</v>
      </c>
      <c r="D4430">
        <v>-17.521635069999999</v>
      </c>
      <c r="F4430" t="str">
        <f>HYPERLINK("D:\Data From Lucan\2024\Johnstone\Frames_for_Analysis\4427_20240610_0005_L_3235.jpg","4427_20240610_0005_L_3235.jpg")</f>
        <v>4427_20240610_0005_L_3235.jpg</v>
      </c>
      <c r="G4430">
        <v>3</v>
      </c>
      <c r="I4430">
        <f t="shared" si="69"/>
        <v>1</v>
      </c>
      <c r="J4430" s="58">
        <v>1</v>
      </c>
      <c r="O4430">
        <v>1</v>
      </c>
      <c r="P4430" s="58">
        <v>0</v>
      </c>
      <c r="Q4430" s="58">
        <v>0</v>
      </c>
      <c r="R4430" s="58">
        <v>0</v>
      </c>
      <c r="S4430" s="58">
        <v>0</v>
      </c>
      <c r="T4430" s="58">
        <v>0</v>
      </c>
      <c r="U4430" s="58">
        <v>0</v>
      </c>
      <c r="V4430" s="58">
        <v>0</v>
      </c>
      <c r="W4430" s="4">
        <v>0</v>
      </c>
    </row>
    <row r="4431" spans="1:23" x14ac:dyDescent="0.35">
      <c r="A4431">
        <v>4427</v>
      </c>
      <c r="B4431">
        <v>4428</v>
      </c>
      <c r="C4431">
        <v>146.05023499999999</v>
      </c>
      <c r="D4431">
        <v>-17.521623040000001</v>
      </c>
      <c r="F4431" t="str">
        <f>HYPERLINK("D:\Data From Lucan\2024\Johnstone\Frames_for_Analysis\4428_20240610_0005_L_3239.jpg","4428_20240610_0005_L_3239.jpg")</f>
        <v>4428_20240610_0005_L_3239.jpg</v>
      </c>
      <c r="G4431">
        <v>3</v>
      </c>
      <c r="I4431">
        <f t="shared" si="69"/>
        <v>1</v>
      </c>
      <c r="J4431" s="58">
        <v>1</v>
      </c>
      <c r="O4431">
        <v>1</v>
      </c>
      <c r="P4431" s="58">
        <v>0</v>
      </c>
      <c r="Q4431" s="58">
        <v>0</v>
      </c>
      <c r="R4431" s="58">
        <v>0</v>
      </c>
      <c r="S4431" s="58">
        <v>0</v>
      </c>
      <c r="T4431" s="58">
        <v>0</v>
      </c>
      <c r="U4431" s="58">
        <v>0</v>
      </c>
      <c r="V4431" s="58">
        <v>0</v>
      </c>
      <c r="W4431" s="4">
        <v>0</v>
      </c>
    </row>
    <row r="4432" spans="1:23" x14ac:dyDescent="0.35">
      <c r="A4432">
        <v>4428</v>
      </c>
      <c r="B4432">
        <v>4429</v>
      </c>
      <c r="C4432">
        <v>146.0503286</v>
      </c>
      <c r="D4432">
        <v>-17.521611010000001</v>
      </c>
      <c r="F4432" t="str">
        <f>HYPERLINK("D:\Data From Lucan\2024\Johnstone\Frames_for_Analysis\4429_20240610_0005_L_3242.jpg","4429_20240610_0005_L_3242.jpg")</f>
        <v>4429_20240610_0005_L_3242.jpg</v>
      </c>
      <c r="G4432">
        <v>3</v>
      </c>
      <c r="I4432">
        <f t="shared" si="69"/>
        <v>1</v>
      </c>
      <c r="J4432" s="58">
        <v>1</v>
      </c>
      <c r="O4432">
        <v>1</v>
      </c>
      <c r="P4432" s="58">
        <v>0</v>
      </c>
      <c r="Q4432" s="58">
        <v>0</v>
      </c>
      <c r="R4432" s="58">
        <v>0</v>
      </c>
      <c r="S4432" s="58">
        <v>0</v>
      </c>
      <c r="T4432" s="58">
        <v>0</v>
      </c>
      <c r="U4432" s="58">
        <v>0</v>
      </c>
      <c r="V4432" s="58">
        <v>0</v>
      </c>
      <c r="W4432" s="4">
        <v>0</v>
      </c>
    </row>
    <row r="4433" spans="1:23" x14ac:dyDescent="0.35">
      <c r="A4433">
        <v>4429</v>
      </c>
      <c r="B4433">
        <v>4430</v>
      </c>
      <c r="C4433">
        <v>146.05042209999999</v>
      </c>
      <c r="D4433">
        <v>-17.52159898</v>
      </c>
      <c r="F4433" t="str">
        <f>HYPERLINK("D:\Data From Lucan\2024\Johnstone\Frames_for_Analysis\4430_20240610_0005_L_3246.jpg","4430_20240610_0005_L_3246.jpg")</f>
        <v>4430_20240610_0005_L_3246.jpg</v>
      </c>
      <c r="G4433">
        <v>2</v>
      </c>
      <c r="I4433">
        <f t="shared" si="69"/>
        <v>1</v>
      </c>
      <c r="J4433" s="58">
        <v>1</v>
      </c>
      <c r="O4433">
        <v>1</v>
      </c>
      <c r="P4433" s="58">
        <v>0</v>
      </c>
      <c r="Q4433" s="58">
        <v>0</v>
      </c>
      <c r="R4433" s="58">
        <v>0</v>
      </c>
      <c r="S4433" s="58">
        <v>0</v>
      </c>
      <c r="T4433" s="58">
        <v>0</v>
      </c>
      <c r="U4433" s="58">
        <v>0</v>
      </c>
      <c r="V4433" s="58">
        <v>0</v>
      </c>
      <c r="W4433" s="4">
        <v>0</v>
      </c>
    </row>
    <row r="4434" spans="1:23" x14ac:dyDescent="0.35">
      <c r="A4434">
        <v>4430</v>
      </c>
      <c r="B4434">
        <v>4431</v>
      </c>
      <c r="C4434">
        <v>146.0505138</v>
      </c>
      <c r="D4434">
        <v>-17.521579819999999</v>
      </c>
      <c r="F4434" t="str">
        <f>HYPERLINK("D:\Data From Lucan\2024\Johnstone\Frames_for_Analysis\4431_20240610_0005_L_3248.jpg","4431_20240610_0005_L_3248.jpg")</f>
        <v>4431_20240610_0005_L_3248.jpg</v>
      </c>
      <c r="G4434">
        <v>2</v>
      </c>
      <c r="I4434">
        <f t="shared" si="69"/>
        <v>1</v>
      </c>
      <c r="J4434" s="58">
        <v>1</v>
      </c>
      <c r="O4434">
        <v>1</v>
      </c>
      <c r="P4434" s="58">
        <v>0</v>
      </c>
      <c r="Q4434" s="58">
        <v>0</v>
      </c>
      <c r="R4434" s="58">
        <v>0</v>
      </c>
      <c r="S4434" s="58">
        <v>0</v>
      </c>
      <c r="T4434" s="58">
        <v>0</v>
      </c>
      <c r="U4434" s="58">
        <v>0</v>
      </c>
      <c r="V4434" s="58">
        <v>0</v>
      </c>
      <c r="W4434" s="4">
        <v>0</v>
      </c>
    </row>
    <row r="4435" spans="1:23" x14ac:dyDescent="0.35">
      <c r="A4435">
        <v>4431</v>
      </c>
      <c r="B4435">
        <v>4432</v>
      </c>
      <c r="C4435">
        <v>146.05060180000001</v>
      </c>
      <c r="D4435">
        <v>-17.521545840000002</v>
      </c>
      <c r="F4435" t="str">
        <f>HYPERLINK("D:\Data From Lucan\2024\Johnstone\Frames_for_Analysis\4432_20240610_0005_L_3251.jpg","4432_20240610_0005_L_3251.jpg")</f>
        <v>4432_20240610_0005_L_3251.jpg</v>
      </c>
      <c r="G4435">
        <v>2</v>
      </c>
      <c r="I4435">
        <f t="shared" si="69"/>
        <v>1</v>
      </c>
      <c r="J4435" s="58">
        <v>1</v>
      </c>
      <c r="O4435">
        <v>1</v>
      </c>
      <c r="P4435" s="58">
        <v>0</v>
      </c>
      <c r="Q4435" s="58">
        <v>0</v>
      </c>
      <c r="R4435" s="58">
        <v>0</v>
      </c>
      <c r="S4435" s="58">
        <v>0</v>
      </c>
      <c r="T4435" s="58">
        <v>0</v>
      </c>
      <c r="U4435" s="58">
        <v>0</v>
      </c>
      <c r="V4435" s="58">
        <v>0</v>
      </c>
      <c r="W4435" s="4">
        <v>0</v>
      </c>
    </row>
    <row r="4436" spans="1:23" x14ac:dyDescent="0.35">
      <c r="A4436">
        <v>4432</v>
      </c>
      <c r="B4436">
        <v>4433</v>
      </c>
      <c r="C4436">
        <v>146.05068979999999</v>
      </c>
      <c r="D4436">
        <v>-17.52151186</v>
      </c>
      <c r="F4436" t="str">
        <f>HYPERLINK("D:\Data From Lucan\2024\Johnstone\Frames_for_Analysis\4433_20240610_0005_L_3253.jpg","4433_20240610_0005_L_3253.jpg")</f>
        <v>4433_20240610_0005_L_3253.jpg</v>
      </c>
      <c r="G4436">
        <v>2</v>
      </c>
      <c r="I4436">
        <f t="shared" si="69"/>
        <v>1</v>
      </c>
      <c r="J4436" s="58">
        <v>1</v>
      </c>
      <c r="O4436">
        <v>1</v>
      </c>
      <c r="P4436" s="58">
        <v>0</v>
      </c>
      <c r="Q4436" s="58">
        <v>0</v>
      </c>
      <c r="R4436" s="58">
        <v>0</v>
      </c>
      <c r="S4436" s="58">
        <v>0</v>
      </c>
      <c r="T4436" s="58">
        <v>0</v>
      </c>
      <c r="U4436" s="58">
        <v>0</v>
      </c>
      <c r="V4436" s="58">
        <v>0</v>
      </c>
      <c r="W4436" s="4">
        <v>0</v>
      </c>
    </row>
    <row r="4437" spans="1:23" x14ac:dyDescent="0.35">
      <c r="A4437">
        <v>4433</v>
      </c>
      <c r="B4437">
        <v>4434</v>
      </c>
      <c r="C4437">
        <v>146.0507777</v>
      </c>
      <c r="D4437">
        <v>-17.521477879999999</v>
      </c>
      <c r="F4437" t="str">
        <f>HYPERLINK("D:\Data From Lucan\2024\Johnstone\Frames_for_Analysis\4434_20240610_0005_L_3256.jpg","4434_20240610_0005_L_3256.jpg")</f>
        <v>4434_20240610_0005_L_3256.jpg</v>
      </c>
      <c r="G4437">
        <v>2</v>
      </c>
      <c r="I4437">
        <f t="shared" si="69"/>
        <v>1</v>
      </c>
      <c r="J4437" s="58">
        <v>1</v>
      </c>
      <c r="O4437">
        <v>1</v>
      </c>
      <c r="P4437" s="58">
        <v>0</v>
      </c>
      <c r="Q4437" s="58">
        <v>0</v>
      </c>
      <c r="R4437" s="58">
        <v>0</v>
      </c>
      <c r="S4437" s="58">
        <v>0</v>
      </c>
      <c r="T4437" s="58">
        <v>0</v>
      </c>
      <c r="U4437" s="58">
        <v>0</v>
      </c>
      <c r="V4437" s="58">
        <v>0</v>
      </c>
      <c r="W4437" s="4">
        <v>0</v>
      </c>
    </row>
    <row r="4438" spans="1:23" x14ac:dyDescent="0.35">
      <c r="A4438">
        <v>4434</v>
      </c>
      <c r="B4438">
        <v>4435</v>
      </c>
      <c r="C4438">
        <v>146.0508657</v>
      </c>
      <c r="D4438">
        <v>-17.521443900000001</v>
      </c>
      <c r="F4438" t="str">
        <f>HYPERLINK("D:\Data From Lucan\2024\Johnstone\Frames_for_Analysis\4435_20240610_0005_L_3258.jpg","4435_20240610_0005_L_3258.jpg")</f>
        <v>4435_20240610_0005_L_3258.jpg</v>
      </c>
      <c r="G4438">
        <v>2</v>
      </c>
      <c r="I4438">
        <f t="shared" si="69"/>
        <v>1</v>
      </c>
      <c r="J4438" s="58">
        <v>1</v>
      </c>
      <c r="O4438">
        <v>1</v>
      </c>
      <c r="P4438" s="58">
        <v>0</v>
      </c>
      <c r="Q4438" s="58">
        <v>0</v>
      </c>
      <c r="R4438" s="58">
        <v>0</v>
      </c>
      <c r="S4438" s="58">
        <v>0</v>
      </c>
      <c r="T4438" s="58">
        <v>0</v>
      </c>
      <c r="U4438" s="58">
        <v>0</v>
      </c>
      <c r="V4438" s="58">
        <v>0</v>
      </c>
      <c r="W4438" s="4">
        <v>0</v>
      </c>
    </row>
    <row r="4439" spans="1:23" x14ac:dyDescent="0.35">
      <c r="A4439">
        <v>4435</v>
      </c>
      <c r="B4439">
        <v>4436</v>
      </c>
      <c r="C4439">
        <v>146.05095600000001</v>
      </c>
      <c r="D4439">
        <v>-17.521416760000001</v>
      </c>
      <c r="F4439" t="str">
        <f>HYPERLINK("D:\Data From Lucan\2024\Johnstone\Frames_for_Analysis\4436_20240610_0005_L_3260.jpg","4436_20240610_0005_L_3260.jpg")</f>
        <v>4436_20240610_0005_L_3260.jpg</v>
      </c>
      <c r="G4439">
        <v>2</v>
      </c>
      <c r="I4439">
        <f t="shared" si="69"/>
        <v>1</v>
      </c>
      <c r="J4439" s="58">
        <v>1</v>
      </c>
      <c r="O4439">
        <v>1</v>
      </c>
      <c r="P4439" s="58">
        <v>0</v>
      </c>
      <c r="Q4439" s="58">
        <v>0</v>
      </c>
      <c r="R4439" s="58">
        <v>0</v>
      </c>
      <c r="S4439" s="58">
        <v>0</v>
      </c>
      <c r="T4439" s="58">
        <v>0</v>
      </c>
      <c r="U4439" s="58">
        <v>0</v>
      </c>
      <c r="V4439" s="58">
        <v>0</v>
      </c>
      <c r="W4439" s="4">
        <v>0</v>
      </c>
    </row>
    <row r="4440" spans="1:23" x14ac:dyDescent="0.35">
      <c r="A4440">
        <v>4436</v>
      </c>
      <c r="B4440">
        <v>4437</v>
      </c>
      <c r="C4440">
        <v>146.0510463</v>
      </c>
      <c r="D4440">
        <v>-17.521389670000001</v>
      </c>
      <c r="F4440" t="str">
        <f>HYPERLINK("D:\Data From Lucan\2024\Johnstone\Frames_for_Analysis\4437_20240610_0005_L_3263.jpg","4437_20240610_0005_L_3263.jpg")</f>
        <v>4437_20240610_0005_L_3263.jpg</v>
      </c>
      <c r="G4440">
        <v>2</v>
      </c>
      <c r="I4440">
        <f t="shared" si="69"/>
        <v>1</v>
      </c>
      <c r="J4440" s="58">
        <v>1</v>
      </c>
      <c r="O4440">
        <v>1</v>
      </c>
      <c r="P4440" s="58">
        <v>0</v>
      </c>
      <c r="Q4440" s="58">
        <v>0</v>
      </c>
      <c r="R4440" s="58">
        <v>0</v>
      </c>
      <c r="S4440" s="58">
        <v>0</v>
      </c>
      <c r="T4440" s="58">
        <v>0</v>
      </c>
      <c r="U4440" s="58">
        <v>0</v>
      </c>
      <c r="V4440" s="58">
        <v>0</v>
      </c>
      <c r="W4440" s="4">
        <v>0</v>
      </c>
    </row>
    <row r="4441" spans="1:23" x14ac:dyDescent="0.35">
      <c r="A4441">
        <v>4437</v>
      </c>
      <c r="B4441">
        <v>4438</v>
      </c>
      <c r="C4441">
        <v>146.0511367</v>
      </c>
      <c r="D4441">
        <v>-17.521362580000002</v>
      </c>
      <c r="F4441" t="str">
        <f>HYPERLINK("D:\Data From Lucan\2024\Johnstone\Frames_for_Analysis\4438_20240610_0005_L_3266.jpg","4438_20240610_0005_L_3266.jpg")</f>
        <v>4438_20240610_0005_L_3266.jpg</v>
      </c>
      <c r="G4441">
        <v>2</v>
      </c>
      <c r="I4441">
        <f t="shared" si="69"/>
        <v>1</v>
      </c>
      <c r="J4441" s="58">
        <v>1</v>
      </c>
      <c r="O4441">
        <v>1</v>
      </c>
      <c r="P4441" s="58">
        <v>0</v>
      </c>
      <c r="Q4441" s="58">
        <v>0</v>
      </c>
      <c r="R4441" s="58">
        <v>0</v>
      </c>
      <c r="S4441" s="58">
        <v>0</v>
      </c>
      <c r="T4441" s="58">
        <v>0</v>
      </c>
      <c r="U4441" s="58">
        <v>0</v>
      </c>
      <c r="V4441" s="58">
        <v>0</v>
      </c>
      <c r="W4441" s="4">
        <v>0</v>
      </c>
    </row>
    <row r="4442" spans="1:23" x14ac:dyDescent="0.35">
      <c r="A4442">
        <v>4438</v>
      </c>
      <c r="B4442">
        <v>4439</v>
      </c>
      <c r="C4442">
        <v>146.0512277</v>
      </c>
      <c r="D4442">
        <v>-17.521338100000001</v>
      </c>
      <c r="F4442" t="str">
        <f>HYPERLINK("D:\Data From Lucan\2024\Johnstone\Frames_for_Analysis\4439_20240610_0005_L_3268.jpg","4439_20240610_0005_L_3268.jpg")</f>
        <v>4439_20240610_0005_L_3268.jpg</v>
      </c>
      <c r="G4442">
        <v>2</v>
      </c>
      <c r="I4442">
        <f t="shared" si="69"/>
        <v>1</v>
      </c>
      <c r="J4442" s="58">
        <v>1</v>
      </c>
      <c r="O4442">
        <v>1</v>
      </c>
      <c r="P4442" s="58">
        <v>0</v>
      </c>
      <c r="Q4442" s="58">
        <v>0</v>
      </c>
      <c r="R4442" s="58">
        <v>0</v>
      </c>
      <c r="S4442" s="58">
        <v>0</v>
      </c>
      <c r="T4442" s="58">
        <v>0</v>
      </c>
      <c r="U4442" s="58">
        <v>0</v>
      </c>
      <c r="V4442" s="58">
        <v>0</v>
      </c>
      <c r="W4442" s="4">
        <v>0</v>
      </c>
    </row>
    <row r="4443" spans="1:23" x14ac:dyDescent="0.35">
      <c r="A4443">
        <v>4439</v>
      </c>
      <c r="B4443">
        <v>4440</v>
      </c>
      <c r="C4443">
        <v>146.05131950000001</v>
      </c>
      <c r="D4443">
        <v>-17.521316420000002</v>
      </c>
      <c r="F4443" t="str">
        <f>HYPERLINK("D:\Data From Lucan\2024\Johnstone\Frames_for_Analysis\4440_20240610_0005_L_3271.jpg","4440_20240610_0005_L_3271.jpg")</f>
        <v>4440_20240610_0005_L_3271.jpg</v>
      </c>
      <c r="G4443">
        <v>2</v>
      </c>
      <c r="I4443">
        <f t="shared" si="69"/>
        <v>1</v>
      </c>
      <c r="J4443" s="58">
        <v>1</v>
      </c>
      <c r="O4443">
        <v>1</v>
      </c>
      <c r="P4443" s="58">
        <v>0</v>
      </c>
      <c r="Q4443" s="58">
        <v>0</v>
      </c>
      <c r="R4443" s="58">
        <v>0</v>
      </c>
      <c r="S4443" s="58">
        <v>0</v>
      </c>
      <c r="T4443" s="58">
        <v>0</v>
      </c>
      <c r="U4443" s="58">
        <v>0</v>
      </c>
      <c r="V4443" s="58">
        <v>0</v>
      </c>
      <c r="W4443" s="4">
        <v>0</v>
      </c>
    </row>
    <row r="4444" spans="1:23" x14ac:dyDescent="0.35">
      <c r="A4444">
        <v>4440</v>
      </c>
      <c r="B4444">
        <v>4441</v>
      </c>
      <c r="C4444">
        <v>146.05141119999999</v>
      </c>
      <c r="D4444">
        <v>-17.521294730000001</v>
      </c>
      <c r="F4444" t="str">
        <f>HYPERLINK("D:\Data From Lucan\2024\Johnstone\Frames_for_Analysis\4441_20240610_0005_L_3273.jpg","4441_20240610_0005_L_3273.jpg")</f>
        <v>4441_20240610_0005_L_3273.jpg</v>
      </c>
      <c r="G4444">
        <v>2</v>
      </c>
      <c r="I4444">
        <f t="shared" si="69"/>
        <v>1</v>
      </c>
      <c r="J4444" s="58">
        <v>1</v>
      </c>
      <c r="O4444">
        <v>1</v>
      </c>
      <c r="P4444" s="58">
        <v>0</v>
      </c>
      <c r="Q4444" s="58">
        <v>0</v>
      </c>
      <c r="R4444" s="58">
        <v>0</v>
      </c>
      <c r="S4444" s="58">
        <v>0</v>
      </c>
      <c r="T4444" s="58">
        <v>0</v>
      </c>
      <c r="U4444" s="58">
        <v>0</v>
      </c>
      <c r="V4444" s="58">
        <v>0</v>
      </c>
      <c r="W4444" s="4">
        <v>0</v>
      </c>
    </row>
    <row r="4445" spans="1:23" x14ac:dyDescent="0.35">
      <c r="A4445">
        <v>4441</v>
      </c>
      <c r="B4445">
        <v>4442</v>
      </c>
      <c r="C4445">
        <v>146.051503</v>
      </c>
      <c r="D4445">
        <v>-17.521273040000001</v>
      </c>
      <c r="F4445" t="str">
        <f>HYPERLINK("D:\Data From Lucan\2024\Johnstone\Frames_for_Analysis\4442_20240610_0005_L_3275.jpg","4442_20240610_0005_L_3275.jpg")</f>
        <v>4442_20240610_0005_L_3275.jpg</v>
      </c>
      <c r="G4445">
        <v>2</v>
      </c>
      <c r="I4445">
        <f t="shared" si="69"/>
        <v>1</v>
      </c>
      <c r="J4445" s="58">
        <v>1</v>
      </c>
      <c r="O4445">
        <v>1</v>
      </c>
      <c r="P4445" s="58">
        <v>0</v>
      </c>
      <c r="Q4445" s="58">
        <v>0</v>
      </c>
      <c r="R4445" s="58">
        <v>0</v>
      </c>
      <c r="S4445" s="58">
        <v>0</v>
      </c>
      <c r="T4445" s="58">
        <v>0</v>
      </c>
      <c r="U4445" s="58">
        <v>0</v>
      </c>
      <c r="V4445" s="58">
        <v>0</v>
      </c>
      <c r="W4445" s="4">
        <v>0</v>
      </c>
    </row>
    <row r="4446" spans="1:23" x14ac:dyDescent="0.35">
      <c r="A4446">
        <v>4442</v>
      </c>
      <c r="B4446">
        <v>4443</v>
      </c>
      <c r="C4446">
        <v>146.0515948</v>
      </c>
      <c r="D4446">
        <v>-17.521251360000001</v>
      </c>
      <c r="F4446" t="str">
        <f>HYPERLINK("D:\Data From Lucan\2024\Johnstone\Frames_for_Analysis\4443_20240610_0005_L_3276.jpg","4443_20240610_0005_L_3276.jpg")</f>
        <v>4443_20240610_0005_L_3276.jpg</v>
      </c>
      <c r="G4446">
        <v>2</v>
      </c>
      <c r="I4446">
        <f t="shared" si="69"/>
        <v>1</v>
      </c>
      <c r="J4446" s="58">
        <v>1</v>
      </c>
      <c r="O4446">
        <v>1</v>
      </c>
      <c r="P4446" s="58">
        <v>0</v>
      </c>
      <c r="Q4446" s="58">
        <v>0</v>
      </c>
      <c r="R4446" s="58">
        <v>0</v>
      </c>
      <c r="S4446" s="58">
        <v>0</v>
      </c>
      <c r="T4446" s="58">
        <v>0</v>
      </c>
      <c r="U4446" s="58">
        <v>0</v>
      </c>
      <c r="V4446" s="58">
        <v>0</v>
      </c>
      <c r="W4446" s="4">
        <v>0</v>
      </c>
    </row>
    <row r="4447" spans="1:23" x14ac:dyDescent="0.35">
      <c r="A4447">
        <v>4443</v>
      </c>
      <c r="B4447">
        <v>4444</v>
      </c>
      <c r="C4447">
        <v>146.05168660000001</v>
      </c>
      <c r="D4447">
        <v>-17.52122967</v>
      </c>
      <c r="F4447" t="str">
        <f>HYPERLINK("D:\Data From Lucan\2024\Johnstone\Frames_for_Analysis\4444_20240610_0005_L_3278.jpg","4444_20240610_0005_L_3278.jpg")</f>
        <v>4444_20240610_0005_L_3278.jpg</v>
      </c>
      <c r="G4447">
        <v>2</v>
      </c>
      <c r="I4447">
        <f t="shared" si="69"/>
        <v>1</v>
      </c>
      <c r="J4447" s="58">
        <v>1</v>
      </c>
      <c r="O4447">
        <v>1</v>
      </c>
      <c r="P4447" s="58">
        <v>0</v>
      </c>
      <c r="Q4447" s="58">
        <v>0</v>
      </c>
      <c r="R4447" s="58">
        <v>0</v>
      </c>
      <c r="S4447" s="58">
        <v>0</v>
      </c>
      <c r="T4447" s="58">
        <v>0</v>
      </c>
      <c r="U4447" s="58">
        <v>0</v>
      </c>
      <c r="V4447" s="58">
        <v>0</v>
      </c>
      <c r="W4447" s="4">
        <v>0</v>
      </c>
    </row>
    <row r="4448" spans="1:23" x14ac:dyDescent="0.35">
      <c r="A4448">
        <v>4444</v>
      </c>
      <c r="B4448">
        <v>4445</v>
      </c>
      <c r="C4448">
        <v>146.05177860000001</v>
      </c>
      <c r="D4448">
        <v>-17.521208980000001</v>
      </c>
      <c r="F4448" t="str">
        <f>HYPERLINK("D:\Data From Lucan\2024\Johnstone\Frames_for_Analysis\4445_20240610_0005_L_3281.jpg","4445_20240610_0005_L_3281.jpg")</f>
        <v>4445_20240610_0005_L_3281.jpg</v>
      </c>
      <c r="G4448">
        <v>2</v>
      </c>
      <c r="I4448">
        <f t="shared" si="69"/>
        <v>1</v>
      </c>
      <c r="J4448" s="58">
        <v>1</v>
      </c>
      <c r="O4448">
        <v>1</v>
      </c>
      <c r="P4448" s="58">
        <v>0</v>
      </c>
      <c r="Q4448" s="58">
        <v>0</v>
      </c>
      <c r="R4448" s="58">
        <v>0</v>
      </c>
      <c r="S4448" s="58">
        <v>0</v>
      </c>
      <c r="T4448" s="58">
        <v>0</v>
      </c>
      <c r="U4448" s="58">
        <v>0</v>
      </c>
      <c r="V4448" s="58">
        <v>0</v>
      </c>
      <c r="W4448" s="4">
        <v>0</v>
      </c>
    </row>
    <row r="4449" spans="1:23" x14ac:dyDescent="0.35">
      <c r="A4449">
        <v>4445</v>
      </c>
      <c r="B4449">
        <v>4446</v>
      </c>
      <c r="C4449">
        <v>146.0518706</v>
      </c>
      <c r="D4449">
        <v>-17.521188540000001</v>
      </c>
      <c r="F4449" t="str">
        <f>HYPERLINK("D:\Data From Lucan\2024\Johnstone\Frames_for_Analysis\4446_20240610_0005_L_3284.jpg","4446_20240610_0005_L_3284.jpg")</f>
        <v>4446_20240610_0005_L_3284.jpg</v>
      </c>
      <c r="G4449">
        <v>2</v>
      </c>
      <c r="I4449">
        <f t="shared" si="69"/>
        <v>1</v>
      </c>
      <c r="J4449" s="58">
        <v>1</v>
      </c>
      <c r="O4449">
        <v>1</v>
      </c>
      <c r="P4449" s="58">
        <v>0</v>
      </c>
      <c r="Q4449" s="58">
        <v>0</v>
      </c>
      <c r="R4449" s="58">
        <v>0</v>
      </c>
      <c r="S4449" s="58">
        <v>0</v>
      </c>
      <c r="T4449" s="58">
        <v>0</v>
      </c>
      <c r="U4449" s="58">
        <v>0</v>
      </c>
      <c r="V4449" s="58">
        <v>0</v>
      </c>
      <c r="W4449" s="4">
        <v>0</v>
      </c>
    </row>
    <row r="4450" spans="1:23" x14ac:dyDescent="0.35">
      <c r="A4450">
        <v>4446</v>
      </c>
      <c r="B4450">
        <v>4447</v>
      </c>
      <c r="C4450">
        <v>146.05196269999999</v>
      </c>
      <c r="D4450">
        <v>-17.521168110000001</v>
      </c>
      <c r="F4450" t="str">
        <f>HYPERLINK("D:\Data From Lucan\2024\Johnstone\Frames_for_Analysis\4447_20240610_0005_L_3286.jpg","4447_20240610_0005_L_3286.jpg")</f>
        <v>4447_20240610_0005_L_3286.jpg</v>
      </c>
      <c r="G4450">
        <v>2</v>
      </c>
      <c r="I4450">
        <f t="shared" si="69"/>
        <v>1</v>
      </c>
      <c r="J4450" s="58">
        <v>1</v>
      </c>
      <c r="O4450">
        <v>1</v>
      </c>
      <c r="P4450" s="58">
        <v>0</v>
      </c>
      <c r="Q4450" s="58">
        <v>0</v>
      </c>
      <c r="R4450" s="58">
        <v>0</v>
      </c>
      <c r="S4450" s="58">
        <v>0</v>
      </c>
      <c r="T4450" s="58">
        <v>0</v>
      </c>
      <c r="U4450" s="58">
        <v>0</v>
      </c>
      <c r="V4450" s="58">
        <v>0</v>
      </c>
      <c r="W4450" s="4">
        <v>0</v>
      </c>
    </row>
    <row r="4451" spans="1:23" x14ac:dyDescent="0.35">
      <c r="A4451">
        <v>4447</v>
      </c>
      <c r="B4451">
        <v>4448</v>
      </c>
      <c r="C4451">
        <v>146.05205480000001</v>
      </c>
      <c r="D4451">
        <v>-17.521147679999999</v>
      </c>
      <c r="F4451" t="str">
        <f>HYPERLINK("D:\Data From Lucan\2024\Johnstone\Frames_for_Analysis\4448_20240610_0005_L_3289.jpg","4448_20240610_0005_L_3289.jpg")</f>
        <v>4448_20240610_0005_L_3289.jpg</v>
      </c>
      <c r="G4451">
        <v>2</v>
      </c>
      <c r="I4451">
        <f t="shared" si="69"/>
        <v>1</v>
      </c>
      <c r="J4451" s="58">
        <v>1</v>
      </c>
      <c r="O4451">
        <v>1</v>
      </c>
      <c r="P4451" s="58">
        <v>0</v>
      </c>
      <c r="Q4451" s="58">
        <v>0</v>
      </c>
      <c r="R4451" s="58">
        <v>0</v>
      </c>
      <c r="S4451" s="58">
        <v>0</v>
      </c>
      <c r="T4451" s="58">
        <v>0</v>
      </c>
      <c r="U4451" s="58">
        <v>0</v>
      </c>
      <c r="V4451" s="58">
        <v>0</v>
      </c>
      <c r="W4451" s="4">
        <v>0</v>
      </c>
    </row>
    <row r="4452" spans="1:23" x14ac:dyDescent="0.35">
      <c r="A4452">
        <v>4448</v>
      </c>
      <c r="B4452">
        <v>4449</v>
      </c>
      <c r="C4452">
        <v>146.0521468</v>
      </c>
      <c r="D4452">
        <v>-17.521127239999998</v>
      </c>
      <c r="F4452" t="str">
        <f>HYPERLINK("D:\Data From Lucan\2024\Johnstone\Frames_for_Analysis\4449_20240610_0005_L_3292.jpg","4449_20240610_0005_L_3292.jpg")</f>
        <v>4449_20240610_0005_L_3292.jpg</v>
      </c>
      <c r="G4452">
        <v>2</v>
      </c>
      <c r="I4452">
        <f t="shared" si="69"/>
        <v>1</v>
      </c>
      <c r="J4452" s="58">
        <v>1</v>
      </c>
      <c r="O4452">
        <v>1</v>
      </c>
      <c r="P4452" s="58">
        <v>0</v>
      </c>
      <c r="Q4452" s="58">
        <v>0</v>
      </c>
      <c r="R4452" s="58">
        <v>0</v>
      </c>
      <c r="S4452" s="58">
        <v>0</v>
      </c>
      <c r="T4452" s="58">
        <v>0</v>
      </c>
      <c r="U4452" s="58">
        <v>0</v>
      </c>
      <c r="V4452" s="58">
        <v>0</v>
      </c>
      <c r="W4452" s="4">
        <v>0</v>
      </c>
    </row>
    <row r="4453" spans="1:23" x14ac:dyDescent="0.35">
      <c r="A4453">
        <v>4449</v>
      </c>
      <c r="B4453">
        <v>4450</v>
      </c>
      <c r="C4453">
        <v>146.05223910000001</v>
      </c>
      <c r="D4453">
        <v>-17.521107990000001</v>
      </c>
      <c r="F4453" t="str">
        <f>HYPERLINK("D:\Data From Lucan\2024\Johnstone\Frames_for_Analysis\4450_20240610_0005_L_3293.jpg","4450_20240610_0005_L_3293.jpg")</f>
        <v>4450_20240610_0005_L_3293.jpg</v>
      </c>
      <c r="G4453">
        <v>2</v>
      </c>
      <c r="I4453">
        <f t="shared" si="69"/>
        <v>1</v>
      </c>
      <c r="J4453" s="58">
        <v>1</v>
      </c>
      <c r="O4453">
        <v>1</v>
      </c>
      <c r="P4453" s="58">
        <v>0</v>
      </c>
      <c r="Q4453" s="58">
        <v>0</v>
      </c>
      <c r="R4453" s="58">
        <v>0</v>
      </c>
      <c r="S4453" s="58">
        <v>0</v>
      </c>
      <c r="T4453" s="58">
        <v>0</v>
      </c>
      <c r="U4453" s="58">
        <v>0</v>
      </c>
      <c r="V4453" s="58">
        <v>0</v>
      </c>
      <c r="W4453" s="4">
        <v>0</v>
      </c>
    </row>
    <row r="4454" spans="1:23" x14ac:dyDescent="0.35">
      <c r="A4454">
        <v>4450</v>
      </c>
      <c r="B4454">
        <v>4451</v>
      </c>
      <c r="C4454">
        <v>146.05233279999999</v>
      </c>
      <c r="D4454">
        <v>-17.521097739999998</v>
      </c>
      <c r="F4454" t="str">
        <f>HYPERLINK("D:\Data From Lucan\2024\Johnstone\Frames_for_Analysis\4451_20240610_0005_L_3295.jpg","4451_20240610_0005_L_3295.jpg")</f>
        <v>4451_20240610_0005_L_3295.jpg</v>
      </c>
      <c r="G4454">
        <v>2</v>
      </c>
      <c r="I4454">
        <f t="shared" si="69"/>
        <v>1</v>
      </c>
      <c r="J4454" s="58">
        <v>1</v>
      </c>
      <c r="O4454">
        <v>1</v>
      </c>
      <c r="P4454" s="58">
        <v>0</v>
      </c>
      <c r="Q4454" s="58">
        <v>0</v>
      </c>
      <c r="R4454" s="58">
        <v>0</v>
      </c>
      <c r="S4454" s="58">
        <v>0</v>
      </c>
      <c r="T4454" s="58">
        <v>0</v>
      </c>
      <c r="U4454" s="58">
        <v>0</v>
      </c>
      <c r="V4454" s="58">
        <v>0</v>
      </c>
      <c r="W4454" s="4">
        <v>0</v>
      </c>
    </row>
    <row r="4455" spans="1:23" x14ac:dyDescent="0.35">
      <c r="A4455">
        <v>4451</v>
      </c>
      <c r="B4455">
        <v>4452</v>
      </c>
      <c r="C4455">
        <v>146.05242659999999</v>
      </c>
      <c r="D4455">
        <v>-17.521087479999998</v>
      </c>
      <c r="F4455" t="str">
        <f>HYPERLINK("D:\Data From Lucan\2024\Johnstone\Frames_for_Analysis\4452_20240610_0005_L_3298.jpg","4452_20240610_0005_L_3298.jpg")</f>
        <v>4452_20240610_0005_L_3298.jpg</v>
      </c>
      <c r="G4455">
        <v>2</v>
      </c>
      <c r="I4455">
        <f t="shared" si="69"/>
        <v>1</v>
      </c>
      <c r="J4455" s="58">
        <v>1</v>
      </c>
      <c r="O4455">
        <v>1</v>
      </c>
      <c r="P4455" s="58">
        <v>0</v>
      </c>
      <c r="Q4455" s="58">
        <v>0</v>
      </c>
      <c r="R4455" s="58">
        <v>0</v>
      </c>
      <c r="S4455" s="58">
        <v>0</v>
      </c>
      <c r="T4455" s="58">
        <v>0</v>
      </c>
      <c r="U4455" s="58">
        <v>0</v>
      </c>
      <c r="V4455" s="58">
        <v>0</v>
      </c>
      <c r="W4455" s="4">
        <v>0</v>
      </c>
    </row>
    <row r="4456" spans="1:23" x14ac:dyDescent="0.35">
      <c r="A4456">
        <v>4452</v>
      </c>
      <c r="B4456">
        <v>4453</v>
      </c>
      <c r="C4456">
        <v>146.05252050000001</v>
      </c>
      <c r="D4456">
        <v>-17.52108277</v>
      </c>
      <c r="F4456" t="str">
        <f>HYPERLINK("D:\Data From Lucan\2024\Johnstone\Frames_for_Analysis\4453_20240610_0005_L_3301.jpg","4453_20240610_0005_L_3301.jpg")</f>
        <v>4453_20240610_0005_L_3301.jpg</v>
      </c>
      <c r="G4456">
        <v>2</v>
      </c>
      <c r="I4456">
        <f t="shared" si="69"/>
        <v>1</v>
      </c>
      <c r="J4456" s="58">
        <v>1</v>
      </c>
      <c r="O4456">
        <v>1</v>
      </c>
      <c r="P4456" s="58">
        <v>0</v>
      </c>
      <c r="Q4456" s="58">
        <v>0</v>
      </c>
      <c r="R4456" s="58">
        <v>0</v>
      </c>
      <c r="S4456" s="58">
        <v>0</v>
      </c>
      <c r="T4456" s="58">
        <v>0</v>
      </c>
      <c r="U4456" s="58">
        <v>0</v>
      </c>
      <c r="V4456" s="58">
        <v>0</v>
      </c>
      <c r="W4456" s="4">
        <v>0</v>
      </c>
    </row>
    <row r="4457" spans="1:23" x14ac:dyDescent="0.35">
      <c r="A4457">
        <v>4453</v>
      </c>
      <c r="B4457">
        <v>4454</v>
      </c>
      <c r="C4457">
        <v>146.05261390000001</v>
      </c>
      <c r="D4457">
        <v>-17.521093570000001</v>
      </c>
      <c r="F4457" t="str">
        <f>HYPERLINK("D:\Data From Lucan\2024\Johnstone\Frames_for_Analysis\4454_20240610_0005_L_3303.jpg","4454_20240610_0005_L_3303.jpg")</f>
        <v>4454_20240610_0005_L_3303.jpg</v>
      </c>
      <c r="G4457">
        <v>2</v>
      </c>
      <c r="I4457">
        <f t="shared" si="69"/>
        <v>1</v>
      </c>
      <c r="J4457" s="58">
        <v>1</v>
      </c>
      <c r="O4457">
        <v>1</v>
      </c>
      <c r="P4457" s="58">
        <v>0</v>
      </c>
      <c r="Q4457" s="58">
        <v>0</v>
      </c>
      <c r="R4457" s="58">
        <v>0</v>
      </c>
      <c r="S4457" s="58">
        <v>0</v>
      </c>
      <c r="T4457" s="58">
        <v>0</v>
      </c>
      <c r="U4457" s="58">
        <v>0</v>
      </c>
      <c r="V4457" s="58">
        <v>0</v>
      </c>
      <c r="W4457" s="4">
        <v>0</v>
      </c>
    </row>
    <row r="4458" spans="1:23" x14ac:dyDescent="0.35">
      <c r="A4458">
        <v>4454</v>
      </c>
      <c r="B4458">
        <v>4455</v>
      </c>
      <c r="C4458">
        <v>146.05270640000001</v>
      </c>
      <c r="D4458">
        <v>-17.52111193</v>
      </c>
      <c r="F4458" t="str">
        <f>HYPERLINK("D:\Data From Lucan\2024\Johnstone\Frames_for_Analysis\4455_20240610_0005_L_3305.jpg","4455_20240610_0005_L_3305.jpg")</f>
        <v>4455_20240610_0005_L_3305.jpg</v>
      </c>
      <c r="G4458">
        <v>2</v>
      </c>
      <c r="I4458">
        <f t="shared" si="69"/>
        <v>1</v>
      </c>
      <c r="J4458" s="58">
        <v>1</v>
      </c>
      <c r="O4458">
        <v>1</v>
      </c>
      <c r="P4458" s="58">
        <v>0</v>
      </c>
      <c r="Q4458" s="58">
        <v>0</v>
      </c>
      <c r="R4458" s="58">
        <v>0</v>
      </c>
      <c r="S4458" s="58">
        <v>0</v>
      </c>
      <c r="T4458" s="58">
        <v>0</v>
      </c>
      <c r="U4458" s="58">
        <v>0</v>
      </c>
      <c r="V4458" s="58">
        <v>0</v>
      </c>
      <c r="W4458" s="4">
        <v>0</v>
      </c>
    </row>
    <row r="4459" spans="1:23" x14ac:dyDescent="0.35">
      <c r="A4459">
        <v>4455</v>
      </c>
      <c r="B4459">
        <v>4456</v>
      </c>
      <c r="C4459">
        <v>146.0527989</v>
      </c>
      <c r="D4459">
        <v>-17.521130299999999</v>
      </c>
      <c r="F4459" t="str">
        <f>HYPERLINK("D:\Data From Lucan\2024\Johnstone\Frames_for_Analysis\4456_20240610_0005_L_3309.jpg","4456_20240610_0005_L_3309.jpg")</f>
        <v>4456_20240610_0005_L_3309.jpg</v>
      </c>
      <c r="G4459">
        <v>2</v>
      </c>
      <c r="I4459">
        <f t="shared" si="69"/>
        <v>1</v>
      </c>
      <c r="J4459" s="58">
        <v>1</v>
      </c>
      <c r="O4459">
        <v>1</v>
      </c>
      <c r="P4459" s="58">
        <v>0</v>
      </c>
      <c r="Q4459" s="58">
        <v>0</v>
      </c>
      <c r="R4459" s="58">
        <v>0</v>
      </c>
      <c r="S4459" s="58">
        <v>0</v>
      </c>
      <c r="T4459" s="58">
        <v>0</v>
      </c>
      <c r="U4459" s="58">
        <v>0</v>
      </c>
      <c r="V4459" s="58">
        <v>0</v>
      </c>
      <c r="W4459" s="4">
        <v>0</v>
      </c>
    </row>
    <row r="4460" spans="1:23" x14ac:dyDescent="0.35">
      <c r="A4460">
        <v>4456</v>
      </c>
      <c r="B4460">
        <v>4457</v>
      </c>
      <c r="C4460">
        <v>146.05289139999999</v>
      </c>
      <c r="D4460">
        <v>-17.521148660000001</v>
      </c>
      <c r="F4460" t="str">
        <f>HYPERLINK("D:\Data From Lucan\2024\Johnstone\Frames_for_Analysis\4457_20240610_0005_L_3312.jpg","4457_20240610_0005_L_3312.jpg")</f>
        <v>4457_20240610_0005_L_3312.jpg</v>
      </c>
      <c r="G4460">
        <v>2</v>
      </c>
      <c r="I4460">
        <f t="shared" si="69"/>
        <v>1</v>
      </c>
      <c r="J4460" s="58">
        <v>1</v>
      </c>
      <c r="O4460">
        <v>1</v>
      </c>
      <c r="P4460" s="58">
        <v>0</v>
      </c>
      <c r="Q4460" s="58">
        <v>0</v>
      </c>
      <c r="R4460" s="58">
        <v>0</v>
      </c>
      <c r="S4460" s="58">
        <v>0</v>
      </c>
      <c r="T4460" s="58">
        <v>0</v>
      </c>
      <c r="U4460" s="58">
        <v>0</v>
      </c>
      <c r="V4460" s="58">
        <v>0</v>
      </c>
      <c r="W4460" s="4">
        <v>0</v>
      </c>
    </row>
    <row r="4461" spans="1:23" x14ac:dyDescent="0.35">
      <c r="A4461">
        <v>4457</v>
      </c>
      <c r="B4461">
        <v>4458</v>
      </c>
      <c r="C4461">
        <v>146.05298389999999</v>
      </c>
      <c r="D4461">
        <v>-17.521167030000001</v>
      </c>
      <c r="F4461" t="str">
        <f>HYPERLINK("D:\Data From Lucan\2024\Johnstone\Frames_for_Analysis\4458_20240610_0005_L_3314.jpg","4458_20240610_0005_L_3314.jpg")</f>
        <v>4458_20240610_0005_L_3314.jpg</v>
      </c>
      <c r="G4461">
        <v>2</v>
      </c>
      <c r="I4461">
        <f t="shared" si="69"/>
        <v>1</v>
      </c>
      <c r="J4461" s="58">
        <v>1</v>
      </c>
      <c r="O4461">
        <v>1</v>
      </c>
      <c r="P4461" s="58">
        <v>0</v>
      </c>
      <c r="Q4461" s="58">
        <v>0</v>
      </c>
      <c r="R4461" s="58">
        <v>0</v>
      </c>
      <c r="S4461" s="58">
        <v>0</v>
      </c>
      <c r="T4461" s="58">
        <v>0</v>
      </c>
      <c r="U4461" s="58">
        <v>0</v>
      </c>
      <c r="V4461" s="58">
        <v>0</v>
      </c>
      <c r="W4461" s="4">
        <v>0</v>
      </c>
    </row>
    <row r="4462" spans="1:23" x14ac:dyDescent="0.35">
      <c r="A4462">
        <v>4458</v>
      </c>
      <c r="B4462">
        <v>4459</v>
      </c>
      <c r="C4462">
        <v>146.05307640000001</v>
      </c>
      <c r="D4462">
        <v>-17.5211854</v>
      </c>
      <c r="F4462" t="str">
        <f>HYPERLINK("D:\Data From Lucan\2024\Johnstone\Frames_for_Analysis\4459_20240610_0005_L_3317.jpg","4459_20240610_0005_L_3317.jpg")</f>
        <v>4459_20240610_0005_L_3317.jpg</v>
      </c>
      <c r="G4462">
        <v>2</v>
      </c>
      <c r="I4462">
        <v>0</v>
      </c>
      <c r="J4462" s="58">
        <v>2</v>
      </c>
      <c r="O4462">
        <v>1</v>
      </c>
      <c r="P4462" s="58">
        <v>0</v>
      </c>
      <c r="Q4462" s="58">
        <v>0</v>
      </c>
      <c r="R4462" s="58">
        <v>0</v>
      </c>
      <c r="S4462" s="58">
        <v>0</v>
      </c>
      <c r="T4462" s="58">
        <v>0</v>
      </c>
      <c r="U4462" s="58">
        <v>0</v>
      </c>
      <c r="V4462" s="58">
        <v>0</v>
      </c>
      <c r="W4462" s="4">
        <v>0</v>
      </c>
    </row>
    <row r="4463" spans="1:23" x14ac:dyDescent="0.35">
      <c r="A4463">
        <v>4459</v>
      </c>
      <c r="B4463">
        <v>4460</v>
      </c>
      <c r="C4463">
        <v>146.05316880000001</v>
      </c>
      <c r="D4463">
        <v>-17.521204359999999</v>
      </c>
      <c r="F4463" t="str">
        <f>HYPERLINK("D:\Data From Lucan\2024\Johnstone\Frames_for_Analysis\4460_20240610_0005_L_3320.jpg","4460_20240610_0005_L_3320.jpg")</f>
        <v>4460_20240610_0005_L_3320.jpg</v>
      </c>
      <c r="G4463">
        <v>2</v>
      </c>
      <c r="I4463">
        <v>0</v>
      </c>
      <c r="J4463" s="58">
        <v>2</v>
      </c>
      <c r="O4463">
        <v>1</v>
      </c>
      <c r="P4463" s="58">
        <v>0</v>
      </c>
      <c r="Q4463" s="58">
        <v>0</v>
      </c>
      <c r="R4463" s="58">
        <v>0</v>
      </c>
      <c r="S4463" s="58">
        <v>0</v>
      </c>
      <c r="T4463" s="58">
        <v>0</v>
      </c>
      <c r="U4463" s="58">
        <v>0</v>
      </c>
      <c r="V4463" s="58">
        <v>0</v>
      </c>
      <c r="W4463" s="4">
        <v>0</v>
      </c>
    </row>
    <row r="4464" spans="1:23" x14ac:dyDescent="0.35">
      <c r="A4464">
        <v>4460</v>
      </c>
      <c r="B4464">
        <v>4461</v>
      </c>
      <c r="C4464">
        <v>146.05326109999999</v>
      </c>
      <c r="D4464">
        <v>-17.521223679999999</v>
      </c>
      <c r="F4464" t="str">
        <f>HYPERLINK("D:\Data From Lucan\2024\Johnstone\Frames_for_Analysis\4461_20240610_0005_L_3322.jpg","4461_20240610_0005_L_3322.jpg")</f>
        <v>4461_20240610_0005_L_3322.jpg</v>
      </c>
      <c r="G4464">
        <v>2</v>
      </c>
      <c r="I4464">
        <v>0</v>
      </c>
      <c r="J4464" s="58">
        <v>2</v>
      </c>
      <c r="O4464">
        <v>1</v>
      </c>
      <c r="P4464" s="58">
        <v>0</v>
      </c>
      <c r="Q4464" s="58">
        <v>0</v>
      </c>
      <c r="R4464" s="58">
        <v>0</v>
      </c>
      <c r="S4464" s="58">
        <v>0</v>
      </c>
      <c r="T4464" s="58">
        <v>0</v>
      </c>
      <c r="U4464" s="58">
        <v>0</v>
      </c>
      <c r="V4464" s="58">
        <v>0</v>
      </c>
      <c r="W4464" s="4">
        <v>0</v>
      </c>
    </row>
    <row r="4465" spans="1:23" x14ac:dyDescent="0.35">
      <c r="A4465">
        <v>4461</v>
      </c>
      <c r="B4465">
        <v>4462</v>
      </c>
      <c r="C4465">
        <v>146.05335339999999</v>
      </c>
      <c r="D4465">
        <v>-17.521242999999998</v>
      </c>
      <c r="F4465" t="str">
        <f>HYPERLINK("D:\Data From Lucan\2024\Johnstone\Frames_for_Analysis\4462_20240610_0005_L_3325.jpg","4462_20240610_0005_L_3325.jpg")</f>
        <v>4462_20240610_0005_L_3325.jpg</v>
      </c>
      <c r="G4465">
        <v>2</v>
      </c>
      <c r="I4465">
        <v>0</v>
      </c>
      <c r="J4465" s="58">
        <v>2</v>
      </c>
      <c r="O4465">
        <v>1</v>
      </c>
      <c r="P4465" s="58">
        <v>0</v>
      </c>
      <c r="Q4465" s="58">
        <v>0</v>
      </c>
      <c r="R4465" s="58">
        <v>0</v>
      </c>
      <c r="S4465" s="58">
        <v>0</v>
      </c>
      <c r="T4465" s="58">
        <v>0</v>
      </c>
      <c r="U4465" s="58">
        <v>0</v>
      </c>
      <c r="V4465" s="58">
        <v>0</v>
      </c>
      <c r="W4465" s="4">
        <v>0</v>
      </c>
    </row>
    <row r="4466" spans="1:23" x14ac:dyDescent="0.35">
      <c r="A4466">
        <v>4462</v>
      </c>
      <c r="B4466">
        <v>4463</v>
      </c>
      <c r="C4466">
        <v>146.0534457</v>
      </c>
      <c r="D4466">
        <v>-17.521262320000002</v>
      </c>
      <c r="F4466" t="str">
        <f>HYPERLINK("D:\Data From Lucan\2024\Johnstone\Frames_for_Analysis\4463_20240610_0005_L_3327.jpg","4463_20240610_0005_L_3327.jpg")</f>
        <v>4463_20240610_0005_L_3327.jpg</v>
      </c>
      <c r="G4466">
        <v>2</v>
      </c>
      <c r="I4466">
        <v>0</v>
      </c>
      <c r="J4466" s="58">
        <v>2</v>
      </c>
      <c r="O4466">
        <v>1</v>
      </c>
      <c r="P4466" s="58">
        <v>0</v>
      </c>
      <c r="Q4466" s="58">
        <v>0</v>
      </c>
      <c r="R4466" s="58">
        <v>0</v>
      </c>
      <c r="S4466" s="58">
        <v>0</v>
      </c>
      <c r="T4466" s="58">
        <v>0</v>
      </c>
      <c r="U4466" s="58">
        <v>0</v>
      </c>
      <c r="V4466" s="58">
        <v>0</v>
      </c>
      <c r="W4466" s="4">
        <v>0</v>
      </c>
    </row>
    <row r="4467" spans="1:23" x14ac:dyDescent="0.35">
      <c r="A4467">
        <v>4463</v>
      </c>
      <c r="B4467">
        <v>4464</v>
      </c>
      <c r="C4467">
        <v>146.053538</v>
      </c>
      <c r="D4467">
        <v>-17.521281640000002</v>
      </c>
      <c r="F4467" t="str">
        <f>HYPERLINK("D:\Data From Lucan\2024\Johnstone\Frames_for_Analysis\4464_20240610_0005_L_3329.jpg","4464_20240610_0005_L_3329.jpg")</f>
        <v>4464_20240610_0005_L_3329.jpg</v>
      </c>
      <c r="G4467">
        <v>2</v>
      </c>
      <c r="I4467">
        <v>0</v>
      </c>
      <c r="J4467" s="58">
        <v>2</v>
      </c>
      <c r="O4467">
        <v>1</v>
      </c>
      <c r="P4467" s="58">
        <v>0</v>
      </c>
      <c r="Q4467" s="58">
        <v>0</v>
      </c>
      <c r="R4467" s="58">
        <v>0</v>
      </c>
      <c r="S4467" s="58">
        <v>0</v>
      </c>
      <c r="T4467" s="58">
        <v>0</v>
      </c>
      <c r="U4467" s="58">
        <v>0</v>
      </c>
      <c r="V4467" s="58">
        <v>0</v>
      </c>
      <c r="W4467" s="4">
        <v>0</v>
      </c>
    </row>
    <row r="4468" spans="1:23" x14ac:dyDescent="0.35">
      <c r="A4468">
        <v>4464</v>
      </c>
      <c r="B4468">
        <v>4465</v>
      </c>
      <c r="C4468">
        <v>146.05363030000001</v>
      </c>
      <c r="D4468">
        <v>-17.521300960000001</v>
      </c>
      <c r="F4468" t="str">
        <f>HYPERLINK("D:\Data From Lucan\2024\Johnstone\Frames_for_Analysis\4465_20240610_0005_L_3332.jpg","4465_20240610_0005_L_3332.jpg")</f>
        <v>4465_20240610_0005_L_3332.jpg</v>
      </c>
      <c r="G4468">
        <v>2</v>
      </c>
      <c r="I4468">
        <v>0</v>
      </c>
      <c r="J4468" s="58">
        <v>2</v>
      </c>
      <c r="O4468">
        <v>1</v>
      </c>
      <c r="P4468" s="58">
        <v>0</v>
      </c>
      <c r="Q4468" s="58">
        <v>0</v>
      </c>
      <c r="R4468" s="58">
        <v>0</v>
      </c>
      <c r="S4468" s="58">
        <v>0</v>
      </c>
      <c r="T4468" s="58">
        <v>0</v>
      </c>
      <c r="U4468" s="58">
        <v>0</v>
      </c>
      <c r="V4468" s="58">
        <v>0</v>
      </c>
      <c r="W4468" s="4">
        <v>1</v>
      </c>
    </row>
    <row r="4469" spans="1:23" x14ac:dyDescent="0.35">
      <c r="A4469">
        <v>4465</v>
      </c>
      <c r="B4469">
        <v>4466</v>
      </c>
      <c r="C4469">
        <v>146.05372259999999</v>
      </c>
      <c r="D4469">
        <v>-17.521320280000001</v>
      </c>
      <c r="F4469" t="str">
        <f>HYPERLINK("D:\Data From Lucan\2024\Johnstone\Frames_for_Analysis\4466_20240610_0005_L_3335.jpg","4466_20240610_0005_L_3335.jpg")</f>
        <v>4466_20240610_0005_L_3335.jpg</v>
      </c>
      <c r="G4469">
        <v>2</v>
      </c>
      <c r="I4469">
        <f t="shared" si="69"/>
        <v>1</v>
      </c>
      <c r="J4469" s="58">
        <v>1</v>
      </c>
      <c r="O4469">
        <v>1</v>
      </c>
      <c r="P4469" s="58">
        <v>0</v>
      </c>
      <c r="Q4469" s="58">
        <v>0</v>
      </c>
      <c r="R4469" s="58">
        <v>0</v>
      </c>
      <c r="S4469" s="58">
        <v>0</v>
      </c>
      <c r="T4469" s="58">
        <v>0</v>
      </c>
      <c r="U4469" s="58">
        <v>0</v>
      </c>
      <c r="V4469" s="58">
        <v>0</v>
      </c>
      <c r="W4469" s="4">
        <v>1</v>
      </c>
    </row>
    <row r="4470" spans="1:23" x14ac:dyDescent="0.35">
      <c r="A4470">
        <v>4466</v>
      </c>
      <c r="B4470">
        <v>4467</v>
      </c>
      <c r="C4470">
        <v>146.0538158</v>
      </c>
      <c r="D4470">
        <v>-17.521334329999998</v>
      </c>
      <c r="F4470" t="str">
        <f>HYPERLINK("D:\Data From Lucan\2024\Johnstone\Frames_for_Analysis\4467_20240610_0005_L_3337.jpg","4467_20240610_0005_L_3337.jpg")</f>
        <v>4467_20240610_0005_L_3337.jpg</v>
      </c>
      <c r="G4470">
        <v>2</v>
      </c>
      <c r="I4470">
        <f t="shared" si="69"/>
        <v>1</v>
      </c>
      <c r="J4470" s="58">
        <v>1</v>
      </c>
      <c r="O4470">
        <v>1</v>
      </c>
      <c r="P4470" s="58">
        <v>0</v>
      </c>
      <c r="Q4470" s="58">
        <v>0</v>
      </c>
      <c r="R4470" s="58">
        <v>0</v>
      </c>
      <c r="S4470" s="58">
        <v>0</v>
      </c>
      <c r="T4470" s="58">
        <v>0</v>
      </c>
      <c r="U4470" s="58">
        <v>0</v>
      </c>
      <c r="V4470" s="58">
        <v>0</v>
      </c>
      <c r="W4470" s="4">
        <v>1</v>
      </c>
    </row>
    <row r="4471" spans="1:23" x14ac:dyDescent="0.35">
      <c r="A4471">
        <v>4467</v>
      </c>
      <c r="B4471">
        <v>4468</v>
      </c>
      <c r="C4471">
        <v>146.0539091</v>
      </c>
      <c r="D4471">
        <v>-17.521348270000001</v>
      </c>
      <c r="F4471" t="str">
        <f>HYPERLINK("D:\Data From Lucan\2024\Johnstone\Frames_for_Analysis\4468_20240610_0005_L_3340.jpg","4468_20240610_0005_L_3340.jpg")</f>
        <v>4468_20240610_0005_L_3340.jpg</v>
      </c>
      <c r="G4471">
        <v>2</v>
      </c>
      <c r="I4471">
        <f t="shared" si="69"/>
        <v>1</v>
      </c>
      <c r="J4471" s="58">
        <v>1</v>
      </c>
      <c r="O4471">
        <v>1</v>
      </c>
      <c r="P4471" s="58">
        <v>0</v>
      </c>
      <c r="Q4471" s="58">
        <v>0</v>
      </c>
      <c r="R4471" s="58">
        <v>0</v>
      </c>
      <c r="S4471" s="58">
        <v>0</v>
      </c>
      <c r="T4471" s="58">
        <v>0</v>
      </c>
      <c r="U4471" s="58">
        <v>0</v>
      </c>
      <c r="V4471" s="58">
        <v>0</v>
      </c>
      <c r="W4471" s="4">
        <v>1</v>
      </c>
    </row>
    <row r="4472" spans="1:23" x14ac:dyDescent="0.35">
      <c r="A4472">
        <v>4468</v>
      </c>
      <c r="B4472">
        <v>4469</v>
      </c>
      <c r="C4472">
        <v>146.0540024</v>
      </c>
      <c r="D4472">
        <v>-17.521362209999999</v>
      </c>
      <c r="F4472" t="str">
        <f>HYPERLINK("D:\Data From Lucan\2024\Johnstone\Frames_for_Analysis\4469_20240610_0005_L_3344.jpg","4469_20240610_0005_L_3344.jpg")</f>
        <v>4469_20240610_0005_L_3344.jpg</v>
      </c>
      <c r="G4472">
        <v>2</v>
      </c>
      <c r="I4472">
        <f t="shared" si="69"/>
        <v>1</v>
      </c>
      <c r="J4472" s="58">
        <v>1</v>
      </c>
      <c r="O4472">
        <v>1</v>
      </c>
      <c r="P4472" s="58">
        <v>0</v>
      </c>
      <c r="Q4472" s="58">
        <v>0</v>
      </c>
      <c r="R4472" s="58">
        <v>0</v>
      </c>
      <c r="S4472" s="58">
        <v>0</v>
      </c>
      <c r="T4472" s="58">
        <v>0</v>
      </c>
      <c r="U4472" s="58">
        <v>0</v>
      </c>
      <c r="V4472" s="58">
        <v>0</v>
      </c>
      <c r="W4472" s="4">
        <v>1</v>
      </c>
    </row>
    <row r="4473" spans="1:23" x14ac:dyDescent="0.35">
      <c r="A4473">
        <v>4469</v>
      </c>
      <c r="B4473">
        <v>4470</v>
      </c>
      <c r="C4473">
        <v>146.05409560000001</v>
      </c>
      <c r="D4473">
        <v>-17.521376149999998</v>
      </c>
      <c r="F4473" t="str">
        <f>HYPERLINK("D:\Data From Lucan\2024\Johnstone\Frames_for_Analysis\4470_20240610_0005_L_3346.jpg","4470_20240610_0005_L_3346.jpg")</f>
        <v>4470_20240610_0005_L_3346.jpg</v>
      </c>
      <c r="G4473">
        <v>2</v>
      </c>
      <c r="I4473">
        <f t="shared" si="69"/>
        <v>1</v>
      </c>
      <c r="J4473" s="58">
        <v>1</v>
      </c>
      <c r="O4473">
        <v>1</v>
      </c>
      <c r="P4473" s="58">
        <v>0</v>
      </c>
      <c r="Q4473" s="58">
        <v>0</v>
      </c>
      <c r="R4473" s="58">
        <v>0</v>
      </c>
      <c r="S4473" s="58">
        <v>0</v>
      </c>
      <c r="T4473" s="58">
        <v>0</v>
      </c>
      <c r="U4473" s="58">
        <v>0</v>
      </c>
      <c r="V4473" s="58">
        <v>0</v>
      </c>
      <c r="W4473" s="4">
        <v>1</v>
      </c>
    </row>
    <row r="4474" spans="1:23" x14ac:dyDescent="0.35">
      <c r="A4474">
        <v>4470</v>
      </c>
      <c r="B4474">
        <v>4471</v>
      </c>
      <c r="C4474">
        <v>146.0541881</v>
      </c>
      <c r="D4474">
        <v>-17.521394059999999</v>
      </c>
      <c r="F4474" t="str">
        <f>HYPERLINK("D:\Data From Lucan\2024\Johnstone\Frames_for_Analysis\4471_20240610_0005_L_3349.jpg","4471_20240610_0005_L_3349.jpg")</f>
        <v>4471_20240610_0005_L_3349.jpg</v>
      </c>
      <c r="G4474">
        <v>2</v>
      </c>
      <c r="I4474">
        <f t="shared" si="69"/>
        <v>1</v>
      </c>
      <c r="J4474" s="58">
        <v>1</v>
      </c>
      <c r="O4474">
        <v>1</v>
      </c>
      <c r="P4474" s="58">
        <v>0</v>
      </c>
      <c r="Q4474" s="58">
        <v>0</v>
      </c>
      <c r="R4474" s="58">
        <v>0</v>
      </c>
      <c r="S4474" s="58">
        <v>0</v>
      </c>
      <c r="T4474" s="58">
        <v>0</v>
      </c>
      <c r="U4474" s="58">
        <v>0</v>
      </c>
      <c r="V4474" s="58">
        <v>0</v>
      </c>
      <c r="W4474" s="4">
        <v>1</v>
      </c>
    </row>
    <row r="4475" spans="1:23" x14ac:dyDescent="0.35">
      <c r="A4475">
        <v>4471</v>
      </c>
      <c r="B4475">
        <v>4472</v>
      </c>
      <c r="C4475">
        <v>146.05428000000001</v>
      </c>
      <c r="D4475">
        <v>-17.52141546</v>
      </c>
      <c r="F4475" t="str">
        <f>HYPERLINK("D:\Data From Lucan\2024\Johnstone\Frames_for_Analysis\4472_20240610_0005_L_3351.jpg","4472_20240610_0005_L_3351.jpg")</f>
        <v>4472_20240610_0005_L_3351.jpg</v>
      </c>
      <c r="G4475">
        <v>2</v>
      </c>
      <c r="I4475">
        <v>0</v>
      </c>
      <c r="J4475" s="58">
        <v>2</v>
      </c>
      <c r="O4475">
        <v>1</v>
      </c>
      <c r="P4475" s="58">
        <v>0</v>
      </c>
      <c r="Q4475" s="58">
        <v>0</v>
      </c>
      <c r="R4475" s="58">
        <v>0</v>
      </c>
      <c r="S4475" s="58">
        <v>0</v>
      </c>
      <c r="T4475" s="58">
        <v>0</v>
      </c>
      <c r="U4475" s="58">
        <v>0</v>
      </c>
      <c r="V4475" s="58">
        <v>0</v>
      </c>
      <c r="W4475" s="4">
        <v>1</v>
      </c>
    </row>
    <row r="4476" spans="1:23" x14ac:dyDescent="0.35">
      <c r="A4476">
        <v>4472</v>
      </c>
      <c r="B4476">
        <v>4473</v>
      </c>
      <c r="C4476">
        <v>146.05437180000001</v>
      </c>
      <c r="D4476">
        <v>-17.521436850000001</v>
      </c>
      <c r="F4476" t="str">
        <f>HYPERLINK("D:\Data From Lucan\2024\Johnstone\Frames_for_Analysis\4473_20240610_0005_L_3354.jpg","4473_20240610_0005_L_3354.jpg")</f>
        <v>4473_20240610_0005_L_3354.jpg</v>
      </c>
      <c r="G4476">
        <v>2</v>
      </c>
      <c r="I4476">
        <f t="shared" si="69"/>
        <v>1</v>
      </c>
      <c r="J4476" s="58">
        <v>1</v>
      </c>
      <c r="O4476">
        <v>1</v>
      </c>
      <c r="P4476" s="58">
        <v>0</v>
      </c>
      <c r="Q4476" s="58">
        <v>0</v>
      </c>
      <c r="R4476" s="58">
        <v>0</v>
      </c>
      <c r="S4476" s="58">
        <v>0</v>
      </c>
      <c r="T4476" s="58">
        <v>0</v>
      </c>
      <c r="U4476" s="58">
        <v>0</v>
      </c>
      <c r="V4476" s="58">
        <v>0</v>
      </c>
      <c r="W4476" s="4">
        <v>1</v>
      </c>
    </row>
    <row r="4477" spans="1:23" x14ac:dyDescent="0.35">
      <c r="A4477">
        <v>4473</v>
      </c>
      <c r="B4477">
        <v>4474</v>
      </c>
      <c r="C4477">
        <v>146.05446370000001</v>
      </c>
      <c r="D4477">
        <v>-17.521458240000001</v>
      </c>
      <c r="F4477" t="str">
        <f>HYPERLINK("D:\Data From Lucan\2024\Johnstone\Frames_for_Analysis\4474_20240610_0005_L_3357.jpg","4474_20240610_0005_L_3357.jpg")</f>
        <v>4474_20240610_0005_L_3357.jpg</v>
      </c>
      <c r="G4477">
        <v>2</v>
      </c>
      <c r="I4477">
        <f t="shared" si="69"/>
        <v>0</v>
      </c>
      <c r="J4477" s="58">
        <v>0</v>
      </c>
      <c r="O4477">
        <v>1</v>
      </c>
      <c r="P4477" s="58">
        <v>0</v>
      </c>
      <c r="Q4477" s="58">
        <v>0</v>
      </c>
      <c r="R4477" s="58">
        <v>0</v>
      </c>
      <c r="S4477" s="58">
        <v>0</v>
      </c>
      <c r="T4477" s="58">
        <v>0</v>
      </c>
      <c r="U4477" s="58">
        <v>0</v>
      </c>
      <c r="V4477" s="58">
        <v>0</v>
      </c>
      <c r="W4477" s="4">
        <v>1</v>
      </c>
    </row>
    <row r="4478" spans="1:23" x14ac:dyDescent="0.35">
      <c r="A4478">
        <v>4474</v>
      </c>
      <c r="B4478">
        <v>4475</v>
      </c>
      <c r="C4478">
        <v>146.05455549999999</v>
      </c>
      <c r="D4478">
        <v>-17.521479630000002</v>
      </c>
      <c r="F4478" t="str">
        <f>HYPERLINK("D:\Data From Lucan\2024\Johnstone\Frames_for_Analysis\4475_20240610_0005_L_3360.jpg","4475_20240610_0005_L_3360.jpg")</f>
        <v>4475_20240610_0005_L_3360.jpg</v>
      </c>
      <c r="G4478">
        <v>2</v>
      </c>
      <c r="I4478">
        <f t="shared" si="69"/>
        <v>1</v>
      </c>
      <c r="J4478" s="58">
        <v>1</v>
      </c>
      <c r="O4478">
        <v>1</v>
      </c>
      <c r="P4478" s="58">
        <v>0</v>
      </c>
      <c r="Q4478" s="58">
        <v>0</v>
      </c>
      <c r="R4478" s="58">
        <v>0</v>
      </c>
      <c r="S4478" s="58">
        <v>0</v>
      </c>
      <c r="T4478" s="58">
        <v>0</v>
      </c>
      <c r="U4478" s="58">
        <v>0</v>
      </c>
      <c r="V4478" s="58">
        <v>0</v>
      </c>
      <c r="W4478" s="4">
        <v>1</v>
      </c>
    </row>
    <row r="4479" spans="1:23" x14ac:dyDescent="0.35">
      <c r="A4479">
        <v>4475</v>
      </c>
      <c r="B4479">
        <v>4476</v>
      </c>
      <c r="C4479">
        <v>146.05464739999999</v>
      </c>
      <c r="D4479">
        <v>-17.52150074</v>
      </c>
      <c r="F4479" t="str">
        <f>HYPERLINK("D:\Data From Lucan\2024\Johnstone\Frames_for_Analysis\4476_20240610_0005_L_3363.jpg","4476_20240610_0005_L_3363.jpg")</f>
        <v>4476_20240610_0005_L_3363.jpg</v>
      </c>
      <c r="G4479">
        <v>2</v>
      </c>
      <c r="I4479">
        <f t="shared" si="69"/>
        <v>1</v>
      </c>
      <c r="J4479" s="58">
        <v>1</v>
      </c>
      <c r="O4479">
        <v>1</v>
      </c>
      <c r="P4479" s="58">
        <v>0</v>
      </c>
      <c r="Q4479" s="58">
        <v>0</v>
      </c>
      <c r="R4479" s="58">
        <v>0</v>
      </c>
      <c r="S4479" s="58">
        <v>0</v>
      </c>
      <c r="T4479" s="58">
        <v>0</v>
      </c>
      <c r="U4479" s="58">
        <v>0</v>
      </c>
      <c r="V4479" s="58">
        <v>0</v>
      </c>
      <c r="W4479" s="4">
        <v>1</v>
      </c>
    </row>
    <row r="4480" spans="1:23" x14ac:dyDescent="0.35">
      <c r="A4480">
        <v>4476</v>
      </c>
      <c r="B4480">
        <v>4477</v>
      </c>
      <c r="C4480">
        <v>146.05473939999999</v>
      </c>
      <c r="D4480">
        <v>-17.52152164</v>
      </c>
      <c r="F4480" t="str">
        <f>HYPERLINK("D:\Data From Lucan\2024\Johnstone\Frames_for_Analysis\4477_20240610_0005_L_3365.jpg","4477_20240610_0005_L_3365.jpg")</f>
        <v>4477_20240610_0005_L_3365.jpg</v>
      </c>
      <c r="G4480">
        <v>2</v>
      </c>
      <c r="I4480">
        <f t="shared" si="69"/>
        <v>1</v>
      </c>
      <c r="J4480" s="58">
        <v>1</v>
      </c>
      <c r="O4480">
        <v>1</v>
      </c>
      <c r="P4480" s="58">
        <v>0</v>
      </c>
      <c r="Q4480" s="58">
        <v>0</v>
      </c>
      <c r="R4480" s="58">
        <v>0</v>
      </c>
      <c r="S4480" s="58">
        <v>0</v>
      </c>
      <c r="T4480" s="58">
        <v>0</v>
      </c>
      <c r="U4480" s="58">
        <v>0</v>
      </c>
      <c r="V4480" s="58">
        <v>0</v>
      </c>
      <c r="W4480" s="4">
        <v>1</v>
      </c>
    </row>
    <row r="4481" spans="1:23" x14ac:dyDescent="0.35">
      <c r="A4481">
        <v>4477</v>
      </c>
      <c r="B4481">
        <v>4478</v>
      </c>
      <c r="C4481">
        <v>146.05483129999999</v>
      </c>
      <c r="D4481">
        <v>-17.521542549999999</v>
      </c>
      <c r="F4481" t="str">
        <f>HYPERLINK("D:\Data From Lucan\2024\Johnstone\Frames_for_Analysis\4478_20240610_0005_L_3368.jpg","4478_20240610_0005_L_3368.jpg")</f>
        <v>4478_20240610_0005_L_3368.jpg</v>
      </c>
      <c r="G4481">
        <v>2</v>
      </c>
      <c r="I4481">
        <f t="shared" si="69"/>
        <v>1</v>
      </c>
      <c r="J4481" s="58">
        <v>1</v>
      </c>
      <c r="O4481">
        <v>1</v>
      </c>
      <c r="P4481" s="58">
        <v>0</v>
      </c>
      <c r="Q4481" s="58">
        <v>0</v>
      </c>
      <c r="R4481" s="58">
        <v>0</v>
      </c>
      <c r="S4481" s="58">
        <v>0</v>
      </c>
      <c r="T4481" s="58">
        <v>0</v>
      </c>
      <c r="U4481" s="58">
        <v>0</v>
      </c>
      <c r="V4481" s="58">
        <v>0</v>
      </c>
      <c r="W4481" s="4">
        <v>1</v>
      </c>
    </row>
    <row r="4482" spans="1:23" x14ac:dyDescent="0.35">
      <c r="A4482">
        <v>4478</v>
      </c>
      <c r="B4482">
        <v>4479</v>
      </c>
      <c r="C4482">
        <v>146.05492330000001</v>
      </c>
      <c r="D4482">
        <v>-17.521563449999999</v>
      </c>
      <c r="F4482" t="str">
        <f>HYPERLINK("D:\Data From Lucan\2024\Johnstone\Frames_for_Analysis\4479_20240610_0005_L_3370.jpg","4479_20240610_0005_L_3370.jpg")</f>
        <v>4479_20240610_0005_L_3370.jpg</v>
      </c>
      <c r="G4482">
        <v>2</v>
      </c>
      <c r="I4482">
        <f t="shared" si="69"/>
        <v>0</v>
      </c>
      <c r="J4482" s="58">
        <v>0</v>
      </c>
      <c r="O4482">
        <v>1</v>
      </c>
      <c r="P4482" s="58">
        <v>0</v>
      </c>
      <c r="Q4482" s="58">
        <v>0</v>
      </c>
      <c r="R4482" s="58">
        <v>0</v>
      </c>
      <c r="S4482" s="58">
        <v>0</v>
      </c>
      <c r="T4482" s="58">
        <v>0</v>
      </c>
      <c r="U4482" s="58">
        <v>0</v>
      </c>
      <c r="V4482" s="58">
        <v>0</v>
      </c>
      <c r="W4482" s="4">
        <v>1</v>
      </c>
    </row>
    <row r="4483" spans="1:23" x14ac:dyDescent="0.35">
      <c r="A4483">
        <v>4479</v>
      </c>
      <c r="B4483">
        <v>4480</v>
      </c>
      <c r="C4483">
        <v>146.05501530000001</v>
      </c>
      <c r="D4483">
        <v>-17.521584359999999</v>
      </c>
      <c r="F4483" t="str">
        <f>HYPERLINK("D:\Data From Lucan\2024\Johnstone\Frames_for_Analysis\4480_20240610_0005_L_3373.jpg","4480_20240610_0005_L_3373.jpg")</f>
        <v>4480_20240610_0005_L_3373.jpg</v>
      </c>
      <c r="G4483">
        <v>2</v>
      </c>
      <c r="I4483">
        <f t="shared" si="69"/>
        <v>1</v>
      </c>
      <c r="J4483" s="58">
        <v>1</v>
      </c>
      <c r="O4483">
        <v>1</v>
      </c>
      <c r="P4483" s="58">
        <v>0</v>
      </c>
      <c r="Q4483" s="58">
        <v>0</v>
      </c>
      <c r="R4483" s="58">
        <v>0</v>
      </c>
      <c r="S4483" s="58">
        <v>0</v>
      </c>
      <c r="T4483" s="58">
        <v>0</v>
      </c>
      <c r="U4483" s="58">
        <v>0</v>
      </c>
      <c r="V4483" s="58">
        <v>0</v>
      </c>
      <c r="W4483" s="4">
        <v>1</v>
      </c>
    </row>
    <row r="4484" spans="1:23" x14ac:dyDescent="0.35">
      <c r="A4484">
        <v>4480</v>
      </c>
      <c r="B4484">
        <v>4481</v>
      </c>
      <c r="C4484">
        <v>146.05510820000001</v>
      </c>
      <c r="D4484">
        <v>-17.52159928</v>
      </c>
      <c r="F4484" t="str">
        <f>HYPERLINK("D:\Data From Lucan\2024\Johnstone\Frames_for_Analysis\4481_20240610_0005_L_3377.jpg","4481_20240610_0005_L_3377.jpg")</f>
        <v>4481_20240610_0005_L_3377.jpg</v>
      </c>
      <c r="G4484">
        <v>2</v>
      </c>
      <c r="I4484">
        <f t="shared" si="69"/>
        <v>1</v>
      </c>
      <c r="J4484" s="58">
        <v>1</v>
      </c>
      <c r="O4484">
        <v>1</v>
      </c>
      <c r="P4484" s="58">
        <v>0</v>
      </c>
      <c r="Q4484" s="58">
        <v>0</v>
      </c>
      <c r="R4484" s="58">
        <v>0</v>
      </c>
      <c r="S4484" s="58">
        <v>0</v>
      </c>
      <c r="T4484" s="58">
        <v>0</v>
      </c>
      <c r="U4484" s="58">
        <v>0</v>
      </c>
      <c r="V4484" s="58">
        <v>0</v>
      </c>
      <c r="W4484" s="4">
        <v>1</v>
      </c>
    </row>
    <row r="4485" spans="1:23" x14ac:dyDescent="0.35">
      <c r="A4485">
        <v>4481</v>
      </c>
      <c r="B4485">
        <v>4482</v>
      </c>
      <c r="C4485">
        <v>146.05520200000001</v>
      </c>
      <c r="D4485">
        <v>-17.521608730000001</v>
      </c>
      <c r="F4485" t="str">
        <f>HYPERLINK("D:\Data From Lucan\2024\Johnstone\Frames_for_Analysis\4482_20240610_0005_L_3381.jpg","4482_20240610_0005_L_3381.jpg")</f>
        <v>4482_20240610_0005_L_3381.jpg</v>
      </c>
      <c r="G4485">
        <v>2</v>
      </c>
      <c r="I4485">
        <f t="shared" ref="I4485:I4548" si="70">IF(H4485="X","X",IF(J4485="NA","X",IF(J4485="","X",J4485)))</f>
        <v>1</v>
      </c>
      <c r="J4485" s="58">
        <v>1</v>
      </c>
      <c r="O4485">
        <v>1</v>
      </c>
      <c r="P4485" s="58">
        <v>0</v>
      </c>
      <c r="Q4485" s="58">
        <v>0</v>
      </c>
      <c r="R4485" s="58">
        <v>0</v>
      </c>
      <c r="S4485" s="58">
        <v>0</v>
      </c>
      <c r="T4485" s="58">
        <v>0</v>
      </c>
      <c r="U4485" s="58">
        <v>0</v>
      </c>
      <c r="V4485" s="58">
        <v>0</v>
      </c>
      <c r="W4485" s="4">
        <v>1</v>
      </c>
    </row>
    <row r="4486" spans="1:23" x14ac:dyDescent="0.35">
      <c r="A4486">
        <v>4482</v>
      </c>
      <c r="B4486">
        <v>4483</v>
      </c>
      <c r="C4486">
        <v>146.0552959</v>
      </c>
      <c r="D4486">
        <v>-17.521618190000002</v>
      </c>
      <c r="F4486" t="str">
        <f>HYPERLINK("D:\Data From Lucan\2024\Johnstone\Frames_for_Analysis\4483_20240610_0005_L_3383.jpg","4483_20240610_0005_L_3383.jpg")</f>
        <v>4483_20240610_0005_L_3383.jpg</v>
      </c>
      <c r="G4486">
        <v>2</v>
      </c>
      <c r="I4486">
        <v>0</v>
      </c>
      <c r="J4486" s="58">
        <v>2</v>
      </c>
      <c r="O4486">
        <v>1</v>
      </c>
      <c r="P4486" s="58">
        <v>0</v>
      </c>
      <c r="Q4486" s="58">
        <v>0</v>
      </c>
      <c r="R4486" s="58">
        <v>0</v>
      </c>
      <c r="S4486" s="58">
        <v>0</v>
      </c>
      <c r="T4486" s="58">
        <v>0</v>
      </c>
      <c r="U4486" s="58">
        <v>0</v>
      </c>
      <c r="V4486" s="58">
        <v>0</v>
      </c>
      <c r="W4486" s="4">
        <v>1</v>
      </c>
    </row>
    <row r="4487" spans="1:23" x14ac:dyDescent="0.35">
      <c r="A4487">
        <v>4483</v>
      </c>
      <c r="B4487">
        <v>4484</v>
      </c>
      <c r="C4487">
        <v>146.05538970000001</v>
      </c>
      <c r="D4487">
        <v>-17.521627639999998</v>
      </c>
      <c r="F4487" t="str">
        <f>HYPERLINK("D:\Data From Lucan\2024\Johnstone\Frames_for_Analysis\4484_20240610_0005_L_3389.jpg","4484_20240610_0005_L_3389.jpg")</f>
        <v>4484_20240610_0005_L_3389.jpg</v>
      </c>
      <c r="G4487">
        <v>2</v>
      </c>
      <c r="I4487">
        <f t="shared" si="70"/>
        <v>1</v>
      </c>
      <c r="J4487" s="58">
        <v>1</v>
      </c>
      <c r="O4487">
        <v>1</v>
      </c>
      <c r="P4487" s="58">
        <v>0</v>
      </c>
      <c r="Q4487" s="58">
        <v>0</v>
      </c>
      <c r="R4487" s="58">
        <v>0</v>
      </c>
      <c r="S4487" s="58">
        <v>0</v>
      </c>
      <c r="T4487" s="58">
        <v>0</v>
      </c>
      <c r="U4487" s="58">
        <v>0</v>
      </c>
      <c r="V4487" s="58">
        <v>0</v>
      </c>
      <c r="W4487" s="4">
        <v>1</v>
      </c>
    </row>
    <row r="4488" spans="1:23" x14ac:dyDescent="0.35">
      <c r="A4488">
        <v>4484</v>
      </c>
      <c r="B4488">
        <v>4485</v>
      </c>
      <c r="C4488">
        <v>146.0554836</v>
      </c>
      <c r="D4488">
        <v>-17.521634219999999</v>
      </c>
      <c r="F4488" t="str">
        <f>HYPERLINK("D:\Data From Lucan\2024\Johnstone\Frames_for_Analysis\4485_20240610_0005_L_3394.jpg","4485_20240610_0005_L_3394.jpg")</f>
        <v>4485_20240610_0005_L_3394.jpg</v>
      </c>
      <c r="G4488">
        <v>2</v>
      </c>
      <c r="I4488">
        <f t="shared" si="70"/>
        <v>1</v>
      </c>
      <c r="J4488" s="58">
        <v>1</v>
      </c>
      <c r="O4488">
        <v>1</v>
      </c>
      <c r="P4488" s="58">
        <v>0</v>
      </c>
      <c r="Q4488" s="58">
        <v>0</v>
      </c>
      <c r="R4488" s="58">
        <v>0</v>
      </c>
      <c r="S4488" s="58">
        <v>0</v>
      </c>
      <c r="T4488" s="58">
        <v>0</v>
      </c>
      <c r="U4488" s="58">
        <v>0</v>
      </c>
      <c r="V4488" s="58">
        <v>0</v>
      </c>
      <c r="W4488" s="4">
        <v>1</v>
      </c>
    </row>
    <row r="4489" spans="1:23" x14ac:dyDescent="0.35">
      <c r="A4489">
        <v>4485</v>
      </c>
      <c r="B4489">
        <v>4486</v>
      </c>
      <c r="C4489">
        <v>146.0555779</v>
      </c>
      <c r="D4489">
        <v>-17.521633510000001</v>
      </c>
      <c r="F4489" t="str">
        <f>HYPERLINK("D:\Data From Lucan\2024\Johnstone\Frames_for_Analysis\4486_20240610_0005_L_3400.jpg","4486_20240610_0005_L_3400.jpg")</f>
        <v>4486_20240610_0005_L_3400.jpg</v>
      </c>
      <c r="G4489">
        <v>2</v>
      </c>
      <c r="I4489">
        <f t="shared" si="70"/>
        <v>1</v>
      </c>
      <c r="J4489" s="58">
        <v>1</v>
      </c>
      <c r="O4489">
        <v>1</v>
      </c>
      <c r="P4489" s="58">
        <v>0</v>
      </c>
      <c r="Q4489" s="58">
        <v>0</v>
      </c>
      <c r="R4489" s="58">
        <v>0</v>
      </c>
      <c r="S4489" s="58">
        <v>0</v>
      </c>
      <c r="T4489" s="58">
        <v>0</v>
      </c>
      <c r="U4489" s="58">
        <v>0</v>
      </c>
      <c r="V4489" s="58">
        <v>0</v>
      </c>
      <c r="W4489" s="4">
        <v>1</v>
      </c>
    </row>
    <row r="4490" spans="1:23" x14ac:dyDescent="0.35">
      <c r="A4490">
        <v>4486</v>
      </c>
      <c r="B4490">
        <v>4487</v>
      </c>
      <c r="C4490">
        <v>146.0556722</v>
      </c>
      <c r="D4490">
        <v>-17.521632799999999</v>
      </c>
      <c r="F4490" t="str">
        <f>HYPERLINK("D:\Data From Lucan\2024\Johnstone\Frames_for_Analysis\4487_20240610_0005_L_3411.jpg","4487_20240610_0005_L_3411.jpg")</f>
        <v>4487_20240610_0005_L_3411.jpg</v>
      </c>
      <c r="G4490">
        <v>2</v>
      </c>
      <c r="I4490">
        <f t="shared" si="70"/>
        <v>1</v>
      </c>
      <c r="J4490" s="58">
        <v>1</v>
      </c>
      <c r="O4490">
        <v>1</v>
      </c>
      <c r="P4490" s="58">
        <v>0</v>
      </c>
      <c r="Q4490" s="58">
        <v>0</v>
      </c>
      <c r="R4490" s="58">
        <v>0</v>
      </c>
      <c r="S4490" s="58">
        <v>0</v>
      </c>
      <c r="T4490" s="58">
        <v>0</v>
      </c>
      <c r="U4490" s="58">
        <v>0</v>
      </c>
      <c r="V4490" s="58">
        <v>0</v>
      </c>
      <c r="W4490" s="4">
        <v>1</v>
      </c>
    </row>
    <row r="4491" spans="1:23" x14ac:dyDescent="0.35">
      <c r="A4491">
        <v>4487</v>
      </c>
      <c r="B4491">
        <v>4488</v>
      </c>
      <c r="C4491">
        <v>146.0557665</v>
      </c>
      <c r="D4491">
        <v>-17.521632090000001</v>
      </c>
      <c r="F4491" t="str">
        <f>HYPERLINK("D:\Data From Lucan\2024\Johnstone\Frames_for_Analysis\4488_20240610_0005_L_3415.jpg","4488_20240610_0005_L_3415.jpg")</f>
        <v>4488_20240610_0005_L_3415.jpg</v>
      </c>
      <c r="G4491">
        <v>2</v>
      </c>
      <c r="I4491">
        <f t="shared" si="70"/>
        <v>1</v>
      </c>
      <c r="J4491" s="58">
        <v>1</v>
      </c>
      <c r="O4491">
        <v>1</v>
      </c>
      <c r="P4491" s="58">
        <v>0</v>
      </c>
      <c r="Q4491" s="58">
        <v>0</v>
      </c>
      <c r="R4491" s="58">
        <v>0</v>
      </c>
      <c r="S4491" s="58">
        <v>0</v>
      </c>
      <c r="T4491" s="58">
        <v>0</v>
      </c>
      <c r="U4491" s="58">
        <v>0</v>
      </c>
      <c r="V4491" s="58">
        <v>0</v>
      </c>
      <c r="W4491" s="4">
        <v>1</v>
      </c>
    </row>
    <row r="4492" spans="1:23" x14ac:dyDescent="0.35">
      <c r="A4492">
        <v>4488</v>
      </c>
      <c r="B4492">
        <v>4489</v>
      </c>
      <c r="C4492">
        <v>146.0558609</v>
      </c>
      <c r="D4492">
        <v>-17.521631379999999</v>
      </c>
      <c r="F4492" t="str">
        <f>HYPERLINK("D:\Data From Lucan\2024\Johnstone\Frames_for_Analysis\4489_20240610_0005_L_3424.jpg","4489_20240610_0005_L_3424.jpg")</f>
        <v>4489_20240610_0005_L_3424.jpg</v>
      </c>
      <c r="G4492">
        <v>2</v>
      </c>
      <c r="I4492">
        <f t="shared" si="70"/>
        <v>1</v>
      </c>
      <c r="J4492" s="58">
        <v>1</v>
      </c>
      <c r="O4492">
        <v>1</v>
      </c>
      <c r="P4492" s="58">
        <v>0</v>
      </c>
      <c r="Q4492" s="58">
        <v>0</v>
      </c>
      <c r="R4492" s="58">
        <v>0</v>
      </c>
      <c r="S4492" s="58">
        <v>0</v>
      </c>
      <c r="T4492" s="58">
        <v>0</v>
      </c>
      <c r="U4492" s="58">
        <v>0</v>
      </c>
      <c r="V4492" s="58">
        <v>0</v>
      </c>
      <c r="W4492" s="4">
        <v>1</v>
      </c>
    </row>
    <row r="4493" spans="1:23" x14ac:dyDescent="0.35">
      <c r="A4493">
        <v>4489</v>
      </c>
      <c r="B4493">
        <v>4490</v>
      </c>
      <c r="C4493">
        <v>146.0559528</v>
      </c>
      <c r="D4493">
        <v>-17.521615329999999</v>
      </c>
      <c r="F4493" t="str">
        <f>HYPERLINK("D:\Data From Lucan\2024\Johnstone\Frames_for_Analysis\4490_20240610_0005_L_3430.jpg","4490_20240610_0005_L_3430.jpg")</f>
        <v>4490_20240610_0005_L_3430.jpg</v>
      </c>
      <c r="G4493">
        <v>2</v>
      </c>
      <c r="I4493">
        <f t="shared" si="70"/>
        <v>1</v>
      </c>
      <c r="J4493" s="58">
        <v>1</v>
      </c>
      <c r="O4493">
        <v>1</v>
      </c>
      <c r="P4493" s="58">
        <v>0</v>
      </c>
      <c r="Q4493" s="58">
        <v>0</v>
      </c>
      <c r="R4493" s="58">
        <v>0</v>
      </c>
      <c r="S4493" s="58">
        <v>0</v>
      </c>
      <c r="T4493" s="58">
        <v>0</v>
      </c>
      <c r="U4493" s="58">
        <v>0</v>
      </c>
      <c r="V4493" s="58">
        <v>0</v>
      </c>
      <c r="W4493" s="4">
        <v>1</v>
      </c>
    </row>
    <row r="4494" spans="1:23" x14ac:dyDescent="0.35">
      <c r="A4494">
        <v>4490</v>
      </c>
      <c r="B4494">
        <v>4491</v>
      </c>
      <c r="C4494">
        <v>146.05604310000001</v>
      </c>
      <c r="D4494">
        <v>-17.521588149999999</v>
      </c>
      <c r="F4494" t="str">
        <f>HYPERLINK("D:\Data From Lucan\2024\Johnstone\Frames_for_Analysis\4491_20240610_0005_L_3435.jpg","4491_20240610_0005_L_3435.jpg")</f>
        <v>4491_20240610_0005_L_3435.jpg</v>
      </c>
      <c r="G4494">
        <v>2</v>
      </c>
      <c r="I4494">
        <f t="shared" si="70"/>
        <v>1</v>
      </c>
      <c r="J4494" s="58">
        <v>1</v>
      </c>
      <c r="O4494">
        <v>1</v>
      </c>
      <c r="P4494" s="58">
        <v>0</v>
      </c>
      <c r="Q4494" s="58">
        <v>0</v>
      </c>
      <c r="R4494" s="58">
        <v>0</v>
      </c>
      <c r="S4494" s="58">
        <v>0</v>
      </c>
      <c r="T4494" s="58">
        <v>0</v>
      </c>
      <c r="U4494" s="58">
        <v>0</v>
      </c>
      <c r="V4494" s="58">
        <v>0</v>
      </c>
      <c r="W4494" s="4">
        <v>1</v>
      </c>
    </row>
    <row r="4495" spans="1:23" x14ac:dyDescent="0.35">
      <c r="A4495">
        <v>4491</v>
      </c>
      <c r="B4495">
        <v>4492</v>
      </c>
      <c r="C4495">
        <v>146.05613339999999</v>
      </c>
      <c r="D4495">
        <v>-17.521560969999999</v>
      </c>
      <c r="F4495" t="str">
        <f>HYPERLINK("D:\Data From Lucan\2024\Johnstone\Frames_for_Analysis\4492_20240610_0005_L_3440.jpg","4492_20240610_0005_L_3440.jpg")</f>
        <v>4492_20240610_0005_L_3440.jpg</v>
      </c>
      <c r="G4495">
        <v>2</v>
      </c>
      <c r="I4495">
        <f t="shared" si="70"/>
        <v>1</v>
      </c>
      <c r="J4495" s="58">
        <v>1</v>
      </c>
      <c r="O4495">
        <v>1</v>
      </c>
      <c r="P4495" s="58">
        <v>0</v>
      </c>
      <c r="Q4495" s="58">
        <v>0</v>
      </c>
      <c r="R4495" s="58">
        <v>0</v>
      </c>
      <c r="S4495" s="58">
        <v>0</v>
      </c>
      <c r="T4495" s="58">
        <v>0</v>
      </c>
      <c r="U4495" s="58">
        <v>0</v>
      </c>
      <c r="V4495" s="58">
        <v>0</v>
      </c>
      <c r="W4495" s="4">
        <v>1</v>
      </c>
    </row>
    <row r="4496" spans="1:23" x14ac:dyDescent="0.35">
      <c r="A4496">
        <v>4492</v>
      </c>
      <c r="B4496">
        <v>4493</v>
      </c>
      <c r="C4496">
        <v>146.0562166</v>
      </c>
      <c r="D4496">
        <v>-17.521518480000001</v>
      </c>
      <c r="F4496" t="str">
        <f>HYPERLINK("D:\Data From Lucan\2024\Johnstone\Frames_for_Analysis\4493_20240610_0005_L_3442.jpg","4493_20240610_0005_L_3442.jpg")</f>
        <v>4493_20240610_0005_L_3442.jpg</v>
      </c>
      <c r="G4496">
        <v>2</v>
      </c>
      <c r="H4496" t="s">
        <v>26</v>
      </c>
      <c r="I4496" t="str">
        <f t="shared" si="70"/>
        <v>X</v>
      </c>
      <c r="O4496">
        <v>1</v>
      </c>
      <c r="P4496" s="58">
        <v>0</v>
      </c>
      <c r="Q4496" s="58">
        <v>0</v>
      </c>
      <c r="S4496" s="58">
        <v>0</v>
      </c>
      <c r="T4496" s="58">
        <v>0</v>
      </c>
      <c r="U4496" s="58">
        <v>0</v>
      </c>
      <c r="V4496" s="58">
        <v>0</v>
      </c>
      <c r="W4496" s="4"/>
    </row>
    <row r="4497" spans="1:23" x14ac:dyDescent="0.35">
      <c r="A4497">
        <v>4493</v>
      </c>
      <c r="B4497">
        <v>4494</v>
      </c>
      <c r="C4497">
        <v>146.05629519999999</v>
      </c>
      <c r="D4497">
        <v>-17.521466449999998</v>
      </c>
      <c r="G4497">
        <v>2</v>
      </c>
      <c r="H4497" t="s">
        <v>26</v>
      </c>
      <c r="I4497" t="str">
        <f t="shared" si="70"/>
        <v>X</v>
      </c>
      <c r="W4497" s="4"/>
    </row>
    <row r="4498" spans="1:23" x14ac:dyDescent="0.35">
      <c r="A4498">
        <v>4494</v>
      </c>
      <c r="B4498">
        <v>4495</v>
      </c>
      <c r="C4498">
        <v>146.05637490000001</v>
      </c>
      <c r="D4498">
        <v>-17.521416169999998</v>
      </c>
      <c r="G4498">
        <v>2</v>
      </c>
      <c r="H4498" t="s">
        <v>26</v>
      </c>
      <c r="I4498" t="str">
        <f t="shared" si="70"/>
        <v>X</v>
      </c>
      <c r="W4498" s="4"/>
    </row>
    <row r="4499" spans="1:23" x14ac:dyDescent="0.35">
      <c r="A4499">
        <v>4495</v>
      </c>
      <c r="B4499">
        <v>4496</v>
      </c>
      <c r="C4499">
        <v>146.05645820000001</v>
      </c>
      <c r="D4499">
        <v>-17.52137205</v>
      </c>
      <c r="F4499" t="str">
        <f>HYPERLINK("D:\Data From Lucan\2024\Johnstone\Frames_for_Analysis\4496_20240610_0002_R_0925.jpg","4496_20240610_0002_R_0925.jpg")</f>
        <v>4496_20240610_0002_R_0925.jpg</v>
      </c>
      <c r="G4499">
        <v>2</v>
      </c>
      <c r="I4499">
        <f t="shared" si="70"/>
        <v>1</v>
      </c>
      <c r="J4499" s="58">
        <v>1</v>
      </c>
      <c r="O4499">
        <v>1</v>
      </c>
      <c r="P4499" s="58">
        <v>0</v>
      </c>
      <c r="Q4499" s="58">
        <v>0</v>
      </c>
      <c r="R4499" s="58">
        <v>0</v>
      </c>
      <c r="S4499" s="58">
        <v>0</v>
      </c>
      <c r="T4499" s="58">
        <v>0</v>
      </c>
      <c r="U4499" s="58">
        <v>0</v>
      </c>
      <c r="V4499" s="58">
        <v>0</v>
      </c>
      <c r="W4499" s="4">
        <v>1</v>
      </c>
    </row>
    <row r="4500" spans="1:23" x14ac:dyDescent="0.35">
      <c r="A4500">
        <v>4496</v>
      </c>
      <c r="B4500">
        <v>4497</v>
      </c>
      <c r="C4500">
        <v>146.0565416</v>
      </c>
      <c r="D4500">
        <v>-17.521327939999999</v>
      </c>
      <c r="F4500" t="str">
        <f>HYPERLINK("D:\Data From Lucan\2024\Johnstone\Frames_for_Analysis\4497_20240610_0002_R_0921.jpg","4497_20240610_0002_R_0921.jpg")</f>
        <v>4497_20240610_0002_R_0921.jpg</v>
      </c>
      <c r="G4500">
        <v>2</v>
      </c>
      <c r="I4500">
        <f t="shared" si="70"/>
        <v>0</v>
      </c>
      <c r="J4500" s="58">
        <v>0</v>
      </c>
      <c r="O4500">
        <v>1</v>
      </c>
      <c r="P4500" s="58">
        <v>0</v>
      </c>
      <c r="Q4500" s="58">
        <v>0</v>
      </c>
      <c r="R4500" s="58">
        <v>0</v>
      </c>
      <c r="S4500" s="58">
        <v>0</v>
      </c>
      <c r="T4500" s="58">
        <v>0</v>
      </c>
      <c r="U4500" s="58">
        <v>0</v>
      </c>
      <c r="V4500" s="58">
        <v>0</v>
      </c>
      <c r="W4500" s="4">
        <v>0</v>
      </c>
    </row>
    <row r="4501" spans="1:23" x14ac:dyDescent="0.35">
      <c r="A4501">
        <v>4497</v>
      </c>
      <c r="B4501">
        <v>4498</v>
      </c>
      <c r="C4501">
        <v>146.0566221</v>
      </c>
      <c r="D4501">
        <v>-17.521279499999999</v>
      </c>
      <c r="F4501" t="str">
        <f>HYPERLINK("D:\Data From Lucan\2024\Johnstone\Frames_for_Analysis\4498_20240610_0002_R_0917.jpg","4498_20240610_0002_R_0917.jpg")</f>
        <v>4498_20240610_0002_R_0917.jpg</v>
      </c>
      <c r="G4501">
        <v>2</v>
      </c>
      <c r="I4501">
        <f t="shared" si="70"/>
        <v>0</v>
      </c>
      <c r="J4501" s="58">
        <v>0</v>
      </c>
      <c r="O4501">
        <v>1</v>
      </c>
      <c r="P4501" s="58">
        <v>0</v>
      </c>
      <c r="Q4501" s="58">
        <v>0</v>
      </c>
      <c r="R4501" s="58">
        <v>0</v>
      </c>
      <c r="S4501" s="58">
        <v>0</v>
      </c>
      <c r="T4501" s="58">
        <v>0</v>
      </c>
      <c r="U4501" s="58">
        <v>0</v>
      </c>
      <c r="V4501" s="58">
        <v>0</v>
      </c>
      <c r="W4501" s="4">
        <v>0</v>
      </c>
    </row>
    <row r="4502" spans="1:23" x14ac:dyDescent="0.35">
      <c r="A4502">
        <v>4498</v>
      </c>
      <c r="B4502">
        <v>4499</v>
      </c>
      <c r="C4502">
        <v>146.05669520000001</v>
      </c>
      <c r="D4502">
        <v>-17.52121996</v>
      </c>
      <c r="F4502" t="str">
        <f>HYPERLINK("D:\Data From Lucan\2024\Johnstone\Frames_for_Analysis\4499_20240610_0002_R_0910.jpg","4499_20240610_0002_R_0910.jpg")</f>
        <v>4499_20240610_0002_R_0910.jpg</v>
      </c>
      <c r="G4502">
        <v>2</v>
      </c>
      <c r="I4502">
        <f t="shared" si="70"/>
        <v>1</v>
      </c>
      <c r="J4502" s="58">
        <v>1</v>
      </c>
      <c r="O4502">
        <v>1</v>
      </c>
      <c r="P4502" s="58">
        <v>0</v>
      </c>
      <c r="Q4502" s="58">
        <v>0</v>
      </c>
      <c r="R4502" s="58">
        <v>0</v>
      </c>
      <c r="S4502" s="58">
        <v>0</v>
      </c>
      <c r="T4502" s="58">
        <v>0</v>
      </c>
      <c r="U4502" s="58">
        <v>0</v>
      </c>
      <c r="V4502" s="58">
        <v>0</v>
      </c>
      <c r="W4502" s="4">
        <v>0</v>
      </c>
    </row>
    <row r="4503" spans="1:23" x14ac:dyDescent="0.35">
      <c r="A4503">
        <v>4499</v>
      </c>
      <c r="B4503">
        <v>4500</v>
      </c>
      <c r="C4503">
        <v>146.05676639999999</v>
      </c>
      <c r="D4503">
        <v>-17.521158660000001</v>
      </c>
      <c r="F4503" t="str">
        <f>HYPERLINK("D:\Data From Lucan\2024\Johnstone\Frames_for_Analysis\4500_20240610_0002_R_0906.jpg","4500_20240610_0002_R_0906.jpg")</f>
        <v>4500_20240610_0002_R_0906.jpg</v>
      </c>
      <c r="G4503">
        <v>2</v>
      </c>
      <c r="I4503">
        <f t="shared" si="70"/>
        <v>1</v>
      </c>
      <c r="J4503" s="58">
        <v>1</v>
      </c>
      <c r="O4503">
        <v>1</v>
      </c>
      <c r="P4503" s="58">
        <v>0</v>
      </c>
      <c r="Q4503" s="58">
        <v>0</v>
      </c>
      <c r="R4503" s="58">
        <v>0</v>
      </c>
      <c r="S4503" s="58">
        <v>0</v>
      </c>
      <c r="T4503" s="58">
        <v>0</v>
      </c>
      <c r="U4503" s="58">
        <v>0</v>
      </c>
      <c r="V4503" s="58">
        <v>0</v>
      </c>
      <c r="W4503" s="4">
        <v>0</v>
      </c>
    </row>
    <row r="4504" spans="1:23" x14ac:dyDescent="0.35">
      <c r="A4504">
        <v>4500</v>
      </c>
      <c r="B4504">
        <v>4501</v>
      </c>
      <c r="C4504">
        <v>146.05681910000001</v>
      </c>
      <c r="D4504">
        <v>-17.521080470000001</v>
      </c>
      <c r="F4504" t="str">
        <f>HYPERLINK("D:\Data From Lucan\2024\Johnstone\Frames_for_Analysis\4501_20240610_0002_R_0901.jpg","4501_20240610_0002_R_0901.jpg")</f>
        <v>4501_20240610_0002_R_0901.jpg</v>
      </c>
      <c r="G4504">
        <v>2</v>
      </c>
      <c r="I4504">
        <f t="shared" si="70"/>
        <v>1</v>
      </c>
      <c r="J4504" s="58">
        <v>1</v>
      </c>
      <c r="O4504">
        <v>1</v>
      </c>
      <c r="P4504" s="58">
        <v>0</v>
      </c>
      <c r="Q4504" s="58">
        <v>0</v>
      </c>
      <c r="R4504" s="58">
        <v>0</v>
      </c>
      <c r="S4504" s="58">
        <v>0</v>
      </c>
      <c r="T4504" s="58">
        <v>0</v>
      </c>
      <c r="U4504" s="58">
        <v>0</v>
      </c>
      <c r="V4504" s="58">
        <v>0</v>
      </c>
      <c r="W4504" s="4">
        <v>0</v>
      </c>
    </row>
    <row r="4505" spans="1:23" x14ac:dyDescent="0.35">
      <c r="A4505">
        <v>4501</v>
      </c>
      <c r="B4505">
        <v>4502</v>
      </c>
      <c r="C4505">
        <v>146.05687800000001</v>
      </c>
      <c r="D4505">
        <v>-17.52100759</v>
      </c>
      <c r="F4505" t="str">
        <f>HYPERLINK("D:\Data From Lucan\2024\Johnstone\Frames_for_Analysis\4502_20240610_0002_R_0898.jpg","4502_20240610_0002_R_0898.jpg")</f>
        <v>4502_20240610_0002_R_0898.jpg</v>
      </c>
      <c r="G4505">
        <v>2</v>
      </c>
      <c r="I4505">
        <f t="shared" si="70"/>
        <v>1</v>
      </c>
      <c r="J4505" s="58">
        <v>1</v>
      </c>
      <c r="O4505">
        <v>1</v>
      </c>
      <c r="P4505" s="58">
        <v>0</v>
      </c>
      <c r="Q4505" s="58">
        <v>0</v>
      </c>
      <c r="R4505" s="58">
        <v>0</v>
      </c>
      <c r="S4505" s="58">
        <v>0</v>
      </c>
      <c r="T4505" s="58">
        <v>0</v>
      </c>
      <c r="U4505" s="58">
        <v>0</v>
      </c>
      <c r="V4505" s="58">
        <v>0</v>
      </c>
      <c r="W4505" s="4">
        <v>0</v>
      </c>
    </row>
    <row r="4506" spans="1:23" x14ac:dyDescent="0.35">
      <c r="A4506">
        <v>4502</v>
      </c>
      <c r="B4506">
        <v>4503</v>
      </c>
      <c r="C4506">
        <v>146.05694790000001</v>
      </c>
      <c r="D4506">
        <v>-17.520944320000002</v>
      </c>
      <c r="F4506" t="str">
        <f>HYPERLINK("D:\Data From Lucan\2024\Johnstone\Frames_for_Analysis\4503_20240610_0002_R_0894.jpg","4503_20240610_0002_R_0894.jpg")</f>
        <v>4503_20240610_0002_R_0894.jpg</v>
      </c>
      <c r="G4506">
        <v>2</v>
      </c>
      <c r="I4506">
        <f t="shared" si="70"/>
        <v>0</v>
      </c>
      <c r="J4506" s="58">
        <v>0</v>
      </c>
      <c r="O4506">
        <v>1</v>
      </c>
      <c r="P4506" s="58">
        <v>0</v>
      </c>
      <c r="Q4506" s="58">
        <v>0</v>
      </c>
      <c r="R4506" s="58">
        <v>0</v>
      </c>
      <c r="S4506" s="58">
        <v>0</v>
      </c>
      <c r="T4506" s="58">
        <v>0</v>
      </c>
      <c r="U4506" s="58">
        <v>0</v>
      </c>
      <c r="V4506" s="58">
        <v>0</v>
      </c>
      <c r="W4506" s="4">
        <v>0</v>
      </c>
    </row>
    <row r="4507" spans="1:23" x14ac:dyDescent="0.35">
      <c r="A4507">
        <v>4503</v>
      </c>
      <c r="B4507">
        <v>4504</v>
      </c>
      <c r="C4507">
        <v>146.05701379999999</v>
      </c>
      <c r="D4507">
        <v>-17.520877030000001</v>
      </c>
      <c r="F4507" t="str">
        <f>HYPERLINK("D:\Data From Lucan\2024\Johnstone\Frames_for_Analysis\4504_20240610_0002_R_0885.jpg","4504_20240610_0002_R_0885.jpg")</f>
        <v>4504_20240610_0002_R_0885.jpg</v>
      </c>
      <c r="G4507">
        <v>2</v>
      </c>
      <c r="I4507">
        <f t="shared" si="70"/>
        <v>0</v>
      </c>
      <c r="J4507" s="58">
        <v>0</v>
      </c>
      <c r="O4507">
        <v>1</v>
      </c>
      <c r="P4507" s="58">
        <v>0</v>
      </c>
      <c r="Q4507" s="58">
        <v>0</v>
      </c>
      <c r="R4507" s="58">
        <v>0</v>
      </c>
      <c r="S4507" s="58">
        <v>0</v>
      </c>
      <c r="T4507" s="58">
        <v>0</v>
      </c>
      <c r="U4507" s="58">
        <v>0</v>
      </c>
      <c r="V4507" s="58">
        <v>0</v>
      </c>
      <c r="W4507" s="4">
        <v>0</v>
      </c>
    </row>
    <row r="4508" spans="1:23" x14ac:dyDescent="0.35">
      <c r="A4508">
        <v>4504</v>
      </c>
      <c r="B4508">
        <v>4505</v>
      </c>
      <c r="C4508">
        <v>146.05707749999999</v>
      </c>
      <c r="D4508">
        <v>-17.520807470000001</v>
      </c>
      <c r="F4508" t="str">
        <f>HYPERLINK("D:\Data From Lucan\2024\Johnstone\Frames_for_Analysis\4505_20240610_0002_R_0876.jpg","4505_20240610_0002_R_0876.jpg")</f>
        <v>4505_20240610_0002_R_0876.jpg</v>
      </c>
      <c r="G4508">
        <v>2</v>
      </c>
      <c r="I4508">
        <f t="shared" si="70"/>
        <v>0</v>
      </c>
      <c r="J4508" s="58">
        <v>0</v>
      </c>
      <c r="O4508">
        <v>1</v>
      </c>
      <c r="P4508" s="58">
        <v>0</v>
      </c>
      <c r="Q4508" s="58">
        <v>0</v>
      </c>
      <c r="R4508" s="58">
        <v>0</v>
      </c>
      <c r="S4508" s="58">
        <v>0</v>
      </c>
      <c r="T4508" s="58">
        <v>0</v>
      </c>
      <c r="U4508" s="58">
        <v>0</v>
      </c>
      <c r="V4508" s="58">
        <v>0</v>
      </c>
      <c r="W4508" s="4">
        <v>0</v>
      </c>
    </row>
    <row r="4509" spans="1:23" x14ac:dyDescent="0.35">
      <c r="A4509">
        <v>4505</v>
      </c>
      <c r="B4509">
        <v>4506</v>
      </c>
      <c r="C4509">
        <v>146.05715509999999</v>
      </c>
      <c r="D4509">
        <v>-17.520754719999999</v>
      </c>
      <c r="F4509" t="str">
        <f>HYPERLINK("D:\Data From Lucan\2024\Johnstone\Frames_for_Analysis\4506_20240610_0002_R_0870.jpg","4506_20240610_0002_R_0870.jpg")</f>
        <v>4506_20240610_0002_R_0870.jpg</v>
      </c>
      <c r="G4509">
        <v>2</v>
      </c>
      <c r="I4509">
        <f t="shared" si="70"/>
        <v>0</v>
      </c>
      <c r="J4509" s="58">
        <v>0</v>
      </c>
      <c r="O4509">
        <v>1</v>
      </c>
      <c r="P4509" s="58">
        <v>0</v>
      </c>
      <c r="Q4509" s="58">
        <v>0</v>
      </c>
      <c r="R4509" s="58">
        <v>0</v>
      </c>
      <c r="S4509" s="58">
        <v>0</v>
      </c>
      <c r="T4509" s="58">
        <v>0</v>
      </c>
      <c r="U4509" s="58">
        <v>0</v>
      </c>
      <c r="V4509" s="58">
        <v>0</v>
      </c>
      <c r="W4509" s="4">
        <v>0</v>
      </c>
    </row>
    <row r="4510" spans="1:23" x14ac:dyDescent="0.35">
      <c r="A4510">
        <v>4506</v>
      </c>
      <c r="B4510">
        <v>4507</v>
      </c>
      <c r="C4510">
        <v>146.05723660000001</v>
      </c>
      <c r="D4510">
        <v>-17.520707600000001</v>
      </c>
      <c r="F4510" t="str">
        <f>HYPERLINK("D:\Data From Lucan\2024\Johnstone\Frames_for_Analysis\4507_20240610_0002_R_0859.jpg","4507_20240610_0002_R_0859.jpg")</f>
        <v>4507_20240610_0002_R_0859.jpg</v>
      </c>
      <c r="G4510">
        <v>2</v>
      </c>
      <c r="I4510">
        <f t="shared" si="70"/>
        <v>0</v>
      </c>
      <c r="J4510" s="58">
        <v>0</v>
      </c>
      <c r="O4510">
        <v>1</v>
      </c>
      <c r="P4510" s="58">
        <v>0</v>
      </c>
      <c r="Q4510" s="58">
        <v>0</v>
      </c>
      <c r="R4510" s="58">
        <v>0</v>
      </c>
      <c r="S4510" s="58">
        <v>0</v>
      </c>
      <c r="T4510" s="58">
        <v>0</v>
      </c>
      <c r="U4510" s="58">
        <v>0</v>
      </c>
      <c r="V4510" s="58">
        <v>0</v>
      </c>
      <c r="W4510" s="4">
        <v>0</v>
      </c>
    </row>
    <row r="4511" spans="1:23" x14ac:dyDescent="0.35">
      <c r="A4511">
        <v>4507</v>
      </c>
      <c r="B4511">
        <v>4508</v>
      </c>
      <c r="C4511">
        <v>146.05732309999999</v>
      </c>
      <c r="D4511">
        <v>-17.52067006</v>
      </c>
      <c r="F4511" t="str">
        <f>HYPERLINK("D:\Data From Lucan\2024\Johnstone\Frames_for_Analysis\4508_20240610_0002_R_0851.jpg","4508_20240610_0002_R_0851.jpg")</f>
        <v>4508_20240610_0002_R_0851.jpg</v>
      </c>
      <c r="G4511">
        <v>2</v>
      </c>
      <c r="I4511">
        <f t="shared" si="70"/>
        <v>0</v>
      </c>
      <c r="J4511" s="58">
        <v>0</v>
      </c>
      <c r="O4511">
        <v>1</v>
      </c>
      <c r="P4511" s="58">
        <v>0</v>
      </c>
      <c r="Q4511" s="58">
        <v>0</v>
      </c>
      <c r="R4511" s="58">
        <v>0</v>
      </c>
      <c r="S4511" s="58">
        <v>0</v>
      </c>
      <c r="T4511" s="58">
        <v>0</v>
      </c>
      <c r="U4511" s="58">
        <v>0</v>
      </c>
      <c r="V4511" s="58">
        <v>0</v>
      </c>
      <c r="W4511" s="4">
        <v>0</v>
      </c>
    </row>
    <row r="4512" spans="1:23" x14ac:dyDescent="0.35">
      <c r="A4512">
        <v>4508</v>
      </c>
      <c r="B4512">
        <v>4509</v>
      </c>
      <c r="C4512">
        <v>146.0574029</v>
      </c>
      <c r="D4512">
        <v>-17.520620780000002</v>
      </c>
      <c r="F4512" t="str">
        <f>HYPERLINK("D:\Data From Lucan\2024\Johnstone\Frames_for_Analysis\4509_20240610_0002_R_0843.jpg","4509_20240610_0002_R_0843.jpg")</f>
        <v>4509_20240610_0002_R_0843.jpg</v>
      </c>
      <c r="G4512">
        <v>2</v>
      </c>
      <c r="I4512">
        <f t="shared" si="70"/>
        <v>0</v>
      </c>
      <c r="J4512" s="58">
        <v>0</v>
      </c>
      <c r="O4512">
        <v>1</v>
      </c>
      <c r="P4512" s="58">
        <v>0</v>
      </c>
      <c r="Q4512" s="58">
        <v>0</v>
      </c>
      <c r="R4512" s="58">
        <v>0</v>
      </c>
      <c r="S4512" s="58">
        <v>0</v>
      </c>
      <c r="T4512" s="58">
        <v>0</v>
      </c>
      <c r="U4512" s="58">
        <v>0</v>
      </c>
      <c r="V4512" s="58">
        <v>1</v>
      </c>
      <c r="W4512" s="4">
        <v>0</v>
      </c>
    </row>
    <row r="4513" spans="1:23" x14ac:dyDescent="0.35">
      <c r="A4513">
        <v>4509</v>
      </c>
      <c r="B4513">
        <v>4510</v>
      </c>
      <c r="C4513">
        <v>146.0574786</v>
      </c>
      <c r="D4513">
        <v>-17.520564530000001</v>
      </c>
      <c r="F4513" t="str">
        <f>HYPERLINK("D:\Data From Lucan\2024\Johnstone\Frames_for_Analysis\4510_20240610_0002_R_0836.jpg","4510_20240610_0002_R_0836.jpg")</f>
        <v>4510_20240610_0002_R_0836.jpg</v>
      </c>
      <c r="G4513">
        <v>2</v>
      </c>
      <c r="I4513">
        <f t="shared" si="70"/>
        <v>0</v>
      </c>
      <c r="J4513" s="58">
        <v>0</v>
      </c>
      <c r="O4513">
        <v>1</v>
      </c>
      <c r="P4513" s="58">
        <v>0</v>
      </c>
      <c r="Q4513" s="58">
        <v>0</v>
      </c>
      <c r="R4513" s="58">
        <v>0</v>
      </c>
      <c r="S4513" s="58">
        <v>0</v>
      </c>
      <c r="T4513" s="58">
        <v>0</v>
      </c>
      <c r="U4513" s="58">
        <v>0</v>
      </c>
      <c r="V4513" s="58">
        <v>0</v>
      </c>
      <c r="W4513" s="4">
        <v>0</v>
      </c>
    </row>
    <row r="4514" spans="1:23" x14ac:dyDescent="0.35">
      <c r="A4514">
        <v>4510</v>
      </c>
      <c r="B4514">
        <v>4511</v>
      </c>
      <c r="C4514">
        <v>146.0575503</v>
      </c>
      <c r="D4514">
        <v>-17.520503340000001</v>
      </c>
      <c r="F4514" t="str">
        <f>HYPERLINK("D:\Data From Lucan\2024\Johnstone\Frames_for_Analysis\4511_20240610_0002_R_0830.jpg","4511_20240610_0002_R_0830.jpg")</f>
        <v>4511_20240610_0002_R_0830.jpg</v>
      </c>
      <c r="G4514">
        <v>2</v>
      </c>
      <c r="I4514">
        <f t="shared" si="70"/>
        <v>0</v>
      </c>
      <c r="J4514" s="58">
        <v>0</v>
      </c>
      <c r="O4514">
        <v>1</v>
      </c>
      <c r="P4514" s="58">
        <v>0</v>
      </c>
      <c r="Q4514" s="58">
        <v>0</v>
      </c>
      <c r="R4514" s="58">
        <v>0</v>
      </c>
      <c r="S4514" s="58">
        <v>0</v>
      </c>
      <c r="T4514" s="58">
        <v>0</v>
      </c>
      <c r="U4514" s="58">
        <v>0</v>
      </c>
      <c r="V4514" s="58">
        <v>0</v>
      </c>
      <c r="W4514" s="4">
        <v>0</v>
      </c>
    </row>
    <row r="4515" spans="1:23" x14ac:dyDescent="0.35">
      <c r="A4515">
        <v>4511</v>
      </c>
      <c r="B4515">
        <v>4512</v>
      </c>
      <c r="C4515">
        <v>146.05762110000001</v>
      </c>
      <c r="D4515">
        <v>-17.520441170000002</v>
      </c>
      <c r="F4515" t="str">
        <f>HYPERLINK("D:\Data From Lucan\2024\Johnstone\Frames_for_Analysis\4512_20240610_0002_R_0825.jpg","4512_20240610_0002_R_0825.jpg")</f>
        <v>4512_20240610_0002_R_0825.jpg</v>
      </c>
      <c r="G4515">
        <v>2</v>
      </c>
      <c r="I4515">
        <f t="shared" si="70"/>
        <v>0</v>
      </c>
      <c r="J4515" s="58">
        <v>0</v>
      </c>
      <c r="O4515">
        <v>1</v>
      </c>
      <c r="P4515" s="58">
        <v>0</v>
      </c>
      <c r="Q4515" s="58">
        <v>0</v>
      </c>
      <c r="R4515" s="58">
        <v>0</v>
      </c>
      <c r="S4515" s="58">
        <v>0</v>
      </c>
      <c r="T4515" s="58">
        <v>0</v>
      </c>
      <c r="U4515" s="58">
        <v>0</v>
      </c>
      <c r="V4515" s="58">
        <v>0</v>
      </c>
      <c r="W4515" s="4">
        <v>0</v>
      </c>
    </row>
    <row r="4516" spans="1:23" x14ac:dyDescent="0.35">
      <c r="A4516">
        <v>4512</v>
      </c>
      <c r="B4516">
        <v>4513</v>
      </c>
      <c r="C4516">
        <v>146.0576848</v>
      </c>
      <c r="D4516">
        <v>-17.520371569999998</v>
      </c>
      <c r="F4516" t="str">
        <f>HYPERLINK("D:\Data From Lucan\2024\Johnstone\Frames_for_Analysis\4513_20240610_0002_R_0821.jpg","4513_20240610_0002_R_0821.jpg")</f>
        <v>4513_20240610_0002_R_0821.jpg</v>
      </c>
      <c r="G4516">
        <v>2</v>
      </c>
      <c r="I4516">
        <f t="shared" si="70"/>
        <v>0</v>
      </c>
      <c r="J4516" s="58">
        <v>0</v>
      </c>
      <c r="O4516">
        <v>1</v>
      </c>
      <c r="P4516" s="58">
        <v>0</v>
      </c>
      <c r="Q4516" s="58">
        <v>0</v>
      </c>
      <c r="R4516" s="58">
        <v>0</v>
      </c>
      <c r="S4516" s="58">
        <v>0</v>
      </c>
      <c r="T4516" s="58">
        <v>0</v>
      </c>
      <c r="U4516" s="58">
        <v>0</v>
      </c>
      <c r="V4516" s="58">
        <v>0</v>
      </c>
      <c r="W4516" s="4">
        <v>0</v>
      </c>
    </row>
    <row r="4517" spans="1:23" x14ac:dyDescent="0.35">
      <c r="A4517">
        <v>4513</v>
      </c>
      <c r="B4517">
        <v>4514</v>
      </c>
      <c r="C4517">
        <v>146.05774840000001</v>
      </c>
      <c r="D4517">
        <v>-17.520301969999998</v>
      </c>
      <c r="F4517" t="str">
        <f>HYPERLINK("D:\Data From Lucan\2024\Johnstone\Frames_for_Analysis\4514_20240610_0002_R_0818.jpg","4514_20240610_0002_R_0818.jpg")</f>
        <v>4514_20240610_0002_R_0818.jpg</v>
      </c>
      <c r="G4517">
        <v>2</v>
      </c>
      <c r="I4517">
        <f t="shared" si="70"/>
        <v>0</v>
      </c>
      <c r="J4517" s="58">
        <v>0</v>
      </c>
      <c r="O4517">
        <v>1</v>
      </c>
      <c r="P4517" s="58">
        <v>0</v>
      </c>
      <c r="Q4517" s="58">
        <v>0</v>
      </c>
      <c r="R4517" s="58">
        <v>0</v>
      </c>
      <c r="S4517" s="58">
        <v>0</v>
      </c>
      <c r="T4517" s="58">
        <v>0</v>
      </c>
      <c r="U4517" s="58">
        <v>0</v>
      </c>
      <c r="V4517" s="58">
        <v>1</v>
      </c>
      <c r="W4517" s="4">
        <v>0</v>
      </c>
    </row>
    <row r="4518" spans="1:23" x14ac:dyDescent="0.35">
      <c r="A4518">
        <v>4514</v>
      </c>
      <c r="B4518">
        <v>4515</v>
      </c>
      <c r="C4518">
        <v>146.0578103</v>
      </c>
      <c r="D4518">
        <v>-17.520231169999999</v>
      </c>
      <c r="F4518" t="str">
        <f>HYPERLINK("D:\Data From Lucan\2024\Johnstone\Frames_for_Analysis\4515_20240610_0002_R_0813.jpg","4515_20240610_0002_R_0813.jpg")</f>
        <v>4515_20240610_0002_R_0813.jpg</v>
      </c>
      <c r="G4518">
        <v>2</v>
      </c>
      <c r="I4518">
        <f t="shared" si="70"/>
        <v>0</v>
      </c>
      <c r="J4518" s="58">
        <v>0</v>
      </c>
      <c r="O4518">
        <v>1</v>
      </c>
      <c r="P4518" s="58">
        <v>0</v>
      </c>
      <c r="Q4518" s="58">
        <v>0</v>
      </c>
      <c r="R4518" s="58">
        <v>0</v>
      </c>
      <c r="S4518" s="58">
        <v>0</v>
      </c>
      <c r="T4518" s="58">
        <v>0</v>
      </c>
      <c r="U4518" s="58">
        <v>0</v>
      </c>
      <c r="V4518" s="58">
        <v>0</v>
      </c>
      <c r="W4518" s="4">
        <v>0</v>
      </c>
    </row>
    <row r="4519" spans="1:23" x14ac:dyDescent="0.35">
      <c r="A4519">
        <v>4515</v>
      </c>
      <c r="B4519">
        <v>4516</v>
      </c>
      <c r="C4519">
        <v>146.05785309999999</v>
      </c>
      <c r="D4519">
        <v>-17.52014715</v>
      </c>
      <c r="F4519" t="str">
        <f>HYPERLINK("D:\Data From Lucan\2024\Johnstone\Frames_for_Analysis\4516_20240610_0002_R_0810.jpg","4516_20240610_0002_R_0810.jpg")</f>
        <v>4516_20240610_0002_R_0810.jpg</v>
      </c>
      <c r="G4519">
        <v>2</v>
      </c>
      <c r="I4519">
        <f t="shared" si="70"/>
        <v>0</v>
      </c>
      <c r="J4519" s="58">
        <v>0</v>
      </c>
      <c r="O4519">
        <v>1</v>
      </c>
      <c r="P4519" s="58">
        <v>0</v>
      </c>
      <c r="Q4519" s="58">
        <v>0</v>
      </c>
      <c r="R4519" s="58">
        <v>0</v>
      </c>
      <c r="S4519" s="58">
        <v>0</v>
      </c>
      <c r="T4519" s="58">
        <v>0</v>
      </c>
      <c r="U4519" s="58">
        <v>0</v>
      </c>
      <c r="V4519" s="58">
        <v>0</v>
      </c>
      <c r="W4519" s="4">
        <v>0</v>
      </c>
    </row>
    <row r="4520" spans="1:23" x14ac:dyDescent="0.35">
      <c r="A4520">
        <v>4516</v>
      </c>
      <c r="B4520">
        <v>4517</v>
      </c>
      <c r="C4520">
        <v>146.057895</v>
      </c>
      <c r="D4520">
        <v>-17.52006269</v>
      </c>
      <c r="F4520" t="str">
        <f>HYPERLINK("D:\Data From Lucan\2024\Johnstone\Frames_for_Analysis\4517_20240610_0002_R_0806.jpg","4517_20240610_0002_R_0806.jpg")</f>
        <v>4517_20240610_0002_R_0806.jpg</v>
      </c>
      <c r="G4520">
        <v>2</v>
      </c>
      <c r="I4520">
        <f t="shared" si="70"/>
        <v>0</v>
      </c>
      <c r="J4520" s="58">
        <v>0</v>
      </c>
      <c r="O4520">
        <v>1</v>
      </c>
      <c r="P4520" s="58">
        <v>0</v>
      </c>
      <c r="Q4520" s="58">
        <v>0</v>
      </c>
      <c r="R4520" s="58">
        <v>0</v>
      </c>
      <c r="S4520" s="58">
        <v>0</v>
      </c>
      <c r="T4520" s="58">
        <v>0</v>
      </c>
      <c r="U4520" s="58">
        <v>0</v>
      </c>
      <c r="V4520" s="58">
        <v>0</v>
      </c>
      <c r="W4520" s="4">
        <v>0</v>
      </c>
    </row>
    <row r="4521" spans="1:23" x14ac:dyDescent="0.35">
      <c r="A4521">
        <v>4517</v>
      </c>
      <c r="B4521">
        <v>4518</v>
      </c>
      <c r="C4521">
        <v>146.05793349999999</v>
      </c>
      <c r="D4521">
        <v>-17.519976580000002</v>
      </c>
      <c r="F4521" t="str">
        <f>HYPERLINK("D:\Data From Lucan\2024\Johnstone\Frames_for_Analysis\4518_20240610_0002_R_0802.jpg","4518_20240610_0002_R_0802.jpg")</f>
        <v>4518_20240610_0002_R_0802.jpg</v>
      </c>
      <c r="G4521">
        <v>2</v>
      </c>
      <c r="I4521">
        <f t="shared" si="70"/>
        <v>0</v>
      </c>
      <c r="J4521" s="58">
        <v>0</v>
      </c>
      <c r="O4521">
        <v>1</v>
      </c>
      <c r="P4521" s="58">
        <v>0</v>
      </c>
      <c r="Q4521" s="58">
        <v>0</v>
      </c>
      <c r="R4521" s="58">
        <v>0</v>
      </c>
      <c r="S4521" s="58">
        <v>0</v>
      </c>
      <c r="T4521" s="58">
        <v>0</v>
      </c>
      <c r="U4521" s="58">
        <v>0</v>
      </c>
      <c r="V4521" s="58">
        <v>0</v>
      </c>
      <c r="W4521" s="4">
        <v>0</v>
      </c>
    </row>
    <row r="4522" spans="1:23" x14ac:dyDescent="0.35">
      <c r="A4522">
        <v>4518</v>
      </c>
      <c r="B4522">
        <v>4519</v>
      </c>
      <c r="C4522">
        <v>146.05797190000001</v>
      </c>
      <c r="D4522">
        <v>-17.519890459999999</v>
      </c>
      <c r="F4522" t="str">
        <f>HYPERLINK("D:\Data From Lucan\2024\Johnstone\Frames_for_Analysis\4519_20240610_0002_R_0799.jpg","4519_20240610_0002_R_0799.jpg")</f>
        <v>4519_20240610_0002_R_0799.jpg</v>
      </c>
      <c r="G4522">
        <v>2</v>
      </c>
      <c r="I4522">
        <f t="shared" si="70"/>
        <v>0</v>
      </c>
      <c r="J4522" s="58">
        <v>0</v>
      </c>
      <c r="O4522">
        <v>1</v>
      </c>
      <c r="P4522" s="58">
        <v>0</v>
      </c>
      <c r="Q4522" s="58">
        <v>0</v>
      </c>
      <c r="R4522" s="58">
        <v>0</v>
      </c>
      <c r="S4522" s="58">
        <v>0</v>
      </c>
      <c r="T4522" s="58">
        <v>0</v>
      </c>
      <c r="U4522" s="58">
        <v>0</v>
      </c>
      <c r="V4522" s="58">
        <v>0</v>
      </c>
      <c r="W4522" s="4">
        <v>0</v>
      </c>
    </row>
    <row r="4523" spans="1:23" x14ac:dyDescent="0.35">
      <c r="A4523">
        <v>4519</v>
      </c>
      <c r="B4523">
        <v>4520</v>
      </c>
      <c r="C4523">
        <v>146.05801030000001</v>
      </c>
      <c r="D4523">
        <v>-17.51980434</v>
      </c>
      <c r="F4523" t="str">
        <f>HYPERLINK("D:\Data From Lucan\2024\Johnstone\Frames_for_Analysis\4520_20240610_0002_R_0795.jpg","4520_20240610_0002_R_0795.jpg")</f>
        <v>4520_20240610_0002_R_0795.jpg</v>
      </c>
      <c r="G4523">
        <v>2</v>
      </c>
      <c r="I4523">
        <f t="shared" si="70"/>
        <v>0</v>
      </c>
      <c r="J4523" s="58">
        <v>0</v>
      </c>
      <c r="O4523">
        <v>1</v>
      </c>
      <c r="P4523" s="58">
        <v>0</v>
      </c>
      <c r="Q4523" s="58">
        <v>0</v>
      </c>
      <c r="R4523" s="58">
        <v>0</v>
      </c>
      <c r="S4523" s="58">
        <v>0</v>
      </c>
      <c r="T4523" s="58">
        <v>0</v>
      </c>
      <c r="U4523" s="58">
        <v>0</v>
      </c>
      <c r="V4523" s="58">
        <v>0</v>
      </c>
      <c r="W4523" s="4">
        <v>0</v>
      </c>
    </row>
    <row r="4524" spans="1:23" x14ac:dyDescent="0.35">
      <c r="A4524">
        <v>4520</v>
      </c>
      <c r="B4524">
        <v>4521</v>
      </c>
      <c r="C4524">
        <v>146.05804879999999</v>
      </c>
      <c r="D4524">
        <v>-17.519718229999999</v>
      </c>
      <c r="F4524" t="str">
        <f>HYPERLINK("D:\Data From Lucan\2024\Johnstone\Frames_for_Analysis\4521_20240610_0002_R_0791.jpg","4521_20240610_0002_R_0791.jpg")</f>
        <v>4521_20240610_0002_R_0791.jpg</v>
      </c>
      <c r="G4524">
        <v>2</v>
      </c>
      <c r="I4524">
        <f t="shared" si="70"/>
        <v>0</v>
      </c>
      <c r="J4524" s="58">
        <v>0</v>
      </c>
      <c r="O4524">
        <v>1</v>
      </c>
      <c r="P4524" s="58">
        <v>0</v>
      </c>
      <c r="Q4524" s="58">
        <v>0</v>
      </c>
      <c r="R4524" s="58">
        <v>0</v>
      </c>
      <c r="S4524" s="58">
        <v>0</v>
      </c>
      <c r="T4524" s="58">
        <v>0</v>
      </c>
      <c r="U4524" s="58">
        <v>0</v>
      </c>
      <c r="V4524" s="58">
        <v>0</v>
      </c>
      <c r="W4524" s="4">
        <v>0</v>
      </c>
    </row>
    <row r="4525" spans="1:23" x14ac:dyDescent="0.35">
      <c r="A4525">
        <v>4521</v>
      </c>
      <c r="B4525">
        <v>4522</v>
      </c>
      <c r="C4525">
        <v>146.05808719999999</v>
      </c>
      <c r="D4525">
        <v>-17.51963211</v>
      </c>
      <c r="F4525" t="str">
        <f>HYPERLINK("D:\Data From Lucan\2024\Johnstone\Frames_for_Analysis\4522_20240610_0002_R_0786.jpg","4522_20240610_0002_R_0786.jpg")</f>
        <v>4522_20240610_0002_R_0786.jpg</v>
      </c>
      <c r="G4525">
        <v>2</v>
      </c>
      <c r="I4525">
        <f t="shared" si="70"/>
        <v>0</v>
      </c>
      <c r="J4525" s="58">
        <v>0</v>
      </c>
      <c r="O4525">
        <v>1</v>
      </c>
      <c r="P4525" s="58">
        <v>0</v>
      </c>
      <c r="Q4525" s="58">
        <v>0</v>
      </c>
      <c r="R4525" s="58">
        <v>0</v>
      </c>
      <c r="S4525" s="58">
        <v>0</v>
      </c>
      <c r="T4525" s="58">
        <v>0</v>
      </c>
      <c r="U4525" s="58">
        <v>0</v>
      </c>
      <c r="V4525" s="58">
        <v>0</v>
      </c>
      <c r="W4525" s="4">
        <v>0</v>
      </c>
    </row>
    <row r="4526" spans="1:23" x14ac:dyDescent="0.35">
      <c r="A4526">
        <v>4522</v>
      </c>
      <c r="B4526">
        <v>4523</v>
      </c>
      <c r="C4526">
        <v>146.05812560000001</v>
      </c>
      <c r="D4526">
        <v>-17.519545990000001</v>
      </c>
      <c r="F4526" t="str">
        <f>HYPERLINK("D:\Data From Lucan\2024\Johnstone\Frames_for_Analysis\4523_20240610_0002_R_0780.jpg","4523_20240610_0002_R_0780.jpg")</f>
        <v>4523_20240610_0002_R_0780.jpg</v>
      </c>
      <c r="G4526">
        <v>2</v>
      </c>
      <c r="I4526">
        <f t="shared" si="70"/>
        <v>0</v>
      </c>
      <c r="J4526" s="58">
        <v>0</v>
      </c>
      <c r="O4526">
        <v>1</v>
      </c>
      <c r="P4526" s="58">
        <v>0</v>
      </c>
      <c r="Q4526" s="58">
        <v>0</v>
      </c>
      <c r="R4526" s="58">
        <v>0</v>
      </c>
      <c r="S4526" s="58">
        <v>0</v>
      </c>
      <c r="T4526" s="58">
        <v>0</v>
      </c>
      <c r="U4526" s="58">
        <v>0</v>
      </c>
      <c r="V4526" s="58">
        <v>0</v>
      </c>
      <c r="W4526" s="4">
        <v>0</v>
      </c>
    </row>
    <row r="4527" spans="1:23" x14ac:dyDescent="0.35">
      <c r="A4527">
        <v>4523</v>
      </c>
      <c r="B4527">
        <v>4524</v>
      </c>
      <c r="C4527">
        <v>146.0581641</v>
      </c>
      <c r="D4527">
        <v>-17.519459879999999</v>
      </c>
      <c r="F4527" t="str">
        <f>HYPERLINK("D:\Data From Lucan\2024\Johnstone\Frames_for_Analysis\4524_20240610_0002_R_0773.jpg","4524_20240610_0002_R_0773.jpg")</f>
        <v>4524_20240610_0002_R_0773.jpg</v>
      </c>
      <c r="G4527">
        <v>2</v>
      </c>
      <c r="I4527">
        <f t="shared" si="70"/>
        <v>0</v>
      </c>
      <c r="J4527" s="58">
        <v>0</v>
      </c>
      <c r="O4527">
        <v>1</v>
      </c>
      <c r="P4527" s="58">
        <v>0</v>
      </c>
      <c r="Q4527" s="58">
        <v>0</v>
      </c>
      <c r="R4527" s="58">
        <v>0</v>
      </c>
      <c r="S4527" s="58">
        <v>0</v>
      </c>
      <c r="T4527" s="58">
        <v>0</v>
      </c>
      <c r="U4527" s="58">
        <v>0</v>
      </c>
      <c r="V4527" s="58">
        <v>0</v>
      </c>
      <c r="W4527" s="4">
        <v>0</v>
      </c>
    </row>
    <row r="4528" spans="1:23" x14ac:dyDescent="0.35">
      <c r="A4528">
        <v>4524</v>
      </c>
      <c r="B4528">
        <v>4525</v>
      </c>
      <c r="C4528">
        <v>146.05820249999999</v>
      </c>
      <c r="D4528">
        <v>-17.519373760000001</v>
      </c>
      <c r="F4528" t="str">
        <f>HYPERLINK("D:\Data From Lucan\2024\Johnstone\Frames_for_Analysis\4525_20240610_0002_R_0767.jpg","4525_20240610_0002_R_0767.jpg")</f>
        <v>4525_20240610_0002_R_0767.jpg</v>
      </c>
      <c r="G4528">
        <v>2</v>
      </c>
      <c r="I4528">
        <f t="shared" si="70"/>
        <v>0</v>
      </c>
      <c r="J4528" s="58">
        <v>0</v>
      </c>
      <c r="O4528">
        <v>1</v>
      </c>
      <c r="P4528" s="58">
        <v>0</v>
      </c>
      <c r="Q4528" s="58">
        <v>0</v>
      </c>
      <c r="R4528" s="58">
        <v>0</v>
      </c>
      <c r="S4528" s="58">
        <v>0</v>
      </c>
      <c r="T4528" s="58">
        <v>0</v>
      </c>
      <c r="U4528" s="58">
        <v>0</v>
      </c>
      <c r="V4528" s="58">
        <v>0</v>
      </c>
      <c r="W4528" s="4">
        <v>0</v>
      </c>
    </row>
    <row r="4529" spans="1:23" x14ac:dyDescent="0.35">
      <c r="A4529">
        <v>4525</v>
      </c>
      <c r="B4529">
        <v>4526</v>
      </c>
      <c r="C4529">
        <v>146.05824089999999</v>
      </c>
      <c r="D4529">
        <v>-17.519287649999999</v>
      </c>
      <c r="F4529" t="str">
        <f>HYPERLINK("D:\Data From Lucan\2024\Johnstone\Frames_for_Analysis\4526_20240610_0002_R_0757.jpg","4526_20240610_0002_R_0757.jpg")</f>
        <v>4526_20240610_0002_R_0757.jpg</v>
      </c>
      <c r="G4529">
        <v>2</v>
      </c>
      <c r="I4529">
        <v>0</v>
      </c>
      <c r="J4529" s="58">
        <v>2</v>
      </c>
      <c r="O4529">
        <v>1</v>
      </c>
      <c r="P4529" s="58">
        <v>0</v>
      </c>
      <c r="Q4529" s="58">
        <v>0</v>
      </c>
      <c r="R4529" s="58">
        <v>0</v>
      </c>
      <c r="S4529" s="58">
        <v>0</v>
      </c>
      <c r="T4529" s="58">
        <v>0</v>
      </c>
      <c r="U4529" s="58">
        <v>0</v>
      </c>
      <c r="V4529" s="58">
        <v>0</v>
      </c>
      <c r="W4529" s="4">
        <v>0</v>
      </c>
    </row>
    <row r="4530" spans="1:23" x14ac:dyDescent="0.35">
      <c r="A4530">
        <v>4526</v>
      </c>
      <c r="B4530">
        <v>4527</v>
      </c>
      <c r="C4530">
        <v>146.05827880000001</v>
      </c>
      <c r="D4530">
        <v>-17.519201349999999</v>
      </c>
      <c r="F4530" t="str">
        <f>HYPERLINK("D:\Data From Lucan\2024\Johnstone\Frames_for_Analysis\4527_20240610_0002_R_0747.jpg","4527_20240610_0002_R_0747.jpg")</f>
        <v>4527_20240610_0002_R_0747.jpg</v>
      </c>
      <c r="G4530">
        <v>2</v>
      </c>
      <c r="I4530">
        <f t="shared" si="70"/>
        <v>1</v>
      </c>
      <c r="J4530" s="58">
        <v>1</v>
      </c>
      <c r="O4530">
        <v>1</v>
      </c>
      <c r="P4530" s="58">
        <v>0</v>
      </c>
      <c r="Q4530" s="58">
        <v>0</v>
      </c>
      <c r="R4530" s="58">
        <v>0</v>
      </c>
      <c r="S4530" s="58">
        <v>0</v>
      </c>
      <c r="T4530" s="58">
        <v>0</v>
      </c>
      <c r="U4530" s="58">
        <v>0</v>
      </c>
      <c r="V4530" s="58">
        <v>0</v>
      </c>
      <c r="W4530" s="4">
        <v>0</v>
      </c>
    </row>
    <row r="4531" spans="1:23" x14ac:dyDescent="0.35">
      <c r="A4531">
        <v>4527</v>
      </c>
      <c r="B4531">
        <v>4528</v>
      </c>
      <c r="C4531">
        <v>146.05829510000001</v>
      </c>
      <c r="D4531">
        <v>-17.519108460000002</v>
      </c>
      <c r="F4531" t="str">
        <f>HYPERLINK("D:\Data From Lucan\2024\Johnstone\Frames_for_Analysis\4528_20240610_0002_R_0738.jpg","4528_20240610_0002_R_0738.jpg")</f>
        <v>4528_20240610_0002_R_0738.jpg</v>
      </c>
      <c r="G4531">
        <v>2</v>
      </c>
      <c r="I4531">
        <f t="shared" si="70"/>
        <v>1</v>
      </c>
      <c r="J4531" s="58">
        <v>1</v>
      </c>
      <c r="O4531">
        <v>1</v>
      </c>
      <c r="P4531" s="58">
        <v>0</v>
      </c>
      <c r="Q4531" s="58">
        <v>0</v>
      </c>
      <c r="R4531" s="58">
        <v>0</v>
      </c>
      <c r="S4531" s="58">
        <v>0</v>
      </c>
      <c r="T4531" s="58">
        <v>0</v>
      </c>
      <c r="U4531" s="58">
        <v>0</v>
      </c>
      <c r="V4531" s="58">
        <v>0</v>
      </c>
      <c r="W4531" s="4">
        <v>0</v>
      </c>
    </row>
    <row r="4532" spans="1:23" x14ac:dyDescent="0.35">
      <c r="A4532">
        <v>4528</v>
      </c>
      <c r="B4532">
        <v>4529</v>
      </c>
      <c r="C4532">
        <v>146.05831140000001</v>
      </c>
      <c r="D4532">
        <v>-17.519015580000001</v>
      </c>
      <c r="F4532" t="str">
        <f>HYPERLINK("D:\Data From Lucan\2024\Johnstone\Frames_for_Analysis\4529_20240610_0002_R_0730.jpg","4529_20240610_0002_R_0730.jpg")</f>
        <v>4529_20240610_0002_R_0730.jpg</v>
      </c>
      <c r="G4532">
        <v>2</v>
      </c>
      <c r="I4532">
        <f t="shared" si="70"/>
        <v>1</v>
      </c>
      <c r="J4532" s="58">
        <v>1</v>
      </c>
      <c r="O4532">
        <v>1</v>
      </c>
      <c r="P4532" s="58">
        <v>0</v>
      </c>
      <c r="Q4532" s="58">
        <v>0</v>
      </c>
      <c r="R4532" s="58">
        <v>0</v>
      </c>
      <c r="S4532" s="58">
        <v>0</v>
      </c>
      <c r="T4532" s="58">
        <v>0</v>
      </c>
      <c r="U4532" s="58">
        <v>0</v>
      </c>
      <c r="V4532" s="58">
        <v>0</v>
      </c>
      <c r="W4532" s="4">
        <v>0</v>
      </c>
    </row>
    <row r="4533" spans="1:23" x14ac:dyDescent="0.35">
      <c r="A4533">
        <v>4529</v>
      </c>
      <c r="B4533">
        <v>4530</v>
      </c>
      <c r="C4533">
        <v>146.05830220000001</v>
      </c>
      <c r="D4533">
        <v>-17.518926090000001</v>
      </c>
      <c r="F4533" t="str">
        <f>HYPERLINK("D:\Data From Lucan\2024\Johnstone\Frames_for_Analysis\4530_20240610_0002_R_0720.jpg","4530_20240610_0002_R_0720.jpg")</f>
        <v>4530_20240610_0002_R_0720.jpg</v>
      </c>
      <c r="G4533">
        <v>2</v>
      </c>
      <c r="I4533">
        <f t="shared" si="70"/>
        <v>1</v>
      </c>
      <c r="J4533" s="58">
        <v>1</v>
      </c>
      <c r="O4533">
        <v>1</v>
      </c>
      <c r="P4533" s="58">
        <v>0</v>
      </c>
      <c r="Q4533" s="58">
        <v>0</v>
      </c>
      <c r="R4533" s="58">
        <v>0</v>
      </c>
      <c r="S4533" s="58">
        <v>0</v>
      </c>
      <c r="T4533" s="58">
        <v>0</v>
      </c>
      <c r="U4533" s="58">
        <v>0</v>
      </c>
      <c r="V4533" s="58">
        <v>0</v>
      </c>
      <c r="W4533" s="4">
        <v>0</v>
      </c>
    </row>
    <row r="4534" spans="1:23" x14ac:dyDescent="0.35">
      <c r="A4534">
        <v>4530</v>
      </c>
      <c r="B4534">
        <v>4531</v>
      </c>
      <c r="C4534">
        <v>146.058255</v>
      </c>
      <c r="D4534">
        <v>-17.518847610000002</v>
      </c>
      <c r="F4534" t="str">
        <f>HYPERLINK("D:\Data From Lucan\2024\Johnstone\Frames_for_Analysis\4531_20240610_0002_R_0712.jpg","4531_20240610_0002_R_0712.jpg")</f>
        <v>4531_20240610_0002_R_0712.jpg</v>
      </c>
      <c r="G4534">
        <v>2</v>
      </c>
      <c r="I4534">
        <f t="shared" si="70"/>
        <v>1</v>
      </c>
      <c r="J4534" s="58">
        <v>1</v>
      </c>
      <c r="O4534">
        <v>1</v>
      </c>
      <c r="P4534" s="58">
        <v>0</v>
      </c>
      <c r="Q4534" s="58">
        <v>0</v>
      </c>
      <c r="R4534" s="58">
        <v>0</v>
      </c>
      <c r="S4534" s="58">
        <v>0</v>
      </c>
      <c r="T4534" s="58">
        <v>0</v>
      </c>
      <c r="U4534" s="58">
        <v>0</v>
      </c>
      <c r="V4534" s="58">
        <v>0</v>
      </c>
      <c r="W4534" s="4">
        <v>0</v>
      </c>
    </row>
    <row r="4535" spans="1:23" x14ac:dyDescent="0.35">
      <c r="A4535">
        <v>4531</v>
      </c>
      <c r="B4535">
        <v>4532</v>
      </c>
      <c r="C4535">
        <v>146.05817110000001</v>
      </c>
      <c r="D4535">
        <v>-17.518804490000001</v>
      </c>
      <c r="F4535" t="str">
        <f>HYPERLINK("D:\Data From Lucan\2024\Johnstone\Frames_for_Analysis\4532_20240610_0002_R_0705.jpg","4532_20240610_0002_R_0705.jpg")</f>
        <v>4532_20240610_0002_R_0705.jpg</v>
      </c>
      <c r="G4535">
        <v>2</v>
      </c>
      <c r="I4535">
        <f t="shared" si="70"/>
        <v>1</v>
      </c>
      <c r="J4535" s="58">
        <v>1</v>
      </c>
      <c r="O4535">
        <v>1</v>
      </c>
      <c r="P4535" s="58">
        <v>0</v>
      </c>
      <c r="Q4535" s="58">
        <v>0</v>
      </c>
      <c r="R4535" s="58">
        <v>0</v>
      </c>
      <c r="S4535" s="58">
        <v>0</v>
      </c>
      <c r="T4535" s="58">
        <v>0</v>
      </c>
      <c r="U4535" s="58">
        <v>0</v>
      </c>
      <c r="V4535" s="58">
        <v>0</v>
      </c>
      <c r="W4535" s="4">
        <v>0</v>
      </c>
    </row>
    <row r="4536" spans="1:23" x14ac:dyDescent="0.35">
      <c r="A4536">
        <v>4532</v>
      </c>
      <c r="B4536">
        <v>4533</v>
      </c>
      <c r="C4536">
        <v>146.05808730000001</v>
      </c>
      <c r="D4536">
        <v>-17.518761380000001</v>
      </c>
      <c r="F4536" t="str">
        <f>HYPERLINK("D:\Data From Lucan\2024\Johnstone\Frames_for_Analysis\4533_20240610_0002_R_0700.jpg","4533_20240610_0002_R_0700.jpg")</f>
        <v>4533_20240610_0002_R_0700.jpg</v>
      </c>
      <c r="G4536">
        <v>2</v>
      </c>
      <c r="I4536">
        <f t="shared" si="70"/>
        <v>1</v>
      </c>
      <c r="J4536" s="58">
        <v>1</v>
      </c>
      <c r="O4536">
        <v>1</v>
      </c>
      <c r="P4536" s="58">
        <v>0</v>
      </c>
      <c r="Q4536" s="58">
        <v>0</v>
      </c>
      <c r="R4536" s="58">
        <v>0</v>
      </c>
      <c r="S4536" s="58">
        <v>0</v>
      </c>
      <c r="T4536" s="58">
        <v>0</v>
      </c>
      <c r="U4536" s="58">
        <v>0</v>
      </c>
      <c r="V4536" s="58">
        <v>0</v>
      </c>
      <c r="W4536" s="4">
        <v>0</v>
      </c>
    </row>
    <row r="4537" spans="1:23" x14ac:dyDescent="0.35">
      <c r="A4537">
        <v>4533</v>
      </c>
      <c r="B4537">
        <v>4534</v>
      </c>
      <c r="C4537">
        <v>146.05800339999999</v>
      </c>
      <c r="D4537">
        <v>-17.51871826</v>
      </c>
      <c r="F4537" t="str">
        <f>HYPERLINK("D:\Data From Lucan\2024\Johnstone\Frames_for_Analysis\4534_20240610_0002_R_0694.jpg","4534_20240610_0002_R_0694.jpg")</f>
        <v>4534_20240610_0002_R_0694.jpg</v>
      </c>
      <c r="G4537">
        <v>2</v>
      </c>
      <c r="I4537">
        <f t="shared" si="70"/>
        <v>1</v>
      </c>
      <c r="J4537" s="58">
        <v>1</v>
      </c>
      <c r="O4537">
        <v>1</v>
      </c>
      <c r="P4537" s="58">
        <v>0</v>
      </c>
      <c r="Q4537" s="58">
        <v>0</v>
      </c>
      <c r="R4537" s="58">
        <v>0</v>
      </c>
      <c r="S4537" s="58">
        <v>0</v>
      </c>
      <c r="T4537" s="58">
        <v>0</v>
      </c>
      <c r="U4537" s="58">
        <v>0</v>
      </c>
      <c r="V4537" s="58">
        <v>0</v>
      </c>
      <c r="W4537" s="4">
        <v>0</v>
      </c>
    </row>
    <row r="4538" spans="1:23" x14ac:dyDescent="0.35">
      <c r="A4538">
        <v>4534</v>
      </c>
      <c r="B4538">
        <v>4535</v>
      </c>
      <c r="C4538">
        <v>146.05792009999999</v>
      </c>
      <c r="D4538">
        <v>-17.518674059999999</v>
      </c>
      <c r="F4538" t="str">
        <f>HYPERLINK("D:\Data From Lucan\2024\Johnstone\Frames_for_Analysis\4535_20240610_0002_R_0690.jpg","4535_20240610_0002_R_0690.jpg")</f>
        <v>4535_20240610_0002_R_0690.jpg</v>
      </c>
      <c r="G4538">
        <v>2</v>
      </c>
      <c r="I4538">
        <f t="shared" si="70"/>
        <v>1</v>
      </c>
      <c r="J4538" s="58">
        <v>1</v>
      </c>
      <c r="O4538">
        <v>1</v>
      </c>
      <c r="P4538" s="58">
        <v>0</v>
      </c>
      <c r="Q4538" s="58">
        <v>0</v>
      </c>
      <c r="R4538" s="58">
        <v>0</v>
      </c>
      <c r="S4538" s="58">
        <v>0</v>
      </c>
      <c r="T4538" s="58">
        <v>0</v>
      </c>
      <c r="U4538" s="58">
        <v>0</v>
      </c>
      <c r="V4538" s="58">
        <v>0</v>
      </c>
      <c r="W4538" s="4">
        <v>0</v>
      </c>
    </row>
    <row r="4539" spans="1:23" x14ac:dyDescent="0.35">
      <c r="A4539">
        <v>4535</v>
      </c>
      <c r="B4539">
        <v>4536</v>
      </c>
      <c r="C4539">
        <v>146.05783700000001</v>
      </c>
      <c r="D4539">
        <v>-17.51862942</v>
      </c>
      <c r="F4539" t="str">
        <f>HYPERLINK("D:\Data From Lucan\2024\Johnstone\Frames_for_Analysis\4536_20240610_0002_R_0684.jpg","4536_20240610_0002_R_0684.jpg")</f>
        <v>4536_20240610_0002_R_0684.jpg</v>
      </c>
      <c r="G4539">
        <v>2</v>
      </c>
      <c r="I4539">
        <f t="shared" si="70"/>
        <v>1</v>
      </c>
      <c r="J4539" s="58">
        <v>1</v>
      </c>
      <c r="O4539">
        <v>1</v>
      </c>
      <c r="P4539" s="58">
        <v>0</v>
      </c>
      <c r="Q4539" s="58">
        <v>0</v>
      </c>
      <c r="R4539" s="58">
        <v>0</v>
      </c>
      <c r="S4539" s="58">
        <v>0</v>
      </c>
      <c r="T4539" s="58">
        <v>0</v>
      </c>
      <c r="U4539" s="58">
        <v>0</v>
      </c>
      <c r="V4539" s="58">
        <v>0</v>
      </c>
      <c r="W4539" s="4">
        <v>0</v>
      </c>
    </row>
    <row r="4540" spans="1:23" x14ac:dyDescent="0.35">
      <c r="A4540">
        <v>4536</v>
      </c>
      <c r="B4540">
        <v>4537</v>
      </c>
      <c r="C4540">
        <v>146.05775399999999</v>
      </c>
      <c r="D4540">
        <v>-17.518584780000001</v>
      </c>
      <c r="F4540" t="str">
        <f>HYPERLINK("D:\Data From Lucan\2024\Johnstone\Frames_for_Analysis\4537_20240610_0002_R_0670.jpg","4537_20240610_0002_R_0670.jpg")</f>
        <v>4537_20240610_0002_R_0670.jpg</v>
      </c>
      <c r="G4540">
        <v>2</v>
      </c>
      <c r="I4540">
        <f t="shared" si="70"/>
        <v>1</v>
      </c>
      <c r="J4540" s="58">
        <v>1</v>
      </c>
      <c r="O4540">
        <v>1</v>
      </c>
      <c r="P4540" s="58">
        <v>0</v>
      </c>
      <c r="Q4540" s="58">
        <v>0</v>
      </c>
      <c r="R4540" s="58">
        <v>0</v>
      </c>
      <c r="S4540" s="58">
        <v>0</v>
      </c>
      <c r="T4540" s="58">
        <v>0</v>
      </c>
      <c r="U4540" s="58">
        <v>0</v>
      </c>
      <c r="V4540" s="58">
        <v>0</v>
      </c>
      <c r="W4540" s="4">
        <v>0</v>
      </c>
    </row>
    <row r="4541" spans="1:23" x14ac:dyDescent="0.35">
      <c r="A4541">
        <v>4537</v>
      </c>
      <c r="B4541">
        <v>4538</v>
      </c>
      <c r="C4541">
        <v>146.05767090000001</v>
      </c>
      <c r="D4541">
        <v>-17.518540139999999</v>
      </c>
      <c r="F4541" t="str">
        <f>HYPERLINK("D:\Data From Lucan\2024\Johnstone\Frames_for_Analysis\4538_20240610_0002_R_0664.jpg","4538_20240610_0002_R_0664.jpg")</f>
        <v>4538_20240610_0002_R_0664.jpg</v>
      </c>
      <c r="G4541">
        <v>2</v>
      </c>
      <c r="I4541">
        <f t="shared" si="70"/>
        <v>1</v>
      </c>
      <c r="J4541" s="58">
        <v>1</v>
      </c>
      <c r="O4541">
        <v>1</v>
      </c>
      <c r="P4541" s="58">
        <v>0</v>
      </c>
      <c r="Q4541" s="58">
        <v>0</v>
      </c>
      <c r="R4541" s="58">
        <v>0</v>
      </c>
      <c r="S4541" s="58">
        <v>0</v>
      </c>
      <c r="T4541" s="58">
        <v>0</v>
      </c>
      <c r="U4541" s="58">
        <v>0</v>
      </c>
      <c r="V4541" s="58">
        <v>0</v>
      </c>
      <c r="W4541" s="4">
        <v>0</v>
      </c>
    </row>
    <row r="4542" spans="1:23" x14ac:dyDescent="0.35">
      <c r="A4542">
        <v>4538</v>
      </c>
      <c r="B4542">
        <v>4539</v>
      </c>
      <c r="C4542">
        <v>146.05759639999999</v>
      </c>
      <c r="D4542">
        <v>-17.518482559999999</v>
      </c>
      <c r="F4542" t="str">
        <f>HYPERLINK("D:\Data From Lucan\2024\Johnstone\Frames_for_Analysis\4539_20240610_0002_R_0660.jpg","4539_20240610_0002_R_0660.jpg")</f>
        <v>4539_20240610_0002_R_0660.jpg</v>
      </c>
      <c r="G4542">
        <v>2</v>
      </c>
      <c r="I4542">
        <f t="shared" si="70"/>
        <v>1</v>
      </c>
      <c r="J4542" s="58">
        <v>1</v>
      </c>
      <c r="O4542">
        <v>1</v>
      </c>
      <c r="P4542" s="58">
        <v>0</v>
      </c>
      <c r="Q4542" s="58">
        <v>0</v>
      </c>
      <c r="R4542" s="58">
        <v>0</v>
      </c>
      <c r="S4542" s="58">
        <v>0</v>
      </c>
      <c r="T4542" s="58">
        <v>0</v>
      </c>
      <c r="U4542" s="58">
        <v>0</v>
      </c>
      <c r="V4542" s="58">
        <v>0</v>
      </c>
      <c r="W4542" s="4">
        <v>0</v>
      </c>
    </row>
    <row r="4543" spans="1:23" x14ac:dyDescent="0.35">
      <c r="A4543">
        <v>4539</v>
      </c>
      <c r="B4543">
        <v>4540</v>
      </c>
      <c r="C4543">
        <v>146.05752290000001</v>
      </c>
      <c r="D4543">
        <v>-17.518423429999999</v>
      </c>
      <c r="F4543" t="str">
        <f>HYPERLINK("D:\Data From Lucan\2024\Johnstone\Frames_for_Analysis\4540_20240610_0002_R_0655.jpg","4540_20240610_0002_R_0655.jpg")</f>
        <v>4540_20240610_0002_R_0655.jpg</v>
      </c>
      <c r="G4543">
        <v>2</v>
      </c>
      <c r="I4543">
        <f t="shared" si="70"/>
        <v>1</v>
      </c>
      <c r="J4543" s="58">
        <v>1</v>
      </c>
      <c r="O4543">
        <v>1</v>
      </c>
      <c r="P4543" s="58">
        <v>0</v>
      </c>
      <c r="Q4543" s="58">
        <v>0</v>
      </c>
      <c r="R4543" s="58">
        <v>0</v>
      </c>
      <c r="S4543" s="58">
        <v>0</v>
      </c>
      <c r="T4543" s="58">
        <v>0</v>
      </c>
      <c r="U4543" s="58">
        <v>0</v>
      </c>
      <c r="V4543" s="58">
        <v>0</v>
      </c>
      <c r="W4543" s="4">
        <v>0</v>
      </c>
    </row>
    <row r="4544" spans="1:23" x14ac:dyDescent="0.35">
      <c r="A4544">
        <v>4540</v>
      </c>
      <c r="B4544">
        <v>4541</v>
      </c>
      <c r="C4544">
        <v>146.05744949999999</v>
      </c>
      <c r="D4544">
        <v>-17.518364300000002</v>
      </c>
      <c r="F4544" t="str">
        <f>HYPERLINK("D:\Data From Lucan\2024\Johnstone\Frames_for_Analysis\4541_20240610_0002_R_0651.jpg","4541_20240610_0002_R_0651.jpg")</f>
        <v>4541_20240610_0002_R_0651.jpg</v>
      </c>
      <c r="G4544">
        <v>2</v>
      </c>
      <c r="I4544">
        <f t="shared" si="70"/>
        <v>1</v>
      </c>
      <c r="J4544" s="58">
        <v>1</v>
      </c>
      <c r="O4544">
        <v>1</v>
      </c>
      <c r="P4544" s="58">
        <v>0</v>
      </c>
      <c r="Q4544" s="58">
        <v>0</v>
      </c>
      <c r="R4544" s="58">
        <v>0</v>
      </c>
      <c r="S4544" s="58">
        <v>0</v>
      </c>
      <c r="T4544" s="58">
        <v>0</v>
      </c>
      <c r="U4544" s="58">
        <v>0</v>
      </c>
      <c r="V4544" s="58">
        <v>0</v>
      </c>
      <c r="W4544" s="4">
        <v>0</v>
      </c>
    </row>
    <row r="4545" spans="1:23" x14ac:dyDescent="0.35">
      <c r="A4545">
        <v>4541</v>
      </c>
      <c r="B4545">
        <v>4542</v>
      </c>
      <c r="C4545">
        <v>146.057376</v>
      </c>
      <c r="D4545">
        <v>-17.518305170000001</v>
      </c>
      <c r="F4545" t="str">
        <f>HYPERLINK("D:\Data From Lucan\2024\Johnstone\Frames_for_Analysis\4542_20240610_0002_R_0646.jpg","4542_20240610_0002_R_0646.jpg")</f>
        <v>4542_20240610_0002_R_0646.jpg</v>
      </c>
      <c r="G4545">
        <v>2</v>
      </c>
      <c r="I4545">
        <f t="shared" si="70"/>
        <v>1</v>
      </c>
      <c r="J4545" s="58">
        <v>1</v>
      </c>
      <c r="O4545">
        <v>1</v>
      </c>
      <c r="P4545" s="58">
        <v>0</v>
      </c>
      <c r="Q4545" s="58">
        <v>0</v>
      </c>
      <c r="R4545" s="58">
        <v>0</v>
      </c>
      <c r="S4545" s="58">
        <v>0</v>
      </c>
      <c r="T4545" s="58">
        <v>0</v>
      </c>
      <c r="U4545" s="58">
        <v>0</v>
      </c>
      <c r="V4545" s="58">
        <v>0</v>
      </c>
      <c r="W4545" s="4">
        <v>0</v>
      </c>
    </row>
    <row r="4546" spans="1:23" x14ac:dyDescent="0.35">
      <c r="A4546">
        <v>4542</v>
      </c>
      <c r="B4546">
        <v>4543</v>
      </c>
      <c r="C4546">
        <v>146.0573085</v>
      </c>
      <c r="D4546">
        <v>-17.518240280000001</v>
      </c>
      <c r="F4546" t="str">
        <f>HYPERLINK("D:\Data From Lucan\2024\Johnstone\Frames_for_Analysis\4543_20240610_0002_R_0643.jpg","4543_20240610_0002_R_0643.jpg")</f>
        <v>4543_20240610_0002_R_0643.jpg</v>
      </c>
      <c r="G4546">
        <v>2</v>
      </c>
      <c r="I4546">
        <f t="shared" si="70"/>
        <v>1</v>
      </c>
      <c r="J4546" s="58">
        <v>1</v>
      </c>
      <c r="O4546">
        <v>1</v>
      </c>
      <c r="P4546" s="58">
        <v>0</v>
      </c>
      <c r="Q4546" s="58">
        <v>0</v>
      </c>
      <c r="R4546" s="58">
        <v>0</v>
      </c>
      <c r="S4546" s="58">
        <v>0</v>
      </c>
      <c r="T4546" s="58">
        <v>0</v>
      </c>
      <c r="U4546" s="58">
        <v>0</v>
      </c>
      <c r="V4546" s="58">
        <v>0</v>
      </c>
      <c r="W4546" s="4">
        <v>0</v>
      </c>
    </row>
    <row r="4547" spans="1:23" x14ac:dyDescent="0.35">
      <c r="A4547">
        <v>4543</v>
      </c>
      <c r="B4547">
        <v>4544</v>
      </c>
      <c r="C4547">
        <v>146.05725240000001</v>
      </c>
      <c r="D4547">
        <v>-17.518164509999998</v>
      </c>
      <c r="F4547" t="str">
        <f>HYPERLINK("D:\Data From Lucan\2024\Johnstone\Frames_for_Analysis\4544_20240610_0002_R_0639.jpg","4544_20240610_0002_R_0639.jpg")</f>
        <v>4544_20240610_0002_R_0639.jpg</v>
      </c>
      <c r="G4547">
        <v>2</v>
      </c>
      <c r="I4547">
        <f t="shared" si="70"/>
        <v>1</v>
      </c>
      <c r="J4547" s="58">
        <v>1</v>
      </c>
      <c r="O4547">
        <v>1</v>
      </c>
      <c r="P4547" s="58">
        <v>0</v>
      </c>
      <c r="Q4547" s="58">
        <v>0</v>
      </c>
      <c r="R4547" s="58">
        <v>0</v>
      </c>
      <c r="S4547" s="58">
        <v>0</v>
      </c>
      <c r="T4547" s="58">
        <v>0</v>
      </c>
      <c r="U4547" s="58">
        <v>0</v>
      </c>
      <c r="V4547" s="58">
        <v>0</v>
      </c>
      <c r="W4547" s="4">
        <v>0</v>
      </c>
    </row>
    <row r="4548" spans="1:23" x14ac:dyDescent="0.35">
      <c r="A4548">
        <v>4544</v>
      </c>
      <c r="B4548">
        <v>4545</v>
      </c>
      <c r="C4548">
        <v>146.05719629999999</v>
      </c>
      <c r="D4548">
        <v>-17.518088729999999</v>
      </c>
      <c r="F4548" t="str">
        <f>HYPERLINK("D:\Data From Lucan\2024\Johnstone\Frames_for_Analysis\4545_20240610_0002_R_0635.jpg","4545_20240610_0002_R_0635.jpg")</f>
        <v>4545_20240610_0002_R_0635.jpg</v>
      </c>
      <c r="G4548">
        <v>2</v>
      </c>
      <c r="I4548">
        <f t="shared" si="70"/>
        <v>1</v>
      </c>
      <c r="J4548" s="58">
        <v>1</v>
      </c>
      <c r="O4548">
        <v>1</v>
      </c>
      <c r="P4548" s="58">
        <v>0</v>
      </c>
      <c r="Q4548" s="58">
        <v>0</v>
      </c>
      <c r="R4548" s="58">
        <v>0</v>
      </c>
      <c r="S4548" s="58">
        <v>0</v>
      </c>
      <c r="T4548" s="58">
        <v>0</v>
      </c>
      <c r="U4548" s="58">
        <v>0</v>
      </c>
      <c r="V4548" s="58">
        <v>0</v>
      </c>
      <c r="W4548" s="4">
        <v>0</v>
      </c>
    </row>
    <row r="4549" spans="1:23" x14ac:dyDescent="0.35">
      <c r="A4549">
        <v>4545</v>
      </c>
      <c r="B4549">
        <v>4546</v>
      </c>
      <c r="C4549">
        <v>146.05713840000001</v>
      </c>
      <c r="D4549">
        <v>-17.518014600000001</v>
      </c>
      <c r="F4549" t="str">
        <f>HYPERLINK("D:\Data From Lucan\2024\Johnstone\Frames_for_Analysis\4546_20240610_0002_R_0633.jpg","4546_20240610_0002_R_0633.jpg")</f>
        <v>4546_20240610_0002_R_0633.jpg</v>
      </c>
      <c r="G4549">
        <v>2</v>
      </c>
      <c r="I4549">
        <f t="shared" ref="I4549:I4612" si="71">IF(H4549="X","X",IF(J4549="NA","X",IF(J4549="","X",J4549)))</f>
        <v>1</v>
      </c>
      <c r="J4549" s="58">
        <v>1</v>
      </c>
      <c r="O4549">
        <v>1</v>
      </c>
      <c r="P4549" s="58">
        <v>0</v>
      </c>
      <c r="Q4549" s="58">
        <v>0</v>
      </c>
      <c r="R4549" s="58">
        <v>0</v>
      </c>
      <c r="S4549" s="58">
        <v>0</v>
      </c>
      <c r="T4549" s="58">
        <v>0</v>
      </c>
      <c r="U4549" s="58">
        <v>0</v>
      </c>
      <c r="V4549" s="58">
        <v>0</v>
      </c>
      <c r="W4549" s="4">
        <v>0</v>
      </c>
    </row>
    <row r="4550" spans="1:23" x14ac:dyDescent="0.35">
      <c r="A4550">
        <v>4546</v>
      </c>
      <c r="B4550">
        <v>4547</v>
      </c>
      <c r="C4550">
        <v>146.05707090000001</v>
      </c>
      <c r="D4550">
        <v>-17.5179492</v>
      </c>
      <c r="F4550" t="str">
        <f>HYPERLINK("D:\Data From Lucan\2024\Johnstone\Frames_for_Analysis\4547_20240610_0002_R_0631.jpg","4547_20240610_0002_R_0631.jpg")</f>
        <v>4547_20240610_0002_R_0631.jpg</v>
      </c>
      <c r="G4550">
        <v>2</v>
      </c>
      <c r="I4550">
        <f t="shared" si="71"/>
        <v>1</v>
      </c>
      <c r="J4550" s="58">
        <v>1</v>
      </c>
      <c r="O4550">
        <v>1</v>
      </c>
      <c r="P4550" s="58">
        <v>0</v>
      </c>
      <c r="Q4550" s="58">
        <v>0</v>
      </c>
      <c r="R4550" s="58">
        <v>0</v>
      </c>
      <c r="S4550" s="58">
        <v>0</v>
      </c>
      <c r="T4550" s="58">
        <v>0</v>
      </c>
      <c r="U4550" s="58">
        <v>0</v>
      </c>
      <c r="V4550" s="58">
        <v>0</v>
      </c>
      <c r="W4550" s="4">
        <v>0</v>
      </c>
    </row>
    <row r="4551" spans="1:23" x14ac:dyDescent="0.35">
      <c r="A4551">
        <v>4547</v>
      </c>
      <c r="B4551">
        <v>4548</v>
      </c>
      <c r="C4551">
        <v>146.0570075</v>
      </c>
      <c r="D4551">
        <v>-17.517879440000002</v>
      </c>
      <c r="F4551" t="str">
        <f>HYPERLINK("D:\Data From Lucan\2024\Johnstone\Frames_for_Analysis\4548_20240610_0002_R_0629.jpg","4548_20240610_0002_R_0629.jpg")</f>
        <v>4548_20240610_0002_R_0629.jpg</v>
      </c>
      <c r="G4551">
        <v>2</v>
      </c>
      <c r="I4551">
        <f t="shared" si="71"/>
        <v>1</v>
      </c>
      <c r="J4551" s="58">
        <v>1</v>
      </c>
      <c r="O4551">
        <v>1</v>
      </c>
      <c r="P4551" s="58">
        <v>0</v>
      </c>
      <c r="Q4551" s="58">
        <v>0</v>
      </c>
      <c r="R4551" s="58">
        <v>0</v>
      </c>
      <c r="S4551" s="58">
        <v>0</v>
      </c>
      <c r="T4551" s="58">
        <v>0</v>
      </c>
      <c r="U4551" s="58">
        <v>0</v>
      </c>
      <c r="V4551" s="58">
        <v>0</v>
      </c>
      <c r="W4551" s="4">
        <v>0</v>
      </c>
    </row>
    <row r="4552" spans="1:23" x14ac:dyDescent="0.35">
      <c r="A4552">
        <v>4548</v>
      </c>
      <c r="B4552">
        <v>4549</v>
      </c>
      <c r="C4552">
        <v>146.05694679999999</v>
      </c>
      <c r="D4552">
        <v>-17.517807430000001</v>
      </c>
      <c r="F4552" t="str">
        <f>HYPERLINK("D:\Data From Lucan\2024\Johnstone\Frames_for_Analysis\4549_20240610_0002_R_0625.jpg","4549_20240610_0002_R_0625.jpg")</f>
        <v>4549_20240610_0002_R_0625.jpg</v>
      </c>
      <c r="G4552">
        <v>2</v>
      </c>
      <c r="I4552">
        <f t="shared" si="71"/>
        <v>1</v>
      </c>
      <c r="J4552" s="58">
        <v>1</v>
      </c>
      <c r="O4552">
        <v>1</v>
      </c>
      <c r="P4552" s="58">
        <v>0</v>
      </c>
      <c r="Q4552" s="58">
        <v>0</v>
      </c>
      <c r="R4552" s="58">
        <v>0</v>
      </c>
      <c r="S4552" s="58">
        <v>0</v>
      </c>
      <c r="T4552" s="58">
        <v>0</v>
      </c>
      <c r="U4552" s="58">
        <v>0</v>
      </c>
      <c r="V4552" s="58">
        <v>0</v>
      </c>
      <c r="W4552" s="4">
        <v>0</v>
      </c>
    </row>
    <row r="4553" spans="1:23" x14ac:dyDescent="0.35">
      <c r="A4553">
        <v>4549</v>
      </c>
      <c r="B4553">
        <v>4550</v>
      </c>
      <c r="C4553">
        <v>146.0568925</v>
      </c>
      <c r="D4553">
        <v>-17.51773034</v>
      </c>
      <c r="F4553" t="str">
        <f>HYPERLINK("D:\Data From Lucan\2024\Johnstone\Frames_for_Analysis\4550_20240610_0002_R_0620.jpg","4550_20240610_0002_R_0620.jpg")</f>
        <v>4550_20240610_0002_R_0620.jpg</v>
      </c>
      <c r="G4553">
        <v>2</v>
      </c>
      <c r="I4553">
        <f t="shared" si="71"/>
        <v>1</v>
      </c>
      <c r="J4553" s="58">
        <v>1</v>
      </c>
      <c r="O4553">
        <v>1</v>
      </c>
      <c r="P4553" s="58">
        <v>0</v>
      </c>
      <c r="Q4553" s="58">
        <v>0</v>
      </c>
      <c r="R4553" s="58">
        <v>0</v>
      </c>
      <c r="S4553" s="58">
        <v>0</v>
      </c>
      <c r="T4553" s="58">
        <v>0</v>
      </c>
      <c r="U4553" s="58">
        <v>0</v>
      </c>
      <c r="V4553" s="58">
        <v>0</v>
      </c>
      <c r="W4553" s="4">
        <v>0</v>
      </c>
    </row>
    <row r="4554" spans="1:23" x14ac:dyDescent="0.35">
      <c r="A4554">
        <v>4550</v>
      </c>
      <c r="B4554">
        <v>4551</v>
      </c>
      <c r="C4554">
        <v>146.05683719999999</v>
      </c>
      <c r="D4554">
        <v>-17.517653989999999</v>
      </c>
      <c r="F4554" t="str">
        <f>HYPERLINK("D:\Data From Lucan\2024\Johnstone\Frames_for_Analysis\4551_20240610_0002_R_0616.jpg","4551_20240610_0002_R_0616.jpg")</f>
        <v>4551_20240610_0002_R_0616.jpg</v>
      </c>
      <c r="G4554">
        <v>2</v>
      </c>
      <c r="I4554">
        <f t="shared" si="71"/>
        <v>1</v>
      </c>
      <c r="J4554" s="58">
        <v>1</v>
      </c>
      <c r="O4554">
        <v>1</v>
      </c>
      <c r="P4554" s="58">
        <v>0</v>
      </c>
      <c r="Q4554" s="58">
        <v>0</v>
      </c>
      <c r="R4554" s="58">
        <v>0</v>
      </c>
      <c r="S4554" s="58">
        <v>0</v>
      </c>
      <c r="T4554" s="58">
        <v>0</v>
      </c>
      <c r="U4554" s="58">
        <v>0</v>
      </c>
      <c r="V4554" s="58">
        <v>0</v>
      </c>
      <c r="W4554" s="4">
        <v>0</v>
      </c>
    </row>
    <row r="4555" spans="1:23" x14ac:dyDescent="0.35">
      <c r="A4555">
        <v>4551</v>
      </c>
      <c r="B4555">
        <v>4552</v>
      </c>
      <c r="C4555">
        <v>146.05677739999999</v>
      </c>
      <c r="D4555">
        <v>-17.517581079999999</v>
      </c>
      <c r="F4555" t="str">
        <f>HYPERLINK("D:\Data From Lucan\2024\Johnstone\Frames_for_Analysis\4552_20240610_0002_R_0612.jpg","4552_20240610_0002_R_0612.jpg")</f>
        <v>4552_20240610_0002_R_0612.jpg</v>
      </c>
      <c r="G4555">
        <v>2</v>
      </c>
      <c r="I4555">
        <f t="shared" si="71"/>
        <v>1</v>
      </c>
      <c r="J4555" s="58">
        <v>1</v>
      </c>
      <c r="O4555">
        <v>1</v>
      </c>
      <c r="P4555" s="58">
        <v>0</v>
      </c>
      <c r="Q4555" s="58">
        <v>0</v>
      </c>
      <c r="R4555" s="58">
        <v>0</v>
      </c>
      <c r="S4555" s="58">
        <v>0</v>
      </c>
      <c r="T4555" s="58">
        <v>0</v>
      </c>
      <c r="U4555" s="58">
        <v>0</v>
      </c>
      <c r="V4555" s="58">
        <v>0</v>
      </c>
      <c r="W4555" s="4">
        <v>0</v>
      </c>
    </row>
    <row r="4556" spans="1:23" x14ac:dyDescent="0.35">
      <c r="A4556">
        <v>4552</v>
      </c>
      <c r="B4556">
        <v>4553</v>
      </c>
      <c r="C4556">
        <v>146.05671760000001</v>
      </c>
      <c r="D4556">
        <v>-17.51750818</v>
      </c>
      <c r="F4556" t="str">
        <f>HYPERLINK("D:\Data From Lucan\2024\Johnstone\Frames_for_Analysis\4553_20240610_0002_R_0608.jpg","4553_20240610_0002_R_0608.jpg")</f>
        <v>4553_20240610_0002_R_0608.jpg</v>
      </c>
      <c r="G4556">
        <v>2</v>
      </c>
      <c r="I4556">
        <f t="shared" si="71"/>
        <v>1</v>
      </c>
      <c r="J4556" s="58">
        <v>1</v>
      </c>
      <c r="O4556">
        <v>1</v>
      </c>
      <c r="P4556" s="58">
        <v>0</v>
      </c>
      <c r="Q4556" s="58">
        <v>0</v>
      </c>
      <c r="R4556" s="58">
        <v>0</v>
      </c>
      <c r="S4556" s="58">
        <v>0</v>
      </c>
      <c r="T4556" s="58">
        <v>0</v>
      </c>
      <c r="U4556" s="58">
        <v>0</v>
      </c>
      <c r="V4556" s="58">
        <v>0</v>
      </c>
      <c r="W4556" s="4">
        <v>0</v>
      </c>
    </row>
    <row r="4557" spans="1:23" x14ac:dyDescent="0.35">
      <c r="A4557">
        <v>4553</v>
      </c>
      <c r="B4557">
        <v>4554</v>
      </c>
      <c r="C4557">
        <v>146.05665780000001</v>
      </c>
      <c r="D4557">
        <v>-17.51743527</v>
      </c>
      <c r="F4557" t="str">
        <f>HYPERLINK("D:\Data From Lucan\2024\Johnstone\Frames_for_Analysis\4554_20240610_0002_R_0605.jpg","4554_20240610_0002_R_0605.jpg")</f>
        <v>4554_20240610_0002_R_0605.jpg</v>
      </c>
      <c r="G4557">
        <v>2</v>
      </c>
      <c r="I4557">
        <f t="shared" si="71"/>
        <v>1</v>
      </c>
      <c r="J4557" s="58">
        <v>1</v>
      </c>
      <c r="O4557">
        <v>1</v>
      </c>
      <c r="P4557" s="58">
        <v>0</v>
      </c>
      <c r="Q4557" s="58">
        <v>0</v>
      </c>
      <c r="R4557" s="58">
        <v>0</v>
      </c>
      <c r="S4557" s="58">
        <v>0</v>
      </c>
      <c r="T4557" s="58">
        <v>0</v>
      </c>
      <c r="U4557" s="58">
        <v>0</v>
      </c>
      <c r="V4557" s="58">
        <v>0</v>
      </c>
      <c r="W4557" s="4">
        <v>0</v>
      </c>
    </row>
    <row r="4558" spans="1:23" x14ac:dyDescent="0.35">
      <c r="A4558">
        <v>4554</v>
      </c>
      <c r="B4558">
        <v>4555</v>
      </c>
      <c r="C4558">
        <v>146.05659800000001</v>
      </c>
      <c r="D4558">
        <v>-17.517362370000001</v>
      </c>
      <c r="F4558" t="str">
        <f>HYPERLINK("D:\Data From Lucan\2024\Johnstone\Frames_for_Analysis\4555_20240610_0002_R_0601.jpg","4555_20240610_0002_R_0601.jpg")</f>
        <v>4555_20240610_0002_R_0601.jpg</v>
      </c>
      <c r="G4558">
        <v>2</v>
      </c>
      <c r="I4558">
        <f t="shared" si="71"/>
        <v>1</v>
      </c>
      <c r="J4558" s="58">
        <v>1</v>
      </c>
      <c r="O4558">
        <v>1</v>
      </c>
      <c r="P4558" s="58">
        <v>0</v>
      </c>
      <c r="Q4558" s="58">
        <v>0</v>
      </c>
      <c r="R4558" s="58">
        <v>0</v>
      </c>
      <c r="S4558" s="58">
        <v>0</v>
      </c>
      <c r="T4558" s="58">
        <v>0</v>
      </c>
      <c r="U4558" s="58">
        <v>0</v>
      </c>
      <c r="V4558" s="58">
        <v>0</v>
      </c>
      <c r="W4558" s="4">
        <v>0</v>
      </c>
    </row>
    <row r="4559" spans="1:23" x14ac:dyDescent="0.35">
      <c r="A4559">
        <v>4555</v>
      </c>
      <c r="B4559">
        <v>4556</v>
      </c>
      <c r="C4559">
        <v>146.0565417</v>
      </c>
      <c r="D4559">
        <v>-17.517286859999999</v>
      </c>
      <c r="F4559" t="str">
        <f>HYPERLINK("D:\Data From Lucan\2024\Johnstone\Frames_for_Analysis\4556_20240610_0002_R_0596.jpg","4556_20240610_0002_R_0596.jpg")</f>
        <v>4556_20240610_0002_R_0596.jpg</v>
      </c>
      <c r="G4559">
        <v>2</v>
      </c>
      <c r="I4559">
        <f t="shared" si="71"/>
        <v>1</v>
      </c>
      <c r="J4559" s="58">
        <v>1</v>
      </c>
      <c r="O4559">
        <v>1</v>
      </c>
      <c r="P4559" s="58">
        <v>0</v>
      </c>
      <c r="Q4559" s="58">
        <v>0</v>
      </c>
      <c r="R4559" s="58">
        <v>0</v>
      </c>
      <c r="S4559" s="58">
        <v>0</v>
      </c>
      <c r="T4559" s="58">
        <v>0</v>
      </c>
      <c r="U4559" s="58">
        <v>0</v>
      </c>
      <c r="V4559" s="58">
        <v>0</v>
      </c>
      <c r="W4559" s="4">
        <v>0</v>
      </c>
    </row>
    <row r="4560" spans="1:23" x14ac:dyDescent="0.35">
      <c r="A4560">
        <v>4556</v>
      </c>
      <c r="B4560">
        <v>4557</v>
      </c>
      <c r="C4560">
        <v>146.05649070000001</v>
      </c>
      <c r="D4560">
        <v>-17.517207549999998</v>
      </c>
      <c r="F4560" t="str">
        <f>HYPERLINK("D:\Data From Lucan\2024\Johnstone\Frames_for_Analysis\4557_20240610_0002_R_0592.jpg","4557_20240610_0002_R_0592.jpg")</f>
        <v>4557_20240610_0002_R_0592.jpg</v>
      </c>
      <c r="G4560">
        <v>2</v>
      </c>
      <c r="I4560">
        <f t="shared" si="71"/>
        <v>1</v>
      </c>
      <c r="J4560" s="58">
        <v>1</v>
      </c>
      <c r="O4560">
        <v>1</v>
      </c>
      <c r="P4560" s="58">
        <v>0</v>
      </c>
      <c r="Q4560" s="58">
        <v>0</v>
      </c>
      <c r="R4560" s="58">
        <v>0</v>
      </c>
      <c r="S4560" s="58">
        <v>0</v>
      </c>
      <c r="T4560" s="58">
        <v>0</v>
      </c>
      <c r="U4560" s="58">
        <v>0</v>
      </c>
      <c r="V4560" s="58">
        <v>0</v>
      </c>
      <c r="W4560" s="4">
        <v>0</v>
      </c>
    </row>
    <row r="4561" spans="1:23" x14ac:dyDescent="0.35">
      <c r="A4561">
        <v>4557</v>
      </c>
      <c r="B4561">
        <v>4558</v>
      </c>
      <c r="C4561">
        <v>146.05643850000001</v>
      </c>
      <c r="D4561">
        <v>-17.51712908</v>
      </c>
      <c r="F4561" t="str">
        <f>HYPERLINK("D:\Data From Lucan\2024\Johnstone\Frames_for_Analysis\4558_20240610_0002_R_0589.jpg","4558_20240610_0002_R_0589.jpg")</f>
        <v>4558_20240610_0002_R_0589.jpg</v>
      </c>
      <c r="G4561">
        <v>2</v>
      </c>
      <c r="I4561">
        <f t="shared" si="71"/>
        <v>1</v>
      </c>
      <c r="J4561" s="58">
        <v>1</v>
      </c>
      <c r="O4561">
        <v>1</v>
      </c>
      <c r="P4561" s="58">
        <v>0</v>
      </c>
      <c r="Q4561" s="58">
        <v>0</v>
      </c>
      <c r="R4561" s="58">
        <v>0</v>
      </c>
      <c r="S4561" s="58">
        <v>0</v>
      </c>
      <c r="T4561" s="58">
        <v>0</v>
      </c>
      <c r="U4561" s="58">
        <v>0</v>
      </c>
      <c r="V4561" s="58">
        <v>0</v>
      </c>
      <c r="W4561" s="4">
        <v>0</v>
      </c>
    </row>
    <row r="4562" spans="1:23" x14ac:dyDescent="0.35">
      <c r="A4562">
        <v>4558</v>
      </c>
      <c r="B4562">
        <v>4559</v>
      </c>
      <c r="C4562">
        <v>146.0563818</v>
      </c>
      <c r="D4562">
        <v>-17.517053700000002</v>
      </c>
      <c r="F4562" t="str">
        <f>HYPERLINK("D:\Data From Lucan\2024\Johnstone\Frames_for_Analysis\4559_20240610_0002_R_0584.jpg","4559_20240610_0002_R_0584.jpg")</f>
        <v>4559_20240610_0002_R_0584.jpg</v>
      </c>
      <c r="G4562">
        <v>2</v>
      </c>
      <c r="I4562">
        <f t="shared" si="71"/>
        <v>1</v>
      </c>
      <c r="J4562" s="58">
        <v>1</v>
      </c>
      <c r="O4562">
        <v>1</v>
      </c>
      <c r="P4562" s="58">
        <v>0</v>
      </c>
      <c r="Q4562" s="58">
        <v>0</v>
      </c>
      <c r="R4562" s="58">
        <v>0</v>
      </c>
      <c r="S4562" s="58">
        <v>0</v>
      </c>
      <c r="T4562" s="58">
        <v>0</v>
      </c>
      <c r="U4562" s="58">
        <v>0</v>
      </c>
      <c r="V4562" s="58">
        <v>0</v>
      </c>
      <c r="W4562" s="4">
        <v>0</v>
      </c>
    </row>
    <row r="4563" spans="1:23" x14ac:dyDescent="0.35">
      <c r="A4563">
        <v>4559</v>
      </c>
      <c r="B4563">
        <v>4560</v>
      </c>
      <c r="C4563">
        <v>146.05632510000001</v>
      </c>
      <c r="D4563">
        <v>-17.51697832</v>
      </c>
      <c r="F4563" t="str">
        <f>HYPERLINK("D:\Data From Lucan\2024\Johnstone\Frames_for_Analysis\4560_20240610_0002_R_0580.jpg","4560_20240610_0002_R_0580.jpg")</f>
        <v>4560_20240610_0002_R_0580.jpg</v>
      </c>
      <c r="G4563">
        <v>2</v>
      </c>
      <c r="I4563">
        <f t="shared" si="71"/>
        <v>1</v>
      </c>
      <c r="J4563" s="58">
        <v>1</v>
      </c>
      <c r="O4563">
        <v>1</v>
      </c>
      <c r="P4563" s="58">
        <v>0</v>
      </c>
      <c r="Q4563" s="58">
        <v>0</v>
      </c>
      <c r="R4563" s="58">
        <v>0</v>
      </c>
      <c r="S4563" s="58">
        <v>0</v>
      </c>
      <c r="T4563" s="58">
        <v>0</v>
      </c>
      <c r="U4563" s="58">
        <v>0</v>
      </c>
      <c r="V4563" s="58">
        <v>0</v>
      </c>
      <c r="W4563" s="4">
        <v>0</v>
      </c>
    </row>
    <row r="4564" spans="1:23" x14ac:dyDescent="0.35">
      <c r="A4564">
        <v>4560</v>
      </c>
      <c r="B4564">
        <v>4561</v>
      </c>
      <c r="C4564">
        <v>146.05628659999999</v>
      </c>
      <c r="D4564">
        <v>-17.516893540000002</v>
      </c>
      <c r="F4564" t="str">
        <f>HYPERLINK("D:\Data From Lucan\2024\Johnstone\Frames_for_Analysis\4561_20240610_0002_R_0577.jpg","4561_20240610_0002_R_0577.jpg")</f>
        <v>4561_20240610_0002_R_0577.jpg</v>
      </c>
      <c r="G4564">
        <v>2</v>
      </c>
      <c r="I4564">
        <f t="shared" si="71"/>
        <v>1</v>
      </c>
      <c r="J4564" s="58">
        <v>1</v>
      </c>
      <c r="O4564">
        <v>1</v>
      </c>
      <c r="P4564" s="58">
        <v>0</v>
      </c>
      <c r="Q4564" s="58">
        <v>0</v>
      </c>
      <c r="R4564" s="58">
        <v>0</v>
      </c>
      <c r="S4564" s="58">
        <v>0</v>
      </c>
      <c r="T4564" s="58">
        <v>0</v>
      </c>
      <c r="U4564" s="58">
        <v>0</v>
      </c>
      <c r="V4564" s="58">
        <v>0</v>
      </c>
      <c r="W4564" s="4">
        <v>0</v>
      </c>
    </row>
    <row r="4565" spans="1:23" x14ac:dyDescent="0.35">
      <c r="A4565">
        <v>4561</v>
      </c>
      <c r="B4565">
        <v>4562</v>
      </c>
      <c r="C4565">
        <v>146.05625749999999</v>
      </c>
      <c r="D4565">
        <v>-17.516803840000001</v>
      </c>
      <c r="F4565" t="str">
        <f>HYPERLINK("D:\Data From Lucan\2024\Johnstone\Frames_for_Analysis\4562_20240610_0002_R_0572.jpg","4562_20240610_0002_R_0572.jpg")</f>
        <v>4562_20240610_0002_R_0572.jpg</v>
      </c>
      <c r="G4565">
        <v>2</v>
      </c>
      <c r="I4565">
        <f t="shared" si="71"/>
        <v>1</v>
      </c>
      <c r="J4565" s="58">
        <v>1</v>
      </c>
      <c r="O4565">
        <v>1</v>
      </c>
      <c r="P4565" s="58">
        <v>0</v>
      </c>
      <c r="Q4565" s="58">
        <v>0</v>
      </c>
      <c r="R4565" s="58">
        <v>0</v>
      </c>
      <c r="S4565" s="58">
        <v>0</v>
      </c>
      <c r="T4565" s="58">
        <v>0</v>
      </c>
      <c r="U4565" s="58">
        <v>0</v>
      </c>
      <c r="V4565" s="58">
        <v>0</v>
      </c>
      <c r="W4565" s="4">
        <v>0</v>
      </c>
    </row>
    <row r="4566" spans="1:23" x14ac:dyDescent="0.35">
      <c r="A4566">
        <v>4562</v>
      </c>
      <c r="B4566">
        <v>4563</v>
      </c>
      <c r="C4566">
        <v>146.05622840000001</v>
      </c>
      <c r="D4566">
        <v>-17.51671413</v>
      </c>
      <c r="F4566" t="str">
        <f>HYPERLINK("D:\Data From Lucan\2024\Johnstone\Frames_for_Analysis\4563_20240610_0002_R_0570.jpg","4563_20240610_0002_R_0570.jpg")</f>
        <v>4563_20240610_0002_R_0570.jpg</v>
      </c>
      <c r="G4566">
        <v>2</v>
      </c>
      <c r="I4566">
        <f t="shared" si="71"/>
        <v>1</v>
      </c>
      <c r="J4566" s="58">
        <v>1</v>
      </c>
      <c r="O4566">
        <v>1</v>
      </c>
      <c r="P4566" s="58">
        <v>0</v>
      </c>
      <c r="Q4566" s="58">
        <v>0</v>
      </c>
      <c r="R4566" s="58">
        <v>0</v>
      </c>
      <c r="S4566" s="58">
        <v>0</v>
      </c>
      <c r="T4566" s="58">
        <v>0</v>
      </c>
      <c r="U4566" s="58">
        <v>0</v>
      </c>
      <c r="V4566" s="58">
        <v>0</v>
      </c>
      <c r="W4566" s="4">
        <v>0</v>
      </c>
    </row>
    <row r="4567" spans="1:23" x14ac:dyDescent="0.35">
      <c r="A4567">
        <v>4563</v>
      </c>
      <c r="B4567">
        <v>4564</v>
      </c>
      <c r="C4567">
        <v>146.0561993</v>
      </c>
      <c r="D4567">
        <v>-17.516624419999999</v>
      </c>
      <c r="F4567" t="str">
        <f>HYPERLINK("D:\Data From Lucan\2024\Johnstone\Frames_for_Analysis\4564_20240610_0002_R_0565.jpg","4564_20240610_0002_R_0565.jpg")</f>
        <v>4564_20240610_0002_R_0565.jpg</v>
      </c>
      <c r="G4567">
        <v>2</v>
      </c>
      <c r="I4567">
        <f t="shared" si="71"/>
        <v>1</v>
      </c>
      <c r="J4567" s="58">
        <v>1</v>
      </c>
      <c r="O4567">
        <v>1</v>
      </c>
      <c r="P4567" s="58">
        <v>0</v>
      </c>
      <c r="Q4567" s="58">
        <v>0</v>
      </c>
      <c r="R4567" s="58">
        <v>0</v>
      </c>
      <c r="S4567" s="58">
        <v>0</v>
      </c>
      <c r="T4567" s="58">
        <v>0</v>
      </c>
      <c r="U4567" s="58">
        <v>0</v>
      </c>
      <c r="V4567" s="58">
        <v>0</v>
      </c>
      <c r="W4567" s="4">
        <v>0</v>
      </c>
    </row>
    <row r="4568" spans="1:23" x14ac:dyDescent="0.35">
      <c r="A4568">
        <v>4564</v>
      </c>
      <c r="B4568">
        <v>4565</v>
      </c>
      <c r="C4568">
        <v>146.0561702</v>
      </c>
      <c r="D4568">
        <v>-17.516534719999999</v>
      </c>
      <c r="F4568" t="str">
        <f>HYPERLINK("D:\Data From Lucan\2024\Johnstone\Frames_for_Analysis\4565_20240610_0002_R_0562.jpg","4565_20240610_0002_R_0562.jpg")</f>
        <v>4565_20240610_0002_R_0562.jpg</v>
      </c>
      <c r="G4568">
        <v>2</v>
      </c>
      <c r="I4568">
        <f t="shared" si="71"/>
        <v>1</v>
      </c>
      <c r="J4568" s="58">
        <v>1</v>
      </c>
      <c r="O4568">
        <v>1</v>
      </c>
      <c r="P4568" s="58">
        <v>0</v>
      </c>
      <c r="Q4568" s="58">
        <v>0</v>
      </c>
      <c r="R4568" s="58">
        <v>0</v>
      </c>
      <c r="S4568" s="58">
        <v>0</v>
      </c>
      <c r="T4568" s="58">
        <v>0</v>
      </c>
      <c r="U4568" s="58">
        <v>0</v>
      </c>
      <c r="V4568" s="58">
        <v>0</v>
      </c>
      <c r="W4568" s="4">
        <v>0</v>
      </c>
    </row>
    <row r="4569" spans="1:23" x14ac:dyDescent="0.35">
      <c r="A4569">
        <v>4565</v>
      </c>
      <c r="B4569">
        <v>4566</v>
      </c>
      <c r="C4569">
        <v>146.05614109999999</v>
      </c>
      <c r="D4569">
        <v>-17.516445010000002</v>
      </c>
      <c r="F4569" t="str">
        <f>HYPERLINK("D:\Data From Lucan\2024\Johnstone\Frames_for_Analysis\4566_20240610_0002_R_0559.jpg","4566_20240610_0002_R_0559.jpg")</f>
        <v>4566_20240610_0002_R_0559.jpg</v>
      </c>
      <c r="G4569">
        <v>2</v>
      </c>
      <c r="I4569">
        <f t="shared" si="71"/>
        <v>1</v>
      </c>
      <c r="J4569" s="58">
        <v>1</v>
      </c>
      <c r="O4569">
        <v>1</v>
      </c>
      <c r="P4569" s="58">
        <v>0</v>
      </c>
      <c r="Q4569" s="58">
        <v>0</v>
      </c>
      <c r="R4569" s="58">
        <v>0</v>
      </c>
      <c r="S4569" s="58">
        <v>0</v>
      </c>
      <c r="T4569" s="58">
        <v>0</v>
      </c>
      <c r="U4569" s="58">
        <v>0</v>
      </c>
      <c r="V4569" s="58">
        <v>0</v>
      </c>
      <c r="W4569" s="4">
        <v>0</v>
      </c>
    </row>
    <row r="4570" spans="1:23" x14ac:dyDescent="0.35">
      <c r="A4570">
        <v>4566</v>
      </c>
      <c r="B4570">
        <v>4567</v>
      </c>
      <c r="C4570">
        <v>146.05611200000001</v>
      </c>
      <c r="D4570">
        <v>-17.516355310000002</v>
      </c>
      <c r="F4570" t="str">
        <f>HYPERLINK("D:\Data From Lucan\2024\Johnstone\Frames_for_Analysis\4567_20240610_0002_R_0555.jpg","4567_20240610_0002_R_0555.jpg")</f>
        <v>4567_20240610_0002_R_0555.jpg</v>
      </c>
      <c r="G4570">
        <v>2</v>
      </c>
      <c r="I4570">
        <f t="shared" si="71"/>
        <v>1</v>
      </c>
      <c r="J4570" s="58">
        <v>1</v>
      </c>
      <c r="O4570">
        <v>1</v>
      </c>
      <c r="P4570" s="58">
        <v>0</v>
      </c>
      <c r="Q4570" s="58">
        <v>0</v>
      </c>
      <c r="R4570" s="58">
        <v>0</v>
      </c>
      <c r="S4570" s="58">
        <v>0</v>
      </c>
      <c r="T4570" s="58">
        <v>0</v>
      </c>
      <c r="U4570" s="58">
        <v>0</v>
      </c>
      <c r="V4570" s="58">
        <v>0</v>
      </c>
      <c r="W4570" s="4">
        <v>0</v>
      </c>
    </row>
    <row r="4571" spans="1:23" x14ac:dyDescent="0.35">
      <c r="A4571">
        <v>4567</v>
      </c>
      <c r="B4571">
        <v>4568</v>
      </c>
      <c r="C4571">
        <v>146.056083</v>
      </c>
      <c r="D4571">
        <v>-17.516265600000001</v>
      </c>
      <c r="F4571" t="str">
        <f>HYPERLINK("D:\Data From Lucan\2024\Johnstone\Frames_for_Analysis\4568_20240610_0002_R_0552.jpg","4568_20240610_0002_R_0552.jpg")</f>
        <v>4568_20240610_0002_R_0552.jpg</v>
      </c>
      <c r="G4571">
        <v>2</v>
      </c>
      <c r="I4571">
        <f t="shared" si="71"/>
        <v>1</v>
      </c>
      <c r="J4571" s="58">
        <v>1</v>
      </c>
      <c r="O4571">
        <v>1</v>
      </c>
      <c r="P4571" s="58">
        <v>0</v>
      </c>
      <c r="Q4571" s="58">
        <v>0</v>
      </c>
      <c r="R4571" s="58">
        <v>0</v>
      </c>
      <c r="S4571" s="58">
        <v>0</v>
      </c>
      <c r="T4571" s="58">
        <v>0</v>
      </c>
      <c r="U4571" s="58">
        <v>0</v>
      </c>
      <c r="V4571" s="58">
        <v>0</v>
      </c>
      <c r="W4571" s="4">
        <v>0</v>
      </c>
    </row>
    <row r="4572" spans="1:23" x14ac:dyDescent="0.35">
      <c r="A4572">
        <v>4568</v>
      </c>
      <c r="B4572">
        <v>4569</v>
      </c>
      <c r="C4572">
        <v>146.05605629999999</v>
      </c>
      <c r="D4572">
        <v>-17.51617529</v>
      </c>
      <c r="F4572" t="str">
        <f>HYPERLINK("D:\Data From Lucan\2024\Johnstone\Frames_for_Analysis\4569_20240610_0002_R_0548.jpg","4569_20240610_0002_R_0548.jpg")</f>
        <v>4569_20240610_0002_R_0548.jpg</v>
      </c>
      <c r="G4572">
        <v>2</v>
      </c>
      <c r="I4572">
        <f t="shared" si="71"/>
        <v>1</v>
      </c>
      <c r="J4572" s="58">
        <v>1</v>
      </c>
      <c r="O4572">
        <v>1</v>
      </c>
      <c r="P4572" s="58">
        <v>0</v>
      </c>
      <c r="Q4572" s="58">
        <v>0</v>
      </c>
      <c r="R4572" s="58">
        <v>0</v>
      </c>
      <c r="S4572" s="58">
        <v>0</v>
      </c>
      <c r="T4572" s="58">
        <v>0</v>
      </c>
      <c r="U4572" s="58">
        <v>0</v>
      </c>
      <c r="V4572" s="58">
        <v>0</v>
      </c>
      <c r="W4572" s="4">
        <v>0</v>
      </c>
    </row>
    <row r="4573" spans="1:23" x14ac:dyDescent="0.35">
      <c r="A4573">
        <v>4569</v>
      </c>
      <c r="B4573">
        <v>4570</v>
      </c>
      <c r="C4573">
        <v>146.0560399</v>
      </c>
      <c r="D4573">
        <v>-17.51608242</v>
      </c>
      <c r="F4573" t="str">
        <f>HYPERLINK("D:\Data From Lucan\2024\Johnstone\Frames_for_Analysis\4570_20240610_0002_R_0544.jpg","4570_20240610_0002_R_0544.jpg")</f>
        <v>4570_20240610_0002_R_0544.jpg</v>
      </c>
      <c r="G4573">
        <v>2</v>
      </c>
      <c r="I4573">
        <f t="shared" si="71"/>
        <v>1</v>
      </c>
      <c r="J4573" s="58">
        <v>1</v>
      </c>
      <c r="O4573">
        <v>1</v>
      </c>
      <c r="P4573" s="58">
        <v>0</v>
      </c>
      <c r="Q4573" s="58">
        <v>0</v>
      </c>
      <c r="R4573" s="58">
        <v>0</v>
      </c>
      <c r="S4573" s="58">
        <v>0</v>
      </c>
      <c r="T4573" s="58">
        <v>0</v>
      </c>
      <c r="U4573" s="58">
        <v>0</v>
      </c>
      <c r="V4573" s="58">
        <v>0</v>
      </c>
      <c r="W4573" s="4">
        <v>0</v>
      </c>
    </row>
    <row r="4574" spans="1:23" x14ac:dyDescent="0.35">
      <c r="A4574">
        <v>4570</v>
      </c>
      <c r="B4574">
        <v>4571</v>
      </c>
      <c r="C4574">
        <v>146.0560236</v>
      </c>
      <c r="D4574">
        <v>-17.51598954</v>
      </c>
      <c r="F4574" t="str">
        <f>HYPERLINK("D:\Data From Lucan\2024\Johnstone\Frames_for_Analysis\4571_20240610_0002_R_0540.jpg","4571_20240610_0002_R_0540.jpg")</f>
        <v>4571_20240610_0002_R_0540.jpg</v>
      </c>
      <c r="G4574">
        <v>2</v>
      </c>
      <c r="I4574">
        <f t="shared" si="71"/>
        <v>1</v>
      </c>
      <c r="J4574" s="58">
        <v>1</v>
      </c>
      <c r="O4574">
        <v>1</v>
      </c>
      <c r="P4574" s="58">
        <v>0</v>
      </c>
      <c r="Q4574" s="58">
        <v>0</v>
      </c>
      <c r="R4574" s="58">
        <v>0</v>
      </c>
      <c r="S4574" s="58">
        <v>0</v>
      </c>
      <c r="T4574" s="58">
        <v>0</v>
      </c>
      <c r="U4574" s="58">
        <v>0</v>
      </c>
      <c r="V4574" s="58">
        <v>0</v>
      </c>
      <c r="W4574" s="4">
        <v>0</v>
      </c>
    </row>
    <row r="4575" spans="1:23" x14ac:dyDescent="0.35">
      <c r="A4575">
        <v>4571</v>
      </c>
      <c r="B4575">
        <v>4572</v>
      </c>
      <c r="C4575">
        <v>146.0560073</v>
      </c>
      <c r="D4575">
        <v>-17.515896659999999</v>
      </c>
      <c r="F4575" t="str">
        <f>HYPERLINK("D:\Data From Lucan\2024\Johnstone\Frames_for_Analysis\4572_20240610_0002_R_0537.jpg","4572_20240610_0002_R_0537.jpg")</f>
        <v>4572_20240610_0002_R_0537.jpg</v>
      </c>
      <c r="G4575">
        <v>2</v>
      </c>
      <c r="I4575">
        <f t="shared" si="71"/>
        <v>1</v>
      </c>
      <c r="J4575" s="58">
        <v>1</v>
      </c>
      <c r="O4575">
        <v>1</v>
      </c>
      <c r="P4575" s="58">
        <v>0</v>
      </c>
      <c r="Q4575" s="58">
        <v>0</v>
      </c>
      <c r="R4575" s="58">
        <v>0</v>
      </c>
      <c r="S4575" s="58">
        <v>0</v>
      </c>
      <c r="T4575" s="58">
        <v>0</v>
      </c>
      <c r="U4575" s="58">
        <v>0</v>
      </c>
      <c r="V4575" s="58">
        <v>0</v>
      </c>
      <c r="W4575" s="4">
        <v>0</v>
      </c>
    </row>
    <row r="4576" spans="1:23" s="83" customFormat="1" x14ac:dyDescent="0.35">
      <c r="A4576">
        <v>4572</v>
      </c>
      <c r="B4576" s="83">
        <v>4573</v>
      </c>
      <c r="C4576" s="83">
        <v>146.05599090000001</v>
      </c>
      <c r="D4576" s="83">
        <v>-17.515803779999999</v>
      </c>
      <c r="G4576" s="83">
        <v>2</v>
      </c>
      <c r="I4576" s="83">
        <v>1</v>
      </c>
      <c r="J4576" s="83">
        <v>1</v>
      </c>
      <c r="K4576"/>
      <c r="L4576"/>
      <c r="M4576"/>
      <c r="N4576"/>
      <c r="O4576">
        <v>1</v>
      </c>
      <c r="P4576" s="58"/>
      <c r="Q4576" s="58"/>
      <c r="R4576" s="83">
        <v>0</v>
      </c>
      <c r="S4576" s="58"/>
      <c r="T4576" s="58"/>
      <c r="U4576" s="58"/>
      <c r="V4576" s="58"/>
      <c r="W4576" s="86">
        <v>0</v>
      </c>
    </row>
    <row r="4577" spans="1:23" s="83" customFormat="1" x14ac:dyDescent="0.35">
      <c r="A4577">
        <v>4573</v>
      </c>
      <c r="B4577" s="83">
        <v>4574</v>
      </c>
      <c r="C4577" s="83">
        <v>146.05597460000001</v>
      </c>
      <c r="D4577" s="83">
        <v>-17.515710909999999</v>
      </c>
      <c r="G4577" s="83">
        <v>2</v>
      </c>
      <c r="I4577" s="83">
        <v>1</v>
      </c>
      <c r="J4577" s="83">
        <v>1</v>
      </c>
      <c r="K4577"/>
      <c r="L4577"/>
      <c r="M4577"/>
      <c r="N4577"/>
      <c r="O4577"/>
      <c r="P4577" s="58"/>
      <c r="Q4577" s="58"/>
      <c r="R4577" s="83">
        <v>0</v>
      </c>
      <c r="S4577" s="58"/>
      <c r="T4577" s="58"/>
      <c r="U4577" s="58"/>
      <c r="V4577" s="58"/>
      <c r="W4577" s="86">
        <v>0</v>
      </c>
    </row>
    <row r="4578" spans="1:23" s="83" customFormat="1" x14ac:dyDescent="0.35">
      <c r="A4578">
        <v>4574</v>
      </c>
      <c r="B4578" s="83">
        <v>4575</v>
      </c>
      <c r="C4578" s="83">
        <v>146.05595819999999</v>
      </c>
      <c r="D4578" s="83">
        <v>-17.515618029999999</v>
      </c>
      <c r="G4578" s="83">
        <v>2</v>
      </c>
      <c r="I4578" s="83">
        <v>1</v>
      </c>
      <c r="J4578" s="83">
        <v>1</v>
      </c>
      <c r="K4578"/>
      <c r="L4578"/>
      <c r="M4578"/>
      <c r="N4578"/>
      <c r="O4578"/>
      <c r="P4578" s="58"/>
      <c r="Q4578" s="58"/>
      <c r="R4578" s="83">
        <v>0</v>
      </c>
      <c r="S4578" s="58"/>
      <c r="T4578" s="58"/>
      <c r="U4578" s="58"/>
      <c r="V4578" s="58"/>
      <c r="W4578" s="86">
        <v>0</v>
      </c>
    </row>
    <row r="4579" spans="1:23" s="83" customFormat="1" x14ac:dyDescent="0.35">
      <c r="A4579">
        <v>4575</v>
      </c>
      <c r="B4579" s="83">
        <v>4576</v>
      </c>
      <c r="C4579" s="83">
        <v>146.05594189999999</v>
      </c>
      <c r="D4579" s="83">
        <v>-17.515525149999998</v>
      </c>
      <c r="G4579" s="83">
        <v>2</v>
      </c>
      <c r="I4579" s="83">
        <v>1</v>
      </c>
      <c r="J4579" s="83">
        <v>1</v>
      </c>
      <c r="K4579"/>
      <c r="L4579"/>
      <c r="M4579"/>
      <c r="N4579"/>
      <c r="O4579"/>
      <c r="P4579" s="58"/>
      <c r="Q4579" s="58"/>
      <c r="R4579" s="83">
        <v>0</v>
      </c>
      <c r="S4579" s="58"/>
      <c r="T4579" s="58"/>
      <c r="U4579" s="58"/>
      <c r="V4579" s="58"/>
      <c r="W4579" s="86">
        <v>0</v>
      </c>
    </row>
    <row r="4580" spans="1:23" s="83" customFormat="1" x14ac:dyDescent="0.35">
      <c r="A4580">
        <v>4576</v>
      </c>
      <c r="B4580" s="83">
        <v>4577</v>
      </c>
      <c r="C4580" s="83">
        <v>146.05592559999999</v>
      </c>
      <c r="D4580" s="83">
        <v>-17.515432279999999</v>
      </c>
      <c r="G4580" s="83">
        <v>2</v>
      </c>
      <c r="I4580" s="83">
        <v>1</v>
      </c>
      <c r="J4580" s="83">
        <v>1</v>
      </c>
      <c r="K4580"/>
      <c r="L4580"/>
      <c r="M4580"/>
      <c r="N4580"/>
      <c r="O4580"/>
      <c r="P4580" s="58"/>
      <c r="Q4580" s="58"/>
      <c r="R4580" s="83">
        <v>0</v>
      </c>
      <c r="S4580" s="58"/>
      <c r="T4580" s="58"/>
      <c r="U4580" s="58"/>
      <c r="V4580" s="58"/>
      <c r="W4580" s="86">
        <v>0</v>
      </c>
    </row>
    <row r="4581" spans="1:23" s="83" customFormat="1" x14ac:dyDescent="0.35">
      <c r="A4581">
        <v>4577</v>
      </c>
      <c r="B4581" s="83">
        <v>4578</v>
      </c>
      <c r="C4581" s="83">
        <v>146.0559092</v>
      </c>
      <c r="D4581" s="83">
        <v>-17.515339399999998</v>
      </c>
      <c r="G4581" s="83">
        <v>2</v>
      </c>
      <c r="I4581" s="83">
        <v>1</v>
      </c>
      <c r="J4581" s="83">
        <v>1</v>
      </c>
      <c r="K4581"/>
      <c r="L4581"/>
      <c r="M4581"/>
      <c r="N4581"/>
      <c r="O4581"/>
      <c r="P4581" s="58"/>
      <c r="Q4581" s="58"/>
      <c r="R4581" s="83">
        <v>0</v>
      </c>
      <c r="S4581" s="58"/>
      <c r="T4581" s="58"/>
      <c r="U4581" s="58"/>
      <c r="V4581" s="58"/>
      <c r="W4581" s="86">
        <v>0</v>
      </c>
    </row>
    <row r="4582" spans="1:23" s="83" customFormat="1" x14ac:dyDescent="0.35">
      <c r="A4582">
        <v>4578</v>
      </c>
      <c r="B4582" s="83">
        <v>4579</v>
      </c>
      <c r="C4582" s="83">
        <v>146.0558982</v>
      </c>
      <c r="D4582" s="83">
        <v>-17.515245799999999</v>
      </c>
      <c r="G4582" s="83">
        <v>2</v>
      </c>
      <c r="I4582" s="83">
        <v>1</v>
      </c>
      <c r="J4582" s="83">
        <v>1</v>
      </c>
      <c r="K4582"/>
      <c r="L4582"/>
      <c r="M4582"/>
      <c r="N4582"/>
      <c r="O4582"/>
      <c r="P4582" s="58"/>
      <c r="Q4582" s="58"/>
      <c r="R4582" s="83">
        <v>0</v>
      </c>
      <c r="S4582" s="58"/>
      <c r="T4582" s="58"/>
      <c r="U4582" s="58"/>
      <c r="V4582" s="58"/>
      <c r="W4582" s="86">
        <v>0</v>
      </c>
    </row>
    <row r="4583" spans="1:23" s="83" customFormat="1" x14ac:dyDescent="0.35">
      <c r="A4583">
        <v>4579</v>
      </c>
      <c r="B4583" s="83">
        <v>4580</v>
      </c>
      <c r="C4583" s="83">
        <v>146.0558891</v>
      </c>
      <c r="D4583" s="83">
        <v>-17.515151929999998</v>
      </c>
      <c r="G4583" s="83">
        <v>2</v>
      </c>
      <c r="I4583" s="83">
        <v>1</v>
      </c>
      <c r="J4583" s="83">
        <v>1</v>
      </c>
      <c r="K4583"/>
      <c r="L4583"/>
      <c r="M4583"/>
      <c r="N4583"/>
      <c r="O4583"/>
      <c r="P4583" s="58"/>
      <c r="Q4583" s="58"/>
      <c r="R4583" s="83">
        <v>0</v>
      </c>
      <c r="S4583" s="58"/>
      <c r="T4583" s="58"/>
      <c r="U4583" s="58"/>
      <c r="V4583" s="58"/>
      <c r="W4583" s="86">
        <v>0</v>
      </c>
    </row>
    <row r="4584" spans="1:23" s="83" customFormat="1" x14ac:dyDescent="0.35">
      <c r="A4584">
        <v>4580</v>
      </c>
      <c r="B4584" s="83">
        <v>4581</v>
      </c>
      <c r="C4584" s="83">
        <v>146.0558801</v>
      </c>
      <c r="D4584" s="83">
        <v>-17.515058060000001</v>
      </c>
      <c r="G4584" s="83">
        <v>2</v>
      </c>
      <c r="I4584" s="83">
        <v>1</v>
      </c>
      <c r="J4584" s="83">
        <v>1</v>
      </c>
      <c r="K4584"/>
      <c r="L4584"/>
      <c r="M4584"/>
      <c r="N4584"/>
      <c r="O4584"/>
      <c r="P4584" s="58"/>
      <c r="Q4584" s="58"/>
      <c r="R4584" s="83">
        <v>0</v>
      </c>
      <c r="S4584" s="58"/>
      <c r="T4584" s="58"/>
      <c r="U4584" s="58"/>
      <c r="V4584" s="58"/>
      <c r="W4584" s="86">
        <v>0</v>
      </c>
    </row>
    <row r="4585" spans="1:23" s="83" customFormat="1" x14ac:dyDescent="0.35">
      <c r="A4585">
        <v>4581</v>
      </c>
      <c r="B4585" s="83">
        <v>4582</v>
      </c>
      <c r="C4585" s="83">
        <v>146.055871</v>
      </c>
      <c r="D4585" s="83">
        <v>-17.514964200000001</v>
      </c>
      <c r="G4585" s="83">
        <v>2</v>
      </c>
      <c r="I4585" s="83">
        <v>1</v>
      </c>
      <c r="J4585" s="83">
        <v>1</v>
      </c>
      <c r="K4585"/>
      <c r="L4585"/>
      <c r="M4585"/>
      <c r="N4585"/>
      <c r="O4585"/>
      <c r="P4585" s="58"/>
      <c r="Q4585" s="58"/>
      <c r="R4585" s="83">
        <v>0</v>
      </c>
      <c r="S4585" s="58"/>
      <c r="T4585" s="58"/>
      <c r="U4585" s="58"/>
      <c r="V4585" s="58"/>
      <c r="W4585" s="86">
        <v>0</v>
      </c>
    </row>
    <row r="4586" spans="1:23" s="83" customFormat="1" x14ac:dyDescent="0.35">
      <c r="A4586">
        <v>4582</v>
      </c>
      <c r="B4586" s="83">
        <v>4583</v>
      </c>
      <c r="C4586" s="83">
        <v>146.05586199999999</v>
      </c>
      <c r="D4586" s="83">
        <v>-17.514870330000001</v>
      </c>
      <c r="G4586" s="83">
        <v>2</v>
      </c>
      <c r="I4586" s="83">
        <v>1</v>
      </c>
      <c r="J4586" s="83">
        <v>1</v>
      </c>
      <c r="K4586"/>
      <c r="L4586"/>
      <c r="M4586"/>
      <c r="N4586"/>
      <c r="O4586"/>
      <c r="P4586" s="58"/>
      <c r="Q4586" s="58"/>
      <c r="R4586" s="83">
        <v>0</v>
      </c>
      <c r="S4586" s="58"/>
      <c r="T4586" s="58"/>
      <c r="U4586" s="58"/>
      <c r="V4586" s="58"/>
      <c r="W4586" s="86">
        <v>0</v>
      </c>
    </row>
    <row r="4587" spans="1:23" s="83" customFormat="1" x14ac:dyDescent="0.35">
      <c r="A4587">
        <v>4583</v>
      </c>
      <c r="B4587" s="83">
        <v>4584</v>
      </c>
      <c r="C4587" s="83">
        <v>146.05585300000001</v>
      </c>
      <c r="D4587" s="83">
        <v>-17.51477646</v>
      </c>
      <c r="G4587" s="83">
        <v>2</v>
      </c>
      <c r="I4587" s="83">
        <v>1</v>
      </c>
      <c r="J4587" s="83">
        <v>1</v>
      </c>
      <c r="K4587"/>
      <c r="L4587"/>
      <c r="M4587"/>
      <c r="N4587"/>
      <c r="O4587"/>
      <c r="P4587" s="58"/>
      <c r="Q4587" s="58"/>
      <c r="R4587" s="83">
        <v>0</v>
      </c>
      <c r="S4587" s="58"/>
      <c r="T4587" s="58"/>
      <c r="U4587" s="58"/>
      <c r="V4587" s="58"/>
      <c r="W4587" s="86">
        <v>0</v>
      </c>
    </row>
    <row r="4588" spans="1:23" s="83" customFormat="1" x14ac:dyDescent="0.35">
      <c r="A4588">
        <v>4584</v>
      </c>
      <c r="B4588" s="83">
        <v>4585</v>
      </c>
      <c r="C4588" s="83">
        <v>146.05584390000001</v>
      </c>
      <c r="D4588" s="83">
        <v>-17.51468259</v>
      </c>
      <c r="G4588" s="83">
        <v>1</v>
      </c>
      <c r="I4588" s="83">
        <v>1</v>
      </c>
      <c r="J4588" s="83">
        <v>1</v>
      </c>
      <c r="K4588"/>
      <c r="L4588"/>
      <c r="M4588"/>
      <c r="N4588"/>
      <c r="O4588"/>
      <c r="P4588" s="58"/>
      <c r="Q4588" s="58"/>
      <c r="R4588" s="83">
        <v>0</v>
      </c>
      <c r="S4588" s="58"/>
      <c r="T4588" s="58"/>
      <c r="U4588" s="58"/>
      <c r="V4588" s="58"/>
      <c r="W4588" s="86">
        <v>0</v>
      </c>
    </row>
    <row r="4589" spans="1:23" s="83" customFormat="1" x14ac:dyDescent="0.35">
      <c r="A4589">
        <v>4585</v>
      </c>
      <c r="B4589" s="83">
        <v>4586</v>
      </c>
      <c r="C4589" s="83">
        <v>146.05583490000001</v>
      </c>
      <c r="D4589" s="83">
        <v>-17.514588719999999</v>
      </c>
      <c r="G4589" s="83">
        <v>1</v>
      </c>
      <c r="I4589" s="83">
        <v>1</v>
      </c>
      <c r="J4589" s="83">
        <v>1</v>
      </c>
      <c r="K4589"/>
      <c r="L4589"/>
      <c r="M4589"/>
      <c r="N4589"/>
      <c r="O4589"/>
      <c r="P4589" s="58"/>
      <c r="Q4589" s="58"/>
      <c r="R4589" s="83">
        <v>0</v>
      </c>
      <c r="S4589" s="58"/>
      <c r="T4589" s="58"/>
      <c r="U4589" s="58"/>
      <c r="V4589" s="58"/>
      <c r="W4589" s="86">
        <v>0</v>
      </c>
    </row>
    <row r="4590" spans="1:23" s="83" customFormat="1" x14ac:dyDescent="0.35">
      <c r="A4590">
        <v>4586</v>
      </c>
      <c r="B4590" s="83">
        <v>4587</v>
      </c>
      <c r="C4590" s="83">
        <v>146.05582580000001</v>
      </c>
      <c r="D4590" s="83">
        <v>-17.514494849999998</v>
      </c>
      <c r="G4590" s="83">
        <v>1</v>
      </c>
      <c r="I4590" s="83">
        <v>1</v>
      </c>
      <c r="J4590" s="83">
        <v>1</v>
      </c>
      <c r="K4590"/>
      <c r="L4590"/>
      <c r="M4590"/>
      <c r="N4590"/>
      <c r="O4590"/>
      <c r="P4590" s="58"/>
      <c r="Q4590" s="58"/>
      <c r="R4590" s="83">
        <v>0</v>
      </c>
      <c r="S4590" s="58"/>
      <c r="T4590" s="58"/>
      <c r="U4590" s="58"/>
      <c r="V4590" s="58"/>
      <c r="W4590" s="86">
        <v>0</v>
      </c>
    </row>
    <row r="4591" spans="1:23" s="83" customFormat="1" x14ac:dyDescent="0.35">
      <c r="A4591">
        <v>4587</v>
      </c>
      <c r="B4591" s="83">
        <v>4588</v>
      </c>
      <c r="C4591" s="83">
        <v>146.0558168</v>
      </c>
      <c r="D4591" s="83">
        <v>-17.514400980000001</v>
      </c>
      <c r="G4591" s="83">
        <v>1</v>
      </c>
      <c r="I4591" s="83">
        <v>1</v>
      </c>
      <c r="J4591" s="83">
        <v>1</v>
      </c>
      <c r="K4591"/>
      <c r="L4591"/>
      <c r="M4591"/>
      <c r="N4591"/>
      <c r="O4591"/>
      <c r="P4591" s="58"/>
      <c r="Q4591" s="58"/>
      <c r="R4591" s="83">
        <v>0</v>
      </c>
      <c r="S4591" s="58"/>
      <c r="T4591" s="58"/>
      <c r="U4591" s="58"/>
      <c r="V4591" s="58"/>
      <c r="W4591" s="86">
        <v>0</v>
      </c>
    </row>
    <row r="4592" spans="1:23" s="83" customFormat="1" x14ac:dyDescent="0.35">
      <c r="A4592">
        <v>4588</v>
      </c>
      <c r="B4592" s="83">
        <v>4589</v>
      </c>
      <c r="C4592" s="83">
        <v>146.0558077</v>
      </c>
      <c r="D4592" s="83">
        <v>-17.514307110000001</v>
      </c>
      <c r="G4592" s="83">
        <v>1</v>
      </c>
      <c r="I4592" s="83">
        <v>1</v>
      </c>
      <c r="J4592" s="83">
        <v>1</v>
      </c>
      <c r="K4592"/>
      <c r="L4592"/>
      <c r="M4592"/>
      <c r="N4592"/>
      <c r="O4592"/>
      <c r="P4592" s="58"/>
      <c r="Q4592" s="58"/>
      <c r="R4592" s="83">
        <v>0</v>
      </c>
      <c r="S4592" s="58"/>
      <c r="T4592" s="58"/>
      <c r="U4592" s="58"/>
      <c r="V4592" s="58"/>
      <c r="W4592" s="86">
        <v>0</v>
      </c>
    </row>
    <row r="4593" spans="1:23" s="83" customFormat="1" x14ac:dyDescent="0.35">
      <c r="A4593">
        <v>4589</v>
      </c>
      <c r="B4593" s="83">
        <v>4590</v>
      </c>
      <c r="C4593" s="83">
        <v>146.05580380000001</v>
      </c>
      <c r="D4593" s="83">
        <v>-17.51421311</v>
      </c>
      <c r="G4593" s="83">
        <v>1</v>
      </c>
      <c r="I4593" s="83">
        <v>1</v>
      </c>
      <c r="J4593" s="83">
        <v>1</v>
      </c>
      <c r="K4593"/>
      <c r="L4593"/>
      <c r="M4593"/>
      <c r="N4593"/>
      <c r="O4593"/>
      <c r="P4593" s="58"/>
      <c r="Q4593" s="58"/>
      <c r="R4593" s="83">
        <v>0</v>
      </c>
      <c r="S4593" s="58"/>
      <c r="T4593" s="58"/>
      <c r="U4593" s="58"/>
      <c r="V4593" s="58"/>
      <c r="W4593" s="86">
        <v>0</v>
      </c>
    </row>
    <row r="4594" spans="1:23" s="83" customFormat="1" x14ac:dyDescent="0.35">
      <c r="A4594">
        <v>4590</v>
      </c>
      <c r="B4594" s="83">
        <v>4591</v>
      </c>
      <c r="C4594" s="83">
        <v>146.05580800000001</v>
      </c>
      <c r="D4594" s="83">
        <v>-17.5141189</v>
      </c>
      <c r="G4594" s="83">
        <v>1</v>
      </c>
      <c r="I4594" s="83">
        <v>1</v>
      </c>
      <c r="J4594" s="83">
        <v>1</v>
      </c>
      <c r="K4594"/>
      <c r="L4594"/>
      <c r="M4594"/>
      <c r="N4594"/>
      <c r="O4594"/>
      <c r="P4594" s="58"/>
      <c r="Q4594" s="58"/>
      <c r="R4594" s="83">
        <v>0</v>
      </c>
      <c r="S4594" s="58"/>
      <c r="T4594" s="58"/>
      <c r="U4594" s="58"/>
      <c r="V4594" s="58"/>
      <c r="W4594" s="86">
        <v>0</v>
      </c>
    </row>
    <row r="4595" spans="1:23" s="83" customFormat="1" x14ac:dyDescent="0.35">
      <c r="A4595">
        <v>4591</v>
      </c>
      <c r="B4595" s="83">
        <v>4592</v>
      </c>
      <c r="C4595" s="83">
        <v>146.0558121</v>
      </c>
      <c r="D4595" s="83">
        <v>-17.514024689999999</v>
      </c>
      <c r="G4595" s="83">
        <v>1</v>
      </c>
      <c r="I4595" s="83">
        <v>1</v>
      </c>
      <c r="J4595" s="83">
        <v>1</v>
      </c>
      <c r="K4595"/>
      <c r="L4595"/>
      <c r="M4595"/>
      <c r="N4595"/>
      <c r="O4595"/>
      <c r="P4595" s="58"/>
      <c r="Q4595" s="58"/>
      <c r="R4595" s="83">
        <v>0</v>
      </c>
      <c r="S4595" s="58"/>
      <c r="T4595" s="58"/>
      <c r="U4595" s="58"/>
      <c r="V4595" s="58"/>
      <c r="W4595" s="86">
        <v>0</v>
      </c>
    </row>
    <row r="4596" spans="1:23" s="83" customFormat="1" x14ac:dyDescent="0.35">
      <c r="A4596">
        <v>4592</v>
      </c>
      <c r="B4596" s="83">
        <v>4593</v>
      </c>
      <c r="C4596" s="83">
        <v>146.0558163</v>
      </c>
      <c r="D4596" s="83">
        <v>-17.513930469999998</v>
      </c>
      <c r="G4596" s="83">
        <v>1</v>
      </c>
      <c r="I4596" s="83">
        <v>1</v>
      </c>
      <c r="J4596" s="83">
        <v>1</v>
      </c>
      <c r="K4596"/>
      <c r="L4596"/>
      <c r="M4596"/>
      <c r="N4596"/>
      <c r="O4596"/>
      <c r="P4596" s="58"/>
      <c r="Q4596" s="58"/>
      <c r="R4596" s="83">
        <v>0</v>
      </c>
      <c r="S4596" s="58"/>
      <c r="T4596" s="58"/>
      <c r="U4596" s="58"/>
      <c r="V4596" s="58"/>
      <c r="W4596" s="86">
        <v>0</v>
      </c>
    </row>
    <row r="4597" spans="1:23" s="83" customFormat="1" x14ac:dyDescent="0.35">
      <c r="A4597">
        <v>4593</v>
      </c>
      <c r="B4597" s="83">
        <v>4594</v>
      </c>
      <c r="C4597" s="83">
        <v>146.05582039999999</v>
      </c>
      <c r="D4597" s="83">
        <v>-17.513836260000001</v>
      </c>
      <c r="G4597" s="83">
        <v>1</v>
      </c>
      <c r="I4597" s="83">
        <v>1</v>
      </c>
      <c r="J4597" s="83">
        <v>1</v>
      </c>
      <c r="K4597"/>
      <c r="L4597"/>
      <c r="M4597"/>
      <c r="N4597"/>
      <c r="O4597"/>
      <c r="P4597" s="58"/>
      <c r="Q4597" s="58"/>
      <c r="R4597" s="83">
        <v>0</v>
      </c>
      <c r="S4597" s="58"/>
      <c r="T4597" s="58"/>
      <c r="U4597" s="58"/>
      <c r="V4597" s="58"/>
      <c r="W4597" s="86">
        <v>0</v>
      </c>
    </row>
    <row r="4598" spans="1:23" s="83" customFormat="1" x14ac:dyDescent="0.35">
      <c r="A4598">
        <v>4594</v>
      </c>
      <c r="B4598" s="83">
        <v>4595</v>
      </c>
      <c r="C4598" s="83">
        <v>146.05582459999999</v>
      </c>
      <c r="D4598" s="83">
        <v>-17.513742050000001</v>
      </c>
      <c r="G4598" s="83">
        <v>1</v>
      </c>
      <c r="I4598" s="83">
        <v>1</v>
      </c>
      <c r="J4598" s="83">
        <v>1</v>
      </c>
      <c r="K4598"/>
      <c r="L4598"/>
      <c r="M4598"/>
      <c r="N4598"/>
      <c r="O4598"/>
      <c r="P4598" s="58"/>
      <c r="Q4598" s="58"/>
      <c r="R4598" s="83">
        <v>0</v>
      </c>
      <c r="S4598" s="58"/>
      <c r="T4598" s="58"/>
      <c r="U4598" s="58"/>
      <c r="V4598" s="58"/>
      <c r="W4598" s="86">
        <v>0</v>
      </c>
    </row>
    <row r="4599" spans="1:23" s="83" customFormat="1" x14ac:dyDescent="0.35">
      <c r="A4599">
        <v>4595</v>
      </c>
      <c r="B4599" s="83">
        <v>4596</v>
      </c>
      <c r="C4599" s="83">
        <v>146.05582870000001</v>
      </c>
      <c r="D4599" s="83">
        <v>-17.513647840000001</v>
      </c>
      <c r="G4599" s="83">
        <v>1</v>
      </c>
      <c r="I4599" s="83">
        <v>1</v>
      </c>
      <c r="J4599" s="83">
        <v>1</v>
      </c>
      <c r="K4599"/>
      <c r="L4599"/>
      <c r="M4599"/>
      <c r="N4599"/>
      <c r="O4599"/>
      <c r="P4599" s="58"/>
      <c r="Q4599" s="58"/>
      <c r="R4599" s="83">
        <v>0</v>
      </c>
      <c r="S4599" s="58"/>
      <c r="T4599" s="58"/>
      <c r="U4599" s="58"/>
      <c r="V4599" s="58"/>
      <c r="W4599" s="86">
        <v>0</v>
      </c>
    </row>
    <row r="4600" spans="1:23" s="83" customFormat="1" x14ac:dyDescent="0.35">
      <c r="A4600">
        <v>4596</v>
      </c>
      <c r="B4600" s="83">
        <v>4597</v>
      </c>
      <c r="C4600" s="83">
        <v>146.05583290000001</v>
      </c>
      <c r="D4600" s="83">
        <v>-17.513553630000001</v>
      </c>
      <c r="G4600" s="83">
        <v>1</v>
      </c>
      <c r="I4600" s="83">
        <v>1</v>
      </c>
      <c r="J4600" s="83">
        <v>1</v>
      </c>
      <c r="K4600"/>
      <c r="L4600"/>
      <c r="M4600"/>
      <c r="N4600"/>
      <c r="O4600"/>
      <c r="P4600" s="58"/>
      <c r="Q4600" s="58"/>
      <c r="R4600" s="83">
        <v>0</v>
      </c>
      <c r="S4600" s="58"/>
      <c r="T4600" s="58"/>
      <c r="U4600" s="58"/>
      <c r="V4600" s="58"/>
      <c r="W4600" s="86">
        <v>0</v>
      </c>
    </row>
    <row r="4601" spans="1:23" s="83" customFormat="1" x14ac:dyDescent="0.35">
      <c r="A4601">
        <v>4597</v>
      </c>
      <c r="B4601" s="83">
        <v>4598</v>
      </c>
      <c r="C4601" s="83">
        <v>146.0558388</v>
      </c>
      <c r="D4601" s="83">
        <v>-17.513459520000001</v>
      </c>
      <c r="G4601" s="83">
        <v>1</v>
      </c>
      <c r="I4601" s="83">
        <v>1</v>
      </c>
      <c r="J4601" s="83">
        <v>1</v>
      </c>
      <c r="K4601"/>
      <c r="L4601"/>
      <c r="M4601"/>
      <c r="N4601"/>
      <c r="O4601"/>
      <c r="P4601" s="58"/>
      <c r="Q4601" s="58"/>
      <c r="R4601" s="83">
        <v>0</v>
      </c>
      <c r="S4601" s="58"/>
      <c r="T4601" s="58"/>
      <c r="U4601" s="58"/>
      <c r="V4601" s="58"/>
      <c r="W4601" s="86">
        <v>0</v>
      </c>
    </row>
    <row r="4602" spans="1:23" s="83" customFormat="1" x14ac:dyDescent="0.35">
      <c r="A4602">
        <v>4598</v>
      </c>
      <c r="B4602" s="83">
        <v>4599</v>
      </c>
      <c r="C4602" s="83">
        <v>146.05584569999999</v>
      </c>
      <c r="D4602" s="83">
        <v>-17.51336547</v>
      </c>
      <c r="G4602" s="83">
        <v>1</v>
      </c>
      <c r="I4602" s="83">
        <v>1</v>
      </c>
      <c r="J4602" s="83">
        <v>1</v>
      </c>
      <c r="K4602"/>
      <c r="L4602"/>
      <c r="M4602"/>
      <c r="N4602"/>
      <c r="O4602"/>
      <c r="P4602" s="58"/>
      <c r="Q4602" s="58"/>
      <c r="R4602" s="83">
        <v>0</v>
      </c>
      <c r="S4602" s="58"/>
      <c r="T4602" s="58"/>
      <c r="U4602" s="58"/>
      <c r="V4602" s="58"/>
      <c r="W4602" s="86">
        <v>0</v>
      </c>
    </row>
    <row r="4603" spans="1:23" s="83" customFormat="1" x14ac:dyDescent="0.35">
      <c r="A4603">
        <v>4599</v>
      </c>
      <c r="B4603" s="83">
        <v>4600</v>
      </c>
      <c r="C4603" s="83">
        <v>146.05585260000001</v>
      </c>
      <c r="D4603" s="83">
        <v>-17.513271419999999</v>
      </c>
      <c r="G4603" s="83">
        <v>1</v>
      </c>
      <c r="I4603" s="83">
        <v>1</v>
      </c>
      <c r="J4603" s="83">
        <v>1</v>
      </c>
      <c r="K4603"/>
      <c r="L4603"/>
      <c r="M4603"/>
      <c r="N4603"/>
      <c r="O4603"/>
      <c r="P4603" s="58"/>
      <c r="Q4603" s="58"/>
      <c r="R4603" s="83">
        <v>0</v>
      </c>
      <c r="S4603" s="58"/>
      <c r="T4603" s="58"/>
      <c r="U4603" s="58"/>
      <c r="V4603" s="58"/>
      <c r="W4603" s="86">
        <v>0</v>
      </c>
    </row>
    <row r="4604" spans="1:23" s="83" customFormat="1" x14ac:dyDescent="0.35">
      <c r="A4604">
        <v>4600</v>
      </c>
      <c r="B4604" s="83">
        <v>4601</v>
      </c>
      <c r="C4604" s="83">
        <v>146.0558619</v>
      </c>
      <c r="D4604" s="83">
        <v>-17.513177880000001</v>
      </c>
      <c r="G4604" s="83">
        <v>1</v>
      </c>
      <c r="I4604" s="83">
        <v>1</v>
      </c>
      <c r="J4604" s="83">
        <v>1</v>
      </c>
      <c r="K4604"/>
      <c r="L4604"/>
      <c r="M4604"/>
      <c r="N4604"/>
      <c r="O4604"/>
      <c r="P4604" s="58"/>
      <c r="Q4604" s="58"/>
      <c r="R4604" s="83">
        <v>0</v>
      </c>
      <c r="S4604" s="58"/>
      <c r="T4604" s="58"/>
      <c r="U4604" s="58"/>
      <c r="V4604" s="58"/>
      <c r="W4604" s="86">
        <v>0</v>
      </c>
    </row>
    <row r="4605" spans="1:23" s="83" customFormat="1" x14ac:dyDescent="0.35">
      <c r="A4605">
        <v>4601</v>
      </c>
      <c r="B4605" s="83">
        <v>4602</v>
      </c>
      <c r="C4605" s="83">
        <v>146.05589430000001</v>
      </c>
      <c r="D4605" s="83">
        <v>-17.513089340000001</v>
      </c>
      <c r="G4605" s="83">
        <v>1</v>
      </c>
      <c r="I4605" s="83">
        <v>1</v>
      </c>
      <c r="J4605" s="83">
        <v>1</v>
      </c>
      <c r="K4605"/>
      <c r="L4605"/>
      <c r="M4605"/>
      <c r="N4605"/>
      <c r="O4605"/>
      <c r="P4605" s="58"/>
      <c r="Q4605" s="58"/>
      <c r="R4605" s="83">
        <v>0</v>
      </c>
      <c r="S4605" s="58"/>
      <c r="T4605" s="58"/>
      <c r="U4605" s="58"/>
      <c r="V4605" s="58"/>
      <c r="W4605" s="86">
        <v>0</v>
      </c>
    </row>
    <row r="4606" spans="1:23" s="83" customFormat="1" x14ac:dyDescent="0.35">
      <c r="A4606">
        <v>4602</v>
      </c>
      <c r="B4606" s="83">
        <v>4603</v>
      </c>
      <c r="C4606" s="83">
        <v>146.0559317</v>
      </c>
      <c r="D4606" s="83">
        <v>-17.513002920000002</v>
      </c>
      <c r="G4606" s="83">
        <v>1</v>
      </c>
      <c r="I4606" s="83">
        <v>1</v>
      </c>
      <c r="J4606" s="83">
        <v>1</v>
      </c>
      <c r="K4606"/>
      <c r="L4606"/>
      <c r="M4606"/>
      <c r="N4606"/>
      <c r="O4606"/>
      <c r="P4606" s="58"/>
      <c r="Q4606" s="58"/>
      <c r="R4606" s="83">
        <v>0</v>
      </c>
      <c r="S4606" s="58"/>
      <c r="T4606" s="58"/>
      <c r="U4606" s="58"/>
      <c r="V4606" s="58"/>
      <c r="W4606" s="86">
        <v>0</v>
      </c>
    </row>
    <row r="4607" spans="1:23" s="83" customFormat="1" x14ac:dyDescent="0.35">
      <c r="A4607">
        <v>4603</v>
      </c>
      <c r="B4607" s="83">
        <v>4604</v>
      </c>
      <c r="C4607" s="83">
        <v>146.05597409999999</v>
      </c>
      <c r="D4607" s="83">
        <v>-17.512918679999999</v>
      </c>
      <c r="G4607" s="83">
        <v>1</v>
      </c>
      <c r="I4607" s="83">
        <v>1</v>
      </c>
      <c r="J4607" s="83">
        <v>1</v>
      </c>
      <c r="K4607"/>
      <c r="L4607"/>
      <c r="M4607"/>
      <c r="N4607"/>
      <c r="O4607"/>
      <c r="P4607" s="58"/>
      <c r="Q4607" s="58"/>
      <c r="R4607" s="83">
        <v>0</v>
      </c>
      <c r="S4607" s="58"/>
      <c r="T4607" s="58"/>
      <c r="U4607" s="58"/>
      <c r="V4607" s="58"/>
      <c r="W4607" s="86">
        <v>0</v>
      </c>
    </row>
    <row r="4608" spans="1:23" s="83" customFormat="1" x14ac:dyDescent="0.35">
      <c r="A4608">
        <v>4604</v>
      </c>
      <c r="B4608" s="83">
        <v>4605</v>
      </c>
      <c r="C4608" s="83">
        <v>146.056003</v>
      </c>
      <c r="D4608" s="83">
        <v>-17.512829480000001</v>
      </c>
      <c r="G4608" s="83">
        <v>1</v>
      </c>
      <c r="I4608" s="83">
        <v>1</v>
      </c>
      <c r="J4608" s="83">
        <v>1</v>
      </c>
      <c r="K4608"/>
      <c r="L4608"/>
      <c r="M4608"/>
      <c r="N4608"/>
      <c r="O4608"/>
      <c r="P4608" s="58"/>
      <c r="Q4608" s="58"/>
      <c r="R4608" s="83">
        <v>0</v>
      </c>
      <c r="S4608" s="58"/>
      <c r="T4608" s="58"/>
      <c r="U4608" s="58"/>
      <c r="V4608" s="58"/>
      <c r="W4608" s="86">
        <v>0</v>
      </c>
    </row>
    <row r="4609" spans="1:23" s="83" customFormat="1" x14ac:dyDescent="0.35">
      <c r="A4609">
        <v>4605</v>
      </c>
      <c r="B4609" s="83">
        <v>4606</v>
      </c>
      <c r="C4609" s="83">
        <v>146.05602519999999</v>
      </c>
      <c r="D4609" s="83">
        <v>-17.512737829999999</v>
      </c>
      <c r="G4609" s="83">
        <v>1</v>
      </c>
      <c r="I4609" s="83">
        <v>1</v>
      </c>
      <c r="J4609" s="83">
        <v>1</v>
      </c>
      <c r="K4609"/>
      <c r="L4609"/>
      <c r="M4609"/>
      <c r="N4609"/>
      <c r="O4609"/>
      <c r="P4609" s="58"/>
      <c r="Q4609" s="58"/>
      <c r="R4609" s="83">
        <v>0</v>
      </c>
      <c r="S4609" s="58"/>
      <c r="T4609" s="58"/>
      <c r="U4609" s="58"/>
      <c r="V4609" s="58"/>
      <c r="W4609" s="86">
        <v>0</v>
      </c>
    </row>
    <row r="4610" spans="1:23" s="83" customFormat="1" x14ac:dyDescent="0.35">
      <c r="A4610">
        <v>4606</v>
      </c>
      <c r="B4610" s="83">
        <v>4607</v>
      </c>
      <c r="C4610" s="83">
        <v>146.05605420000001</v>
      </c>
      <c r="D4610" s="83">
        <v>-17.512648280000001</v>
      </c>
      <c r="G4610" s="83">
        <v>1</v>
      </c>
      <c r="I4610" s="83">
        <v>1</v>
      </c>
      <c r="J4610" s="83">
        <v>1</v>
      </c>
      <c r="K4610"/>
      <c r="L4610"/>
      <c r="M4610"/>
      <c r="N4610"/>
      <c r="O4610"/>
      <c r="P4610" s="58"/>
      <c r="Q4610" s="58"/>
      <c r="R4610" s="83">
        <v>0</v>
      </c>
      <c r="S4610" s="58"/>
      <c r="T4610" s="58"/>
      <c r="U4610" s="58"/>
      <c r="V4610" s="58"/>
      <c r="W4610" s="86">
        <v>0</v>
      </c>
    </row>
    <row r="4611" spans="1:23" s="83" customFormat="1" x14ac:dyDescent="0.35">
      <c r="A4611">
        <v>4607</v>
      </c>
      <c r="B4611" s="83">
        <v>4608</v>
      </c>
      <c r="C4611" s="83">
        <v>146.0560729</v>
      </c>
      <c r="D4611" s="83">
        <v>-17.512556669999999</v>
      </c>
      <c r="G4611" s="83">
        <v>1</v>
      </c>
      <c r="I4611" s="83">
        <v>1</v>
      </c>
      <c r="J4611" s="83">
        <v>1</v>
      </c>
      <c r="K4611"/>
      <c r="L4611"/>
      <c r="M4611"/>
      <c r="N4611"/>
      <c r="O4611"/>
      <c r="P4611" s="58"/>
      <c r="Q4611" s="58"/>
      <c r="R4611" s="83">
        <v>0</v>
      </c>
      <c r="S4611" s="58"/>
      <c r="T4611" s="58"/>
      <c r="U4611" s="58"/>
      <c r="V4611" s="58"/>
      <c r="W4611" s="86">
        <v>0</v>
      </c>
    </row>
    <row r="4612" spans="1:23" s="83" customFormat="1" x14ac:dyDescent="0.35">
      <c r="A4612">
        <v>4608</v>
      </c>
      <c r="B4612" s="83">
        <v>4609</v>
      </c>
      <c r="C4612" s="83">
        <v>146.05608129999999</v>
      </c>
      <c r="D4612" s="83">
        <v>-17.512462750000001</v>
      </c>
      <c r="G4612" s="83">
        <v>1</v>
      </c>
      <c r="I4612" s="83">
        <v>1</v>
      </c>
      <c r="J4612" s="83">
        <v>1</v>
      </c>
      <c r="K4612"/>
      <c r="L4612"/>
      <c r="M4612"/>
      <c r="N4612"/>
      <c r="O4612"/>
      <c r="P4612" s="58"/>
      <c r="Q4612" s="58"/>
      <c r="R4612" s="83">
        <v>0</v>
      </c>
      <c r="S4612" s="58"/>
      <c r="T4612" s="58"/>
      <c r="U4612" s="58"/>
      <c r="V4612" s="58"/>
      <c r="W4612" s="86">
        <v>0</v>
      </c>
    </row>
    <row r="4613" spans="1:23" s="83" customFormat="1" x14ac:dyDescent="0.35">
      <c r="A4613">
        <v>4609</v>
      </c>
      <c r="B4613" s="83">
        <v>4610</v>
      </c>
      <c r="C4613" s="83">
        <v>146.0560954</v>
      </c>
      <c r="D4613" s="83">
        <v>-17.51236974</v>
      </c>
      <c r="G4613" s="83">
        <v>1</v>
      </c>
      <c r="I4613" s="83">
        <v>1</v>
      </c>
      <c r="J4613" s="83">
        <v>1</v>
      </c>
      <c r="K4613"/>
      <c r="L4613"/>
      <c r="M4613"/>
      <c r="N4613"/>
      <c r="O4613"/>
      <c r="P4613" s="58"/>
      <c r="Q4613" s="58"/>
      <c r="R4613" s="83">
        <v>0</v>
      </c>
      <c r="S4613" s="58"/>
      <c r="T4613" s="58"/>
      <c r="U4613" s="58"/>
      <c r="V4613" s="58"/>
      <c r="W4613" s="86">
        <v>0</v>
      </c>
    </row>
    <row r="4614" spans="1:23" s="83" customFormat="1" x14ac:dyDescent="0.35">
      <c r="A4614">
        <v>4610</v>
      </c>
      <c r="B4614" s="83">
        <v>4611</v>
      </c>
      <c r="C4614" s="83">
        <v>146.05611690000001</v>
      </c>
      <c r="D4614" s="83">
        <v>-17.512277910000002</v>
      </c>
      <c r="G4614" s="83">
        <v>1</v>
      </c>
      <c r="I4614" s="83">
        <v>1</v>
      </c>
      <c r="J4614" s="83">
        <v>1</v>
      </c>
      <c r="K4614"/>
      <c r="L4614"/>
      <c r="M4614"/>
      <c r="N4614"/>
      <c r="O4614"/>
      <c r="P4614" s="58"/>
      <c r="Q4614" s="58"/>
      <c r="R4614" s="83">
        <v>0</v>
      </c>
      <c r="S4614" s="58"/>
      <c r="T4614" s="58"/>
      <c r="U4614" s="58"/>
      <c r="V4614" s="58"/>
      <c r="W4614" s="86">
        <v>0</v>
      </c>
    </row>
    <row r="4615" spans="1:23" s="83" customFormat="1" x14ac:dyDescent="0.35">
      <c r="A4615">
        <v>4611</v>
      </c>
      <c r="B4615" s="83">
        <v>4612</v>
      </c>
      <c r="C4615" s="83">
        <v>146.05613840000001</v>
      </c>
      <c r="D4615" s="83">
        <v>-17.512186079999999</v>
      </c>
      <c r="G4615" s="83">
        <v>1</v>
      </c>
      <c r="I4615" s="83">
        <v>1</v>
      </c>
      <c r="J4615" s="83">
        <v>1</v>
      </c>
      <c r="K4615"/>
      <c r="L4615"/>
      <c r="M4615"/>
      <c r="N4615"/>
      <c r="O4615"/>
      <c r="P4615" s="58"/>
      <c r="Q4615" s="58"/>
      <c r="R4615" s="83">
        <v>0</v>
      </c>
      <c r="S4615" s="58"/>
      <c r="T4615" s="58"/>
      <c r="U4615" s="58"/>
      <c r="V4615" s="58"/>
      <c r="W4615" s="86">
        <v>0</v>
      </c>
    </row>
    <row r="4616" spans="1:23" s="83" customFormat="1" x14ac:dyDescent="0.35">
      <c r="A4616">
        <v>4612</v>
      </c>
      <c r="B4616" s="83">
        <v>4613</v>
      </c>
      <c r="C4616" s="83">
        <v>146.05615979999999</v>
      </c>
      <c r="D4616" s="83">
        <v>-17.512094260000001</v>
      </c>
      <c r="G4616" s="83">
        <v>1</v>
      </c>
      <c r="I4616" s="83">
        <v>1</v>
      </c>
      <c r="J4616" s="83">
        <v>1</v>
      </c>
      <c r="K4616"/>
      <c r="L4616"/>
      <c r="M4616"/>
      <c r="N4616"/>
      <c r="O4616"/>
      <c r="P4616" s="58"/>
      <c r="Q4616" s="58"/>
      <c r="R4616" s="83">
        <v>0</v>
      </c>
      <c r="S4616" s="58"/>
      <c r="T4616" s="58"/>
      <c r="U4616" s="58"/>
      <c r="V4616" s="58"/>
      <c r="W4616" s="86">
        <v>0</v>
      </c>
    </row>
    <row r="4617" spans="1:23" s="83" customFormat="1" x14ac:dyDescent="0.35">
      <c r="A4617">
        <v>4613</v>
      </c>
      <c r="B4617" s="83">
        <v>4614</v>
      </c>
      <c r="C4617" s="83">
        <v>146.0561817</v>
      </c>
      <c r="D4617" s="83">
        <v>-17.51200253</v>
      </c>
      <c r="G4617" s="83">
        <v>1</v>
      </c>
      <c r="I4617" s="83">
        <v>1</v>
      </c>
      <c r="J4617" s="83">
        <v>1</v>
      </c>
      <c r="K4617"/>
      <c r="L4617"/>
      <c r="M4617"/>
      <c r="N4617"/>
      <c r="O4617"/>
      <c r="P4617" s="58"/>
      <c r="Q4617" s="58"/>
      <c r="R4617" s="83">
        <v>0</v>
      </c>
      <c r="S4617" s="58"/>
      <c r="T4617" s="58"/>
      <c r="U4617" s="58"/>
      <c r="V4617" s="58"/>
      <c r="W4617" s="86">
        <v>0</v>
      </c>
    </row>
    <row r="4618" spans="1:23" s="83" customFormat="1" x14ac:dyDescent="0.35">
      <c r="A4618">
        <v>4614</v>
      </c>
      <c r="B4618" s="83">
        <v>4615</v>
      </c>
      <c r="C4618" s="83">
        <v>146.05620690000001</v>
      </c>
      <c r="D4618" s="83">
        <v>-17.511911659999999</v>
      </c>
      <c r="G4618" s="83">
        <v>1</v>
      </c>
      <c r="I4618" s="83">
        <v>1</v>
      </c>
      <c r="J4618" s="83">
        <v>1</v>
      </c>
      <c r="K4618"/>
      <c r="L4618"/>
      <c r="M4618"/>
      <c r="N4618"/>
      <c r="O4618"/>
      <c r="P4618" s="58"/>
      <c r="Q4618" s="58"/>
      <c r="R4618" s="83">
        <v>0</v>
      </c>
      <c r="S4618" s="58"/>
      <c r="T4618" s="58"/>
      <c r="U4618" s="58"/>
      <c r="V4618" s="58"/>
      <c r="W4618" s="86">
        <v>0</v>
      </c>
    </row>
    <row r="4619" spans="1:23" s="83" customFormat="1" x14ac:dyDescent="0.35">
      <c r="A4619">
        <v>4615</v>
      </c>
      <c r="B4619" s="83">
        <v>4616</v>
      </c>
      <c r="C4619" s="83">
        <v>146.05623209999999</v>
      </c>
      <c r="D4619" s="83">
        <v>-17.511820790000002</v>
      </c>
      <c r="G4619" s="83">
        <v>1</v>
      </c>
      <c r="I4619" s="83">
        <v>1</v>
      </c>
      <c r="J4619" s="83">
        <v>1</v>
      </c>
      <c r="K4619"/>
      <c r="L4619"/>
      <c r="M4619"/>
      <c r="N4619"/>
      <c r="O4619"/>
      <c r="P4619" s="58"/>
      <c r="Q4619" s="58"/>
      <c r="R4619" s="83">
        <v>0</v>
      </c>
      <c r="S4619" s="58"/>
      <c r="T4619" s="58"/>
      <c r="U4619" s="58"/>
      <c r="V4619" s="58"/>
      <c r="W4619" s="86">
        <v>0</v>
      </c>
    </row>
    <row r="4620" spans="1:23" s="83" customFormat="1" x14ac:dyDescent="0.35">
      <c r="A4620">
        <v>4616</v>
      </c>
      <c r="B4620" s="83">
        <v>4617</v>
      </c>
      <c r="C4620" s="83">
        <v>146.0562573</v>
      </c>
      <c r="D4620" s="83">
        <v>-17.511729920000001</v>
      </c>
      <c r="G4620" s="83">
        <v>1</v>
      </c>
      <c r="I4620" s="83">
        <v>1</v>
      </c>
      <c r="J4620" s="83">
        <v>1</v>
      </c>
      <c r="K4620"/>
      <c r="L4620"/>
      <c r="M4620"/>
      <c r="N4620"/>
      <c r="O4620"/>
      <c r="P4620" s="58"/>
      <c r="Q4620" s="58"/>
      <c r="R4620" s="83">
        <v>0</v>
      </c>
      <c r="S4620" s="58"/>
      <c r="T4620" s="58"/>
      <c r="U4620" s="58"/>
      <c r="V4620" s="58"/>
      <c r="W4620" s="86">
        <v>0</v>
      </c>
    </row>
    <row r="4621" spans="1:23" s="83" customFormat="1" x14ac:dyDescent="0.35">
      <c r="A4621">
        <v>4617</v>
      </c>
      <c r="B4621" s="83">
        <v>4618</v>
      </c>
      <c r="C4621" s="83">
        <v>146.05628250000001</v>
      </c>
      <c r="D4621" s="83">
        <v>-17.511639039999999</v>
      </c>
      <c r="G4621" s="83">
        <v>1</v>
      </c>
      <c r="I4621" s="83">
        <v>1</v>
      </c>
      <c r="J4621" s="83">
        <v>1</v>
      </c>
      <c r="K4621"/>
      <c r="L4621"/>
      <c r="M4621"/>
      <c r="N4621"/>
      <c r="O4621"/>
      <c r="P4621" s="58"/>
      <c r="Q4621" s="58"/>
      <c r="R4621" s="83">
        <v>0</v>
      </c>
      <c r="S4621" s="58"/>
      <c r="T4621" s="58"/>
      <c r="U4621" s="58"/>
      <c r="V4621" s="58"/>
      <c r="W4621" s="86">
        <v>0</v>
      </c>
    </row>
    <row r="4622" spans="1:23" s="83" customFormat="1" x14ac:dyDescent="0.35">
      <c r="A4622">
        <v>4618</v>
      </c>
      <c r="B4622" s="83">
        <v>4619</v>
      </c>
      <c r="C4622" s="83">
        <v>146.05630769999999</v>
      </c>
      <c r="D4622" s="83">
        <v>-17.511548170000001</v>
      </c>
      <c r="G4622" s="83">
        <v>1</v>
      </c>
      <c r="I4622" s="83">
        <v>1</v>
      </c>
      <c r="J4622" s="83">
        <v>1</v>
      </c>
      <c r="K4622"/>
      <c r="L4622"/>
      <c r="M4622"/>
      <c r="N4622"/>
      <c r="O4622"/>
      <c r="P4622" s="58"/>
      <c r="Q4622" s="58"/>
      <c r="R4622" s="83">
        <v>0</v>
      </c>
      <c r="S4622" s="58"/>
      <c r="T4622" s="58"/>
      <c r="U4622" s="58"/>
      <c r="V4622" s="58"/>
      <c r="W4622" s="86">
        <v>0</v>
      </c>
    </row>
    <row r="4623" spans="1:23" s="83" customFormat="1" x14ac:dyDescent="0.35">
      <c r="A4623">
        <v>4619</v>
      </c>
      <c r="B4623" s="83">
        <v>4620</v>
      </c>
      <c r="C4623" s="83">
        <v>146.0563329</v>
      </c>
      <c r="D4623" s="83">
        <v>-17.5114573</v>
      </c>
      <c r="G4623" s="83">
        <v>1</v>
      </c>
      <c r="I4623" s="83">
        <v>1</v>
      </c>
      <c r="J4623" s="83">
        <v>1</v>
      </c>
      <c r="K4623"/>
      <c r="L4623"/>
      <c r="M4623"/>
      <c r="N4623"/>
      <c r="O4623"/>
      <c r="P4623" s="58"/>
      <c r="Q4623" s="58"/>
      <c r="R4623" s="83">
        <v>0</v>
      </c>
      <c r="S4623" s="58"/>
      <c r="T4623" s="58"/>
      <c r="U4623" s="58"/>
      <c r="V4623" s="58"/>
      <c r="W4623" s="86">
        <v>0</v>
      </c>
    </row>
    <row r="4624" spans="1:23" s="83" customFormat="1" x14ac:dyDescent="0.35">
      <c r="A4624">
        <v>4620</v>
      </c>
      <c r="B4624" s="83">
        <v>4621</v>
      </c>
      <c r="C4624" s="83">
        <v>146.05635810000001</v>
      </c>
      <c r="D4624" s="83">
        <v>-17.511366429999999</v>
      </c>
      <c r="G4624" s="83">
        <v>1</v>
      </c>
      <c r="I4624" s="83">
        <v>1</v>
      </c>
      <c r="J4624" s="83">
        <v>1</v>
      </c>
      <c r="K4624"/>
      <c r="L4624"/>
      <c r="M4624"/>
      <c r="N4624"/>
      <c r="O4624"/>
      <c r="P4624" s="58"/>
      <c r="Q4624" s="58"/>
      <c r="R4624" s="83">
        <v>0</v>
      </c>
      <c r="S4624" s="58"/>
      <c r="T4624" s="58"/>
      <c r="U4624" s="58"/>
      <c r="V4624" s="58"/>
      <c r="W4624" s="86">
        <v>0</v>
      </c>
    </row>
    <row r="4625" spans="1:23" s="83" customFormat="1" x14ac:dyDescent="0.35">
      <c r="A4625">
        <v>4621</v>
      </c>
      <c r="B4625" s="83">
        <v>4622</v>
      </c>
      <c r="C4625" s="83">
        <v>146.05638339999999</v>
      </c>
      <c r="D4625" s="83">
        <v>-17.511275560000001</v>
      </c>
      <c r="G4625" s="83">
        <v>1</v>
      </c>
      <c r="I4625" s="83">
        <v>1</v>
      </c>
      <c r="J4625" s="83">
        <v>1</v>
      </c>
      <c r="K4625"/>
      <c r="L4625"/>
      <c r="M4625"/>
      <c r="N4625"/>
      <c r="O4625"/>
      <c r="P4625" s="58"/>
      <c r="Q4625" s="58"/>
      <c r="R4625" s="83">
        <v>0</v>
      </c>
      <c r="S4625" s="58"/>
      <c r="T4625" s="58"/>
      <c r="U4625" s="58"/>
      <c r="V4625" s="58"/>
      <c r="W4625" s="86">
        <v>0</v>
      </c>
    </row>
    <row r="4626" spans="1:23" s="83" customFormat="1" x14ac:dyDescent="0.35">
      <c r="A4626">
        <v>4622</v>
      </c>
      <c r="B4626" s="83">
        <v>4623</v>
      </c>
      <c r="C4626" s="83">
        <v>146.05642979999999</v>
      </c>
      <c r="D4626" s="83">
        <v>-17.51119413</v>
      </c>
      <c r="G4626" s="83">
        <v>1</v>
      </c>
      <c r="I4626" s="83">
        <v>1</v>
      </c>
      <c r="J4626" s="83">
        <v>1</v>
      </c>
      <c r="K4626"/>
      <c r="L4626"/>
      <c r="M4626"/>
      <c r="N4626"/>
      <c r="O4626"/>
      <c r="P4626" s="58"/>
      <c r="Q4626" s="58"/>
      <c r="R4626" s="83">
        <v>0</v>
      </c>
      <c r="S4626" s="58"/>
      <c r="T4626" s="58"/>
      <c r="U4626" s="58"/>
      <c r="V4626" s="58"/>
      <c r="W4626" s="86">
        <v>0</v>
      </c>
    </row>
    <row r="4627" spans="1:23" s="83" customFormat="1" x14ac:dyDescent="0.35">
      <c r="A4627">
        <v>4623</v>
      </c>
      <c r="B4627" s="83">
        <v>4624</v>
      </c>
      <c r="C4627" s="83">
        <v>146.05648049999999</v>
      </c>
      <c r="D4627" s="83">
        <v>-17.511114639999999</v>
      </c>
      <c r="G4627" s="83">
        <v>1</v>
      </c>
      <c r="I4627" s="83">
        <v>1</v>
      </c>
      <c r="J4627" s="83">
        <v>1</v>
      </c>
      <c r="K4627"/>
      <c r="L4627"/>
      <c r="M4627"/>
      <c r="N4627"/>
      <c r="O4627"/>
      <c r="P4627" s="58"/>
      <c r="Q4627" s="58"/>
      <c r="R4627" s="83">
        <v>0</v>
      </c>
      <c r="S4627" s="58"/>
      <c r="T4627" s="58"/>
      <c r="U4627" s="58"/>
      <c r="V4627" s="58"/>
      <c r="W4627" s="86">
        <v>0</v>
      </c>
    </row>
    <row r="4628" spans="1:23" s="83" customFormat="1" x14ac:dyDescent="0.35">
      <c r="A4628">
        <v>4624</v>
      </c>
      <c r="B4628" s="83">
        <v>4625</v>
      </c>
      <c r="C4628" s="83">
        <v>146.05653119999999</v>
      </c>
      <c r="D4628" s="83">
        <v>-17.511035150000001</v>
      </c>
      <c r="G4628" s="83">
        <v>1</v>
      </c>
      <c r="I4628" s="83">
        <v>1</v>
      </c>
      <c r="J4628" s="83">
        <v>1</v>
      </c>
      <c r="K4628"/>
      <c r="L4628"/>
      <c r="M4628"/>
      <c r="N4628"/>
      <c r="O4628"/>
      <c r="P4628" s="58"/>
      <c r="Q4628" s="58"/>
      <c r="R4628" s="83">
        <v>0</v>
      </c>
      <c r="S4628" s="58"/>
      <c r="T4628" s="58"/>
      <c r="U4628" s="58"/>
      <c r="V4628" s="58"/>
      <c r="W4628" s="86">
        <v>0</v>
      </c>
    </row>
    <row r="4629" spans="1:23" s="83" customFormat="1" x14ac:dyDescent="0.35">
      <c r="A4629">
        <v>4625</v>
      </c>
      <c r="B4629" s="83">
        <v>4626</v>
      </c>
      <c r="C4629" s="83">
        <v>146.05658199999999</v>
      </c>
      <c r="D4629" s="83">
        <v>-17.51095566</v>
      </c>
      <c r="G4629" s="83">
        <v>1</v>
      </c>
      <c r="I4629" s="83">
        <v>1</v>
      </c>
      <c r="J4629" s="83">
        <v>1</v>
      </c>
      <c r="K4629"/>
      <c r="L4629"/>
      <c r="M4629"/>
      <c r="N4629"/>
      <c r="O4629"/>
      <c r="P4629" s="58"/>
      <c r="Q4629" s="58"/>
      <c r="R4629" s="83">
        <v>0</v>
      </c>
      <c r="S4629" s="58"/>
      <c r="T4629" s="58"/>
      <c r="U4629" s="58"/>
      <c r="V4629" s="58"/>
      <c r="W4629" s="86">
        <v>0</v>
      </c>
    </row>
    <row r="4630" spans="1:23" s="83" customFormat="1" x14ac:dyDescent="0.35">
      <c r="A4630">
        <v>4626</v>
      </c>
      <c r="B4630" s="83">
        <v>4627</v>
      </c>
      <c r="C4630" s="83">
        <v>146.05663269999999</v>
      </c>
      <c r="D4630" s="83">
        <v>-17.51087617</v>
      </c>
      <c r="G4630" s="83">
        <v>1</v>
      </c>
      <c r="I4630" s="83">
        <v>1</v>
      </c>
      <c r="J4630" s="83">
        <v>1</v>
      </c>
      <c r="K4630"/>
      <c r="L4630"/>
      <c r="M4630"/>
      <c r="N4630"/>
      <c r="O4630"/>
      <c r="P4630" s="58"/>
      <c r="Q4630" s="58"/>
      <c r="R4630" s="83">
        <v>0</v>
      </c>
      <c r="S4630" s="58"/>
      <c r="T4630" s="58"/>
      <c r="U4630" s="58"/>
      <c r="V4630" s="58"/>
      <c r="W4630" s="86">
        <v>0</v>
      </c>
    </row>
    <row r="4631" spans="1:23" s="83" customFormat="1" x14ac:dyDescent="0.35">
      <c r="A4631">
        <v>4627</v>
      </c>
      <c r="B4631" s="83">
        <v>4628</v>
      </c>
      <c r="C4631" s="83">
        <v>146.0566834</v>
      </c>
      <c r="D4631" s="83">
        <v>-17.510796670000001</v>
      </c>
      <c r="G4631" s="83">
        <v>1</v>
      </c>
      <c r="I4631" s="83">
        <v>1</v>
      </c>
      <c r="J4631" s="83">
        <v>1</v>
      </c>
      <c r="K4631"/>
      <c r="L4631"/>
      <c r="M4631"/>
      <c r="N4631"/>
      <c r="O4631"/>
      <c r="P4631" s="58"/>
      <c r="Q4631" s="58"/>
      <c r="R4631" s="83">
        <v>0</v>
      </c>
      <c r="S4631" s="58"/>
      <c r="T4631" s="58"/>
      <c r="U4631" s="58"/>
      <c r="V4631" s="58"/>
      <c r="W4631" s="86">
        <v>0</v>
      </c>
    </row>
    <row r="4632" spans="1:23" s="83" customFormat="1" x14ac:dyDescent="0.35">
      <c r="A4632">
        <v>4628</v>
      </c>
      <c r="B4632" s="83">
        <v>4629</v>
      </c>
      <c r="C4632" s="83">
        <v>146.05673419999999</v>
      </c>
      <c r="D4632" s="83">
        <v>-17.51071718</v>
      </c>
      <c r="G4632" s="83">
        <v>1</v>
      </c>
      <c r="I4632" s="83">
        <v>1</v>
      </c>
      <c r="J4632" s="83">
        <v>1</v>
      </c>
      <c r="K4632"/>
      <c r="L4632"/>
      <c r="M4632"/>
      <c r="N4632"/>
      <c r="O4632"/>
      <c r="P4632" s="58"/>
      <c r="Q4632" s="58"/>
      <c r="R4632" s="83">
        <v>0</v>
      </c>
      <c r="S4632" s="58"/>
      <c r="T4632" s="58"/>
      <c r="U4632" s="58"/>
      <c r="V4632" s="58"/>
      <c r="W4632" s="86">
        <v>0</v>
      </c>
    </row>
    <row r="4633" spans="1:23" s="83" customFormat="1" x14ac:dyDescent="0.35">
      <c r="A4633">
        <v>4629</v>
      </c>
      <c r="B4633" s="83">
        <v>4630</v>
      </c>
      <c r="C4633" s="83">
        <v>146.0567849</v>
      </c>
      <c r="D4633" s="83">
        <v>-17.510637689999999</v>
      </c>
      <c r="G4633" s="83">
        <v>1</v>
      </c>
      <c r="I4633" s="83">
        <v>1</v>
      </c>
      <c r="J4633" s="83">
        <v>1</v>
      </c>
      <c r="K4633"/>
      <c r="L4633"/>
      <c r="M4633"/>
      <c r="N4633"/>
      <c r="O4633"/>
      <c r="P4633" s="58"/>
      <c r="Q4633" s="58"/>
      <c r="R4633" s="83">
        <v>0</v>
      </c>
      <c r="S4633" s="58"/>
      <c r="T4633" s="58"/>
      <c r="U4633" s="58"/>
      <c r="V4633" s="58"/>
      <c r="W4633" s="86">
        <v>0</v>
      </c>
    </row>
    <row r="4634" spans="1:23" s="83" customFormat="1" x14ac:dyDescent="0.35">
      <c r="A4634">
        <v>4630</v>
      </c>
      <c r="B4634" s="83">
        <v>4631</v>
      </c>
      <c r="C4634" s="83">
        <v>146.05683569999999</v>
      </c>
      <c r="D4634" s="83">
        <v>-17.510558199999998</v>
      </c>
      <c r="G4634" s="83">
        <v>1</v>
      </c>
      <c r="I4634" s="83">
        <v>1</v>
      </c>
      <c r="J4634" s="83">
        <v>1</v>
      </c>
      <c r="K4634"/>
      <c r="L4634"/>
      <c r="M4634"/>
      <c r="N4634"/>
      <c r="O4634"/>
      <c r="P4634" s="58"/>
      <c r="Q4634" s="58"/>
      <c r="R4634" s="83">
        <v>0</v>
      </c>
      <c r="S4634" s="58"/>
      <c r="T4634" s="58"/>
      <c r="U4634" s="58"/>
      <c r="V4634" s="58"/>
      <c r="W4634" s="86">
        <v>0</v>
      </c>
    </row>
    <row r="4635" spans="1:23" s="83" customFormat="1" x14ac:dyDescent="0.35">
      <c r="A4635">
        <v>4631</v>
      </c>
      <c r="B4635" s="83">
        <v>4632</v>
      </c>
      <c r="C4635" s="83">
        <v>146.0568868</v>
      </c>
      <c r="D4635" s="83">
        <v>-17.510478970000001</v>
      </c>
      <c r="G4635" s="83">
        <v>1</v>
      </c>
      <c r="I4635" s="83">
        <v>1</v>
      </c>
      <c r="J4635" s="83">
        <v>1</v>
      </c>
      <c r="K4635"/>
      <c r="L4635"/>
      <c r="M4635"/>
      <c r="N4635"/>
      <c r="O4635"/>
      <c r="P4635" s="58"/>
      <c r="Q4635" s="58"/>
      <c r="R4635" s="83">
        <v>0</v>
      </c>
      <c r="S4635" s="58"/>
      <c r="T4635" s="58"/>
      <c r="U4635" s="58"/>
      <c r="V4635" s="58"/>
      <c r="W4635" s="86">
        <v>0</v>
      </c>
    </row>
    <row r="4636" spans="1:23" s="83" customFormat="1" x14ac:dyDescent="0.35">
      <c r="A4636">
        <v>4632</v>
      </c>
      <c r="B4636" s="83">
        <v>4633</v>
      </c>
      <c r="C4636" s="83">
        <v>146.05694099999999</v>
      </c>
      <c r="D4636" s="83">
        <v>-17.5104018</v>
      </c>
      <c r="G4636" s="83">
        <v>1</v>
      </c>
      <c r="I4636" s="83">
        <v>1</v>
      </c>
      <c r="J4636" s="83">
        <v>1</v>
      </c>
      <c r="K4636"/>
      <c r="L4636"/>
      <c r="M4636"/>
      <c r="N4636"/>
      <c r="O4636"/>
      <c r="P4636" s="58"/>
      <c r="Q4636" s="58"/>
      <c r="R4636" s="83">
        <v>0</v>
      </c>
      <c r="S4636" s="58"/>
      <c r="T4636" s="58"/>
      <c r="U4636" s="58"/>
      <c r="V4636" s="58"/>
      <c r="W4636" s="86">
        <v>0</v>
      </c>
    </row>
    <row r="4637" spans="1:23" s="83" customFormat="1" x14ac:dyDescent="0.35">
      <c r="A4637">
        <v>4633</v>
      </c>
      <c r="B4637" s="83">
        <v>4634</v>
      </c>
      <c r="C4637" s="83">
        <v>146.0569974</v>
      </c>
      <c r="D4637" s="83">
        <v>-17.510326450000001</v>
      </c>
      <c r="G4637" s="83">
        <v>1</v>
      </c>
      <c r="I4637" s="83">
        <v>1</v>
      </c>
      <c r="J4637" s="83">
        <v>1</v>
      </c>
      <c r="K4637"/>
      <c r="L4637"/>
      <c r="M4637"/>
      <c r="N4637"/>
      <c r="O4637"/>
      <c r="P4637" s="58"/>
      <c r="Q4637" s="58"/>
      <c r="R4637" s="83">
        <v>0</v>
      </c>
      <c r="S4637" s="58"/>
      <c r="T4637" s="58"/>
      <c r="U4637" s="58"/>
      <c r="V4637" s="58"/>
      <c r="W4637" s="86">
        <v>0</v>
      </c>
    </row>
    <row r="4638" spans="1:23" s="83" customFormat="1" x14ac:dyDescent="0.35">
      <c r="A4638">
        <v>4634</v>
      </c>
      <c r="B4638" s="83">
        <v>4635</v>
      </c>
      <c r="C4638" s="83">
        <v>146.0570621</v>
      </c>
      <c r="D4638" s="83">
        <v>-17.51025787</v>
      </c>
      <c r="G4638" s="83">
        <v>1</v>
      </c>
      <c r="I4638" s="83">
        <v>1</v>
      </c>
      <c r="J4638" s="83">
        <v>1</v>
      </c>
      <c r="K4638"/>
      <c r="L4638"/>
      <c r="M4638"/>
      <c r="N4638"/>
      <c r="O4638"/>
      <c r="P4638" s="58"/>
      <c r="Q4638" s="58"/>
      <c r="R4638" s="83">
        <v>0</v>
      </c>
      <c r="S4638" s="58"/>
      <c r="T4638" s="58"/>
      <c r="U4638" s="58"/>
      <c r="V4638" s="58"/>
      <c r="W4638" s="86">
        <v>0</v>
      </c>
    </row>
    <row r="4639" spans="1:23" s="83" customFormat="1" x14ac:dyDescent="0.35">
      <c r="A4639">
        <v>4635</v>
      </c>
      <c r="B4639" s="83">
        <v>4636</v>
      </c>
      <c r="C4639" s="83">
        <v>146.05712689999999</v>
      </c>
      <c r="D4639" s="83">
        <v>-17.510189279999999</v>
      </c>
      <c r="G4639" s="83">
        <v>1</v>
      </c>
      <c r="I4639" s="83">
        <v>1</v>
      </c>
      <c r="J4639" s="83">
        <v>1</v>
      </c>
      <c r="K4639"/>
      <c r="L4639"/>
      <c r="M4639"/>
      <c r="N4639"/>
      <c r="O4639"/>
      <c r="P4639" s="58"/>
      <c r="Q4639" s="58"/>
      <c r="R4639" s="83">
        <v>0</v>
      </c>
      <c r="S4639" s="58"/>
      <c r="T4639" s="58"/>
      <c r="U4639" s="58"/>
      <c r="V4639" s="58"/>
      <c r="W4639" s="86">
        <v>0</v>
      </c>
    </row>
    <row r="4640" spans="1:23" s="83" customFormat="1" x14ac:dyDescent="0.35">
      <c r="A4640">
        <v>4636</v>
      </c>
      <c r="B4640" s="83">
        <v>4637</v>
      </c>
      <c r="C4640" s="83">
        <v>146.05717540000001</v>
      </c>
      <c r="D4640" s="83">
        <v>-17.510108639999999</v>
      </c>
      <c r="G4640" s="83">
        <v>1</v>
      </c>
      <c r="I4640" s="83">
        <v>1</v>
      </c>
      <c r="J4640" s="83">
        <v>1</v>
      </c>
      <c r="K4640"/>
      <c r="L4640"/>
      <c r="M4640"/>
      <c r="N4640"/>
      <c r="O4640"/>
      <c r="P4640" s="58"/>
      <c r="Q4640" s="58"/>
      <c r="R4640" s="83">
        <v>0</v>
      </c>
      <c r="S4640" s="58"/>
      <c r="T4640" s="58"/>
      <c r="U4640" s="58"/>
      <c r="V4640" s="58"/>
      <c r="W4640" s="86">
        <v>0</v>
      </c>
    </row>
    <row r="4641" spans="1:23" s="83" customFormat="1" x14ac:dyDescent="0.35">
      <c r="A4641">
        <v>4637</v>
      </c>
      <c r="B4641" s="83">
        <v>4638</v>
      </c>
      <c r="C4641" s="83">
        <v>146.05720869999999</v>
      </c>
      <c r="D4641" s="83">
        <v>-17.510021890000001</v>
      </c>
      <c r="G4641" s="83">
        <v>1</v>
      </c>
      <c r="I4641" s="83">
        <v>1</v>
      </c>
      <c r="J4641" s="83">
        <v>1</v>
      </c>
      <c r="K4641"/>
      <c r="L4641"/>
      <c r="M4641"/>
      <c r="N4641"/>
      <c r="O4641"/>
      <c r="P4641" s="58"/>
      <c r="Q4641" s="58"/>
      <c r="R4641" s="83">
        <v>0</v>
      </c>
      <c r="S4641" s="58"/>
      <c r="T4641" s="58"/>
      <c r="U4641" s="58"/>
      <c r="V4641" s="58"/>
      <c r="W4641" s="86">
        <v>0</v>
      </c>
    </row>
    <row r="4642" spans="1:23" s="83" customFormat="1" x14ac:dyDescent="0.35">
      <c r="A4642">
        <v>4638</v>
      </c>
      <c r="B4642" s="83">
        <v>4639</v>
      </c>
      <c r="C4642" s="83">
        <v>146.0572253</v>
      </c>
      <c r="D4642" s="83">
        <v>-17.509929060000001</v>
      </c>
      <c r="G4642" s="83">
        <v>1</v>
      </c>
      <c r="I4642" s="83">
        <v>1</v>
      </c>
      <c r="J4642" s="83">
        <v>1</v>
      </c>
      <c r="K4642"/>
      <c r="L4642"/>
      <c r="M4642"/>
      <c r="N4642"/>
      <c r="O4642"/>
      <c r="P4642" s="58"/>
      <c r="Q4642" s="58"/>
      <c r="R4642" s="83">
        <v>0</v>
      </c>
      <c r="S4642" s="58"/>
      <c r="T4642" s="58"/>
      <c r="U4642" s="58"/>
      <c r="V4642" s="58"/>
      <c r="W4642" s="86">
        <v>0</v>
      </c>
    </row>
    <row r="4643" spans="1:23" s="83" customFormat="1" x14ac:dyDescent="0.35">
      <c r="A4643">
        <v>4639</v>
      </c>
      <c r="B4643" s="83">
        <v>4640</v>
      </c>
      <c r="C4643" s="83">
        <v>146.05725699999999</v>
      </c>
      <c r="D4643" s="83">
        <v>-17.509840879999999</v>
      </c>
      <c r="G4643" s="83">
        <v>1</v>
      </c>
      <c r="I4643" s="83">
        <v>1</v>
      </c>
      <c r="J4643" s="83">
        <v>1</v>
      </c>
      <c r="K4643"/>
      <c r="L4643"/>
      <c r="M4643"/>
      <c r="N4643"/>
      <c r="O4643"/>
      <c r="P4643" s="58"/>
      <c r="Q4643" s="58"/>
      <c r="R4643" s="83">
        <v>0</v>
      </c>
      <c r="S4643" s="58"/>
      <c r="T4643" s="58"/>
      <c r="U4643" s="58"/>
      <c r="V4643" s="58"/>
      <c r="W4643" s="86">
        <v>0</v>
      </c>
    </row>
    <row r="4644" spans="1:23" s="83" customFormat="1" x14ac:dyDescent="0.35">
      <c r="A4644">
        <v>4640</v>
      </c>
      <c r="B4644" s="83">
        <v>4641</v>
      </c>
      <c r="C4644" s="83">
        <v>146.0572947</v>
      </c>
      <c r="D4644" s="83">
        <v>-17.509754520000001</v>
      </c>
      <c r="G4644" s="83">
        <v>1</v>
      </c>
      <c r="I4644" s="83">
        <v>1</v>
      </c>
      <c r="J4644" s="83">
        <v>1</v>
      </c>
      <c r="K4644"/>
      <c r="L4644"/>
      <c r="M4644"/>
      <c r="N4644"/>
      <c r="O4644"/>
      <c r="P4644" s="58"/>
      <c r="Q4644" s="58"/>
      <c r="R4644" s="83">
        <v>0</v>
      </c>
      <c r="S4644" s="58"/>
      <c r="T4644" s="58"/>
      <c r="U4644" s="58"/>
      <c r="V4644" s="58"/>
      <c r="W4644" s="86">
        <v>0</v>
      </c>
    </row>
    <row r="4645" spans="1:23" s="83" customFormat="1" x14ac:dyDescent="0.35">
      <c r="A4645">
        <v>4641</v>
      </c>
      <c r="B4645" s="83">
        <v>4642</v>
      </c>
      <c r="C4645" s="83">
        <v>146.0573153</v>
      </c>
      <c r="D4645" s="83">
        <v>-17.509662509999998</v>
      </c>
      <c r="G4645" s="83">
        <v>1</v>
      </c>
      <c r="I4645" s="83">
        <v>1</v>
      </c>
      <c r="J4645" s="83">
        <v>1</v>
      </c>
      <c r="K4645"/>
      <c r="L4645"/>
      <c r="M4645"/>
      <c r="N4645"/>
      <c r="O4645"/>
      <c r="P4645" s="58"/>
      <c r="Q4645" s="58"/>
      <c r="R4645" s="83">
        <v>0</v>
      </c>
      <c r="S4645" s="58"/>
      <c r="T4645" s="58"/>
      <c r="U4645" s="58"/>
      <c r="V4645" s="58"/>
      <c r="W4645" s="86">
        <v>0</v>
      </c>
    </row>
    <row r="4646" spans="1:23" s="83" customFormat="1" x14ac:dyDescent="0.35">
      <c r="A4646">
        <v>4642</v>
      </c>
      <c r="B4646" s="83">
        <v>4643</v>
      </c>
      <c r="C4646" s="83">
        <v>146.05733599999999</v>
      </c>
      <c r="D4646" s="83">
        <v>-17.509570499999999</v>
      </c>
      <c r="G4646" s="83">
        <v>1</v>
      </c>
      <c r="I4646" s="83">
        <v>1</v>
      </c>
      <c r="J4646" s="83">
        <v>1</v>
      </c>
      <c r="K4646"/>
      <c r="L4646"/>
      <c r="M4646"/>
      <c r="N4646"/>
      <c r="O4646"/>
      <c r="P4646" s="58"/>
      <c r="Q4646" s="58"/>
      <c r="R4646" s="83">
        <v>0</v>
      </c>
      <c r="S4646" s="58"/>
      <c r="T4646" s="58"/>
      <c r="U4646" s="58"/>
      <c r="V4646" s="58"/>
      <c r="W4646" s="86">
        <v>0</v>
      </c>
    </row>
    <row r="4647" spans="1:23" s="83" customFormat="1" x14ac:dyDescent="0.35">
      <c r="A4647">
        <v>4643</v>
      </c>
      <c r="B4647" s="83">
        <v>4644</v>
      </c>
      <c r="C4647" s="83">
        <v>146.0573406</v>
      </c>
      <c r="D4647" s="83">
        <v>-17.509476670000002</v>
      </c>
      <c r="G4647" s="83">
        <v>1</v>
      </c>
      <c r="I4647" s="83">
        <v>1</v>
      </c>
      <c r="J4647" s="83">
        <v>1</v>
      </c>
      <c r="K4647"/>
      <c r="L4647"/>
      <c r="M4647"/>
      <c r="N4647"/>
      <c r="O4647"/>
      <c r="P4647" s="58"/>
      <c r="Q4647" s="58"/>
      <c r="R4647" s="83">
        <v>0</v>
      </c>
      <c r="S4647" s="58"/>
      <c r="T4647" s="58"/>
      <c r="U4647" s="58"/>
      <c r="V4647" s="58"/>
      <c r="W4647" s="86">
        <v>0</v>
      </c>
    </row>
    <row r="4648" spans="1:23" s="83" customFormat="1" x14ac:dyDescent="0.35">
      <c r="A4648">
        <v>4644</v>
      </c>
      <c r="B4648" s="83">
        <v>4645</v>
      </c>
      <c r="C4648" s="83">
        <v>146.0573411</v>
      </c>
      <c r="D4648" s="83">
        <v>-17.509382370000001</v>
      </c>
      <c r="G4648" s="83">
        <v>1</v>
      </c>
      <c r="I4648" s="83">
        <v>1</v>
      </c>
      <c r="J4648" s="83">
        <v>1</v>
      </c>
      <c r="K4648"/>
      <c r="L4648"/>
      <c r="M4648"/>
      <c r="N4648"/>
      <c r="O4648"/>
      <c r="P4648" s="58"/>
      <c r="Q4648" s="58"/>
      <c r="R4648" s="83">
        <v>0</v>
      </c>
      <c r="S4648" s="58"/>
      <c r="T4648" s="58"/>
      <c r="U4648" s="58"/>
      <c r="V4648" s="58"/>
      <c r="W4648" s="86">
        <v>0</v>
      </c>
    </row>
    <row r="4649" spans="1:23" s="83" customFormat="1" x14ac:dyDescent="0.35">
      <c r="A4649">
        <v>4645</v>
      </c>
      <c r="B4649" s="83">
        <v>4646</v>
      </c>
      <c r="C4649" s="83">
        <v>146.05732639999999</v>
      </c>
      <c r="D4649" s="83">
        <v>-17.5092906</v>
      </c>
      <c r="G4649" s="83">
        <v>1</v>
      </c>
      <c r="I4649" s="83">
        <v>1</v>
      </c>
      <c r="J4649" s="83">
        <v>1</v>
      </c>
      <c r="K4649"/>
      <c r="L4649"/>
      <c r="M4649"/>
      <c r="N4649"/>
      <c r="O4649"/>
      <c r="P4649" s="58"/>
      <c r="Q4649" s="58"/>
      <c r="R4649" s="83">
        <v>0</v>
      </c>
      <c r="S4649" s="58"/>
      <c r="T4649" s="58"/>
      <c r="U4649" s="58"/>
      <c r="V4649" s="58"/>
      <c r="W4649" s="86">
        <v>0</v>
      </c>
    </row>
    <row r="4650" spans="1:23" s="83" customFormat="1" x14ac:dyDescent="0.35">
      <c r="A4650">
        <v>4646</v>
      </c>
      <c r="B4650" s="83">
        <v>4647</v>
      </c>
      <c r="C4650" s="83">
        <v>146.05729539999999</v>
      </c>
      <c r="D4650" s="83">
        <v>-17.50920155</v>
      </c>
      <c r="G4650" s="83">
        <v>1</v>
      </c>
      <c r="I4650" s="83">
        <v>1</v>
      </c>
      <c r="J4650" s="83">
        <v>1</v>
      </c>
      <c r="K4650"/>
      <c r="L4650"/>
      <c r="M4650"/>
      <c r="N4650"/>
      <c r="O4650"/>
      <c r="P4650" s="58"/>
      <c r="Q4650" s="58"/>
      <c r="R4650" s="83">
        <v>0</v>
      </c>
      <c r="S4650" s="58"/>
      <c r="T4650" s="58"/>
      <c r="U4650" s="58"/>
      <c r="V4650" s="58"/>
      <c r="W4650" s="86">
        <v>0</v>
      </c>
    </row>
    <row r="4651" spans="1:23" s="83" customFormat="1" x14ac:dyDescent="0.35">
      <c r="A4651">
        <v>4647</v>
      </c>
      <c r="B4651" s="83">
        <v>4648</v>
      </c>
      <c r="C4651" s="83">
        <v>146.05726430000001</v>
      </c>
      <c r="D4651" s="83">
        <v>-17.509112500000001</v>
      </c>
      <c r="G4651" s="83">
        <v>1</v>
      </c>
      <c r="I4651" s="83">
        <v>1</v>
      </c>
      <c r="J4651" s="83">
        <v>1</v>
      </c>
      <c r="K4651"/>
      <c r="L4651"/>
      <c r="M4651"/>
      <c r="N4651"/>
      <c r="O4651"/>
      <c r="P4651" s="58"/>
      <c r="Q4651" s="58"/>
      <c r="R4651" s="83">
        <v>0</v>
      </c>
      <c r="S4651" s="58"/>
      <c r="T4651" s="58"/>
      <c r="U4651" s="58"/>
      <c r="V4651" s="58"/>
      <c r="W4651" s="86">
        <v>0</v>
      </c>
    </row>
    <row r="4652" spans="1:23" s="83" customFormat="1" x14ac:dyDescent="0.35">
      <c r="A4652">
        <v>4648</v>
      </c>
      <c r="B4652" s="83">
        <v>4649</v>
      </c>
      <c r="C4652" s="83">
        <v>146.0572372</v>
      </c>
      <c r="D4652" s="83">
        <v>-17.509022309999999</v>
      </c>
      <c r="G4652" s="83">
        <v>1</v>
      </c>
      <c r="I4652" s="83">
        <v>1</v>
      </c>
      <c r="J4652" s="83">
        <v>1</v>
      </c>
      <c r="K4652"/>
      <c r="L4652"/>
      <c r="M4652"/>
      <c r="N4652"/>
      <c r="O4652"/>
      <c r="P4652" s="58"/>
      <c r="Q4652" s="58"/>
      <c r="R4652" s="83">
        <v>0</v>
      </c>
      <c r="S4652" s="58"/>
      <c r="T4652" s="58"/>
      <c r="U4652" s="58"/>
      <c r="V4652" s="58"/>
      <c r="W4652" s="86">
        <v>0</v>
      </c>
    </row>
    <row r="4653" spans="1:23" s="83" customFormat="1" x14ac:dyDescent="0.35">
      <c r="A4653">
        <v>4649</v>
      </c>
      <c r="B4653" s="83">
        <v>4650</v>
      </c>
      <c r="C4653" s="83">
        <v>146.0572157</v>
      </c>
      <c r="D4653" s="83">
        <v>-17.508930490000001</v>
      </c>
      <c r="G4653" s="83">
        <v>1</v>
      </c>
      <c r="I4653" s="83">
        <v>1</v>
      </c>
      <c r="J4653" s="83">
        <v>1</v>
      </c>
      <c r="K4653"/>
      <c r="L4653"/>
      <c r="M4653"/>
      <c r="N4653"/>
      <c r="O4653"/>
      <c r="P4653" s="58"/>
      <c r="Q4653" s="58"/>
      <c r="R4653" s="83">
        <v>0</v>
      </c>
      <c r="S4653" s="58"/>
      <c r="T4653" s="58"/>
      <c r="U4653" s="58"/>
      <c r="V4653" s="58"/>
      <c r="W4653" s="86">
        <v>0</v>
      </c>
    </row>
    <row r="4654" spans="1:23" s="83" customFormat="1" x14ac:dyDescent="0.35">
      <c r="A4654">
        <v>4650</v>
      </c>
      <c r="B4654" s="83">
        <v>4651</v>
      </c>
      <c r="C4654" s="83">
        <v>146.05726100000001</v>
      </c>
      <c r="D4654" s="83">
        <v>-17.508856850000001</v>
      </c>
      <c r="G4654" s="83">
        <v>1</v>
      </c>
      <c r="I4654" s="83">
        <v>1</v>
      </c>
      <c r="J4654" s="83">
        <v>1</v>
      </c>
      <c r="K4654"/>
      <c r="L4654"/>
      <c r="M4654"/>
      <c r="N4654"/>
      <c r="O4654"/>
      <c r="P4654" s="58"/>
      <c r="Q4654" s="58"/>
      <c r="R4654" s="83">
        <v>0</v>
      </c>
      <c r="S4654" s="58"/>
      <c r="T4654" s="58"/>
      <c r="U4654" s="58"/>
      <c r="V4654" s="58"/>
      <c r="W4654" s="86">
        <v>0</v>
      </c>
    </row>
    <row r="4655" spans="1:23" s="83" customFormat="1" x14ac:dyDescent="0.35">
      <c r="A4655">
        <v>4651</v>
      </c>
      <c r="B4655" s="83">
        <v>4652</v>
      </c>
      <c r="C4655" s="83">
        <v>146.05732610000001</v>
      </c>
      <c r="D4655" s="83">
        <v>-17.508788599999999</v>
      </c>
      <c r="G4655" s="83">
        <v>1</v>
      </c>
      <c r="I4655" s="83">
        <v>1</v>
      </c>
      <c r="J4655" s="83">
        <v>1</v>
      </c>
      <c r="K4655"/>
      <c r="L4655"/>
      <c r="M4655"/>
      <c r="N4655"/>
      <c r="O4655"/>
      <c r="P4655" s="58"/>
      <c r="Q4655" s="58"/>
      <c r="R4655" s="83">
        <v>0</v>
      </c>
      <c r="S4655" s="58"/>
      <c r="T4655" s="58"/>
      <c r="U4655" s="58"/>
      <c r="V4655" s="58"/>
      <c r="W4655" s="86">
        <v>0</v>
      </c>
    </row>
    <row r="4656" spans="1:23" s="83" customFormat="1" x14ac:dyDescent="0.35">
      <c r="A4656">
        <v>4652</v>
      </c>
      <c r="B4656" s="83">
        <v>4653</v>
      </c>
      <c r="C4656" s="83">
        <v>146.05739109999999</v>
      </c>
      <c r="D4656" s="83">
        <v>-17.508720360000002</v>
      </c>
      <c r="G4656" s="83">
        <v>1</v>
      </c>
      <c r="I4656" s="83">
        <v>1</v>
      </c>
      <c r="J4656" s="83">
        <v>1</v>
      </c>
      <c r="K4656"/>
      <c r="L4656"/>
      <c r="M4656"/>
      <c r="N4656"/>
      <c r="O4656"/>
      <c r="P4656" s="58"/>
      <c r="Q4656" s="58"/>
      <c r="R4656" s="83">
        <v>0</v>
      </c>
      <c r="S4656" s="58"/>
      <c r="T4656" s="58"/>
      <c r="U4656" s="58"/>
      <c r="V4656" s="58"/>
      <c r="W4656" s="86">
        <v>0</v>
      </c>
    </row>
    <row r="4657" spans="1:23" s="83" customFormat="1" x14ac:dyDescent="0.35">
      <c r="A4657">
        <v>4653</v>
      </c>
      <c r="B4657" s="83">
        <v>4654</v>
      </c>
      <c r="C4657" s="83">
        <v>146.05743720000001</v>
      </c>
      <c r="D4657" s="83">
        <v>-17.508779090000001</v>
      </c>
      <c r="G4657" s="83">
        <v>1</v>
      </c>
      <c r="I4657" s="83">
        <v>1</v>
      </c>
      <c r="J4657" s="83">
        <v>1</v>
      </c>
      <c r="K4657"/>
      <c r="L4657"/>
      <c r="M4657"/>
      <c r="N4657"/>
      <c r="O4657"/>
      <c r="P4657" s="58"/>
      <c r="Q4657" s="58"/>
      <c r="R4657" s="83">
        <v>0</v>
      </c>
      <c r="S4657" s="58"/>
      <c r="T4657" s="58"/>
      <c r="U4657" s="58"/>
      <c r="V4657" s="58"/>
      <c r="W4657" s="86">
        <v>0</v>
      </c>
    </row>
    <row r="4658" spans="1:23" s="83" customFormat="1" x14ac:dyDescent="0.35">
      <c r="A4658">
        <v>4654</v>
      </c>
      <c r="B4658" s="83">
        <v>4655</v>
      </c>
      <c r="C4658" s="83">
        <v>146.05751079999999</v>
      </c>
      <c r="D4658" s="83">
        <v>-17.50883803</v>
      </c>
      <c r="G4658" s="83">
        <v>1</v>
      </c>
      <c r="I4658" s="83">
        <v>1</v>
      </c>
      <c r="J4658" s="83">
        <v>1</v>
      </c>
      <c r="K4658"/>
      <c r="L4658"/>
      <c r="M4658"/>
      <c r="N4658"/>
      <c r="O4658"/>
      <c r="P4658" s="58"/>
      <c r="Q4658" s="58"/>
      <c r="R4658" s="83">
        <v>0</v>
      </c>
      <c r="S4658" s="58"/>
      <c r="T4658" s="58"/>
      <c r="U4658" s="58"/>
      <c r="V4658" s="58"/>
      <c r="W4658" s="86">
        <v>0</v>
      </c>
    </row>
    <row r="4659" spans="1:23" s="83" customFormat="1" x14ac:dyDescent="0.35">
      <c r="A4659">
        <v>4655</v>
      </c>
      <c r="B4659" s="83">
        <v>4656</v>
      </c>
      <c r="C4659" s="83">
        <v>146.05758700000001</v>
      </c>
      <c r="D4659" s="83">
        <v>-17.508893149999999</v>
      </c>
      <c r="G4659" s="83">
        <v>1</v>
      </c>
      <c r="I4659" s="83">
        <v>1</v>
      </c>
      <c r="J4659" s="83">
        <v>1</v>
      </c>
      <c r="K4659"/>
      <c r="L4659"/>
      <c r="M4659"/>
      <c r="N4659"/>
      <c r="O4659"/>
      <c r="P4659" s="58"/>
      <c r="Q4659" s="58"/>
      <c r="R4659" s="83">
        <v>0</v>
      </c>
      <c r="S4659" s="58"/>
      <c r="T4659" s="58"/>
      <c r="U4659" s="58"/>
      <c r="V4659" s="58"/>
      <c r="W4659" s="86">
        <v>0</v>
      </c>
    </row>
    <row r="4660" spans="1:23" s="83" customFormat="1" x14ac:dyDescent="0.35">
      <c r="A4660">
        <v>4656</v>
      </c>
      <c r="B4660" s="83">
        <v>4657</v>
      </c>
      <c r="C4660" s="83">
        <v>146.0576744</v>
      </c>
      <c r="D4660" s="83">
        <v>-17.50890309</v>
      </c>
      <c r="G4660" s="83">
        <v>1</v>
      </c>
      <c r="I4660" s="83">
        <v>1</v>
      </c>
      <c r="J4660" s="83">
        <v>1</v>
      </c>
      <c r="K4660"/>
      <c r="L4660"/>
      <c r="M4660"/>
      <c r="N4660"/>
      <c r="O4660"/>
      <c r="P4660" s="58"/>
      <c r="Q4660" s="58"/>
      <c r="R4660" s="83">
        <v>0</v>
      </c>
      <c r="S4660" s="58"/>
      <c r="T4660" s="58"/>
      <c r="U4660" s="58"/>
      <c r="V4660" s="58"/>
      <c r="W4660" s="86">
        <v>0</v>
      </c>
    </row>
    <row r="4661" spans="1:23" s="83" customFormat="1" x14ac:dyDescent="0.35">
      <c r="A4661">
        <v>4657</v>
      </c>
      <c r="B4661" s="83">
        <v>4658</v>
      </c>
      <c r="C4661" s="83">
        <v>146.0577558</v>
      </c>
      <c r="D4661" s="83">
        <v>-17.508859640000001</v>
      </c>
      <c r="G4661" s="83">
        <v>1</v>
      </c>
      <c r="I4661" s="83">
        <v>1</v>
      </c>
      <c r="J4661" s="83">
        <v>1</v>
      </c>
      <c r="K4661"/>
      <c r="L4661"/>
      <c r="M4661"/>
      <c r="N4661"/>
      <c r="O4661"/>
      <c r="P4661" s="58"/>
      <c r="Q4661" s="58"/>
      <c r="R4661" s="83">
        <v>0</v>
      </c>
      <c r="S4661" s="58"/>
      <c r="T4661" s="58"/>
      <c r="U4661" s="58"/>
      <c r="V4661" s="58"/>
      <c r="W4661" s="86">
        <v>0</v>
      </c>
    </row>
    <row r="4662" spans="1:23" s="83" customFormat="1" x14ac:dyDescent="0.35">
      <c r="A4662">
        <v>4658</v>
      </c>
      <c r="B4662" s="83">
        <v>4659</v>
      </c>
      <c r="C4662" s="83">
        <v>146.05782970000001</v>
      </c>
      <c r="D4662" s="83">
        <v>-17.508801030000001</v>
      </c>
      <c r="G4662" s="83">
        <v>1</v>
      </c>
      <c r="I4662" s="83">
        <v>1</v>
      </c>
      <c r="J4662" s="83">
        <v>1</v>
      </c>
      <c r="K4662"/>
      <c r="L4662"/>
      <c r="M4662"/>
      <c r="N4662"/>
      <c r="O4662"/>
      <c r="P4662" s="58"/>
      <c r="Q4662" s="58"/>
      <c r="R4662" s="83">
        <v>0</v>
      </c>
      <c r="S4662" s="58"/>
      <c r="T4662" s="58"/>
      <c r="U4662" s="58"/>
      <c r="V4662" s="58"/>
      <c r="W4662" s="86">
        <v>0</v>
      </c>
    </row>
    <row r="4663" spans="1:23" s="83" customFormat="1" x14ac:dyDescent="0.35">
      <c r="A4663">
        <v>4659</v>
      </c>
      <c r="B4663" s="83">
        <v>4660</v>
      </c>
      <c r="C4663" s="83">
        <v>146.05790329999999</v>
      </c>
      <c r="D4663" s="83">
        <v>-17.50874211</v>
      </c>
      <c r="G4663" s="83">
        <v>1</v>
      </c>
      <c r="I4663" s="83">
        <v>1</v>
      </c>
      <c r="J4663" s="83">
        <v>1</v>
      </c>
      <c r="K4663"/>
      <c r="L4663"/>
      <c r="M4663"/>
      <c r="N4663"/>
      <c r="O4663"/>
      <c r="P4663" s="58"/>
      <c r="Q4663" s="58"/>
      <c r="R4663" s="83">
        <v>0</v>
      </c>
      <c r="S4663" s="58"/>
      <c r="T4663" s="58"/>
      <c r="U4663" s="58"/>
      <c r="V4663" s="58"/>
      <c r="W4663" s="86">
        <v>0</v>
      </c>
    </row>
    <row r="4664" spans="1:23" s="83" customFormat="1" x14ac:dyDescent="0.35">
      <c r="A4664">
        <v>4660</v>
      </c>
      <c r="B4664" s="83">
        <v>4661</v>
      </c>
      <c r="C4664" s="83">
        <v>146.05796939999999</v>
      </c>
      <c r="D4664" s="83">
        <v>-17.508675</v>
      </c>
      <c r="G4664" s="83">
        <v>1</v>
      </c>
      <c r="I4664" s="83">
        <v>1</v>
      </c>
      <c r="J4664" s="83">
        <v>1</v>
      </c>
      <c r="K4664"/>
      <c r="L4664"/>
      <c r="M4664"/>
      <c r="N4664"/>
      <c r="O4664"/>
      <c r="P4664" s="58"/>
      <c r="Q4664" s="58"/>
      <c r="R4664" s="83">
        <v>0</v>
      </c>
      <c r="S4664" s="58"/>
      <c r="T4664" s="58"/>
      <c r="U4664" s="58"/>
      <c r="V4664" s="58"/>
      <c r="W4664" s="86">
        <v>0</v>
      </c>
    </row>
    <row r="4665" spans="1:23" s="83" customFormat="1" x14ac:dyDescent="0.35">
      <c r="A4665">
        <v>4661</v>
      </c>
      <c r="B4665" s="83">
        <v>4662</v>
      </c>
      <c r="C4665" s="83">
        <v>146.05803359999999</v>
      </c>
      <c r="D4665" s="83">
        <v>-17.508605970000001</v>
      </c>
      <c r="G4665" s="83">
        <v>1</v>
      </c>
      <c r="I4665" s="83">
        <v>1</v>
      </c>
      <c r="J4665" s="83">
        <v>1</v>
      </c>
      <c r="K4665"/>
      <c r="L4665"/>
      <c r="M4665"/>
      <c r="N4665"/>
      <c r="O4665"/>
      <c r="P4665" s="58"/>
      <c r="Q4665" s="58"/>
      <c r="R4665" s="83">
        <v>0</v>
      </c>
      <c r="S4665" s="58"/>
      <c r="T4665" s="58"/>
      <c r="U4665" s="58"/>
      <c r="V4665" s="58"/>
      <c r="W4665" s="86">
        <v>0</v>
      </c>
    </row>
    <row r="4666" spans="1:23" s="83" customFormat="1" x14ac:dyDescent="0.35">
      <c r="A4666">
        <v>4662</v>
      </c>
      <c r="B4666" s="83">
        <v>4663</v>
      </c>
      <c r="C4666" s="83">
        <v>146.05809790000001</v>
      </c>
      <c r="D4666" s="83">
        <v>-17.508536939999999</v>
      </c>
      <c r="G4666" s="83">
        <v>1</v>
      </c>
      <c r="I4666" s="83">
        <v>1</v>
      </c>
      <c r="J4666" s="83">
        <v>1</v>
      </c>
      <c r="K4666"/>
      <c r="L4666"/>
      <c r="M4666"/>
      <c r="N4666"/>
      <c r="O4666"/>
      <c r="P4666" s="58"/>
      <c r="Q4666" s="58"/>
      <c r="R4666" s="83">
        <v>0</v>
      </c>
      <c r="S4666" s="58"/>
      <c r="T4666" s="58"/>
      <c r="U4666" s="58"/>
      <c r="V4666" s="58"/>
      <c r="W4666" s="86">
        <v>0</v>
      </c>
    </row>
    <row r="4667" spans="1:23" s="83" customFormat="1" x14ac:dyDescent="0.35">
      <c r="A4667">
        <v>4663</v>
      </c>
      <c r="B4667" s="83">
        <v>4664</v>
      </c>
      <c r="C4667" s="83">
        <v>146.0581612</v>
      </c>
      <c r="D4667" s="83">
        <v>-17.508467100000001</v>
      </c>
      <c r="G4667" s="83">
        <v>1</v>
      </c>
      <c r="I4667" s="83">
        <v>1</v>
      </c>
      <c r="J4667" s="83">
        <v>1</v>
      </c>
      <c r="K4667"/>
      <c r="L4667"/>
      <c r="M4667"/>
      <c r="N4667"/>
      <c r="O4667"/>
      <c r="P4667" s="58"/>
      <c r="Q4667" s="58"/>
      <c r="R4667" s="83">
        <v>0</v>
      </c>
      <c r="S4667" s="58"/>
      <c r="T4667" s="58"/>
      <c r="U4667" s="58"/>
      <c r="V4667" s="58"/>
      <c r="W4667" s="86">
        <v>0</v>
      </c>
    </row>
    <row r="4668" spans="1:23" s="83" customFormat="1" x14ac:dyDescent="0.35">
      <c r="A4668">
        <v>4664</v>
      </c>
      <c r="B4668" s="83">
        <v>4665</v>
      </c>
      <c r="C4668" s="83">
        <v>146.05822090000001</v>
      </c>
      <c r="D4668" s="83">
        <v>-17.50839414</v>
      </c>
      <c r="G4668" s="83">
        <v>1</v>
      </c>
      <c r="I4668" s="83">
        <v>1</v>
      </c>
      <c r="J4668" s="83">
        <v>1</v>
      </c>
      <c r="K4668"/>
      <c r="L4668"/>
      <c r="M4668"/>
      <c r="N4668"/>
      <c r="O4668"/>
      <c r="P4668" s="58"/>
      <c r="Q4668" s="58"/>
      <c r="R4668" s="83">
        <v>0</v>
      </c>
      <c r="S4668" s="58"/>
      <c r="T4668" s="58"/>
      <c r="U4668" s="58"/>
      <c r="V4668" s="58"/>
      <c r="W4668" s="86">
        <v>0</v>
      </c>
    </row>
    <row r="4669" spans="1:23" s="83" customFormat="1" x14ac:dyDescent="0.35">
      <c r="A4669">
        <v>4665</v>
      </c>
      <c r="B4669" s="83">
        <v>4666</v>
      </c>
      <c r="C4669" s="83">
        <v>146.05828070000001</v>
      </c>
      <c r="D4669" s="83">
        <v>-17.508321179999999</v>
      </c>
      <c r="G4669" s="83">
        <v>1</v>
      </c>
      <c r="I4669" s="83">
        <v>1</v>
      </c>
      <c r="J4669" s="83">
        <v>1</v>
      </c>
      <c r="K4669"/>
      <c r="L4669"/>
      <c r="M4669"/>
      <c r="N4669"/>
      <c r="O4669"/>
      <c r="P4669" s="58"/>
      <c r="Q4669" s="58"/>
      <c r="R4669" s="83">
        <v>0</v>
      </c>
      <c r="S4669" s="58"/>
      <c r="T4669" s="58"/>
      <c r="U4669" s="58"/>
      <c r="V4669" s="58"/>
      <c r="W4669" s="86">
        <v>0</v>
      </c>
    </row>
    <row r="4670" spans="1:23" s="83" customFormat="1" x14ac:dyDescent="0.35">
      <c r="A4670">
        <v>4666</v>
      </c>
      <c r="B4670" s="83">
        <v>4667</v>
      </c>
      <c r="C4670" s="83">
        <v>146.05834150000001</v>
      </c>
      <c r="D4670" s="83">
        <v>-17.508249119999999</v>
      </c>
      <c r="G4670" s="83">
        <v>1</v>
      </c>
      <c r="I4670" s="83">
        <v>1</v>
      </c>
      <c r="J4670" s="83">
        <v>1</v>
      </c>
      <c r="K4670"/>
      <c r="L4670"/>
      <c r="M4670"/>
      <c r="N4670"/>
      <c r="O4670"/>
      <c r="P4670" s="58"/>
      <c r="Q4670" s="58"/>
      <c r="R4670" s="83">
        <v>0</v>
      </c>
      <c r="S4670" s="58"/>
      <c r="T4670" s="58"/>
      <c r="U4670" s="58"/>
      <c r="V4670" s="58"/>
      <c r="W4670" s="86">
        <v>0</v>
      </c>
    </row>
    <row r="4671" spans="1:23" s="83" customFormat="1" x14ac:dyDescent="0.35">
      <c r="A4671">
        <v>4667</v>
      </c>
      <c r="B4671" s="83">
        <v>4668</v>
      </c>
      <c r="C4671" s="83">
        <v>146.05840330000001</v>
      </c>
      <c r="D4671" s="83">
        <v>-17.50817786</v>
      </c>
      <c r="G4671" s="83">
        <v>1</v>
      </c>
      <c r="I4671" s="83">
        <v>1</v>
      </c>
      <c r="J4671" s="83">
        <v>1</v>
      </c>
      <c r="K4671"/>
      <c r="L4671"/>
      <c r="M4671"/>
      <c r="N4671"/>
      <c r="O4671"/>
      <c r="P4671" s="58"/>
      <c r="Q4671" s="58"/>
      <c r="R4671" s="83">
        <v>0</v>
      </c>
      <c r="S4671" s="58"/>
      <c r="T4671" s="58"/>
      <c r="U4671" s="58"/>
      <c r="V4671" s="58"/>
      <c r="W4671" s="86">
        <v>0</v>
      </c>
    </row>
    <row r="4672" spans="1:23" s="83" customFormat="1" x14ac:dyDescent="0.35">
      <c r="A4672">
        <v>4668</v>
      </c>
      <c r="B4672" s="83">
        <v>4669</v>
      </c>
      <c r="C4672" s="83">
        <v>146.05846500000001</v>
      </c>
      <c r="D4672" s="83">
        <v>-17.508106609999999</v>
      </c>
      <c r="G4672" s="83">
        <v>1</v>
      </c>
      <c r="I4672" s="83">
        <v>1</v>
      </c>
      <c r="J4672" s="83">
        <v>1</v>
      </c>
      <c r="K4672"/>
      <c r="L4672"/>
      <c r="M4672"/>
      <c r="N4672"/>
      <c r="O4672"/>
      <c r="P4672" s="58"/>
      <c r="Q4672" s="58"/>
      <c r="R4672" s="83">
        <v>0</v>
      </c>
      <c r="S4672" s="58"/>
      <c r="T4672" s="58"/>
      <c r="U4672" s="58"/>
      <c r="V4672" s="58"/>
      <c r="W4672" s="86">
        <v>0</v>
      </c>
    </row>
    <row r="4673" spans="1:23" s="83" customFormat="1" x14ac:dyDescent="0.35">
      <c r="A4673">
        <v>4669</v>
      </c>
      <c r="B4673" s="83">
        <v>4670</v>
      </c>
      <c r="C4673" s="83">
        <v>146.05852680000001</v>
      </c>
      <c r="D4673" s="83">
        <v>-17.50803535</v>
      </c>
      <c r="G4673" s="83">
        <v>1</v>
      </c>
      <c r="I4673" s="83">
        <v>1</v>
      </c>
      <c r="J4673" s="83">
        <v>1</v>
      </c>
      <c r="K4673"/>
      <c r="L4673"/>
      <c r="M4673"/>
      <c r="N4673"/>
      <c r="O4673"/>
      <c r="P4673" s="58"/>
      <c r="Q4673" s="58"/>
      <c r="R4673" s="83">
        <v>0</v>
      </c>
      <c r="S4673" s="58"/>
      <c r="T4673" s="58"/>
      <c r="U4673" s="58"/>
      <c r="V4673" s="58"/>
      <c r="W4673" s="86">
        <v>0</v>
      </c>
    </row>
    <row r="4674" spans="1:23" s="83" customFormat="1" x14ac:dyDescent="0.35">
      <c r="A4674">
        <v>4670</v>
      </c>
      <c r="B4674" s="83">
        <v>4671</v>
      </c>
      <c r="C4674" s="83">
        <v>146.05859939999999</v>
      </c>
      <c r="D4674" s="83">
        <v>-17.50797644</v>
      </c>
      <c r="G4674" s="83">
        <v>1</v>
      </c>
      <c r="I4674" s="83">
        <v>1</v>
      </c>
      <c r="J4674" s="83">
        <v>1</v>
      </c>
      <c r="K4674"/>
      <c r="L4674"/>
      <c r="M4674"/>
      <c r="N4674"/>
      <c r="O4674"/>
      <c r="P4674" s="58"/>
      <c r="Q4674" s="58"/>
      <c r="R4674" s="83">
        <v>0</v>
      </c>
      <c r="S4674" s="58"/>
      <c r="T4674" s="58"/>
      <c r="U4674" s="58"/>
      <c r="V4674" s="58"/>
      <c r="W4674" s="86">
        <v>0</v>
      </c>
    </row>
    <row r="4675" spans="1:23" s="83" customFormat="1" x14ac:dyDescent="0.35">
      <c r="A4675">
        <v>4671</v>
      </c>
      <c r="B4675" s="83">
        <v>4672</v>
      </c>
      <c r="C4675" s="83">
        <v>146.0586782</v>
      </c>
      <c r="D4675" s="83">
        <v>-17.507924559999999</v>
      </c>
      <c r="G4675" s="83">
        <v>1</v>
      </c>
      <c r="I4675" s="83">
        <v>1</v>
      </c>
      <c r="J4675" s="83">
        <v>1</v>
      </c>
      <c r="K4675"/>
      <c r="L4675"/>
      <c r="M4675"/>
      <c r="N4675"/>
      <c r="O4675"/>
      <c r="P4675" s="58"/>
      <c r="Q4675" s="58"/>
      <c r="R4675" s="83">
        <v>0</v>
      </c>
      <c r="S4675" s="58"/>
      <c r="T4675" s="58"/>
      <c r="U4675" s="58"/>
      <c r="V4675" s="58"/>
      <c r="W4675" s="86">
        <v>0</v>
      </c>
    </row>
    <row r="4676" spans="1:23" x14ac:dyDescent="0.35">
      <c r="A4676">
        <v>4672</v>
      </c>
      <c r="B4676">
        <v>4673</v>
      </c>
      <c r="C4676">
        <v>146.05875689999999</v>
      </c>
      <c r="D4676">
        <v>-17.507872679999998</v>
      </c>
      <c r="F4676" t="str">
        <f>HYPERLINK("D:\Data From Lucan\2024\Johnstone\Frames_for_Analysis\4673_20240610_0008_L_0001.jpg","4673_20240610_0008_L_0001.jpg")</f>
        <v>4673_20240610_0008_L_0001.jpg</v>
      </c>
      <c r="G4676">
        <v>1</v>
      </c>
      <c r="H4676" t="s">
        <v>26</v>
      </c>
      <c r="I4676">
        <v>1</v>
      </c>
      <c r="O4676">
        <v>1</v>
      </c>
      <c r="P4676" s="58">
        <v>0</v>
      </c>
      <c r="Q4676" s="58">
        <v>0</v>
      </c>
      <c r="S4676" s="58">
        <v>0</v>
      </c>
      <c r="T4676" s="58">
        <v>0</v>
      </c>
      <c r="U4676" s="58">
        <v>0</v>
      </c>
      <c r="V4676" s="58">
        <v>0</v>
      </c>
      <c r="W4676" s="4"/>
    </row>
    <row r="4677" spans="1:23" x14ac:dyDescent="0.35">
      <c r="A4677">
        <v>4673</v>
      </c>
      <c r="B4677">
        <v>4674</v>
      </c>
      <c r="C4677">
        <v>146.0588357</v>
      </c>
      <c r="D4677">
        <v>-17.507820809999998</v>
      </c>
      <c r="G4677">
        <v>1</v>
      </c>
      <c r="H4677" t="s">
        <v>26</v>
      </c>
      <c r="I4677">
        <v>1</v>
      </c>
      <c r="W4677" s="4"/>
    </row>
    <row r="4678" spans="1:23" x14ac:dyDescent="0.35">
      <c r="A4678">
        <v>4674</v>
      </c>
      <c r="B4678">
        <v>4675</v>
      </c>
      <c r="C4678">
        <v>146.05891439999999</v>
      </c>
      <c r="D4678">
        <v>-17.507768930000001</v>
      </c>
      <c r="F4678" t="str">
        <f>HYPERLINK("D:\Data From Lucan\2024\Johnstone\Frames_for_Analysis\4675_20240610_0008_L_0002.jpg","4675_20240610_0008_L_0002.jpg")</f>
        <v>4675_20240610_0008_L_0002.jpg</v>
      </c>
      <c r="G4678">
        <v>1</v>
      </c>
      <c r="H4678" t="s">
        <v>26</v>
      </c>
      <c r="I4678">
        <v>1</v>
      </c>
      <c r="O4678">
        <v>1</v>
      </c>
      <c r="P4678" s="58">
        <v>0</v>
      </c>
      <c r="Q4678" s="58">
        <v>0</v>
      </c>
      <c r="S4678" s="58">
        <v>0</v>
      </c>
      <c r="T4678" s="58">
        <v>0</v>
      </c>
      <c r="U4678" s="58">
        <v>0</v>
      </c>
      <c r="V4678" s="58">
        <v>0</v>
      </c>
      <c r="W4678" s="4"/>
    </row>
    <row r="4679" spans="1:23" x14ac:dyDescent="0.35">
      <c r="A4679">
        <v>4675</v>
      </c>
      <c r="B4679">
        <v>4676</v>
      </c>
      <c r="C4679">
        <v>146.0589932</v>
      </c>
      <c r="D4679">
        <v>-17.50771705</v>
      </c>
      <c r="F4679" t="str">
        <f>HYPERLINK("D:\Data From Lucan\2024\Johnstone\Frames_for_Analysis\4676_20240610_0008_L_0004.jpg","4676_20240610_0008_L_0004.jpg")</f>
        <v>4676_20240610_0008_L_0004.jpg</v>
      </c>
      <c r="G4679">
        <v>1</v>
      </c>
      <c r="H4679" t="s">
        <v>26</v>
      </c>
      <c r="I4679">
        <v>1</v>
      </c>
      <c r="O4679">
        <v>1</v>
      </c>
      <c r="P4679" s="58">
        <v>0</v>
      </c>
      <c r="Q4679" s="58">
        <v>0</v>
      </c>
      <c r="S4679" s="58">
        <v>0</v>
      </c>
      <c r="T4679" s="58">
        <v>0</v>
      </c>
      <c r="U4679" s="58">
        <v>0</v>
      </c>
      <c r="V4679" s="58">
        <v>0</v>
      </c>
      <c r="W4679" s="4"/>
    </row>
    <row r="4680" spans="1:23" x14ac:dyDescent="0.35">
      <c r="A4680">
        <v>4676</v>
      </c>
      <c r="B4680">
        <v>4677</v>
      </c>
      <c r="C4680">
        <v>146.05907189999999</v>
      </c>
      <c r="D4680">
        <v>-17.507665169999999</v>
      </c>
      <c r="F4680" t="str">
        <f>HYPERLINK("D:\Data From Lucan\2024\Johnstone\Frames_for_Analysis\4677_20240610_0008_L_0003.jpg","4677_20240610_0008_L_0003.jpg")</f>
        <v>4677_20240610_0008_L_0003.jpg</v>
      </c>
      <c r="G4680">
        <v>1</v>
      </c>
      <c r="H4680" t="s">
        <v>26</v>
      </c>
      <c r="I4680">
        <v>1</v>
      </c>
      <c r="O4680">
        <v>1</v>
      </c>
      <c r="P4680" s="58">
        <v>0</v>
      </c>
      <c r="Q4680" s="58">
        <v>0</v>
      </c>
      <c r="S4680" s="58">
        <v>0</v>
      </c>
      <c r="T4680" s="58">
        <v>0</v>
      </c>
      <c r="U4680" s="58">
        <v>0</v>
      </c>
      <c r="V4680" s="58">
        <v>0</v>
      </c>
      <c r="W4680" s="4"/>
    </row>
    <row r="4681" spans="1:23" x14ac:dyDescent="0.35">
      <c r="A4681">
        <v>4677</v>
      </c>
      <c r="B4681">
        <v>4678</v>
      </c>
      <c r="C4681">
        <v>146.05915239999999</v>
      </c>
      <c r="D4681">
        <v>-17.5076161</v>
      </c>
      <c r="G4681">
        <v>1</v>
      </c>
      <c r="H4681" t="s">
        <v>26</v>
      </c>
      <c r="I4681">
        <v>1</v>
      </c>
      <c r="W4681" s="4"/>
    </row>
    <row r="4682" spans="1:23" x14ac:dyDescent="0.35">
      <c r="A4682">
        <v>4678</v>
      </c>
      <c r="B4682">
        <v>4679</v>
      </c>
      <c r="C4682">
        <v>146.05923430000001</v>
      </c>
      <c r="D4682">
        <v>-17.507569440000001</v>
      </c>
      <c r="G4682">
        <v>1</v>
      </c>
      <c r="H4682" t="s">
        <v>26</v>
      </c>
      <c r="I4682">
        <v>1</v>
      </c>
      <c r="W4682" s="4"/>
    </row>
    <row r="4683" spans="1:23" x14ac:dyDescent="0.35">
      <c r="A4683">
        <v>4679</v>
      </c>
      <c r="B4683">
        <v>4680</v>
      </c>
      <c r="C4683">
        <v>146.05931630000001</v>
      </c>
      <c r="D4683">
        <v>-17.507522789999999</v>
      </c>
      <c r="F4683" t="str">
        <f>HYPERLINK("D:\Data From Lucan\2024\Johnstone\Frames_for_Analysis\4680_20240610_0008_L_0006.jpg","4680_20240610_0008_L_0006.jpg")</f>
        <v>4680_20240610_0008_L_0006.jpg</v>
      </c>
      <c r="G4683">
        <v>1</v>
      </c>
      <c r="I4683">
        <f t="shared" ref="I4677:I4740" si="72">IF(H4683="X","X",IF(J4683="NA","X",IF(J4683="","X",J4683)))</f>
        <v>1</v>
      </c>
      <c r="J4683" s="58">
        <v>1</v>
      </c>
      <c r="O4683">
        <v>1</v>
      </c>
      <c r="P4683" s="58">
        <v>0</v>
      </c>
      <c r="Q4683" s="58">
        <v>0</v>
      </c>
      <c r="R4683" s="58">
        <v>0</v>
      </c>
      <c r="S4683" s="58">
        <v>0</v>
      </c>
      <c r="T4683" s="58">
        <v>0</v>
      </c>
      <c r="U4683" s="58">
        <v>0</v>
      </c>
      <c r="V4683" s="58">
        <v>0</v>
      </c>
      <c r="W4683" s="4">
        <v>0</v>
      </c>
    </row>
    <row r="4684" spans="1:23" x14ac:dyDescent="0.35">
      <c r="A4684">
        <v>4680</v>
      </c>
      <c r="B4684">
        <v>4681</v>
      </c>
      <c r="C4684">
        <v>146.05940380000001</v>
      </c>
      <c r="D4684">
        <v>-17.507488429999999</v>
      </c>
      <c r="F4684" t="str">
        <f>HYPERLINK("D:\Data From Lucan\2024\Johnstone\Frames_for_Analysis\4681_20240610_0008_L_0009.jpg","4681_20240610_0008_L_0009.jpg")</f>
        <v>4681_20240610_0008_L_0009.jpg</v>
      </c>
      <c r="G4684">
        <v>1</v>
      </c>
      <c r="I4684">
        <f t="shared" si="72"/>
        <v>1</v>
      </c>
      <c r="J4684" s="58">
        <v>1</v>
      </c>
      <c r="O4684">
        <v>1</v>
      </c>
      <c r="P4684" s="58">
        <v>0</v>
      </c>
      <c r="Q4684" s="58">
        <v>0</v>
      </c>
      <c r="R4684" s="58">
        <v>0</v>
      </c>
      <c r="S4684" s="58">
        <v>0</v>
      </c>
      <c r="T4684" s="58">
        <v>0</v>
      </c>
      <c r="U4684" s="58">
        <v>0</v>
      </c>
      <c r="V4684" s="58">
        <v>0</v>
      </c>
      <c r="W4684" s="4">
        <v>0</v>
      </c>
    </row>
    <row r="4685" spans="1:23" x14ac:dyDescent="0.35">
      <c r="A4685">
        <v>4681</v>
      </c>
      <c r="B4685">
        <v>4682</v>
      </c>
      <c r="C4685">
        <v>146.0594931</v>
      </c>
      <c r="D4685">
        <v>-17.507458069999998</v>
      </c>
      <c r="F4685" t="str">
        <f>HYPERLINK("D:\Data From Lucan\2024\Johnstone\Frames_for_Analysis\4682_20240610_0008_L_0011.jpg","4682_20240610_0008_L_0011.jpg")</f>
        <v>4682_20240610_0008_L_0011.jpg</v>
      </c>
      <c r="G4685">
        <v>1</v>
      </c>
      <c r="I4685">
        <f t="shared" si="72"/>
        <v>1</v>
      </c>
      <c r="J4685" s="58">
        <v>1</v>
      </c>
      <c r="O4685">
        <v>1</v>
      </c>
      <c r="P4685" s="58">
        <v>0</v>
      </c>
      <c r="Q4685" s="58">
        <v>0</v>
      </c>
      <c r="R4685" s="58">
        <v>0</v>
      </c>
      <c r="S4685" s="58">
        <v>0</v>
      </c>
      <c r="T4685" s="58">
        <v>0</v>
      </c>
      <c r="U4685" s="58">
        <v>0</v>
      </c>
      <c r="V4685" s="58">
        <v>0</v>
      </c>
      <c r="W4685" s="4">
        <v>0</v>
      </c>
    </row>
    <row r="4686" spans="1:23" x14ac:dyDescent="0.35">
      <c r="A4686">
        <v>4682</v>
      </c>
      <c r="B4686">
        <v>4683</v>
      </c>
      <c r="C4686">
        <v>146.05958229999999</v>
      </c>
      <c r="D4686">
        <v>-17.507427700000001</v>
      </c>
      <c r="F4686" t="str">
        <f>HYPERLINK("D:\Data From Lucan\2024\Johnstone\Frames_for_Analysis\4683_20240610_0008_L_0014.jpg","4683_20240610_0008_L_0014.jpg")</f>
        <v>4683_20240610_0008_L_0014.jpg</v>
      </c>
      <c r="G4686">
        <v>1</v>
      </c>
      <c r="I4686">
        <f t="shared" si="72"/>
        <v>1</v>
      </c>
      <c r="J4686" s="58">
        <v>1</v>
      </c>
      <c r="O4686">
        <v>1</v>
      </c>
      <c r="P4686" s="58">
        <v>0</v>
      </c>
      <c r="Q4686" s="58">
        <v>0</v>
      </c>
      <c r="R4686" s="58">
        <v>0</v>
      </c>
      <c r="S4686" s="58">
        <v>0</v>
      </c>
      <c r="T4686" s="58">
        <v>0</v>
      </c>
      <c r="U4686" s="58">
        <v>0</v>
      </c>
      <c r="V4686" s="58">
        <v>0</v>
      </c>
      <c r="W4686" s="4">
        <v>0</v>
      </c>
    </row>
    <row r="4687" spans="1:23" x14ac:dyDescent="0.35">
      <c r="A4687">
        <v>4683</v>
      </c>
      <c r="B4687">
        <v>4684</v>
      </c>
      <c r="C4687">
        <v>146.05967340000001</v>
      </c>
      <c r="D4687">
        <v>-17.507403920000002</v>
      </c>
      <c r="F4687" t="str">
        <f>HYPERLINK("D:\Data From Lucan\2024\Johnstone\Frames_for_Analysis\4684_20240610_0008_L_0017.jpg","4684_20240610_0008_L_0017.jpg")</f>
        <v>4684_20240610_0008_L_0017.jpg</v>
      </c>
      <c r="G4687">
        <v>1</v>
      </c>
      <c r="I4687">
        <f t="shared" si="72"/>
        <v>1</v>
      </c>
      <c r="J4687" s="58">
        <v>1</v>
      </c>
      <c r="O4687">
        <v>1</v>
      </c>
      <c r="P4687" s="58">
        <v>0</v>
      </c>
      <c r="Q4687" s="58">
        <v>0</v>
      </c>
      <c r="R4687" s="58">
        <v>0</v>
      </c>
      <c r="S4687" s="58">
        <v>0</v>
      </c>
      <c r="T4687" s="58">
        <v>0</v>
      </c>
      <c r="U4687" s="58">
        <v>0</v>
      </c>
      <c r="V4687" s="58">
        <v>0</v>
      </c>
      <c r="W4687" s="4">
        <v>0</v>
      </c>
    </row>
    <row r="4688" spans="1:23" x14ac:dyDescent="0.35">
      <c r="A4688">
        <v>4684</v>
      </c>
      <c r="B4688">
        <v>4685</v>
      </c>
      <c r="C4688">
        <v>146.05976580000001</v>
      </c>
      <c r="D4688">
        <v>-17.507385200000002</v>
      </c>
      <c r="F4688" t="str">
        <f>HYPERLINK("D:\Data From Lucan\2024\Johnstone\Frames_for_Analysis\4685_20240610_0008_L_0021.jpg","4685_20240610_0008_L_0021.jpg")</f>
        <v>4685_20240610_0008_L_0021.jpg</v>
      </c>
      <c r="G4688">
        <v>1</v>
      </c>
      <c r="I4688">
        <f t="shared" si="72"/>
        <v>1</v>
      </c>
      <c r="J4688" s="58">
        <v>1</v>
      </c>
      <c r="O4688">
        <v>1</v>
      </c>
      <c r="P4688" s="58">
        <v>0</v>
      </c>
      <c r="Q4688" s="58">
        <v>0</v>
      </c>
      <c r="R4688" s="58">
        <v>0</v>
      </c>
      <c r="S4688" s="58">
        <v>0</v>
      </c>
      <c r="T4688" s="58">
        <v>0</v>
      </c>
      <c r="U4688" s="58">
        <v>0</v>
      </c>
      <c r="V4688" s="58">
        <v>0</v>
      </c>
      <c r="W4688" s="4">
        <v>0</v>
      </c>
    </row>
    <row r="4689" spans="1:23" x14ac:dyDescent="0.35">
      <c r="A4689">
        <v>4685</v>
      </c>
      <c r="B4689">
        <v>4686</v>
      </c>
      <c r="C4689">
        <v>146.05985860000001</v>
      </c>
      <c r="D4689">
        <v>-17.507375920000001</v>
      </c>
      <c r="F4689" t="str">
        <f>HYPERLINK("D:\Data From Lucan\2024\Johnstone\Frames_for_Analysis\4686_20240610_0008_L_0024.jpg","4686_20240610_0008_L_0024.jpg")</f>
        <v>4686_20240610_0008_L_0024.jpg</v>
      </c>
      <c r="G4689">
        <v>1</v>
      </c>
      <c r="I4689">
        <f t="shared" si="72"/>
        <v>1</v>
      </c>
      <c r="J4689" s="58">
        <v>1</v>
      </c>
      <c r="O4689">
        <v>1</v>
      </c>
      <c r="P4689" s="58">
        <v>0</v>
      </c>
      <c r="Q4689" s="58">
        <v>0</v>
      </c>
      <c r="R4689" s="58">
        <v>0</v>
      </c>
      <c r="S4689" s="58">
        <v>0</v>
      </c>
      <c r="T4689" s="58">
        <v>0</v>
      </c>
      <c r="U4689" s="58">
        <v>0</v>
      </c>
      <c r="V4689" s="58">
        <v>0</v>
      </c>
      <c r="W4689" s="4">
        <v>0</v>
      </c>
    </row>
    <row r="4690" spans="1:23" x14ac:dyDescent="0.35">
      <c r="A4690">
        <v>4686</v>
      </c>
      <c r="B4690">
        <v>4687</v>
      </c>
      <c r="C4690">
        <v>146.0599521</v>
      </c>
      <c r="D4690">
        <v>-17.50738801</v>
      </c>
      <c r="F4690" t="str">
        <f>HYPERLINK("D:\Data From Lucan\2024\Johnstone\Frames_for_Analysis\4687_20240610_0008_L_0025.jpg","4687_20240610_0008_L_0025.jpg")</f>
        <v>4687_20240610_0008_L_0025.jpg</v>
      </c>
      <c r="G4690">
        <v>1</v>
      </c>
      <c r="I4690">
        <f t="shared" si="72"/>
        <v>1</v>
      </c>
      <c r="J4690" s="58">
        <v>1</v>
      </c>
      <c r="O4690">
        <v>1</v>
      </c>
      <c r="P4690" s="58">
        <v>0</v>
      </c>
      <c r="Q4690" s="58">
        <v>0</v>
      </c>
      <c r="R4690" s="58">
        <v>0</v>
      </c>
      <c r="S4690" s="58">
        <v>0</v>
      </c>
      <c r="T4690" s="58">
        <v>0</v>
      </c>
      <c r="U4690" s="58">
        <v>0</v>
      </c>
      <c r="V4690" s="58">
        <v>0</v>
      </c>
      <c r="W4690" s="4">
        <v>0</v>
      </c>
    </row>
    <row r="4691" spans="1:23" x14ac:dyDescent="0.35">
      <c r="A4691">
        <v>4687</v>
      </c>
      <c r="B4691">
        <v>4688</v>
      </c>
      <c r="C4691">
        <v>146.0600446</v>
      </c>
      <c r="D4691">
        <v>-17.507405649999999</v>
      </c>
      <c r="F4691" t="str">
        <f>HYPERLINK("D:\Data From Lucan\2024\Johnstone\Frames_for_Analysis\4688_20240610_0008_L_0031.jpg","4688_20240610_0008_L_0031.jpg")</f>
        <v>4688_20240610_0008_L_0031.jpg</v>
      </c>
      <c r="G4691">
        <v>1</v>
      </c>
      <c r="I4691">
        <f t="shared" si="72"/>
        <v>0</v>
      </c>
      <c r="J4691" s="58">
        <v>0</v>
      </c>
      <c r="O4691">
        <v>2</v>
      </c>
      <c r="P4691" s="58">
        <v>1</v>
      </c>
      <c r="Q4691" s="58">
        <v>0</v>
      </c>
      <c r="R4691" s="58">
        <v>0</v>
      </c>
      <c r="S4691" s="58">
        <v>0</v>
      </c>
      <c r="T4691" s="58">
        <v>0</v>
      </c>
      <c r="U4691" s="58">
        <v>0</v>
      </c>
      <c r="V4691" s="58">
        <v>0</v>
      </c>
      <c r="W4691" s="4">
        <v>1</v>
      </c>
    </row>
    <row r="4692" spans="1:23" x14ac:dyDescent="0.35">
      <c r="A4692">
        <v>4688</v>
      </c>
      <c r="B4692">
        <v>4689</v>
      </c>
      <c r="C4692">
        <v>146.06013580000001</v>
      </c>
      <c r="D4692">
        <v>-17.50742967</v>
      </c>
      <c r="F4692" t="str">
        <f>HYPERLINK("D:\Data From Lucan\2024\Johnstone\Frames_for_Analysis\4689_20240610_0008_L_0033.jpg","4689_20240610_0008_L_0033.jpg")</f>
        <v>4689_20240610_0008_L_0033.jpg</v>
      </c>
      <c r="G4692">
        <v>1</v>
      </c>
      <c r="I4692">
        <f t="shared" si="72"/>
        <v>1</v>
      </c>
      <c r="J4692" s="58">
        <v>1</v>
      </c>
      <c r="O4692">
        <v>1</v>
      </c>
      <c r="P4692" s="58">
        <v>0</v>
      </c>
      <c r="Q4692" s="58">
        <v>0</v>
      </c>
      <c r="R4692" s="58">
        <v>0</v>
      </c>
      <c r="S4692" s="58">
        <v>0</v>
      </c>
      <c r="T4692" s="58">
        <v>0</v>
      </c>
      <c r="U4692" s="58">
        <v>0</v>
      </c>
      <c r="V4692" s="58">
        <v>0</v>
      </c>
      <c r="W4692" s="4">
        <v>0</v>
      </c>
    </row>
    <row r="4693" spans="1:23" x14ac:dyDescent="0.35">
      <c r="A4693">
        <v>4689</v>
      </c>
      <c r="B4693">
        <v>4690</v>
      </c>
      <c r="C4693">
        <v>146.06021430000001</v>
      </c>
      <c r="D4693">
        <v>-17.50748029</v>
      </c>
      <c r="F4693" t="str">
        <f>HYPERLINK("D:\Data From Lucan\2024\Johnstone\Frames_for_Analysis\4690_20240610_0008_L_0037.jpg","4690_20240610_0008_L_0037.jpg")</f>
        <v>4690_20240610_0008_L_0037.jpg</v>
      </c>
      <c r="G4693">
        <v>1</v>
      </c>
      <c r="I4693">
        <f t="shared" si="72"/>
        <v>1</v>
      </c>
      <c r="J4693" s="58">
        <v>1</v>
      </c>
      <c r="O4693">
        <v>1</v>
      </c>
      <c r="P4693" s="58">
        <v>0</v>
      </c>
      <c r="Q4693" s="58">
        <v>0</v>
      </c>
      <c r="R4693" s="58">
        <v>0</v>
      </c>
      <c r="S4693" s="58">
        <v>0</v>
      </c>
      <c r="T4693" s="58">
        <v>0</v>
      </c>
      <c r="U4693" s="58">
        <v>0</v>
      </c>
      <c r="V4693" s="58">
        <v>0</v>
      </c>
      <c r="W4693" s="4">
        <v>0</v>
      </c>
    </row>
    <row r="4694" spans="1:23" x14ac:dyDescent="0.35">
      <c r="A4694">
        <v>4690</v>
      </c>
      <c r="B4694">
        <v>4691</v>
      </c>
      <c r="C4694">
        <v>146.06029559999999</v>
      </c>
      <c r="D4694">
        <v>-17.507525659999999</v>
      </c>
      <c r="F4694" t="str">
        <f>HYPERLINK("D:\Data From Lucan\2024\Johnstone\Frames_for_Analysis\4691_20240610_0008_L_0039.jpg","4691_20240610_0008_L_0039.jpg")</f>
        <v>4691_20240610_0008_L_0039.jpg</v>
      </c>
      <c r="G4694">
        <v>1</v>
      </c>
      <c r="I4694">
        <f t="shared" si="72"/>
        <v>1</v>
      </c>
      <c r="J4694" s="58">
        <v>1</v>
      </c>
      <c r="O4694">
        <v>1</v>
      </c>
      <c r="P4694" s="58">
        <v>0</v>
      </c>
      <c r="Q4694" s="58">
        <v>0</v>
      </c>
      <c r="R4694" s="58">
        <v>0</v>
      </c>
      <c r="S4694" s="58">
        <v>0</v>
      </c>
      <c r="T4694" s="58">
        <v>0</v>
      </c>
      <c r="U4694" s="58">
        <v>0</v>
      </c>
      <c r="V4694" s="58">
        <v>0</v>
      </c>
      <c r="W4694" s="4">
        <v>0</v>
      </c>
    </row>
    <row r="4695" spans="1:23" x14ac:dyDescent="0.35">
      <c r="A4695">
        <v>4691</v>
      </c>
      <c r="B4695">
        <v>4692</v>
      </c>
      <c r="C4695">
        <v>146.0603873</v>
      </c>
      <c r="D4695">
        <v>-17.507543600000002</v>
      </c>
      <c r="F4695" t="str">
        <f>HYPERLINK("D:\Data From Lucan\2024\Johnstone\Frames_for_Analysis\4692_20240610_0008_L_0043.jpg","4692_20240610_0008_L_0043.jpg")</f>
        <v>4692_20240610_0008_L_0043.jpg</v>
      </c>
      <c r="G4695">
        <v>1</v>
      </c>
      <c r="I4695">
        <f t="shared" si="72"/>
        <v>1</v>
      </c>
      <c r="J4695" s="58">
        <v>1</v>
      </c>
      <c r="O4695">
        <v>1</v>
      </c>
      <c r="P4695" s="58">
        <v>0</v>
      </c>
      <c r="Q4695" s="58">
        <v>0</v>
      </c>
      <c r="R4695" s="58">
        <v>0</v>
      </c>
      <c r="S4695" s="58">
        <v>0</v>
      </c>
      <c r="T4695" s="58">
        <v>0</v>
      </c>
      <c r="U4695" s="58">
        <v>0</v>
      </c>
      <c r="V4695" s="58">
        <v>0</v>
      </c>
      <c r="W4695" s="4">
        <v>0</v>
      </c>
    </row>
    <row r="4696" spans="1:23" x14ac:dyDescent="0.35">
      <c r="A4696">
        <v>4692</v>
      </c>
      <c r="B4696">
        <v>4693</v>
      </c>
      <c r="C4696">
        <v>146.06048150000001</v>
      </c>
      <c r="D4696">
        <v>-17.507540379999998</v>
      </c>
      <c r="F4696" t="str">
        <f>HYPERLINK("D:\Data From Lucan\2024\Johnstone\Frames_for_Analysis\4693_20240610_0008_L_0047.jpg","4693_20240610_0008_L_0047.jpg")</f>
        <v>4693_20240610_0008_L_0047.jpg</v>
      </c>
      <c r="G4696">
        <v>1</v>
      </c>
      <c r="I4696">
        <f t="shared" si="72"/>
        <v>1</v>
      </c>
      <c r="J4696" s="58">
        <v>1</v>
      </c>
      <c r="O4696">
        <v>1</v>
      </c>
      <c r="P4696" s="58">
        <v>0</v>
      </c>
      <c r="Q4696" s="58">
        <v>0</v>
      </c>
      <c r="R4696" s="58">
        <v>0</v>
      </c>
      <c r="S4696" s="58">
        <v>0</v>
      </c>
      <c r="T4696" s="58">
        <v>0</v>
      </c>
      <c r="U4696" s="58">
        <v>0</v>
      </c>
      <c r="V4696" s="58">
        <v>0</v>
      </c>
      <c r="W4696" s="4">
        <v>0</v>
      </c>
    </row>
    <row r="4697" spans="1:23" x14ac:dyDescent="0.35">
      <c r="A4697">
        <v>4693</v>
      </c>
      <c r="B4697">
        <v>4694</v>
      </c>
      <c r="C4697">
        <v>146.06057559999999</v>
      </c>
      <c r="D4697">
        <v>-17.507534020000001</v>
      </c>
      <c r="F4697" t="str">
        <f>HYPERLINK("D:\Data From Lucan\2024\Johnstone\Frames_for_Analysis\4694_20240610_0008_L_0050.jpg","4694_20240610_0008_L_0050.jpg")</f>
        <v>4694_20240610_0008_L_0050.jpg</v>
      </c>
      <c r="G4697">
        <v>1</v>
      </c>
      <c r="I4697">
        <f t="shared" si="72"/>
        <v>1</v>
      </c>
      <c r="J4697" s="58">
        <v>1</v>
      </c>
      <c r="O4697">
        <v>1</v>
      </c>
      <c r="P4697" s="58">
        <v>0</v>
      </c>
      <c r="Q4697" s="58">
        <v>0</v>
      </c>
      <c r="R4697" s="58">
        <v>0</v>
      </c>
      <c r="S4697" s="58">
        <v>0</v>
      </c>
      <c r="T4697" s="58">
        <v>0</v>
      </c>
      <c r="U4697" s="58">
        <v>0</v>
      </c>
      <c r="V4697" s="58">
        <v>0</v>
      </c>
      <c r="W4697" s="4">
        <v>0</v>
      </c>
    </row>
    <row r="4698" spans="1:23" x14ac:dyDescent="0.35">
      <c r="A4698">
        <v>4694</v>
      </c>
      <c r="B4698">
        <v>4695</v>
      </c>
      <c r="C4698">
        <v>146.06066659999999</v>
      </c>
      <c r="D4698">
        <v>-17.507509989999999</v>
      </c>
      <c r="F4698" t="str">
        <f>HYPERLINK("D:\Data From Lucan\2024\Johnstone\Frames_for_Analysis\4695_20240610_0008_L_0053.jpg","4695_20240610_0008_L_0053.jpg")</f>
        <v>4695_20240610_0008_L_0053.jpg</v>
      </c>
      <c r="G4698">
        <v>1</v>
      </c>
      <c r="I4698">
        <f t="shared" si="72"/>
        <v>1</v>
      </c>
      <c r="J4698" s="58">
        <v>1</v>
      </c>
      <c r="O4698">
        <v>1</v>
      </c>
      <c r="P4698" s="58">
        <v>0</v>
      </c>
      <c r="Q4698" s="58">
        <v>0</v>
      </c>
      <c r="R4698" s="58">
        <v>0</v>
      </c>
      <c r="S4698" s="58">
        <v>0</v>
      </c>
      <c r="T4698" s="58">
        <v>0</v>
      </c>
      <c r="U4698" s="58">
        <v>0</v>
      </c>
      <c r="V4698" s="58">
        <v>0</v>
      </c>
      <c r="W4698" s="4">
        <v>0</v>
      </c>
    </row>
    <row r="4699" spans="1:23" x14ac:dyDescent="0.35">
      <c r="A4699">
        <v>4695</v>
      </c>
      <c r="B4699">
        <v>4696</v>
      </c>
      <c r="C4699">
        <v>146.0607468</v>
      </c>
      <c r="D4699">
        <v>-17.507461280000001</v>
      </c>
      <c r="F4699" t="str">
        <f>HYPERLINK("D:\Data From Lucan\2024\Johnstone\Frames_for_Analysis\4696_20240610_0008_L_0055.jpg","4696_20240610_0008_L_0055.jpg")</f>
        <v>4696_20240610_0008_L_0055.jpg</v>
      </c>
      <c r="G4699">
        <v>1</v>
      </c>
      <c r="I4699">
        <f t="shared" si="72"/>
        <v>1</v>
      </c>
      <c r="J4699" s="58">
        <v>1</v>
      </c>
      <c r="O4699">
        <v>1</v>
      </c>
      <c r="P4699" s="58">
        <v>0</v>
      </c>
      <c r="Q4699" s="58">
        <v>0</v>
      </c>
      <c r="R4699" s="58">
        <v>0</v>
      </c>
      <c r="S4699" s="58">
        <v>0</v>
      </c>
      <c r="T4699" s="58">
        <v>0</v>
      </c>
      <c r="U4699" s="58">
        <v>0</v>
      </c>
      <c r="V4699" s="58">
        <v>0</v>
      </c>
      <c r="W4699" s="4">
        <v>0</v>
      </c>
    </row>
    <row r="4700" spans="1:23" x14ac:dyDescent="0.35">
      <c r="A4700">
        <v>4696</v>
      </c>
      <c r="B4700">
        <v>4697</v>
      </c>
      <c r="C4700">
        <v>146.06082660000001</v>
      </c>
      <c r="D4700">
        <v>-17.507411319999999</v>
      </c>
      <c r="F4700" t="str">
        <f>HYPERLINK("D:\Data From Lucan\2024\Johnstone\Frames_for_Analysis\4697_20240610_0008_L_0059.jpg","4697_20240610_0008_L_0059.jpg")</f>
        <v>4697_20240610_0008_L_0059.jpg</v>
      </c>
      <c r="G4700">
        <v>1</v>
      </c>
      <c r="I4700">
        <f t="shared" si="72"/>
        <v>1</v>
      </c>
      <c r="J4700" s="58">
        <v>1</v>
      </c>
      <c r="O4700">
        <v>1</v>
      </c>
      <c r="P4700" s="58">
        <v>0</v>
      </c>
      <c r="Q4700" s="58">
        <v>0</v>
      </c>
      <c r="R4700" s="58">
        <v>0</v>
      </c>
      <c r="S4700" s="58">
        <v>0</v>
      </c>
      <c r="T4700" s="58">
        <v>0</v>
      </c>
      <c r="U4700" s="58">
        <v>0</v>
      </c>
      <c r="V4700" s="58">
        <v>0</v>
      </c>
      <c r="W4700" s="4">
        <v>0</v>
      </c>
    </row>
    <row r="4701" spans="1:23" x14ac:dyDescent="0.35">
      <c r="A4701">
        <v>4697</v>
      </c>
      <c r="B4701">
        <v>4698</v>
      </c>
      <c r="C4701">
        <v>146.0609115</v>
      </c>
      <c r="D4701">
        <v>-17.50737024</v>
      </c>
      <c r="F4701" t="str">
        <f>HYPERLINK("D:\Data From Lucan\2024\Johnstone\Frames_for_Analysis\4698_20240610_0008_L_0068.jpg","4698_20240610_0008_L_0068.jpg")</f>
        <v>4698_20240610_0008_L_0068.jpg</v>
      </c>
      <c r="G4701">
        <v>1</v>
      </c>
      <c r="I4701">
        <f t="shared" si="72"/>
        <v>1</v>
      </c>
      <c r="J4701" s="58">
        <v>1</v>
      </c>
      <c r="O4701">
        <v>1</v>
      </c>
      <c r="P4701" s="58">
        <v>0</v>
      </c>
      <c r="Q4701" s="58">
        <v>0</v>
      </c>
      <c r="R4701" s="58">
        <v>0</v>
      </c>
      <c r="S4701" s="58">
        <v>0</v>
      </c>
      <c r="T4701" s="58">
        <v>0</v>
      </c>
      <c r="U4701" s="58">
        <v>0</v>
      </c>
      <c r="V4701" s="58">
        <v>0</v>
      </c>
      <c r="W4701" s="4">
        <v>0</v>
      </c>
    </row>
    <row r="4702" spans="1:23" x14ac:dyDescent="0.35">
      <c r="A4702">
        <v>4698</v>
      </c>
      <c r="B4702">
        <v>4699</v>
      </c>
      <c r="C4702">
        <v>146.06100259999999</v>
      </c>
      <c r="D4702">
        <v>-17.507351969999998</v>
      </c>
      <c r="F4702" t="str">
        <f>HYPERLINK("D:\Data From Lucan\2024\Johnstone\Frames_for_Analysis\4699_20240610_0008_L_0074.jpg","4699_20240610_0008_L_0074.jpg")</f>
        <v>4699_20240610_0008_L_0074.jpg</v>
      </c>
      <c r="G4702">
        <v>1</v>
      </c>
      <c r="I4702">
        <f t="shared" si="72"/>
        <v>1</v>
      </c>
      <c r="J4702" s="58">
        <v>1</v>
      </c>
      <c r="O4702">
        <v>1</v>
      </c>
      <c r="P4702" s="58">
        <v>0</v>
      </c>
      <c r="Q4702" s="58">
        <v>0</v>
      </c>
      <c r="R4702" s="58">
        <v>0</v>
      </c>
      <c r="S4702" s="58">
        <v>0</v>
      </c>
      <c r="T4702" s="58">
        <v>0</v>
      </c>
      <c r="U4702" s="58">
        <v>0</v>
      </c>
      <c r="V4702" s="58">
        <v>0</v>
      </c>
      <c r="W4702" s="4">
        <v>0</v>
      </c>
    </row>
    <row r="4703" spans="1:23" x14ac:dyDescent="0.35">
      <c r="A4703">
        <v>4699</v>
      </c>
      <c r="B4703">
        <v>4700</v>
      </c>
      <c r="C4703">
        <v>146.06109079999999</v>
      </c>
      <c r="D4703">
        <v>-17.50732193</v>
      </c>
      <c r="F4703" t="str">
        <f>HYPERLINK("D:\Data From Lucan\2024\Johnstone\Frames_for_Analysis\4700_20240610_0008_L_0080.jpg","4700_20240610_0008_L_0080.jpg")</f>
        <v>4700_20240610_0008_L_0080.jpg</v>
      </c>
      <c r="G4703">
        <v>1</v>
      </c>
      <c r="I4703">
        <f t="shared" si="72"/>
        <v>1</v>
      </c>
      <c r="J4703" s="58">
        <v>1</v>
      </c>
      <c r="O4703">
        <v>1</v>
      </c>
      <c r="P4703" s="58">
        <v>0</v>
      </c>
      <c r="Q4703" s="58">
        <v>0</v>
      </c>
      <c r="R4703" s="58">
        <v>0</v>
      </c>
      <c r="S4703" s="58">
        <v>0</v>
      </c>
      <c r="T4703" s="58">
        <v>0</v>
      </c>
      <c r="U4703" s="58">
        <v>0</v>
      </c>
      <c r="V4703" s="58">
        <v>0</v>
      </c>
      <c r="W4703" s="4">
        <v>0</v>
      </c>
    </row>
    <row r="4704" spans="1:23" x14ac:dyDescent="0.35">
      <c r="A4704">
        <v>4700</v>
      </c>
      <c r="B4704">
        <v>4701</v>
      </c>
      <c r="C4704">
        <v>146.06115270000001</v>
      </c>
      <c r="D4704">
        <v>-17.507252260000001</v>
      </c>
      <c r="F4704" t="str">
        <f>HYPERLINK("D:\Data From Lucan\2024\Johnstone\Frames_for_Analysis\4701_20240610_0008_L_0083.jpg","4701_20240610_0008_L_0083.jpg")</f>
        <v>4701_20240610_0008_L_0083.jpg</v>
      </c>
      <c r="G4704">
        <v>1</v>
      </c>
      <c r="I4704">
        <f t="shared" si="72"/>
        <v>1</v>
      </c>
      <c r="J4704" s="58">
        <v>1</v>
      </c>
      <c r="O4704">
        <v>1</v>
      </c>
      <c r="P4704" s="58">
        <v>0</v>
      </c>
      <c r="Q4704" s="58">
        <v>0</v>
      </c>
      <c r="R4704" s="58">
        <v>0</v>
      </c>
      <c r="S4704" s="58">
        <v>0</v>
      </c>
      <c r="T4704" s="58">
        <v>0</v>
      </c>
      <c r="U4704" s="58">
        <v>0</v>
      </c>
      <c r="V4704" s="58">
        <v>0</v>
      </c>
      <c r="W4704" s="4">
        <v>0</v>
      </c>
    </row>
    <row r="4705" spans="1:23" x14ac:dyDescent="0.35">
      <c r="A4705">
        <v>4701</v>
      </c>
      <c r="B4705">
        <v>4702</v>
      </c>
      <c r="C4705">
        <v>146.0612079</v>
      </c>
      <c r="D4705">
        <v>-17.507175849999999</v>
      </c>
      <c r="F4705" t="str">
        <f>HYPERLINK("D:\Data From Lucan\2024\Johnstone\Frames_for_Analysis\4702_20240610_0008_L_0085.jpg","4702_20240610_0008_L_0085.jpg")</f>
        <v>4702_20240610_0008_L_0085.jpg</v>
      </c>
      <c r="G4705">
        <v>1</v>
      </c>
      <c r="I4705">
        <f t="shared" si="72"/>
        <v>1</v>
      </c>
      <c r="J4705" s="58">
        <v>1</v>
      </c>
      <c r="O4705">
        <v>1</v>
      </c>
      <c r="P4705" s="58">
        <v>0</v>
      </c>
      <c r="Q4705" s="58">
        <v>0</v>
      </c>
      <c r="R4705" s="58">
        <v>0</v>
      </c>
      <c r="S4705" s="58">
        <v>0</v>
      </c>
      <c r="T4705" s="58">
        <v>0</v>
      </c>
      <c r="U4705" s="58">
        <v>0</v>
      </c>
      <c r="V4705" s="58">
        <v>0</v>
      </c>
      <c r="W4705" s="4">
        <v>0</v>
      </c>
    </row>
    <row r="4706" spans="1:23" x14ac:dyDescent="0.35">
      <c r="A4706">
        <v>4702</v>
      </c>
      <c r="B4706">
        <v>4703</v>
      </c>
      <c r="C4706">
        <v>146.06126359999999</v>
      </c>
      <c r="D4706">
        <v>-17.50709986</v>
      </c>
      <c r="F4706" t="str">
        <f>HYPERLINK("D:\Data From Lucan\2024\Johnstone\Frames_for_Analysis\4703_20240610_0008_L_0087.jpg","4703_20240610_0008_L_0087.jpg")</f>
        <v>4703_20240610_0008_L_0087.jpg</v>
      </c>
      <c r="G4706">
        <v>1</v>
      </c>
      <c r="I4706">
        <f t="shared" si="72"/>
        <v>1</v>
      </c>
      <c r="J4706" s="58">
        <v>1</v>
      </c>
      <c r="O4706">
        <v>1</v>
      </c>
      <c r="P4706" s="58">
        <v>0</v>
      </c>
      <c r="Q4706" s="58">
        <v>0</v>
      </c>
      <c r="R4706" s="58">
        <v>1</v>
      </c>
      <c r="S4706" s="58">
        <v>0</v>
      </c>
      <c r="T4706" s="58">
        <v>0</v>
      </c>
      <c r="U4706" s="58">
        <v>0</v>
      </c>
      <c r="V4706" s="58">
        <v>0</v>
      </c>
      <c r="W4706" s="4">
        <v>0</v>
      </c>
    </row>
    <row r="4707" spans="1:23" x14ac:dyDescent="0.35">
      <c r="A4707">
        <v>4703</v>
      </c>
      <c r="B4707">
        <v>4704</v>
      </c>
      <c r="C4707">
        <v>146.0613266</v>
      </c>
      <c r="D4707">
        <v>-17.507030929999999</v>
      </c>
      <c r="F4707" t="str">
        <f>HYPERLINK("D:\Data From Lucan\2024\Johnstone\Frames_for_Analysis\4704_20240610_0008_L_0088.jpg","4704_20240610_0008_L_0088.jpg")</f>
        <v>4704_20240610_0008_L_0088.jpg</v>
      </c>
      <c r="G4707">
        <v>1</v>
      </c>
      <c r="I4707">
        <f t="shared" si="72"/>
        <v>1</v>
      </c>
      <c r="J4707" s="58">
        <v>1</v>
      </c>
      <c r="O4707">
        <v>1</v>
      </c>
      <c r="P4707" s="58">
        <v>0</v>
      </c>
      <c r="Q4707" s="58">
        <v>0</v>
      </c>
      <c r="R4707" s="58">
        <v>0</v>
      </c>
      <c r="S4707" s="58">
        <v>0</v>
      </c>
      <c r="T4707" s="58">
        <v>0</v>
      </c>
      <c r="U4707" s="58">
        <v>0</v>
      </c>
      <c r="V4707" s="58">
        <v>0</v>
      </c>
      <c r="W4707" s="4">
        <v>0</v>
      </c>
    </row>
    <row r="4708" spans="1:23" x14ac:dyDescent="0.35">
      <c r="A4708">
        <v>4704</v>
      </c>
      <c r="B4708">
        <v>4705</v>
      </c>
      <c r="C4708">
        <v>146.0613998</v>
      </c>
      <c r="D4708">
        <v>-17.506971490000002</v>
      </c>
      <c r="F4708" t="str">
        <f>HYPERLINK("D:\Data From Lucan\2024\Johnstone\Frames_for_Analysis\4705_20240610_0008_L_0090.jpg","4705_20240610_0008_L_0090.jpg")</f>
        <v>4705_20240610_0008_L_0090.jpg</v>
      </c>
      <c r="G4708">
        <v>1</v>
      </c>
      <c r="I4708">
        <f t="shared" si="72"/>
        <v>1</v>
      </c>
      <c r="J4708" s="58">
        <v>1</v>
      </c>
      <c r="O4708">
        <v>3</v>
      </c>
      <c r="P4708" s="58">
        <v>1</v>
      </c>
      <c r="Q4708" s="58">
        <v>1</v>
      </c>
      <c r="R4708" s="58">
        <v>0</v>
      </c>
      <c r="S4708" s="58">
        <v>0</v>
      </c>
      <c r="T4708" s="58">
        <v>0</v>
      </c>
      <c r="U4708" s="58">
        <v>0</v>
      </c>
      <c r="V4708" s="58">
        <v>0</v>
      </c>
      <c r="W4708" s="4">
        <v>2</v>
      </c>
    </row>
    <row r="4709" spans="1:23" x14ac:dyDescent="0.35">
      <c r="A4709">
        <v>4705</v>
      </c>
      <c r="B4709">
        <v>4706</v>
      </c>
      <c r="C4709">
        <v>146.06147569999999</v>
      </c>
      <c r="D4709">
        <v>-17.5069157</v>
      </c>
      <c r="F4709" t="str">
        <f>HYPERLINK("D:\Data From Lucan\2024\Johnstone\Frames_for_Analysis\4706_20240610_0008_L_0089.jpg","4706_20240610_0008_L_0089.jpg")</f>
        <v>4706_20240610_0008_L_0089.jpg</v>
      </c>
      <c r="G4709">
        <v>1</v>
      </c>
      <c r="I4709">
        <f t="shared" si="72"/>
        <v>1</v>
      </c>
      <c r="J4709" s="58">
        <v>1</v>
      </c>
      <c r="O4709">
        <v>2</v>
      </c>
      <c r="P4709" s="58">
        <v>1</v>
      </c>
      <c r="Q4709" s="58">
        <v>1</v>
      </c>
      <c r="R4709" s="58">
        <v>0</v>
      </c>
      <c r="S4709" s="58">
        <v>0</v>
      </c>
      <c r="T4709" s="58">
        <v>0</v>
      </c>
      <c r="U4709" s="58">
        <v>0</v>
      </c>
      <c r="V4709" s="58">
        <v>0</v>
      </c>
      <c r="W4709" s="4">
        <v>0</v>
      </c>
    </row>
    <row r="4710" spans="1:23" x14ac:dyDescent="0.35">
      <c r="A4710">
        <v>4706</v>
      </c>
      <c r="B4710">
        <v>4707</v>
      </c>
      <c r="C4710">
        <v>146.06155670000001</v>
      </c>
      <c r="D4710">
        <v>-17.506867509999999</v>
      </c>
      <c r="G4710">
        <v>1</v>
      </c>
      <c r="H4710" t="s">
        <v>26</v>
      </c>
      <c r="I4710" t="str">
        <f t="shared" si="72"/>
        <v>X</v>
      </c>
      <c r="W4710" s="4"/>
    </row>
    <row r="4711" spans="1:23" x14ac:dyDescent="0.35">
      <c r="A4711">
        <v>4707</v>
      </c>
      <c r="B4711">
        <v>4708</v>
      </c>
      <c r="C4711">
        <v>146.0616071</v>
      </c>
      <c r="D4711">
        <v>-17.506944359999999</v>
      </c>
      <c r="G4711">
        <v>1</v>
      </c>
      <c r="H4711" t="s">
        <v>26</v>
      </c>
      <c r="I4711" t="str">
        <f t="shared" si="72"/>
        <v>X</v>
      </c>
      <c r="W4711" s="4"/>
    </row>
    <row r="4712" spans="1:23" x14ac:dyDescent="0.35">
      <c r="A4712">
        <v>4708</v>
      </c>
      <c r="B4712">
        <v>4709</v>
      </c>
      <c r="C4712">
        <v>146.06166020000001</v>
      </c>
      <c r="D4712">
        <v>-17.507013740000001</v>
      </c>
      <c r="F4712" t="str">
        <f>HYPERLINK("D:\Data From Lucan\2024\Johnstone\Frames_for_Analysis\4709_20240610_0008_L_0093.jpg","4709_20240610_0008_L_0093.jpg")</f>
        <v>4709_20240610_0008_L_0093.jpg</v>
      </c>
      <c r="G4712">
        <v>1</v>
      </c>
      <c r="I4712">
        <f t="shared" si="72"/>
        <v>0</v>
      </c>
      <c r="J4712" s="58">
        <v>0</v>
      </c>
      <c r="O4712">
        <v>3</v>
      </c>
      <c r="P4712" s="58">
        <v>1</v>
      </c>
      <c r="Q4712" s="58">
        <v>1</v>
      </c>
      <c r="R4712" s="58">
        <v>0</v>
      </c>
      <c r="S4712" s="58">
        <v>0</v>
      </c>
      <c r="T4712" s="58">
        <v>0</v>
      </c>
      <c r="U4712" s="58">
        <v>0</v>
      </c>
      <c r="V4712" s="58">
        <v>0</v>
      </c>
      <c r="W4712" s="4">
        <v>2</v>
      </c>
    </row>
    <row r="4713" spans="1:23" x14ac:dyDescent="0.35">
      <c r="A4713">
        <v>4709</v>
      </c>
      <c r="B4713">
        <v>4710</v>
      </c>
      <c r="C4713">
        <v>146.06174540000001</v>
      </c>
      <c r="D4713">
        <v>-17.506973469999998</v>
      </c>
      <c r="F4713" t="str">
        <f>HYPERLINK("D:\Data From Lucan\2024\Johnstone\Frames_for_Analysis\4710_20240610_0008_L_0095.jpg","4710_20240610_0008_L_0095.jpg")</f>
        <v>4710_20240610_0008_L_0095.jpg</v>
      </c>
      <c r="G4713">
        <v>1</v>
      </c>
      <c r="I4713">
        <f t="shared" si="72"/>
        <v>0</v>
      </c>
      <c r="J4713" s="58">
        <v>0</v>
      </c>
      <c r="O4713">
        <v>2</v>
      </c>
      <c r="P4713" s="58">
        <v>1</v>
      </c>
      <c r="Q4713" s="58">
        <v>1</v>
      </c>
      <c r="R4713" s="58">
        <v>0</v>
      </c>
      <c r="S4713" s="58">
        <v>0</v>
      </c>
      <c r="T4713" s="58">
        <v>0</v>
      </c>
      <c r="U4713" s="58">
        <v>0</v>
      </c>
      <c r="V4713" s="58">
        <v>0</v>
      </c>
      <c r="W4713" s="4">
        <v>1</v>
      </c>
    </row>
    <row r="4714" spans="1:23" x14ac:dyDescent="0.35">
      <c r="A4714">
        <v>4710</v>
      </c>
      <c r="B4714">
        <v>4711</v>
      </c>
      <c r="C4714">
        <v>146.0618307</v>
      </c>
      <c r="D4714">
        <v>-17.506933199999999</v>
      </c>
      <c r="F4714" t="str">
        <f>HYPERLINK("D:\Data From Lucan\2024\Johnstone\Frames_for_Analysis\4711_20240610_0008_L_0096.jpg","4711_20240610_0008_L_0096.jpg")</f>
        <v>4711_20240610_0008_L_0096.jpg</v>
      </c>
      <c r="G4714">
        <v>1</v>
      </c>
      <c r="I4714">
        <f t="shared" si="72"/>
        <v>0</v>
      </c>
      <c r="J4714" s="58">
        <v>0</v>
      </c>
      <c r="O4714">
        <v>2</v>
      </c>
      <c r="P4714" s="58">
        <v>1</v>
      </c>
      <c r="Q4714" s="58">
        <v>1</v>
      </c>
      <c r="R4714" s="58">
        <v>0</v>
      </c>
      <c r="S4714" s="58">
        <v>0</v>
      </c>
      <c r="T4714" s="58">
        <v>0</v>
      </c>
      <c r="U4714" s="58">
        <v>0</v>
      </c>
      <c r="V4714" s="58">
        <v>0</v>
      </c>
      <c r="W4714" s="4">
        <v>1</v>
      </c>
    </row>
    <row r="4715" spans="1:23" x14ac:dyDescent="0.35">
      <c r="A4715">
        <v>4711</v>
      </c>
      <c r="B4715">
        <v>4712</v>
      </c>
      <c r="C4715">
        <v>146.06191509999999</v>
      </c>
      <c r="D4715">
        <v>-17.50689118</v>
      </c>
      <c r="F4715" t="str">
        <f>HYPERLINK("D:\Data From Lucan\2024\Johnstone\Frames_for_Analysis\4712_20240610_0008_L_0097.jpg","4712_20240610_0008_L_0097.jpg")</f>
        <v>4712_20240610_0008_L_0097.jpg</v>
      </c>
      <c r="G4715">
        <v>1</v>
      </c>
      <c r="I4715">
        <f t="shared" si="72"/>
        <v>0</v>
      </c>
      <c r="J4715" s="58">
        <v>0</v>
      </c>
      <c r="O4715">
        <v>2</v>
      </c>
      <c r="P4715" s="58">
        <v>1</v>
      </c>
      <c r="Q4715" s="58">
        <v>1</v>
      </c>
      <c r="R4715" s="58">
        <v>0</v>
      </c>
      <c r="S4715" s="58">
        <v>0</v>
      </c>
      <c r="T4715" s="58">
        <v>0</v>
      </c>
      <c r="U4715" s="58">
        <v>0</v>
      </c>
      <c r="V4715" s="58">
        <v>0</v>
      </c>
      <c r="W4715" s="4">
        <v>1</v>
      </c>
    </row>
    <row r="4716" spans="1:23" x14ac:dyDescent="0.35">
      <c r="A4716">
        <v>4712</v>
      </c>
      <c r="B4716">
        <v>4713</v>
      </c>
      <c r="C4716">
        <v>146.06199219999999</v>
      </c>
      <c r="D4716">
        <v>-17.506880129999999</v>
      </c>
      <c r="F4716" t="str">
        <f>HYPERLINK("D:\Data From Lucan\2024\Johnstone\Frames_for_Analysis\4713_20240610_0008_L_0100.jpg","4713_20240610_0008_L_0100.jpg")</f>
        <v>4713_20240610_0008_L_0100.jpg</v>
      </c>
      <c r="G4716">
        <v>1</v>
      </c>
      <c r="I4716">
        <v>0</v>
      </c>
      <c r="J4716" s="58">
        <v>2</v>
      </c>
      <c r="O4716">
        <v>2</v>
      </c>
      <c r="P4716" s="58">
        <v>1</v>
      </c>
      <c r="Q4716" s="58">
        <v>1</v>
      </c>
      <c r="R4716" s="58">
        <v>0</v>
      </c>
      <c r="S4716" s="58">
        <v>0</v>
      </c>
      <c r="T4716" s="58">
        <v>0</v>
      </c>
      <c r="U4716" s="58">
        <v>0</v>
      </c>
      <c r="V4716" s="58">
        <v>0</v>
      </c>
      <c r="W4716" s="4">
        <v>1</v>
      </c>
    </row>
    <row r="4717" spans="1:23" x14ac:dyDescent="0.35">
      <c r="A4717">
        <v>4713</v>
      </c>
      <c r="B4717">
        <v>4714</v>
      </c>
      <c r="C4717">
        <v>146.0620543</v>
      </c>
      <c r="D4717">
        <v>-17.506951099999998</v>
      </c>
      <c r="G4717">
        <v>1</v>
      </c>
      <c r="H4717" t="s">
        <v>26</v>
      </c>
      <c r="I4717" t="str">
        <f t="shared" si="72"/>
        <v>X</v>
      </c>
      <c r="J4717" s="58">
        <v>0</v>
      </c>
      <c r="W4717" s="4"/>
    </row>
    <row r="4718" spans="1:23" x14ac:dyDescent="0.35">
      <c r="A4718">
        <v>4714</v>
      </c>
      <c r="B4718">
        <v>4715</v>
      </c>
      <c r="C4718">
        <v>146.06211400000001</v>
      </c>
      <c r="D4718">
        <v>-17.50702381</v>
      </c>
      <c r="F4718" t="str">
        <f>HYPERLINK("D:\Data From Lucan\2024\Johnstone\Frames_for_Analysis\4715_20240610_0008_L_0104.jpg","4715_20240610_0008_L_0104.jpg")</f>
        <v>4715_20240610_0008_L_0104.jpg</v>
      </c>
      <c r="G4718">
        <v>1</v>
      </c>
      <c r="I4718">
        <v>0</v>
      </c>
      <c r="J4718" s="58">
        <v>2</v>
      </c>
      <c r="O4718">
        <v>2</v>
      </c>
      <c r="P4718" s="58">
        <v>0</v>
      </c>
      <c r="Q4718" s="58">
        <v>0</v>
      </c>
      <c r="R4718" s="58">
        <v>0</v>
      </c>
      <c r="S4718" s="58">
        <v>0</v>
      </c>
      <c r="T4718" s="58">
        <v>0</v>
      </c>
      <c r="U4718" s="58">
        <v>0</v>
      </c>
      <c r="V4718" s="58">
        <v>0</v>
      </c>
      <c r="W4718" s="4">
        <v>1</v>
      </c>
    </row>
    <row r="4719" spans="1:23" x14ac:dyDescent="0.35">
      <c r="A4719">
        <v>4715</v>
      </c>
      <c r="B4719">
        <v>4716</v>
      </c>
      <c r="C4719">
        <v>146.06216040000001</v>
      </c>
      <c r="D4719">
        <v>-17.507105899999999</v>
      </c>
      <c r="F4719" t="str">
        <f>HYPERLINK("D:\Data From Lucan\2024\Johnstone\Frames_for_Analysis\4716_20240610_0008_L_0105.jpg","4716_20240610_0008_L_0105.jpg")</f>
        <v>4716_20240610_0008_L_0105.jpg</v>
      </c>
      <c r="G4719">
        <v>1</v>
      </c>
      <c r="I4719">
        <v>0</v>
      </c>
      <c r="J4719" s="58">
        <v>2</v>
      </c>
      <c r="O4719">
        <v>2</v>
      </c>
      <c r="P4719" s="58">
        <v>0</v>
      </c>
      <c r="Q4719" s="58">
        <v>0</v>
      </c>
      <c r="R4719" s="58">
        <v>0</v>
      </c>
      <c r="S4719" s="58">
        <v>0</v>
      </c>
      <c r="T4719" s="58">
        <v>0</v>
      </c>
      <c r="U4719" s="58">
        <v>0</v>
      </c>
      <c r="V4719" s="58">
        <v>0</v>
      </c>
      <c r="W4719" s="4">
        <v>1</v>
      </c>
    </row>
    <row r="4720" spans="1:23" x14ac:dyDescent="0.35">
      <c r="A4720">
        <v>4716</v>
      </c>
      <c r="B4720">
        <v>4717</v>
      </c>
      <c r="C4720">
        <v>146.06220680000001</v>
      </c>
      <c r="D4720">
        <v>-17.507187999999999</v>
      </c>
      <c r="F4720" t="str">
        <f>HYPERLINK("D:\Data From Lucan\2024\Johnstone\Frames_for_Analysis\4717_20240610_0008_L_0108.jpg","4717_20240610_0008_L_0108.jpg")</f>
        <v>4717_20240610_0008_L_0108.jpg</v>
      </c>
      <c r="G4720">
        <v>1</v>
      </c>
      <c r="I4720">
        <f t="shared" si="72"/>
        <v>1</v>
      </c>
      <c r="J4720" s="58">
        <v>1</v>
      </c>
      <c r="O4720">
        <v>2</v>
      </c>
      <c r="P4720" s="58">
        <v>1</v>
      </c>
      <c r="Q4720" s="58">
        <v>1</v>
      </c>
      <c r="R4720" s="58">
        <v>0</v>
      </c>
      <c r="S4720" s="58">
        <v>0</v>
      </c>
      <c r="T4720" s="58">
        <v>0</v>
      </c>
      <c r="U4720" s="58">
        <v>0</v>
      </c>
      <c r="V4720" s="58">
        <v>0</v>
      </c>
      <c r="W4720" s="4">
        <v>1</v>
      </c>
    </row>
    <row r="4721" spans="1:23" x14ac:dyDescent="0.35">
      <c r="A4721">
        <v>4717</v>
      </c>
      <c r="B4721">
        <v>4718</v>
      </c>
      <c r="C4721">
        <v>146.06225319999999</v>
      </c>
      <c r="D4721">
        <v>-17.5072701</v>
      </c>
      <c r="F4721" t="str">
        <f>HYPERLINK("D:\Data From Lucan\2024\Johnstone\Frames_for_Analysis\4718_20240610_0008_L_0109.jpg","4718_20240610_0008_L_0109.jpg")</f>
        <v>4718_20240610_0008_L_0109.jpg</v>
      </c>
      <c r="G4721">
        <v>1</v>
      </c>
      <c r="I4721">
        <f t="shared" si="72"/>
        <v>0</v>
      </c>
      <c r="J4721" s="58">
        <v>0</v>
      </c>
      <c r="O4721">
        <v>3</v>
      </c>
      <c r="P4721" s="58">
        <v>1</v>
      </c>
      <c r="Q4721" s="58">
        <v>1</v>
      </c>
      <c r="R4721" s="58">
        <v>0</v>
      </c>
      <c r="S4721" s="58">
        <v>0</v>
      </c>
      <c r="T4721" s="58">
        <v>0</v>
      </c>
      <c r="U4721" s="58">
        <v>0</v>
      </c>
      <c r="V4721" s="58">
        <v>0</v>
      </c>
      <c r="W4721" s="4">
        <v>2</v>
      </c>
    </row>
    <row r="4722" spans="1:23" x14ac:dyDescent="0.35">
      <c r="A4722">
        <v>4718</v>
      </c>
      <c r="B4722">
        <v>4719</v>
      </c>
      <c r="C4722">
        <v>146.06232449999999</v>
      </c>
      <c r="D4722">
        <v>-17.507324659999998</v>
      </c>
      <c r="F4722" t="str">
        <f>HYPERLINK("D:\Data From Lucan\2024\Johnstone\Frames_for_Analysis\4719_20240610_0008_L_0111.jpg","4719_20240610_0008_L_0111.jpg")</f>
        <v>4719_20240610_0008_L_0111.jpg</v>
      </c>
      <c r="G4722">
        <v>1</v>
      </c>
      <c r="I4722">
        <f t="shared" si="72"/>
        <v>0</v>
      </c>
      <c r="J4722" s="58">
        <v>0</v>
      </c>
      <c r="O4722">
        <v>3</v>
      </c>
      <c r="P4722" s="58">
        <v>1</v>
      </c>
      <c r="Q4722" s="58">
        <v>1</v>
      </c>
      <c r="R4722" s="58">
        <v>0</v>
      </c>
      <c r="S4722" s="58">
        <v>0</v>
      </c>
      <c r="T4722" s="58">
        <v>0</v>
      </c>
      <c r="U4722" s="58">
        <v>0</v>
      </c>
      <c r="V4722" s="58">
        <v>0</v>
      </c>
      <c r="W4722" s="4">
        <v>2</v>
      </c>
    </row>
    <row r="4723" spans="1:23" x14ac:dyDescent="0.35">
      <c r="A4723">
        <v>4719</v>
      </c>
      <c r="B4723">
        <v>4720</v>
      </c>
      <c r="C4723">
        <v>146.06241080000001</v>
      </c>
      <c r="D4723">
        <v>-17.507362539999999</v>
      </c>
      <c r="F4723" t="str">
        <f>HYPERLINK("D:\Data From Lucan\2024\Johnstone\Frames_for_Analysis\4720_20240610_0008_L_0115.jpg","4720_20240610_0008_L_0115.jpg")</f>
        <v>4720_20240610_0008_L_0115.jpg</v>
      </c>
      <c r="G4723">
        <v>1</v>
      </c>
      <c r="I4723">
        <f t="shared" si="72"/>
        <v>1</v>
      </c>
      <c r="J4723" s="58">
        <v>1</v>
      </c>
      <c r="O4723">
        <v>1</v>
      </c>
      <c r="P4723" s="58">
        <v>0</v>
      </c>
      <c r="Q4723" s="58">
        <v>0</v>
      </c>
      <c r="R4723" s="58">
        <v>0</v>
      </c>
      <c r="S4723" s="58">
        <v>0</v>
      </c>
      <c r="T4723" s="58">
        <v>0</v>
      </c>
      <c r="U4723" s="58">
        <v>0</v>
      </c>
      <c r="V4723" s="58">
        <v>0</v>
      </c>
      <c r="W4723" s="4">
        <v>0</v>
      </c>
    </row>
    <row r="4724" spans="1:23" x14ac:dyDescent="0.35">
      <c r="A4724">
        <v>4720</v>
      </c>
      <c r="B4724">
        <v>4721</v>
      </c>
      <c r="C4724">
        <v>146.0624972</v>
      </c>
      <c r="D4724">
        <v>-17.507400409999999</v>
      </c>
      <c r="F4724" t="str">
        <f>HYPERLINK("D:\Data From Lucan\2024\Johnstone\Frames_for_Analysis\4721_20240610_0008_L_0120.jpg","4721_20240610_0008_L_0120.jpg")</f>
        <v>4721_20240610_0008_L_0120.jpg</v>
      </c>
      <c r="G4724">
        <v>1</v>
      </c>
      <c r="I4724">
        <f t="shared" si="72"/>
        <v>1</v>
      </c>
      <c r="J4724" s="58">
        <v>1</v>
      </c>
      <c r="O4724">
        <v>1</v>
      </c>
      <c r="P4724" s="58">
        <v>0</v>
      </c>
      <c r="Q4724" s="58">
        <v>0</v>
      </c>
      <c r="R4724" s="58">
        <v>0</v>
      </c>
      <c r="S4724" s="58">
        <v>0</v>
      </c>
      <c r="T4724" s="58">
        <v>0</v>
      </c>
      <c r="U4724" s="58">
        <v>0</v>
      </c>
      <c r="V4724" s="58">
        <v>0</v>
      </c>
      <c r="W4724" s="4">
        <v>0</v>
      </c>
    </row>
    <row r="4725" spans="1:23" x14ac:dyDescent="0.35">
      <c r="A4725">
        <v>4721</v>
      </c>
      <c r="B4725">
        <v>4722</v>
      </c>
      <c r="C4725">
        <v>146.06258360000001</v>
      </c>
      <c r="D4725">
        <v>-17.50743829</v>
      </c>
      <c r="F4725" t="str">
        <f>HYPERLINK("D:\Data From Lucan\2024\Johnstone\Frames_for_Analysis\4722_20240610_0008_L_0123.jpg","4722_20240610_0008_L_0123.jpg")</f>
        <v>4722_20240610_0008_L_0123.jpg</v>
      </c>
      <c r="G4725">
        <v>1</v>
      </c>
      <c r="I4725">
        <f t="shared" si="72"/>
        <v>1</v>
      </c>
      <c r="J4725" s="58">
        <v>1</v>
      </c>
      <c r="O4725">
        <v>1</v>
      </c>
      <c r="P4725" s="58">
        <v>0</v>
      </c>
      <c r="Q4725" s="58">
        <v>0</v>
      </c>
      <c r="R4725" s="58">
        <v>0</v>
      </c>
      <c r="S4725" s="58">
        <v>0</v>
      </c>
      <c r="T4725" s="58">
        <v>0</v>
      </c>
      <c r="U4725" s="58">
        <v>0</v>
      </c>
      <c r="V4725" s="58">
        <v>0</v>
      </c>
      <c r="W4725" s="4">
        <v>0</v>
      </c>
    </row>
    <row r="4726" spans="1:23" x14ac:dyDescent="0.35">
      <c r="A4726">
        <v>4722</v>
      </c>
      <c r="B4726">
        <v>4723</v>
      </c>
      <c r="C4726">
        <v>146.06267320000001</v>
      </c>
      <c r="D4726">
        <v>-17.50746462</v>
      </c>
      <c r="F4726" t="str">
        <f>HYPERLINK("D:\Data From Lucan\2024\Johnstone\Frames_for_Analysis\4723_20240610_0008_L_0125.jpg","4723_20240610_0008_L_0125.jpg")</f>
        <v>4723_20240610_0008_L_0125.jpg</v>
      </c>
      <c r="G4726">
        <v>1</v>
      </c>
      <c r="I4726">
        <f t="shared" si="72"/>
        <v>1</v>
      </c>
      <c r="J4726" s="58">
        <v>1</v>
      </c>
      <c r="O4726">
        <v>1</v>
      </c>
      <c r="P4726" s="58">
        <v>0</v>
      </c>
      <c r="Q4726" s="58">
        <v>0</v>
      </c>
      <c r="R4726" s="58">
        <v>0</v>
      </c>
      <c r="S4726" s="58">
        <v>0</v>
      </c>
      <c r="T4726" s="58">
        <v>0</v>
      </c>
      <c r="U4726" s="58">
        <v>0</v>
      </c>
      <c r="V4726" s="58">
        <v>0</v>
      </c>
      <c r="W4726" s="4">
        <v>0</v>
      </c>
    </row>
    <row r="4727" spans="1:23" x14ac:dyDescent="0.35">
      <c r="A4727">
        <v>4723</v>
      </c>
      <c r="B4727">
        <v>4724</v>
      </c>
      <c r="C4727">
        <v>146.0627666</v>
      </c>
      <c r="D4727">
        <v>-17.507477420000001</v>
      </c>
      <c r="F4727" t="str">
        <f>HYPERLINK("D:\Data From Lucan\2024\Johnstone\Frames_for_Analysis\4724_20240610_0008_L_0127.jpg","4724_20240610_0008_L_0127.jpg")</f>
        <v>4724_20240610_0008_L_0127.jpg</v>
      </c>
      <c r="G4727">
        <v>1</v>
      </c>
      <c r="I4727">
        <f t="shared" si="72"/>
        <v>1</v>
      </c>
      <c r="J4727" s="58">
        <v>1</v>
      </c>
      <c r="O4727">
        <v>1</v>
      </c>
      <c r="P4727" s="58">
        <v>0</v>
      </c>
      <c r="Q4727" s="58">
        <v>0</v>
      </c>
      <c r="R4727" s="58">
        <v>0</v>
      </c>
      <c r="S4727" s="58">
        <v>0</v>
      </c>
      <c r="T4727" s="58">
        <v>0</v>
      </c>
      <c r="U4727" s="58">
        <v>0</v>
      </c>
      <c r="V4727" s="58">
        <v>0</v>
      </c>
      <c r="W4727" s="4">
        <v>0</v>
      </c>
    </row>
    <row r="4728" spans="1:23" x14ac:dyDescent="0.35">
      <c r="A4728">
        <v>4724</v>
      </c>
      <c r="B4728">
        <v>4725</v>
      </c>
      <c r="C4728">
        <v>146.06286</v>
      </c>
      <c r="D4728">
        <v>-17.507490220000001</v>
      </c>
      <c r="F4728" t="str">
        <f>HYPERLINK("D:\Data From Lucan\2024\Johnstone\Frames_for_Analysis\4725_20240610_0008_L_0131.jpg","4725_20240610_0008_L_0131.jpg")</f>
        <v>4725_20240610_0008_L_0131.jpg</v>
      </c>
      <c r="G4728">
        <v>1</v>
      </c>
      <c r="I4728">
        <f t="shared" si="72"/>
        <v>1</v>
      </c>
      <c r="J4728" s="58">
        <v>1</v>
      </c>
      <c r="O4728">
        <v>1</v>
      </c>
      <c r="P4728" s="58">
        <v>0</v>
      </c>
      <c r="Q4728" s="58">
        <v>0</v>
      </c>
      <c r="R4728" s="58">
        <v>0</v>
      </c>
      <c r="S4728" s="58">
        <v>0</v>
      </c>
      <c r="T4728" s="58">
        <v>0</v>
      </c>
      <c r="U4728" s="58">
        <v>0</v>
      </c>
      <c r="V4728" s="58">
        <v>0</v>
      </c>
      <c r="W4728" s="4">
        <v>0</v>
      </c>
    </row>
    <row r="4729" spans="1:23" x14ac:dyDescent="0.35">
      <c r="A4729">
        <v>4725</v>
      </c>
      <c r="B4729">
        <v>4726</v>
      </c>
      <c r="C4729">
        <v>146.06295349999999</v>
      </c>
      <c r="D4729">
        <v>-17.507503020000001</v>
      </c>
      <c r="F4729" t="str">
        <f>HYPERLINK("D:\Data From Lucan\2024\Johnstone\Frames_for_Analysis\4726_20240610_0008_L_0136.jpg","4726_20240610_0008_L_0136.jpg")</f>
        <v>4726_20240610_0008_L_0136.jpg</v>
      </c>
      <c r="G4729">
        <v>1</v>
      </c>
      <c r="I4729">
        <f t="shared" si="72"/>
        <v>1</v>
      </c>
      <c r="J4729" s="58">
        <v>1</v>
      </c>
      <c r="O4729">
        <v>1</v>
      </c>
      <c r="P4729" s="58">
        <v>0</v>
      </c>
      <c r="Q4729" s="58">
        <v>0</v>
      </c>
      <c r="R4729" s="58">
        <v>0</v>
      </c>
      <c r="S4729" s="58">
        <v>0</v>
      </c>
      <c r="T4729" s="58">
        <v>0</v>
      </c>
      <c r="U4729" s="58">
        <v>0</v>
      </c>
      <c r="V4729" s="58">
        <v>0</v>
      </c>
      <c r="W4729" s="4">
        <v>0</v>
      </c>
    </row>
    <row r="4730" spans="1:23" x14ac:dyDescent="0.35">
      <c r="A4730">
        <v>4726</v>
      </c>
      <c r="B4730">
        <v>4727</v>
      </c>
      <c r="C4730">
        <v>146.06304689999999</v>
      </c>
      <c r="D4730">
        <v>-17.507515819999998</v>
      </c>
      <c r="F4730" t="str">
        <f>HYPERLINK("D:\Data From Lucan\2024\Johnstone\Frames_for_Analysis\4727_20240610_0008_L_0141.jpg","4727_20240610_0008_L_0141.jpg")</f>
        <v>4727_20240610_0008_L_0141.jpg</v>
      </c>
      <c r="G4730">
        <v>1</v>
      </c>
      <c r="I4730">
        <f t="shared" si="72"/>
        <v>1</v>
      </c>
      <c r="J4730" s="58">
        <v>1</v>
      </c>
      <c r="O4730">
        <v>1</v>
      </c>
      <c r="P4730" s="58">
        <v>0</v>
      </c>
      <c r="Q4730" s="58">
        <v>0</v>
      </c>
      <c r="R4730" s="58">
        <v>0</v>
      </c>
      <c r="S4730" s="58">
        <v>0</v>
      </c>
      <c r="T4730" s="58">
        <v>0</v>
      </c>
      <c r="U4730" s="58">
        <v>0</v>
      </c>
      <c r="V4730" s="58">
        <v>0</v>
      </c>
      <c r="W4730" s="4">
        <v>0</v>
      </c>
    </row>
    <row r="4731" spans="1:23" x14ac:dyDescent="0.35">
      <c r="A4731">
        <v>4727</v>
      </c>
      <c r="B4731">
        <v>4728</v>
      </c>
      <c r="C4731">
        <v>146.0631401</v>
      </c>
      <c r="D4731">
        <v>-17.50751326</v>
      </c>
      <c r="F4731" t="str">
        <f>HYPERLINK("D:\Data From Lucan\2024\Johnstone\Frames_for_Analysis\4728_20240610_0008_L_0146.jpg","4728_20240610_0008_L_0146.jpg")</f>
        <v>4728_20240610_0008_L_0146.jpg</v>
      </c>
      <c r="G4731">
        <v>1</v>
      </c>
      <c r="I4731">
        <f t="shared" si="72"/>
        <v>1</v>
      </c>
      <c r="J4731" s="58">
        <v>1</v>
      </c>
      <c r="O4731">
        <v>1</v>
      </c>
      <c r="P4731" s="58">
        <v>0</v>
      </c>
      <c r="Q4731" s="58">
        <v>0</v>
      </c>
      <c r="R4731" s="58">
        <v>2</v>
      </c>
      <c r="S4731" s="58">
        <v>0</v>
      </c>
      <c r="T4731" s="58">
        <v>0</v>
      </c>
      <c r="U4731" s="58">
        <v>0</v>
      </c>
      <c r="V4731" s="58">
        <v>0</v>
      </c>
      <c r="W4731" s="4">
        <v>0</v>
      </c>
    </row>
    <row r="4732" spans="1:23" x14ac:dyDescent="0.35">
      <c r="A4732">
        <v>4728</v>
      </c>
      <c r="B4732">
        <v>4729</v>
      </c>
      <c r="C4732">
        <v>146.063233</v>
      </c>
      <c r="D4732">
        <v>-17.507497270000002</v>
      </c>
      <c r="F4732" t="str">
        <f>HYPERLINK("D:\Data From Lucan\2024\Johnstone\Frames_for_Analysis\4729_20240610_0008_L_0153.jpg","4729_20240610_0008_L_0153.jpg")</f>
        <v>4729_20240610_0008_L_0153.jpg</v>
      </c>
      <c r="G4732">
        <v>1</v>
      </c>
      <c r="I4732">
        <f t="shared" si="72"/>
        <v>1</v>
      </c>
      <c r="J4732" s="58">
        <v>1</v>
      </c>
      <c r="O4732">
        <v>1</v>
      </c>
      <c r="P4732" s="58">
        <v>0</v>
      </c>
      <c r="Q4732" s="58">
        <v>0</v>
      </c>
      <c r="R4732" s="58">
        <v>2</v>
      </c>
      <c r="S4732" s="58">
        <v>0</v>
      </c>
      <c r="T4732" s="58">
        <v>0</v>
      </c>
      <c r="U4732" s="58">
        <v>0</v>
      </c>
      <c r="V4732" s="58">
        <v>0</v>
      </c>
      <c r="W4732" s="4">
        <v>0</v>
      </c>
    </row>
    <row r="4733" spans="1:23" x14ac:dyDescent="0.35">
      <c r="A4733">
        <v>4729</v>
      </c>
      <c r="B4733">
        <v>4730</v>
      </c>
      <c r="C4733">
        <v>146.06332599999999</v>
      </c>
      <c r="D4733">
        <v>-17.507484210000001</v>
      </c>
      <c r="F4733" t="str">
        <f>HYPERLINK("D:\Data From Lucan\2024\Johnstone\Frames_for_Analysis\4730_20240610_0008_L_0156.jpg","4730_20240610_0008_L_0156.jpg")</f>
        <v>4730_20240610_0008_L_0156.jpg</v>
      </c>
      <c r="G4733">
        <v>1</v>
      </c>
      <c r="I4733">
        <f t="shared" si="72"/>
        <v>1</v>
      </c>
      <c r="J4733" s="58">
        <v>1</v>
      </c>
      <c r="O4733">
        <v>1</v>
      </c>
      <c r="P4733" s="58">
        <v>0</v>
      </c>
      <c r="Q4733" s="58">
        <v>0</v>
      </c>
      <c r="R4733" s="58">
        <v>2</v>
      </c>
      <c r="S4733" s="58">
        <v>0</v>
      </c>
      <c r="T4733" s="58">
        <v>0</v>
      </c>
      <c r="U4733" s="58">
        <v>0</v>
      </c>
      <c r="V4733" s="58">
        <v>0</v>
      </c>
      <c r="W4733" s="4">
        <v>0</v>
      </c>
    </row>
    <row r="4734" spans="1:23" x14ac:dyDescent="0.35">
      <c r="A4734">
        <v>4730</v>
      </c>
      <c r="B4734">
        <v>4731</v>
      </c>
      <c r="C4734">
        <v>146.0634197</v>
      </c>
      <c r="D4734">
        <v>-17.50749506</v>
      </c>
      <c r="F4734" t="str">
        <f>HYPERLINK("D:\Data From Lucan\2024\Johnstone\Frames_for_Analysis\4731_20240610_0008_L_0161.jpg","4731_20240610_0008_L_0161.jpg")</f>
        <v>4731_20240610_0008_L_0161.jpg</v>
      </c>
      <c r="G4734">
        <v>1</v>
      </c>
      <c r="I4734">
        <f t="shared" si="72"/>
        <v>1</v>
      </c>
      <c r="J4734" s="58">
        <v>1</v>
      </c>
      <c r="O4734">
        <v>1</v>
      </c>
      <c r="P4734" s="58">
        <v>0</v>
      </c>
      <c r="Q4734" s="58">
        <v>0</v>
      </c>
      <c r="R4734" s="58">
        <v>0</v>
      </c>
      <c r="S4734" s="58">
        <v>0</v>
      </c>
      <c r="T4734" s="58">
        <v>0</v>
      </c>
      <c r="U4734" s="58">
        <v>0</v>
      </c>
      <c r="V4734" s="58">
        <v>0</v>
      </c>
      <c r="W4734" s="4">
        <v>0</v>
      </c>
    </row>
    <row r="4735" spans="1:23" x14ac:dyDescent="0.35">
      <c r="A4735">
        <v>4731</v>
      </c>
      <c r="B4735">
        <v>4732</v>
      </c>
      <c r="C4735">
        <v>146.06351340000001</v>
      </c>
      <c r="D4735">
        <v>-17.50750592</v>
      </c>
      <c r="F4735" t="str">
        <f>HYPERLINK("D:\Data From Lucan\2024\Johnstone\Frames_for_Analysis\4732_20240610_0008_L_0168.jpg","4732_20240610_0008_L_0168.jpg")</f>
        <v>4732_20240610_0008_L_0168.jpg</v>
      </c>
      <c r="G4735">
        <v>1</v>
      </c>
      <c r="I4735">
        <f t="shared" si="72"/>
        <v>1</v>
      </c>
      <c r="J4735" s="58">
        <v>1</v>
      </c>
      <c r="O4735">
        <v>1</v>
      </c>
      <c r="P4735" s="58">
        <v>0</v>
      </c>
      <c r="Q4735" s="58">
        <v>0</v>
      </c>
      <c r="R4735" s="58">
        <v>0</v>
      </c>
      <c r="S4735" s="58">
        <v>0</v>
      </c>
      <c r="T4735" s="58">
        <v>0</v>
      </c>
      <c r="U4735" s="58">
        <v>0</v>
      </c>
      <c r="V4735" s="58">
        <v>0</v>
      </c>
      <c r="W4735" s="4">
        <v>0</v>
      </c>
    </row>
    <row r="4736" spans="1:23" x14ac:dyDescent="0.35">
      <c r="A4736">
        <v>4732</v>
      </c>
      <c r="B4736">
        <v>4733</v>
      </c>
      <c r="C4736">
        <v>146.0636064</v>
      </c>
      <c r="D4736">
        <v>-17.507520840000002</v>
      </c>
      <c r="F4736" t="str">
        <f>HYPERLINK("D:\Data From Lucan\2024\Johnstone\Frames_for_Analysis\4733_20240610_0008_L_0171.jpg","4733_20240610_0008_L_0171.jpg")</f>
        <v>4733_20240610_0008_L_0171.jpg</v>
      </c>
      <c r="G4736">
        <v>1</v>
      </c>
      <c r="I4736">
        <f t="shared" si="72"/>
        <v>1</v>
      </c>
      <c r="J4736" s="58">
        <v>1</v>
      </c>
      <c r="O4736">
        <v>1</v>
      </c>
      <c r="P4736" s="58">
        <v>0</v>
      </c>
      <c r="Q4736" s="58">
        <v>0</v>
      </c>
      <c r="R4736" s="58">
        <v>0</v>
      </c>
      <c r="S4736" s="58">
        <v>0</v>
      </c>
      <c r="T4736" s="58">
        <v>0</v>
      </c>
      <c r="U4736" s="58">
        <v>0</v>
      </c>
      <c r="V4736" s="58">
        <v>0</v>
      </c>
      <c r="W4736" s="4">
        <v>0</v>
      </c>
    </row>
    <row r="4737" spans="1:23" x14ac:dyDescent="0.35">
      <c r="A4737">
        <v>4733</v>
      </c>
      <c r="B4737">
        <v>4734</v>
      </c>
      <c r="C4737">
        <v>146.0636992</v>
      </c>
      <c r="D4737">
        <v>-17.507537689999999</v>
      </c>
      <c r="F4737" t="str">
        <f>HYPERLINK("D:\Data From Lucan\2024\Johnstone\Frames_for_Analysis\4734_20240610_0008_L_0176.jpg","4734_20240610_0008_L_0176.jpg")</f>
        <v>4734_20240610_0008_L_0176.jpg</v>
      </c>
      <c r="G4737">
        <v>1</v>
      </c>
      <c r="I4737">
        <f t="shared" si="72"/>
        <v>1</v>
      </c>
      <c r="J4737" s="58">
        <v>1</v>
      </c>
      <c r="O4737">
        <v>1</v>
      </c>
      <c r="P4737" s="58">
        <v>0</v>
      </c>
      <c r="Q4737" s="58">
        <v>0</v>
      </c>
      <c r="R4737" s="58">
        <v>0</v>
      </c>
      <c r="S4737" s="58">
        <v>0</v>
      </c>
      <c r="T4737" s="58">
        <v>0</v>
      </c>
      <c r="U4737" s="58">
        <v>0</v>
      </c>
      <c r="V4737" s="58">
        <v>0</v>
      </c>
      <c r="W4737" s="4">
        <v>0</v>
      </c>
    </row>
    <row r="4738" spans="1:23" x14ac:dyDescent="0.35">
      <c r="A4738">
        <v>4734</v>
      </c>
      <c r="B4738">
        <v>4735</v>
      </c>
      <c r="C4738">
        <v>146.06379229999999</v>
      </c>
      <c r="D4738">
        <v>-17.507552449999999</v>
      </c>
      <c r="F4738" t="str">
        <f>HYPERLINK("D:\Data From Lucan\2024\Johnstone\Frames_for_Analysis\4735_20240610_0008_L_0180.jpg","4735_20240610_0008_L_0180.jpg")</f>
        <v>4735_20240610_0008_L_0180.jpg</v>
      </c>
      <c r="G4738">
        <v>1</v>
      </c>
      <c r="I4738">
        <f t="shared" si="72"/>
        <v>1</v>
      </c>
      <c r="J4738" s="58">
        <v>1</v>
      </c>
      <c r="O4738">
        <v>1</v>
      </c>
      <c r="P4738" s="58">
        <v>0</v>
      </c>
      <c r="Q4738" s="58">
        <v>0</v>
      </c>
      <c r="R4738" s="58">
        <v>0</v>
      </c>
      <c r="S4738" s="58">
        <v>0</v>
      </c>
      <c r="T4738" s="58">
        <v>0</v>
      </c>
      <c r="U4738" s="58">
        <v>0</v>
      </c>
      <c r="V4738" s="58">
        <v>0</v>
      </c>
      <c r="W4738" s="4">
        <v>0</v>
      </c>
    </row>
    <row r="4739" spans="1:23" x14ac:dyDescent="0.35">
      <c r="A4739">
        <v>4735</v>
      </c>
      <c r="B4739">
        <v>4736</v>
      </c>
      <c r="C4739">
        <v>146.063886</v>
      </c>
      <c r="D4739">
        <v>-17.507563350000002</v>
      </c>
      <c r="F4739" t="str">
        <f>HYPERLINK("D:\Data From Lucan\2024\Johnstone\Frames_for_Analysis\4736_20240610_0008_L_0184.jpg","4736_20240610_0008_L_0184.jpg")</f>
        <v>4736_20240610_0008_L_0184.jpg</v>
      </c>
      <c r="G4739">
        <v>1</v>
      </c>
      <c r="I4739">
        <f t="shared" si="72"/>
        <v>1</v>
      </c>
      <c r="J4739" s="58">
        <v>1</v>
      </c>
      <c r="O4739">
        <v>1</v>
      </c>
      <c r="P4739" s="58">
        <v>0</v>
      </c>
      <c r="Q4739" s="58">
        <v>0</v>
      </c>
      <c r="R4739" s="58">
        <v>0</v>
      </c>
      <c r="S4739" s="58">
        <v>0</v>
      </c>
      <c r="T4739" s="58">
        <v>0</v>
      </c>
      <c r="U4739" s="58">
        <v>0</v>
      </c>
      <c r="V4739" s="58">
        <v>0</v>
      </c>
      <c r="W4739" s="4">
        <v>0</v>
      </c>
    </row>
    <row r="4740" spans="1:23" x14ac:dyDescent="0.35">
      <c r="A4740">
        <v>4736</v>
      </c>
      <c r="B4740">
        <v>4737</v>
      </c>
      <c r="C4740">
        <v>146.0639797</v>
      </c>
      <c r="D4740">
        <v>-17.507574250000001</v>
      </c>
      <c r="F4740" t="str">
        <f>HYPERLINK("D:\Data From Lucan\2024\Johnstone\Frames_for_Analysis\4737_20240610_0008_L_0186.jpg","4737_20240610_0008_L_0186.jpg")</f>
        <v>4737_20240610_0008_L_0186.jpg</v>
      </c>
      <c r="G4740">
        <v>1</v>
      </c>
      <c r="I4740">
        <f t="shared" si="72"/>
        <v>1</v>
      </c>
      <c r="J4740" s="58">
        <v>1</v>
      </c>
      <c r="O4740">
        <v>1</v>
      </c>
      <c r="P4740" s="58">
        <v>0</v>
      </c>
      <c r="Q4740" s="58">
        <v>0</v>
      </c>
      <c r="R4740" s="58">
        <v>0</v>
      </c>
      <c r="S4740" s="58">
        <v>0</v>
      </c>
      <c r="T4740" s="58">
        <v>0</v>
      </c>
      <c r="U4740" s="58">
        <v>0</v>
      </c>
      <c r="V4740" s="58">
        <v>0</v>
      </c>
      <c r="W4740" s="4">
        <v>0</v>
      </c>
    </row>
    <row r="4741" spans="1:23" x14ac:dyDescent="0.35">
      <c r="A4741">
        <v>4737</v>
      </c>
      <c r="B4741">
        <v>4738</v>
      </c>
      <c r="C4741">
        <v>146.0640712</v>
      </c>
      <c r="D4741">
        <v>-17.507596119999999</v>
      </c>
      <c r="F4741" t="str">
        <f>HYPERLINK("D:\Data From Lucan\2024\Johnstone\Frames_for_Analysis\4738_20240610_0008_L_0191.jpg","4738_20240610_0008_L_0191.jpg")</f>
        <v>4738_20240610_0008_L_0191.jpg</v>
      </c>
      <c r="G4741">
        <v>1</v>
      </c>
      <c r="I4741">
        <f t="shared" ref="I4741:I4804" si="73">IF(H4741="X","X",IF(J4741="NA","X",IF(J4741="","X",J4741)))</f>
        <v>0</v>
      </c>
      <c r="J4741" s="58">
        <v>0</v>
      </c>
      <c r="O4741">
        <v>1</v>
      </c>
      <c r="P4741" s="58">
        <v>0</v>
      </c>
      <c r="Q4741" s="58">
        <v>0</v>
      </c>
      <c r="R4741" s="58">
        <v>0</v>
      </c>
      <c r="S4741" s="58">
        <v>0</v>
      </c>
      <c r="T4741" s="58">
        <v>0</v>
      </c>
      <c r="U4741" s="58">
        <v>0</v>
      </c>
      <c r="V4741" s="58">
        <v>0</v>
      </c>
      <c r="W4741" s="4">
        <v>0</v>
      </c>
    </row>
    <row r="4742" spans="1:23" x14ac:dyDescent="0.35">
      <c r="A4742">
        <v>4738</v>
      </c>
      <c r="B4742">
        <v>4739</v>
      </c>
      <c r="C4742">
        <v>146.06416189999999</v>
      </c>
      <c r="D4742">
        <v>-17.507621790000002</v>
      </c>
      <c r="F4742" t="str">
        <f>HYPERLINK("D:\Data From Lucan\2024\Johnstone\Frames_for_Analysis\4739_20240610_0008_L_0195.jpg","4739_20240610_0008_L_0195.jpg")</f>
        <v>4739_20240610_0008_L_0195.jpg</v>
      </c>
      <c r="G4742">
        <v>1</v>
      </c>
      <c r="I4742">
        <f t="shared" si="73"/>
        <v>0</v>
      </c>
      <c r="J4742" s="58">
        <v>0</v>
      </c>
      <c r="O4742">
        <v>1</v>
      </c>
      <c r="P4742" s="58">
        <v>0</v>
      </c>
      <c r="Q4742" s="58">
        <v>0</v>
      </c>
      <c r="R4742" s="58">
        <v>0</v>
      </c>
      <c r="S4742" s="58">
        <v>1</v>
      </c>
      <c r="T4742" s="58">
        <v>0</v>
      </c>
      <c r="U4742" s="58">
        <v>0</v>
      </c>
      <c r="V4742" s="58">
        <v>0</v>
      </c>
      <c r="W4742" s="4">
        <v>0</v>
      </c>
    </row>
    <row r="4743" spans="1:23" x14ac:dyDescent="0.35">
      <c r="A4743">
        <v>4739</v>
      </c>
      <c r="B4743">
        <v>4740</v>
      </c>
      <c r="C4743">
        <v>146.0642507</v>
      </c>
      <c r="D4743">
        <v>-17.507652700000001</v>
      </c>
      <c r="F4743" t="str">
        <f>HYPERLINK("D:\Data From Lucan\2024\Johnstone\Frames_for_Analysis\4740_20240610_0008_L_0197.jpg","4740_20240610_0008_L_0197.jpg")</f>
        <v>4740_20240610_0008_L_0197.jpg</v>
      </c>
      <c r="G4743">
        <v>1</v>
      </c>
      <c r="I4743">
        <v>0</v>
      </c>
      <c r="J4743" s="58">
        <v>2</v>
      </c>
      <c r="O4743">
        <v>1</v>
      </c>
      <c r="P4743" s="58">
        <v>0</v>
      </c>
      <c r="Q4743" s="58">
        <v>0</v>
      </c>
      <c r="R4743" s="58">
        <v>0</v>
      </c>
      <c r="S4743" s="58">
        <v>0</v>
      </c>
      <c r="T4743" s="58">
        <v>0</v>
      </c>
      <c r="U4743" s="58">
        <v>0</v>
      </c>
      <c r="V4743" s="58">
        <v>0</v>
      </c>
      <c r="W4743" s="4">
        <v>0</v>
      </c>
    </row>
    <row r="4744" spans="1:23" x14ac:dyDescent="0.35">
      <c r="A4744">
        <v>4740</v>
      </c>
      <c r="B4744">
        <v>4741</v>
      </c>
      <c r="C4744">
        <v>146.06433609999999</v>
      </c>
      <c r="D4744">
        <v>-17.50769275</v>
      </c>
      <c r="F4744" t="str">
        <f>HYPERLINK("D:\Data From Lucan\2024\Johnstone\Frames_for_Analysis\4741_20240610_0008_L_0203.jpg","4741_20240610_0008_L_0203.jpg")</f>
        <v>4741_20240610_0008_L_0203.jpg</v>
      </c>
      <c r="G4744">
        <v>1</v>
      </c>
      <c r="I4744">
        <f t="shared" si="73"/>
        <v>0</v>
      </c>
      <c r="J4744" s="58">
        <v>0</v>
      </c>
      <c r="O4744">
        <v>1</v>
      </c>
      <c r="P4744" s="58">
        <v>0</v>
      </c>
      <c r="Q4744" s="58">
        <v>0</v>
      </c>
      <c r="R4744" s="58">
        <v>0</v>
      </c>
      <c r="S4744" s="58">
        <v>0</v>
      </c>
      <c r="T4744" s="58">
        <v>0</v>
      </c>
      <c r="U4744" s="58">
        <v>0</v>
      </c>
      <c r="V4744" s="58">
        <v>0</v>
      </c>
      <c r="W4744" s="4">
        <v>0</v>
      </c>
    </row>
    <row r="4745" spans="1:23" x14ac:dyDescent="0.35">
      <c r="A4745">
        <v>4741</v>
      </c>
      <c r="B4745">
        <v>4742</v>
      </c>
      <c r="C4745">
        <v>146.0644235</v>
      </c>
      <c r="D4745">
        <v>-17.507727500000001</v>
      </c>
      <c r="F4745" t="str">
        <f>HYPERLINK("D:\Data From Lucan\2024\Johnstone\Frames_for_Analysis\4742_20240610_0008_L_0207.jpg","4742_20240610_0008_L_0207.jpg")</f>
        <v>4742_20240610_0008_L_0207.jpg</v>
      </c>
      <c r="G4745">
        <v>1</v>
      </c>
      <c r="I4745">
        <f t="shared" si="73"/>
        <v>0</v>
      </c>
      <c r="J4745" s="58">
        <v>0</v>
      </c>
      <c r="O4745">
        <v>1</v>
      </c>
      <c r="P4745" s="58">
        <v>0</v>
      </c>
      <c r="Q4745" s="58">
        <v>0</v>
      </c>
      <c r="R4745" s="58">
        <v>0</v>
      </c>
      <c r="S4745" s="58">
        <v>0</v>
      </c>
      <c r="T4745" s="58">
        <v>0</v>
      </c>
      <c r="U4745" s="58">
        <v>0</v>
      </c>
      <c r="V4745" s="58">
        <v>0</v>
      </c>
      <c r="W4745" s="4">
        <v>0</v>
      </c>
    </row>
    <row r="4746" spans="1:23" x14ac:dyDescent="0.35">
      <c r="A4746">
        <v>4742</v>
      </c>
      <c r="B4746">
        <v>4743</v>
      </c>
      <c r="C4746">
        <v>146.06451379999999</v>
      </c>
      <c r="D4746">
        <v>-17.507753489999999</v>
      </c>
      <c r="F4746" t="str">
        <f>HYPERLINK("D:\Data From Lucan\2024\Johnstone\Frames_for_Analysis\4743_20240610_0008_L_0210.jpg","4743_20240610_0008_L_0210.jpg")</f>
        <v>4743_20240610_0008_L_0210.jpg</v>
      </c>
      <c r="G4746">
        <v>1</v>
      </c>
      <c r="I4746">
        <f t="shared" si="73"/>
        <v>0</v>
      </c>
      <c r="J4746" s="58">
        <v>0</v>
      </c>
      <c r="O4746">
        <v>1</v>
      </c>
      <c r="P4746" s="58">
        <v>0</v>
      </c>
      <c r="Q4746" s="58">
        <v>0</v>
      </c>
      <c r="R4746" s="58">
        <v>0</v>
      </c>
      <c r="S4746" s="58">
        <v>0</v>
      </c>
      <c r="T4746" s="58">
        <v>0</v>
      </c>
      <c r="U4746" s="58">
        <v>0</v>
      </c>
      <c r="V4746" s="58">
        <v>0</v>
      </c>
      <c r="W4746" s="4">
        <v>0</v>
      </c>
    </row>
    <row r="4747" spans="1:23" x14ac:dyDescent="0.35">
      <c r="A4747">
        <v>4743</v>
      </c>
      <c r="B4747">
        <v>4744</v>
      </c>
      <c r="C4747">
        <v>146.06460749999999</v>
      </c>
      <c r="D4747">
        <v>-17.507743560000002</v>
      </c>
      <c r="F4747" t="str">
        <f>HYPERLINK("D:\Data From Lucan\2024\Johnstone\Frames_for_Analysis\4744_20240610_0008_L_0215.jpg","4744_20240610_0008_L_0215.jpg")</f>
        <v>4744_20240610_0008_L_0215.jpg</v>
      </c>
      <c r="G4747">
        <v>1</v>
      </c>
      <c r="I4747">
        <f t="shared" si="73"/>
        <v>0</v>
      </c>
      <c r="J4747" s="58">
        <v>0</v>
      </c>
      <c r="O4747">
        <v>1</v>
      </c>
      <c r="P4747" s="58">
        <v>0</v>
      </c>
      <c r="Q4747" s="58">
        <v>0</v>
      </c>
      <c r="R4747" s="58">
        <v>0</v>
      </c>
      <c r="S4747" s="58">
        <v>0</v>
      </c>
      <c r="T4747" s="58">
        <v>0</v>
      </c>
      <c r="U4747" s="58">
        <v>0</v>
      </c>
      <c r="V4747" s="58">
        <v>0</v>
      </c>
      <c r="W4747" s="4">
        <v>0</v>
      </c>
    </row>
    <row r="4748" spans="1:23" x14ac:dyDescent="0.35">
      <c r="A4748">
        <v>4744</v>
      </c>
      <c r="B4748">
        <v>4745</v>
      </c>
      <c r="C4748">
        <v>146.06469820000001</v>
      </c>
      <c r="D4748">
        <v>-17.5077213</v>
      </c>
      <c r="F4748" t="str">
        <f>HYPERLINK("D:\Data From Lucan\2024\Johnstone\Frames_for_Analysis\4745_20240610_0008_L_0218.jpg","4745_20240610_0008_L_0218.jpg")</f>
        <v>4745_20240610_0008_L_0218.jpg</v>
      </c>
      <c r="G4748">
        <v>1</v>
      </c>
      <c r="I4748">
        <f t="shared" si="73"/>
        <v>0</v>
      </c>
      <c r="J4748" s="58">
        <v>0</v>
      </c>
      <c r="O4748">
        <v>1</v>
      </c>
      <c r="P4748" s="58">
        <v>0</v>
      </c>
      <c r="Q4748" s="58">
        <v>0</v>
      </c>
      <c r="R4748" s="58">
        <v>0</v>
      </c>
      <c r="S4748" s="58">
        <v>0</v>
      </c>
      <c r="T4748" s="58">
        <v>0</v>
      </c>
      <c r="U4748" s="58">
        <v>0</v>
      </c>
      <c r="V4748" s="58">
        <v>0</v>
      </c>
      <c r="W4748" s="4">
        <v>0</v>
      </c>
    </row>
    <row r="4749" spans="1:23" x14ac:dyDescent="0.35">
      <c r="A4749">
        <v>4745</v>
      </c>
      <c r="B4749">
        <v>4746</v>
      </c>
      <c r="C4749">
        <v>146.06478540000001</v>
      </c>
      <c r="D4749">
        <v>-17.507685410000001</v>
      </c>
      <c r="F4749" t="str">
        <f>HYPERLINK("D:\Data From Lucan\2024\Johnstone\Frames_for_Analysis\4746_20240610_0008_L_0222.jpg","4746_20240610_0008_L_0222.jpg")</f>
        <v>4746_20240610_0008_L_0222.jpg</v>
      </c>
      <c r="G4749">
        <v>1</v>
      </c>
      <c r="I4749">
        <f t="shared" si="73"/>
        <v>0</v>
      </c>
      <c r="J4749" s="58">
        <v>0</v>
      </c>
      <c r="O4749">
        <v>1</v>
      </c>
      <c r="P4749" s="58">
        <v>0</v>
      </c>
      <c r="Q4749" s="58">
        <v>0</v>
      </c>
      <c r="R4749" s="58">
        <v>0</v>
      </c>
      <c r="S4749" s="58">
        <v>0</v>
      </c>
      <c r="T4749" s="58">
        <v>0</v>
      </c>
      <c r="U4749" s="58">
        <v>0</v>
      </c>
      <c r="V4749" s="58">
        <v>0</v>
      </c>
      <c r="W4749" s="4">
        <v>0</v>
      </c>
    </row>
    <row r="4750" spans="1:23" x14ac:dyDescent="0.35">
      <c r="A4750">
        <v>4746</v>
      </c>
      <c r="B4750">
        <v>4747</v>
      </c>
      <c r="C4750">
        <v>146.06485649999999</v>
      </c>
      <c r="D4750">
        <v>-17.507623710000001</v>
      </c>
      <c r="G4750">
        <v>1</v>
      </c>
      <c r="H4750" t="s">
        <v>26</v>
      </c>
      <c r="I4750" t="str">
        <f t="shared" si="73"/>
        <v>X</v>
      </c>
      <c r="W4750" s="4"/>
    </row>
    <row r="4751" spans="1:23" x14ac:dyDescent="0.35">
      <c r="A4751">
        <v>4747</v>
      </c>
      <c r="B4751">
        <v>4748</v>
      </c>
      <c r="C4751">
        <v>146.0649272</v>
      </c>
      <c r="D4751">
        <v>-17.50756127</v>
      </c>
      <c r="G4751">
        <v>1</v>
      </c>
      <c r="H4751" t="s">
        <v>26</v>
      </c>
      <c r="I4751" t="str">
        <f t="shared" si="73"/>
        <v>X</v>
      </c>
      <c r="W4751" s="4"/>
    </row>
    <row r="4752" spans="1:23" x14ac:dyDescent="0.35">
      <c r="A4752">
        <v>4748</v>
      </c>
      <c r="B4752">
        <v>4749</v>
      </c>
      <c r="C4752">
        <v>146.06499790000001</v>
      </c>
      <c r="D4752">
        <v>-17.50749884</v>
      </c>
      <c r="G4752">
        <v>1</v>
      </c>
      <c r="H4752" t="s">
        <v>26</v>
      </c>
      <c r="I4752" t="str">
        <f t="shared" si="73"/>
        <v>X</v>
      </c>
      <c r="W4752" s="4"/>
    </row>
    <row r="4753" spans="1:23" x14ac:dyDescent="0.35">
      <c r="A4753">
        <v>4749</v>
      </c>
      <c r="B4753">
        <v>4750</v>
      </c>
      <c r="C4753">
        <v>146.06506859999999</v>
      </c>
      <c r="D4753">
        <v>-17.5074364</v>
      </c>
      <c r="G4753">
        <v>1</v>
      </c>
      <c r="H4753" t="s">
        <v>26</v>
      </c>
      <c r="I4753" t="str">
        <f t="shared" si="73"/>
        <v>X</v>
      </c>
      <c r="W4753" s="4"/>
    </row>
    <row r="4754" spans="1:23" x14ac:dyDescent="0.35">
      <c r="A4754">
        <v>4750</v>
      </c>
      <c r="B4754">
        <v>4751</v>
      </c>
      <c r="C4754">
        <v>146.0651421</v>
      </c>
      <c r="D4754">
        <v>-17.507377680000001</v>
      </c>
      <c r="G4754">
        <v>1</v>
      </c>
      <c r="H4754" t="s">
        <v>26</v>
      </c>
      <c r="I4754" t="str">
        <f t="shared" si="73"/>
        <v>X</v>
      </c>
      <c r="W4754" s="4"/>
    </row>
    <row r="4755" spans="1:23" x14ac:dyDescent="0.35">
      <c r="A4755">
        <v>4751</v>
      </c>
      <c r="B4755">
        <v>4752</v>
      </c>
      <c r="C4755">
        <v>146.0652206</v>
      </c>
      <c r="D4755">
        <v>-17.507325380000001</v>
      </c>
      <c r="G4755">
        <v>1</v>
      </c>
      <c r="H4755" t="s">
        <v>26</v>
      </c>
      <c r="I4755" t="str">
        <f t="shared" si="73"/>
        <v>X</v>
      </c>
      <c r="W4755" s="4"/>
    </row>
    <row r="4756" spans="1:23" x14ac:dyDescent="0.35">
      <c r="A4756">
        <v>4752</v>
      </c>
      <c r="B4756">
        <v>4753</v>
      </c>
      <c r="C4756">
        <v>146.06529900000001</v>
      </c>
      <c r="D4756">
        <v>-17.507273090000002</v>
      </c>
      <c r="G4756">
        <v>1</v>
      </c>
      <c r="H4756" t="s">
        <v>26</v>
      </c>
      <c r="I4756" t="str">
        <f t="shared" si="73"/>
        <v>X</v>
      </c>
      <c r="W4756" s="4"/>
    </row>
    <row r="4757" spans="1:23" x14ac:dyDescent="0.35">
      <c r="A4757">
        <v>4753</v>
      </c>
      <c r="B4757">
        <v>4754</v>
      </c>
      <c r="C4757">
        <v>146.06537750000001</v>
      </c>
      <c r="D4757">
        <v>-17.507220799999999</v>
      </c>
      <c r="G4757">
        <v>1</v>
      </c>
      <c r="H4757" t="s">
        <v>26</v>
      </c>
      <c r="I4757" t="str">
        <f t="shared" si="73"/>
        <v>X</v>
      </c>
      <c r="W4757" s="4"/>
    </row>
    <row r="4758" spans="1:23" x14ac:dyDescent="0.35">
      <c r="A4758">
        <v>4754</v>
      </c>
      <c r="B4758">
        <v>4755</v>
      </c>
      <c r="C4758">
        <v>146.0654524</v>
      </c>
      <c r="D4758">
        <v>-17.507164410000001</v>
      </c>
      <c r="G4758">
        <v>1</v>
      </c>
      <c r="H4758" t="s">
        <v>26</v>
      </c>
      <c r="I4758" t="str">
        <f t="shared" si="73"/>
        <v>X</v>
      </c>
      <c r="W4758" s="4"/>
    </row>
    <row r="4759" spans="1:23" x14ac:dyDescent="0.35">
      <c r="A4759">
        <v>4755</v>
      </c>
      <c r="B4759">
        <v>4756</v>
      </c>
      <c r="C4759">
        <v>146.06551479999999</v>
      </c>
      <c r="D4759">
        <v>-17.507093680000001</v>
      </c>
      <c r="G4759">
        <v>1</v>
      </c>
      <c r="H4759" t="s">
        <v>26</v>
      </c>
      <c r="I4759" t="str">
        <f t="shared" si="73"/>
        <v>X</v>
      </c>
      <c r="W4759" s="4"/>
    </row>
    <row r="4760" spans="1:23" x14ac:dyDescent="0.35">
      <c r="A4760">
        <v>4756</v>
      </c>
      <c r="B4760">
        <v>4757</v>
      </c>
      <c r="C4760">
        <v>146.06557720000001</v>
      </c>
      <c r="D4760">
        <v>-17.50702295</v>
      </c>
      <c r="G4760">
        <v>1</v>
      </c>
      <c r="H4760" t="s">
        <v>26</v>
      </c>
      <c r="I4760" t="str">
        <f t="shared" si="73"/>
        <v>X</v>
      </c>
      <c r="W4760" s="4"/>
    </row>
    <row r="4761" spans="1:23" x14ac:dyDescent="0.35">
      <c r="A4761">
        <v>4757</v>
      </c>
      <c r="B4761">
        <v>4758</v>
      </c>
      <c r="C4761">
        <v>146.0656395</v>
      </c>
      <c r="D4761">
        <v>-17.50695223</v>
      </c>
      <c r="G4761">
        <v>1</v>
      </c>
      <c r="H4761" t="s">
        <v>26</v>
      </c>
      <c r="I4761" t="str">
        <f t="shared" si="73"/>
        <v>X</v>
      </c>
      <c r="W4761" s="4"/>
    </row>
    <row r="4762" spans="1:23" x14ac:dyDescent="0.35">
      <c r="A4762">
        <v>4758</v>
      </c>
      <c r="B4762">
        <v>4759</v>
      </c>
      <c r="C4762">
        <v>146.06570189999999</v>
      </c>
      <c r="D4762">
        <v>-17.506881499999999</v>
      </c>
      <c r="G4762">
        <v>1</v>
      </c>
      <c r="H4762" t="s">
        <v>26</v>
      </c>
      <c r="I4762" t="str">
        <f t="shared" si="73"/>
        <v>X</v>
      </c>
      <c r="W4762" s="4"/>
    </row>
    <row r="4763" spans="1:23" x14ac:dyDescent="0.35">
      <c r="A4763">
        <v>4759</v>
      </c>
      <c r="B4763">
        <v>4760</v>
      </c>
      <c r="C4763">
        <v>146.06576430000001</v>
      </c>
      <c r="D4763">
        <v>-17.506810770000001</v>
      </c>
      <c r="G4763">
        <v>1</v>
      </c>
      <c r="H4763" t="s">
        <v>26</v>
      </c>
      <c r="I4763" t="str">
        <f t="shared" si="73"/>
        <v>X</v>
      </c>
      <c r="W4763" s="4"/>
    </row>
    <row r="4764" spans="1:23" x14ac:dyDescent="0.35">
      <c r="A4764">
        <v>4760</v>
      </c>
      <c r="B4764">
        <v>4761</v>
      </c>
      <c r="C4764">
        <v>146.06582370000001</v>
      </c>
      <c r="D4764">
        <v>-17.506737619999999</v>
      </c>
      <c r="G4764">
        <v>1</v>
      </c>
      <c r="H4764" t="s">
        <v>26</v>
      </c>
      <c r="I4764" t="str">
        <f t="shared" si="73"/>
        <v>X</v>
      </c>
      <c r="W4764" s="4"/>
    </row>
    <row r="4765" spans="1:23" x14ac:dyDescent="0.35">
      <c r="A4765">
        <v>4761</v>
      </c>
      <c r="B4765">
        <v>4762</v>
      </c>
      <c r="C4765">
        <v>146.06588060000001</v>
      </c>
      <c r="D4765">
        <v>-17.5066624</v>
      </c>
      <c r="G4765">
        <v>1</v>
      </c>
      <c r="H4765" t="s">
        <v>26</v>
      </c>
      <c r="I4765" t="str">
        <f t="shared" si="73"/>
        <v>X</v>
      </c>
      <c r="W4765" s="4"/>
    </row>
    <row r="4766" spans="1:23" x14ac:dyDescent="0.35">
      <c r="A4766">
        <v>4762</v>
      </c>
      <c r="B4766">
        <v>4763</v>
      </c>
      <c r="C4766">
        <v>146.06593749999999</v>
      </c>
      <c r="D4766">
        <v>-17.50658717</v>
      </c>
      <c r="G4766">
        <v>1</v>
      </c>
      <c r="H4766" t="s">
        <v>26</v>
      </c>
      <c r="I4766" t="str">
        <f t="shared" si="73"/>
        <v>X</v>
      </c>
      <c r="W4766" s="4"/>
    </row>
    <row r="4767" spans="1:23" x14ac:dyDescent="0.35">
      <c r="A4767">
        <v>4763</v>
      </c>
      <c r="B4767">
        <v>4764</v>
      </c>
      <c r="C4767">
        <v>146.0659943</v>
      </c>
      <c r="D4767">
        <v>-17.506511939999999</v>
      </c>
      <c r="G4767">
        <v>1</v>
      </c>
      <c r="H4767" t="s">
        <v>26</v>
      </c>
      <c r="I4767" t="str">
        <f t="shared" si="73"/>
        <v>X</v>
      </c>
      <c r="W4767" s="4"/>
    </row>
    <row r="4768" spans="1:23" x14ac:dyDescent="0.35">
      <c r="A4768">
        <v>4764</v>
      </c>
      <c r="B4768">
        <v>4765</v>
      </c>
      <c r="C4768">
        <v>146.0660512</v>
      </c>
      <c r="D4768">
        <v>-17.50643672</v>
      </c>
      <c r="G4768">
        <v>1</v>
      </c>
      <c r="H4768" t="s">
        <v>26</v>
      </c>
      <c r="I4768" t="str">
        <f t="shared" si="73"/>
        <v>X</v>
      </c>
      <c r="W4768" s="4"/>
    </row>
    <row r="4769" spans="1:23" x14ac:dyDescent="0.35">
      <c r="A4769">
        <v>4765</v>
      </c>
      <c r="B4769">
        <v>4766</v>
      </c>
      <c r="C4769">
        <v>146.06610810000001</v>
      </c>
      <c r="D4769">
        <v>-17.50636149</v>
      </c>
      <c r="G4769">
        <v>1</v>
      </c>
      <c r="H4769" t="s">
        <v>26</v>
      </c>
      <c r="I4769" t="str">
        <f t="shared" si="73"/>
        <v>X</v>
      </c>
      <c r="W4769" s="4"/>
    </row>
    <row r="4770" spans="1:23" x14ac:dyDescent="0.35">
      <c r="A4770">
        <v>4766</v>
      </c>
      <c r="B4770">
        <v>4767</v>
      </c>
      <c r="C4770">
        <v>146.06616489999999</v>
      </c>
      <c r="D4770">
        <v>-17.50628627</v>
      </c>
      <c r="G4770">
        <v>1</v>
      </c>
      <c r="H4770" t="s">
        <v>26</v>
      </c>
      <c r="I4770" t="str">
        <f t="shared" si="73"/>
        <v>X</v>
      </c>
      <c r="W4770" s="4"/>
    </row>
    <row r="4771" spans="1:23" x14ac:dyDescent="0.35">
      <c r="A4771">
        <v>4767</v>
      </c>
      <c r="B4771">
        <v>4768</v>
      </c>
      <c r="C4771">
        <v>146.06622179999999</v>
      </c>
      <c r="D4771">
        <v>-17.50621104</v>
      </c>
      <c r="G4771">
        <v>1</v>
      </c>
      <c r="H4771" t="s">
        <v>26</v>
      </c>
      <c r="I4771" t="str">
        <f t="shared" si="73"/>
        <v>X</v>
      </c>
      <c r="W4771" s="4"/>
    </row>
    <row r="4772" spans="1:23" x14ac:dyDescent="0.35">
      <c r="A4772">
        <v>4768</v>
      </c>
      <c r="B4772">
        <v>4769</v>
      </c>
      <c r="C4772">
        <v>146.0662787</v>
      </c>
      <c r="D4772">
        <v>-17.506135820000001</v>
      </c>
      <c r="G4772">
        <v>1</v>
      </c>
      <c r="H4772" t="s">
        <v>26</v>
      </c>
      <c r="I4772" t="str">
        <f t="shared" si="73"/>
        <v>X</v>
      </c>
      <c r="W4772" s="4"/>
    </row>
    <row r="4773" spans="1:23" x14ac:dyDescent="0.35">
      <c r="A4773">
        <v>4769</v>
      </c>
      <c r="B4773">
        <v>4770</v>
      </c>
      <c r="C4773">
        <v>146.0663356</v>
      </c>
      <c r="D4773">
        <v>-17.506060590000001</v>
      </c>
      <c r="G4773">
        <v>1</v>
      </c>
      <c r="H4773" t="s">
        <v>26</v>
      </c>
      <c r="I4773" t="str">
        <f t="shared" si="73"/>
        <v>X</v>
      </c>
      <c r="W4773" s="4"/>
    </row>
    <row r="4774" spans="1:23" x14ac:dyDescent="0.35">
      <c r="A4774">
        <v>4770</v>
      </c>
      <c r="B4774">
        <v>4771</v>
      </c>
      <c r="C4774">
        <v>146.06639240000001</v>
      </c>
      <c r="D4774">
        <v>-17.505985370000001</v>
      </c>
      <c r="G4774">
        <v>1</v>
      </c>
      <c r="H4774" t="s">
        <v>26</v>
      </c>
      <c r="I4774" t="str">
        <f t="shared" si="73"/>
        <v>X</v>
      </c>
      <c r="W4774" s="4"/>
    </row>
    <row r="4775" spans="1:23" x14ac:dyDescent="0.35">
      <c r="A4775">
        <v>4771</v>
      </c>
      <c r="B4775">
        <v>4772</v>
      </c>
      <c r="C4775">
        <v>146.06644919999999</v>
      </c>
      <c r="D4775">
        <v>-17.505910069999999</v>
      </c>
      <c r="G4775">
        <v>1</v>
      </c>
      <c r="H4775" t="s">
        <v>26</v>
      </c>
      <c r="I4775" t="str">
        <f t="shared" si="73"/>
        <v>X</v>
      </c>
      <c r="W4775" s="4"/>
    </row>
    <row r="4776" spans="1:23" x14ac:dyDescent="0.35">
      <c r="A4776">
        <v>4772</v>
      </c>
      <c r="B4776">
        <v>4773</v>
      </c>
      <c r="C4776">
        <v>146.06650569999999</v>
      </c>
      <c r="D4776">
        <v>-17.5058346</v>
      </c>
      <c r="G4776">
        <v>1</v>
      </c>
      <c r="H4776" t="s">
        <v>26</v>
      </c>
      <c r="I4776" t="str">
        <f t="shared" si="73"/>
        <v>X</v>
      </c>
      <c r="W4776" s="4"/>
    </row>
    <row r="4777" spans="1:23" x14ac:dyDescent="0.35">
      <c r="A4777">
        <v>4773</v>
      </c>
      <c r="B4777">
        <v>4774</v>
      </c>
      <c r="C4777">
        <v>146.06656229999999</v>
      </c>
      <c r="D4777">
        <v>-17.50575912</v>
      </c>
      <c r="G4777">
        <v>1</v>
      </c>
      <c r="H4777" t="s">
        <v>26</v>
      </c>
      <c r="I4777" t="str">
        <f t="shared" si="73"/>
        <v>X</v>
      </c>
      <c r="W4777" s="4"/>
    </row>
    <row r="4778" spans="1:23" x14ac:dyDescent="0.35">
      <c r="A4778">
        <v>4774</v>
      </c>
      <c r="B4778">
        <v>4775</v>
      </c>
      <c r="C4778">
        <v>146.06661879999999</v>
      </c>
      <c r="D4778">
        <v>-17.505683640000001</v>
      </c>
      <c r="G4778">
        <v>1</v>
      </c>
      <c r="H4778" t="s">
        <v>26</v>
      </c>
      <c r="I4778" t="str">
        <f t="shared" si="73"/>
        <v>X</v>
      </c>
      <c r="W4778" s="4"/>
    </row>
    <row r="4779" spans="1:23" x14ac:dyDescent="0.35">
      <c r="A4779">
        <v>4775</v>
      </c>
      <c r="B4779">
        <v>4776</v>
      </c>
      <c r="C4779">
        <v>146.06667529999999</v>
      </c>
      <c r="D4779">
        <v>-17.505608169999999</v>
      </c>
      <c r="G4779">
        <v>1</v>
      </c>
      <c r="H4779" t="s">
        <v>26</v>
      </c>
      <c r="I4779" t="str">
        <f t="shared" si="73"/>
        <v>X</v>
      </c>
      <c r="W4779" s="4"/>
    </row>
    <row r="4780" spans="1:23" x14ac:dyDescent="0.35">
      <c r="A4780">
        <v>4776</v>
      </c>
      <c r="B4780">
        <v>4777</v>
      </c>
      <c r="C4780">
        <v>146.06673190000001</v>
      </c>
      <c r="D4780">
        <v>-17.505532689999999</v>
      </c>
      <c r="G4780">
        <v>1</v>
      </c>
      <c r="H4780" t="s">
        <v>26</v>
      </c>
      <c r="I4780" t="str">
        <f t="shared" si="73"/>
        <v>X</v>
      </c>
      <c r="W4780" s="4"/>
    </row>
    <row r="4781" spans="1:23" x14ac:dyDescent="0.35">
      <c r="A4781">
        <v>4777</v>
      </c>
      <c r="B4781">
        <v>4778</v>
      </c>
      <c r="C4781">
        <v>146.06678840000001</v>
      </c>
      <c r="D4781">
        <v>-17.505457209999999</v>
      </c>
      <c r="G4781">
        <v>1</v>
      </c>
      <c r="H4781" t="s">
        <v>26</v>
      </c>
      <c r="I4781" t="str">
        <f t="shared" si="73"/>
        <v>X</v>
      </c>
      <c r="W4781" s="4"/>
    </row>
    <row r="4782" spans="1:23" x14ac:dyDescent="0.35">
      <c r="A4782">
        <v>4778</v>
      </c>
      <c r="B4782">
        <v>4779</v>
      </c>
      <c r="C4782">
        <v>146.06684709999999</v>
      </c>
      <c r="D4782">
        <v>-17.505383500000001</v>
      </c>
      <c r="G4782">
        <v>1</v>
      </c>
      <c r="H4782" t="s">
        <v>26</v>
      </c>
      <c r="I4782" t="str">
        <f t="shared" si="73"/>
        <v>X</v>
      </c>
      <c r="W4782" s="4"/>
    </row>
    <row r="4783" spans="1:23" x14ac:dyDescent="0.35">
      <c r="A4783">
        <v>4779</v>
      </c>
      <c r="B4783">
        <v>4780</v>
      </c>
      <c r="C4783">
        <v>146.06691119999999</v>
      </c>
      <c r="D4783">
        <v>-17.50531436</v>
      </c>
      <c r="G4783">
        <v>1</v>
      </c>
      <c r="H4783" t="s">
        <v>26</v>
      </c>
      <c r="I4783" t="str">
        <f t="shared" si="73"/>
        <v>X</v>
      </c>
      <c r="W4783" s="4"/>
    </row>
    <row r="4784" spans="1:23" x14ac:dyDescent="0.35">
      <c r="A4784">
        <v>4780</v>
      </c>
      <c r="B4784">
        <v>4781</v>
      </c>
      <c r="C4784">
        <v>146.0669753</v>
      </c>
      <c r="D4784">
        <v>-17.50524523</v>
      </c>
      <c r="G4784">
        <v>1</v>
      </c>
      <c r="H4784" t="s">
        <v>26</v>
      </c>
      <c r="I4784" t="str">
        <f t="shared" si="73"/>
        <v>X</v>
      </c>
      <c r="W4784" s="4"/>
    </row>
    <row r="4785" spans="1:23" x14ac:dyDescent="0.35">
      <c r="A4785">
        <v>4781</v>
      </c>
      <c r="B4785">
        <v>4782</v>
      </c>
      <c r="C4785">
        <v>146.06703949999999</v>
      </c>
      <c r="D4785">
        <v>-17.505176089999999</v>
      </c>
      <c r="G4785">
        <v>1</v>
      </c>
      <c r="H4785" t="s">
        <v>26</v>
      </c>
      <c r="I4785" t="str">
        <f t="shared" si="73"/>
        <v>X</v>
      </c>
      <c r="W4785" s="4"/>
    </row>
    <row r="4786" spans="1:23" x14ac:dyDescent="0.35">
      <c r="A4786">
        <v>4782</v>
      </c>
      <c r="B4786">
        <v>4783</v>
      </c>
      <c r="C4786">
        <v>146.0671036</v>
      </c>
      <c r="D4786">
        <v>-17.505106949999998</v>
      </c>
      <c r="G4786">
        <v>1</v>
      </c>
      <c r="H4786" t="s">
        <v>26</v>
      </c>
      <c r="I4786" t="str">
        <f t="shared" si="73"/>
        <v>X</v>
      </c>
      <c r="W4786" s="4"/>
    </row>
    <row r="4787" spans="1:23" x14ac:dyDescent="0.35">
      <c r="A4787">
        <v>4783</v>
      </c>
      <c r="B4787">
        <v>4784</v>
      </c>
      <c r="C4787">
        <v>146.0671677</v>
      </c>
      <c r="D4787">
        <v>-17.505037819999998</v>
      </c>
      <c r="G4787">
        <v>1</v>
      </c>
      <c r="H4787" t="s">
        <v>26</v>
      </c>
      <c r="I4787" t="str">
        <f t="shared" si="73"/>
        <v>X</v>
      </c>
      <c r="W4787" s="4"/>
    </row>
    <row r="4788" spans="1:23" x14ac:dyDescent="0.35">
      <c r="A4788">
        <v>4784</v>
      </c>
      <c r="B4788">
        <v>4785</v>
      </c>
      <c r="C4788">
        <v>146.0672319</v>
      </c>
      <c r="D4788">
        <v>-17.504968680000001</v>
      </c>
      <c r="G4788">
        <v>1</v>
      </c>
      <c r="H4788" t="s">
        <v>26</v>
      </c>
      <c r="I4788" t="str">
        <f t="shared" si="73"/>
        <v>X</v>
      </c>
      <c r="W4788" s="4"/>
    </row>
    <row r="4789" spans="1:23" x14ac:dyDescent="0.35">
      <c r="A4789">
        <v>4785</v>
      </c>
      <c r="B4789">
        <v>4786</v>
      </c>
      <c r="C4789">
        <v>146.067296</v>
      </c>
      <c r="D4789">
        <v>-17.50489954</v>
      </c>
      <c r="G4789">
        <v>1</v>
      </c>
      <c r="H4789" t="s">
        <v>26</v>
      </c>
      <c r="I4789" t="str">
        <f t="shared" si="73"/>
        <v>X</v>
      </c>
      <c r="W4789" s="4"/>
    </row>
    <row r="4790" spans="1:23" x14ac:dyDescent="0.35">
      <c r="A4790">
        <v>4786</v>
      </c>
      <c r="B4790">
        <v>4787</v>
      </c>
      <c r="C4790">
        <v>146.0673602</v>
      </c>
      <c r="D4790">
        <v>-17.504830399999999</v>
      </c>
      <c r="G4790">
        <v>1</v>
      </c>
      <c r="H4790" t="s">
        <v>26</v>
      </c>
      <c r="I4790" t="str">
        <f t="shared" si="73"/>
        <v>X</v>
      </c>
      <c r="W4790" s="4"/>
    </row>
    <row r="4791" spans="1:23" x14ac:dyDescent="0.35">
      <c r="A4791">
        <v>4787</v>
      </c>
      <c r="B4791">
        <v>4788</v>
      </c>
      <c r="C4791">
        <v>146.0674242</v>
      </c>
      <c r="D4791">
        <v>-17.50476123</v>
      </c>
      <c r="G4791">
        <v>1</v>
      </c>
      <c r="H4791" t="s">
        <v>26</v>
      </c>
      <c r="I4791" t="str">
        <f t="shared" si="73"/>
        <v>X</v>
      </c>
      <c r="W4791" s="4"/>
    </row>
    <row r="4792" spans="1:23" x14ac:dyDescent="0.35">
      <c r="A4792">
        <v>4788</v>
      </c>
      <c r="B4792">
        <v>4789</v>
      </c>
      <c r="C4792">
        <v>146.06748289999999</v>
      </c>
      <c r="D4792">
        <v>-17.504687359999998</v>
      </c>
      <c r="G4792">
        <v>1</v>
      </c>
      <c r="H4792" t="s">
        <v>26</v>
      </c>
      <c r="I4792" t="str">
        <f t="shared" si="73"/>
        <v>X</v>
      </c>
      <c r="W4792" s="4"/>
    </row>
    <row r="4793" spans="1:23" x14ac:dyDescent="0.35">
      <c r="A4793">
        <v>4789</v>
      </c>
      <c r="B4793">
        <v>4790</v>
      </c>
      <c r="C4793">
        <v>146.0675415</v>
      </c>
      <c r="D4793">
        <v>-17.504613490000001</v>
      </c>
      <c r="G4793">
        <v>1</v>
      </c>
      <c r="H4793" t="s">
        <v>26</v>
      </c>
      <c r="I4793" t="str">
        <f t="shared" si="73"/>
        <v>X</v>
      </c>
      <c r="W4793" s="4"/>
    </row>
    <row r="4794" spans="1:23" x14ac:dyDescent="0.35">
      <c r="A4794">
        <v>4790</v>
      </c>
      <c r="B4794">
        <v>4791</v>
      </c>
      <c r="C4794">
        <v>146.06760009999999</v>
      </c>
      <c r="D4794">
        <v>-17.50453963</v>
      </c>
      <c r="G4794">
        <v>1</v>
      </c>
      <c r="H4794" t="s">
        <v>26</v>
      </c>
      <c r="I4794" t="str">
        <f t="shared" si="73"/>
        <v>X</v>
      </c>
      <c r="W4794" s="4"/>
    </row>
    <row r="4795" spans="1:23" x14ac:dyDescent="0.35">
      <c r="A4795">
        <v>4791</v>
      </c>
      <c r="B4795">
        <v>4792</v>
      </c>
      <c r="C4795">
        <v>146.06765870000001</v>
      </c>
      <c r="D4795">
        <v>-17.504465759999999</v>
      </c>
      <c r="G4795">
        <v>1</v>
      </c>
      <c r="H4795" t="s">
        <v>26</v>
      </c>
      <c r="I4795" t="str">
        <f t="shared" si="73"/>
        <v>X</v>
      </c>
      <c r="W4795" s="4"/>
    </row>
    <row r="4796" spans="1:23" x14ac:dyDescent="0.35">
      <c r="A4796">
        <v>4792</v>
      </c>
      <c r="B4796">
        <v>4793</v>
      </c>
      <c r="C4796">
        <v>146.06771509999999</v>
      </c>
      <c r="D4796">
        <v>-17.50439033</v>
      </c>
      <c r="G4796">
        <v>1</v>
      </c>
      <c r="H4796" t="s">
        <v>26</v>
      </c>
      <c r="I4796" t="str">
        <f t="shared" si="73"/>
        <v>X</v>
      </c>
      <c r="W4796" s="4"/>
    </row>
    <row r="4797" spans="1:23" x14ac:dyDescent="0.35">
      <c r="A4797">
        <v>4793</v>
      </c>
      <c r="B4797">
        <v>4794</v>
      </c>
      <c r="C4797">
        <v>146.06776379999999</v>
      </c>
      <c r="D4797">
        <v>-17.504309549999999</v>
      </c>
      <c r="G4797">
        <v>1</v>
      </c>
      <c r="H4797" t="s">
        <v>26</v>
      </c>
      <c r="I4797" t="str">
        <f t="shared" si="73"/>
        <v>X</v>
      </c>
      <c r="W4797" s="4"/>
    </row>
    <row r="4798" spans="1:23" x14ac:dyDescent="0.35">
      <c r="A4798">
        <v>4794</v>
      </c>
      <c r="B4798">
        <v>4795</v>
      </c>
      <c r="C4798">
        <v>146.06781240000001</v>
      </c>
      <c r="D4798">
        <v>-17.504228770000001</v>
      </c>
      <c r="G4798">
        <v>1</v>
      </c>
      <c r="H4798" t="s">
        <v>26</v>
      </c>
      <c r="I4798" t="str">
        <f t="shared" si="73"/>
        <v>X</v>
      </c>
      <c r="W4798" s="4"/>
    </row>
    <row r="4799" spans="1:23" x14ac:dyDescent="0.35">
      <c r="A4799">
        <v>4795</v>
      </c>
      <c r="B4799">
        <v>4796</v>
      </c>
      <c r="C4799">
        <v>146.06786109999999</v>
      </c>
      <c r="D4799">
        <v>-17.50414799</v>
      </c>
      <c r="G4799">
        <v>1</v>
      </c>
      <c r="H4799" t="s">
        <v>26</v>
      </c>
      <c r="I4799" t="str">
        <f t="shared" si="73"/>
        <v>X</v>
      </c>
      <c r="W4799" s="4"/>
    </row>
    <row r="4800" spans="1:23" x14ac:dyDescent="0.35">
      <c r="A4800">
        <v>4796</v>
      </c>
      <c r="B4800">
        <v>4797</v>
      </c>
      <c r="C4800">
        <v>146.0679097</v>
      </c>
      <c r="D4800">
        <v>-17.504067200000001</v>
      </c>
      <c r="G4800">
        <v>1</v>
      </c>
      <c r="H4800" t="s">
        <v>26</v>
      </c>
      <c r="I4800" t="str">
        <f t="shared" si="73"/>
        <v>X</v>
      </c>
      <c r="W4800" s="4"/>
    </row>
    <row r="4801" spans="1:23" x14ac:dyDescent="0.35">
      <c r="A4801">
        <v>4797</v>
      </c>
      <c r="B4801">
        <v>4798</v>
      </c>
      <c r="C4801">
        <v>146.06795840000001</v>
      </c>
      <c r="D4801">
        <v>-17.50398642</v>
      </c>
      <c r="G4801">
        <v>1</v>
      </c>
      <c r="H4801" t="s">
        <v>26</v>
      </c>
      <c r="I4801" t="str">
        <f t="shared" si="73"/>
        <v>X</v>
      </c>
      <c r="W4801" s="4"/>
    </row>
    <row r="4802" spans="1:23" x14ac:dyDescent="0.35">
      <c r="A4802">
        <v>4798</v>
      </c>
      <c r="B4802">
        <v>4799</v>
      </c>
      <c r="C4802">
        <v>146.06800960000001</v>
      </c>
      <c r="D4802">
        <v>-17.503907250000001</v>
      </c>
      <c r="G4802">
        <v>1</v>
      </c>
      <c r="H4802" t="s">
        <v>26</v>
      </c>
      <c r="I4802" t="str">
        <f t="shared" si="73"/>
        <v>X</v>
      </c>
      <c r="W4802" s="4"/>
    </row>
    <row r="4803" spans="1:23" x14ac:dyDescent="0.35">
      <c r="A4803">
        <v>4799</v>
      </c>
      <c r="B4803">
        <v>4800</v>
      </c>
      <c r="C4803">
        <v>146.06806259999999</v>
      </c>
      <c r="D4803">
        <v>-17.5038293</v>
      </c>
      <c r="G4803">
        <v>1</v>
      </c>
      <c r="H4803" t="s">
        <v>26</v>
      </c>
      <c r="I4803" t="str">
        <f t="shared" si="73"/>
        <v>X</v>
      </c>
      <c r="W4803" s="4"/>
    </row>
    <row r="4804" spans="1:23" x14ac:dyDescent="0.35">
      <c r="A4804">
        <v>4800</v>
      </c>
      <c r="B4804">
        <v>4801</v>
      </c>
      <c r="C4804">
        <v>146.06811569999999</v>
      </c>
      <c r="D4804">
        <v>-17.503751350000002</v>
      </c>
      <c r="G4804">
        <v>1</v>
      </c>
      <c r="H4804" t="s">
        <v>26</v>
      </c>
      <c r="I4804" t="str">
        <f t="shared" si="73"/>
        <v>X</v>
      </c>
      <c r="W4804" s="4"/>
    </row>
    <row r="4805" spans="1:23" x14ac:dyDescent="0.35">
      <c r="A4805">
        <v>4801</v>
      </c>
      <c r="B4805">
        <v>4802</v>
      </c>
      <c r="C4805">
        <v>146.0681688</v>
      </c>
      <c r="D4805">
        <v>-17.5036734</v>
      </c>
      <c r="G4805">
        <v>1</v>
      </c>
      <c r="H4805" t="s">
        <v>26</v>
      </c>
      <c r="I4805" t="str">
        <f t="shared" ref="I4805:I4868" si="74">IF(H4805="X","X",IF(J4805="NA","X",IF(J4805="","X",J4805)))</f>
        <v>X</v>
      </c>
      <c r="W4805" s="4"/>
    </row>
    <row r="4806" spans="1:23" x14ac:dyDescent="0.35">
      <c r="A4806">
        <v>4802</v>
      </c>
      <c r="B4806">
        <v>4803</v>
      </c>
      <c r="C4806">
        <v>146.0682219</v>
      </c>
      <c r="D4806">
        <v>-17.503595449999999</v>
      </c>
      <c r="G4806">
        <v>1</v>
      </c>
      <c r="H4806" t="s">
        <v>26</v>
      </c>
      <c r="I4806" t="str">
        <f t="shared" si="74"/>
        <v>X</v>
      </c>
      <c r="W4806" s="4"/>
    </row>
    <row r="4807" spans="1:23" x14ac:dyDescent="0.35">
      <c r="A4807">
        <v>4803</v>
      </c>
      <c r="B4807">
        <v>4804</v>
      </c>
      <c r="C4807">
        <v>146.06827490000001</v>
      </c>
      <c r="D4807">
        <v>-17.50351749</v>
      </c>
      <c r="G4807">
        <v>1</v>
      </c>
      <c r="H4807" t="s">
        <v>26</v>
      </c>
      <c r="I4807" t="str">
        <f t="shared" si="74"/>
        <v>X</v>
      </c>
      <c r="W4807" s="4"/>
    </row>
    <row r="4808" spans="1:23" x14ac:dyDescent="0.35">
      <c r="A4808">
        <v>4804</v>
      </c>
      <c r="B4808">
        <v>4805</v>
      </c>
      <c r="C4808">
        <v>146.0683338</v>
      </c>
      <c r="D4808">
        <v>-17.503443860000001</v>
      </c>
      <c r="G4808">
        <v>1</v>
      </c>
      <c r="H4808" t="s">
        <v>26</v>
      </c>
      <c r="I4808" t="str">
        <f t="shared" si="74"/>
        <v>X</v>
      </c>
      <c r="W4808" s="4"/>
    </row>
    <row r="4809" spans="1:23" x14ac:dyDescent="0.35">
      <c r="A4809">
        <v>4805</v>
      </c>
      <c r="B4809">
        <v>4806</v>
      </c>
      <c r="C4809">
        <v>146.06839360000001</v>
      </c>
      <c r="D4809">
        <v>-17.503371000000001</v>
      </c>
      <c r="G4809">
        <v>1</v>
      </c>
      <c r="H4809" t="s">
        <v>26</v>
      </c>
      <c r="I4809" t="str">
        <f t="shared" si="74"/>
        <v>X</v>
      </c>
      <c r="W4809" s="4"/>
    </row>
    <row r="4810" spans="1:23" x14ac:dyDescent="0.35">
      <c r="A4810">
        <v>4806</v>
      </c>
      <c r="B4810">
        <v>4807</v>
      </c>
      <c r="C4810">
        <v>146.0684535</v>
      </c>
      <c r="D4810">
        <v>-17.503298130000001</v>
      </c>
      <c r="G4810">
        <v>1</v>
      </c>
      <c r="H4810" t="s">
        <v>26</v>
      </c>
      <c r="I4810" t="str">
        <f t="shared" si="74"/>
        <v>X</v>
      </c>
      <c r="W4810" s="4"/>
    </row>
    <row r="4811" spans="1:23" x14ac:dyDescent="0.35">
      <c r="A4811">
        <v>4807</v>
      </c>
      <c r="B4811">
        <v>4808</v>
      </c>
      <c r="C4811">
        <v>146.0685134</v>
      </c>
      <c r="D4811">
        <v>-17.503225270000002</v>
      </c>
      <c r="G4811">
        <v>1</v>
      </c>
      <c r="H4811" t="s">
        <v>26</v>
      </c>
      <c r="I4811" t="str">
        <f t="shared" si="74"/>
        <v>X</v>
      </c>
      <c r="W4811" s="4"/>
    </row>
    <row r="4812" spans="1:23" x14ac:dyDescent="0.35">
      <c r="A4812">
        <v>4808</v>
      </c>
      <c r="B4812">
        <v>4809</v>
      </c>
      <c r="C4812">
        <v>146.0685732</v>
      </c>
      <c r="D4812">
        <v>-17.503152409999998</v>
      </c>
      <c r="G4812">
        <v>1</v>
      </c>
      <c r="H4812" t="s">
        <v>26</v>
      </c>
      <c r="I4812" t="str">
        <f t="shared" si="74"/>
        <v>X</v>
      </c>
      <c r="W4812" s="4"/>
    </row>
    <row r="4813" spans="1:23" x14ac:dyDescent="0.35">
      <c r="A4813">
        <v>4809</v>
      </c>
      <c r="B4813">
        <v>4810</v>
      </c>
      <c r="C4813">
        <v>146.0686331</v>
      </c>
      <c r="D4813">
        <v>-17.503079540000002</v>
      </c>
      <c r="G4813">
        <v>1</v>
      </c>
      <c r="H4813" t="s">
        <v>26</v>
      </c>
      <c r="I4813" t="str">
        <f t="shared" si="74"/>
        <v>X</v>
      </c>
      <c r="W4813" s="4"/>
    </row>
    <row r="4814" spans="1:23" x14ac:dyDescent="0.35">
      <c r="A4814">
        <v>4810</v>
      </c>
      <c r="B4814">
        <v>4811</v>
      </c>
      <c r="C4814">
        <v>146.06869950000001</v>
      </c>
      <c r="D4814">
        <v>-17.50301275</v>
      </c>
      <c r="G4814">
        <v>1</v>
      </c>
      <c r="H4814" t="s">
        <v>26</v>
      </c>
      <c r="I4814" t="str">
        <f t="shared" si="74"/>
        <v>X</v>
      </c>
      <c r="W4814" s="4"/>
    </row>
    <row r="4815" spans="1:23" x14ac:dyDescent="0.35">
      <c r="A4815">
        <v>4811</v>
      </c>
      <c r="B4815">
        <v>4812</v>
      </c>
      <c r="C4815">
        <v>146.06876819999999</v>
      </c>
      <c r="D4815">
        <v>-17.50294817</v>
      </c>
      <c r="G4815">
        <v>1</v>
      </c>
      <c r="H4815" t="s">
        <v>26</v>
      </c>
      <c r="I4815" t="str">
        <f t="shared" si="74"/>
        <v>X</v>
      </c>
      <c r="W4815" s="4"/>
    </row>
    <row r="4816" spans="1:23" x14ac:dyDescent="0.35">
      <c r="A4816">
        <v>4812</v>
      </c>
      <c r="B4816">
        <v>4813</v>
      </c>
      <c r="C4816">
        <v>146.06883690000001</v>
      </c>
      <c r="D4816">
        <v>-17.502883600000001</v>
      </c>
      <c r="G4816">
        <v>1</v>
      </c>
      <c r="H4816" t="s">
        <v>26</v>
      </c>
      <c r="I4816" t="str">
        <f t="shared" si="74"/>
        <v>X</v>
      </c>
      <c r="W4816" s="4"/>
    </row>
    <row r="4817" spans="1:23" x14ac:dyDescent="0.35">
      <c r="A4817">
        <v>4813</v>
      </c>
      <c r="B4817">
        <v>4814</v>
      </c>
      <c r="C4817">
        <v>146.06890559999999</v>
      </c>
      <c r="D4817">
        <v>-17.50281902</v>
      </c>
      <c r="G4817">
        <v>1</v>
      </c>
      <c r="H4817" t="s">
        <v>26</v>
      </c>
      <c r="I4817" t="str">
        <f t="shared" si="74"/>
        <v>X</v>
      </c>
      <c r="W4817" s="4"/>
    </row>
    <row r="4818" spans="1:23" x14ac:dyDescent="0.35">
      <c r="A4818">
        <v>4814</v>
      </c>
      <c r="B4818">
        <v>4815</v>
      </c>
      <c r="C4818">
        <v>146.0689744</v>
      </c>
      <c r="D4818">
        <v>-17.50275444</v>
      </c>
      <c r="G4818">
        <v>1</v>
      </c>
      <c r="H4818" t="s">
        <v>26</v>
      </c>
      <c r="I4818" t="str">
        <f t="shared" si="74"/>
        <v>X</v>
      </c>
      <c r="W4818" s="4"/>
    </row>
    <row r="4819" spans="1:23" x14ac:dyDescent="0.35">
      <c r="A4819">
        <v>4815</v>
      </c>
      <c r="B4819">
        <v>4816</v>
      </c>
      <c r="C4819">
        <v>146.06904309999999</v>
      </c>
      <c r="D4819">
        <v>-17.502689870000001</v>
      </c>
      <c r="G4819">
        <v>1</v>
      </c>
      <c r="H4819" t="s">
        <v>26</v>
      </c>
      <c r="I4819" t="str">
        <f t="shared" si="74"/>
        <v>X</v>
      </c>
      <c r="W4819" s="4"/>
    </row>
    <row r="4820" spans="1:23" x14ac:dyDescent="0.35">
      <c r="A4820">
        <v>4816</v>
      </c>
      <c r="B4820">
        <v>4817</v>
      </c>
      <c r="C4820">
        <v>146.0691118</v>
      </c>
      <c r="D4820">
        <v>-17.502625290000001</v>
      </c>
      <c r="G4820">
        <v>1</v>
      </c>
      <c r="H4820" t="s">
        <v>26</v>
      </c>
      <c r="I4820" t="str">
        <f t="shared" si="74"/>
        <v>X</v>
      </c>
      <c r="W4820" s="4"/>
    </row>
    <row r="4821" spans="1:23" x14ac:dyDescent="0.35">
      <c r="A4821">
        <v>4817</v>
      </c>
      <c r="B4821">
        <v>4818</v>
      </c>
      <c r="C4821">
        <v>146.06918239999999</v>
      </c>
      <c r="D4821">
        <v>-17.502563030000001</v>
      </c>
      <c r="G4821">
        <v>1</v>
      </c>
      <c r="H4821" t="s">
        <v>26</v>
      </c>
      <c r="I4821" t="str">
        <f t="shared" si="74"/>
        <v>X</v>
      </c>
      <c r="W4821" s="4"/>
    </row>
    <row r="4822" spans="1:23" x14ac:dyDescent="0.35">
      <c r="A4822">
        <v>4818</v>
      </c>
      <c r="B4822">
        <v>4819</v>
      </c>
      <c r="C4822">
        <v>146.0692588</v>
      </c>
      <c r="D4822">
        <v>-17.50250767</v>
      </c>
      <c r="G4822">
        <v>1</v>
      </c>
      <c r="H4822" t="s">
        <v>26</v>
      </c>
      <c r="I4822" t="str">
        <f t="shared" si="74"/>
        <v>X</v>
      </c>
      <c r="W4822" s="4"/>
    </row>
    <row r="4823" spans="1:23" x14ac:dyDescent="0.35">
      <c r="A4823">
        <v>4819</v>
      </c>
      <c r="B4823">
        <v>4820</v>
      </c>
      <c r="C4823">
        <v>146.06933509999999</v>
      </c>
      <c r="D4823">
        <v>-17.502452309999999</v>
      </c>
      <c r="G4823">
        <v>1</v>
      </c>
      <c r="H4823" t="s">
        <v>26</v>
      </c>
      <c r="I4823" t="str">
        <f t="shared" si="74"/>
        <v>X</v>
      </c>
      <c r="W4823" s="4"/>
    </row>
    <row r="4824" spans="1:23" x14ac:dyDescent="0.35">
      <c r="A4824">
        <v>4820</v>
      </c>
      <c r="B4824">
        <v>4821</v>
      </c>
      <c r="C4824">
        <v>146.0694115</v>
      </c>
      <c r="D4824">
        <v>-17.502396950000001</v>
      </c>
      <c r="G4824">
        <v>1</v>
      </c>
      <c r="H4824" t="s">
        <v>26</v>
      </c>
      <c r="I4824" t="str">
        <f t="shared" si="74"/>
        <v>X</v>
      </c>
      <c r="W4824" s="4"/>
    </row>
    <row r="4825" spans="1:23" x14ac:dyDescent="0.35">
      <c r="A4825">
        <v>4821</v>
      </c>
      <c r="B4825">
        <v>4822</v>
      </c>
      <c r="C4825">
        <v>146.06948779999999</v>
      </c>
      <c r="D4825">
        <v>-17.50234159</v>
      </c>
      <c r="G4825">
        <v>1</v>
      </c>
      <c r="H4825" t="s">
        <v>26</v>
      </c>
      <c r="I4825" t="str">
        <f t="shared" si="74"/>
        <v>X</v>
      </c>
      <c r="W4825" s="4"/>
    </row>
    <row r="4826" spans="1:23" x14ac:dyDescent="0.35">
      <c r="A4826">
        <v>4822</v>
      </c>
      <c r="B4826">
        <v>4823</v>
      </c>
      <c r="C4826">
        <v>146.0695642</v>
      </c>
      <c r="D4826">
        <v>-17.502286229999999</v>
      </c>
      <c r="G4826">
        <v>1</v>
      </c>
      <c r="H4826" t="s">
        <v>26</v>
      </c>
      <c r="I4826" t="str">
        <f t="shared" si="74"/>
        <v>X</v>
      </c>
      <c r="W4826" s="4"/>
    </row>
    <row r="4827" spans="1:23" x14ac:dyDescent="0.35">
      <c r="A4827">
        <v>4823</v>
      </c>
      <c r="B4827">
        <v>4824</v>
      </c>
      <c r="C4827">
        <v>146.06964049999999</v>
      </c>
      <c r="D4827">
        <v>-17.502230860000001</v>
      </c>
      <c r="G4827">
        <v>1</v>
      </c>
      <c r="H4827" t="s">
        <v>26</v>
      </c>
      <c r="I4827" t="str">
        <f t="shared" si="74"/>
        <v>X</v>
      </c>
      <c r="W4827" s="4"/>
    </row>
    <row r="4828" spans="1:23" x14ac:dyDescent="0.35">
      <c r="A4828">
        <v>4824</v>
      </c>
      <c r="B4828">
        <v>4825</v>
      </c>
      <c r="C4828">
        <v>146.0697184</v>
      </c>
      <c r="D4828">
        <v>-17.50217786</v>
      </c>
      <c r="G4828">
        <v>1</v>
      </c>
      <c r="H4828" t="s">
        <v>26</v>
      </c>
      <c r="I4828" t="str">
        <f t="shared" si="74"/>
        <v>X</v>
      </c>
      <c r="W4828" s="4"/>
    </row>
    <row r="4829" spans="1:23" x14ac:dyDescent="0.35">
      <c r="A4829">
        <v>4825</v>
      </c>
      <c r="B4829">
        <v>4826</v>
      </c>
      <c r="C4829">
        <v>146.0697998</v>
      </c>
      <c r="D4829">
        <v>-17.502130340000001</v>
      </c>
      <c r="G4829">
        <v>1</v>
      </c>
      <c r="H4829" t="s">
        <v>26</v>
      </c>
      <c r="I4829" t="str">
        <f t="shared" si="74"/>
        <v>X</v>
      </c>
      <c r="W4829" s="4"/>
    </row>
    <row r="4830" spans="1:23" x14ac:dyDescent="0.35">
      <c r="A4830">
        <v>4826</v>
      </c>
      <c r="B4830">
        <v>4827</v>
      </c>
      <c r="C4830">
        <v>146.06988129999999</v>
      </c>
      <c r="D4830">
        <v>-17.502082819999998</v>
      </c>
      <c r="G4830">
        <v>1</v>
      </c>
      <c r="H4830" t="s">
        <v>26</v>
      </c>
      <c r="I4830" t="str">
        <f t="shared" si="74"/>
        <v>X</v>
      </c>
      <c r="W4830" s="4"/>
    </row>
    <row r="4831" spans="1:23" x14ac:dyDescent="0.35">
      <c r="A4831">
        <v>4827</v>
      </c>
      <c r="B4831">
        <v>4828</v>
      </c>
      <c r="C4831">
        <v>146.06996269999999</v>
      </c>
      <c r="D4831">
        <v>-17.502035299999999</v>
      </c>
      <c r="G4831">
        <v>1</v>
      </c>
      <c r="H4831" t="s">
        <v>26</v>
      </c>
      <c r="I4831" t="str">
        <f t="shared" si="74"/>
        <v>X</v>
      </c>
      <c r="W4831" s="4"/>
    </row>
    <row r="4832" spans="1:23" x14ac:dyDescent="0.35">
      <c r="A4832">
        <v>4828</v>
      </c>
      <c r="B4832">
        <v>4829</v>
      </c>
      <c r="C4832">
        <v>146.07004420000001</v>
      </c>
      <c r="D4832">
        <v>-17.50198778</v>
      </c>
      <c r="G4832">
        <v>1</v>
      </c>
      <c r="H4832" t="s">
        <v>26</v>
      </c>
      <c r="I4832" t="str">
        <f t="shared" si="74"/>
        <v>X</v>
      </c>
      <c r="W4832" s="4"/>
    </row>
    <row r="4833" spans="1:23" x14ac:dyDescent="0.35">
      <c r="A4833">
        <v>4829</v>
      </c>
      <c r="B4833">
        <v>4830</v>
      </c>
      <c r="C4833">
        <v>146.07012570000001</v>
      </c>
      <c r="D4833">
        <v>-17.501940260000001</v>
      </c>
      <c r="G4833">
        <v>1</v>
      </c>
      <c r="H4833" t="s">
        <v>26</v>
      </c>
      <c r="I4833" t="str">
        <f t="shared" si="74"/>
        <v>X</v>
      </c>
      <c r="W4833" s="4"/>
    </row>
    <row r="4834" spans="1:23" x14ac:dyDescent="0.35">
      <c r="A4834">
        <v>4830</v>
      </c>
      <c r="B4834">
        <v>4831</v>
      </c>
      <c r="C4834">
        <v>146.0702071</v>
      </c>
      <c r="D4834">
        <v>-17.501892739999999</v>
      </c>
      <c r="G4834">
        <v>1</v>
      </c>
      <c r="H4834" t="s">
        <v>26</v>
      </c>
      <c r="I4834" t="str">
        <f t="shared" si="74"/>
        <v>X</v>
      </c>
      <c r="W4834" s="4"/>
    </row>
    <row r="4835" spans="1:23" x14ac:dyDescent="0.35">
      <c r="A4835">
        <v>4831</v>
      </c>
      <c r="B4835">
        <v>4832</v>
      </c>
      <c r="C4835">
        <v>146.0702886</v>
      </c>
      <c r="D4835">
        <v>-17.50184522</v>
      </c>
      <c r="G4835">
        <v>1</v>
      </c>
      <c r="H4835" t="s">
        <v>26</v>
      </c>
      <c r="I4835" t="str">
        <f t="shared" si="74"/>
        <v>X</v>
      </c>
      <c r="W4835" s="4"/>
    </row>
    <row r="4836" spans="1:23" x14ac:dyDescent="0.35">
      <c r="A4836">
        <v>4832</v>
      </c>
      <c r="B4836">
        <v>4833</v>
      </c>
      <c r="C4836">
        <v>146.07037349999999</v>
      </c>
      <c r="D4836">
        <v>-17.501804499999999</v>
      </c>
      <c r="G4836">
        <v>1</v>
      </c>
      <c r="H4836" t="s">
        <v>26</v>
      </c>
      <c r="I4836" t="str">
        <f t="shared" si="74"/>
        <v>X</v>
      </c>
      <c r="W4836" s="4"/>
    </row>
    <row r="4837" spans="1:23" x14ac:dyDescent="0.35">
      <c r="A4837">
        <v>4833</v>
      </c>
      <c r="B4837">
        <v>4834</v>
      </c>
      <c r="C4837">
        <v>146.07046</v>
      </c>
      <c r="D4837">
        <v>-17.501767130000001</v>
      </c>
      <c r="G4837">
        <v>1</v>
      </c>
      <c r="H4837" t="s">
        <v>26</v>
      </c>
      <c r="I4837" t="str">
        <f t="shared" si="74"/>
        <v>X</v>
      </c>
      <c r="W4837" s="4"/>
    </row>
    <row r="4838" spans="1:23" x14ac:dyDescent="0.35">
      <c r="A4838">
        <v>4834</v>
      </c>
      <c r="B4838">
        <v>4835</v>
      </c>
      <c r="C4838">
        <v>146.0705466</v>
      </c>
      <c r="D4838">
        <v>-17.501729749999999</v>
      </c>
      <c r="G4838">
        <v>1</v>
      </c>
      <c r="H4838" t="s">
        <v>26</v>
      </c>
      <c r="I4838" t="str">
        <f t="shared" si="74"/>
        <v>X</v>
      </c>
      <c r="W4838" s="4"/>
    </row>
    <row r="4839" spans="1:23" x14ac:dyDescent="0.35">
      <c r="A4839">
        <v>4835</v>
      </c>
      <c r="B4839">
        <v>4836</v>
      </c>
      <c r="C4839">
        <v>146.0706332</v>
      </c>
      <c r="D4839">
        <v>-17.501692380000001</v>
      </c>
      <c r="G4839">
        <v>1</v>
      </c>
      <c r="H4839" t="s">
        <v>26</v>
      </c>
      <c r="I4839" t="str">
        <f t="shared" si="74"/>
        <v>X</v>
      </c>
      <c r="W4839" s="4"/>
    </row>
    <row r="4840" spans="1:23" x14ac:dyDescent="0.35">
      <c r="A4840">
        <v>4836</v>
      </c>
      <c r="B4840">
        <v>4837</v>
      </c>
      <c r="C4840">
        <v>146.07071980000001</v>
      </c>
      <c r="D4840">
        <v>-17.50165501</v>
      </c>
      <c r="G4840">
        <v>1</v>
      </c>
      <c r="H4840" t="s">
        <v>26</v>
      </c>
      <c r="I4840" t="str">
        <f t="shared" si="74"/>
        <v>X</v>
      </c>
      <c r="W4840" s="4"/>
    </row>
    <row r="4841" spans="1:23" x14ac:dyDescent="0.35">
      <c r="A4841">
        <v>4837</v>
      </c>
      <c r="B4841">
        <v>4838</v>
      </c>
      <c r="C4841">
        <v>146.07080590000001</v>
      </c>
      <c r="D4841">
        <v>-17.501616590000001</v>
      </c>
      <c r="G4841">
        <v>1</v>
      </c>
      <c r="H4841" t="s">
        <v>26</v>
      </c>
      <c r="I4841" t="str">
        <f t="shared" si="74"/>
        <v>X</v>
      </c>
      <c r="W4841" s="4"/>
    </row>
    <row r="4842" spans="1:23" x14ac:dyDescent="0.35">
      <c r="A4842">
        <v>4838</v>
      </c>
      <c r="B4842">
        <v>4839</v>
      </c>
      <c r="C4842">
        <v>146.07089149999999</v>
      </c>
      <c r="D4842">
        <v>-17.501576979999999</v>
      </c>
      <c r="G4842">
        <v>1</v>
      </c>
      <c r="H4842" t="s">
        <v>26</v>
      </c>
      <c r="I4842" t="str">
        <f t="shared" si="74"/>
        <v>X</v>
      </c>
      <c r="W4842" s="4"/>
    </row>
    <row r="4843" spans="1:23" x14ac:dyDescent="0.35">
      <c r="A4843">
        <v>4839</v>
      </c>
      <c r="B4843">
        <v>4840</v>
      </c>
      <c r="C4843">
        <v>146.07097709999999</v>
      </c>
      <c r="D4843">
        <v>-17.50153736</v>
      </c>
      <c r="G4843">
        <v>1</v>
      </c>
      <c r="H4843" t="s">
        <v>26</v>
      </c>
      <c r="I4843" t="str">
        <f t="shared" si="74"/>
        <v>X</v>
      </c>
      <c r="W4843" s="4"/>
    </row>
    <row r="4844" spans="1:23" x14ac:dyDescent="0.35">
      <c r="A4844">
        <v>4840</v>
      </c>
      <c r="B4844">
        <v>4841</v>
      </c>
      <c r="C4844">
        <v>146.07106340000001</v>
      </c>
      <c r="D4844">
        <v>-17.501499389999999</v>
      </c>
      <c r="G4844">
        <v>1</v>
      </c>
      <c r="H4844" t="s">
        <v>26</v>
      </c>
      <c r="I4844" t="str">
        <f t="shared" si="74"/>
        <v>X</v>
      </c>
      <c r="W4844" s="4"/>
    </row>
    <row r="4845" spans="1:23" x14ac:dyDescent="0.35">
      <c r="A4845">
        <v>4841</v>
      </c>
      <c r="B4845">
        <v>4842</v>
      </c>
      <c r="C4845">
        <v>146.07115010000001</v>
      </c>
      <c r="D4845">
        <v>-17.50146247</v>
      </c>
      <c r="G4845">
        <v>1</v>
      </c>
      <c r="H4845" t="s">
        <v>26</v>
      </c>
      <c r="I4845" t="str">
        <f t="shared" si="74"/>
        <v>X</v>
      </c>
      <c r="W4845" s="4"/>
    </row>
    <row r="4846" spans="1:23" x14ac:dyDescent="0.35">
      <c r="A4846">
        <v>4842</v>
      </c>
      <c r="B4846">
        <v>4843</v>
      </c>
      <c r="C4846">
        <v>146.0712369</v>
      </c>
      <c r="D4846">
        <v>-17.50142554</v>
      </c>
      <c r="G4846">
        <v>1</v>
      </c>
      <c r="H4846" t="s">
        <v>26</v>
      </c>
      <c r="I4846" t="str">
        <f t="shared" si="74"/>
        <v>X</v>
      </c>
      <c r="W4846" s="4"/>
    </row>
    <row r="4847" spans="1:23" x14ac:dyDescent="0.35">
      <c r="A4847">
        <v>4843</v>
      </c>
      <c r="B4847">
        <v>4844</v>
      </c>
      <c r="C4847">
        <v>146.07132369999999</v>
      </c>
      <c r="D4847">
        <v>-17.50138862</v>
      </c>
      <c r="G4847">
        <v>1</v>
      </c>
      <c r="H4847" t="s">
        <v>26</v>
      </c>
      <c r="I4847" t="str">
        <f t="shared" si="74"/>
        <v>X</v>
      </c>
      <c r="W4847" s="4"/>
    </row>
    <row r="4848" spans="1:23" x14ac:dyDescent="0.35">
      <c r="A4848">
        <v>4844</v>
      </c>
      <c r="B4848">
        <v>4845</v>
      </c>
      <c r="C4848">
        <v>146.07141010000001</v>
      </c>
      <c r="D4848">
        <v>-17.50135101</v>
      </c>
      <c r="G4848">
        <v>1</v>
      </c>
      <c r="H4848" t="s">
        <v>26</v>
      </c>
      <c r="I4848" t="str">
        <f t="shared" si="74"/>
        <v>X</v>
      </c>
      <c r="W4848" s="4"/>
    </row>
    <row r="4849" spans="1:23" x14ac:dyDescent="0.35">
      <c r="A4849">
        <v>4845</v>
      </c>
      <c r="B4849">
        <v>4846</v>
      </c>
      <c r="C4849">
        <v>146.07149250000001</v>
      </c>
      <c r="D4849">
        <v>-17.501305169999998</v>
      </c>
      <c r="G4849">
        <v>1</v>
      </c>
      <c r="H4849" t="s">
        <v>26</v>
      </c>
      <c r="I4849" t="str">
        <f t="shared" si="74"/>
        <v>X</v>
      </c>
      <c r="W4849" s="4"/>
    </row>
    <row r="4850" spans="1:23" x14ac:dyDescent="0.35">
      <c r="A4850">
        <v>4846</v>
      </c>
      <c r="B4850">
        <v>4847</v>
      </c>
      <c r="C4850">
        <v>146.07157219999999</v>
      </c>
      <c r="D4850">
        <v>-17.501256659999999</v>
      </c>
      <c r="G4850">
        <v>1</v>
      </c>
      <c r="H4850" t="s">
        <v>26</v>
      </c>
      <c r="I4850" t="str">
        <f t="shared" si="74"/>
        <v>X</v>
      </c>
      <c r="W4850" s="4"/>
    </row>
    <row r="4851" spans="1:23" x14ac:dyDescent="0.35">
      <c r="A4851">
        <v>4847</v>
      </c>
      <c r="B4851">
        <v>4848</v>
      </c>
      <c r="C4851">
        <v>146.07161389999999</v>
      </c>
      <c r="D4851">
        <v>-17.5011732</v>
      </c>
      <c r="G4851">
        <v>1</v>
      </c>
      <c r="H4851" t="s">
        <v>26</v>
      </c>
      <c r="I4851" t="str">
        <f t="shared" si="74"/>
        <v>X</v>
      </c>
      <c r="W4851" s="4"/>
    </row>
    <row r="4852" spans="1:23" x14ac:dyDescent="0.35">
      <c r="A4852">
        <v>4848</v>
      </c>
      <c r="B4852">
        <v>4849</v>
      </c>
      <c r="C4852">
        <v>146.07156560000001</v>
      </c>
      <c r="D4852">
        <v>-17.501095289999999</v>
      </c>
      <c r="G4852">
        <v>1</v>
      </c>
      <c r="H4852" t="s">
        <v>26</v>
      </c>
      <c r="I4852" t="str">
        <f t="shared" si="74"/>
        <v>X</v>
      </c>
      <c r="W4852" s="4"/>
    </row>
    <row r="4853" spans="1:23" x14ac:dyDescent="0.35">
      <c r="A4853">
        <v>4849</v>
      </c>
      <c r="B4853">
        <v>4850</v>
      </c>
      <c r="C4853">
        <v>146.07148520000001</v>
      </c>
      <c r="D4853">
        <v>-17.501045980000001</v>
      </c>
      <c r="G4853">
        <v>1</v>
      </c>
      <c r="H4853" t="s">
        <v>26</v>
      </c>
      <c r="I4853" t="str">
        <f t="shared" si="74"/>
        <v>X</v>
      </c>
      <c r="W4853" s="4"/>
    </row>
    <row r="4854" spans="1:23" x14ac:dyDescent="0.35">
      <c r="A4854">
        <v>4850</v>
      </c>
      <c r="B4854">
        <v>4851</v>
      </c>
      <c r="C4854">
        <v>146.071406</v>
      </c>
      <c r="D4854">
        <v>-17.500994779999999</v>
      </c>
      <c r="G4854">
        <v>1</v>
      </c>
      <c r="H4854" t="s">
        <v>26</v>
      </c>
      <c r="I4854" t="str">
        <f t="shared" si="74"/>
        <v>X</v>
      </c>
      <c r="W4854" s="4"/>
    </row>
    <row r="4855" spans="1:23" x14ac:dyDescent="0.35">
      <c r="A4855">
        <v>4851</v>
      </c>
      <c r="B4855">
        <v>4852</v>
      </c>
      <c r="C4855">
        <v>146.07138950000001</v>
      </c>
      <c r="D4855">
        <v>-17.500924680000001</v>
      </c>
      <c r="G4855">
        <v>1</v>
      </c>
      <c r="H4855" t="s">
        <v>26</v>
      </c>
      <c r="I4855" t="str">
        <f t="shared" si="74"/>
        <v>X</v>
      </c>
      <c r="W4855" s="4"/>
    </row>
    <row r="4856" spans="1:23" x14ac:dyDescent="0.35">
      <c r="A4856">
        <v>4852</v>
      </c>
      <c r="B4856">
        <v>4853</v>
      </c>
      <c r="C4856">
        <v>146.07147399999999</v>
      </c>
      <c r="D4856">
        <v>-17.500883160000001</v>
      </c>
      <c r="G4856">
        <v>1</v>
      </c>
      <c r="H4856" t="s">
        <v>26</v>
      </c>
      <c r="I4856" t="str">
        <f t="shared" si="74"/>
        <v>X</v>
      </c>
      <c r="W4856" s="4"/>
    </row>
    <row r="4857" spans="1:23" x14ac:dyDescent="0.35">
      <c r="A4857">
        <v>4853</v>
      </c>
      <c r="B4857">
        <v>4854</v>
      </c>
      <c r="C4857">
        <v>146.07155689999999</v>
      </c>
      <c r="D4857">
        <v>-17.500838210000001</v>
      </c>
      <c r="G4857">
        <v>1</v>
      </c>
      <c r="H4857" t="s">
        <v>26</v>
      </c>
      <c r="I4857" t="str">
        <f t="shared" si="74"/>
        <v>X</v>
      </c>
      <c r="W4857" s="4"/>
    </row>
    <row r="4858" spans="1:23" x14ac:dyDescent="0.35">
      <c r="A4858">
        <v>4854</v>
      </c>
      <c r="B4858">
        <v>4855</v>
      </c>
      <c r="C4858">
        <v>146.0716424</v>
      </c>
      <c r="D4858">
        <v>-17.50080298</v>
      </c>
      <c r="G4858">
        <v>1</v>
      </c>
      <c r="H4858" t="s">
        <v>26</v>
      </c>
      <c r="I4858" t="str">
        <f t="shared" si="74"/>
        <v>X</v>
      </c>
      <c r="W4858" s="4"/>
    </row>
    <row r="4859" spans="1:23" x14ac:dyDescent="0.35">
      <c r="A4859">
        <v>4855</v>
      </c>
      <c r="B4859">
        <v>4856</v>
      </c>
      <c r="C4859">
        <v>146.07173649999999</v>
      </c>
      <c r="D4859">
        <v>-17.500797120000001</v>
      </c>
      <c r="G4859">
        <v>1</v>
      </c>
      <c r="H4859" t="s">
        <v>26</v>
      </c>
      <c r="I4859" t="str">
        <f t="shared" si="74"/>
        <v>X</v>
      </c>
      <c r="W4859" s="4"/>
    </row>
    <row r="4860" spans="1:23" x14ac:dyDescent="0.35">
      <c r="A4860">
        <v>4856</v>
      </c>
      <c r="B4860">
        <v>4857</v>
      </c>
      <c r="C4860">
        <v>146.0718306</v>
      </c>
      <c r="D4860">
        <v>-17.50079126</v>
      </c>
      <c r="G4860">
        <v>1</v>
      </c>
      <c r="H4860" t="s">
        <v>26</v>
      </c>
      <c r="I4860" t="str">
        <f t="shared" si="74"/>
        <v>X</v>
      </c>
      <c r="W4860" s="4"/>
    </row>
    <row r="4861" spans="1:23" x14ac:dyDescent="0.35">
      <c r="A4861">
        <v>4857</v>
      </c>
      <c r="B4861">
        <v>4858</v>
      </c>
      <c r="C4861">
        <v>146.07192470000001</v>
      </c>
      <c r="D4861">
        <v>-17.500785400000002</v>
      </c>
      <c r="G4861">
        <v>1</v>
      </c>
      <c r="H4861" t="s">
        <v>26</v>
      </c>
      <c r="I4861" t="str">
        <f t="shared" si="74"/>
        <v>X</v>
      </c>
      <c r="W4861" s="4"/>
    </row>
    <row r="4862" spans="1:23" x14ac:dyDescent="0.35">
      <c r="A4862">
        <v>4858</v>
      </c>
      <c r="B4862">
        <v>4859</v>
      </c>
      <c r="C4862">
        <v>146.0720188</v>
      </c>
      <c r="D4862">
        <v>-17.50077954</v>
      </c>
      <c r="G4862">
        <v>1</v>
      </c>
      <c r="H4862" t="s">
        <v>26</v>
      </c>
      <c r="I4862" t="str">
        <f t="shared" si="74"/>
        <v>X</v>
      </c>
      <c r="W4862" s="4"/>
    </row>
    <row r="4863" spans="1:23" x14ac:dyDescent="0.35">
      <c r="A4863">
        <v>4859</v>
      </c>
      <c r="B4863">
        <v>4860</v>
      </c>
      <c r="C4863">
        <v>146.07211290000001</v>
      </c>
      <c r="D4863">
        <v>-17.500774790000001</v>
      </c>
      <c r="G4863">
        <v>1</v>
      </c>
      <c r="H4863" t="s">
        <v>26</v>
      </c>
      <c r="I4863" t="str">
        <f t="shared" si="74"/>
        <v>X</v>
      </c>
      <c r="W4863" s="4"/>
    </row>
    <row r="4864" spans="1:23" x14ac:dyDescent="0.35">
      <c r="A4864">
        <v>4860</v>
      </c>
      <c r="B4864">
        <v>4861</v>
      </c>
      <c r="C4864">
        <v>146.0722068</v>
      </c>
      <c r="D4864">
        <v>-17.500783890000001</v>
      </c>
      <c r="G4864">
        <v>1</v>
      </c>
      <c r="H4864" t="s">
        <v>26</v>
      </c>
      <c r="I4864" t="str">
        <f t="shared" si="74"/>
        <v>X</v>
      </c>
      <c r="W4864" s="4"/>
    </row>
    <row r="4865" spans="1:9" x14ac:dyDescent="0.35">
      <c r="A4865">
        <v>4861</v>
      </c>
      <c r="B4865">
        <v>4862</v>
      </c>
      <c r="C4865">
        <v>146.0722992</v>
      </c>
      <c r="D4865">
        <v>-17.500800940000001</v>
      </c>
      <c r="G4865">
        <v>1</v>
      </c>
      <c r="H4865" t="s">
        <v>26</v>
      </c>
      <c r="I4865" t="str">
        <f t="shared" si="74"/>
        <v>X</v>
      </c>
    </row>
    <row r="4866" spans="1:9" x14ac:dyDescent="0.35">
      <c r="A4866">
        <v>4862</v>
      </c>
      <c r="B4866">
        <v>4863</v>
      </c>
      <c r="C4866">
        <v>146.07239010000001</v>
      </c>
      <c r="D4866">
        <v>-17.500825939999999</v>
      </c>
      <c r="G4866">
        <v>1</v>
      </c>
      <c r="H4866" t="s">
        <v>26</v>
      </c>
      <c r="I4866" t="str">
        <f t="shared" si="74"/>
        <v>X</v>
      </c>
    </row>
    <row r="4867" spans="1:9" x14ac:dyDescent="0.35">
      <c r="A4867">
        <v>4863</v>
      </c>
      <c r="B4867">
        <v>4864</v>
      </c>
      <c r="C4867">
        <v>146.0724707</v>
      </c>
      <c r="D4867">
        <v>-17.500869949999998</v>
      </c>
      <c r="G4867">
        <v>1</v>
      </c>
      <c r="H4867" t="s">
        <v>26</v>
      </c>
      <c r="I4867" t="str">
        <f t="shared" si="74"/>
        <v>X</v>
      </c>
    </row>
    <row r="4868" spans="1:9" x14ac:dyDescent="0.35">
      <c r="A4868">
        <v>4864</v>
      </c>
      <c r="B4868">
        <v>4865</v>
      </c>
      <c r="C4868">
        <v>146.07251529999999</v>
      </c>
      <c r="D4868">
        <v>-17.500946679999998</v>
      </c>
      <c r="G4868">
        <v>1</v>
      </c>
      <c r="H4868" t="s">
        <v>26</v>
      </c>
      <c r="I4868" t="str">
        <f t="shared" si="74"/>
        <v>X</v>
      </c>
    </row>
    <row r="4869" spans="1:9" x14ac:dyDescent="0.35">
      <c r="A4869">
        <v>4865</v>
      </c>
      <c r="B4869">
        <v>4866</v>
      </c>
      <c r="C4869">
        <v>146.07252260000001</v>
      </c>
      <c r="D4869">
        <v>-17.50104005</v>
      </c>
      <c r="G4869">
        <v>1</v>
      </c>
      <c r="H4869" t="s">
        <v>26</v>
      </c>
      <c r="I4869" t="str">
        <f t="shared" ref="I4869:I4932" si="75">IF(H4869="X","X",IF(J4869="NA","X",IF(J4869="","X",J4869)))</f>
        <v>X</v>
      </c>
    </row>
    <row r="4870" spans="1:9" x14ac:dyDescent="0.35">
      <c r="B4870">
        <v>4867</v>
      </c>
      <c r="C4870">
        <v>146.0725113</v>
      </c>
      <c r="D4870">
        <v>-17.501133679999999</v>
      </c>
      <c r="G4870">
        <v>1</v>
      </c>
      <c r="H4870" t="s">
        <v>26</v>
      </c>
      <c r="I4870" t="str">
        <f t="shared" si="75"/>
        <v>X</v>
      </c>
    </row>
    <row r="4871" spans="1:9" x14ac:dyDescent="0.35">
      <c r="B4871">
        <v>4868</v>
      </c>
      <c r="C4871">
        <v>146.07252199999999</v>
      </c>
      <c r="D4871">
        <v>-17.501227220000001</v>
      </c>
      <c r="G4871">
        <v>1</v>
      </c>
      <c r="H4871" t="s">
        <v>26</v>
      </c>
      <c r="I4871" t="str">
        <f t="shared" si="75"/>
        <v>X</v>
      </c>
    </row>
    <row r="4872" spans="1:9" x14ac:dyDescent="0.35">
      <c r="B4872">
        <v>4869</v>
      </c>
      <c r="C4872">
        <v>146.07257730000001</v>
      </c>
      <c r="D4872">
        <v>-17.50129707</v>
      </c>
      <c r="G4872">
        <v>1</v>
      </c>
      <c r="H4872" t="s">
        <v>26</v>
      </c>
      <c r="I4872" t="str">
        <f t="shared" si="75"/>
        <v>X</v>
      </c>
    </row>
    <row r="4873" spans="1:9" x14ac:dyDescent="0.35">
      <c r="B4873">
        <v>4870</v>
      </c>
      <c r="C4873">
        <v>146.07266430000001</v>
      </c>
      <c r="D4873">
        <v>-17.50133361</v>
      </c>
      <c r="G4873">
        <v>1</v>
      </c>
      <c r="H4873" t="s">
        <v>26</v>
      </c>
      <c r="I4873" t="str">
        <f t="shared" si="75"/>
        <v>X</v>
      </c>
    </row>
    <row r="4874" spans="1:9" x14ac:dyDescent="0.35">
      <c r="B4874">
        <v>4871</v>
      </c>
      <c r="C4874">
        <v>146.0727512</v>
      </c>
      <c r="D4874">
        <v>-17.50137015</v>
      </c>
      <c r="G4874">
        <v>1</v>
      </c>
      <c r="H4874" t="s">
        <v>26</v>
      </c>
      <c r="I4874" t="str">
        <f t="shared" si="75"/>
        <v>X</v>
      </c>
    </row>
    <row r="4875" spans="1:9" x14ac:dyDescent="0.35">
      <c r="B4875">
        <v>4872</v>
      </c>
      <c r="C4875">
        <v>146.07283820000001</v>
      </c>
      <c r="D4875">
        <v>-17.50140669</v>
      </c>
      <c r="G4875">
        <v>1</v>
      </c>
      <c r="H4875" t="s">
        <v>26</v>
      </c>
      <c r="I4875" t="str">
        <f t="shared" si="75"/>
        <v>X</v>
      </c>
    </row>
    <row r="4876" spans="1:9" x14ac:dyDescent="0.35">
      <c r="B4876">
        <v>4873</v>
      </c>
      <c r="C4876">
        <v>146.07292509999999</v>
      </c>
      <c r="D4876">
        <v>-17.501443129999998</v>
      </c>
      <c r="G4876">
        <v>1</v>
      </c>
      <c r="H4876" t="s">
        <v>26</v>
      </c>
      <c r="I4876" t="str">
        <f t="shared" si="75"/>
        <v>X</v>
      </c>
    </row>
    <row r="4877" spans="1:9" x14ac:dyDescent="0.35">
      <c r="B4877">
        <v>4874</v>
      </c>
      <c r="C4877">
        <v>146.07301219999999</v>
      </c>
      <c r="D4877">
        <v>-17.501479410000002</v>
      </c>
      <c r="G4877">
        <v>1</v>
      </c>
      <c r="H4877" t="s">
        <v>26</v>
      </c>
      <c r="I4877" t="str">
        <f t="shared" si="75"/>
        <v>X</v>
      </c>
    </row>
    <row r="4878" spans="1:9" x14ac:dyDescent="0.35">
      <c r="B4878">
        <v>4875</v>
      </c>
      <c r="C4878">
        <v>146.07309789999999</v>
      </c>
      <c r="D4878">
        <v>-17.5015179</v>
      </c>
      <c r="G4878">
        <v>1</v>
      </c>
      <c r="H4878" t="s">
        <v>26</v>
      </c>
      <c r="I4878" t="str">
        <f t="shared" si="75"/>
        <v>X</v>
      </c>
    </row>
    <row r="4879" spans="1:9" x14ac:dyDescent="0.35">
      <c r="B4879">
        <v>4876</v>
      </c>
      <c r="C4879">
        <v>146.07316969999999</v>
      </c>
      <c r="D4879">
        <v>-17.501579039999999</v>
      </c>
      <c r="G4879">
        <v>1</v>
      </c>
      <c r="H4879" t="s">
        <v>26</v>
      </c>
      <c r="I4879" t="str">
        <f t="shared" si="75"/>
        <v>X</v>
      </c>
    </row>
    <row r="4880" spans="1:9" x14ac:dyDescent="0.35">
      <c r="B4880">
        <v>4877</v>
      </c>
      <c r="C4880">
        <v>146.07324149999999</v>
      </c>
      <c r="D4880">
        <v>-17.501640179999999</v>
      </c>
      <c r="G4880">
        <v>1</v>
      </c>
      <c r="H4880" t="s">
        <v>26</v>
      </c>
      <c r="I4880" t="str">
        <f t="shared" si="75"/>
        <v>X</v>
      </c>
    </row>
    <row r="4881" spans="2:9" x14ac:dyDescent="0.35">
      <c r="B4881">
        <v>4878</v>
      </c>
      <c r="C4881">
        <v>146.07331690000001</v>
      </c>
      <c r="D4881">
        <v>-17.50169648</v>
      </c>
      <c r="G4881">
        <v>1</v>
      </c>
      <c r="H4881" t="s">
        <v>26</v>
      </c>
      <c r="I4881" t="str">
        <f t="shared" si="75"/>
        <v>X</v>
      </c>
    </row>
    <row r="4882" spans="2:9" x14ac:dyDescent="0.35">
      <c r="B4882">
        <v>4879</v>
      </c>
      <c r="C4882">
        <v>146.0733961</v>
      </c>
      <c r="D4882">
        <v>-17.50174767</v>
      </c>
      <c r="G4882">
        <v>1</v>
      </c>
      <c r="H4882" t="s">
        <v>26</v>
      </c>
      <c r="I4882" t="str">
        <f t="shared" si="75"/>
        <v>X</v>
      </c>
    </row>
    <row r="4883" spans="2:9" x14ac:dyDescent="0.35">
      <c r="B4883">
        <v>4880</v>
      </c>
      <c r="C4883">
        <v>146.07347720000001</v>
      </c>
      <c r="D4883">
        <v>-17.50179546</v>
      </c>
      <c r="G4883">
        <v>1</v>
      </c>
      <c r="H4883" t="s">
        <v>26</v>
      </c>
      <c r="I4883" t="str">
        <f t="shared" si="75"/>
        <v>X</v>
      </c>
    </row>
    <row r="4884" spans="2:9" x14ac:dyDescent="0.35">
      <c r="B4884">
        <v>4881</v>
      </c>
      <c r="C4884">
        <v>146.07356200000001</v>
      </c>
      <c r="D4884">
        <v>-17.501836659999999</v>
      </c>
      <c r="G4884">
        <v>1</v>
      </c>
      <c r="H4884" t="s">
        <v>26</v>
      </c>
      <c r="I4884" t="str">
        <f t="shared" si="75"/>
        <v>X</v>
      </c>
    </row>
    <row r="4885" spans="2:9" x14ac:dyDescent="0.35">
      <c r="B4885">
        <v>4882</v>
      </c>
      <c r="C4885">
        <v>146.07364620000001</v>
      </c>
      <c r="D4885">
        <v>-17.501879030000001</v>
      </c>
      <c r="G4885">
        <v>1</v>
      </c>
      <c r="H4885" t="s">
        <v>26</v>
      </c>
      <c r="I4885" t="str">
        <f t="shared" si="75"/>
        <v>X</v>
      </c>
    </row>
    <row r="4886" spans="2:9" x14ac:dyDescent="0.35">
      <c r="B4886">
        <v>4883</v>
      </c>
      <c r="C4886">
        <v>146.07372799999999</v>
      </c>
      <c r="D4886">
        <v>-17.501926050000002</v>
      </c>
      <c r="G4886">
        <v>1</v>
      </c>
      <c r="H4886" t="s">
        <v>26</v>
      </c>
      <c r="I4886" t="str">
        <f t="shared" si="75"/>
        <v>X</v>
      </c>
    </row>
    <row r="4887" spans="2:9" x14ac:dyDescent="0.35">
      <c r="B4887">
        <v>4884</v>
      </c>
      <c r="C4887">
        <v>146.0738097</v>
      </c>
      <c r="D4887">
        <v>-17.501973079999999</v>
      </c>
      <c r="G4887">
        <v>1</v>
      </c>
      <c r="H4887" t="s">
        <v>26</v>
      </c>
      <c r="I4887" t="str">
        <f t="shared" si="75"/>
        <v>X</v>
      </c>
    </row>
    <row r="4888" spans="2:9" x14ac:dyDescent="0.35">
      <c r="B4888">
        <v>4885</v>
      </c>
      <c r="C4888">
        <v>146.0738915</v>
      </c>
      <c r="D4888">
        <v>-17.502020099999999</v>
      </c>
      <c r="G4888">
        <v>1</v>
      </c>
      <c r="H4888" t="s">
        <v>26</v>
      </c>
      <c r="I4888" t="str">
        <f t="shared" si="75"/>
        <v>X</v>
      </c>
    </row>
    <row r="4889" spans="2:9" x14ac:dyDescent="0.35">
      <c r="B4889">
        <v>4886</v>
      </c>
      <c r="C4889">
        <v>146.07396840000001</v>
      </c>
      <c r="D4889">
        <v>-17.502073200000002</v>
      </c>
      <c r="G4889">
        <v>1</v>
      </c>
      <c r="H4889" t="s">
        <v>26</v>
      </c>
      <c r="I4889" t="str">
        <f t="shared" si="75"/>
        <v>X</v>
      </c>
    </row>
    <row r="4890" spans="2:9" x14ac:dyDescent="0.35">
      <c r="B4890">
        <v>4887</v>
      </c>
      <c r="C4890">
        <v>146.07403099999999</v>
      </c>
      <c r="D4890">
        <v>-17.50214364</v>
      </c>
      <c r="G4890">
        <v>1</v>
      </c>
      <c r="H4890" t="s">
        <v>26</v>
      </c>
      <c r="I4890" t="str">
        <f t="shared" si="75"/>
        <v>X</v>
      </c>
    </row>
    <row r="4891" spans="2:9" x14ac:dyDescent="0.35">
      <c r="B4891">
        <v>4888</v>
      </c>
      <c r="C4891">
        <v>146.0740888</v>
      </c>
      <c r="D4891">
        <v>-17.50221814</v>
      </c>
      <c r="G4891">
        <v>1</v>
      </c>
      <c r="H4891" t="s">
        <v>26</v>
      </c>
      <c r="I4891" t="str">
        <f t="shared" si="75"/>
        <v>X</v>
      </c>
    </row>
    <row r="4892" spans="2:9" x14ac:dyDescent="0.35">
      <c r="B4892">
        <v>4889</v>
      </c>
      <c r="C4892">
        <v>146.07411870000001</v>
      </c>
      <c r="D4892">
        <v>-17.502306770000001</v>
      </c>
      <c r="G4892">
        <v>1</v>
      </c>
      <c r="H4892" t="s">
        <v>26</v>
      </c>
      <c r="I4892" t="str">
        <f t="shared" si="75"/>
        <v>X</v>
      </c>
    </row>
    <row r="4893" spans="2:9" x14ac:dyDescent="0.35">
      <c r="B4893">
        <v>4890</v>
      </c>
      <c r="C4893">
        <v>146.07417269999999</v>
      </c>
      <c r="D4893">
        <v>-17.502383630000001</v>
      </c>
      <c r="G4893">
        <v>1</v>
      </c>
      <c r="H4893" t="s">
        <v>26</v>
      </c>
      <c r="I4893" t="str">
        <f t="shared" si="75"/>
        <v>X</v>
      </c>
    </row>
    <row r="4894" spans="2:9" x14ac:dyDescent="0.35">
      <c r="B4894">
        <v>4891</v>
      </c>
      <c r="C4894">
        <v>146.0742285</v>
      </c>
      <c r="D4894">
        <v>-17.502459689999998</v>
      </c>
      <c r="G4894">
        <v>1</v>
      </c>
      <c r="H4894" t="s">
        <v>26</v>
      </c>
      <c r="I4894" t="str">
        <f t="shared" si="75"/>
        <v>X</v>
      </c>
    </row>
    <row r="4895" spans="2:9" x14ac:dyDescent="0.35">
      <c r="B4895">
        <v>4892</v>
      </c>
      <c r="C4895">
        <v>146.07428469999999</v>
      </c>
      <c r="D4895">
        <v>-17.502535389999998</v>
      </c>
      <c r="G4895">
        <v>1</v>
      </c>
      <c r="H4895" t="s">
        <v>26</v>
      </c>
      <c r="I4895" t="str">
        <f t="shared" si="75"/>
        <v>X</v>
      </c>
    </row>
    <row r="4896" spans="2:9" x14ac:dyDescent="0.35">
      <c r="B4896">
        <v>4893</v>
      </c>
      <c r="C4896">
        <v>146.0743439</v>
      </c>
      <c r="D4896">
        <v>-17.502608519999999</v>
      </c>
      <c r="G4896">
        <v>1</v>
      </c>
      <c r="H4896" t="s">
        <v>26</v>
      </c>
      <c r="I4896" t="str">
        <f t="shared" si="75"/>
        <v>X</v>
      </c>
    </row>
    <row r="4897" spans="2:9" x14ac:dyDescent="0.35">
      <c r="B4897">
        <v>4894</v>
      </c>
      <c r="C4897">
        <v>146.0744109</v>
      </c>
      <c r="D4897">
        <v>-17.502674880000001</v>
      </c>
      <c r="G4897">
        <v>1</v>
      </c>
      <c r="H4897" t="s">
        <v>26</v>
      </c>
      <c r="I4897" t="str">
        <f t="shared" si="75"/>
        <v>X</v>
      </c>
    </row>
    <row r="4898" spans="2:9" x14ac:dyDescent="0.35">
      <c r="B4898">
        <v>4895</v>
      </c>
      <c r="C4898">
        <v>146.07447790000001</v>
      </c>
      <c r="D4898">
        <v>-17.50274125</v>
      </c>
      <c r="G4898">
        <v>1</v>
      </c>
      <c r="H4898" t="s">
        <v>26</v>
      </c>
      <c r="I4898" t="str">
        <f t="shared" si="75"/>
        <v>X</v>
      </c>
    </row>
    <row r="4899" spans="2:9" x14ac:dyDescent="0.35">
      <c r="B4899">
        <v>4896</v>
      </c>
      <c r="C4899">
        <v>146.07454490000001</v>
      </c>
      <c r="D4899">
        <v>-17.502807610000001</v>
      </c>
      <c r="G4899">
        <v>1</v>
      </c>
      <c r="H4899" t="s">
        <v>26</v>
      </c>
      <c r="I4899" t="str">
        <f t="shared" si="75"/>
        <v>X</v>
      </c>
    </row>
    <row r="4900" spans="2:9" x14ac:dyDescent="0.35">
      <c r="B4900">
        <v>4897</v>
      </c>
      <c r="C4900">
        <v>146.07460459999999</v>
      </c>
      <c r="D4900">
        <v>-17.502879920000002</v>
      </c>
      <c r="G4900">
        <v>1</v>
      </c>
      <c r="H4900" t="s">
        <v>26</v>
      </c>
      <c r="I4900" t="str">
        <f t="shared" si="75"/>
        <v>X</v>
      </c>
    </row>
    <row r="4901" spans="2:9" x14ac:dyDescent="0.35">
      <c r="B4901">
        <v>4898</v>
      </c>
      <c r="C4901">
        <v>146.07466199999999</v>
      </c>
      <c r="D4901">
        <v>-17.502954710000001</v>
      </c>
      <c r="G4901">
        <v>1</v>
      </c>
      <c r="H4901" t="s">
        <v>26</v>
      </c>
      <c r="I4901" t="str">
        <f t="shared" si="75"/>
        <v>X</v>
      </c>
    </row>
    <row r="4902" spans="2:9" x14ac:dyDescent="0.35">
      <c r="B4902">
        <v>4899</v>
      </c>
      <c r="C4902">
        <v>146.07472100000001</v>
      </c>
      <c r="D4902">
        <v>-17.503028260000001</v>
      </c>
      <c r="G4902">
        <v>1</v>
      </c>
      <c r="H4902" t="s">
        <v>26</v>
      </c>
      <c r="I4902" t="str">
        <f t="shared" si="75"/>
        <v>X</v>
      </c>
    </row>
    <row r="4903" spans="2:9" x14ac:dyDescent="0.35">
      <c r="B4903">
        <v>4900</v>
      </c>
      <c r="C4903">
        <v>146.0747748</v>
      </c>
      <c r="D4903">
        <v>-17.503105170000001</v>
      </c>
      <c r="G4903">
        <v>1</v>
      </c>
      <c r="H4903" t="s">
        <v>26</v>
      </c>
      <c r="I4903" t="str">
        <f t="shared" si="75"/>
        <v>X</v>
      </c>
    </row>
    <row r="4904" spans="2:9" x14ac:dyDescent="0.35">
      <c r="B4904">
        <v>4901</v>
      </c>
      <c r="C4904">
        <v>146.07481799999999</v>
      </c>
      <c r="D4904">
        <v>-17.503189020000001</v>
      </c>
      <c r="G4904">
        <v>1</v>
      </c>
      <c r="H4904" t="s">
        <v>26</v>
      </c>
      <c r="I4904" t="str">
        <f t="shared" si="75"/>
        <v>X</v>
      </c>
    </row>
    <row r="4905" spans="2:9" x14ac:dyDescent="0.35">
      <c r="B4905">
        <v>4902</v>
      </c>
      <c r="C4905">
        <v>146.07485510000001</v>
      </c>
      <c r="D4905">
        <v>-17.503275559999999</v>
      </c>
      <c r="G4905">
        <v>1</v>
      </c>
      <c r="H4905" t="s">
        <v>26</v>
      </c>
      <c r="I4905" t="str">
        <f t="shared" si="75"/>
        <v>X</v>
      </c>
    </row>
    <row r="4906" spans="2:9" x14ac:dyDescent="0.35">
      <c r="B4906">
        <v>4903</v>
      </c>
      <c r="C4906">
        <v>146.0748887</v>
      </c>
      <c r="D4906">
        <v>-17.503363669999999</v>
      </c>
      <c r="G4906">
        <v>1</v>
      </c>
      <c r="H4906" t="s">
        <v>26</v>
      </c>
      <c r="I4906" t="str">
        <f t="shared" si="75"/>
        <v>X</v>
      </c>
    </row>
    <row r="4907" spans="2:9" x14ac:dyDescent="0.35">
      <c r="B4907">
        <v>4904</v>
      </c>
      <c r="C4907">
        <v>146.074938</v>
      </c>
      <c r="D4907">
        <v>-17.503441429999999</v>
      </c>
      <c r="G4907">
        <v>1</v>
      </c>
      <c r="H4907" t="s">
        <v>26</v>
      </c>
      <c r="I4907" t="str">
        <f t="shared" si="75"/>
        <v>X</v>
      </c>
    </row>
    <row r="4908" spans="2:9" x14ac:dyDescent="0.35">
      <c r="B4908">
        <v>4905</v>
      </c>
      <c r="C4908">
        <v>146.07500580000001</v>
      </c>
      <c r="D4908">
        <v>-17.50350705</v>
      </c>
      <c r="G4908">
        <v>1</v>
      </c>
      <c r="H4908" t="s">
        <v>26</v>
      </c>
      <c r="I4908" t="str">
        <f t="shared" si="75"/>
        <v>X</v>
      </c>
    </row>
    <row r="4909" spans="2:9" x14ac:dyDescent="0.35">
      <c r="B4909">
        <v>4906</v>
      </c>
      <c r="C4909">
        <v>146.0750735</v>
      </c>
      <c r="D4909">
        <v>-17.50357267</v>
      </c>
      <c r="G4909">
        <v>1</v>
      </c>
      <c r="H4909" t="s">
        <v>26</v>
      </c>
      <c r="I4909" t="str">
        <f t="shared" si="75"/>
        <v>X</v>
      </c>
    </row>
    <row r="4910" spans="2:9" x14ac:dyDescent="0.35">
      <c r="B4910">
        <v>4907</v>
      </c>
      <c r="C4910">
        <v>146.07515119999999</v>
      </c>
      <c r="D4910">
        <v>-17.503626050000001</v>
      </c>
      <c r="G4910">
        <v>1</v>
      </c>
      <c r="H4910" t="s">
        <v>26</v>
      </c>
      <c r="I4910" t="str">
        <f t="shared" si="75"/>
        <v>X</v>
      </c>
    </row>
    <row r="4911" spans="2:9" x14ac:dyDescent="0.35">
      <c r="B4911">
        <v>4908</v>
      </c>
      <c r="C4911">
        <v>146.07522929999999</v>
      </c>
      <c r="D4911">
        <v>-17.50367885</v>
      </c>
      <c r="G4911">
        <v>1</v>
      </c>
      <c r="H4911" t="s">
        <v>26</v>
      </c>
      <c r="I4911" t="str">
        <f t="shared" si="75"/>
        <v>X</v>
      </c>
    </row>
    <row r="4912" spans="2:9" x14ac:dyDescent="0.35">
      <c r="B4912">
        <v>4909</v>
      </c>
      <c r="C4912">
        <v>146.07531349999999</v>
      </c>
      <c r="D4912">
        <v>-17.503719530000001</v>
      </c>
      <c r="G4912">
        <v>1</v>
      </c>
      <c r="H4912" t="s">
        <v>26</v>
      </c>
      <c r="I4912" t="str">
        <f t="shared" si="75"/>
        <v>X</v>
      </c>
    </row>
    <row r="4913" spans="2:9" x14ac:dyDescent="0.35">
      <c r="B4913">
        <v>4910</v>
      </c>
      <c r="C4913">
        <v>146.0754025</v>
      </c>
      <c r="D4913">
        <v>-17.503750740000001</v>
      </c>
      <c r="G4913">
        <v>1</v>
      </c>
      <c r="H4913" t="s">
        <v>26</v>
      </c>
      <c r="I4913" t="str">
        <f t="shared" si="75"/>
        <v>X</v>
      </c>
    </row>
    <row r="4914" spans="2:9" x14ac:dyDescent="0.35">
      <c r="B4914">
        <v>4911</v>
      </c>
      <c r="C4914">
        <v>146.07546600000001</v>
      </c>
      <c r="D4914">
        <v>-17.50381994</v>
      </c>
      <c r="G4914">
        <v>1</v>
      </c>
      <c r="H4914" t="s">
        <v>26</v>
      </c>
      <c r="I4914" t="str">
        <f t="shared" si="75"/>
        <v>X</v>
      </c>
    </row>
    <row r="4915" spans="2:9" x14ac:dyDescent="0.35">
      <c r="B4915">
        <v>4912</v>
      </c>
      <c r="C4915">
        <v>146.07552870000001</v>
      </c>
      <c r="D4915">
        <v>-17.503890429999998</v>
      </c>
      <c r="G4915">
        <v>1</v>
      </c>
      <c r="H4915" t="s">
        <v>26</v>
      </c>
      <c r="I4915" t="str">
        <f t="shared" si="75"/>
        <v>X</v>
      </c>
    </row>
    <row r="4916" spans="2:9" x14ac:dyDescent="0.35">
      <c r="B4916">
        <v>4913</v>
      </c>
      <c r="C4916">
        <v>146.07559180000001</v>
      </c>
      <c r="D4916">
        <v>-17.503960459999998</v>
      </c>
      <c r="G4916">
        <v>1</v>
      </c>
      <c r="H4916" t="s">
        <v>26</v>
      </c>
      <c r="I4916" t="str">
        <f t="shared" si="75"/>
        <v>X</v>
      </c>
    </row>
    <row r="4917" spans="2:9" x14ac:dyDescent="0.35">
      <c r="B4917">
        <v>4914</v>
      </c>
      <c r="C4917">
        <v>146.07565740000001</v>
      </c>
      <c r="D4917">
        <v>-17.504028229999999</v>
      </c>
      <c r="G4917">
        <v>1</v>
      </c>
      <c r="H4917" t="s">
        <v>26</v>
      </c>
      <c r="I4917" t="str">
        <f t="shared" si="75"/>
        <v>X</v>
      </c>
    </row>
    <row r="4918" spans="2:9" x14ac:dyDescent="0.35">
      <c r="B4918">
        <v>4915</v>
      </c>
      <c r="C4918">
        <v>146.07572300000001</v>
      </c>
      <c r="D4918">
        <v>-17.504096010000001</v>
      </c>
      <c r="G4918">
        <v>1</v>
      </c>
      <c r="H4918" t="s">
        <v>26</v>
      </c>
      <c r="I4918" t="str">
        <f t="shared" si="75"/>
        <v>X</v>
      </c>
    </row>
    <row r="4919" spans="2:9" x14ac:dyDescent="0.35">
      <c r="B4919">
        <v>4916</v>
      </c>
      <c r="C4919">
        <v>146.07578580000001</v>
      </c>
      <c r="D4919">
        <v>-17.504166269999999</v>
      </c>
      <c r="G4919">
        <v>1</v>
      </c>
      <c r="H4919" t="s">
        <v>26</v>
      </c>
      <c r="I4919" t="str">
        <f t="shared" si="75"/>
        <v>X</v>
      </c>
    </row>
    <row r="4920" spans="2:9" x14ac:dyDescent="0.35">
      <c r="B4920">
        <v>4917</v>
      </c>
      <c r="C4920">
        <v>146.07584660000001</v>
      </c>
      <c r="D4920">
        <v>-17.50423833</v>
      </c>
      <c r="G4920">
        <v>1</v>
      </c>
      <c r="H4920" t="s">
        <v>26</v>
      </c>
      <c r="I4920" t="str">
        <f t="shared" si="75"/>
        <v>X</v>
      </c>
    </row>
    <row r="4921" spans="2:9" x14ac:dyDescent="0.35">
      <c r="B4921">
        <v>4918</v>
      </c>
      <c r="C4921">
        <v>146.07591859999999</v>
      </c>
      <c r="D4921">
        <v>-17.504299029999999</v>
      </c>
      <c r="G4921">
        <v>1</v>
      </c>
      <c r="H4921" t="s">
        <v>26</v>
      </c>
      <c r="I4921" t="str">
        <f t="shared" si="75"/>
        <v>X</v>
      </c>
    </row>
    <row r="4922" spans="2:9" x14ac:dyDescent="0.35">
      <c r="B4922">
        <v>4919</v>
      </c>
      <c r="C4922">
        <v>146.0759917</v>
      </c>
      <c r="D4922">
        <v>-17.5043586</v>
      </c>
      <c r="G4922">
        <v>1</v>
      </c>
      <c r="H4922" t="s">
        <v>26</v>
      </c>
      <c r="I4922" t="str">
        <f t="shared" si="75"/>
        <v>X</v>
      </c>
    </row>
    <row r="4923" spans="2:9" x14ac:dyDescent="0.35">
      <c r="B4923">
        <v>4920</v>
      </c>
      <c r="C4923">
        <v>146.07606480000001</v>
      </c>
      <c r="D4923">
        <v>-17.504418170000001</v>
      </c>
      <c r="G4923">
        <v>1</v>
      </c>
      <c r="H4923" t="s">
        <v>26</v>
      </c>
      <c r="I4923" t="str">
        <f t="shared" si="75"/>
        <v>X</v>
      </c>
    </row>
    <row r="4924" spans="2:9" x14ac:dyDescent="0.35">
      <c r="B4924">
        <v>4921</v>
      </c>
      <c r="C4924">
        <v>146.0761254</v>
      </c>
      <c r="D4924">
        <v>-17.504488550000001</v>
      </c>
      <c r="G4924">
        <v>1</v>
      </c>
      <c r="H4924" t="s">
        <v>26</v>
      </c>
      <c r="I4924" t="str">
        <f t="shared" si="75"/>
        <v>X</v>
      </c>
    </row>
    <row r="4925" spans="2:9" x14ac:dyDescent="0.35">
      <c r="B4925">
        <v>4922</v>
      </c>
      <c r="C4925">
        <v>146.07617350000001</v>
      </c>
      <c r="D4925">
        <v>-17.504569650000001</v>
      </c>
      <c r="G4925">
        <v>1</v>
      </c>
      <c r="H4925" t="s">
        <v>26</v>
      </c>
      <c r="I4925" t="str">
        <f t="shared" si="75"/>
        <v>X</v>
      </c>
    </row>
    <row r="4926" spans="2:9" x14ac:dyDescent="0.35">
      <c r="B4926">
        <v>4923</v>
      </c>
      <c r="C4926">
        <v>146.07622660000001</v>
      </c>
      <c r="D4926">
        <v>-17.504646910000002</v>
      </c>
      <c r="G4926">
        <v>1</v>
      </c>
      <c r="H4926" t="s">
        <v>26</v>
      </c>
      <c r="I4926" t="str">
        <f t="shared" si="75"/>
        <v>X</v>
      </c>
    </row>
    <row r="4927" spans="2:9" x14ac:dyDescent="0.35">
      <c r="B4927">
        <v>4924</v>
      </c>
      <c r="C4927">
        <v>146.0762928</v>
      </c>
      <c r="D4927">
        <v>-17.50471409</v>
      </c>
      <c r="G4927">
        <v>1</v>
      </c>
      <c r="H4927" t="s">
        <v>26</v>
      </c>
      <c r="I4927" t="str">
        <f t="shared" si="75"/>
        <v>X</v>
      </c>
    </row>
    <row r="4928" spans="2:9" x14ac:dyDescent="0.35">
      <c r="B4928">
        <v>4925</v>
      </c>
      <c r="C4928">
        <v>146.0763652</v>
      </c>
      <c r="D4928">
        <v>-17.504773570000001</v>
      </c>
      <c r="G4928">
        <v>1</v>
      </c>
      <c r="H4928" t="s">
        <v>26</v>
      </c>
      <c r="I4928" t="str">
        <f t="shared" si="75"/>
        <v>X</v>
      </c>
    </row>
    <row r="4929" spans="2:9" x14ac:dyDescent="0.35">
      <c r="B4929">
        <v>4926</v>
      </c>
      <c r="C4929">
        <v>146.07644440000001</v>
      </c>
      <c r="D4929">
        <v>-17.504824769999999</v>
      </c>
      <c r="G4929">
        <v>1</v>
      </c>
      <c r="H4929" t="s">
        <v>26</v>
      </c>
      <c r="I4929" t="str">
        <f t="shared" si="75"/>
        <v>X</v>
      </c>
    </row>
    <row r="4930" spans="2:9" x14ac:dyDescent="0.35">
      <c r="B4930">
        <v>4927</v>
      </c>
      <c r="C4930">
        <v>146.07653730000001</v>
      </c>
      <c r="D4930">
        <v>-17.50484028</v>
      </c>
      <c r="G4930">
        <v>1</v>
      </c>
      <c r="H4930" t="s">
        <v>26</v>
      </c>
      <c r="I4930" t="str">
        <f t="shared" si="75"/>
        <v>X</v>
      </c>
    </row>
    <row r="4931" spans="2:9" x14ac:dyDescent="0.35">
      <c r="B4931">
        <v>4928</v>
      </c>
      <c r="C4931">
        <v>146.07662690000001</v>
      </c>
      <c r="D4931">
        <v>-17.504866580000002</v>
      </c>
      <c r="G4931">
        <v>1</v>
      </c>
      <c r="H4931" t="s">
        <v>26</v>
      </c>
      <c r="I4931" t="str">
        <f t="shared" si="75"/>
        <v>X</v>
      </c>
    </row>
    <row r="4932" spans="2:9" x14ac:dyDescent="0.35">
      <c r="B4932">
        <v>4929</v>
      </c>
      <c r="C4932">
        <v>146.0767122</v>
      </c>
      <c r="D4932">
        <v>-17.504906760000001</v>
      </c>
      <c r="G4932">
        <v>1</v>
      </c>
      <c r="H4932" t="s">
        <v>26</v>
      </c>
      <c r="I4932" t="str">
        <f t="shared" si="75"/>
        <v>X</v>
      </c>
    </row>
    <row r="4933" spans="2:9" x14ac:dyDescent="0.35">
      <c r="B4933">
        <v>4930</v>
      </c>
      <c r="C4933">
        <v>146.07679379999999</v>
      </c>
      <c r="D4933">
        <v>-17.504952660000001</v>
      </c>
      <c r="G4933">
        <v>1</v>
      </c>
      <c r="H4933" t="s">
        <v>26</v>
      </c>
      <c r="I4933" t="str">
        <f t="shared" ref="I4933:I4938" si="76">IF(H4933="X","X",IF(J4933="NA","X",IF(J4933="","X",J4933)))</f>
        <v>X</v>
      </c>
    </row>
    <row r="4934" spans="2:9" x14ac:dyDescent="0.35">
      <c r="B4934">
        <v>4931</v>
      </c>
      <c r="C4934">
        <v>146.07686469999999</v>
      </c>
      <c r="D4934">
        <v>-17.50501483</v>
      </c>
      <c r="G4934">
        <v>1</v>
      </c>
      <c r="H4934" t="s">
        <v>26</v>
      </c>
      <c r="I4934" t="str">
        <f t="shared" si="76"/>
        <v>X</v>
      </c>
    </row>
    <row r="4935" spans="2:9" x14ac:dyDescent="0.35">
      <c r="B4935">
        <v>4932</v>
      </c>
      <c r="C4935">
        <v>146.0769349</v>
      </c>
      <c r="D4935">
        <v>-17.505077719999999</v>
      </c>
      <c r="G4935">
        <v>1</v>
      </c>
      <c r="H4935" t="s">
        <v>26</v>
      </c>
      <c r="I4935" t="str">
        <f t="shared" si="76"/>
        <v>X</v>
      </c>
    </row>
    <row r="4936" spans="2:9" x14ac:dyDescent="0.35">
      <c r="B4936">
        <v>4933</v>
      </c>
      <c r="C4936">
        <v>146.0770047</v>
      </c>
      <c r="D4936">
        <v>-17.505141129999998</v>
      </c>
      <c r="G4936">
        <v>1</v>
      </c>
      <c r="H4936" t="s">
        <v>26</v>
      </c>
      <c r="I4936" t="str">
        <f t="shared" si="76"/>
        <v>X</v>
      </c>
    </row>
    <row r="4937" spans="2:9" x14ac:dyDescent="0.35">
      <c r="B4937">
        <v>4934</v>
      </c>
      <c r="C4937">
        <v>146.07707450000001</v>
      </c>
      <c r="D4937">
        <v>-17.50520453</v>
      </c>
      <c r="G4937">
        <v>1</v>
      </c>
      <c r="H4937" t="s">
        <v>26</v>
      </c>
      <c r="I4937" t="str">
        <f t="shared" si="76"/>
        <v>X</v>
      </c>
    </row>
    <row r="4938" spans="2:9" x14ac:dyDescent="0.35">
      <c r="B4938">
        <v>4935</v>
      </c>
      <c r="C4938">
        <v>146.077146</v>
      </c>
      <c r="D4938">
        <v>-17.505266089999999</v>
      </c>
      <c r="G4938">
        <v>1</v>
      </c>
      <c r="H4938" t="s">
        <v>26</v>
      </c>
      <c r="I4938" t="str">
        <f t="shared" si="76"/>
        <v>X</v>
      </c>
    </row>
    <row r="4939" spans="2:9" hidden="1" x14ac:dyDescent="0.35">
      <c r="B4939">
        <v>4936</v>
      </c>
      <c r="C4939">
        <v>146.0772303</v>
      </c>
      <c r="D4939">
        <v>-17.505295319999998</v>
      </c>
    </row>
  </sheetData>
  <autoFilter ref="G3:W4939" xr:uid="{C4A1011B-B301-4EAF-8477-96B890CCFA16}">
    <filterColumn colId="0">
      <filters>
        <filter val="1"/>
        <filter val="2"/>
        <filter val="3"/>
        <filter val="4"/>
      </filters>
    </filterColumn>
  </autoFilter>
  <conditionalFormatting sqref="S4:V984">
    <cfRule type="containsText" dxfId="2" priority="1" operator="containsText" text="1">
      <formula>NOT(ISERROR(SEARCH("1",S4)))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populateData">
                <anchor moveWithCells="1" sizeWithCells="1">
                  <from>
                    <xdr:col>5</xdr:col>
                    <xdr:colOff>171450</xdr:colOff>
                    <xdr:row>2</xdr:row>
                    <xdr:rowOff>209550</xdr:rowOff>
                  </from>
                  <to>
                    <xdr:col>5</xdr:col>
                    <xdr:colOff>2546350</xdr:colOff>
                    <xdr:row>2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DB871-8A60-4E16-8D5C-EEF1E4CEBD14}">
  <sheetPr codeName="Sheet3"/>
  <dimension ref="A1:Z2767"/>
  <sheetViews>
    <sheetView zoomScale="70" zoomScaleNormal="70" workbookViewId="0">
      <pane ySplit="3" topLeftCell="A922" activePane="bottomLeft" state="frozen"/>
      <selection pane="bottomLeft" activeCell="M938" sqref="M918:N938"/>
    </sheetView>
  </sheetViews>
  <sheetFormatPr defaultRowHeight="14.5" x14ac:dyDescent="0.35"/>
  <cols>
    <col min="1" max="4" width="8.7265625" customWidth="1"/>
    <col min="5" max="5" width="6.26953125" bestFit="1" customWidth="1"/>
    <col min="6" max="6" width="22" customWidth="1"/>
    <col min="9" max="9" width="3.81640625" style="19" customWidth="1"/>
    <col min="10" max="10" width="3.81640625" style="17" customWidth="1"/>
    <col min="11" max="11" width="3.81640625" style="18" customWidth="1"/>
    <col min="12" max="12" width="3.81640625" style="17" customWidth="1"/>
    <col min="13" max="14" width="4" bestFit="1" customWidth="1"/>
    <col min="15" max="15" width="4" style="51" bestFit="1" customWidth="1"/>
    <col min="16" max="16" width="3.1796875" customWidth="1"/>
    <col min="17" max="17" width="3.1796875" style="21" customWidth="1"/>
    <col min="18" max="18" width="3.1796875" style="22" customWidth="1"/>
    <col min="19" max="19" width="3.1796875" style="42" customWidth="1"/>
    <col min="20" max="20" width="3.1796875" style="37" customWidth="1"/>
    <col min="21" max="21" width="3.1796875" style="38" customWidth="1"/>
    <col min="22" max="22" width="3.453125" style="45" customWidth="1"/>
  </cols>
  <sheetData>
    <row r="1" spans="1:26" x14ac:dyDescent="0.35">
      <c r="I1" s="52" t="s">
        <v>0</v>
      </c>
      <c r="J1" s="11" t="s">
        <v>32</v>
      </c>
      <c r="K1" s="12"/>
      <c r="L1" s="13"/>
      <c r="M1" s="14"/>
      <c r="N1" s="15"/>
      <c r="O1" s="48"/>
      <c r="P1" s="55" t="s">
        <v>33</v>
      </c>
      <c r="Q1" s="16"/>
      <c r="R1" s="16"/>
      <c r="S1" s="41"/>
      <c r="T1" s="35"/>
      <c r="U1" s="36"/>
      <c r="V1" s="44"/>
      <c r="Y1" t="s">
        <v>34</v>
      </c>
    </row>
    <row r="2" spans="1:26" x14ac:dyDescent="0.35">
      <c r="I2" s="53" t="s">
        <v>2</v>
      </c>
      <c r="M2" s="19"/>
      <c r="N2" s="20"/>
      <c r="O2" s="49"/>
      <c r="P2" s="56"/>
      <c r="Q2" s="22"/>
      <c r="Y2" s="58"/>
      <c r="Z2" t="s">
        <v>31</v>
      </c>
    </row>
    <row r="3" spans="1:26" ht="144.5" x14ac:dyDescent="0.35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4" t="s">
        <v>6930</v>
      </c>
      <c r="J3" s="23" t="s">
        <v>35</v>
      </c>
      <c r="K3" s="24" t="s">
        <v>36</v>
      </c>
      <c r="L3" s="23" t="s">
        <v>37</v>
      </c>
      <c r="M3" s="26" t="s">
        <v>38</v>
      </c>
      <c r="N3" s="27" t="s">
        <v>39</v>
      </c>
      <c r="O3" s="50" t="s">
        <v>40</v>
      </c>
      <c r="P3" s="57" t="s">
        <v>41</v>
      </c>
      <c r="Q3" s="28" t="s">
        <v>42</v>
      </c>
      <c r="R3" s="28" t="s">
        <v>43</v>
      </c>
      <c r="S3" s="43" t="s">
        <v>44</v>
      </c>
      <c r="T3" s="39" t="s">
        <v>45</v>
      </c>
      <c r="U3" s="40" t="s">
        <v>46</v>
      </c>
      <c r="V3" s="46" t="s">
        <v>47</v>
      </c>
      <c r="W3" t="s">
        <v>24</v>
      </c>
      <c r="Y3" t="s">
        <v>48</v>
      </c>
    </row>
    <row r="4" spans="1:26" x14ac:dyDescent="0.35">
      <c r="A4">
        <v>4</v>
      </c>
      <c r="B4">
        <v>5</v>
      </c>
      <c r="C4">
        <v>146.83135385599999</v>
      </c>
      <c r="D4">
        <v>-19.178080644000001</v>
      </c>
      <c r="E4">
        <v>50</v>
      </c>
      <c r="H4" t="s">
        <v>26</v>
      </c>
      <c r="I4"/>
      <c r="J4" s="29"/>
      <c r="K4" s="30"/>
      <c r="L4" s="29"/>
      <c r="O4" s="49"/>
      <c r="Q4" s="22"/>
      <c r="S4" s="22"/>
      <c r="V4" s="47"/>
      <c r="Y4">
        <v>1</v>
      </c>
      <c r="Z4" t="s">
        <v>49</v>
      </c>
    </row>
    <row r="5" spans="1:26" x14ac:dyDescent="0.35">
      <c r="A5">
        <v>9</v>
      </c>
      <c r="B5">
        <v>10</v>
      </c>
      <c r="C5">
        <v>146.831281676</v>
      </c>
      <c r="D5">
        <v>-19.177662816999899</v>
      </c>
      <c r="E5">
        <v>50</v>
      </c>
      <c r="H5" t="s">
        <v>26</v>
      </c>
      <c r="I5"/>
      <c r="J5" s="29"/>
      <c r="K5" s="30"/>
      <c r="L5" s="29"/>
      <c r="O5" s="49"/>
      <c r="Q5" s="22"/>
      <c r="S5" s="22"/>
      <c r="V5" s="47"/>
      <c r="Y5">
        <v>2</v>
      </c>
      <c r="Z5" t="s">
        <v>50</v>
      </c>
    </row>
    <row r="6" spans="1:26" x14ac:dyDescent="0.35">
      <c r="A6">
        <v>14</v>
      </c>
      <c r="B6">
        <v>15</v>
      </c>
      <c r="C6">
        <v>146.83130780100001</v>
      </c>
      <c r="D6">
        <v>-19.177244039000001</v>
      </c>
      <c r="E6">
        <v>50</v>
      </c>
      <c r="H6" t="s">
        <v>26</v>
      </c>
      <c r="I6"/>
      <c r="J6" s="29"/>
      <c r="K6" s="30"/>
      <c r="L6" s="29"/>
      <c r="O6" s="49"/>
      <c r="Q6" s="22"/>
      <c r="S6" s="22"/>
      <c r="V6" s="47"/>
      <c r="Y6">
        <v>3</v>
      </c>
      <c r="Z6" t="s">
        <v>51</v>
      </c>
    </row>
    <row r="7" spans="1:26" x14ac:dyDescent="0.35">
      <c r="A7">
        <v>19</v>
      </c>
      <c r="B7">
        <v>20</v>
      </c>
      <c r="C7">
        <v>146.83138349999999</v>
      </c>
      <c r="D7">
        <v>-19.176837540999902</v>
      </c>
      <c r="E7">
        <v>50</v>
      </c>
      <c r="H7" t="s">
        <v>26</v>
      </c>
      <c r="I7"/>
      <c r="J7" s="29"/>
      <c r="K7" s="30"/>
      <c r="L7" s="29"/>
      <c r="O7" s="49"/>
      <c r="Q7" s="22"/>
      <c r="S7" s="22"/>
      <c r="V7" s="47"/>
      <c r="Y7">
        <v>4</v>
      </c>
      <c r="Z7" t="s">
        <v>52</v>
      </c>
    </row>
    <row r="8" spans="1:26" x14ac:dyDescent="0.35">
      <c r="A8">
        <v>24</v>
      </c>
      <c r="B8">
        <v>25</v>
      </c>
      <c r="C8">
        <v>146.83124648500001</v>
      </c>
      <c r="D8">
        <v>-19.17643687</v>
      </c>
      <c r="E8">
        <v>50</v>
      </c>
      <c r="H8" t="s">
        <v>26</v>
      </c>
      <c r="I8"/>
      <c r="J8" s="29"/>
      <c r="K8" s="30"/>
      <c r="L8" s="29"/>
      <c r="O8" s="49"/>
      <c r="Q8" s="22"/>
      <c r="S8" s="22"/>
      <c r="V8" s="47"/>
    </row>
    <row r="9" spans="1:26" x14ac:dyDescent="0.35">
      <c r="A9">
        <v>29</v>
      </c>
      <c r="B9">
        <v>30</v>
      </c>
      <c r="C9">
        <v>146.83097987100001</v>
      </c>
      <c r="D9">
        <v>-19.176180443</v>
      </c>
      <c r="E9">
        <v>50</v>
      </c>
      <c r="H9" t="s">
        <v>26</v>
      </c>
      <c r="I9"/>
      <c r="J9" s="29"/>
      <c r="K9" s="30"/>
      <c r="L9" s="29"/>
      <c r="M9">
        <v>0</v>
      </c>
      <c r="N9">
        <v>0</v>
      </c>
      <c r="O9" s="49"/>
      <c r="P9">
        <v>0</v>
      </c>
      <c r="Q9" s="22"/>
      <c r="S9" s="22"/>
      <c r="V9" s="47"/>
    </row>
    <row r="10" spans="1:26" x14ac:dyDescent="0.35">
      <c r="A10">
        <v>34</v>
      </c>
      <c r="B10">
        <v>35</v>
      </c>
      <c r="C10">
        <v>146.83062179500001</v>
      </c>
      <c r="D10">
        <v>-19.176308864999999</v>
      </c>
      <c r="E10">
        <v>50</v>
      </c>
      <c r="F10" t="s">
        <v>3963</v>
      </c>
      <c r="I10">
        <v>0</v>
      </c>
      <c r="J10" s="29"/>
      <c r="K10" s="30"/>
      <c r="L10" s="29"/>
      <c r="M10">
        <v>0</v>
      </c>
      <c r="N10">
        <v>0</v>
      </c>
      <c r="O10" s="49"/>
      <c r="P10">
        <v>0</v>
      </c>
      <c r="Q10" s="22"/>
      <c r="S10" s="22"/>
      <c r="V10" s="47"/>
    </row>
    <row r="11" spans="1:26" x14ac:dyDescent="0.35">
      <c r="A11">
        <v>39</v>
      </c>
      <c r="B11">
        <v>40</v>
      </c>
      <c r="C11">
        <v>146.83041827400001</v>
      </c>
      <c r="D11">
        <v>-19.176572443999898</v>
      </c>
      <c r="E11">
        <v>50</v>
      </c>
      <c r="F11" t="s">
        <v>3968</v>
      </c>
      <c r="I11">
        <v>0</v>
      </c>
      <c r="J11" s="29"/>
      <c r="K11" s="30"/>
      <c r="L11" s="29"/>
      <c r="M11">
        <v>4</v>
      </c>
      <c r="N11">
        <v>3</v>
      </c>
      <c r="O11" s="49"/>
      <c r="P11">
        <v>4</v>
      </c>
      <c r="Q11" s="22"/>
      <c r="S11" s="22"/>
      <c r="V11" s="47"/>
      <c r="Y11" t="s">
        <v>45</v>
      </c>
    </row>
    <row r="12" spans="1:26" x14ac:dyDescent="0.35">
      <c r="A12">
        <v>44</v>
      </c>
      <c r="B12">
        <v>45</v>
      </c>
      <c r="C12">
        <v>146.830290015</v>
      </c>
      <c r="D12">
        <v>-19.17682701</v>
      </c>
      <c r="E12">
        <v>50</v>
      </c>
      <c r="F12" t="s">
        <v>3973</v>
      </c>
      <c r="I12">
        <v>1</v>
      </c>
      <c r="J12" s="29"/>
      <c r="K12" s="30"/>
      <c r="L12" s="29"/>
      <c r="M12">
        <v>4</v>
      </c>
      <c r="N12">
        <v>4</v>
      </c>
      <c r="O12" s="49"/>
      <c r="P12">
        <v>4</v>
      </c>
      <c r="Q12" s="22"/>
      <c r="S12" s="22"/>
      <c r="V12" s="47"/>
      <c r="Y12">
        <v>1</v>
      </c>
      <c r="Z12" t="s">
        <v>53</v>
      </c>
    </row>
    <row r="13" spans="1:26" x14ac:dyDescent="0.35">
      <c r="A13">
        <v>49</v>
      </c>
      <c r="B13">
        <v>50</v>
      </c>
      <c r="C13">
        <v>146.83006439600001</v>
      </c>
      <c r="D13">
        <v>-19.176498177999999</v>
      </c>
      <c r="E13">
        <v>50</v>
      </c>
      <c r="F13" t="s">
        <v>3978</v>
      </c>
      <c r="I13">
        <v>1</v>
      </c>
      <c r="J13" s="29"/>
      <c r="K13" s="30"/>
      <c r="L13" s="29"/>
      <c r="M13">
        <v>4</v>
      </c>
      <c r="N13">
        <v>3</v>
      </c>
      <c r="O13" s="49"/>
      <c r="P13">
        <v>3</v>
      </c>
      <c r="Q13" s="22"/>
      <c r="S13" s="22"/>
      <c r="V13" s="47"/>
      <c r="W13" t="s">
        <v>54</v>
      </c>
      <c r="Y13">
        <v>2</v>
      </c>
      <c r="Z13" t="s">
        <v>55</v>
      </c>
    </row>
    <row r="14" spans="1:26" x14ac:dyDescent="0.35">
      <c r="A14">
        <v>54</v>
      </c>
      <c r="B14">
        <v>55</v>
      </c>
      <c r="C14">
        <v>146.82983534900001</v>
      </c>
      <c r="D14">
        <v>-19.176181948</v>
      </c>
      <c r="E14">
        <v>50</v>
      </c>
      <c r="F14" t="s">
        <v>3983</v>
      </c>
      <c r="I14">
        <v>1</v>
      </c>
      <c r="J14" s="29"/>
      <c r="K14" s="30"/>
      <c r="L14" s="29"/>
      <c r="M14">
        <v>4</v>
      </c>
      <c r="N14">
        <v>4</v>
      </c>
      <c r="O14" s="49"/>
      <c r="P14">
        <v>3</v>
      </c>
      <c r="Q14" s="22"/>
      <c r="S14" s="22"/>
      <c r="V14" s="47"/>
      <c r="Y14">
        <v>3</v>
      </c>
      <c r="Z14" t="s">
        <v>56</v>
      </c>
    </row>
    <row r="15" spans="1:26" x14ac:dyDescent="0.35">
      <c r="A15">
        <v>59</v>
      </c>
      <c r="B15">
        <v>60</v>
      </c>
      <c r="C15">
        <v>146.82965798199999</v>
      </c>
      <c r="D15">
        <v>-19.175832827000001</v>
      </c>
      <c r="E15">
        <v>50</v>
      </c>
      <c r="F15" t="s">
        <v>3988</v>
      </c>
      <c r="I15">
        <v>1</v>
      </c>
      <c r="J15" s="29"/>
      <c r="K15" s="30"/>
      <c r="L15" s="29"/>
      <c r="M15">
        <v>4</v>
      </c>
      <c r="N15">
        <v>4</v>
      </c>
      <c r="O15" s="49"/>
      <c r="P15">
        <v>2</v>
      </c>
      <c r="Q15" s="22"/>
      <c r="S15" s="22"/>
      <c r="V15" s="47"/>
    </row>
    <row r="16" spans="1:26" x14ac:dyDescent="0.35">
      <c r="A16">
        <v>64</v>
      </c>
      <c r="B16">
        <v>65</v>
      </c>
      <c r="C16">
        <v>146.82943428999999</v>
      </c>
      <c r="D16">
        <v>-19.175487051999902</v>
      </c>
      <c r="E16">
        <v>50</v>
      </c>
      <c r="F16" t="s">
        <v>3993</v>
      </c>
      <c r="I16">
        <v>1</v>
      </c>
      <c r="J16" s="29"/>
      <c r="K16" s="30"/>
      <c r="L16" s="29"/>
      <c r="M16">
        <v>3</v>
      </c>
      <c r="N16">
        <v>4</v>
      </c>
      <c r="O16" s="49"/>
      <c r="P16">
        <v>2</v>
      </c>
      <c r="Q16" s="22"/>
      <c r="S16" s="22"/>
      <c r="V16" s="47"/>
      <c r="Y16" t="s">
        <v>57</v>
      </c>
    </row>
    <row r="17" spans="1:26" x14ac:dyDescent="0.35">
      <c r="A17">
        <v>69</v>
      </c>
      <c r="B17">
        <v>70</v>
      </c>
      <c r="C17">
        <v>146.829039997</v>
      </c>
      <c r="D17">
        <v>-19.175292082999899</v>
      </c>
      <c r="E17">
        <v>50</v>
      </c>
      <c r="F17" t="s">
        <v>3998</v>
      </c>
      <c r="I17">
        <v>1</v>
      </c>
      <c r="J17" s="29"/>
      <c r="K17" s="30"/>
      <c r="L17" s="29"/>
      <c r="M17">
        <v>4</v>
      </c>
      <c r="N17">
        <v>4</v>
      </c>
      <c r="O17" s="49"/>
      <c r="P17">
        <v>4</v>
      </c>
      <c r="Q17" s="22"/>
      <c r="S17" s="22"/>
      <c r="V17" s="47"/>
      <c r="Y17">
        <v>1</v>
      </c>
      <c r="Z17" t="s">
        <v>58</v>
      </c>
    </row>
    <row r="18" spans="1:26" x14ac:dyDescent="0.35">
      <c r="A18">
        <v>74</v>
      </c>
      <c r="B18">
        <v>75</v>
      </c>
      <c r="C18">
        <v>146.828660316</v>
      </c>
      <c r="D18">
        <v>-19.175096968999998</v>
      </c>
      <c r="E18">
        <v>50</v>
      </c>
      <c r="F18" t="s">
        <v>4003</v>
      </c>
      <c r="I18">
        <v>1</v>
      </c>
      <c r="J18" s="29"/>
      <c r="K18" s="30"/>
      <c r="L18" s="29"/>
      <c r="M18">
        <v>4</v>
      </c>
      <c r="N18">
        <v>4</v>
      </c>
      <c r="O18" s="49"/>
      <c r="P18">
        <v>4</v>
      </c>
      <c r="Q18" s="22"/>
      <c r="S18" s="22"/>
      <c r="V18" s="47"/>
      <c r="Y18">
        <v>2</v>
      </c>
      <c r="Z18" t="s">
        <v>59</v>
      </c>
    </row>
    <row r="19" spans="1:26" x14ac:dyDescent="0.35">
      <c r="A19">
        <v>79</v>
      </c>
      <c r="B19">
        <v>80</v>
      </c>
      <c r="C19">
        <v>146.82831158799999</v>
      </c>
      <c r="D19">
        <v>-19.174829598999999</v>
      </c>
      <c r="E19">
        <v>50</v>
      </c>
      <c r="F19" t="s">
        <v>4008</v>
      </c>
      <c r="I19">
        <v>1</v>
      </c>
      <c r="J19" s="29"/>
      <c r="K19" s="30"/>
      <c r="L19" s="29"/>
      <c r="M19">
        <v>4</v>
      </c>
      <c r="N19">
        <v>3</v>
      </c>
      <c r="O19" s="49"/>
      <c r="P19">
        <v>4</v>
      </c>
      <c r="Q19" s="22"/>
      <c r="S19" s="22"/>
      <c r="V19" s="47"/>
      <c r="Y19">
        <v>3</v>
      </c>
      <c r="Z19" t="s">
        <v>60</v>
      </c>
    </row>
    <row r="20" spans="1:26" x14ac:dyDescent="0.35">
      <c r="A20">
        <v>84</v>
      </c>
      <c r="B20">
        <v>85</v>
      </c>
      <c r="C20">
        <v>146.82795825900001</v>
      </c>
      <c r="D20">
        <v>-19.174568531999999</v>
      </c>
      <c r="E20">
        <v>50</v>
      </c>
      <c r="F20" t="s">
        <v>4013</v>
      </c>
      <c r="I20">
        <v>1</v>
      </c>
      <c r="J20" s="29"/>
      <c r="K20" s="30"/>
      <c r="L20" s="29"/>
      <c r="M20">
        <v>4</v>
      </c>
      <c r="N20">
        <v>4</v>
      </c>
      <c r="O20" s="49"/>
      <c r="P20">
        <v>4</v>
      </c>
      <c r="Q20" s="22"/>
      <c r="S20" s="22"/>
      <c r="V20" s="47"/>
    </row>
    <row r="21" spans="1:26" x14ac:dyDescent="0.35">
      <c r="A21">
        <v>89</v>
      </c>
      <c r="B21">
        <v>90</v>
      </c>
      <c r="C21">
        <v>146.827624786</v>
      </c>
      <c r="D21">
        <v>-19.174293142</v>
      </c>
      <c r="E21">
        <v>50</v>
      </c>
      <c r="F21" t="s">
        <v>4018</v>
      </c>
      <c r="I21">
        <v>1</v>
      </c>
      <c r="J21" s="29"/>
      <c r="K21" s="30"/>
      <c r="L21" s="29"/>
      <c r="M21">
        <v>4</v>
      </c>
      <c r="N21">
        <v>4</v>
      </c>
      <c r="O21" s="49"/>
      <c r="P21">
        <v>4</v>
      </c>
      <c r="Q21" s="22"/>
      <c r="S21" s="22"/>
      <c r="V21" s="47"/>
    </row>
    <row r="22" spans="1:26" x14ac:dyDescent="0.35">
      <c r="A22">
        <v>94</v>
      </c>
      <c r="B22">
        <v>95</v>
      </c>
      <c r="C22">
        <v>146.827351292</v>
      </c>
      <c r="D22">
        <v>-19.174027624000001</v>
      </c>
      <c r="E22">
        <v>50</v>
      </c>
      <c r="F22" t="s">
        <v>4023</v>
      </c>
      <c r="I22">
        <v>1</v>
      </c>
      <c r="J22" s="29"/>
      <c r="K22" s="30"/>
      <c r="L22" s="29"/>
      <c r="M22">
        <v>4</v>
      </c>
      <c r="N22">
        <v>3</v>
      </c>
      <c r="O22" s="49"/>
      <c r="P22">
        <v>4</v>
      </c>
      <c r="Q22" s="22"/>
      <c r="S22" s="22"/>
      <c r="V22" s="47"/>
      <c r="Y22" t="s">
        <v>61</v>
      </c>
    </row>
    <row r="23" spans="1:26" x14ac:dyDescent="0.35">
      <c r="A23">
        <v>99</v>
      </c>
      <c r="B23">
        <v>100</v>
      </c>
      <c r="C23">
        <v>146.826959499</v>
      </c>
      <c r="D23">
        <v>-19.173881983999902</v>
      </c>
      <c r="E23">
        <v>50</v>
      </c>
      <c r="F23" t="s">
        <v>4028</v>
      </c>
      <c r="I23">
        <v>1</v>
      </c>
      <c r="J23" s="29"/>
      <c r="K23" s="30"/>
      <c r="L23" s="29"/>
      <c r="O23" s="49"/>
      <c r="Q23" s="22"/>
      <c r="S23" s="22"/>
      <c r="V23" s="47"/>
      <c r="Y23">
        <v>1</v>
      </c>
      <c r="Z23" t="s">
        <v>58</v>
      </c>
    </row>
    <row r="24" spans="1:26" x14ac:dyDescent="0.35">
      <c r="A24">
        <v>104</v>
      </c>
      <c r="B24">
        <v>105</v>
      </c>
      <c r="C24">
        <v>146.826581358</v>
      </c>
      <c r="D24">
        <v>-19.173676733000001</v>
      </c>
      <c r="E24">
        <v>50</v>
      </c>
      <c r="F24" t="s">
        <v>4033</v>
      </c>
      <c r="I24">
        <v>0</v>
      </c>
      <c r="J24" s="29"/>
      <c r="K24" s="30"/>
      <c r="L24" s="29"/>
      <c r="M24">
        <v>4</v>
      </c>
      <c r="N24">
        <v>4</v>
      </c>
      <c r="O24" s="49"/>
      <c r="P24">
        <v>4</v>
      </c>
      <c r="Q24" s="22"/>
      <c r="S24" s="22"/>
      <c r="V24" s="47"/>
      <c r="Y24">
        <v>2</v>
      </c>
      <c r="Z24" t="s">
        <v>59</v>
      </c>
    </row>
    <row r="25" spans="1:26" x14ac:dyDescent="0.35">
      <c r="A25">
        <v>109</v>
      </c>
      <c r="B25">
        <v>110</v>
      </c>
      <c r="C25">
        <v>146.82627507800001</v>
      </c>
      <c r="D25">
        <v>-19.173382091000001</v>
      </c>
      <c r="E25">
        <v>50</v>
      </c>
      <c r="F25" t="s">
        <v>4038</v>
      </c>
      <c r="I25">
        <v>0</v>
      </c>
      <c r="J25" s="29"/>
      <c r="K25" s="30"/>
      <c r="L25" s="29"/>
      <c r="M25">
        <v>3</v>
      </c>
      <c r="N25">
        <v>3</v>
      </c>
      <c r="O25" s="49"/>
      <c r="P25">
        <v>4</v>
      </c>
      <c r="Q25" s="22"/>
      <c r="S25" s="22"/>
      <c r="V25" s="47"/>
      <c r="Y25">
        <v>3</v>
      </c>
      <c r="Z25" t="s">
        <v>60</v>
      </c>
    </row>
    <row r="26" spans="1:26" x14ac:dyDescent="0.35">
      <c r="A26">
        <v>114</v>
      </c>
      <c r="B26">
        <v>115</v>
      </c>
      <c r="C26">
        <v>146.82595698099999</v>
      </c>
      <c r="D26">
        <v>-19.173086289</v>
      </c>
      <c r="E26">
        <v>50</v>
      </c>
      <c r="F26" t="s">
        <v>4043</v>
      </c>
      <c r="I26">
        <v>1</v>
      </c>
      <c r="J26" s="29"/>
      <c r="K26" s="30"/>
      <c r="L26" s="29"/>
      <c r="M26">
        <v>4</v>
      </c>
      <c r="N26">
        <v>4</v>
      </c>
      <c r="O26" s="49"/>
      <c r="P26">
        <v>4</v>
      </c>
      <c r="Q26" s="22"/>
      <c r="S26" s="22"/>
      <c r="V26" s="47"/>
    </row>
    <row r="27" spans="1:26" x14ac:dyDescent="0.35">
      <c r="A27">
        <v>119</v>
      </c>
      <c r="B27">
        <v>120</v>
      </c>
      <c r="C27">
        <v>146.825651507</v>
      </c>
      <c r="D27">
        <v>-19.172775269999899</v>
      </c>
      <c r="E27">
        <v>50</v>
      </c>
      <c r="F27" t="s">
        <v>4048</v>
      </c>
      <c r="I27">
        <v>1</v>
      </c>
      <c r="J27" s="29"/>
      <c r="K27" s="30"/>
      <c r="L27" s="29"/>
      <c r="M27">
        <v>4</v>
      </c>
      <c r="N27">
        <v>4</v>
      </c>
      <c r="O27" s="49"/>
      <c r="P27">
        <v>4</v>
      </c>
      <c r="Q27" s="22"/>
      <c r="S27" s="22"/>
      <c r="V27" s="47"/>
    </row>
    <row r="28" spans="1:26" x14ac:dyDescent="0.35">
      <c r="A28">
        <v>124</v>
      </c>
      <c r="B28">
        <v>125</v>
      </c>
      <c r="C28">
        <v>146.825300129</v>
      </c>
      <c r="D28">
        <v>-19.172549404999899</v>
      </c>
      <c r="E28">
        <v>50</v>
      </c>
      <c r="F28" t="s">
        <v>4053</v>
      </c>
      <c r="I28">
        <v>1</v>
      </c>
      <c r="J28" s="29"/>
      <c r="K28" s="30"/>
      <c r="L28" s="29"/>
      <c r="M28">
        <v>4</v>
      </c>
      <c r="N28">
        <v>4</v>
      </c>
      <c r="O28" s="49"/>
      <c r="P28">
        <v>4</v>
      </c>
      <c r="Q28" s="22"/>
      <c r="S28" s="22"/>
      <c r="V28" s="47"/>
    </row>
    <row r="29" spans="1:26" x14ac:dyDescent="0.35">
      <c r="A29">
        <v>129</v>
      </c>
      <c r="B29">
        <v>130</v>
      </c>
      <c r="C29">
        <v>146.825019693</v>
      </c>
      <c r="D29">
        <v>-19.172218011999998</v>
      </c>
      <c r="E29">
        <v>50</v>
      </c>
      <c r="F29" t="s">
        <v>4058</v>
      </c>
      <c r="I29">
        <v>1</v>
      </c>
      <c r="J29" s="29"/>
      <c r="K29" s="30"/>
      <c r="L29" s="29"/>
      <c r="M29">
        <v>4</v>
      </c>
      <c r="N29">
        <v>4</v>
      </c>
      <c r="O29" s="49"/>
      <c r="P29">
        <v>4</v>
      </c>
      <c r="Q29" s="22"/>
      <c r="S29" s="22"/>
      <c r="V29" s="47"/>
    </row>
    <row r="30" spans="1:26" x14ac:dyDescent="0.35">
      <c r="A30">
        <v>134</v>
      </c>
      <c r="B30">
        <v>135</v>
      </c>
      <c r="C30">
        <v>146.82472145200001</v>
      </c>
      <c r="D30">
        <v>-19.171950624000001</v>
      </c>
      <c r="E30">
        <v>50</v>
      </c>
      <c r="F30" t="s">
        <v>4063</v>
      </c>
      <c r="I30">
        <v>1</v>
      </c>
      <c r="J30" s="29"/>
      <c r="K30" s="30"/>
      <c r="L30" s="29"/>
      <c r="M30">
        <v>1</v>
      </c>
      <c r="N30">
        <v>2</v>
      </c>
      <c r="O30" s="49"/>
      <c r="P30">
        <v>4</v>
      </c>
      <c r="Q30" s="22"/>
      <c r="S30" s="22"/>
      <c r="V30" s="47"/>
    </row>
    <row r="31" spans="1:26" x14ac:dyDescent="0.35">
      <c r="A31">
        <v>139</v>
      </c>
      <c r="B31">
        <v>140</v>
      </c>
      <c r="C31">
        <v>146.82447277</v>
      </c>
      <c r="D31">
        <v>-19.1716822449999</v>
      </c>
      <c r="E31">
        <v>50</v>
      </c>
      <c r="F31" t="s">
        <v>4068</v>
      </c>
      <c r="I31">
        <v>1</v>
      </c>
      <c r="J31" s="29"/>
      <c r="K31" s="30"/>
      <c r="L31" s="29"/>
      <c r="O31" s="49"/>
      <c r="Q31" s="22"/>
      <c r="S31" s="22"/>
      <c r="V31" s="47"/>
    </row>
    <row r="32" spans="1:26" x14ac:dyDescent="0.35">
      <c r="A32">
        <v>144</v>
      </c>
      <c r="B32">
        <v>145</v>
      </c>
      <c r="C32">
        <v>146.82417218099999</v>
      </c>
      <c r="D32">
        <v>-19.171374140000001</v>
      </c>
      <c r="E32">
        <v>50</v>
      </c>
      <c r="F32" t="s">
        <v>4073</v>
      </c>
      <c r="I32">
        <v>0</v>
      </c>
      <c r="J32" s="29"/>
      <c r="K32" s="30"/>
      <c r="L32" s="29"/>
      <c r="M32">
        <v>4</v>
      </c>
      <c r="N32">
        <v>4</v>
      </c>
      <c r="O32" s="49"/>
      <c r="P32">
        <v>3</v>
      </c>
      <c r="Q32" s="22"/>
      <c r="S32" s="22"/>
      <c r="V32" s="47"/>
    </row>
    <row r="33" spans="1:22" x14ac:dyDescent="0.35">
      <c r="A33">
        <v>149</v>
      </c>
      <c r="B33">
        <v>150</v>
      </c>
      <c r="C33">
        <v>146.82387107100001</v>
      </c>
      <c r="D33">
        <v>-19.171106371999901</v>
      </c>
      <c r="E33">
        <v>50</v>
      </c>
      <c r="F33" t="s">
        <v>4078</v>
      </c>
      <c r="I33">
        <v>1</v>
      </c>
      <c r="J33" s="29"/>
      <c r="K33" s="30"/>
      <c r="L33" s="29"/>
      <c r="M33">
        <v>4</v>
      </c>
      <c r="N33">
        <v>4</v>
      </c>
      <c r="O33" s="49"/>
      <c r="P33">
        <v>4</v>
      </c>
      <c r="Q33" s="22"/>
      <c r="S33" s="22"/>
      <c r="V33" s="47"/>
    </row>
    <row r="34" spans="1:22" x14ac:dyDescent="0.35">
      <c r="A34">
        <v>154</v>
      </c>
      <c r="B34">
        <v>155</v>
      </c>
      <c r="C34">
        <v>146.82350841600001</v>
      </c>
      <c r="D34">
        <v>-19.170884112</v>
      </c>
      <c r="E34">
        <v>50</v>
      </c>
      <c r="F34" t="s">
        <v>4083</v>
      </c>
      <c r="I34">
        <v>1</v>
      </c>
      <c r="J34" s="29"/>
      <c r="K34" s="30"/>
      <c r="L34" s="29"/>
      <c r="O34" s="49"/>
      <c r="Q34" s="22"/>
      <c r="S34" s="22"/>
      <c r="V34" s="47"/>
    </row>
    <row r="35" spans="1:22" x14ac:dyDescent="0.35">
      <c r="A35">
        <v>159</v>
      </c>
      <c r="B35">
        <v>160</v>
      </c>
      <c r="C35">
        <v>146.823210848</v>
      </c>
      <c r="D35">
        <v>-19.170614778999902</v>
      </c>
      <c r="E35">
        <v>50</v>
      </c>
      <c r="F35" t="s">
        <v>4088</v>
      </c>
      <c r="I35">
        <v>0</v>
      </c>
      <c r="J35" s="29"/>
      <c r="K35" s="30"/>
      <c r="L35" s="29"/>
      <c r="O35" s="49"/>
      <c r="Q35" s="22"/>
      <c r="S35" s="22"/>
      <c r="V35" s="47"/>
    </row>
    <row r="36" spans="1:22" x14ac:dyDescent="0.35">
      <c r="A36">
        <v>164</v>
      </c>
      <c r="B36">
        <v>165</v>
      </c>
      <c r="C36">
        <v>146.82283925499999</v>
      </c>
      <c r="D36">
        <v>-19.170424789999998</v>
      </c>
      <c r="E36">
        <v>50</v>
      </c>
      <c r="F36" t="s">
        <v>4093</v>
      </c>
      <c r="I36">
        <v>0</v>
      </c>
      <c r="J36" s="29"/>
      <c r="K36" s="30"/>
      <c r="L36" s="29"/>
      <c r="M36">
        <v>4</v>
      </c>
      <c r="N36">
        <v>4</v>
      </c>
      <c r="O36" s="49"/>
      <c r="P36">
        <v>4</v>
      </c>
      <c r="Q36" s="22"/>
      <c r="S36" s="22"/>
      <c r="V36" s="47"/>
    </row>
    <row r="37" spans="1:22" x14ac:dyDescent="0.35">
      <c r="A37">
        <v>169</v>
      </c>
      <c r="B37">
        <v>170</v>
      </c>
      <c r="C37">
        <v>146.82246583099999</v>
      </c>
      <c r="D37">
        <v>-19.170189036</v>
      </c>
      <c r="E37">
        <v>50</v>
      </c>
      <c r="F37" t="s">
        <v>4098</v>
      </c>
      <c r="I37">
        <v>0</v>
      </c>
      <c r="J37" s="29"/>
      <c r="K37" s="30"/>
      <c r="L37" s="29"/>
      <c r="M37">
        <v>4</v>
      </c>
      <c r="N37">
        <v>4</v>
      </c>
      <c r="O37" s="49"/>
      <c r="P37">
        <v>4</v>
      </c>
      <c r="Q37" s="22"/>
      <c r="S37" s="22"/>
      <c r="V37" s="47"/>
    </row>
    <row r="38" spans="1:22" x14ac:dyDescent="0.35">
      <c r="A38">
        <v>174</v>
      </c>
      <c r="B38">
        <v>175</v>
      </c>
      <c r="C38">
        <v>146.82203730500001</v>
      </c>
      <c r="D38">
        <v>-19.170063523</v>
      </c>
      <c r="E38">
        <v>50</v>
      </c>
      <c r="F38" t="s">
        <v>4103</v>
      </c>
      <c r="I38">
        <v>0</v>
      </c>
      <c r="J38" s="29"/>
      <c r="K38" s="30"/>
      <c r="L38" s="29"/>
      <c r="O38" s="49"/>
      <c r="Q38" s="22"/>
      <c r="S38" s="22"/>
      <c r="V38" s="47"/>
    </row>
    <row r="39" spans="1:22" x14ac:dyDescent="0.35">
      <c r="A39">
        <v>179</v>
      </c>
      <c r="B39">
        <v>180</v>
      </c>
      <c r="C39">
        <v>146.82160632700001</v>
      </c>
      <c r="D39">
        <v>-19.169944045000001</v>
      </c>
      <c r="E39">
        <v>50</v>
      </c>
      <c r="F39" t="s">
        <v>4108</v>
      </c>
      <c r="I39">
        <v>0</v>
      </c>
      <c r="J39" s="29"/>
      <c r="K39" s="30"/>
      <c r="L39" s="29"/>
      <c r="O39" s="49"/>
      <c r="Q39" s="22"/>
      <c r="S39" s="22"/>
      <c r="V39" s="47"/>
    </row>
    <row r="40" spans="1:22" x14ac:dyDescent="0.35">
      <c r="A40">
        <v>184</v>
      </c>
      <c r="B40">
        <v>185</v>
      </c>
      <c r="C40">
        <v>146.82120432400001</v>
      </c>
      <c r="D40">
        <v>-19.169759702</v>
      </c>
      <c r="E40">
        <v>50</v>
      </c>
      <c r="F40" t="s">
        <v>4113</v>
      </c>
      <c r="I40">
        <v>0</v>
      </c>
      <c r="J40" s="29"/>
      <c r="K40" s="30"/>
      <c r="L40" s="29"/>
      <c r="M40">
        <v>1</v>
      </c>
      <c r="N40">
        <v>4</v>
      </c>
      <c r="O40" s="49"/>
      <c r="P40">
        <v>3</v>
      </c>
      <c r="Q40" s="22"/>
      <c r="S40" s="22"/>
      <c r="V40" s="47"/>
    </row>
    <row r="41" spans="1:22" x14ac:dyDescent="0.35">
      <c r="A41">
        <v>189</v>
      </c>
      <c r="B41">
        <v>190</v>
      </c>
      <c r="C41">
        <v>146.820810728</v>
      </c>
      <c r="D41">
        <v>-19.169555402999901</v>
      </c>
      <c r="E41">
        <v>50</v>
      </c>
      <c r="F41" t="s">
        <v>4118</v>
      </c>
      <c r="I41">
        <v>0</v>
      </c>
      <c r="J41" s="29"/>
      <c r="K41" s="30"/>
      <c r="L41" s="29"/>
      <c r="M41">
        <v>3</v>
      </c>
      <c r="N41">
        <v>2</v>
      </c>
      <c r="O41" s="49"/>
      <c r="P41">
        <v>4</v>
      </c>
      <c r="Q41" s="22"/>
      <c r="S41" s="22"/>
      <c r="V41" s="47"/>
    </row>
    <row r="42" spans="1:22" x14ac:dyDescent="0.35">
      <c r="A42">
        <v>194</v>
      </c>
      <c r="B42">
        <v>195</v>
      </c>
      <c r="C42">
        <v>146.82041275099999</v>
      </c>
      <c r="D42">
        <v>-19.169358725999899</v>
      </c>
      <c r="E42">
        <v>50</v>
      </c>
      <c r="F42" t="s">
        <v>4123</v>
      </c>
      <c r="I42">
        <v>1</v>
      </c>
      <c r="J42" s="29"/>
      <c r="K42" s="30"/>
      <c r="L42" s="29"/>
      <c r="M42">
        <v>3</v>
      </c>
      <c r="N42">
        <v>3</v>
      </c>
      <c r="O42" s="49"/>
      <c r="P42">
        <v>4</v>
      </c>
      <c r="Q42" s="22"/>
      <c r="S42" s="22"/>
      <c r="V42" s="47"/>
    </row>
    <row r="43" spans="1:22" x14ac:dyDescent="0.35">
      <c r="A43">
        <v>199</v>
      </c>
      <c r="B43">
        <v>200</v>
      </c>
      <c r="C43">
        <v>146.82002005800001</v>
      </c>
      <c r="D43">
        <v>-19.169152796999999</v>
      </c>
      <c r="E43">
        <v>50</v>
      </c>
      <c r="F43" t="s">
        <v>4128</v>
      </c>
      <c r="I43">
        <v>1</v>
      </c>
      <c r="J43" s="29"/>
      <c r="K43" s="30"/>
      <c r="L43" s="29"/>
      <c r="M43">
        <v>4</v>
      </c>
      <c r="N43">
        <v>3</v>
      </c>
      <c r="O43" s="49"/>
      <c r="P43">
        <v>4</v>
      </c>
      <c r="Q43" s="22"/>
      <c r="S43" s="22"/>
      <c r="V43" s="47"/>
    </row>
    <row r="44" spans="1:22" x14ac:dyDescent="0.35">
      <c r="A44">
        <v>204</v>
      </c>
      <c r="B44">
        <v>205</v>
      </c>
      <c r="C44">
        <v>146.81962779</v>
      </c>
      <c r="D44">
        <v>-19.168946141999999</v>
      </c>
      <c r="E44">
        <v>50</v>
      </c>
      <c r="F44" t="s">
        <v>4132</v>
      </c>
      <c r="I44">
        <v>1</v>
      </c>
      <c r="J44" s="29"/>
      <c r="K44" s="30"/>
      <c r="L44" s="29"/>
      <c r="M44">
        <v>4</v>
      </c>
      <c r="N44">
        <v>4</v>
      </c>
      <c r="O44" s="49"/>
      <c r="P44">
        <v>3</v>
      </c>
      <c r="Q44" s="22"/>
      <c r="S44" s="22"/>
      <c r="V44" s="47"/>
    </row>
    <row r="45" spans="1:22" x14ac:dyDescent="0.35">
      <c r="A45">
        <v>209</v>
      </c>
      <c r="B45">
        <v>210</v>
      </c>
      <c r="C45">
        <v>146.81922746399999</v>
      </c>
      <c r="D45">
        <v>-19.168755099999899</v>
      </c>
      <c r="E45">
        <v>50</v>
      </c>
      <c r="F45" t="s">
        <v>4137</v>
      </c>
      <c r="I45">
        <v>1</v>
      </c>
      <c r="J45" s="29"/>
      <c r="K45" s="30"/>
      <c r="L45" s="29"/>
      <c r="M45">
        <v>4</v>
      </c>
      <c r="N45">
        <v>4</v>
      </c>
      <c r="O45" s="49"/>
      <c r="P45">
        <v>3</v>
      </c>
      <c r="Q45" s="22"/>
      <c r="S45" s="22"/>
      <c r="V45" s="47"/>
    </row>
    <row r="46" spans="1:22" x14ac:dyDescent="0.35">
      <c r="A46">
        <v>214</v>
      </c>
      <c r="B46">
        <v>215</v>
      </c>
      <c r="C46">
        <v>146.81881372000001</v>
      </c>
      <c r="D46">
        <v>-19.168590025999901</v>
      </c>
      <c r="E46">
        <v>50</v>
      </c>
      <c r="F46" t="s">
        <v>4142</v>
      </c>
      <c r="I46">
        <v>1</v>
      </c>
      <c r="J46" s="29"/>
      <c r="K46" s="30"/>
      <c r="L46" s="29"/>
      <c r="M46">
        <v>4</v>
      </c>
      <c r="N46">
        <v>4</v>
      </c>
      <c r="O46" s="49"/>
      <c r="P46">
        <v>4</v>
      </c>
      <c r="Q46" s="22"/>
      <c r="S46" s="22"/>
      <c r="V46" s="47"/>
    </row>
    <row r="47" spans="1:22" x14ac:dyDescent="0.35">
      <c r="A47">
        <v>219</v>
      </c>
      <c r="B47">
        <v>220</v>
      </c>
      <c r="C47">
        <v>146.818393235</v>
      </c>
      <c r="D47">
        <v>-19.168440873000002</v>
      </c>
      <c r="E47">
        <v>50</v>
      </c>
      <c r="F47" t="s">
        <v>4147</v>
      </c>
      <c r="I47">
        <v>1</v>
      </c>
      <c r="J47" s="29"/>
      <c r="K47" s="30"/>
      <c r="L47" s="29"/>
      <c r="M47">
        <v>4</v>
      </c>
      <c r="N47">
        <v>4</v>
      </c>
      <c r="O47" s="49"/>
      <c r="P47">
        <v>4</v>
      </c>
      <c r="Q47" s="22"/>
      <c r="S47" s="22"/>
      <c r="V47" s="47"/>
    </row>
    <row r="48" spans="1:22" x14ac:dyDescent="0.35">
      <c r="A48">
        <v>224</v>
      </c>
      <c r="B48">
        <v>225</v>
      </c>
      <c r="C48">
        <v>146.81795802100001</v>
      </c>
      <c r="D48">
        <v>-19.168338380000002</v>
      </c>
      <c r="E48">
        <v>50</v>
      </c>
      <c r="F48" t="s">
        <v>4152</v>
      </c>
      <c r="I48">
        <v>1</v>
      </c>
      <c r="J48" s="29"/>
      <c r="K48" s="30"/>
      <c r="L48" s="29"/>
      <c r="M48">
        <v>4</v>
      </c>
      <c r="N48">
        <v>3</v>
      </c>
      <c r="O48" s="49"/>
      <c r="P48">
        <v>4</v>
      </c>
      <c r="Q48" s="22"/>
      <c r="S48" s="22"/>
      <c r="V48" s="47"/>
    </row>
    <row r="49" spans="1:22" x14ac:dyDescent="0.35">
      <c r="A49">
        <v>229</v>
      </c>
      <c r="B49">
        <v>230</v>
      </c>
      <c r="C49">
        <v>146.81752893000001</v>
      </c>
      <c r="D49">
        <v>-19.168214378999899</v>
      </c>
      <c r="E49">
        <v>50</v>
      </c>
      <c r="F49" t="s">
        <v>4157</v>
      </c>
      <c r="I49">
        <v>1</v>
      </c>
      <c r="J49" s="29"/>
      <c r="K49" s="30"/>
      <c r="L49" s="29"/>
      <c r="M49">
        <v>4</v>
      </c>
      <c r="N49">
        <v>4</v>
      </c>
      <c r="O49" s="49"/>
      <c r="P49">
        <v>4</v>
      </c>
      <c r="Q49" s="22"/>
      <c r="S49" s="22"/>
      <c r="V49" s="47"/>
    </row>
    <row r="50" spans="1:22" x14ac:dyDescent="0.35">
      <c r="A50">
        <v>234</v>
      </c>
      <c r="B50">
        <v>235</v>
      </c>
      <c r="C50">
        <v>146.817111764</v>
      </c>
      <c r="D50">
        <v>-19.168058548000001</v>
      </c>
      <c r="E50">
        <v>50</v>
      </c>
      <c r="F50" t="s">
        <v>4162</v>
      </c>
      <c r="I50">
        <v>1</v>
      </c>
      <c r="J50" s="29"/>
      <c r="K50" s="30"/>
      <c r="L50" s="29"/>
      <c r="M50">
        <v>4</v>
      </c>
      <c r="N50">
        <v>4</v>
      </c>
      <c r="O50" s="49"/>
      <c r="P50">
        <v>4</v>
      </c>
      <c r="Q50" s="22"/>
      <c r="S50" s="22"/>
      <c r="V50" s="47"/>
    </row>
    <row r="51" spans="1:22" x14ac:dyDescent="0.35">
      <c r="A51">
        <v>239</v>
      </c>
      <c r="B51">
        <v>240</v>
      </c>
      <c r="C51">
        <v>146.81669754699999</v>
      </c>
      <c r="D51">
        <v>-19.167898733999898</v>
      </c>
      <c r="E51">
        <v>50</v>
      </c>
      <c r="F51" t="s">
        <v>4167</v>
      </c>
      <c r="I51">
        <v>1</v>
      </c>
      <c r="J51" s="29"/>
      <c r="K51" s="30"/>
      <c r="L51" s="29"/>
      <c r="M51">
        <v>4</v>
      </c>
      <c r="N51">
        <v>4</v>
      </c>
      <c r="O51" s="49"/>
      <c r="P51">
        <v>4</v>
      </c>
      <c r="Q51" s="22"/>
      <c r="S51" s="22"/>
      <c r="V51" s="47"/>
    </row>
    <row r="52" spans="1:22" x14ac:dyDescent="0.35">
      <c r="A52">
        <v>244</v>
      </c>
      <c r="B52">
        <v>245</v>
      </c>
      <c r="C52">
        <v>146.816305164</v>
      </c>
      <c r="D52">
        <v>-19.167766069999999</v>
      </c>
      <c r="E52">
        <v>50</v>
      </c>
      <c r="F52" t="s">
        <v>4172</v>
      </c>
      <c r="I52">
        <v>1</v>
      </c>
      <c r="J52" s="29"/>
      <c r="K52" s="30"/>
      <c r="L52" s="29"/>
      <c r="M52">
        <v>4</v>
      </c>
      <c r="N52">
        <v>4</v>
      </c>
      <c r="O52" s="49"/>
      <c r="P52">
        <v>4</v>
      </c>
      <c r="Q52" s="22"/>
      <c r="S52" s="22"/>
      <c r="V52" s="47"/>
    </row>
    <row r="53" spans="1:22" x14ac:dyDescent="0.35">
      <c r="A53">
        <v>249</v>
      </c>
      <c r="B53">
        <v>250</v>
      </c>
      <c r="C53">
        <v>146.815926486</v>
      </c>
      <c r="D53">
        <v>-19.1675895549999</v>
      </c>
      <c r="E53">
        <v>50</v>
      </c>
      <c r="F53" t="s">
        <v>4177</v>
      </c>
      <c r="I53">
        <v>1</v>
      </c>
      <c r="J53" s="29"/>
      <c r="K53" s="30"/>
      <c r="L53" s="29"/>
      <c r="M53">
        <v>4</v>
      </c>
      <c r="N53">
        <v>4</v>
      </c>
      <c r="O53" s="49"/>
      <c r="P53">
        <v>4</v>
      </c>
      <c r="Q53" s="22"/>
      <c r="S53" s="22"/>
      <c r="V53" s="47"/>
    </row>
    <row r="54" spans="1:22" x14ac:dyDescent="0.35">
      <c r="A54">
        <v>254</v>
      </c>
      <c r="B54">
        <v>255</v>
      </c>
      <c r="C54">
        <v>146.81554901000001</v>
      </c>
      <c r="D54">
        <v>-19.167435386000001</v>
      </c>
      <c r="E54">
        <v>50</v>
      </c>
      <c r="F54" t="s">
        <v>4182</v>
      </c>
      <c r="I54">
        <v>1</v>
      </c>
      <c r="J54" s="29"/>
      <c r="K54" s="30"/>
      <c r="L54" s="29"/>
      <c r="M54">
        <v>4</v>
      </c>
      <c r="N54">
        <v>4</v>
      </c>
      <c r="O54" s="49"/>
      <c r="P54">
        <v>4</v>
      </c>
      <c r="Q54" s="22"/>
      <c r="S54" s="22"/>
      <c r="V54" s="47"/>
    </row>
    <row r="55" spans="1:22" x14ac:dyDescent="0.35">
      <c r="A55">
        <v>259</v>
      </c>
      <c r="B55">
        <v>260</v>
      </c>
      <c r="C55">
        <v>146.81512883100001</v>
      </c>
      <c r="D55">
        <v>-19.167303224000001</v>
      </c>
      <c r="E55">
        <v>50</v>
      </c>
      <c r="F55" t="s">
        <v>4187</v>
      </c>
      <c r="I55">
        <v>1</v>
      </c>
      <c r="J55" s="29"/>
      <c r="K55" s="30"/>
      <c r="L55" s="29"/>
      <c r="M55">
        <v>4</v>
      </c>
      <c r="N55">
        <v>4</v>
      </c>
      <c r="O55" s="49"/>
      <c r="P55">
        <v>3</v>
      </c>
      <c r="Q55" s="22"/>
      <c r="S55" s="22"/>
      <c r="V55" s="47"/>
    </row>
    <row r="56" spans="1:22" x14ac:dyDescent="0.35">
      <c r="A56">
        <v>264</v>
      </c>
      <c r="B56">
        <v>265</v>
      </c>
      <c r="C56">
        <v>146.81476608899999</v>
      </c>
      <c r="D56">
        <v>-19.167071898</v>
      </c>
      <c r="E56">
        <v>50</v>
      </c>
      <c r="F56" t="s">
        <v>4192</v>
      </c>
      <c r="I56">
        <v>1</v>
      </c>
      <c r="J56" s="29"/>
      <c r="K56" s="30"/>
      <c r="L56" s="29"/>
      <c r="M56">
        <v>4</v>
      </c>
      <c r="N56">
        <v>3</v>
      </c>
      <c r="O56" s="49"/>
      <c r="P56">
        <v>4</v>
      </c>
      <c r="Q56" s="22"/>
      <c r="S56" s="22"/>
      <c r="V56" s="47"/>
    </row>
    <row r="57" spans="1:22" x14ac:dyDescent="0.35">
      <c r="A57">
        <v>269</v>
      </c>
      <c r="B57">
        <v>270</v>
      </c>
      <c r="C57">
        <v>146.81441253700001</v>
      </c>
      <c r="D57">
        <v>-19.166840787999899</v>
      </c>
      <c r="E57">
        <v>50</v>
      </c>
      <c r="F57" t="s">
        <v>4196</v>
      </c>
      <c r="I57">
        <v>1</v>
      </c>
      <c r="J57" s="29"/>
      <c r="K57" s="30"/>
      <c r="L57" s="29"/>
      <c r="M57">
        <v>4</v>
      </c>
      <c r="N57">
        <v>4</v>
      </c>
      <c r="O57" s="49"/>
      <c r="P57">
        <v>4</v>
      </c>
      <c r="Q57" s="22"/>
      <c r="S57" s="22"/>
      <c r="V57" s="47"/>
    </row>
    <row r="58" spans="1:22" x14ac:dyDescent="0.35">
      <c r="A58">
        <v>274</v>
      </c>
      <c r="B58">
        <v>275</v>
      </c>
      <c r="C58">
        <v>146.81404942899999</v>
      </c>
      <c r="D58">
        <v>-19.1665912469999</v>
      </c>
      <c r="E58">
        <v>50</v>
      </c>
      <c r="F58" t="s">
        <v>4201</v>
      </c>
      <c r="I58">
        <v>1</v>
      </c>
      <c r="J58" s="29"/>
      <c r="K58" s="30"/>
      <c r="L58" s="29"/>
      <c r="M58">
        <v>4</v>
      </c>
      <c r="N58">
        <v>4</v>
      </c>
      <c r="O58" s="49"/>
      <c r="P58">
        <v>4</v>
      </c>
      <c r="Q58" s="22"/>
      <c r="S58" s="22"/>
      <c r="V58" s="47"/>
    </row>
    <row r="59" spans="1:22" x14ac:dyDescent="0.35">
      <c r="A59">
        <v>279</v>
      </c>
      <c r="B59">
        <v>280</v>
      </c>
      <c r="C59">
        <v>146.813680371</v>
      </c>
      <c r="D59">
        <v>-19.166349881999999</v>
      </c>
      <c r="E59">
        <v>50</v>
      </c>
      <c r="F59" t="s">
        <v>4206</v>
      </c>
      <c r="I59">
        <v>1</v>
      </c>
      <c r="J59" s="29"/>
      <c r="K59" s="30"/>
      <c r="L59" s="29"/>
      <c r="M59">
        <v>4</v>
      </c>
      <c r="N59">
        <v>4</v>
      </c>
      <c r="O59" s="49"/>
      <c r="P59">
        <v>4</v>
      </c>
      <c r="Q59" s="22"/>
      <c r="S59" s="22"/>
      <c r="V59" s="47"/>
    </row>
    <row r="60" spans="1:22" x14ac:dyDescent="0.35">
      <c r="A60">
        <v>284</v>
      </c>
      <c r="B60">
        <v>285</v>
      </c>
      <c r="C60">
        <v>146.813302037</v>
      </c>
      <c r="D60">
        <v>-19.166121215</v>
      </c>
      <c r="E60">
        <v>50</v>
      </c>
      <c r="F60" t="s">
        <v>4211</v>
      </c>
      <c r="I60">
        <v>1</v>
      </c>
      <c r="J60" s="29"/>
      <c r="K60" s="30"/>
      <c r="L60" s="29"/>
      <c r="M60">
        <v>4</v>
      </c>
      <c r="N60">
        <v>4</v>
      </c>
      <c r="O60" s="49"/>
      <c r="P60">
        <v>4</v>
      </c>
      <c r="Q60" s="22"/>
      <c r="S60" s="22"/>
      <c r="V60" s="47"/>
    </row>
    <row r="61" spans="1:22" x14ac:dyDescent="0.35">
      <c r="A61">
        <v>289</v>
      </c>
      <c r="B61">
        <v>290</v>
      </c>
      <c r="C61">
        <v>146.81292769999999</v>
      </c>
      <c r="D61">
        <v>-19.165886759999999</v>
      </c>
      <c r="E61">
        <v>50</v>
      </c>
      <c r="F61" t="s">
        <v>4216</v>
      </c>
      <c r="I61">
        <v>1</v>
      </c>
      <c r="J61" s="29"/>
      <c r="K61" s="30"/>
      <c r="L61" s="29"/>
      <c r="M61">
        <v>4</v>
      </c>
      <c r="N61">
        <v>4</v>
      </c>
      <c r="O61" s="49"/>
      <c r="P61">
        <v>4</v>
      </c>
      <c r="Q61" s="22"/>
      <c r="S61" s="22"/>
      <c r="V61" s="47"/>
    </row>
    <row r="62" spans="1:22" x14ac:dyDescent="0.35">
      <c r="A62">
        <v>294</v>
      </c>
      <c r="B62">
        <v>295</v>
      </c>
      <c r="C62">
        <v>146.81256202899999</v>
      </c>
      <c r="D62">
        <v>-19.165640924999899</v>
      </c>
      <c r="E62">
        <v>50</v>
      </c>
      <c r="F62" t="s">
        <v>4221</v>
      </c>
      <c r="I62">
        <v>1</v>
      </c>
      <c r="J62" s="29"/>
      <c r="K62" s="30"/>
      <c r="L62" s="29"/>
      <c r="M62">
        <v>4</v>
      </c>
      <c r="N62">
        <v>4</v>
      </c>
      <c r="O62" s="49"/>
      <c r="P62">
        <v>4</v>
      </c>
      <c r="Q62" s="22"/>
      <c r="S62" s="22"/>
      <c r="V62" s="47"/>
    </row>
    <row r="63" spans="1:22" x14ac:dyDescent="0.35">
      <c r="A63">
        <v>299</v>
      </c>
      <c r="B63">
        <v>300</v>
      </c>
      <c r="C63">
        <v>146.81220842499999</v>
      </c>
      <c r="D63">
        <v>-19.1653793159999</v>
      </c>
      <c r="E63">
        <v>50</v>
      </c>
      <c r="F63" t="s">
        <v>4226</v>
      </c>
      <c r="I63">
        <v>1</v>
      </c>
      <c r="J63" s="29"/>
      <c r="K63" s="30"/>
      <c r="L63" s="29"/>
      <c r="M63">
        <v>4</v>
      </c>
      <c r="N63">
        <v>4</v>
      </c>
      <c r="O63" s="49"/>
      <c r="P63">
        <v>3</v>
      </c>
      <c r="Q63" s="22"/>
      <c r="S63" s="22"/>
      <c r="V63" s="47"/>
    </row>
    <row r="64" spans="1:22" x14ac:dyDescent="0.35">
      <c r="A64">
        <v>304</v>
      </c>
      <c r="B64">
        <v>305</v>
      </c>
      <c r="C64">
        <v>146.81183656900001</v>
      </c>
      <c r="D64">
        <v>-19.1651417859999</v>
      </c>
      <c r="E64">
        <v>50</v>
      </c>
      <c r="F64" t="s">
        <v>4231</v>
      </c>
      <c r="I64">
        <v>1</v>
      </c>
      <c r="J64" s="29"/>
      <c r="K64" s="30"/>
      <c r="L64" s="29"/>
      <c r="M64">
        <v>4</v>
      </c>
      <c r="N64">
        <v>4</v>
      </c>
      <c r="O64" s="49"/>
      <c r="P64">
        <v>4</v>
      </c>
      <c r="Q64" s="22"/>
      <c r="S64" s="22"/>
      <c r="V64" s="47"/>
    </row>
    <row r="65" spans="1:22" x14ac:dyDescent="0.35">
      <c r="A65">
        <v>309</v>
      </c>
      <c r="B65">
        <v>310</v>
      </c>
      <c r="C65">
        <v>146.81145880400001</v>
      </c>
      <c r="D65">
        <v>-19.164912521000002</v>
      </c>
      <c r="E65">
        <v>50</v>
      </c>
      <c r="F65" t="s">
        <v>4236</v>
      </c>
      <c r="I65">
        <v>1</v>
      </c>
      <c r="J65" s="29"/>
      <c r="K65" s="30"/>
      <c r="L65" s="29"/>
      <c r="M65">
        <v>2</v>
      </c>
      <c r="N65">
        <v>4</v>
      </c>
      <c r="O65" s="49"/>
      <c r="P65">
        <v>4</v>
      </c>
      <c r="Q65" s="22"/>
      <c r="S65" s="22"/>
      <c r="V65" s="47"/>
    </row>
    <row r="66" spans="1:22" x14ac:dyDescent="0.35">
      <c r="A66">
        <v>314</v>
      </c>
      <c r="B66">
        <v>315</v>
      </c>
      <c r="C66">
        <v>146.81106529799999</v>
      </c>
      <c r="D66">
        <v>-19.164710243999899</v>
      </c>
      <c r="E66">
        <v>50</v>
      </c>
      <c r="F66" t="s">
        <v>4241</v>
      </c>
      <c r="I66">
        <v>0</v>
      </c>
      <c r="J66" s="29"/>
      <c r="K66" s="30"/>
      <c r="L66" s="29"/>
      <c r="M66">
        <v>4</v>
      </c>
      <c r="N66">
        <v>4</v>
      </c>
      <c r="O66" s="49"/>
      <c r="P66">
        <v>4</v>
      </c>
      <c r="Q66" s="22"/>
      <c r="S66" s="22"/>
      <c r="V66" s="47"/>
    </row>
    <row r="67" spans="1:22" x14ac:dyDescent="0.35">
      <c r="A67">
        <v>319</v>
      </c>
      <c r="B67">
        <v>320</v>
      </c>
      <c r="C67">
        <v>146.81066126900001</v>
      </c>
      <c r="D67">
        <v>-19.1645281629999</v>
      </c>
      <c r="E67">
        <v>50</v>
      </c>
      <c r="F67" t="s">
        <v>4246</v>
      </c>
      <c r="I67">
        <v>1</v>
      </c>
      <c r="J67" s="29"/>
      <c r="K67" s="30"/>
      <c r="L67" s="29"/>
      <c r="M67">
        <v>4</v>
      </c>
      <c r="N67">
        <v>4</v>
      </c>
      <c r="O67" s="49"/>
      <c r="P67">
        <v>4</v>
      </c>
      <c r="Q67" s="22"/>
      <c r="S67" s="22"/>
      <c r="V67" s="47"/>
    </row>
    <row r="68" spans="1:22" x14ac:dyDescent="0.35">
      <c r="A68">
        <v>324</v>
      </c>
      <c r="B68">
        <v>325</v>
      </c>
      <c r="C68">
        <v>146.810282817</v>
      </c>
      <c r="D68">
        <v>-19.164300566000001</v>
      </c>
      <c r="E68">
        <v>50</v>
      </c>
      <c r="F68" t="s">
        <v>4251</v>
      </c>
      <c r="I68">
        <v>1</v>
      </c>
      <c r="J68" s="29"/>
      <c r="K68" s="30"/>
      <c r="L68" s="29"/>
      <c r="M68">
        <v>3</v>
      </c>
      <c r="N68">
        <v>2</v>
      </c>
      <c r="O68" s="49"/>
      <c r="P68">
        <v>4</v>
      </c>
      <c r="Q68" s="22"/>
      <c r="S68" s="22"/>
      <c r="V68" s="47"/>
    </row>
    <row r="69" spans="1:22" x14ac:dyDescent="0.35">
      <c r="A69">
        <v>329</v>
      </c>
      <c r="B69">
        <v>330</v>
      </c>
      <c r="C69">
        <v>146.80987428700001</v>
      </c>
      <c r="D69">
        <v>-19.164129997</v>
      </c>
      <c r="E69">
        <v>50</v>
      </c>
      <c r="F69" t="s">
        <v>4256</v>
      </c>
      <c r="I69">
        <v>1</v>
      </c>
      <c r="J69" s="29"/>
      <c r="K69" s="30"/>
      <c r="L69" s="29"/>
      <c r="O69" s="49"/>
      <c r="Q69" s="22"/>
      <c r="S69" s="22"/>
      <c r="V69" s="47"/>
    </row>
    <row r="70" spans="1:22" x14ac:dyDescent="0.35">
      <c r="A70">
        <v>334</v>
      </c>
      <c r="B70">
        <v>335</v>
      </c>
      <c r="C70">
        <v>146.809504715</v>
      </c>
      <c r="D70">
        <v>-19.163889716</v>
      </c>
      <c r="E70">
        <v>50</v>
      </c>
      <c r="F70" t="s">
        <v>4261</v>
      </c>
      <c r="I70">
        <v>0</v>
      </c>
      <c r="J70" s="29"/>
      <c r="K70" s="30"/>
      <c r="L70" s="29"/>
      <c r="M70">
        <v>4</v>
      </c>
      <c r="N70">
        <v>3</v>
      </c>
      <c r="O70" s="49"/>
      <c r="P70">
        <v>4</v>
      </c>
      <c r="Q70" s="22"/>
      <c r="S70" s="22"/>
      <c r="V70" s="47"/>
    </row>
    <row r="71" spans="1:22" x14ac:dyDescent="0.35">
      <c r="A71">
        <v>339</v>
      </c>
      <c r="B71">
        <v>340</v>
      </c>
      <c r="C71">
        <v>146.809118781</v>
      </c>
      <c r="D71">
        <v>-19.163673288999998</v>
      </c>
      <c r="E71">
        <v>50</v>
      </c>
      <c r="F71" t="s">
        <v>4266</v>
      </c>
      <c r="I71">
        <v>1</v>
      </c>
      <c r="J71" s="29"/>
      <c r="K71" s="30"/>
      <c r="L71" s="29"/>
      <c r="M71">
        <v>4</v>
      </c>
      <c r="N71">
        <v>4</v>
      </c>
      <c r="O71" s="49"/>
      <c r="P71">
        <v>4</v>
      </c>
      <c r="Q71" s="22"/>
      <c r="S71" s="22"/>
      <c r="V71" s="47"/>
    </row>
    <row r="72" spans="1:22" x14ac:dyDescent="0.35">
      <c r="A72">
        <v>344</v>
      </c>
      <c r="B72">
        <v>345</v>
      </c>
      <c r="C72">
        <v>146.80873597799999</v>
      </c>
      <c r="D72">
        <v>-19.16345158</v>
      </c>
      <c r="E72">
        <v>50</v>
      </c>
      <c r="F72" t="s">
        <v>4271</v>
      </c>
      <c r="I72">
        <v>1</v>
      </c>
      <c r="J72" s="29"/>
      <c r="K72" s="30"/>
      <c r="L72" s="29"/>
      <c r="M72">
        <v>4</v>
      </c>
      <c r="N72">
        <v>4</v>
      </c>
      <c r="O72" s="49"/>
      <c r="P72">
        <v>4</v>
      </c>
      <c r="Q72" s="22"/>
      <c r="S72" s="22"/>
      <c r="V72" s="47"/>
    </row>
    <row r="73" spans="1:22" x14ac:dyDescent="0.35">
      <c r="A73">
        <v>349</v>
      </c>
      <c r="B73">
        <v>350</v>
      </c>
      <c r="C73">
        <v>146.80838311400001</v>
      </c>
      <c r="D73">
        <v>-19.163490200999899</v>
      </c>
      <c r="E73">
        <v>50</v>
      </c>
      <c r="F73" t="s">
        <v>4276</v>
      </c>
      <c r="I73">
        <v>1</v>
      </c>
      <c r="J73" s="29"/>
      <c r="K73" s="30"/>
      <c r="L73" s="29"/>
      <c r="M73">
        <v>4</v>
      </c>
      <c r="N73">
        <v>3</v>
      </c>
      <c r="O73" s="49"/>
      <c r="P73">
        <v>4</v>
      </c>
      <c r="Q73" s="22"/>
      <c r="S73" s="22"/>
      <c r="V73" s="47"/>
    </row>
    <row r="74" spans="1:22" x14ac:dyDescent="0.35">
      <c r="A74">
        <v>354</v>
      </c>
      <c r="B74">
        <v>355</v>
      </c>
      <c r="C74">
        <v>146.80808460099999</v>
      </c>
      <c r="D74">
        <v>-19.163806900999901</v>
      </c>
      <c r="E74">
        <v>50</v>
      </c>
      <c r="F74" t="s">
        <v>4281</v>
      </c>
      <c r="I74">
        <v>1</v>
      </c>
      <c r="J74" s="29"/>
      <c r="K74" s="30"/>
      <c r="L74" s="29"/>
      <c r="M74">
        <v>4</v>
      </c>
      <c r="N74">
        <v>4</v>
      </c>
      <c r="O74" s="49"/>
      <c r="P74">
        <v>4</v>
      </c>
      <c r="Q74" s="22"/>
      <c r="S74" s="22"/>
      <c r="V74" s="47"/>
    </row>
    <row r="75" spans="1:22" x14ac:dyDescent="0.35">
      <c r="A75">
        <v>359</v>
      </c>
      <c r="B75">
        <v>360</v>
      </c>
      <c r="C75">
        <v>146.807820822</v>
      </c>
      <c r="D75">
        <v>-19.163847689000001</v>
      </c>
      <c r="E75">
        <v>50</v>
      </c>
      <c r="F75" t="s">
        <v>4286</v>
      </c>
      <c r="I75">
        <v>1</v>
      </c>
      <c r="J75" s="29"/>
      <c r="K75" s="30"/>
      <c r="L75" s="29"/>
      <c r="M75">
        <v>4</v>
      </c>
      <c r="N75">
        <v>4</v>
      </c>
      <c r="O75" s="49"/>
      <c r="P75">
        <v>4</v>
      </c>
      <c r="Q75" s="22"/>
      <c r="S75" s="22"/>
      <c r="V75" s="47"/>
    </row>
    <row r="76" spans="1:22" x14ac:dyDescent="0.35">
      <c r="A76">
        <v>364</v>
      </c>
      <c r="B76">
        <v>365</v>
      </c>
      <c r="C76">
        <v>146.80809080700001</v>
      </c>
      <c r="D76">
        <v>-19.163543989999901</v>
      </c>
      <c r="E76">
        <v>50</v>
      </c>
      <c r="F76" t="s">
        <v>4291</v>
      </c>
      <c r="I76">
        <v>1</v>
      </c>
      <c r="J76" s="29"/>
      <c r="K76" s="30"/>
      <c r="L76" s="29"/>
      <c r="M76">
        <v>4</v>
      </c>
      <c r="N76">
        <v>4</v>
      </c>
      <c r="O76" s="49"/>
      <c r="P76">
        <v>4</v>
      </c>
      <c r="Q76" s="22"/>
      <c r="S76" s="22"/>
      <c r="V76" s="47"/>
    </row>
    <row r="77" spans="1:22" x14ac:dyDescent="0.35">
      <c r="A77">
        <v>369</v>
      </c>
      <c r="B77">
        <v>370</v>
      </c>
      <c r="C77">
        <v>146.80776351700001</v>
      </c>
      <c r="D77">
        <v>-19.1633301419999</v>
      </c>
      <c r="E77">
        <v>50</v>
      </c>
      <c r="F77" t="s">
        <v>4296</v>
      </c>
      <c r="I77">
        <v>1</v>
      </c>
      <c r="J77" s="29"/>
      <c r="K77" s="30"/>
      <c r="L77" s="29"/>
      <c r="M77">
        <v>3</v>
      </c>
      <c r="N77">
        <v>4</v>
      </c>
      <c r="O77" s="49"/>
      <c r="P77">
        <v>4</v>
      </c>
      <c r="Q77" s="22"/>
      <c r="S77" s="22"/>
      <c r="V77" s="47"/>
    </row>
    <row r="78" spans="1:22" x14ac:dyDescent="0.35">
      <c r="A78">
        <v>374</v>
      </c>
      <c r="B78">
        <v>375</v>
      </c>
      <c r="C78">
        <v>146.807818271</v>
      </c>
      <c r="D78">
        <v>-19.163010996000001</v>
      </c>
      <c r="E78">
        <v>50</v>
      </c>
      <c r="F78" t="s">
        <v>4301</v>
      </c>
      <c r="I78">
        <v>1</v>
      </c>
      <c r="J78" s="29"/>
      <c r="K78" s="30"/>
      <c r="L78" s="29"/>
      <c r="M78">
        <v>4</v>
      </c>
      <c r="N78">
        <v>4</v>
      </c>
      <c r="O78" s="49"/>
      <c r="P78">
        <v>4</v>
      </c>
      <c r="Q78" s="22"/>
      <c r="S78" s="22"/>
      <c r="V78" s="47"/>
    </row>
    <row r="79" spans="1:22" x14ac:dyDescent="0.35">
      <c r="A79">
        <v>379</v>
      </c>
      <c r="B79">
        <v>380</v>
      </c>
      <c r="C79">
        <v>146.80742160400001</v>
      </c>
      <c r="D79">
        <v>-19.1628146649999</v>
      </c>
      <c r="E79">
        <v>50</v>
      </c>
      <c r="F79" t="s">
        <v>4306</v>
      </c>
      <c r="I79">
        <v>1</v>
      </c>
      <c r="J79" s="29"/>
      <c r="K79" s="30"/>
      <c r="L79" s="29"/>
      <c r="O79" s="49"/>
      <c r="Q79" s="22"/>
      <c r="S79" s="22"/>
      <c r="V79" s="47"/>
    </row>
    <row r="80" spans="1:22" x14ac:dyDescent="0.35">
      <c r="A80">
        <v>384</v>
      </c>
      <c r="B80">
        <v>385</v>
      </c>
      <c r="C80">
        <v>146.80702406200001</v>
      </c>
      <c r="D80">
        <v>-19.162618032999902</v>
      </c>
      <c r="E80">
        <v>50</v>
      </c>
      <c r="F80" t="s">
        <v>4311</v>
      </c>
      <c r="I80">
        <v>0</v>
      </c>
      <c r="J80" s="29"/>
      <c r="K80" s="30"/>
      <c r="L80" s="29"/>
      <c r="M80">
        <v>1</v>
      </c>
      <c r="N80">
        <v>2</v>
      </c>
      <c r="O80" s="49"/>
      <c r="P80">
        <v>3</v>
      </c>
      <c r="Q80" s="22"/>
      <c r="S80" s="22"/>
      <c r="V80" s="47"/>
    </row>
    <row r="81" spans="1:22" x14ac:dyDescent="0.35">
      <c r="A81">
        <v>389</v>
      </c>
      <c r="B81">
        <v>390</v>
      </c>
      <c r="C81">
        <v>146.80663282899999</v>
      </c>
      <c r="D81">
        <v>-19.162410300000001</v>
      </c>
      <c r="E81">
        <v>50</v>
      </c>
      <c r="F81" t="s">
        <v>4316</v>
      </c>
      <c r="I81">
        <v>1</v>
      </c>
      <c r="J81" s="29"/>
      <c r="K81" s="30"/>
      <c r="L81" s="29"/>
      <c r="O81" s="49"/>
      <c r="Q81" s="22"/>
      <c r="S81" s="22"/>
      <c r="V81" s="47"/>
    </row>
    <row r="82" spans="1:22" x14ac:dyDescent="0.35">
      <c r="A82">
        <v>394</v>
      </c>
      <c r="B82">
        <v>395</v>
      </c>
      <c r="C82">
        <v>146.80621786099999</v>
      </c>
      <c r="D82">
        <v>-19.162249738</v>
      </c>
      <c r="E82">
        <v>50</v>
      </c>
      <c r="F82" t="s">
        <v>4321</v>
      </c>
      <c r="I82">
        <v>0</v>
      </c>
      <c r="J82" s="29"/>
      <c r="K82" s="30"/>
      <c r="L82" s="29"/>
      <c r="O82" s="49"/>
      <c r="Q82" s="22"/>
      <c r="S82" s="22"/>
      <c r="V82" s="47"/>
    </row>
    <row r="83" spans="1:22" x14ac:dyDescent="0.35">
      <c r="A83">
        <v>399</v>
      </c>
      <c r="B83">
        <v>400</v>
      </c>
      <c r="C83">
        <v>146.80579600999999</v>
      </c>
      <c r="D83">
        <v>-19.162132223999901</v>
      </c>
      <c r="E83">
        <v>50</v>
      </c>
      <c r="F83" t="s">
        <v>4326</v>
      </c>
      <c r="I83">
        <v>0</v>
      </c>
      <c r="J83" s="29"/>
      <c r="K83" s="30"/>
      <c r="L83" s="29"/>
      <c r="M83">
        <v>4</v>
      </c>
      <c r="N83">
        <v>3</v>
      </c>
      <c r="O83" s="49"/>
      <c r="P83">
        <v>4</v>
      </c>
      <c r="Q83" s="22"/>
      <c r="S83" s="22"/>
      <c r="V83" s="47"/>
    </row>
    <row r="84" spans="1:22" x14ac:dyDescent="0.35">
      <c r="A84">
        <v>404</v>
      </c>
      <c r="B84">
        <v>405</v>
      </c>
      <c r="C84">
        <v>146.80535113600001</v>
      </c>
      <c r="D84">
        <v>-19.162092736999998</v>
      </c>
      <c r="E84">
        <v>50</v>
      </c>
      <c r="F84" t="s">
        <v>4331</v>
      </c>
      <c r="I84">
        <v>1</v>
      </c>
      <c r="J84" s="29"/>
      <c r="K84" s="30"/>
      <c r="L84" s="29"/>
      <c r="M84">
        <v>4</v>
      </c>
      <c r="N84">
        <v>4</v>
      </c>
      <c r="O84" s="49"/>
      <c r="P84">
        <v>4</v>
      </c>
      <c r="Q84" s="22"/>
      <c r="S84" s="22"/>
      <c r="V84" s="47"/>
    </row>
    <row r="85" spans="1:22" x14ac:dyDescent="0.35">
      <c r="A85">
        <v>409</v>
      </c>
      <c r="B85">
        <v>410</v>
      </c>
      <c r="C85">
        <v>146.80492736599999</v>
      </c>
      <c r="D85">
        <v>-19.161957905999898</v>
      </c>
      <c r="E85">
        <v>50</v>
      </c>
      <c r="F85" t="s">
        <v>4336</v>
      </c>
      <c r="I85">
        <v>1</v>
      </c>
      <c r="J85" s="29"/>
      <c r="K85" s="30"/>
      <c r="L85" s="29"/>
      <c r="M85">
        <v>4</v>
      </c>
      <c r="N85">
        <v>4</v>
      </c>
      <c r="O85" s="49"/>
      <c r="P85">
        <v>4</v>
      </c>
      <c r="Q85" s="22"/>
      <c r="S85" s="22"/>
      <c r="V85" s="47"/>
    </row>
    <row r="86" spans="1:22" x14ac:dyDescent="0.35">
      <c r="A86">
        <v>414</v>
      </c>
      <c r="B86">
        <v>415</v>
      </c>
      <c r="C86">
        <v>146.80452806400001</v>
      </c>
      <c r="D86">
        <v>-19.161764085000002</v>
      </c>
      <c r="E86">
        <v>50</v>
      </c>
      <c r="F86" t="s">
        <v>4341</v>
      </c>
      <c r="I86">
        <v>1</v>
      </c>
      <c r="J86" s="29"/>
      <c r="K86" s="30"/>
      <c r="L86" s="29"/>
      <c r="O86" s="49"/>
      <c r="Q86" s="22"/>
      <c r="S86" s="22"/>
      <c r="V86" s="47"/>
    </row>
    <row r="87" spans="1:22" x14ac:dyDescent="0.35">
      <c r="A87">
        <v>419</v>
      </c>
      <c r="B87">
        <v>420</v>
      </c>
      <c r="C87">
        <v>146.80415858500001</v>
      </c>
      <c r="D87">
        <v>-19.1615228379999</v>
      </c>
      <c r="E87">
        <v>50</v>
      </c>
      <c r="H87" t="s">
        <v>26</v>
      </c>
      <c r="I87"/>
      <c r="J87" s="29"/>
      <c r="K87" s="30"/>
      <c r="L87" s="29"/>
      <c r="O87" s="49"/>
      <c r="Q87" s="22"/>
      <c r="S87" s="22"/>
      <c r="V87" s="47"/>
    </row>
    <row r="88" spans="1:22" x14ac:dyDescent="0.35">
      <c r="A88">
        <v>424</v>
      </c>
      <c r="B88">
        <v>425</v>
      </c>
      <c r="C88">
        <v>146.803781515</v>
      </c>
      <c r="D88">
        <v>-19.161292666999898</v>
      </c>
      <c r="E88">
        <v>50</v>
      </c>
      <c r="H88" t="s">
        <v>26</v>
      </c>
      <c r="I88"/>
      <c r="J88" s="29"/>
      <c r="K88" s="30"/>
      <c r="L88" s="29"/>
      <c r="O88" s="49"/>
      <c r="Q88" s="22"/>
      <c r="S88" s="22"/>
      <c r="V88" s="47"/>
    </row>
    <row r="89" spans="1:22" x14ac:dyDescent="0.35">
      <c r="A89">
        <v>429</v>
      </c>
      <c r="B89">
        <v>430</v>
      </c>
      <c r="C89">
        <v>146.80340367400001</v>
      </c>
      <c r="D89">
        <v>-19.161063591000001</v>
      </c>
      <c r="E89">
        <v>50</v>
      </c>
      <c r="H89" t="s">
        <v>26</v>
      </c>
      <c r="I89"/>
      <c r="J89" s="29"/>
      <c r="K89" s="30"/>
      <c r="L89" s="29"/>
      <c r="O89" s="49"/>
      <c r="Q89" s="22"/>
      <c r="S89" s="22"/>
      <c r="V89" s="47"/>
    </row>
    <row r="90" spans="1:22" x14ac:dyDescent="0.35">
      <c r="A90">
        <v>434</v>
      </c>
      <c r="B90">
        <v>435</v>
      </c>
      <c r="C90">
        <v>146.803033465</v>
      </c>
      <c r="D90">
        <v>-19.160823342999901</v>
      </c>
      <c r="E90">
        <v>50</v>
      </c>
      <c r="H90" t="s">
        <v>26</v>
      </c>
      <c r="I90"/>
      <c r="J90" s="29"/>
      <c r="K90" s="30"/>
      <c r="L90" s="29"/>
      <c r="O90" s="49"/>
      <c r="Q90" s="22"/>
      <c r="S90" s="22"/>
      <c r="V90" s="47"/>
    </row>
    <row r="91" spans="1:22" x14ac:dyDescent="0.35">
      <c r="A91">
        <v>439</v>
      </c>
      <c r="B91">
        <v>440</v>
      </c>
      <c r="C91">
        <v>146.80276861799999</v>
      </c>
      <c r="D91">
        <v>-19.160481054999899</v>
      </c>
      <c r="E91">
        <v>50</v>
      </c>
      <c r="H91" t="s">
        <v>26</v>
      </c>
      <c r="I91"/>
      <c r="J91" s="29"/>
      <c r="K91" s="30"/>
      <c r="L91" s="29"/>
      <c r="O91" s="49"/>
      <c r="Q91" s="22"/>
      <c r="S91" s="22"/>
      <c r="V91" s="47"/>
    </row>
    <row r="92" spans="1:22" x14ac:dyDescent="0.35">
      <c r="A92">
        <v>444</v>
      </c>
      <c r="B92">
        <v>445</v>
      </c>
      <c r="C92">
        <v>146.80252156700001</v>
      </c>
      <c r="D92">
        <v>-19.160130744999901</v>
      </c>
      <c r="E92">
        <v>50</v>
      </c>
      <c r="H92" t="s">
        <v>26</v>
      </c>
      <c r="I92"/>
      <c r="J92" s="29"/>
      <c r="K92" s="30"/>
      <c r="L92" s="29"/>
      <c r="O92" s="49"/>
      <c r="Q92" s="22"/>
      <c r="S92" s="22"/>
      <c r="V92" s="47"/>
    </row>
    <row r="93" spans="1:22" x14ac:dyDescent="0.35">
      <c r="A93">
        <v>449</v>
      </c>
      <c r="B93">
        <v>450</v>
      </c>
      <c r="C93">
        <v>146.80228077500001</v>
      </c>
      <c r="D93">
        <v>-19.159774841999901</v>
      </c>
      <c r="E93">
        <v>50</v>
      </c>
      <c r="H93" t="s">
        <v>26</v>
      </c>
      <c r="I93"/>
      <c r="J93" s="29"/>
      <c r="K93" s="30"/>
      <c r="L93" s="29"/>
      <c r="O93" s="49"/>
      <c r="Q93" s="22"/>
      <c r="S93" s="22"/>
      <c r="V93" s="47"/>
    </row>
    <row r="94" spans="1:22" x14ac:dyDescent="0.35">
      <c r="A94">
        <v>454</v>
      </c>
      <c r="B94">
        <v>455</v>
      </c>
      <c r="C94">
        <v>146.80223250399999</v>
      </c>
      <c r="D94">
        <v>-19.159357606999901</v>
      </c>
      <c r="E94">
        <v>50</v>
      </c>
      <c r="H94" t="s">
        <v>26</v>
      </c>
      <c r="I94"/>
      <c r="J94" s="29"/>
      <c r="K94" s="30"/>
      <c r="L94" s="29"/>
      <c r="O94" s="49"/>
      <c r="Q94" s="22"/>
      <c r="S94" s="22"/>
      <c r="V94" s="47"/>
    </row>
    <row r="95" spans="1:22" x14ac:dyDescent="0.35">
      <c r="A95">
        <v>459</v>
      </c>
      <c r="B95">
        <v>460</v>
      </c>
      <c r="C95">
        <v>146.80244350999999</v>
      </c>
      <c r="D95">
        <v>-19.158993482</v>
      </c>
      <c r="E95">
        <v>50</v>
      </c>
      <c r="H95" t="s">
        <v>26</v>
      </c>
      <c r="I95"/>
      <c r="J95" s="29"/>
      <c r="K95" s="30"/>
      <c r="L95" s="29"/>
      <c r="O95" s="49"/>
      <c r="Q95" s="22"/>
      <c r="S95" s="22"/>
      <c r="V95" s="47"/>
    </row>
    <row r="96" spans="1:22" x14ac:dyDescent="0.35">
      <c r="A96">
        <v>464</v>
      </c>
      <c r="B96">
        <v>465</v>
      </c>
      <c r="C96">
        <v>146.80277365200001</v>
      </c>
      <c r="D96">
        <v>-19.1587350779999</v>
      </c>
      <c r="E96">
        <v>50</v>
      </c>
      <c r="H96" t="s">
        <v>26</v>
      </c>
      <c r="I96"/>
      <c r="J96" s="29"/>
      <c r="K96" s="30"/>
      <c r="L96" s="29"/>
      <c r="O96" s="49"/>
      <c r="Q96" s="22"/>
      <c r="S96" s="22"/>
      <c r="V96" s="47"/>
    </row>
    <row r="97" spans="1:22" x14ac:dyDescent="0.35">
      <c r="A97">
        <v>469</v>
      </c>
      <c r="B97">
        <v>470</v>
      </c>
      <c r="C97">
        <v>146.80262469499999</v>
      </c>
      <c r="D97">
        <v>-19.158457335000001</v>
      </c>
      <c r="E97">
        <v>50</v>
      </c>
      <c r="H97" t="s">
        <v>26</v>
      </c>
      <c r="I97"/>
      <c r="J97" s="29"/>
      <c r="K97" s="30"/>
      <c r="L97" s="29"/>
      <c r="O97" s="49"/>
      <c r="Q97" s="22"/>
      <c r="S97" s="22"/>
      <c r="V97" s="47"/>
    </row>
    <row r="98" spans="1:22" x14ac:dyDescent="0.35">
      <c r="A98">
        <v>474</v>
      </c>
      <c r="B98">
        <v>475</v>
      </c>
      <c r="C98">
        <v>146.802517123</v>
      </c>
      <c r="D98">
        <v>-19.158094402</v>
      </c>
      <c r="E98">
        <v>50</v>
      </c>
      <c r="H98" t="s">
        <v>26</v>
      </c>
      <c r="I98"/>
      <c r="J98" s="29"/>
      <c r="K98" s="30"/>
      <c r="L98" s="29"/>
      <c r="O98" s="49"/>
      <c r="Q98" s="22"/>
      <c r="S98" s="22"/>
      <c r="V98" s="47"/>
    </row>
    <row r="99" spans="1:22" x14ac:dyDescent="0.35">
      <c r="A99">
        <v>479</v>
      </c>
      <c r="B99">
        <v>480</v>
      </c>
      <c r="C99">
        <v>146.802478339</v>
      </c>
      <c r="D99">
        <v>-19.157680136</v>
      </c>
      <c r="E99">
        <v>50</v>
      </c>
      <c r="H99" t="s">
        <v>26</v>
      </c>
      <c r="I99"/>
      <c r="J99" s="29"/>
      <c r="K99" s="30"/>
      <c r="L99" s="29"/>
      <c r="O99" s="49"/>
      <c r="Q99" s="22"/>
      <c r="S99" s="22"/>
      <c r="V99" s="47"/>
    </row>
    <row r="100" spans="1:22" x14ac:dyDescent="0.35">
      <c r="A100">
        <v>484</v>
      </c>
      <c r="B100">
        <v>485</v>
      </c>
      <c r="C100">
        <v>146.80239350100001</v>
      </c>
      <c r="D100">
        <v>-19.1572687459999</v>
      </c>
      <c r="E100">
        <v>50</v>
      </c>
      <c r="H100" t="s">
        <v>26</v>
      </c>
      <c r="I100"/>
      <c r="J100" s="29"/>
      <c r="K100" s="30"/>
      <c r="L100" s="29"/>
      <c r="O100" s="49"/>
      <c r="Q100" s="22"/>
      <c r="S100" s="22"/>
      <c r="V100" s="47"/>
    </row>
    <row r="101" spans="1:22" x14ac:dyDescent="0.35">
      <c r="A101">
        <v>489</v>
      </c>
      <c r="B101">
        <v>490</v>
      </c>
      <c r="C101">
        <v>146.80238902400001</v>
      </c>
      <c r="D101">
        <v>-19.156863697999899</v>
      </c>
      <c r="E101">
        <v>50</v>
      </c>
      <c r="H101" t="s">
        <v>26</v>
      </c>
      <c r="I101"/>
      <c r="J101" s="29"/>
      <c r="K101" s="30"/>
      <c r="L101" s="29"/>
      <c r="O101" s="49"/>
      <c r="Q101" s="22"/>
      <c r="S101" s="22"/>
      <c r="V101" s="47"/>
    </row>
    <row r="102" spans="1:22" x14ac:dyDescent="0.35">
      <c r="A102">
        <v>494</v>
      </c>
      <c r="B102">
        <v>495</v>
      </c>
      <c r="C102">
        <v>146.802112948</v>
      </c>
      <c r="D102">
        <v>-19.156541397999899</v>
      </c>
      <c r="E102">
        <v>50</v>
      </c>
      <c r="H102" t="s">
        <v>26</v>
      </c>
      <c r="I102"/>
      <c r="J102" s="29"/>
      <c r="K102" s="30"/>
      <c r="L102" s="29"/>
      <c r="O102" s="49"/>
      <c r="Q102" s="22"/>
      <c r="S102" s="22"/>
      <c r="V102" s="47"/>
    </row>
    <row r="103" spans="1:22" x14ac:dyDescent="0.35">
      <c r="A103">
        <v>499</v>
      </c>
      <c r="B103">
        <v>500</v>
      </c>
      <c r="C103">
        <v>146.80189397300001</v>
      </c>
      <c r="D103">
        <v>-19.156176788</v>
      </c>
      <c r="E103">
        <v>50</v>
      </c>
      <c r="H103" t="s">
        <v>26</v>
      </c>
      <c r="I103"/>
      <c r="J103" s="29"/>
      <c r="K103" s="30"/>
      <c r="L103" s="29"/>
      <c r="O103" s="49"/>
      <c r="Q103" s="22"/>
      <c r="S103" s="22"/>
      <c r="V103" s="47"/>
    </row>
    <row r="104" spans="1:22" x14ac:dyDescent="0.35">
      <c r="A104">
        <v>504</v>
      </c>
      <c r="B104">
        <v>505</v>
      </c>
      <c r="C104">
        <v>146.80182377899999</v>
      </c>
      <c r="D104">
        <v>-19.1557626929999</v>
      </c>
      <c r="E104">
        <v>50</v>
      </c>
      <c r="H104" t="s">
        <v>26</v>
      </c>
      <c r="I104"/>
      <c r="J104" s="29"/>
      <c r="K104" s="30"/>
      <c r="L104" s="29"/>
      <c r="O104" s="49"/>
      <c r="Q104" s="22"/>
      <c r="S104" s="22"/>
      <c r="V104" s="47"/>
    </row>
    <row r="105" spans="1:22" x14ac:dyDescent="0.35">
      <c r="A105">
        <v>509</v>
      </c>
      <c r="B105">
        <v>510</v>
      </c>
      <c r="C105">
        <v>146.801772675</v>
      </c>
      <c r="D105">
        <v>-19.155341192000002</v>
      </c>
      <c r="E105">
        <v>50</v>
      </c>
      <c r="H105" t="s">
        <v>26</v>
      </c>
      <c r="I105"/>
      <c r="J105" s="29"/>
      <c r="K105" s="30"/>
      <c r="L105" s="29"/>
      <c r="O105" s="49"/>
      <c r="Q105" s="22"/>
      <c r="S105" s="22"/>
      <c r="V105" s="47"/>
    </row>
    <row r="106" spans="1:22" x14ac:dyDescent="0.35">
      <c r="A106">
        <v>514</v>
      </c>
      <c r="B106">
        <v>515</v>
      </c>
      <c r="C106">
        <v>146.80164143499999</v>
      </c>
      <c r="D106">
        <v>-19.154942629999901</v>
      </c>
      <c r="E106">
        <v>50</v>
      </c>
      <c r="H106" t="s">
        <v>26</v>
      </c>
      <c r="I106"/>
      <c r="J106" s="29"/>
      <c r="K106" s="30"/>
      <c r="L106" s="29"/>
      <c r="O106" s="49"/>
      <c r="Q106" s="22"/>
      <c r="S106" s="22"/>
      <c r="V106" s="47"/>
    </row>
    <row r="107" spans="1:22" x14ac:dyDescent="0.35">
      <c r="A107">
        <v>519</v>
      </c>
      <c r="B107">
        <v>520</v>
      </c>
      <c r="C107">
        <v>146.80141202900001</v>
      </c>
      <c r="D107">
        <v>-19.154578505</v>
      </c>
      <c r="E107">
        <v>50</v>
      </c>
      <c r="H107" t="s">
        <v>26</v>
      </c>
      <c r="I107"/>
      <c r="J107" s="29"/>
      <c r="K107" s="30"/>
      <c r="L107" s="29"/>
      <c r="O107" s="49"/>
      <c r="Q107" s="22"/>
      <c r="S107" s="22"/>
      <c r="V107" s="47"/>
    </row>
    <row r="108" spans="1:22" x14ac:dyDescent="0.35">
      <c r="A108">
        <v>524</v>
      </c>
      <c r="B108">
        <v>525</v>
      </c>
      <c r="C108">
        <v>146.801174919</v>
      </c>
      <c r="D108">
        <v>-19.154218330999999</v>
      </c>
      <c r="E108">
        <v>50</v>
      </c>
      <c r="H108" t="s">
        <v>26</v>
      </c>
      <c r="I108"/>
      <c r="J108" s="29"/>
      <c r="K108" s="30"/>
      <c r="L108" s="29"/>
      <c r="O108" s="49"/>
      <c r="Q108" s="22"/>
      <c r="S108" s="22"/>
      <c r="V108" s="47"/>
    </row>
    <row r="109" spans="1:22" x14ac:dyDescent="0.35">
      <c r="A109">
        <v>529</v>
      </c>
      <c r="B109">
        <v>530</v>
      </c>
      <c r="C109">
        <v>146.800951489</v>
      </c>
      <c r="D109">
        <v>-19.153850257999999</v>
      </c>
      <c r="E109">
        <v>50</v>
      </c>
      <c r="H109" t="s">
        <v>26</v>
      </c>
      <c r="I109"/>
      <c r="J109" s="29"/>
      <c r="K109" s="30"/>
      <c r="L109" s="29"/>
      <c r="O109" s="49"/>
      <c r="Q109" s="22"/>
      <c r="S109" s="22"/>
      <c r="V109" s="47"/>
    </row>
    <row r="110" spans="1:22" x14ac:dyDescent="0.35">
      <c r="A110">
        <v>534</v>
      </c>
      <c r="B110">
        <v>535</v>
      </c>
      <c r="C110">
        <v>146.800728703</v>
      </c>
      <c r="D110">
        <v>-19.153481837000001</v>
      </c>
      <c r="E110">
        <v>50</v>
      </c>
      <c r="H110" t="s">
        <v>26</v>
      </c>
      <c r="I110"/>
      <c r="J110" s="29"/>
      <c r="K110" s="30"/>
      <c r="L110" s="29"/>
      <c r="O110" s="49"/>
      <c r="Q110" s="22"/>
      <c r="S110" s="22"/>
      <c r="V110" s="47"/>
    </row>
    <row r="111" spans="1:22" x14ac:dyDescent="0.35">
      <c r="A111">
        <v>539</v>
      </c>
      <c r="B111">
        <v>540</v>
      </c>
      <c r="C111">
        <v>146.80053782799999</v>
      </c>
      <c r="D111">
        <v>-19.1530981229999</v>
      </c>
      <c r="E111">
        <v>50</v>
      </c>
      <c r="H111" t="s">
        <v>26</v>
      </c>
      <c r="I111"/>
      <c r="J111" s="29"/>
      <c r="K111" s="30"/>
      <c r="L111" s="29"/>
      <c r="O111" s="49"/>
      <c r="Q111" s="22"/>
      <c r="S111" s="22"/>
      <c r="V111" s="47"/>
    </row>
    <row r="112" spans="1:22" x14ac:dyDescent="0.35">
      <c r="A112">
        <v>544</v>
      </c>
      <c r="B112">
        <v>545</v>
      </c>
      <c r="C112">
        <v>146.80030762499999</v>
      </c>
      <c r="D112">
        <v>-19.152735999999901</v>
      </c>
      <c r="E112">
        <v>50</v>
      </c>
      <c r="H112" t="s">
        <v>26</v>
      </c>
      <c r="I112"/>
      <c r="J112" s="29"/>
      <c r="K112" s="30"/>
      <c r="L112" s="29"/>
      <c r="O112" s="49"/>
      <c r="Q112" s="22"/>
      <c r="S112" s="22"/>
      <c r="V112" s="47"/>
    </row>
    <row r="113" spans="1:22" x14ac:dyDescent="0.35">
      <c r="A113">
        <v>549</v>
      </c>
      <c r="B113">
        <v>550</v>
      </c>
      <c r="C113">
        <v>146.79994683800001</v>
      </c>
      <c r="D113">
        <v>-19.152534574999901</v>
      </c>
      <c r="E113">
        <v>50</v>
      </c>
      <c r="H113" t="s">
        <v>26</v>
      </c>
      <c r="I113"/>
      <c r="J113" s="29"/>
      <c r="K113" s="30"/>
      <c r="L113" s="29"/>
      <c r="O113" s="49"/>
      <c r="Q113" s="22"/>
      <c r="S113" s="22"/>
      <c r="V113" s="47"/>
    </row>
    <row r="114" spans="1:22" x14ac:dyDescent="0.35">
      <c r="A114">
        <v>554</v>
      </c>
      <c r="B114">
        <v>555</v>
      </c>
      <c r="C114">
        <v>146.80010707700001</v>
      </c>
      <c r="D114">
        <v>-19.152227927999899</v>
      </c>
      <c r="E114">
        <v>50</v>
      </c>
      <c r="H114" t="s">
        <v>26</v>
      </c>
      <c r="I114"/>
      <c r="J114" s="29"/>
      <c r="K114" s="30"/>
      <c r="L114" s="29"/>
      <c r="O114" s="49"/>
      <c r="Q114" s="22"/>
      <c r="S114" s="22"/>
      <c r="V114" s="47"/>
    </row>
    <row r="115" spans="1:22" x14ac:dyDescent="0.35">
      <c r="A115">
        <v>559</v>
      </c>
      <c r="B115">
        <v>560</v>
      </c>
      <c r="C115">
        <v>146.79985303000001</v>
      </c>
      <c r="D115">
        <v>-19.151891952</v>
      </c>
      <c r="E115">
        <v>50</v>
      </c>
      <c r="H115" t="s">
        <v>26</v>
      </c>
      <c r="I115"/>
      <c r="J115" s="29"/>
      <c r="K115" s="30"/>
      <c r="L115" s="29"/>
      <c r="O115" s="49"/>
      <c r="Q115" s="22"/>
      <c r="S115" s="22"/>
      <c r="V115" s="47"/>
    </row>
    <row r="116" spans="1:22" x14ac:dyDescent="0.35">
      <c r="A116">
        <v>564</v>
      </c>
      <c r="B116">
        <v>565</v>
      </c>
      <c r="C116">
        <v>146.799509524</v>
      </c>
      <c r="D116">
        <v>-19.151619624999999</v>
      </c>
      <c r="E116">
        <v>50</v>
      </c>
      <c r="H116" t="s">
        <v>26</v>
      </c>
      <c r="I116"/>
      <c r="J116" s="29"/>
      <c r="K116" s="30"/>
      <c r="L116" s="29"/>
      <c r="O116" s="49"/>
      <c r="Q116" s="22"/>
      <c r="S116" s="22"/>
      <c r="V116" s="47"/>
    </row>
    <row r="117" spans="1:22" x14ac:dyDescent="0.35">
      <c r="A117">
        <v>569</v>
      </c>
      <c r="B117">
        <v>570</v>
      </c>
      <c r="C117">
        <v>146.79916743300001</v>
      </c>
      <c r="D117">
        <v>-19.151344691999999</v>
      </c>
      <c r="E117">
        <v>50</v>
      </c>
      <c r="H117" t="s">
        <v>26</v>
      </c>
      <c r="I117"/>
      <c r="J117" s="29"/>
      <c r="K117" s="30"/>
      <c r="L117" s="29"/>
      <c r="O117" s="49"/>
      <c r="Q117" s="22"/>
      <c r="S117" s="22"/>
      <c r="V117" s="47"/>
    </row>
    <row r="118" spans="1:22" x14ac:dyDescent="0.35">
      <c r="A118">
        <v>574</v>
      </c>
      <c r="B118">
        <v>575</v>
      </c>
      <c r="C118">
        <v>146.79881827</v>
      </c>
      <c r="D118">
        <v>-19.151077789999899</v>
      </c>
      <c r="E118">
        <v>50</v>
      </c>
      <c r="H118" t="s">
        <v>26</v>
      </c>
      <c r="I118"/>
      <c r="J118" s="29"/>
      <c r="K118" s="30"/>
      <c r="L118" s="29"/>
      <c r="O118" s="49"/>
      <c r="Q118" s="22"/>
      <c r="S118" s="22"/>
      <c r="V118" s="47"/>
    </row>
    <row r="119" spans="1:22" x14ac:dyDescent="0.35">
      <c r="A119">
        <v>579</v>
      </c>
      <c r="B119">
        <v>580</v>
      </c>
      <c r="C119">
        <v>146.79848620199999</v>
      </c>
      <c r="D119">
        <v>-19.150792419999998</v>
      </c>
      <c r="E119">
        <v>50</v>
      </c>
      <c r="H119" t="s">
        <v>26</v>
      </c>
      <c r="I119"/>
      <c r="J119" s="29"/>
      <c r="K119" s="30"/>
      <c r="L119" s="29"/>
      <c r="O119" s="49"/>
      <c r="Q119" s="22"/>
      <c r="S119" s="22"/>
      <c r="V119" s="47"/>
    </row>
    <row r="120" spans="1:22" x14ac:dyDescent="0.35">
      <c r="A120">
        <v>584</v>
      </c>
      <c r="B120">
        <v>585</v>
      </c>
      <c r="C120">
        <v>146.79815267800001</v>
      </c>
      <c r="D120">
        <v>-19.150508764999898</v>
      </c>
      <c r="E120">
        <v>50</v>
      </c>
      <c r="H120" t="s">
        <v>26</v>
      </c>
      <c r="I120"/>
      <c r="J120" s="29"/>
      <c r="K120" s="30"/>
      <c r="L120" s="29"/>
      <c r="O120" s="49"/>
      <c r="Q120" s="22"/>
      <c r="S120" s="22"/>
      <c r="V120" s="47"/>
    </row>
    <row r="121" spans="1:22" x14ac:dyDescent="0.35">
      <c r="A121">
        <v>589</v>
      </c>
      <c r="B121">
        <v>590</v>
      </c>
      <c r="C121">
        <v>146.797798379</v>
      </c>
      <c r="D121">
        <v>-19.150247971999899</v>
      </c>
      <c r="E121">
        <v>50</v>
      </c>
      <c r="H121" t="s">
        <v>26</v>
      </c>
      <c r="I121"/>
      <c r="J121" s="29"/>
      <c r="K121" s="30"/>
      <c r="L121" s="29"/>
      <c r="O121" s="49"/>
      <c r="Q121" s="22"/>
      <c r="S121" s="22"/>
      <c r="V121" s="47"/>
    </row>
    <row r="122" spans="1:22" x14ac:dyDescent="0.35">
      <c r="A122">
        <v>594</v>
      </c>
      <c r="B122">
        <v>595</v>
      </c>
      <c r="C122">
        <v>146.797428758</v>
      </c>
      <c r="D122">
        <v>-19.150007545999902</v>
      </c>
      <c r="E122">
        <v>50</v>
      </c>
      <c r="H122" t="s">
        <v>26</v>
      </c>
      <c r="I122"/>
      <c r="J122" s="29"/>
      <c r="K122" s="30"/>
      <c r="L122" s="29"/>
      <c r="O122" s="49"/>
      <c r="Q122" s="22"/>
      <c r="S122" s="22"/>
      <c r="V122" s="47"/>
    </row>
    <row r="123" spans="1:22" x14ac:dyDescent="0.35">
      <c r="A123">
        <v>599</v>
      </c>
      <c r="B123">
        <v>600</v>
      </c>
      <c r="C123">
        <v>146.79707251400001</v>
      </c>
      <c r="D123">
        <v>-19.1497525529999</v>
      </c>
      <c r="E123">
        <v>50</v>
      </c>
      <c r="H123" t="s">
        <v>26</v>
      </c>
      <c r="I123"/>
      <c r="J123" s="29"/>
      <c r="K123" s="30"/>
      <c r="L123" s="29"/>
      <c r="O123" s="49"/>
      <c r="Q123" s="22"/>
      <c r="S123" s="22"/>
      <c r="V123" s="47"/>
    </row>
    <row r="124" spans="1:22" x14ac:dyDescent="0.35">
      <c r="A124">
        <v>604</v>
      </c>
      <c r="B124">
        <v>605</v>
      </c>
      <c r="C124">
        <v>146.796703503</v>
      </c>
      <c r="D124">
        <v>-19.149511518999901</v>
      </c>
      <c r="E124">
        <v>50</v>
      </c>
      <c r="H124" t="s">
        <v>26</v>
      </c>
      <c r="I124"/>
      <c r="J124" s="29"/>
      <c r="K124" s="30"/>
      <c r="L124" s="29"/>
      <c r="O124" s="49"/>
      <c r="Q124" s="22"/>
      <c r="S124" s="22"/>
      <c r="V124" s="47"/>
    </row>
    <row r="125" spans="1:22" x14ac:dyDescent="0.35">
      <c r="A125">
        <v>609</v>
      </c>
      <c r="B125">
        <v>610</v>
      </c>
      <c r="C125">
        <v>146.79634243000001</v>
      </c>
      <c r="D125">
        <v>-19.149260325999901</v>
      </c>
      <c r="E125">
        <v>50</v>
      </c>
      <c r="H125" t="s">
        <v>26</v>
      </c>
      <c r="I125"/>
      <c r="J125" s="29"/>
      <c r="K125" s="30"/>
      <c r="L125" s="29"/>
      <c r="O125" s="49"/>
      <c r="Q125" s="22"/>
      <c r="S125" s="22"/>
      <c r="V125" s="47"/>
    </row>
    <row r="126" spans="1:22" x14ac:dyDescent="0.35">
      <c r="A126">
        <v>614</v>
      </c>
      <c r="B126">
        <v>615</v>
      </c>
      <c r="C126">
        <v>146.79611163000001</v>
      </c>
      <c r="D126">
        <v>-19.148904493</v>
      </c>
      <c r="E126">
        <v>50</v>
      </c>
      <c r="H126" t="s">
        <v>26</v>
      </c>
      <c r="I126"/>
      <c r="J126" s="29"/>
      <c r="K126" s="30"/>
      <c r="L126" s="29"/>
      <c r="O126" s="49"/>
      <c r="Q126" s="22"/>
      <c r="S126" s="22"/>
      <c r="V126" s="47"/>
    </row>
    <row r="127" spans="1:22" x14ac:dyDescent="0.35">
      <c r="A127">
        <v>619</v>
      </c>
      <c r="B127">
        <v>620</v>
      </c>
      <c r="C127">
        <v>146.7959358</v>
      </c>
      <c r="D127">
        <v>-19.149262087999901</v>
      </c>
      <c r="E127">
        <v>50</v>
      </c>
      <c r="H127" t="s">
        <v>26</v>
      </c>
      <c r="I127"/>
      <c r="J127" s="29"/>
      <c r="K127" s="30"/>
      <c r="L127" s="29"/>
      <c r="O127" s="49"/>
      <c r="Q127" s="22"/>
      <c r="S127" s="22"/>
      <c r="V127" s="47"/>
    </row>
    <row r="128" spans="1:22" x14ac:dyDescent="0.35">
      <c r="A128">
        <v>624</v>
      </c>
      <c r="B128">
        <v>625</v>
      </c>
      <c r="C128">
        <v>146.795753601</v>
      </c>
      <c r="D128">
        <v>-19.149644123000002</v>
      </c>
      <c r="E128">
        <v>50</v>
      </c>
      <c r="H128" t="s">
        <v>26</v>
      </c>
      <c r="I128"/>
      <c r="J128" s="29"/>
      <c r="K128" s="30"/>
      <c r="L128" s="29"/>
      <c r="O128" s="49"/>
      <c r="Q128" s="22"/>
      <c r="S128" s="22"/>
      <c r="V128" s="47"/>
    </row>
    <row r="129" spans="1:22" x14ac:dyDescent="0.35">
      <c r="A129">
        <v>629</v>
      </c>
      <c r="B129">
        <v>630</v>
      </c>
      <c r="C129">
        <v>146.795597227</v>
      </c>
      <c r="D129">
        <v>-19.149399359</v>
      </c>
      <c r="E129">
        <v>50</v>
      </c>
      <c r="H129" t="s">
        <v>26</v>
      </c>
      <c r="I129"/>
      <c r="J129" s="29"/>
      <c r="K129" s="30"/>
      <c r="L129" s="29"/>
      <c r="O129" s="49"/>
      <c r="Q129" s="22"/>
      <c r="S129" s="22"/>
      <c r="V129" s="47"/>
    </row>
    <row r="130" spans="1:22" x14ac:dyDescent="0.35">
      <c r="A130">
        <v>634</v>
      </c>
      <c r="B130">
        <v>635</v>
      </c>
      <c r="C130">
        <v>146.795736925</v>
      </c>
      <c r="D130">
        <v>-19.149004071</v>
      </c>
      <c r="E130">
        <v>50</v>
      </c>
      <c r="H130" t="s">
        <v>26</v>
      </c>
      <c r="I130"/>
      <c r="J130" s="29"/>
      <c r="K130" s="30"/>
      <c r="L130" s="29"/>
      <c r="O130" s="49"/>
      <c r="Q130" s="22"/>
      <c r="S130" s="22"/>
      <c r="V130" s="47"/>
    </row>
    <row r="131" spans="1:22" x14ac:dyDescent="0.35">
      <c r="A131">
        <v>639</v>
      </c>
      <c r="B131">
        <v>640</v>
      </c>
      <c r="C131">
        <v>146.79587684200001</v>
      </c>
      <c r="D131">
        <v>-19.148601304</v>
      </c>
      <c r="E131">
        <v>50</v>
      </c>
      <c r="H131" t="s">
        <v>26</v>
      </c>
      <c r="I131"/>
      <c r="J131" s="29"/>
      <c r="K131" s="30"/>
      <c r="L131" s="29"/>
      <c r="O131" s="49"/>
      <c r="Q131" s="22"/>
      <c r="S131" s="22"/>
      <c r="V131" s="47"/>
    </row>
    <row r="132" spans="1:22" x14ac:dyDescent="0.35">
      <c r="A132">
        <v>644</v>
      </c>
      <c r="B132">
        <v>645</v>
      </c>
      <c r="C132">
        <v>146.79603803500001</v>
      </c>
      <c r="D132">
        <v>-19.148206425000001</v>
      </c>
      <c r="E132">
        <v>50</v>
      </c>
      <c r="H132" t="s">
        <v>26</v>
      </c>
      <c r="I132"/>
      <c r="J132" s="29"/>
      <c r="K132" s="30"/>
      <c r="L132" s="29"/>
      <c r="O132" s="49"/>
      <c r="Q132" s="22"/>
      <c r="S132" s="22"/>
      <c r="V132" s="47"/>
    </row>
    <row r="133" spans="1:22" x14ac:dyDescent="0.35">
      <c r="A133">
        <v>649</v>
      </c>
      <c r="B133">
        <v>650</v>
      </c>
      <c r="C133">
        <v>146.796117979</v>
      </c>
      <c r="D133">
        <v>-19.147792234000001</v>
      </c>
      <c r="E133">
        <v>50</v>
      </c>
      <c r="H133" t="s">
        <v>26</v>
      </c>
      <c r="I133"/>
      <c r="J133" s="29"/>
      <c r="K133" s="30"/>
      <c r="L133" s="29"/>
      <c r="O133" s="49"/>
      <c r="Q133" s="22"/>
      <c r="S133" s="22"/>
      <c r="V133" s="47"/>
    </row>
    <row r="134" spans="1:22" x14ac:dyDescent="0.35">
      <c r="A134">
        <v>654</v>
      </c>
      <c r="B134">
        <v>655</v>
      </c>
      <c r="C134">
        <v>146.79622532299999</v>
      </c>
      <c r="D134">
        <v>-19.147386056999899</v>
      </c>
      <c r="E134">
        <v>50</v>
      </c>
      <c r="H134" t="s">
        <v>26</v>
      </c>
      <c r="I134"/>
      <c r="J134" s="29"/>
      <c r="K134" s="30"/>
      <c r="L134" s="29"/>
      <c r="O134" s="49"/>
      <c r="Q134" s="22"/>
      <c r="S134" s="22"/>
      <c r="V134" s="47"/>
    </row>
    <row r="135" spans="1:22" x14ac:dyDescent="0.35">
      <c r="A135">
        <v>659</v>
      </c>
      <c r="B135">
        <v>660</v>
      </c>
      <c r="C135">
        <v>146.79644672200001</v>
      </c>
      <c r="D135">
        <v>-19.147049678999998</v>
      </c>
      <c r="E135">
        <v>50</v>
      </c>
      <c r="H135" t="s">
        <v>26</v>
      </c>
      <c r="I135"/>
      <c r="J135" s="29"/>
      <c r="K135" s="30"/>
      <c r="L135" s="29"/>
      <c r="O135" s="49"/>
      <c r="Q135" s="22"/>
      <c r="S135" s="22"/>
      <c r="V135" s="47"/>
    </row>
    <row r="136" spans="1:22" x14ac:dyDescent="0.35">
      <c r="A136">
        <v>664</v>
      </c>
      <c r="B136">
        <v>665</v>
      </c>
      <c r="C136">
        <v>146.79659306600001</v>
      </c>
      <c r="D136">
        <v>-19.1467147779999</v>
      </c>
      <c r="E136">
        <v>50</v>
      </c>
      <c r="H136" t="s">
        <v>26</v>
      </c>
      <c r="I136"/>
      <c r="J136" s="29"/>
      <c r="K136" s="30"/>
      <c r="L136" s="29"/>
      <c r="O136" s="49"/>
      <c r="Q136" s="22"/>
      <c r="S136" s="22"/>
      <c r="V136" s="47"/>
    </row>
    <row r="137" spans="1:22" x14ac:dyDescent="0.35">
      <c r="A137">
        <v>669</v>
      </c>
      <c r="B137">
        <v>670</v>
      </c>
      <c r="C137">
        <v>146.79647955199999</v>
      </c>
      <c r="D137">
        <v>-19.146306938999899</v>
      </c>
      <c r="E137">
        <v>50</v>
      </c>
      <c r="H137" t="s">
        <v>26</v>
      </c>
      <c r="I137"/>
      <c r="J137" s="29"/>
      <c r="K137" s="30"/>
      <c r="L137" s="29"/>
      <c r="O137" s="49"/>
      <c r="Q137" s="22"/>
      <c r="S137" s="22"/>
      <c r="V137" s="47"/>
    </row>
    <row r="138" spans="1:22" x14ac:dyDescent="0.35">
      <c r="A138">
        <v>674</v>
      </c>
      <c r="B138">
        <v>675</v>
      </c>
      <c r="C138">
        <v>146.79631117</v>
      </c>
      <c r="D138">
        <v>-19.145915344999899</v>
      </c>
      <c r="E138">
        <v>50</v>
      </c>
      <c r="H138" t="s">
        <v>26</v>
      </c>
      <c r="I138"/>
      <c r="J138" s="29"/>
      <c r="K138" s="30"/>
      <c r="L138" s="29"/>
      <c r="O138" s="49"/>
      <c r="Q138" s="22"/>
      <c r="S138" s="22"/>
      <c r="V138" s="47"/>
    </row>
    <row r="139" spans="1:22" x14ac:dyDescent="0.35">
      <c r="A139">
        <v>679</v>
      </c>
      <c r="B139">
        <v>680</v>
      </c>
      <c r="C139">
        <v>146.79607419000001</v>
      </c>
      <c r="D139">
        <v>-19.145554896</v>
      </c>
      <c r="E139">
        <v>50</v>
      </c>
      <c r="H139" t="s">
        <v>26</v>
      </c>
      <c r="I139"/>
      <c r="J139" s="29"/>
      <c r="K139" s="30"/>
      <c r="L139" s="29"/>
      <c r="O139" s="49"/>
      <c r="Q139" s="22"/>
      <c r="S139" s="22"/>
      <c r="V139" s="47"/>
    </row>
    <row r="140" spans="1:22" x14ac:dyDescent="0.35">
      <c r="A140">
        <v>684</v>
      </c>
      <c r="B140">
        <v>685</v>
      </c>
      <c r="C140">
        <v>146.79581609900001</v>
      </c>
      <c r="D140">
        <v>-19.145207974000002</v>
      </c>
      <c r="E140">
        <v>50</v>
      </c>
      <c r="H140" t="s">
        <v>26</v>
      </c>
      <c r="I140"/>
      <c r="J140" s="29"/>
      <c r="K140" s="30"/>
      <c r="L140" s="29"/>
      <c r="O140" s="49"/>
      <c r="Q140" s="22"/>
      <c r="S140" s="22"/>
      <c r="V140" s="47"/>
    </row>
    <row r="141" spans="1:22" x14ac:dyDescent="0.35">
      <c r="A141">
        <v>689</v>
      </c>
      <c r="B141">
        <v>690</v>
      </c>
      <c r="C141">
        <v>146.795550883</v>
      </c>
      <c r="D141">
        <v>-19.144865536999902</v>
      </c>
      <c r="E141">
        <v>50</v>
      </c>
      <c r="H141" t="s">
        <v>26</v>
      </c>
      <c r="I141"/>
      <c r="J141" s="29"/>
      <c r="K141" s="30"/>
      <c r="L141" s="29"/>
      <c r="O141" s="49"/>
      <c r="Q141" s="22"/>
      <c r="S141" s="22"/>
      <c r="V141" s="47"/>
    </row>
    <row r="142" spans="1:22" x14ac:dyDescent="0.35">
      <c r="A142">
        <v>694</v>
      </c>
      <c r="B142">
        <v>695</v>
      </c>
      <c r="C142">
        <v>146.79536183799999</v>
      </c>
      <c r="D142">
        <v>-19.144488418000002</v>
      </c>
      <c r="E142">
        <v>50</v>
      </c>
      <c r="H142" t="s">
        <v>26</v>
      </c>
      <c r="I142"/>
      <c r="J142" s="29"/>
      <c r="K142" s="30"/>
      <c r="L142" s="29"/>
      <c r="O142" s="49"/>
      <c r="Q142" s="22"/>
      <c r="S142" s="22"/>
      <c r="V142" s="47"/>
    </row>
    <row r="143" spans="1:22" x14ac:dyDescent="0.35">
      <c r="A143">
        <v>699</v>
      </c>
      <c r="B143">
        <v>700</v>
      </c>
      <c r="C143">
        <v>146.795213096</v>
      </c>
      <c r="D143">
        <v>-19.144088932999999</v>
      </c>
      <c r="E143">
        <v>50</v>
      </c>
      <c r="H143" t="s">
        <v>26</v>
      </c>
      <c r="I143"/>
      <c r="J143" s="29"/>
      <c r="K143" s="30"/>
      <c r="L143" s="29"/>
      <c r="O143" s="49"/>
      <c r="Q143" s="22"/>
      <c r="S143" s="22"/>
      <c r="V143" s="47"/>
    </row>
    <row r="144" spans="1:22" x14ac:dyDescent="0.35">
      <c r="A144">
        <v>704</v>
      </c>
      <c r="B144">
        <v>705</v>
      </c>
      <c r="C144">
        <v>146.79489993999999</v>
      </c>
      <c r="D144">
        <v>-19.143811926999899</v>
      </c>
      <c r="E144">
        <v>50</v>
      </c>
      <c r="H144" t="s">
        <v>26</v>
      </c>
      <c r="I144"/>
      <c r="J144" s="29"/>
      <c r="K144" s="30"/>
      <c r="L144" s="29"/>
      <c r="O144" s="49"/>
      <c r="Q144" s="22"/>
      <c r="S144" s="22"/>
      <c r="V144" s="47"/>
    </row>
    <row r="145" spans="1:22" x14ac:dyDescent="0.35">
      <c r="A145">
        <v>709</v>
      </c>
      <c r="B145">
        <v>710</v>
      </c>
      <c r="C145">
        <v>146.79447559100001</v>
      </c>
      <c r="D145">
        <v>-19.143672939999899</v>
      </c>
      <c r="E145">
        <v>50</v>
      </c>
      <c r="H145" t="s">
        <v>26</v>
      </c>
      <c r="I145"/>
      <c r="J145" s="29"/>
      <c r="K145" s="30"/>
      <c r="L145" s="29"/>
      <c r="O145" s="49"/>
      <c r="Q145" s="22"/>
      <c r="S145" s="22"/>
      <c r="V145" s="47"/>
    </row>
    <row r="146" spans="1:22" x14ac:dyDescent="0.35">
      <c r="A146">
        <v>714</v>
      </c>
      <c r="B146">
        <v>715</v>
      </c>
      <c r="C146">
        <v>146.79409989199999</v>
      </c>
      <c r="D146">
        <v>-19.143472408000001</v>
      </c>
      <c r="E146">
        <v>50</v>
      </c>
      <c r="H146" t="s">
        <v>26</v>
      </c>
      <c r="I146"/>
      <c r="J146" s="29"/>
      <c r="K146" s="30"/>
      <c r="L146" s="29"/>
      <c r="O146" s="49"/>
      <c r="Q146" s="22"/>
      <c r="S146" s="22"/>
      <c r="V146" s="47"/>
    </row>
    <row r="147" spans="1:22" x14ac:dyDescent="0.35">
      <c r="A147">
        <v>719</v>
      </c>
      <c r="B147">
        <v>720</v>
      </c>
      <c r="C147">
        <v>146.79395921599999</v>
      </c>
      <c r="D147">
        <v>-19.143085420999999</v>
      </c>
      <c r="E147">
        <v>50</v>
      </c>
      <c r="H147" t="s">
        <v>26</v>
      </c>
      <c r="I147"/>
      <c r="J147" s="29"/>
      <c r="K147" s="30"/>
      <c r="L147" s="29"/>
      <c r="O147" s="49"/>
      <c r="Q147" s="22"/>
      <c r="S147" s="22"/>
      <c r="V147" s="47"/>
    </row>
    <row r="148" spans="1:22" x14ac:dyDescent="0.35">
      <c r="A148">
        <v>724</v>
      </c>
      <c r="B148">
        <v>725</v>
      </c>
      <c r="C148">
        <v>146.79389427199999</v>
      </c>
      <c r="D148">
        <v>-19.142665861999902</v>
      </c>
      <c r="E148">
        <v>50</v>
      </c>
      <c r="H148" t="s">
        <v>26</v>
      </c>
      <c r="I148"/>
      <c r="J148" s="29"/>
      <c r="K148" s="30"/>
      <c r="L148" s="29"/>
      <c r="O148" s="49"/>
      <c r="Q148" s="22"/>
      <c r="S148" s="22"/>
      <c r="V148" s="47"/>
    </row>
    <row r="149" spans="1:22" x14ac:dyDescent="0.35">
      <c r="A149">
        <v>729</v>
      </c>
      <c r="B149">
        <v>730</v>
      </c>
      <c r="C149">
        <v>146.79384989900001</v>
      </c>
      <c r="D149">
        <v>-19.1422470169999</v>
      </c>
      <c r="E149">
        <v>50</v>
      </c>
      <c r="H149" t="s">
        <v>26</v>
      </c>
      <c r="I149"/>
      <c r="J149" s="29"/>
      <c r="K149" s="30"/>
      <c r="L149" s="29"/>
      <c r="O149" s="49"/>
      <c r="Q149" s="22"/>
      <c r="S149" s="22"/>
      <c r="V149" s="47"/>
    </row>
    <row r="150" spans="1:22" x14ac:dyDescent="0.35">
      <c r="A150">
        <v>734</v>
      </c>
      <c r="B150">
        <v>735</v>
      </c>
      <c r="C150">
        <v>146.79378198000001</v>
      </c>
      <c r="D150">
        <v>-19.141831787999902</v>
      </c>
      <c r="E150">
        <v>50</v>
      </c>
      <c r="H150" t="s">
        <v>26</v>
      </c>
      <c r="I150"/>
      <c r="J150" s="29"/>
      <c r="K150" s="30"/>
      <c r="L150" s="29"/>
      <c r="O150" s="49"/>
      <c r="Q150" s="22"/>
      <c r="S150" s="22"/>
      <c r="V150" s="47"/>
    </row>
    <row r="151" spans="1:22" x14ac:dyDescent="0.35">
      <c r="A151">
        <v>739</v>
      </c>
      <c r="B151">
        <v>740</v>
      </c>
      <c r="C151">
        <v>146.79373799199999</v>
      </c>
      <c r="D151">
        <v>-19.141412285999898</v>
      </c>
      <c r="E151">
        <v>50</v>
      </c>
      <c r="H151" t="s">
        <v>26</v>
      </c>
      <c r="I151"/>
      <c r="J151" s="29"/>
      <c r="K151" s="30"/>
      <c r="L151" s="29"/>
      <c r="O151" s="49"/>
      <c r="Q151" s="22"/>
      <c r="S151" s="22"/>
      <c r="V151" s="47"/>
    </row>
    <row r="152" spans="1:22" x14ac:dyDescent="0.35">
      <c r="A152">
        <v>744</v>
      </c>
      <c r="B152">
        <v>745</v>
      </c>
      <c r="C152">
        <v>146.793581794</v>
      </c>
      <c r="D152">
        <v>-19.141015617999901</v>
      </c>
      <c r="E152">
        <v>50</v>
      </c>
      <c r="H152" t="s">
        <v>26</v>
      </c>
      <c r="I152"/>
      <c r="J152" s="29"/>
      <c r="K152" s="30"/>
      <c r="L152" s="29"/>
      <c r="O152" s="49"/>
      <c r="Q152" s="22"/>
      <c r="S152" s="22"/>
      <c r="V152" s="47"/>
    </row>
    <row r="153" spans="1:22" x14ac:dyDescent="0.35">
      <c r="A153">
        <v>749</v>
      </c>
      <c r="B153">
        <v>750</v>
      </c>
      <c r="C153">
        <v>146.79350226700001</v>
      </c>
      <c r="D153">
        <v>-19.140600764999899</v>
      </c>
      <c r="E153">
        <v>50</v>
      </c>
      <c r="H153" t="s">
        <v>26</v>
      </c>
      <c r="I153"/>
      <c r="J153" s="29"/>
      <c r="K153" s="30"/>
      <c r="L153" s="29"/>
      <c r="O153" s="49"/>
      <c r="Q153" s="22"/>
      <c r="S153" s="22"/>
      <c r="V153" s="47"/>
    </row>
    <row r="154" spans="1:22" x14ac:dyDescent="0.35">
      <c r="A154">
        <v>754</v>
      </c>
      <c r="B154">
        <v>755</v>
      </c>
      <c r="C154">
        <v>146.793357152</v>
      </c>
      <c r="D154">
        <v>-19.140199818999999</v>
      </c>
      <c r="E154">
        <v>50</v>
      </c>
      <c r="H154" t="s">
        <v>26</v>
      </c>
      <c r="I154"/>
      <c r="J154" s="29"/>
      <c r="K154" s="30"/>
      <c r="L154" s="29"/>
      <c r="O154" s="49"/>
      <c r="Q154" s="22"/>
      <c r="S154" s="22"/>
      <c r="V154" s="47"/>
    </row>
    <row r="155" spans="1:22" x14ac:dyDescent="0.35">
      <c r="A155">
        <v>759</v>
      </c>
      <c r="B155">
        <v>760</v>
      </c>
      <c r="C155">
        <v>146.793174523</v>
      </c>
      <c r="D155">
        <v>-19.139812449000001</v>
      </c>
      <c r="E155">
        <v>50</v>
      </c>
      <c r="H155" t="s">
        <v>26</v>
      </c>
      <c r="I155"/>
      <c r="J155" s="29"/>
      <c r="K155" s="30"/>
      <c r="L155" s="29"/>
      <c r="O155" s="49"/>
      <c r="Q155" s="22"/>
      <c r="S155" s="22"/>
      <c r="V155" s="47"/>
    </row>
    <row r="156" spans="1:22" x14ac:dyDescent="0.35">
      <c r="A156">
        <v>764</v>
      </c>
      <c r="B156">
        <v>765</v>
      </c>
      <c r="C156">
        <v>146.792971435</v>
      </c>
      <c r="D156">
        <v>-19.1394340209999</v>
      </c>
      <c r="E156">
        <v>50</v>
      </c>
      <c r="H156" t="s">
        <v>26</v>
      </c>
      <c r="I156"/>
      <c r="J156" s="29"/>
      <c r="K156" s="30"/>
      <c r="L156" s="29"/>
      <c r="O156" s="49"/>
      <c r="Q156" s="22"/>
      <c r="S156" s="22"/>
      <c r="V156" s="47"/>
    </row>
    <row r="157" spans="1:22" x14ac:dyDescent="0.35">
      <c r="A157">
        <v>769</v>
      </c>
      <c r="B157">
        <v>770</v>
      </c>
      <c r="C157">
        <v>146.79276129799999</v>
      </c>
      <c r="D157">
        <v>-19.1390590409999</v>
      </c>
      <c r="E157">
        <v>50</v>
      </c>
      <c r="H157" t="s">
        <v>26</v>
      </c>
      <c r="I157"/>
      <c r="J157" s="29"/>
      <c r="K157" s="30"/>
      <c r="L157" s="29"/>
      <c r="O157" s="49"/>
      <c r="Q157" s="22"/>
      <c r="S157" s="22"/>
      <c r="V157" s="47"/>
    </row>
    <row r="158" spans="1:22" x14ac:dyDescent="0.35">
      <c r="A158">
        <v>774</v>
      </c>
      <c r="B158">
        <v>775</v>
      </c>
      <c r="C158">
        <v>146.79253148199999</v>
      </c>
      <c r="D158">
        <v>-19.138695995999999</v>
      </c>
      <c r="E158">
        <v>50</v>
      </c>
      <c r="H158" t="s">
        <v>26</v>
      </c>
      <c r="I158"/>
      <c r="J158" s="29"/>
      <c r="K158" s="30"/>
      <c r="L158" s="29"/>
      <c r="O158" s="49"/>
      <c r="Q158" s="22"/>
      <c r="S158" s="22"/>
      <c r="V158" s="47"/>
    </row>
    <row r="159" spans="1:22" x14ac:dyDescent="0.35">
      <c r="A159">
        <v>779</v>
      </c>
      <c r="B159">
        <v>780</v>
      </c>
      <c r="C159">
        <v>146.79226970600001</v>
      </c>
      <c r="D159">
        <v>-19.138351182000001</v>
      </c>
      <c r="E159">
        <v>50</v>
      </c>
      <c r="H159" t="s">
        <v>26</v>
      </c>
      <c r="I159"/>
      <c r="J159" s="29"/>
      <c r="K159" s="30"/>
      <c r="L159" s="29"/>
      <c r="O159" s="49"/>
      <c r="Q159" s="22"/>
      <c r="S159" s="22"/>
      <c r="V159" s="47"/>
    </row>
    <row r="160" spans="1:22" x14ac:dyDescent="0.35">
      <c r="A160">
        <v>784</v>
      </c>
      <c r="B160">
        <v>785</v>
      </c>
      <c r="C160">
        <v>146.791971539</v>
      </c>
      <c r="D160">
        <v>-19.1380343619999</v>
      </c>
      <c r="E160">
        <v>50</v>
      </c>
      <c r="H160" t="s">
        <v>26</v>
      </c>
      <c r="I160"/>
      <c r="J160" s="29"/>
      <c r="K160" s="30"/>
      <c r="L160" s="29"/>
      <c r="O160" s="49"/>
      <c r="Q160" s="22"/>
      <c r="S160" s="22"/>
      <c r="V160" s="47"/>
    </row>
    <row r="161" spans="1:22" x14ac:dyDescent="0.35">
      <c r="A161">
        <v>789</v>
      </c>
      <c r="B161">
        <v>790</v>
      </c>
      <c r="C161">
        <v>146.79167649199999</v>
      </c>
      <c r="D161">
        <v>-19.137714463999899</v>
      </c>
      <c r="E161">
        <v>50</v>
      </c>
      <c r="H161" t="s">
        <v>26</v>
      </c>
      <c r="I161"/>
      <c r="J161" s="29"/>
      <c r="K161" s="30"/>
      <c r="L161" s="29"/>
      <c r="O161" s="49"/>
      <c r="Q161" s="22"/>
      <c r="S161" s="22"/>
      <c r="V161" s="47"/>
    </row>
    <row r="162" spans="1:22" x14ac:dyDescent="0.35">
      <c r="A162">
        <v>794</v>
      </c>
      <c r="B162">
        <v>795</v>
      </c>
      <c r="C162">
        <v>146.791383271</v>
      </c>
      <c r="D162">
        <v>-19.137393029999899</v>
      </c>
      <c r="E162">
        <v>50</v>
      </c>
      <c r="H162" t="s">
        <v>26</v>
      </c>
      <c r="I162"/>
      <c r="J162" s="29"/>
      <c r="K162" s="30"/>
      <c r="L162" s="29"/>
      <c r="O162" s="49"/>
      <c r="Q162" s="22"/>
      <c r="S162" s="22"/>
      <c r="V162" s="47"/>
    </row>
    <row r="163" spans="1:22" x14ac:dyDescent="0.35">
      <c r="A163">
        <v>799</v>
      </c>
      <c r="B163">
        <v>800</v>
      </c>
      <c r="C163">
        <v>146.791055019</v>
      </c>
      <c r="D163">
        <v>-19.137103389999901</v>
      </c>
      <c r="E163">
        <v>50</v>
      </c>
      <c r="H163" t="s">
        <v>26</v>
      </c>
      <c r="I163"/>
      <c r="J163" s="29"/>
      <c r="K163" s="30"/>
      <c r="L163" s="29"/>
      <c r="O163" s="49"/>
      <c r="Q163" s="22"/>
      <c r="S163" s="22"/>
      <c r="V163" s="47"/>
    </row>
    <row r="164" spans="1:22" x14ac:dyDescent="0.35">
      <c r="A164">
        <v>804</v>
      </c>
      <c r="B164">
        <v>805</v>
      </c>
      <c r="C164">
        <v>146.790748299</v>
      </c>
      <c r="D164">
        <v>-19.136794819999999</v>
      </c>
      <c r="E164">
        <v>50</v>
      </c>
      <c r="H164" t="s">
        <v>26</v>
      </c>
      <c r="I164"/>
      <c r="J164" s="29"/>
      <c r="K164" s="30"/>
      <c r="L164" s="29"/>
      <c r="O164" s="49"/>
      <c r="Q164" s="22"/>
      <c r="S164" s="22"/>
      <c r="V164" s="47"/>
    </row>
    <row r="165" spans="1:22" x14ac:dyDescent="0.35">
      <c r="A165">
        <v>809</v>
      </c>
      <c r="B165">
        <v>810</v>
      </c>
      <c r="C165">
        <v>146.79055848300001</v>
      </c>
      <c r="D165">
        <v>-19.136416298</v>
      </c>
      <c r="E165">
        <v>50</v>
      </c>
      <c r="H165" t="s">
        <v>26</v>
      </c>
      <c r="I165"/>
      <c r="J165" s="29"/>
      <c r="K165" s="30"/>
      <c r="L165" s="29"/>
      <c r="O165" s="49"/>
      <c r="Q165" s="22"/>
      <c r="S165" s="22"/>
      <c r="V165" s="47"/>
    </row>
    <row r="166" spans="1:22" x14ac:dyDescent="0.35">
      <c r="A166">
        <v>814</v>
      </c>
      <c r="B166">
        <v>815</v>
      </c>
      <c r="C166">
        <v>146.79034368999999</v>
      </c>
      <c r="D166">
        <v>-19.1360584449999</v>
      </c>
      <c r="E166">
        <v>50</v>
      </c>
      <c r="H166" t="s">
        <v>26</v>
      </c>
      <c r="I166"/>
      <c r="J166" s="29"/>
      <c r="K166" s="30"/>
      <c r="L166" s="29"/>
      <c r="O166" s="49"/>
      <c r="Q166" s="22"/>
      <c r="S166" s="22"/>
      <c r="V166" s="47"/>
    </row>
    <row r="167" spans="1:22" x14ac:dyDescent="0.35">
      <c r="A167">
        <v>819</v>
      </c>
      <c r="B167">
        <v>820</v>
      </c>
      <c r="C167">
        <v>146.789931948</v>
      </c>
      <c r="D167">
        <v>-19.1358931729999</v>
      </c>
      <c r="E167">
        <v>50</v>
      </c>
      <c r="H167" t="s">
        <v>26</v>
      </c>
      <c r="I167"/>
      <c r="J167" s="29"/>
      <c r="K167" s="30"/>
      <c r="L167" s="29"/>
      <c r="O167" s="49"/>
      <c r="Q167" s="22"/>
      <c r="S167" s="22"/>
      <c r="V167" s="47"/>
    </row>
    <row r="168" spans="1:22" x14ac:dyDescent="0.35">
      <c r="A168">
        <v>824</v>
      </c>
      <c r="B168">
        <v>825</v>
      </c>
      <c r="C168">
        <v>146.789511538</v>
      </c>
      <c r="D168">
        <v>-19.135743800999901</v>
      </c>
      <c r="E168">
        <v>50</v>
      </c>
      <c r="H168" t="s">
        <v>26</v>
      </c>
      <c r="I168"/>
      <c r="J168" s="29"/>
      <c r="K168" s="30"/>
      <c r="L168" s="29"/>
      <c r="O168" s="49"/>
      <c r="Q168" s="22"/>
      <c r="S168" s="22"/>
      <c r="V168" s="47"/>
    </row>
    <row r="169" spans="1:22" x14ac:dyDescent="0.35">
      <c r="A169">
        <v>829</v>
      </c>
      <c r="B169">
        <v>830</v>
      </c>
      <c r="C169">
        <v>146.789078155</v>
      </c>
      <c r="D169">
        <v>-19.135634450999898</v>
      </c>
      <c r="E169">
        <v>50</v>
      </c>
      <c r="H169" t="s">
        <v>26</v>
      </c>
      <c r="I169"/>
      <c r="J169" s="29"/>
      <c r="K169" s="30"/>
      <c r="L169" s="29"/>
      <c r="O169" s="49"/>
      <c r="Q169" s="22"/>
      <c r="S169" s="22"/>
      <c r="V169" s="47"/>
    </row>
    <row r="170" spans="1:22" x14ac:dyDescent="0.35">
      <c r="A170">
        <v>834</v>
      </c>
      <c r="B170">
        <v>835</v>
      </c>
      <c r="C170">
        <v>146.78864130700001</v>
      </c>
      <c r="D170">
        <v>-19.135535784000002</v>
      </c>
      <c r="E170">
        <v>50</v>
      </c>
      <c r="H170" t="s">
        <v>26</v>
      </c>
      <c r="I170"/>
      <c r="J170" s="29"/>
      <c r="K170" s="30"/>
      <c r="L170" s="29"/>
      <c r="O170" s="49"/>
      <c r="Q170" s="22"/>
      <c r="S170" s="22"/>
      <c r="V170" s="47"/>
    </row>
    <row r="171" spans="1:22" x14ac:dyDescent="0.35">
      <c r="A171">
        <v>839</v>
      </c>
      <c r="B171">
        <v>840</v>
      </c>
      <c r="C171">
        <v>146.78820365199999</v>
      </c>
      <c r="D171">
        <v>-19.1354403879999</v>
      </c>
      <c r="E171">
        <v>50</v>
      </c>
      <c r="H171" t="s">
        <v>26</v>
      </c>
      <c r="I171"/>
      <c r="J171" s="29"/>
      <c r="K171" s="30"/>
      <c r="L171" s="29"/>
      <c r="O171" s="49"/>
      <c r="Q171" s="22"/>
      <c r="S171" s="22"/>
      <c r="V171" s="47"/>
    </row>
    <row r="172" spans="1:22" x14ac:dyDescent="0.35">
      <c r="A172">
        <v>844</v>
      </c>
      <c r="B172">
        <v>845</v>
      </c>
      <c r="C172">
        <v>146.78776574400001</v>
      </c>
      <c r="D172">
        <v>-19.135346010999999</v>
      </c>
      <c r="E172">
        <v>50</v>
      </c>
      <c r="H172" t="s">
        <v>26</v>
      </c>
      <c r="I172"/>
      <c r="J172" s="29"/>
      <c r="K172" s="30"/>
      <c r="L172" s="29"/>
      <c r="O172" s="49"/>
      <c r="Q172" s="22"/>
      <c r="S172" s="22"/>
      <c r="V172" s="47"/>
    </row>
    <row r="173" spans="1:22" x14ac:dyDescent="0.35">
      <c r="A173">
        <v>849</v>
      </c>
      <c r="B173">
        <v>850</v>
      </c>
      <c r="C173">
        <v>146.787325944</v>
      </c>
      <c r="D173">
        <v>-19.135260085999999</v>
      </c>
      <c r="E173">
        <v>50</v>
      </c>
      <c r="H173" t="s">
        <v>26</v>
      </c>
      <c r="I173"/>
      <c r="J173" s="29"/>
      <c r="K173" s="30"/>
      <c r="L173" s="29"/>
      <c r="O173" s="49"/>
      <c r="Q173" s="22"/>
      <c r="S173" s="22"/>
      <c r="V173" s="47"/>
    </row>
    <row r="174" spans="1:22" x14ac:dyDescent="0.35">
      <c r="A174">
        <v>854</v>
      </c>
      <c r="B174">
        <v>855</v>
      </c>
      <c r="C174">
        <v>146.786885093</v>
      </c>
      <c r="D174">
        <v>-19.135178851999999</v>
      </c>
      <c r="E174">
        <v>50</v>
      </c>
      <c r="H174" t="s">
        <v>26</v>
      </c>
      <c r="I174"/>
      <c r="J174" s="29"/>
      <c r="K174" s="30"/>
      <c r="L174" s="29"/>
      <c r="O174" s="49"/>
      <c r="Q174" s="22"/>
      <c r="S174" s="22"/>
      <c r="V174" s="47"/>
    </row>
    <row r="175" spans="1:22" x14ac:dyDescent="0.35">
      <c r="A175">
        <v>859</v>
      </c>
      <c r="B175">
        <v>860</v>
      </c>
      <c r="C175">
        <v>146.786445034</v>
      </c>
      <c r="D175">
        <v>-19.135093943999902</v>
      </c>
      <c r="E175">
        <v>50</v>
      </c>
      <c r="H175" t="s">
        <v>26</v>
      </c>
      <c r="I175"/>
      <c r="J175" s="29"/>
      <c r="K175" s="30"/>
      <c r="L175" s="29"/>
      <c r="O175" s="49"/>
      <c r="Q175" s="22"/>
      <c r="S175" s="22"/>
      <c r="V175" s="47"/>
    </row>
    <row r="176" spans="1:22" x14ac:dyDescent="0.35">
      <c r="A176">
        <v>864</v>
      </c>
      <c r="B176">
        <v>865</v>
      </c>
      <c r="C176">
        <v>146.786005655</v>
      </c>
      <c r="D176">
        <v>-19.135005884000002</v>
      </c>
      <c r="E176">
        <v>50</v>
      </c>
      <c r="H176" t="s">
        <v>26</v>
      </c>
      <c r="I176"/>
      <c r="J176" s="29"/>
      <c r="K176" s="30"/>
      <c r="L176" s="29"/>
      <c r="O176" s="49"/>
      <c r="Q176" s="22"/>
      <c r="S176" s="22"/>
      <c r="V176" s="47"/>
    </row>
    <row r="177" spans="1:22" x14ac:dyDescent="0.35">
      <c r="A177">
        <v>869</v>
      </c>
      <c r="B177">
        <v>870</v>
      </c>
      <c r="C177">
        <v>146.78556554100001</v>
      </c>
      <c r="D177">
        <v>-19.1349250919999</v>
      </c>
      <c r="E177">
        <v>50</v>
      </c>
      <c r="H177" t="s">
        <v>26</v>
      </c>
      <c r="I177"/>
      <c r="J177" s="29"/>
      <c r="K177" s="30"/>
      <c r="L177" s="29"/>
      <c r="O177" s="49"/>
      <c r="Q177" s="22"/>
      <c r="S177" s="22"/>
      <c r="V177" s="47"/>
    </row>
    <row r="178" spans="1:22" x14ac:dyDescent="0.35">
      <c r="A178">
        <v>874</v>
      </c>
      <c r="B178">
        <v>875</v>
      </c>
      <c r="C178">
        <v>146.78521574999999</v>
      </c>
      <c r="D178">
        <v>-19.1346751089999</v>
      </c>
      <c r="E178">
        <v>50</v>
      </c>
      <c r="H178" t="s">
        <v>26</v>
      </c>
      <c r="I178"/>
      <c r="J178" s="29"/>
      <c r="K178" s="30"/>
      <c r="L178" s="29"/>
      <c r="O178" s="49"/>
      <c r="Q178" s="22"/>
      <c r="S178" s="22"/>
      <c r="V178" s="47"/>
    </row>
    <row r="179" spans="1:22" x14ac:dyDescent="0.35">
      <c r="A179">
        <v>879</v>
      </c>
      <c r="B179">
        <v>880</v>
      </c>
      <c r="C179">
        <v>146.78480362100001</v>
      </c>
      <c r="D179">
        <v>-19.134512530999899</v>
      </c>
      <c r="E179">
        <v>50</v>
      </c>
      <c r="H179" t="s">
        <v>26</v>
      </c>
      <c r="I179"/>
      <c r="J179" s="29"/>
      <c r="K179" s="30"/>
      <c r="L179" s="29"/>
      <c r="O179" s="49"/>
      <c r="Q179" s="22"/>
      <c r="S179" s="22"/>
      <c r="V179" s="47"/>
    </row>
    <row r="180" spans="1:22" x14ac:dyDescent="0.35">
      <c r="A180">
        <v>884</v>
      </c>
      <c r="B180">
        <v>885</v>
      </c>
      <c r="C180">
        <v>146.78436972099999</v>
      </c>
      <c r="D180">
        <v>-19.134403615999901</v>
      </c>
      <c r="E180">
        <v>50</v>
      </c>
      <c r="H180" t="s">
        <v>26</v>
      </c>
      <c r="I180"/>
      <c r="J180" s="29"/>
      <c r="K180" s="30"/>
      <c r="L180" s="29"/>
      <c r="O180" s="49"/>
      <c r="Q180" s="22"/>
      <c r="S180" s="22"/>
      <c r="V180" s="47"/>
    </row>
    <row r="181" spans="1:22" x14ac:dyDescent="0.35">
      <c r="A181">
        <v>889</v>
      </c>
      <c r="B181">
        <v>890</v>
      </c>
      <c r="C181">
        <v>146.78392877900001</v>
      </c>
      <c r="D181">
        <v>-19.1343232729999</v>
      </c>
      <c r="E181">
        <v>50</v>
      </c>
      <c r="H181" t="s">
        <v>26</v>
      </c>
      <c r="I181"/>
      <c r="J181" s="29"/>
      <c r="K181" s="30"/>
      <c r="L181" s="29"/>
      <c r="O181" s="49"/>
      <c r="Q181" s="22"/>
      <c r="S181" s="22"/>
      <c r="V181" s="47"/>
    </row>
    <row r="182" spans="1:22" x14ac:dyDescent="0.35">
      <c r="A182">
        <v>894</v>
      </c>
      <c r="B182">
        <v>895</v>
      </c>
      <c r="C182">
        <v>146.78349487</v>
      </c>
      <c r="D182">
        <v>-19.134214941</v>
      </c>
      <c r="E182">
        <v>50</v>
      </c>
      <c r="H182" t="s">
        <v>26</v>
      </c>
      <c r="I182"/>
      <c r="J182" s="29"/>
      <c r="K182" s="30"/>
      <c r="L182" s="29"/>
      <c r="O182" s="49"/>
      <c r="Q182" s="22"/>
      <c r="S182" s="22"/>
      <c r="V182" s="47"/>
    </row>
    <row r="183" spans="1:22" x14ac:dyDescent="0.35">
      <c r="A183">
        <v>899</v>
      </c>
      <c r="B183">
        <v>900</v>
      </c>
      <c r="C183">
        <v>146.783209296</v>
      </c>
      <c r="D183">
        <v>-19.133918848</v>
      </c>
      <c r="E183">
        <v>50</v>
      </c>
      <c r="H183" t="s">
        <v>26</v>
      </c>
      <c r="I183"/>
      <c r="J183" s="29"/>
      <c r="K183" s="30"/>
      <c r="L183" s="29"/>
      <c r="O183" s="49"/>
      <c r="Q183" s="22"/>
      <c r="S183" s="22"/>
      <c r="V183" s="47"/>
    </row>
    <row r="184" spans="1:22" x14ac:dyDescent="0.35">
      <c r="A184">
        <v>904</v>
      </c>
      <c r="B184">
        <v>905</v>
      </c>
      <c r="C184">
        <v>146.78277678800001</v>
      </c>
      <c r="D184">
        <v>-19.133951071999899</v>
      </c>
      <c r="E184">
        <v>50</v>
      </c>
      <c r="H184" t="s">
        <v>26</v>
      </c>
      <c r="I184"/>
      <c r="J184" s="29"/>
      <c r="K184" s="30"/>
      <c r="L184" s="29"/>
      <c r="O184" s="49"/>
      <c r="Q184" s="22"/>
      <c r="S184" s="22"/>
      <c r="V184" s="47"/>
    </row>
    <row r="185" spans="1:22" x14ac:dyDescent="0.35">
      <c r="A185">
        <v>909</v>
      </c>
      <c r="B185">
        <v>910</v>
      </c>
      <c r="C185">
        <v>146.78234481999999</v>
      </c>
      <c r="D185">
        <v>-19.133953505000001</v>
      </c>
      <c r="E185">
        <v>50</v>
      </c>
      <c r="H185" t="s">
        <v>26</v>
      </c>
      <c r="I185"/>
      <c r="J185" s="29"/>
      <c r="K185" s="30"/>
      <c r="L185" s="29"/>
      <c r="O185" s="49"/>
      <c r="Q185" s="22"/>
      <c r="S185" s="22"/>
      <c r="V185" s="47"/>
    </row>
    <row r="186" spans="1:22" x14ac:dyDescent="0.35">
      <c r="A186">
        <v>914</v>
      </c>
      <c r="B186">
        <v>915</v>
      </c>
      <c r="C186">
        <v>146.78208013599999</v>
      </c>
      <c r="D186">
        <v>-19.133647018000001</v>
      </c>
      <c r="E186">
        <v>50</v>
      </c>
      <c r="H186" t="s">
        <v>26</v>
      </c>
      <c r="I186"/>
      <c r="J186" s="29"/>
      <c r="K186" s="30"/>
      <c r="L186" s="29"/>
      <c r="O186" s="49"/>
      <c r="Q186" s="22"/>
      <c r="S186" s="22"/>
      <c r="V186" s="47"/>
    </row>
    <row r="187" spans="1:22" x14ac:dyDescent="0.35">
      <c r="A187">
        <v>919</v>
      </c>
      <c r="B187">
        <v>920</v>
      </c>
      <c r="C187">
        <v>146.78203559299999</v>
      </c>
      <c r="D187">
        <v>-19.133227136999899</v>
      </c>
      <c r="E187">
        <v>50</v>
      </c>
      <c r="H187" t="s">
        <v>26</v>
      </c>
      <c r="I187"/>
      <c r="J187" s="29"/>
      <c r="K187" s="30"/>
      <c r="L187" s="29"/>
      <c r="O187" s="49"/>
      <c r="Q187" s="22"/>
      <c r="S187" s="22"/>
      <c r="V187" s="47"/>
    </row>
    <row r="188" spans="1:22" x14ac:dyDescent="0.35">
      <c r="A188">
        <v>924</v>
      </c>
      <c r="B188">
        <v>925</v>
      </c>
      <c r="C188">
        <v>146.78206216500001</v>
      </c>
      <c r="D188">
        <v>-19.132803533999901</v>
      </c>
      <c r="E188">
        <v>50</v>
      </c>
      <c r="H188" t="s">
        <v>26</v>
      </c>
      <c r="I188"/>
      <c r="J188" s="29"/>
      <c r="K188" s="30"/>
      <c r="L188" s="29"/>
      <c r="O188" s="49"/>
      <c r="Q188" s="22"/>
      <c r="S188" s="22"/>
      <c r="V188" s="47"/>
    </row>
    <row r="189" spans="1:22" x14ac:dyDescent="0.35">
      <c r="A189">
        <v>929</v>
      </c>
      <c r="B189">
        <v>930</v>
      </c>
      <c r="C189">
        <v>146.781965652</v>
      </c>
      <c r="D189">
        <v>-19.132396726</v>
      </c>
      <c r="E189">
        <v>50</v>
      </c>
      <c r="H189" t="s">
        <v>26</v>
      </c>
      <c r="I189"/>
      <c r="J189" s="29"/>
      <c r="K189" s="30"/>
      <c r="L189" s="29"/>
      <c r="O189" s="49"/>
      <c r="Q189" s="22"/>
      <c r="S189" s="22"/>
      <c r="V189" s="47"/>
    </row>
    <row r="190" spans="1:22" x14ac:dyDescent="0.35">
      <c r="A190">
        <v>934</v>
      </c>
      <c r="B190">
        <v>935</v>
      </c>
      <c r="C190">
        <v>146.78161747199999</v>
      </c>
      <c r="D190">
        <v>-19.132135884</v>
      </c>
      <c r="E190">
        <v>50</v>
      </c>
      <c r="H190" t="s">
        <v>26</v>
      </c>
      <c r="I190"/>
      <c r="J190" s="29"/>
      <c r="K190" s="30"/>
      <c r="L190" s="29"/>
      <c r="O190" s="49"/>
      <c r="Q190" s="22"/>
      <c r="S190" s="22"/>
      <c r="V190" s="47"/>
    </row>
    <row r="191" spans="1:22" x14ac:dyDescent="0.35">
      <c r="A191">
        <v>939</v>
      </c>
      <c r="B191">
        <v>940</v>
      </c>
      <c r="C191">
        <v>146.78124380400001</v>
      </c>
      <c r="D191">
        <v>-19.131900421999902</v>
      </c>
      <c r="E191">
        <v>50</v>
      </c>
      <c r="H191" t="s">
        <v>26</v>
      </c>
      <c r="I191"/>
      <c r="J191" s="29"/>
      <c r="K191" s="30"/>
      <c r="L191" s="29"/>
      <c r="O191" s="49"/>
      <c r="Q191" s="22"/>
      <c r="S191" s="22"/>
      <c r="V191" s="47"/>
    </row>
    <row r="192" spans="1:22" x14ac:dyDescent="0.35">
      <c r="A192">
        <v>944</v>
      </c>
      <c r="B192">
        <v>945</v>
      </c>
      <c r="C192">
        <v>146.78091536900001</v>
      </c>
      <c r="D192">
        <v>-19.131616357999999</v>
      </c>
      <c r="E192">
        <v>50</v>
      </c>
      <c r="H192" t="s">
        <v>26</v>
      </c>
      <c r="I192"/>
      <c r="J192" s="29"/>
      <c r="K192" s="30"/>
      <c r="L192" s="29"/>
      <c r="O192" s="49"/>
      <c r="Q192" s="22"/>
      <c r="S192" s="22"/>
      <c r="V192" s="47"/>
    </row>
    <row r="193" spans="1:22" x14ac:dyDescent="0.35">
      <c r="A193">
        <v>949</v>
      </c>
      <c r="B193">
        <v>950</v>
      </c>
      <c r="C193">
        <v>146.780808622</v>
      </c>
      <c r="D193">
        <v>-19.131211021999899</v>
      </c>
      <c r="E193">
        <v>50</v>
      </c>
      <c r="H193" t="s">
        <v>26</v>
      </c>
      <c r="I193"/>
      <c r="J193" s="29"/>
      <c r="K193" s="30"/>
      <c r="L193" s="29"/>
      <c r="O193" s="49"/>
      <c r="Q193" s="22"/>
      <c r="S193" s="22"/>
      <c r="V193" s="47"/>
    </row>
    <row r="194" spans="1:22" x14ac:dyDescent="0.35">
      <c r="A194">
        <v>954</v>
      </c>
      <c r="B194">
        <v>955</v>
      </c>
      <c r="C194">
        <v>146.780532561</v>
      </c>
      <c r="D194">
        <v>-19.130876987000001</v>
      </c>
      <c r="E194">
        <v>50</v>
      </c>
      <c r="H194" t="s">
        <v>26</v>
      </c>
      <c r="I194"/>
      <c r="J194" s="29"/>
      <c r="K194" s="30"/>
      <c r="L194" s="29"/>
      <c r="O194" s="49"/>
      <c r="Q194" s="22"/>
      <c r="S194" s="22"/>
      <c r="V194" s="47"/>
    </row>
    <row r="195" spans="1:22" x14ac:dyDescent="0.35">
      <c r="A195">
        <v>959</v>
      </c>
      <c r="B195">
        <v>960</v>
      </c>
      <c r="C195">
        <v>146.780208888</v>
      </c>
      <c r="D195">
        <v>-19.130582827000001</v>
      </c>
      <c r="E195">
        <v>50</v>
      </c>
      <c r="H195" t="s">
        <v>26</v>
      </c>
      <c r="I195"/>
      <c r="J195" s="29"/>
      <c r="K195" s="30"/>
      <c r="L195" s="29"/>
      <c r="O195" s="49"/>
      <c r="Q195" s="22"/>
      <c r="S195" s="22"/>
      <c r="V195" s="47"/>
    </row>
    <row r="196" spans="1:22" x14ac:dyDescent="0.35">
      <c r="A196">
        <v>964</v>
      </c>
      <c r="B196">
        <v>965</v>
      </c>
      <c r="C196">
        <v>146.77991540599999</v>
      </c>
      <c r="D196">
        <v>-19.130263319999901</v>
      </c>
      <c r="E196">
        <v>50</v>
      </c>
      <c r="H196" t="s">
        <v>26</v>
      </c>
      <c r="I196"/>
      <c r="J196" s="29"/>
      <c r="K196" s="30"/>
      <c r="L196" s="29"/>
      <c r="O196" s="49"/>
      <c r="Q196" s="22"/>
      <c r="S196" s="22"/>
      <c r="V196" s="47"/>
    </row>
    <row r="197" spans="1:22" x14ac:dyDescent="0.35">
      <c r="A197">
        <v>969</v>
      </c>
      <c r="B197">
        <v>970</v>
      </c>
      <c r="C197">
        <v>146.77965522400001</v>
      </c>
      <c r="D197">
        <v>-19.129917892999998</v>
      </c>
      <c r="E197">
        <v>50</v>
      </c>
      <c r="H197" t="s">
        <v>26</v>
      </c>
      <c r="I197"/>
      <c r="J197" s="29"/>
      <c r="K197" s="30"/>
      <c r="L197" s="29"/>
      <c r="O197" s="49"/>
      <c r="Q197" s="22"/>
      <c r="S197" s="22"/>
      <c r="V197" s="47"/>
    </row>
    <row r="198" spans="1:22" x14ac:dyDescent="0.35">
      <c r="A198">
        <v>974</v>
      </c>
      <c r="B198">
        <v>975</v>
      </c>
      <c r="C198">
        <v>146.77942708699999</v>
      </c>
      <c r="D198">
        <v>-19.129552920999998</v>
      </c>
      <c r="E198">
        <v>50</v>
      </c>
      <c r="H198" t="s">
        <v>26</v>
      </c>
      <c r="I198"/>
      <c r="J198" s="29"/>
      <c r="K198" s="30"/>
      <c r="L198" s="29"/>
      <c r="O198" s="49"/>
      <c r="Q198" s="22"/>
      <c r="S198" s="22"/>
      <c r="V198" s="47"/>
    </row>
    <row r="199" spans="1:22" x14ac:dyDescent="0.35">
      <c r="A199">
        <v>979</v>
      </c>
      <c r="B199">
        <v>980</v>
      </c>
      <c r="C199">
        <v>146.779286458</v>
      </c>
      <c r="D199">
        <v>-19.129157228999901</v>
      </c>
      <c r="E199">
        <v>50</v>
      </c>
      <c r="H199" t="s">
        <v>26</v>
      </c>
      <c r="I199"/>
      <c r="J199" s="29"/>
      <c r="K199" s="30"/>
      <c r="L199" s="29"/>
      <c r="O199" s="49"/>
      <c r="Q199" s="22"/>
      <c r="S199" s="22"/>
      <c r="V199" s="47"/>
    </row>
    <row r="200" spans="1:22" x14ac:dyDescent="0.35">
      <c r="H200" t="s">
        <v>26</v>
      </c>
      <c r="I200"/>
      <c r="J200" s="29"/>
      <c r="K200" s="30"/>
      <c r="L200" s="29"/>
      <c r="O200" s="49"/>
      <c r="Q200" s="22"/>
      <c r="S200" s="22"/>
      <c r="V200" s="47"/>
    </row>
    <row r="201" spans="1:22" x14ac:dyDescent="0.35">
      <c r="H201" t="s">
        <v>26</v>
      </c>
      <c r="I201"/>
      <c r="J201" s="29"/>
      <c r="K201" s="30"/>
      <c r="L201" s="29"/>
      <c r="O201" s="49"/>
      <c r="Q201" s="22"/>
      <c r="S201" s="22"/>
      <c r="V201" s="47"/>
    </row>
    <row r="202" spans="1:22" x14ac:dyDescent="0.35">
      <c r="H202" t="s">
        <v>26</v>
      </c>
      <c r="I202"/>
      <c r="J202" s="29"/>
      <c r="K202" s="30"/>
      <c r="L202" s="29"/>
      <c r="O202" s="49"/>
      <c r="Q202" s="22"/>
      <c r="S202" s="22"/>
      <c r="V202" s="47"/>
    </row>
    <row r="203" spans="1:22" x14ac:dyDescent="0.35">
      <c r="H203" t="s">
        <v>26</v>
      </c>
      <c r="I203"/>
      <c r="J203" s="29"/>
      <c r="K203" s="30"/>
      <c r="L203" s="29"/>
      <c r="O203" s="49"/>
      <c r="Q203" s="22"/>
      <c r="S203" s="22"/>
      <c r="V203" s="47"/>
    </row>
    <row r="204" spans="1:22" x14ac:dyDescent="0.35">
      <c r="H204" t="s">
        <v>26</v>
      </c>
      <c r="I204"/>
      <c r="J204" s="29"/>
      <c r="K204" s="30"/>
      <c r="L204" s="29"/>
      <c r="O204" s="49"/>
      <c r="Q204" s="22"/>
      <c r="S204" s="22"/>
      <c r="V204" s="47"/>
    </row>
    <row r="205" spans="1:22" x14ac:dyDescent="0.35">
      <c r="H205" t="s">
        <v>26</v>
      </c>
      <c r="I205"/>
      <c r="J205" s="29"/>
      <c r="K205" s="30"/>
      <c r="L205" s="29"/>
      <c r="M205">
        <v>4</v>
      </c>
      <c r="N205">
        <v>4</v>
      </c>
      <c r="O205" s="49"/>
      <c r="P205">
        <v>3</v>
      </c>
      <c r="Q205" s="22"/>
      <c r="S205" s="22"/>
      <c r="V205" s="47"/>
    </row>
    <row r="206" spans="1:22" x14ac:dyDescent="0.35">
      <c r="F206" t="s">
        <v>4348</v>
      </c>
      <c r="I206">
        <v>1</v>
      </c>
      <c r="J206" s="29"/>
      <c r="K206" s="30"/>
      <c r="L206" s="29"/>
      <c r="M206">
        <v>4</v>
      </c>
      <c r="N206">
        <v>4</v>
      </c>
      <c r="O206" s="49"/>
      <c r="P206">
        <v>4</v>
      </c>
      <c r="Q206" s="22"/>
      <c r="S206" s="22"/>
      <c r="V206" s="47"/>
    </row>
    <row r="207" spans="1:22" x14ac:dyDescent="0.35">
      <c r="F207" t="s">
        <v>4353</v>
      </c>
      <c r="I207">
        <v>1</v>
      </c>
      <c r="J207" s="29"/>
      <c r="K207" s="30"/>
      <c r="L207" s="29"/>
      <c r="M207">
        <v>4</v>
      </c>
      <c r="N207">
        <v>4</v>
      </c>
      <c r="O207" s="49"/>
      <c r="P207">
        <v>4</v>
      </c>
      <c r="Q207" s="22"/>
      <c r="S207" s="22"/>
      <c r="V207" s="47"/>
    </row>
    <row r="208" spans="1:22" x14ac:dyDescent="0.35">
      <c r="F208" t="s">
        <v>4358</v>
      </c>
      <c r="I208">
        <v>1</v>
      </c>
      <c r="J208" s="29"/>
      <c r="K208" s="30"/>
      <c r="L208" s="29"/>
      <c r="M208">
        <v>4</v>
      </c>
      <c r="N208">
        <v>4</v>
      </c>
      <c r="O208" s="49"/>
      <c r="P208">
        <v>4</v>
      </c>
      <c r="Q208" s="22"/>
      <c r="S208" s="22"/>
      <c r="V208" s="47"/>
    </row>
    <row r="209" spans="6:22" x14ac:dyDescent="0.35">
      <c r="F209" t="s">
        <v>4363</v>
      </c>
      <c r="I209">
        <v>1</v>
      </c>
      <c r="J209" s="29"/>
      <c r="K209" s="30"/>
      <c r="L209" s="29"/>
      <c r="M209">
        <v>4</v>
      </c>
      <c r="N209">
        <v>4</v>
      </c>
      <c r="O209" s="49"/>
      <c r="P209">
        <v>3</v>
      </c>
      <c r="Q209" s="22"/>
      <c r="S209" s="22"/>
      <c r="V209" s="47"/>
    </row>
    <row r="210" spans="6:22" x14ac:dyDescent="0.35">
      <c r="F210" t="s">
        <v>4368</v>
      </c>
      <c r="I210">
        <v>1</v>
      </c>
      <c r="J210" s="29"/>
      <c r="K210" s="30"/>
      <c r="L210" s="29"/>
      <c r="M210">
        <v>4</v>
      </c>
      <c r="N210">
        <v>4</v>
      </c>
      <c r="O210" s="49"/>
      <c r="P210">
        <v>4</v>
      </c>
      <c r="Q210" s="22"/>
      <c r="S210" s="22"/>
      <c r="V210" s="47"/>
    </row>
    <row r="211" spans="6:22" x14ac:dyDescent="0.35">
      <c r="F211" t="s">
        <v>4373</v>
      </c>
      <c r="I211">
        <v>1</v>
      </c>
      <c r="J211" s="29"/>
      <c r="K211" s="30"/>
      <c r="L211" s="29"/>
      <c r="M211">
        <v>4</v>
      </c>
      <c r="N211">
        <v>4</v>
      </c>
      <c r="O211" s="49"/>
      <c r="P211">
        <v>4</v>
      </c>
      <c r="Q211" s="22"/>
      <c r="S211" s="22"/>
      <c r="V211" s="47"/>
    </row>
    <row r="212" spans="6:22" x14ac:dyDescent="0.35">
      <c r="F212" t="s">
        <v>4378</v>
      </c>
      <c r="I212">
        <v>1</v>
      </c>
      <c r="J212" s="29"/>
      <c r="K212" s="30"/>
      <c r="L212" s="29"/>
      <c r="M212">
        <v>4</v>
      </c>
      <c r="N212">
        <v>4</v>
      </c>
      <c r="O212" s="49"/>
      <c r="P212">
        <v>4</v>
      </c>
      <c r="Q212" s="22"/>
      <c r="S212" s="22"/>
      <c r="V212" s="47"/>
    </row>
    <row r="213" spans="6:22" x14ac:dyDescent="0.35">
      <c r="F213" t="s">
        <v>4383</v>
      </c>
      <c r="I213">
        <v>1</v>
      </c>
      <c r="J213" s="29"/>
      <c r="K213" s="30"/>
      <c r="L213" s="29"/>
      <c r="M213">
        <v>4</v>
      </c>
      <c r="N213">
        <v>4</v>
      </c>
      <c r="O213" s="49"/>
      <c r="P213">
        <v>4</v>
      </c>
      <c r="Q213" s="22"/>
      <c r="S213" s="22"/>
      <c r="V213" s="47"/>
    </row>
    <row r="214" spans="6:22" x14ac:dyDescent="0.35">
      <c r="F214" t="s">
        <v>4388</v>
      </c>
      <c r="I214">
        <v>1</v>
      </c>
      <c r="J214" s="29"/>
      <c r="K214" s="30"/>
      <c r="L214" s="29"/>
      <c r="O214" s="49"/>
      <c r="Q214" s="22"/>
      <c r="S214" s="22"/>
      <c r="V214" s="47"/>
    </row>
    <row r="215" spans="6:22" x14ac:dyDescent="0.35">
      <c r="F215" t="s">
        <v>4393</v>
      </c>
      <c r="I215">
        <v>0</v>
      </c>
      <c r="J215" s="29"/>
      <c r="K215" s="30"/>
      <c r="L215" s="29"/>
      <c r="O215" s="49"/>
      <c r="Q215" s="22"/>
      <c r="S215" s="22"/>
      <c r="V215" s="47"/>
    </row>
    <row r="216" spans="6:22" x14ac:dyDescent="0.35">
      <c r="F216" t="s">
        <v>4398</v>
      </c>
      <c r="I216">
        <v>0</v>
      </c>
      <c r="J216" s="29"/>
      <c r="K216" s="30"/>
      <c r="L216" s="29"/>
      <c r="M216">
        <v>1</v>
      </c>
      <c r="N216">
        <v>4</v>
      </c>
      <c r="O216" s="49"/>
      <c r="P216">
        <v>4</v>
      </c>
      <c r="Q216" s="22"/>
      <c r="S216" s="22"/>
      <c r="V216" s="47"/>
    </row>
    <row r="217" spans="6:22" x14ac:dyDescent="0.35">
      <c r="F217" t="s">
        <v>4403</v>
      </c>
      <c r="I217">
        <v>0</v>
      </c>
      <c r="J217" s="29"/>
      <c r="K217" s="30"/>
      <c r="L217" s="29"/>
      <c r="M217">
        <v>3</v>
      </c>
      <c r="N217">
        <v>3</v>
      </c>
      <c r="O217" s="49"/>
      <c r="P217">
        <v>4</v>
      </c>
      <c r="Q217" s="22"/>
      <c r="S217" s="22"/>
      <c r="V217" s="47"/>
    </row>
    <row r="218" spans="6:22" x14ac:dyDescent="0.35">
      <c r="F218" t="s">
        <v>4408</v>
      </c>
      <c r="I218">
        <v>1</v>
      </c>
      <c r="J218" s="29"/>
      <c r="K218" s="30"/>
      <c r="L218" s="29"/>
      <c r="M218">
        <v>4</v>
      </c>
      <c r="N218">
        <v>4</v>
      </c>
      <c r="O218" s="49"/>
      <c r="P218">
        <v>4</v>
      </c>
      <c r="Q218" s="22"/>
      <c r="S218" s="22"/>
      <c r="V218" s="47"/>
    </row>
    <row r="219" spans="6:22" x14ac:dyDescent="0.35">
      <c r="F219" t="s">
        <v>4413</v>
      </c>
      <c r="I219">
        <v>1</v>
      </c>
      <c r="J219" s="29"/>
      <c r="K219" s="30"/>
      <c r="L219" s="29"/>
      <c r="M219">
        <v>4</v>
      </c>
      <c r="N219">
        <v>4</v>
      </c>
      <c r="O219" s="49"/>
      <c r="P219">
        <v>4</v>
      </c>
      <c r="Q219" s="22"/>
      <c r="S219" s="22"/>
      <c r="V219" s="47"/>
    </row>
    <row r="220" spans="6:22" x14ac:dyDescent="0.35">
      <c r="F220" t="s">
        <v>4418</v>
      </c>
      <c r="I220">
        <v>1</v>
      </c>
      <c r="J220" s="29"/>
      <c r="K220" s="30"/>
      <c r="L220" s="29"/>
      <c r="M220">
        <v>4</v>
      </c>
      <c r="N220">
        <v>4</v>
      </c>
      <c r="O220" s="49"/>
      <c r="P220">
        <v>3</v>
      </c>
      <c r="Q220" s="22"/>
      <c r="S220" s="22"/>
      <c r="V220" s="47"/>
    </row>
    <row r="221" spans="6:22" x14ac:dyDescent="0.35">
      <c r="F221" t="s">
        <v>4423</v>
      </c>
      <c r="I221">
        <v>1</v>
      </c>
      <c r="J221" s="29"/>
      <c r="K221" s="30"/>
      <c r="L221" s="29"/>
      <c r="M221">
        <v>4</v>
      </c>
      <c r="N221">
        <v>4</v>
      </c>
      <c r="O221" s="49"/>
      <c r="P221">
        <v>4</v>
      </c>
      <c r="Q221" s="22"/>
      <c r="S221" s="22"/>
      <c r="V221" s="47"/>
    </row>
    <row r="222" spans="6:22" x14ac:dyDescent="0.35">
      <c r="F222" t="s">
        <v>4428</v>
      </c>
      <c r="I222">
        <v>1</v>
      </c>
      <c r="J222" s="29"/>
      <c r="K222" s="30"/>
      <c r="L222" s="29"/>
      <c r="M222">
        <v>4</v>
      </c>
      <c r="N222">
        <v>4</v>
      </c>
      <c r="O222" s="49"/>
      <c r="P222">
        <v>3</v>
      </c>
      <c r="Q222" s="22"/>
      <c r="S222" s="22"/>
      <c r="V222" s="47"/>
    </row>
    <row r="223" spans="6:22" x14ac:dyDescent="0.35">
      <c r="F223" t="s">
        <v>4433</v>
      </c>
      <c r="I223">
        <v>1</v>
      </c>
      <c r="J223" s="29"/>
      <c r="K223" s="30"/>
      <c r="L223" s="29"/>
      <c r="M223">
        <v>4</v>
      </c>
      <c r="N223">
        <v>4</v>
      </c>
      <c r="O223" s="49"/>
      <c r="P223">
        <v>4</v>
      </c>
      <c r="Q223" s="22"/>
      <c r="S223" s="22"/>
      <c r="V223" s="47"/>
    </row>
    <row r="224" spans="6:22" x14ac:dyDescent="0.35">
      <c r="F224" t="s">
        <v>4438</v>
      </c>
      <c r="I224">
        <v>1</v>
      </c>
      <c r="J224" s="29"/>
      <c r="K224" s="30"/>
      <c r="L224" s="29"/>
      <c r="M224">
        <v>4</v>
      </c>
      <c r="N224">
        <v>4</v>
      </c>
      <c r="O224" s="49"/>
      <c r="P224">
        <v>3</v>
      </c>
      <c r="Q224" s="22"/>
      <c r="S224" s="22"/>
      <c r="V224" s="47"/>
    </row>
    <row r="225" spans="6:22" x14ac:dyDescent="0.35">
      <c r="F225" t="s">
        <v>4443</v>
      </c>
      <c r="I225">
        <v>1</v>
      </c>
      <c r="J225" s="29"/>
      <c r="K225" s="30"/>
      <c r="L225" s="29"/>
      <c r="M225">
        <v>4</v>
      </c>
      <c r="N225">
        <v>4</v>
      </c>
      <c r="O225" s="49"/>
      <c r="P225">
        <v>3</v>
      </c>
      <c r="Q225" s="22"/>
      <c r="S225" s="22"/>
      <c r="V225" s="47"/>
    </row>
    <row r="226" spans="6:22" x14ac:dyDescent="0.35">
      <c r="F226" t="s">
        <v>4448</v>
      </c>
      <c r="I226">
        <v>1</v>
      </c>
      <c r="J226" s="29"/>
      <c r="K226" s="30"/>
      <c r="L226" s="29"/>
      <c r="M226">
        <v>4</v>
      </c>
      <c r="N226">
        <v>4</v>
      </c>
      <c r="O226" s="49"/>
      <c r="P226">
        <v>2</v>
      </c>
      <c r="Q226" s="22"/>
      <c r="S226" s="22"/>
      <c r="V226" s="47"/>
    </row>
    <row r="227" spans="6:22" x14ac:dyDescent="0.35">
      <c r="F227" t="s">
        <v>4453</v>
      </c>
      <c r="I227">
        <v>1</v>
      </c>
      <c r="J227" s="29"/>
      <c r="K227" s="30"/>
      <c r="L227" s="29"/>
      <c r="M227">
        <v>4</v>
      </c>
      <c r="N227">
        <v>4</v>
      </c>
      <c r="O227" s="49"/>
      <c r="P227">
        <v>4</v>
      </c>
      <c r="Q227" s="22"/>
      <c r="S227" s="22"/>
      <c r="V227" s="47"/>
    </row>
    <row r="228" spans="6:22" x14ac:dyDescent="0.35">
      <c r="F228" t="s">
        <v>4458</v>
      </c>
      <c r="I228">
        <v>1</v>
      </c>
      <c r="J228" s="29"/>
      <c r="K228" s="30"/>
      <c r="L228" s="29"/>
      <c r="M228">
        <v>4</v>
      </c>
      <c r="N228">
        <v>4</v>
      </c>
      <c r="O228" s="49"/>
      <c r="P228">
        <v>4</v>
      </c>
      <c r="Q228" s="22"/>
      <c r="S228" s="22"/>
      <c r="V228" s="47"/>
    </row>
    <row r="229" spans="6:22" x14ac:dyDescent="0.35">
      <c r="F229" t="s">
        <v>4463</v>
      </c>
      <c r="I229">
        <v>1</v>
      </c>
      <c r="J229" s="29"/>
      <c r="K229" s="30"/>
      <c r="L229" s="29"/>
      <c r="M229">
        <v>4</v>
      </c>
      <c r="N229">
        <v>4</v>
      </c>
      <c r="O229" s="49"/>
      <c r="P229">
        <v>3</v>
      </c>
      <c r="Q229" s="22"/>
      <c r="S229" s="22"/>
      <c r="V229" s="47"/>
    </row>
    <row r="230" spans="6:22" x14ac:dyDescent="0.35">
      <c r="F230" t="s">
        <v>4468</v>
      </c>
      <c r="I230">
        <v>1</v>
      </c>
      <c r="J230" s="29"/>
      <c r="K230" s="30"/>
      <c r="L230" s="29"/>
      <c r="M230">
        <v>4</v>
      </c>
      <c r="N230">
        <v>4</v>
      </c>
      <c r="O230" s="49"/>
      <c r="P230">
        <v>4</v>
      </c>
      <c r="Q230" s="22"/>
      <c r="S230" s="22"/>
      <c r="V230" s="47"/>
    </row>
    <row r="231" spans="6:22" x14ac:dyDescent="0.35">
      <c r="F231" t="s">
        <v>4473</v>
      </c>
      <c r="I231">
        <v>1</v>
      </c>
      <c r="J231" s="29"/>
      <c r="K231" s="30"/>
      <c r="L231" s="29"/>
      <c r="M231">
        <v>4</v>
      </c>
      <c r="N231">
        <v>4</v>
      </c>
      <c r="O231" s="49"/>
      <c r="P231">
        <v>4</v>
      </c>
      <c r="Q231" s="22"/>
      <c r="S231" s="22"/>
      <c r="V231" s="47"/>
    </row>
    <row r="232" spans="6:22" x14ac:dyDescent="0.35">
      <c r="F232" t="s">
        <v>4478</v>
      </c>
      <c r="I232">
        <v>1</v>
      </c>
      <c r="J232" s="29"/>
      <c r="K232" s="30"/>
      <c r="L232" s="29"/>
      <c r="M232">
        <v>4</v>
      </c>
      <c r="N232">
        <v>4</v>
      </c>
      <c r="O232" s="49"/>
      <c r="P232">
        <v>3</v>
      </c>
      <c r="Q232" s="22"/>
      <c r="S232" s="22"/>
      <c r="V232" s="47"/>
    </row>
    <row r="233" spans="6:22" x14ac:dyDescent="0.35">
      <c r="F233" t="s">
        <v>4483</v>
      </c>
      <c r="I233">
        <v>1</v>
      </c>
      <c r="J233" s="29"/>
      <c r="K233" s="30"/>
      <c r="L233" s="29"/>
      <c r="M233">
        <v>4</v>
      </c>
      <c r="N233">
        <v>4</v>
      </c>
      <c r="O233" s="49"/>
      <c r="P233">
        <v>4</v>
      </c>
      <c r="Q233" s="22"/>
      <c r="S233" s="22"/>
      <c r="V233" s="47"/>
    </row>
    <row r="234" spans="6:22" x14ac:dyDescent="0.35">
      <c r="F234" t="s">
        <v>4488</v>
      </c>
      <c r="I234">
        <v>1</v>
      </c>
      <c r="J234" s="29"/>
      <c r="K234" s="30"/>
      <c r="L234" s="29"/>
      <c r="M234">
        <v>4</v>
      </c>
      <c r="N234">
        <v>4</v>
      </c>
      <c r="O234" s="49"/>
      <c r="P234">
        <v>4</v>
      </c>
      <c r="Q234" s="22"/>
      <c r="S234" s="22"/>
      <c r="V234" s="47"/>
    </row>
    <row r="235" spans="6:22" x14ac:dyDescent="0.35">
      <c r="F235" t="s">
        <v>4493</v>
      </c>
      <c r="I235">
        <v>1</v>
      </c>
      <c r="J235" s="29"/>
      <c r="K235" s="30"/>
      <c r="L235" s="29"/>
      <c r="M235">
        <v>4</v>
      </c>
      <c r="N235">
        <v>4</v>
      </c>
      <c r="O235" s="49"/>
      <c r="P235">
        <v>3</v>
      </c>
      <c r="Q235" s="22"/>
      <c r="S235" s="22"/>
      <c r="V235" s="47"/>
    </row>
    <row r="236" spans="6:22" x14ac:dyDescent="0.35">
      <c r="F236" t="s">
        <v>4498</v>
      </c>
      <c r="I236">
        <v>1</v>
      </c>
      <c r="J236" s="29"/>
      <c r="K236" s="30"/>
      <c r="L236" s="29"/>
      <c r="M236">
        <v>4</v>
      </c>
      <c r="N236">
        <v>4</v>
      </c>
      <c r="O236" s="49"/>
      <c r="P236">
        <v>3</v>
      </c>
      <c r="Q236" s="22"/>
      <c r="S236" s="22"/>
      <c r="V236" s="47"/>
    </row>
    <row r="237" spans="6:22" x14ac:dyDescent="0.35">
      <c r="F237" t="s">
        <v>4503</v>
      </c>
      <c r="I237">
        <v>1</v>
      </c>
      <c r="J237" s="29"/>
      <c r="K237" s="30"/>
      <c r="L237" s="29"/>
      <c r="M237">
        <v>4</v>
      </c>
      <c r="N237">
        <v>4</v>
      </c>
      <c r="O237" s="49"/>
      <c r="P237">
        <v>3</v>
      </c>
      <c r="Q237" s="22"/>
      <c r="S237" s="22"/>
      <c r="V237" s="47"/>
    </row>
    <row r="238" spans="6:22" x14ac:dyDescent="0.35">
      <c r="F238" t="s">
        <v>4508</v>
      </c>
      <c r="I238">
        <v>1</v>
      </c>
      <c r="J238" s="29"/>
      <c r="K238" s="30"/>
      <c r="L238" s="29"/>
      <c r="M238">
        <v>3</v>
      </c>
      <c r="N238">
        <v>4</v>
      </c>
      <c r="O238" s="49"/>
      <c r="P238">
        <v>4</v>
      </c>
      <c r="Q238" s="22"/>
      <c r="S238" s="22"/>
      <c r="V238" s="47"/>
    </row>
    <row r="239" spans="6:22" x14ac:dyDescent="0.35">
      <c r="F239" t="s">
        <v>4513</v>
      </c>
      <c r="I239">
        <v>1</v>
      </c>
      <c r="J239" s="29"/>
      <c r="K239" s="30"/>
      <c r="L239" s="29"/>
      <c r="M239">
        <v>4</v>
      </c>
      <c r="N239">
        <v>4</v>
      </c>
      <c r="O239" s="49"/>
      <c r="P239">
        <v>4</v>
      </c>
      <c r="Q239" s="22"/>
      <c r="S239" s="22"/>
      <c r="V239" s="47"/>
    </row>
    <row r="240" spans="6:22" x14ac:dyDescent="0.35">
      <c r="F240" t="s">
        <v>4518</v>
      </c>
      <c r="I240">
        <v>1</v>
      </c>
      <c r="J240" s="29"/>
      <c r="K240" s="30"/>
      <c r="L240" s="29"/>
      <c r="M240">
        <v>3</v>
      </c>
      <c r="N240">
        <v>4</v>
      </c>
      <c r="O240" s="49"/>
      <c r="P240">
        <v>4</v>
      </c>
      <c r="Q240" s="22"/>
      <c r="S240" s="22"/>
      <c r="V240" s="47"/>
    </row>
    <row r="241" spans="6:22" x14ac:dyDescent="0.35">
      <c r="F241" t="s">
        <v>4523</v>
      </c>
      <c r="I241">
        <v>1</v>
      </c>
      <c r="J241" s="29"/>
      <c r="K241" s="30"/>
      <c r="L241" s="29"/>
      <c r="M241">
        <v>4</v>
      </c>
      <c r="N241">
        <v>4</v>
      </c>
      <c r="O241" s="49"/>
      <c r="P241">
        <v>4</v>
      </c>
      <c r="Q241" s="22"/>
      <c r="S241" s="22"/>
      <c r="V241" s="47"/>
    </row>
    <row r="242" spans="6:22" x14ac:dyDescent="0.35">
      <c r="F242" t="s">
        <v>4528</v>
      </c>
      <c r="I242">
        <v>1</v>
      </c>
      <c r="J242" s="29"/>
      <c r="K242" s="30"/>
      <c r="L242" s="29"/>
      <c r="M242">
        <v>3</v>
      </c>
      <c r="N242">
        <v>4</v>
      </c>
      <c r="O242" s="49"/>
      <c r="P242">
        <v>4</v>
      </c>
      <c r="Q242" s="22"/>
      <c r="S242" s="22"/>
      <c r="V242" s="47"/>
    </row>
    <row r="243" spans="6:22" x14ac:dyDescent="0.35">
      <c r="F243" t="s">
        <v>4533</v>
      </c>
      <c r="I243">
        <v>1</v>
      </c>
      <c r="J243" s="29"/>
      <c r="K243" s="30"/>
      <c r="L243" s="29"/>
      <c r="M243">
        <v>4</v>
      </c>
      <c r="N243">
        <v>4</v>
      </c>
      <c r="O243" s="49"/>
      <c r="P243">
        <v>4</v>
      </c>
      <c r="Q243" s="22"/>
      <c r="S243" s="22"/>
      <c r="V243" s="47"/>
    </row>
    <row r="244" spans="6:22" x14ac:dyDescent="0.35">
      <c r="F244" t="s">
        <v>4538</v>
      </c>
      <c r="I244">
        <v>1</v>
      </c>
      <c r="J244" s="29"/>
      <c r="K244" s="30"/>
      <c r="L244" s="29"/>
      <c r="M244">
        <v>4</v>
      </c>
      <c r="N244">
        <v>4</v>
      </c>
      <c r="O244" s="49"/>
      <c r="P244">
        <v>3</v>
      </c>
      <c r="Q244" s="22"/>
      <c r="S244" s="22"/>
      <c r="V244" s="47"/>
    </row>
    <row r="245" spans="6:22" x14ac:dyDescent="0.35">
      <c r="F245" t="s">
        <v>4543</v>
      </c>
      <c r="I245">
        <v>1</v>
      </c>
      <c r="J245" s="29"/>
      <c r="K245" s="30"/>
      <c r="L245" s="29"/>
      <c r="M245">
        <v>4</v>
      </c>
      <c r="N245">
        <v>4</v>
      </c>
      <c r="O245" s="49"/>
      <c r="P245">
        <v>4</v>
      </c>
      <c r="Q245" s="22"/>
      <c r="S245" s="22"/>
      <c r="V245" s="47"/>
    </row>
    <row r="246" spans="6:22" x14ac:dyDescent="0.35">
      <c r="F246" t="s">
        <v>4548</v>
      </c>
      <c r="I246">
        <v>0</v>
      </c>
      <c r="J246" s="29"/>
      <c r="K246" s="30"/>
      <c r="L246" s="29"/>
      <c r="O246" s="49"/>
      <c r="Q246" s="22"/>
      <c r="S246" s="22"/>
      <c r="V246" s="47"/>
    </row>
    <row r="247" spans="6:22" x14ac:dyDescent="0.35">
      <c r="F247" t="s">
        <v>4553</v>
      </c>
      <c r="I247">
        <v>0</v>
      </c>
      <c r="J247" s="29"/>
      <c r="K247" s="30"/>
      <c r="L247" s="29"/>
      <c r="M247">
        <v>4</v>
      </c>
      <c r="N247">
        <v>4</v>
      </c>
      <c r="O247" s="49"/>
      <c r="P247">
        <v>4</v>
      </c>
      <c r="Q247" s="22"/>
      <c r="S247" s="22"/>
      <c r="V247" s="47"/>
    </row>
    <row r="248" spans="6:22" x14ac:dyDescent="0.35">
      <c r="F248" t="s">
        <v>4558</v>
      </c>
      <c r="I248">
        <v>0</v>
      </c>
      <c r="J248" s="29"/>
      <c r="K248" s="30"/>
      <c r="L248" s="29"/>
      <c r="M248">
        <v>3</v>
      </c>
      <c r="N248">
        <v>3</v>
      </c>
      <c r="O248" s="49"/>
      <c r="P248">
        <v>3</v>
      </c>
      <c r="Q248" s="22"/>
      <c r="S248" s="22"/>
      <c r="V248" s="47"/>
    </row>
    <row r="249" spans="6:22" x14ac:dyDescent="0.35">
      <c r="F249" t="s">
        <v>4563</v>
      </c>
      <c r="I249">
        <v>1</v>
      </c>
      <c r="J249" s="29"/>
      <c r="K249" s="30"/>
      <c r="L249" s="29"/>
      <c r="M249">
        <v>4</v>
      </c>
      <c r="N249">
        <v>4</v>
      </c>
      <c r="O249" s="49"/>
      <c r="P249">
        <v>4</v>
      </c>
      <c r="Q249" s="22"/>
      <c r="S249" s="22"/>
      <c r="V249" s="47"/>
    </row>
    <row r="250" spans="6:22" x14ac:dyDescent="0.35">
      <c r="F250" t="s">
        <v>4568</v>
      </c>
      <c r="I250">
        <v>1</v>
      </c>
      <c r="J250" s="29"/>
      <c r="K250" s="30"/>
      <c r="L250" s="29"/>
      <c r="M250">
        <v>4</v>
      </c>
      <c r="N250">
        <v>4</v>
      </c>
      <c r="O250" s="49"/>
      <c r="P250">
        <v>4</v>
      </c>
      <c r="Q250" s="22"/>
      <c r="S250" s="22"/>
      <c r="V250" s="47"/>
    </row>
    <row r="251" spans="6:22" x14ac:dyDescent="0.35">
      <c r="F251" t="s">
        <v>4573</v>
      </c>
      <c r="I251">
        <v>0</v>
      </c>
      <c r="J251" s="29"/>
      <c r="K251" s="30"/>
      <c r="L251" s="29"/>
      <c r="M251">
        <v>4</v>
      </c>
      <c r="N251">
        <v>4</v>
      </c>
      <c r="O251" s="49"/>
      <c r="P251">
        <v>4</v>
      </c>
      <c r="Q251" s="22"/>
      <c r="S251" s="22"/>
      <c r="V251" s="47"/>
    </row>
    <row r="252" spans="6:22" x14ac:dyDescent="0.35">
      <c r="F252" t="s">
        <v>4578</v>
      </c>
      <c r="I252">
        <v>0</v>
      </c>
      <c r="J252" s="29"/>
      <c r="K252" s="30"/>
      <c r="L252" s="29"/>
      <c r="M252">
        <v>4</v>
      </c>
      <c r="N252">
        <v>4</v>
      </c>
      <c r="O252" s="49"/>
      <c r="P252">
        <v>4</v>
      </c>
      <c r="Q252" s="22"/>
      <c r="S252" s="22"/>
      <c r="V252" s="47"/>
    </row>
    <row r="253" spans="6:22" x14ac:dyDescent="0.35">
      <c r="F253" t="s">
        <v>4583</v>
      </c>
      <c r="I253">
        <v>0</v>
      </c>
      <c r="J253" s="29"/>
      <c r="K253" s="30"/>
      <c r="L253" s="29"/>
      <c r="M253">
        <v>3</v>
      </c>
      <c r="N253">
        <v>2</v>
      </c>
      <c r="O253" s="49"/>
      <c r="P253">
        <v>4</v>
      </c>
      <c r="Q253" s="22"/>
      <c r="S253" s="22"/>
      <c r="V253" s="47"/>
    </row>
    <row r="254" spans="6:22" x14ac:dyDescent="0.35">
      <c r="F254" t="s">
        <v>4588</v>
      </c>
      <c r="I254">
        <v>1</v>
      </c>
      <c r="J254" s="29"/>
      <c r="K254" s="30"/>
      <c r="L254" s="29"/>
      <c r="O254" s="49"/>
      <c r="Q254" s="22"/>
      <c r="S254" s="22"/>
      <c r="V254" s="47"/>
    </row>
    <row r="255" spans="6:22" x14ac:dyDescent="0.35">
      <c r="F255" t="s">
        <v>4593</v>
      </c>
      <c r="I255">
        <v>0</v>
      </c>
      <c r="J255" s="29"/>
      <c r="K255" s="30"/>
      <c r="L255" s="29"/>
      <c r="M255">
        <v>3</v>
      </c>
      <c r="N255">
        <v>4</v>
      </c>
      <c r="O255" s="49"/>
      <c r="P255">
        <v>4</v>
      </c>
      <c r="Q255" s="22"/>
      <c r="S255" s="22"/>
      <c r="V255" s="47"/>
    </row>
    <row r="256" spans="6:22" x14ac:dyDescent="0.35">
      <c r="F256" t="s">
        <v>4598</v>
      </c>
      <c r="I256">
        <v>1</v>
      </c>
      <c r="J256" s="29"/>
      <c r="K256" s="30"/>
      <c r="L256" s="29"/>
      <c r="O256" s="49"/>
      <c r="Q256" s="22"/>
      <c r="S256" s="22"/>
      <c r="V256" s="47"/>
    </row>
    <row r="257" spans="6:22" x14ac:dyDescent="0.35">
      <c r="F257" t="s">
        <v>4603</v>
      </c>
      <c r="I257">
        <v>0</v>
      </c>
      <c r="J257" s="29"/>
      <c r="K257" s="30"/>
      <c r="L257" s="29"/>
      <c r="O257" s="49"/>
      <c r="Q257" s="22"/>
      <c r="S257" s="22"/>
      <c r="V257" s="47"/>
    </row>
    <row r="258" spans="6:22" x14ac:dyDescent="0.35">
      <c r="F258" t="s">
        <v>4608</v>
      </c>
      <c r="I258">
        <v>0</v>
      </c>
      <c r="J258" s="29"/>
      <c r="K258" s="30"/>
      <c r="L258" s="29"/>
      <c r="O258" s="49"/>
      <c r="Q258" s="22"/>
      <c r="S258" s="22"/>
      <c r="V258" s="47"/>
    </row>
    <row r="259" spans="6:22" x14ac:dyDescent="0.35">
      <c r="H259" t="s">
        <v>26</v>
      </c>
      <c r="I259"/>
      <c r="J259" s="29"/>
      <c r="K259" s="30"/>
      <c r="L259" s="29"/>
      <c r="O259" s="49"/>
      <c r="Q259" s="22"/>
      <c r="S259" s="22"/>
      <c r="V259" s="47"/>
    </row>
    <row r="260" spans="6:22" x14ac:dyDescent="0.35">
      <c r="H260" t="s">
        <v>26</v>
      </c>
      <c r="I260"/>
      <c r="J260" s="29"/>
      <c r="K260" s="30"/>
      <c r="L260" s="29"/>
      <c r="O260" s="49"/>
      <c r="Q260" s="22"/>
      <c r="S260" s="22"/>
      <c r="V260" s="47"/>
    </row>
    <row r="261" spans="6:22" x14ac:dyDescent="0.35">
      <c r="H261" t="s">
        <v>26</v>
      </c>
      <c r="I261"/>
      <c r="J261" s="29"/>
      <c r="K261" s="30"/>
      <c r="L261" s="29"/>
      <c r="O261" s="49"/>
      <c r="Q261" s="22"/>
      <c r="S261" s="22"/>
      <c r="V261" s="47"/>
    </row>
    <row r="262" spans="6:22" x14ac:dyDescent="0.35">
      <c r="H262" t="s">
        <v>26</v>
      </c>
      <c r="I262"/>
      <c r="J262" s="29"/>
      <c r="K262" s="30"/>
      <c r="L262" s="29"/>
      <c r="O262" s="49"/>
      <c r="Q262" s="22"/>
      <c r="S262" s="22"/>
      <c r="V262" s="47"/>
    </row>
    <row r="263" spans="6:22" x14ac:dyDescent="0.35">
      <c r="H263" t="s">
        <v>26</v>
      </c>
      <c r="I263"/>
      <c r="J263" s="29"/>
      <c r="K263" s="30"/>
      <c r="L263" s="29"/>
      <c r="O263" s="49"/>
      <c r="Q263" s="22"/>
      <c r="S263" s="22"/>
      <c r="V263" s="47"/>
    </row>
    <row r="264" spans="6:22" x14ac:dyDescent="0.35">
      <c r="H264" t="s">
        <v>26</v>
      </c>
      <c r="I264"/>
      <c r="J264" s="29"/>
      <c r="K264" s="30"/>
      <c r="L264" s="29"/>
      <c r="O264" s="49"/>
      <c r="Q264" s="22"/>
      <c r="S264" s="22"/>
      <c r="V264" s="47"/>
    </row>
    <row r="265" spans="6:22" x14ac:dyDescent="0.35">
      <c r="H265" t="s">
        <v>26</v>
      </c>
      <c r="I265"/>
      <c r="J265" s="29"/>
      <c r="K265" s="30"/>
      <c r="L265" s="29"/>
      <c r="O265" s="49"/>
      <c r="Q265" s="22"/>
      <c r="S265" s="22"/>
      <c r="V265" s="47"/>
    </row>
    <row r="266" spans="6:22" x14ac:dyDescent="0.35">
      <c r="H266" t="s">
        <v>26</v>
      </c>
      <c r="I266"/>
      <c r="J266" s="29"/>
      <c r="K266" s="30"/>
      <c r="L266" s="29"/>
      <c r="O266" s="49"/>
      <c r="Q266" s="22"/>
      <c r="S266" s="22"/>
      <c r="V266" s="47"/>
    </row>
    <row r="267" spans="6:22" x14ac:dyDescent="0.35">
      <c r="H267" t="s">
        <v>26</v>
      </c>
      <c r="I267"/>
      <c r="J267" s="29"/>
      <c r="K267" s="30"/>
      <c r="L267" s="29"/>
      <c r="O267" s="49"/>
      <c r="Q267" s="22"/>
      <c r="S267" s="22"/>
      <c r="V267" s="47"/>
    </row>
    <row r="268" spans="6:22" x14ac:dyDescent="0.35">
      <c r="H268" t="s">
        <v>26</v>
      </c>
      <c r="I268"/>
      <c r="J268" s="29"/>
      <c r="K268" s="30"/>
      <c r="L268" s="29"/>
      <c r="O268" s="49"/>
      <c r="Q268" s="22"/>
      <c r="S268" s="22"/>
      <c r="V268" s="47"/>
    </row>
    <row r="269" spans="6:22" x14ac:dyDescent="0.35">
      <c r="H269" t="s">
        <v>26</v>
      </c>
      <c r="I269"/>
      <c r="J269" s="29"/>
      <c r="K269" s="30"/>
      <c r="L269" s="29"/>
      <c r="O269" s="49"/>
      <c r="Q269" s="22"/>
      <c r="S269" s="22"/>
      <c r="V269" s="47"/>
    </row>
    <row r="270" spans="6:22" x14ac:dyDescent="0.35">
      <c r="H270" t="s">
        <v>26</v>
      </c>
      <c r="I270"/>
      <c r="J270" s="29"/>
      <c r="K270" s="30"/>
      <c r="L270" s="29"/>
      <c r="O270" s="49"/>
      <c r="Q270" s="22"/>
      <c r="S270" s="22"/>
      <c r="V270" s="47"/>
    </row>
    <row r="271" spans="6:22" x14ac:dyDescent="0.35">
      <c r="H271" t="s">
        <v>26</v>
      </c>
      <c r="I271"/>
      <c r="J271" s="29"/>
      <c r="K271" s="30"/>
      <c r="L271" s="29"/>
      <c r="O271" s="49"/>
      <c r="Q271" s="22"/>
      <c r="S271" s="22"/>
      <c r="V271" s="47"/>
    </row>
    <row r="272" spans="6:22" x14ac:dyDescent="0.35">
      <c r="H272" t="s">
        <v>26</v>
      </c>
      <c r="I272"/>
      <c r="J272" s="29"/>
      <c r="K272" s="30"/>
      <c r="L272" s="29"/>
      <c r="O272" s="49"/>
      <c r="Q272" s="22"/>
      <c r="S272" s="22"/>
      <c r="V272" s="47"/>
    </row>
    <row r="273" spans="6:22" x14ac:dyDescent="0.35">
      <c r="H273" t="s">
        <v>26</v>
      </c>
      <c r="I273"/>
      <c r="J273" s="29"/>
      <c r="K273" s="30"/>
      <c r="L273" s="29"/>
      <c r="O273" s="49"/>
      <c r="Q273" s="22"/>
      <c r="S273" s="22"/>
      <c r="V273" s="47"/>
    </row>
    <row r="274" spans="6:22" x14ac:dyDescent="0.35">
      <c r="H274" t="s">
        <v>26</v>
      </c>
      <c r="I274"/>
      <c r="J274" s="29"/>
      <c r="K274" s="30"/>
      <c r="L274" s="29"/>
      <c r="O274" s="49"/>
      <c r="Q274" s="22"/>
      <c r="S274" s="22"/>
      <c r="V274" s="47"/>
    </row>
    <row r="275" spans="6:22" x14ac:dyDescent="0.35">
      <c r="H275" t="s">
        <v>26</v>
      </c>
      <c r="I275"/>
      <c r="J275" s="29"/>
      <c r="K275" s="30"/>
      <c r="L275" s="29"/>
      <c r="O275" s="49"/>
      <c r="Q275" s="22"/>
      <c r="S275" s="22"/>
      <c r="V275" s="47"/>
    </row>
    <row r="276" spans="6:22" x14ac:dyDescent="0.35">
      <c r="H276" t="s">
        <v>26</v>
      </c>
      <c r="I276"/>
      <c r="J276" s="29"/>
      <c r="K276" s="30"/>
      <c r="L276" s="29"/>
      <c r="O276" s="49"/>
      <c r="Q276" s="22"/>
      <c r="S276" s="22"/>
      <c r="V276" s="47"/>
    </row>
    <row r="277" spans="6:22" x14ac:dyDescent="0.35">
      <c r="H277" t="s">
        <v>26</v>
      </c>
      <c r="I277"/>
      <c r="J277" s="29"/>
      <c r="K277" s="30"/>
      <c r="L277" s="29"/>
      <c r="O277" s="49"/>
      <c r="Q277" s="22"/>
      <c r="S277" s="22"/>
      <c r="V277" s="47"/>
    </row>
    <row r="278" spans="6:22" x14ac:dyDescent="0.35">
      <c r="H278" t="s">
        <v>26</v>
      </c>
      <c r="I278"/>
      <c r="J278" s="29"/>
      <c r="K278" s="30"/>
      <c r="L278" s="29"/>
      <c r="O278" s="49"/>
      <c r="Q278" s="22"/>
      <c r="S278" s="22"/>
      <c r="V278" s="47"/>
    </row>
    <row r="279" spans="6:22" x14ac:dyDescent="0.35">
      <c r="H279" t="s">
        <v>26</v>
      </c>
      <c r="I279"/>
      <c r="J279" s="29"/>
      <c r="K279" s="30"/>
      <c r="L279" s="29"/>
      <c r="O279" s="49"/>
      <c r="Q279" s="22"/>
      <c r="S279" s="22"/>
      <c r="V279" s="47"/>
    </row>
    <row r="280" spans="6:22" x14ac:dyDescent="0.35">
      <c r="H280" t="s">
        <v>26</v>
      </c>
      <c r="I280"/>
      <c r="J280" s="29"/>
      <c r="K280" s="30"/>
      <c r="L280" s="29"/>
      <c r="O280" s="49"/>
      <c r="Q280" s="22"/>
      <c r="S280" s="22"/>
      <c r="V280" s="47"/>
    </row>
    <row r="281" spans="6:22" x14ac:dyDescent="0.35">
      <c r="H281" t="s">
        <v>26</v>
      </c>
      <c r="I281"/>
      <c r="J281" s="29"/>
      <c r="K281" s="30"/>
      <c r="L281" s="29"/>
      <c r="O281" s="49"/>
      <c r="Q281" s="22"/>
      <c r="S281" s="22"/>
      <c r="V281" s="47"/>
    </row>
    <row r="282" spans="6:22" x14ac:dyDescent="0.35">
      <c r="F282" t="s">
        <v>4611</v>
      </c>
      <c r="I282"/>
      <c r="J282" s="29"/>
      <c r="K282" s="30"/>
      <c r="L282" s="29"/>
      <c r="M282">
        <v>1</v>
      </c>
      <c r="N282">
        <v>1</v>
      </c>
      <c r="O282" s="49"/>
      <c r="P282">
        <v>0</v>
      </c>
      <c r="Q282" s="22"/>
      <c r="S282" s="22"/>
      <c r="V282" s="47"/>
    </row>
    <row r="283" spans="6:22" x14ac:dyDescent="0.35">
      <c r="F283" t="s">
        <v>4616</v>
      </c>
      <c r="I283">
        <v>1</v>
      </c>
      <c r="J283" s="29"/>
      <c r="K283" s="30"/>
      <c r="L283" s="29"/>
      <c r="O283" s="49"/>
      <c r="Q283" s="22"/>
      <c r="S283" s="22"/>
      <c r="V283" s="47"/>
    </row>
    <row r="284" spans="6:22" x14ac:dyDescent="0.35">
      <c r="F284" t="s">
        <v>4621</v>
      </c>
      <c r="I284">
        <v>0</v>
      </c>
      <c r="J284" s="29"/>
      <c r="K284" s="30"/>
      <c r="L284" s="29"/>
      <c r="M284">
        <v>3</v>
      </c>
      <c r="N284">
        <v>4</v>
      </c>
      <c r="O284" s="49"/>
      <c r="P284">
        <v>4</v>
      </c>
      <c r="Q284" s="22"/>
      <c r="S284" s="22"/>
      <c r="V284" s="47"/>
    </row>
    <row r="285" spans="6:22" x14ac:dyDescent="0.35">
      <c r="F285" t="s">
        <v>4626</v>
      </c>
      <c r="I285">
        <v>0</v>
      </c>
      <c r="J285" s="29"/>
      <c r="K285" s="30"/>
      <c r="L285" s="29"/>
      <c r="M285">
        <v>3</v>
      </c>
      <c r="N285">
        <v>2</v>
      </c>
      <c r="O285" s="49"/>
      <c r="P285">
        <v>2</v>
      </c>
      <c r="Q285" s="22"/>
      <c r="S285" s="22"/>
      <c r="V285" s="47"/>
    </row>
    <row r="286" spans="6:22" x14ac:dyDescent="0.35">
      <c r="F286" t="s">
        <v>4631</v>
      </c>
      <c r="I286">
        <v>1</v>
      </c>
      <c r="J286" s="29"/>
      <c r="K286" s="30"/>
      <c r="L286" s="29"/>
      <c r="M286">
        <v>3</v>
      </c>
      <c r="N286">
        <v>2</v>
      </c>
      <c r="O286" s="49"/>
      <c r="P286">
        <v>3</v>
      </c>
      <c r="Q286" s="22"/>
      <c r="S286" s="22"/>
      <c r="V286" s="47"/>
    </row>
    <row r="287" spans="6:22" x14ac:dyDescent="0.35">
      <c r="F287" t="s">
        <v>4636</v>
      </c>
      <c r="I287">
        <v>1</v>
      </c>
      <c r="J287" s="29"/>
      <c r="K287" s="30"/>
      <c r="L287" s="29"/>
      <c r="O287" s="49"/>
      <c r="Q287" s="22"/>
      <c r="S287" s="22"/>
      <c r="V287" s="47"/>
    </row>
    <row r="288" spans="6:22" x14ac:dyDescent="0.35">
      <c r="F288" t="s">
        <v>4641</v>
      </c>
      <c r="I288">
        <v>0</v>
      </c>
      <c r="J288" s="29"/>
      <c r="K288" s="30"/>
      <c r="L288" s="29"/>
      <c r="O288" s="49"/>
      <c r="Q288" s="22"/>
      <c r="S288" s="22"/>
      <c r="V288" s="47"/>
    </row>
    <row r="289" spans="6:22" x14ac:dyDescent="0.35">
      <c r="F289" t="s">
        <v>4646</v>
      </c>
      <c r="I289">
        <v>0</v>
      </c>
      <c r="J289" s="29"/>
      <c r="K289" s="30"/>
      <c r="L289" s="29"/>
      <c r="O289" s="49"/>
      <c r="Q289" s="22"/>
      <c r="S289" s="22"/>
      <c r="V289" s="47"/>
    </row>
    <row r="290" spans="6:22" x14ac:dyDescent="0.35">
      <c r="F290" t="s">
        <v>4651</v>
      </c>
      <c r="I290">
        <v>0</v>
      </c>
      <c r="J290" s="29"/>
      <c r="K290" s="30"/>
      <c r="L290" s="29"/>
      <c r="O290" s="49"/>
      <c r="Q290" s="22"/>
      <c r="S290" s="22"/>
      <c r="V290" s="47"/>
    </row>
    <row r="291" spans="6:22" x14ac:dyDescent="0.35">
      <c r="F291" t="s">
        <v>4656</v>
      </c>
      <c r="I291">
        <v>0</v>
      </c>
      <c r="J291" s="29"/>
      <c r="K291" s="30"/>
      <c r="L291" s="29"/>
      <c r="O291" s="49"/>
      <c r="Q291" s="22"/>
      <c r="S291" s="22"/>
      <c r="V291" s="47"/>
    </row>
    <row r="292" spans="6:22" x14ac:dyDescent="0.35">
      <c r="F292" t="s">
        <v>4661</v>
      </c>
      <c r="I292">
        <v>0</v>
      </c>
      <c r="J292" s="29"/>
      <c r="K292" s="30"/>
      <c r="L292" s="29"/>
      <c r="O292" s="49"/>
      <c r="Q292" s="22"/>
      <c r="S292" s="22"/>
      <c r="V292" s="47"/>
    </row>
    <row r="293" spans="6:22" x14ac:dyDescent="0.35">
      <c r="F293" t="s">
        <v>4666</v>
      </c>
      <c r="I293">
        <v>0</v>
      </c>
      <c r="J293" s="29"/>
      <c r="K293" s="30"/>
      <c r="L293" s="29"/>
      <c r="O293" s="49"/>
      <c r="Q293" s="22"/>
      <c r="S293" s="22"/>
      <c r="V293" s="47"/>
    </row>
    <row r="294" spans="6:22" x14ac:dyDescent="0.35">
      <c r="F294" t="s">
        <v>4671</v>
      </c>
      <c r="I294">
        <v>0</v>
      </c>
      <c r="J294" s="29"/>
      <c r="K294" s="30"/>
      <c r="L294" s="29"/>
      <c r="M294">
        <v>1</v>
      </c>
      <c r="N294">
        <v>4</v>
      </c>
      <c r="O294" s="49"/>
      <c r="P294">
        <v>4</v>
      </c>
      <c r="Q294" s="22"/>
      <c r="S294" s="22"/>
      <c r="V294" s="47"/>
    </row>
    <row r="295" spans="6:22" x14ac:dyDescent="0.35">
      <c r="F295" t="s">
        <v>4676</v>
      </c>
      <c r="I295">
        <v>1</v>
      </c>
      <c r="J295" s="29"/>
      <c r="K295" s="30"/>
      <c r="L295" s="29"/>
      <c r="M295">
        <v>1</v>
      </c>
      <c r="N295">
        <v>2</v>
      </c>
      <c r="O295" s="49"/>
      <c r="P295">
        <v>4</v>
      </c>
      <c r="Q295" s="22"/>
      <c r="S295" s="22"/>
      <c r="V295" s="47"/>
    </row>
    <row r="296" spans="6:22" x14ac:dyDescent="0.35">
      <c r="F296" t="s">
        <v>4681</v>
      </c>
      <c r="I296">
        <v>1</v>
      </c>
      <c r="J296" s="29"/>
      <c r="K296" s="30"/>
      <c r="L296" s="29"/>
      <c r="M296">
        <v>3</v>
      </c>
      <c r="N296">
        <v>3</v>
      </c>
      <c r="O296" s="49"/>
      <c r="P296">
        <v>4</v>
      </c>
      <c r="Q296" s="22"/>
      <c r="S296" s="22"/>
      <c r="V296" s="47"/>
    </row>
    <row r="297" spans="6:22" x14ac:dyDescent="0.35">
      <c r="F297" t="s">
        <v>4686</v>
      </c>
      <c r="I297">
        <v>1</v>
      </c>
      <c r="J297" s="29"/>
      <c r="K297" s="30"/>
      <c r="L297" s="29"/>
      <c r="M297">
        <v>3</v>
      </c>
      <c r="N297">
        <v>3</v>
      </c>
      <c r="O297" s="49"/>
      <c r="P297">
        <v>4</v>
      </c>
      <c r="Q297" s="22"/>
      <c r="S297" s="22"/>
      <c r="V297" s="47"/>
    </row>
    <row r="298" spans="6:22" x14ac:dyDescent="0.35">
      <c r="F298" t="s">
        <v>4691</v>
      </c>
      <c r="I298">
        <v>1</v>
      </c>
      <c r="J298" s="29"/>
      <c r="K298" s="30"/>
      <c r="L298" s="29"/>
      <c r="M298">
        <v>3</v>
      </c>
      <c r="N298">
        <v>3</v>
      </c>
      <c r="O298" s="49"/>
      <c r="P298">
        <v>4</v>
      </c>
      <c r="Q298" s="22"/>
      <c r="S298" s="22"/>
      <c r="V298" s="47"/>
    </row>
    <row r="299" spans="6:22" x14ac:dyDescent="0.35">
      <c r="F299" t="s">
        <v>4696</v>
      </c>
      <c r="I299">
        <v>1</v>
      </c>
      <c r="J299" s="29"/>
      <c r="K299" s="30"/>
      <c r="L299" s="29"/>
      <c r="M299">
        <v>3</v>
      </c>
      <c r="N299">
        <v>3</v>
      </c>
      <c r="O299" s="49"/>
      <c r="P299">
        <v>4</v>
      </c>
      <c r="Q299" s="22"/>
      <c r="S299" s="22"/>
      <c r="V299" s="47"/>
    </row>
    <row r="300" spans="6:22" x14ac:dyDescent="0.35">
      <c r="F300" t="s">
        <v>4701</v>
      </c>
      <c r="I300">
        <v>1</v>
      </c>
      <c r="J300" s="29"/>
      <c r="K300" s="30"/>
      <c r="L300" s="29"/>
      <c r="M300">
        <v>4</v>
      </c>
      <c r="N300">
        <v>4</v>
      </c>
      <c r="O300" s="49"/>
      <c r="P300">
        <v>4</v>
      </c>
      <c r="Q300" s="22"/>
      <c r="S300" s="22"/>
      <c r="V300" s="47"/>
    </row>
    <row r="301" spans="6:22" x14ac:dyDescent="0.35">
      <c r="F301" t="s">
        <v>4706</v>
      </c>
      <c r="I301">
        <v>1</v>
      </c>
      <c r="J301" s="29"/>
      <c r="K301" s="30"/>
      <c r="L301" s="29"/>
      <c r="M301">
        <v>4</v>
      </c>
      <c r="N301">
        <v>3</v>
      </c>
      <c r="O301" s="49"/>
      <c r="P301">
        <v>3</v>
      </c>
      <c r="Q301" s="22"/>
      <c r="S301" s="22"/>
      <c r="V301" s="47"/>
    </row>
    <row r="302" spans="6:22" x14ac:dyDescent="0.35">
      <c r="F302" t="s">
        <v>4711</v>
      </c>
      <c r="I302">
        <v>1</v>
      </c>
      <c r="J302" s="29"/>
      <c r="K302" s="30"/>
      <c r="L302" s="29"/>
      <c r="M302">
        <v>4</v>
      </c>
      <c r="N302">
        <v>4</v>
      </c>
      <c r="O302" s="49"/>
      <c r="P302">
        <v>4</v>
      </c>
      <c r="Q302" s="22"/>
      <c r="S302" s="22"/>
      <c r="V302" s="47"/>
    </row>
    <row r="303" spans="6:22" x14ac:dyDescent="0.35">
      <c r="F303" t="s">
        <v>4716</v>
      </c>
      <c r="I303">
        <v>1</v>
      </c>
      <c r="J303" s="29"/>
      <c r="K303" s="30"/>
      <c r="L303" s="29"/>
      <c r="M303">
        <v>4</v>
      </c>
      <c r="N303">
        <v>4</v>
      </c>
      <c r="O303" s="49"/>
      <c r="P303">
        <v>3</v>
      </c>
      <c r="Q303" s="22"/>
      <c r="S303" s="22"/>
      <c r="V303" s="47"/>
    </row>
    <row r="304" spans="6:22" x14ac:dyDescent="0.35">
      <c r="F304" t="s">
        <v>4721</v>
      </c>
      <c r="I304">
        <v>0</v>
      </c>
      <c r="J304" s="29"/>
      <c r="K304" s="30"/>
      <c r="L304" s="29"/>
      <c r="M304">
        <v>4</v>
      </c>
      <c r="N304">
        <v>4</v>
      </c>
      <c r="O304" s="49"/>
      <c r="P304">
        <v>4</v>
      </c>
      <c r="Q304" s="22"/>
      <c r="S304" s="22"/>
      <c r="V304" s="47"/>
    </row>
    <row r="305" spans="6:22" x14ac:dyDescent="0.35">
      <c r="F305" t="s">
        <v>4726</v>
      </c>
      <c r="I305">
        <v>0</v>
      </c>
      <c r="J305" s="29"/>
      <c r="K305" s="30"/>
      <c r="L305" s="29"/>
      <c r="M305">
        <v>3</v>
      </c>
      <c r="N305">
        <v>4</v>
      </c>
      <c r="O305" s="49"/>
      <c r="P305">
        <v>3</v>
      </c>
      <c r="Q305" s="22"/>
      <c r="S305" s="22"/>
      <c r="V305" s="47"/>
    </row>
    <row r="306" spans="6:22" x14ac:dyDescent="0.35">
      <c r="F306" t="s">
        <v>4731</v>
      </c>
      <c r="I306">
        <v>1</v>
      </c>
      <c r="J306" s="29"/>
      <c r="K306" s="30"/>
      <c r="L306" s="29"/>
      <c r="M306">
        <v>4</v>
      </c>
      <c r="N306">
        <v>4</v>
      </c>
      <c r="O306" s="49"/>
      <c r="P306">
        <v>4</v>
      </c>
      <c r="Q306" s="22"/>
      <c r="S306" s="22"/>
      <c r="V306" s="47"/>
    </row>
    <row r="307" spans="6:22" x14ac:dyDescent="0.35">
      <c r="F307" t="s">
        <v>4736</v>
      </c>
      <c r="I307">
        <v>1</v>
      </c>
      <c r="J307" s="29"/>
      <c r="K307" s="30"/>
      <c r="L307" s="29"/>
      <c r="M307">
        <v>4</v>
      </c>
      <c r="N307">
        <v>4</v>
      </c>
      <c r="O307" s="49"/>
      <c r="P307">
        <v>3</v>
      </c>
      <c r="Q307" s="22"/>
      <c r="S307" s="22"/>
      <c r="V307" s="47"/>
    </row>
    <row r="308" spans="6:22" x14ac:dyDescent="0.35">
      <c r="F308" t="s">
        <v>4741</v>
      </c>
      <c r="I308">
        <v>1</v>
      </c>
      <c r="J308" s="29"/>
      <c r="K308" s="30"/>
      <c r="L308" s="29"/>
      <c r="M308">
        <v>4</v>
      </c>
      <c r="N308">
        <v>4</v>
      </c>
      <c r="O308" s="49"/>
      <c r="P308">
        <v>4</v>
      </c>
      <c r="Q308" s="22"/>
      <c r="S308" s="22"/>
      <c r="V308" s="47"/>
    </row>
    <row r="309" spans="6:22" x14ac:dyDescent="0.35">
      <c r="F309" t="s">
        <v>4746</v>
      </c>
      <c r="I309">
        <v>1</v>
      </c>
      <c r="J309" s="29"/>
      <c r="K309" s="30"/>
      <c r="L309" s="29"/>
      <c r="M309">
        <v>4</v>
      </c>
      <c r="N309">
        <v>4</v>
      </c>
      <c r="O309" s="49"/>
      <c r="P309">
        <v>4</v>
      </c>
      <c r="Q309" s="22"/>
      <c r="S309" s="22"/>
      <c r="V309" s="47"/>
    </row>
    <row r="310" spans="6:22" x14ac:dyDescent="0.35">
      <c r="F310" t="s">
        <v>4751</v>
      </c>
      <c r="I310">
        <v>1</v>
      </c>
      <c r="J310" s="29"/>
      <c r="K310" s="30"/>
      <c r="L310" s="29"/>
      <c r="M310">
        <v>4</v>
      </c>
      <c r="N310">
        <v>4</v>
      </c>
      <c r="O310" s="49"/>
      <c r="P310">
        <v>4</v>
      </c>
      <c r="Q310" s="22"/>
      <c r="S310" s="22"/>
      <c r="V310" s="47"/>
    </row>
    <row r="311" spans="6:22" x14ac:dyDescent="0.35">
      <c r="F311" t="s">
        <v>4756</v>
      </c>
      <c r="I311">
        <v>1</v>
      </c>
      <c r="J311" s="29"/>
      <c r="K311" s="30"/>
      <c r="L311" s="29"/>
      <c r="M311">
        <v>4</v>
      </c>
      <c r="N311">
        <v>4</v>
      </c>
      <c r="O311" s="49"/>
      <c r="P311">
        <v>3</v>
      </c>
      <c r="Q311" s="22"/>
      <c r="S311" s="22"/>
      <c r="V311" s="47"/>
    </row>
    <row r="312" spans="6:22" x14ac:dyDescent="0.35">
      <c r="F312" t="s">
        <v>4761</v>
      </c>
      <c r="I312">
        <v>0</v>
      </c>
      <c r="J312" s="29"/>
      <c r="K312" s="30"/>
      <c r="L312" s="29"/>
      <c r="O312" s="49"/>
      <c r="Q312" s="22"/>
      <c r="S312" s="22"/>
      <c r="V312" s="47"/>
    </row>
    <row r="313" spans="6:22" x14ac:dyDescent="0.35">
      <c r="F313" t="s">
        <v>4765</v>
      </c>
      <c r="I313"/>
      <c r="J313" s="29"/>
      <c r="K313" s="30"/>
      <c r="L313" s="29"/>
      <c r="O313" s="49"/>
      <c r="Q313" s="22"/>
      <c r="S313" s="22"/>
      <c r="V313" s="47"/>
    </row>
    <row r="314" spans="6:22" x14ac:dyDescent="0.35">
      <c r="H314" t="s">
        <v>26</v>
      </c>
      <c r="I314"/>
      <c r="J314" s="29"/>
      <c r="K314" s="30"/>
      <c r="L314" s="29"/>
      <c r="O314" s="49"/>
      <c r="Q314" s="22"/>
      <c r="S314" s="22"/>
      <c r="V314" s="47"/>
    </row>
    <row r="315" spans="6:22" x14ac:dyDescent="0.35">
      <c r="H315" t="s">
        <v>26</v>
      </c>
      <c r="I315"/>
      <c r="J315" s="29"/>
      <c r="K315" s="30"/>
      <c r="L315" s="29"/>
      <c r="O315" s="49"/>
      <c r="Q315" s="22"/>
      <c r="S315" s="22"/>
      <c r="V315" s="47"/>
    </row>
    <row r="316" spans="6:22" x14ac:dyDescent="0.35">
      <c r="H316" t="s">
        <v>26</v>
      </c>
      <c r="I316"/>
      <c r="J316" s="29"/>
      <c r="K316" s="30"/>
      <c r="L316" s="29"/>
      <c r="O316" s="49"/>
      <c r="Q316" s="22"/>
      <c r="S316" s="22"/>
      <c r="V316" s="47"/>
    </row>
    <row r="317" spans="6:22" x14ac:dyDescent="0.35">
      <c r="H317" t="s">
        <v>26</v>
      </c>
      <c r="I317"/>
      <c r="J317" s="29"/>
      <c r="K317" s="30"/>
      <c r="L317" s="29"/>
      <c r="O317" s="49"/>
      <c r="Q317" s="22"/>
      <c r="S317" s="22"/>
      <c r="V317" s="47"/>
    </row>
    <row r="318" spans="6:22" x14ac:dyDescent="0.35">
      <c r="H318" t="s">
        <v>26</v>
      </c>
      <c r="I318"/>
      <c r="J318" s="29"/>
      <c r="K318" s="30"/>
      <c r="L318" s="29"/>
      <c r="O318" s="49"/>
      <c r="Q318" s="22"/>
      <c r="S318" s="22"/>
      <c r="V318" s="47"/>
    </row>
    <row r="319" spans="6:22" x14ac:dyDescent="0.35">
      <c r="H319" t="s">
        <v>26</v>
      </c>
      <c r="I319"/>
      <c r="J319" s="29"/>
      <c r="K319" s="30"/>
      <c r="L319" s="29"/>
      <c r="O319" s="49"/>
      <c r="Q319" s="22"/>
      <c r="S319" s="22"/>
      <c r="V319" s="47"/>
    </row>
    <row r="320" spans="6:22" x14ac:dyDescent="0.35">
      <c r="H320" t="s">
        <v>26</v>
      </c>
      <c r="I320"/>
      <c r="J320" s="29"/>
      <c r="K320" s="30"/>
      <c r="L320" s="29"/>
      <c r="O320" s="49"/>
      <c r="Q320" s="22"/>
      <c r="S320" s="22"/>
      <c r="V320" s="47"/>
    </row>
    <row r="321" spans="8:22" x14ac:dyDescent="0.35">
      <c r="H321" t="s">
        <v>26</v>
      </c>
      <c r="I321"/>
      <c r="J321" s="29"/>
      <c r="K321" s="30"/>
      <c r="L321" s="29"/>
      <c r="O321" s="49"/>
      <c r="Q321" s="22"/>
      <c r="S321" s="22"/>
      <c r="V321" s="47"/>
    </row>
    <row r="322" spans="8:22" x14ac:dyDescent="0.35">
      <c r="H322" t="s">
        <v>26</v>
      </c>
      <c r="I322"/>
      <c r="J322" s="29"/>
      <c r="K322" s="30"/>
      <c r="L322" s="29"/>
      <c r="O322" s="49"/>
      <c r="Q322" s="22"/>
      <c r="S322" s="22"/>
      <c r="V322" s="47"/>
    </row>
    <row r="323" spans="8:22" x14ac:dyDescent="0.35">
      <c r="H323" t="s">
        <v>26</v>
      </c>
      <c r="I323"/>
      <c r="J323" s="29"/>
      <c r="K323" s="30"/>
      <c r="L323" s="29"/>
      <c r="O323" s="49"/>
      <c r="Q323" s="22"/>
      <c r="S323" s="22"/>
      <c r="V323" s="47"/>
    </row>
    <row r="324" spans="8:22" x14ac:dyDescent="0.35">
      <c r="H324" t="s">
        <v>26</v>
      </c>
      <c r="I324"/>
      <c r="J324" s="29"/>
      <c r="K324" s="30"/>
      <c r="L324" s="29"/>
      <c r="O324" s="49"/>
      <c r="Q324" s="22"/>
      <c r="S324" s="22"/>
      <c r="V324" s="47"/>
    </row>
    <row r="325" spans="8:22" x14ac:dyDescent="0.35">
      <c r="H325" t="s">
        <v>26</v>
      </c>
      <c r="I325"/>
      <c r="J325" s="29"/>
      <c r="K325" s="30"/>
      <c r="L325" s="29"/>
      <c r="O325" s="49"/>
      <c r="Q325" s="22"/>
      <c r="S325" s="22"/>
      <c r="V325" s="47"/>
    </row>
    <row r="326" spans="8:22" x14ac:dyDescent="0.35">
      <c r="H326" t="s">
        <v>26</v>
      </c>
      <c r="I326"/>
      <c r="J326" s="29"/>
      <c r="K326" s="30"/>
      <c r="L326" s="29"/>
      <c r="O326" s="49"/>
      <c r="Q326" s="22"/>
      <c r="S326" s="22"/>
      <c r="V326" s="47"/>
    </row>
    <row r="327" spans="8:22" x14ac:dyDescent="0.35">
      <c r="H327" t="s">
        <v>26</v>
      </c>
      <c r="I327"/>
      <c r="J327" s="29"/>
      <c r="K327" s="30"/>
      <c r="L327" s="29"/>
      <c r="O327" s="49"/>
      <c r="Q327" s="22"/>
      <c r="S327" s="22"/>
      <c r="V327" s="47"/>
    </row>
    <row r="328" spans="8:22" x14ac:dyDescent="0.35">
      <c r="H328" t="s">
        <v>26</v>
      </c>
      <c r="I328"/>
      <c r="J328" s="29"/>
      <c r="K328" s="30"/>
      <c r="L328" s="29"/>
      <c r="O328" s="49"/>
      <c r="Q328" s="22"/>
      <c r="S328" s="22"/>
      <c r="V328" s="47"/>
    </row>
    <row r="329" spans="8:22" x14ac:dyDescent="0.35">
      <c r="H329" t="s">
        <v>26</v>
      </c>
      <c r="I329"/>
      <c r="J329" s="29"/>
      <c r="K329" s="30"/>
      <c r="L329" s="29"/>
      <c r="O329" s="49"/>
      <c r="Q329" s="22"/>
      <c r="S329" s="22"/>
      <c r="V329" s="47"/>
    </row>
    <row r="330" spans="8:22" x14ac:dyDescent="0.35">
      <c r="H330" t="s">
        <v>26</v>
      </c>
      <c r="I330"/>
      <c r="J330" s="29"/>
      <c r="K330" s="30"/>
      <c r="L330" s="29"/>
      <c r="O330" s="49"/>
      <c r="Q330" s="22"/>
      <c r="S330" s="22"/>
      <c r="V330" s="47"/>
    </row>
    <row r="331" spans="8:22" x14ac:dyDescent="0.35">
      <c r="H331" t="s">
        <v>26</v>
      </c>
      <c r="I331"/>
      <c r="J331" s="29"/>
      <c r="K331" s="30"/>
      <c r="L331" s="29"/>
      <c r="O331" s="49"/>
      <c r="Q331" s="22"/>
      <c r="S331" s="22"/>
      <c r="V331" s="47"/>
    </row>
    <row r="332" spans="8:22" x14ac:dyDescent="0.35">
      <c r="H332" t="s">
        <v>26</v>
      </c>
      <c r="I332"/>
      <c r="J332" s="29"/>
      <c r="K332" s="30"/>
      <c r="L332" s="29"/>
      <c r="O332" s="49"/>
      <c r="Q332" s="22"/>
      <c r="S332" s="22"/>
      <c r="V332" s="47"/>
    </row>
    <row r="333" spans="8:22" x14ac:dyDescent="0.35">
      <c r="H333" t="s">
        <v>26</v>
      </c>
      <c r="I333"/>
      <c r="J333" s="29"/>
      <c r="K333" s="30"/>
      <c r="L333" s="29"/>
      <c r="O333" s="49"/>
      <c r="Q333" s="22"/>
      <c r="S333" s="22"/>
      <c r="V333" s="47"/>
    </row>
    <row r="334" spans="8:22" x14ac:dyDescent="0.35">
      <c r="H334" t="s">
        <v>26</v>
      </c>
      <c r="I334"/>
      <c r="J334" s="29"/>
      <c r="K334" s="30"/>
      <c r="L334" s="29"/>
      <c r="O334" s="49"/>
      <c r="Q334" s="22"/>
      <c r="S334" s="22"/>
      <c r="V334" s="47"/>
    </row>
    <row r="335" spans="8:22" x14ac:dyDescent="0.35">
      <c r="H335" t="s">
        <v>26</v>
      </c>
      <c r="I335"/>
      <c r="J335" s="29"/>
      <c r="K335" s="30"/>
      <c r="L335" s="29"/>
      <c r="O335" s="49"/>
      <c r="Q335" s="22"/>
      <c r="S335" s="22"/>
      <c r="V335" s="47"/>
    </row>
    <row r="336" spans="8:22" x14ac:dyDescent="0.35">
      <c r="H336" t="s">
        <v>26</v>
      </c>
      <c r="I336"/>
      <c r="J336" s="29"/>
      <c r="K336" s="30"/>
      <c r="L336" s="29"/>
      <c r="O336" s="49"/>
      <c r="Q336" s="22"/>
      <c r="S336" s="22"/>
      <c r="V336" s="47"/>
    </row>
    <row r="337" spans="6:22" x14ac:dyDescent="0.35">
      <c r="H337" t="s">
        <v>26</v>
      </c>
      <c r="I337"/>
      <c r="J337" s="29"/>
      <c r="K337" s="30"/>
      <c r="L337" s="29"/>
      <c r="O337" s="49"/>
      <c r="Q337" s="22"/>
      <c r="S337" s="22"/>
      <c r="V337" s="47"/>
    </row>
    <row r="338" spans="6:22" x14ac:dyDescent="0.35">
      <c r="H338" t="s">
        <v>26</v>
      </c>
      <c r="I338"/>
      <c r="J338" s="29"/>
      <c r="K338" s="30"/>
      <c r="L338" s="29"/>
      <c r="O338" s="49"/>
      <c r="Q338" s="22"/>
      <c r="S338" s="22"/>
      <c r="V338" s="47"/>
    </row>
    <row r="339" spans="6:22" x14ac:dyDescent="0.35">
      <c r="H339" t="s">
        <v>26</v>
      </c>
      <c r="I339"/>
      <c r="J339" s="29"/>
      <c r="K339" s="30"/>
      <c r="L339" s="29"/>
      <c r="O339" s="49"/>
      <c r="Q339" s="22"/>
      <c r="S339" s="22"/>
      <c r="V339" s="47"/>
    </row>
    <row r="340" spans="6:22" x14ac:dyDescent="0.35">
      <c r="H340" t="s">
        <v>26</v>
      </c>
      <c r="I340"/>
      <c r="J340" s="29"/>
      <c r="K340" s="30"/>
      <c r="L340" s="29"/>
      <c r="O340" s="49"/>
      <c r="Q340" s="22"/>
      <c r="S340" s="22"/>
      <c r="V340" s="47"/>
    </row>
    <row r="341" spans="6:22" x14ac:dyDescent="0.35">
      <c r="H341" t="s">
        <v>26</v>
      </c>
      <c r="I341"/>
      <c r="J341" s="29"/>
      <c r="K341" s="30"/>
      <c r="L341" s="29"/>
      <c r="O341" s="49"/>
      <c r="Q341" s="22"/>
      <c r="S341" s="22"/>
      <c r="V341" s="47"/>
    </row>
    <row r="342" spans="6:22" x14ac:dyDescent="0.35">
      <c r="H342" t="s">
        <v>26</v>
      </c>
      <c r="I342"/>
      <c r="J342" s="29"/>
      <c r="K342" s="30"/>
      <c r="L342" s="29"/>
      <c r="O342" s="49"/>
      <c r="Q342" s="22"/>
      <c r="S342" s="22"/>
      <c r="V342" s="47"/>
    </row>
    <row r="343" spans="6:22" x14ac:dyDescent="0.35">
      <c r="H343" t="s">
        <v>26</v>
      </c>
      <c r="I343"/>
      <c r="J343" s="29"/>
      <c r="K343" s="30"/>
      <c r="L343" s="29"/>
      <c r="O343" s="49"/>
      <c r="Q343" s="22"/>
      <c r="S343" s="22"/>
      <c r="V343" s="47"/>
    </row>
    <row r="344" spans="6:22" x14ac:dyDescent="0.35">
      <c r="H344" t="s">
        <v>26</v>
      </c>
      <c r="I344"/>
      <c r="J344" s="29"/>
      <c r="K344" s="30"/>
      <c r="L344" s="29"/>
      <c r="O344" s="49"/>
      <c r="Q344" s="22"/>
      <c r="S344" s="22"/>
      <c r="V344" s="47"/>
    </row>
    <row r="345" spans="6:22" x14ac:dyDescent="0.35">
      <c r="H345" t="s">
        <v>26</v>
      </c>
      <c r="I345"/>
      <c r="J345" s="29"/>
      <c r="K345" s="30"/>
      <c r="L345" s="29"/>
      <c r="O345" s="49"/>
      <c r="Q345" s="22"/>
      <c r="S345" s="22"/>
      <c r="V345" s="47"/>
    </row>
    <row r="346" spans="6:22" x14ac:dyDescent="0.35">
      <c r="H346" t="s">
        <v>26</v>
      </c>
      <c r="I346"/>
      <c r="J346" s="29"/>
      <c r="K346" s="30"/>
      <c r="L346" s="29"/>
      <c r="O346" s="49"/>
      <c r="Q346" s="22"/>
      <c r="S346" s="22"/>
      <c r="V346" s="47"/>
    </row>
    <row r="347" spans="6:22" x14ac:dyDescent="0.35">
      <c r="H347" t="s">
        <v>26</v>
      </c>
      <c r="I347"/>
      <c r="J347" s="29"/>
      <c r="K347" s="30"/>
      <c r="L347" s="29"/>
      <c r="O347" s="49"/>
      <c r="Q347" s="22"/>
      <c r="S347" s="22"/>
      <c r="V347" s="47"/>
    </row>
    <row r="348" spans="6:22" x14ac:dyDescent="0.35">
      <c r="H348" t="s">
        <v>26</v>
      </c>
      <c r="I348"/>
      <c r="J348" s="29"/>
      <c r="K348" s="30"/>
      <c r="L348" s="29"/>
      <c r="O348" s="49"/>
      <c r="Q348" s="22"/>
      <c r="S348" s="22"/>
      <c r="V348" s="47"/>
    </row>
    <row r="349" spans="6:22" x14ac:dyDescent="0.35">
      <c r="H349" t="s">
        <v>26</v>
      </c>
      <c r="I349"/>
      <c r="J349" s="29"/>
      <c r="K349" s="30"/>
      <c r="L349" s="29"/>
      <c r="O349" s="49"/>
      <c r="Q349" s="22"/>
      <c r="S349" s="22"/>
      <c r="V349" s="47"/>
    </row>
    <row r="350" spans="6:22" x14ac:dyDescent="0.35">
      <c r="H350" t="s">
        <v>26</v>
      </c>
      <c r="I350"/>
      <c r="J350" s="29"/>
      <c r="K350" s="30"/>
      <c r="L350" s="29"/>
      <c r="M350">
        <v>3</v>
      </c>
      <c r="N350">
        <v>4</v>
      </c>
      <c r="O350" s="49"/>
      <c r="P350">
        <v>4</v>
      </c>
      <c r="Q350" s="22"/>
      <c r="S350" s="22"/>
      <c r="V350" s="47"/>
    </row>
    <row r="351" spans="6:22" x14ac:dyDescent="0.35">
      <c r="F351" t="s">
        <v>4779</v>
      </c>
      <c r="I351">
        <v>1</v>
      </c>
      <c r="J351" s="29"/>
      <c r="K351" s="30"/>
      <c r="L351" s="29"/>
      <c r="M351">
        <v>4</v>
      </c>
      <c r="N351">
        <v>4</v>
      </c>
      <c r="O351" s="49"/>
      <c r="P351">
        <v>4</v>
      </c>
      <c r="Q351" s="22"/>
      <c r="S351" s="22"/>
      <c r="V351" s="47"/>
    </row>
    <row r="352" spans="6:22" x14ac:dyDescent="0.35">
      <c r="F352" t="s">
        <v>4784</v>
      </c>
      <c r="I352">
        <v>1</v>
      </c>
      <c r="J352" s="29"/>
      <c r="K352" s="30"/>
      <c r="L352" s="29"/>
      <c r="O352" s="49"/>
      <c r="Q352" s="22"/>
      <c r="S352" s="22"/>
      <c r="V352" s="47"/>
    </row>
    <row r="353" spans="6:22" x14ac:dyDescent="0.35">
      <c r="F353" t="s">
        <v>4789</v>
      </c>
      <c r="I353">
        <v>0</v>
      </c>
      <c r="J353" s="29"/>
      <c r="K353" s="30"/>
      <c r="L353" s="29"/>
      <c r="O353" s="49"/>
      <c r="Q353" s="22"/>
      <c r="S353" s="22"/>
      <c r="V353" s="47"/>
    </row>
    <row r="354" spans="6:22" x14ac:dyDescent="0.35">
      <c r="F354" t="s">
        <v>4794</v>
      </c>
      <c r="I354">
        <v>0</v>
      </c>
      <c r="J354" s="29"/>
      <c r="K354" s="30"/>
      <c r="L354" s="29"/>
      <c r="O354" s="49"/>
      <c r="Q354" s="22"/>
      <c r="S354" s="22"/>
      <c r="V354" s="47"/>
    </row>
    <row r="355" spans="6:22" x14ac:dyDescent="0.35">
      <c r="F355" t="s">
        <v>4799</v>
      </c>
      <c r="I355">
        <v>0</v>
      </c>
      <c r="J355" s="29"/>
      <c r="K355" s="30"/>
      <c r="L355" s="29"/>
      <c r="O355" s="49"/>
      <c r="Q355" s="22"/>
      <c r="S355" s="22"/>
      <c r="V355" s="47"/>
    </row>
    <row r="356" spans="6:22" x14ac:dyDescent="0.35">
      <c r="F356" t="s">
        <v>4804</v>
      </c>
      <c r="I356">
        <v>0</v>
      </c>
      <c r="J356" s="29"/>
      <c r="K356" s="30"/>
      <c r="L356" s="29"/>
      <c r="O356" s="49"/>
      <c r="Q356" s="22"/>
      <c r="S356" s="22"/>
      <c r="V356" s="47"/>
    </row>
    <row r="357" spans="6:22" x14ac:dyDescent="0.35">
      <c r="F357" t="s">
        <v>4809</v>
      </c>
      <c r="I357">
        <v>0</v>
      </c>
      <c r="J357" s="29"/>
      <c r="K357" s="30"/>
      <c r="L357" s="29"/>
      <c r="M357">
        <v>4</v>
      </c>
      <c r="N357">
        <v>4</v>
      </c>
      <c r="O357" s="49"/>
      <c r="P357">
        <v>4</v>
      </c>
      <c r="Q357" s="22"/>
      <c r="S357" s="22"/>
      <c r="V357" s="47"/>
    </row>
    <row r="358" spans="6:22" x14ac:dyDescent="0.35">
      <c r="F358" t="s">
        <v>4814</v>
      </c>
      <c r="I358">
        <v>0</v>
      </c>
      <c r="J358" s="29"/>
      <c r="K358" s="30"/>
      <c r="L358" s="29"/>
      <c r="M358">
        <v>3</v>
      </c>
      <c r="N358">
        <v>4</v>
      </c>
      <c r="O358" s="49"/>
      <c r="P358">
        <v>4</v>
      </c>
      <c r="Q358" s="22"/>
      <c r="S358" s="22"/>
      <c r="V358" s="47"/>
    </row>
    <row r="359" spans="6:22" x14ac:dyDescent="0.35">
      <c r="F359" t="s">
        <v>4819</v>
      </c>
      <c r="I359">
        <v>1</v>
      </c>
      <c r="J359" s="29"/>
      <c r="K359" s="30"/>
      <c r="L359" s="29"/>
      <c r="M359">
        <v>3</v>
      </c>
      <c r="N359">
        <v>4</v>
      </c>
      <c r="O359" s="49"/>
      <c r="P359">
        <v>4</v>
      </c>
      <c r="Q359" s="22"/>
      <c r="S359" s="22"/>
      <c r="V359" s="47"/>
    </row>
    <row r="360" spans="6:22" x14ac:dyDescent="0.35">
      <c r="F360" t="s">
        <v>4824</v>
      </c>
      <c r="I360">
        <v>1</v>
      </c>
      <c r="J360" s="29"/>
      <c r="K360" s="30"/>
      <c r="L360" s="29"/>
      <c r="M360">
        <v>4</v>
      </c>
      <c r="N360">
        <v>4</v>
      </c>
      <c r="O360" s="49"/>
      <c r="P360">
        <v>4</v>
      </c>
      <c r="Q360" s="22"/>
      <c r="S360" s="22"/>
      <c r="V360" s="47"/>
    </row>
    <row r="361" spans="6:22" x14ac:dyDescent="0.35">
      <c r="F361" t="s">
        <v>4829</v>
      </c>
      <c r="I361">
        <v>1</v>
      </c>
      <c r="J361" s="29"/>
      <c r="K361" s="30"/>
      <c r="L361" s="29"/>
      <c r="M361">
        <v>4</v>
      </c>
      <c r="N361">
        <v>4</v>
      </c>
      <c r="O361" s="49"/>
      <c r="P361">
        <v>4</v>
      </c>
      <c r="Q361" s="22"/>
      <c r="S361" s="22"/>
      <c r="V361" s="47"/>
    </row>
    <row r="362" spans="6:22" x14ac:dyDescent="0.35">
      <c r="F362" t="s">
        <v>4834</v>
      </c>
      <c r="I362">
        <v>0</v>
      </c>
      <c r="J362" s="29"/>
      <c r="K362" s="30"/>
      <c r="L362" s="29"/>
      <c r="M362">
        <v>3</v>
      </c>
      <c r="N362">
        <v>4</v>
      </c>
      <c r="O362" s="49"/>
      <c r="P362">
        <v>4</v>
      </c>
      <c r="Q362" s="22"/>
      <c r="S362" s="22"/>
      <c r="V362" s="47"/>
    </row>
    <row r="363" spans="6:22" x14ac:dyDescent="0.35">
      <c r="F363" t="s">
        <v>4839</v>
      </c>
      <c r="I363">
        <v>0</v>
      </c>
      <c r="J363" s="29"/>
      <c r="K363" s="30"/>
      <c r="L363" s="29"/>
      <c r="M363">
        <v>4</v>
      </c>
      <c r="N363">
        <v>4</v>
      </c>
      <c r="O363" s="49"/>
      <c r="P363">
        <v>4</v>
      </c>
      <c r="Q363" s="22"/>
      <c r="S363" s="22"/>
      <c r="V363" s="47"/>
    </row>
    <row r="364" spans="6:22" x14ac:dyDescent="0.35">
      <c r="F364" t="s">
        <v>4844</v>
      </c>
      <c r="I364">
        <v>1</v>
      </c>
      <c r="J364" s="29"/>
      <c r="K364" s="30"/>
      <c r="L364" s="29"/>
      <c r="M364">
        <v>4</v>
      </c>
      <c r="N364">
        <v>4</v>
      </c>
      <c r="O364" s="49"/>
      <c r="P364">
        <v>4</v>
      </c>
      <c r="Q364" s="22"/>
      <c r="S364" s="22"/>
      <c r="V364" s="47"/>
    </row>
    <row r="365" spans="6:22" x14ac:dyDescent="0.35">
      <c r="F365" t="s">
        <v>4849</v>
      </c>
      <c r="I365">
        <v>1</v>
      </c>
      <c r="J365" s="29"/>
      <c r="K365" s="30"/>
      <c r="L365" s="29"/>
      <c r="M365">
        <v>3</v>
      </c>
      <c r="N365">
        <v>4</v>
      </c>
      <c r="O365" s="49"/>
      <c r="P365">
        <v>4</v>
      </c>
      <c r="Q365" s="22"/>
      <c r="S365" s="22"/>
      <c r="V365" s="47"/>
    </row>
    <row r="366" spans="6:22" x14ac:dyDescent="0.35">
      <c r="F366" t="s">
        <v>4854</v>
      </c>
      <c r="I366">
        <v>0</v>
      </c>
      <c r="J366" s="29"/>
      <c r="K366" s="30"/>
      <c r="L366" s="29"/>
      <c r="M366">
        <v>4</v>
      </c>
      <c r="N366">
        <v>4</v>
      </c>
      <c r="O366" s="49"/>
      <c r="P366">
        <v>4</v>
      </c>
      <c r="Q366" s="22"/>
      <c r="S366" s="22"/>
      <c r="V366" s="47"/>
    </row>
    <row r="367" spans="6:22" x14ac:dyDescent="0.35">
      <c r="F367" t="s">
        <v>4859</v>
      </c>
      <c r="I367">
        <v>1</v>
      </c>
      <c r="J367" s="29"/>
      <c r="K367" s="30"/>
      <c r="L367" s="29"/>
      <c r="M367">
        <v>4</v>
      </c>
      <c r="N367">
        <v>4</v>
      </c>
      <c r="O367" s="49"/>
      <c r="P367">
        <v>4</v>
      </c>
      <c r="Q367" s="22"/>
      <c r="S367" s="22"/>
      <c r="V367" s="47"/>
    </row>
    <row r="368" spans="6:22" x14ac:dyDescent="0.35">
      <c r="F368" t="s">
        <v>4864</v>
      </c>
      <c r="I368">
        <v>0</v>
      </c>
      <c r="J368" s="29"/>
      <c r="K368" s="30"/>
      <c r="L368" s="29"/>
      <c r="M368">
        <v>3</v>
      </c>
      <c r="N368">
        <v>4</v>
      </c>
      <c r="O368" s="49"/>
      <c r="P368">
        <v>4</v>
      </c>
      <c r="Q368" s="22"/>
      <c r="S368" s="22"/>
      <c r="V368" s="47"/>
    </row>
    <row r="369" spans="6:22" x14ac:dyDescent="0.35">
      <c r="F369" t="s">
        <v>4869</v>
      </c>
      <c r="I369">
        <v>0</v>
      </c>
      <c r="J369" s="29"/>
      <c r="K369" s="30"/>
      <c r="L369" s="29"/>
      <c r="M369">
        <v>4</v>
      </c>
      <c r="N369">
        <v>4</v>
      </c>
      <c r="O369" s="49"/>
      <c r="P369">
        <v>4</v>
      </c>
      <c r="Q369" s="22"/>
      <c r="S369" s="22"/>
      <c r="V369" s="47"/>
    </row>
    <row r="370" spans="6:22" x14ac:dyDescent="0.35">
      <c r="F370" t="s">
        <v>4874</v>
      </c>
      <c r="I370">
        <v>0</v>
      </c>
      <c r="J370" s="29"/>
      <c r="K370" s="30"/>
      <c r="L370" s="29"/>
      <c r="M370">
        <v>4</v>
      </c>
      <c r="N370">
        <v>4</v>
      </c>
      <c r="O370" s="49"/>
      <c r="P370">
        <v>4</v>
      </c>
      <c r="Q370" s="22"/>
      <c r="S370" s="22"/>
      <c r="V370" s="47"/>
    </row>
    <row r="371" spans="6:22" x14ac:dyDescent="0.35">
      <c r="F371" t="s">
        <v>4879</v>
      </c>
      <c r="I371">
        <v>1</v>
      </c>
      <c r="J371" s="29"/>
      <c r="K371" s="30"/>
      <c r="L371" s="29"/>
      <c r="M371">
        <v>4</v>
      </c>
      <c r="N371">
        <v>4</v>
      </c>
      <c r="O371" s="49"/>
      <c r="P371">
        <v>3</v>
      </c>
      <c r="Q371" s="22"/>
      <c r="S371" s="22"/>
      <c r="V371" s="47"/>
    </row>
    <row r="372" spans="6:22" x14ac:dyDescent="0.35">
      <c r="F372" t="s">
        <v>4884</v>
      </c>
      <c r="I372">
        <v>1</v>
      </c>
      <c r="J372" s="29"/>
      <c r="K372" s="30"/>
      <c r="L372" s="29"/>
      <c r="M372">
        <v>4</v>
      </c>
      <c r="N372">
        <v>4</v>
      </c>
      <c r="O372" s="49"/>
      <c r="P372">
        <v>4</v>
      </c>
      <c r="Q372" s="22"/>
      <c r="S372" s="22"/>
      <c r="V372" s="47"/>
    </row>
    <row r="373" spans="6:22" x14ac:dyDescent="0.35">
      <c r="F373" t="s">
        <v>4889</v>
      </c>
      <c r="I373">
        <v>0</v>
      </c>
      <c r="J373" s="29"/>
      <c r="K373" s="30"/>
      <c r="L373" s="29"/>
      <c r="M373">
        <v>3</v>
      </c>
      <c r="N373">
        <v>4</v>
      </c>
      <c r="O373" s="49"/>
      <c r="P373">
        <v>4</v>
      </c>
      <c r="Q373" s="22"/>
      <c r="S373" s="22"/>
      <c r="V373" s="47"/>
    </row>
    <row r="374" spans="6:22" x14ac:dyDescent="0.35">
      <c r="F374" t="s">
        <v>4894</v>
      </c>
      <c r="I374">
        <v>0</v>
      </c>
      <c r="J374" s="29"/>
      <c r="K374" s="30"/>
      <c r="L374" s="29"/>
      <c r="M374">
        <v>4</v>
      </c>
      <c r="N374">
        <v>4</v>
      </c>
      <c r="O374" s="49"/>
      <c r="P374">
        <v>3</v>
      </c>
      <c r="Q374" s="22"/>
      <c r="S374" s="22"/>
      <c r="V374" s="47"/>
    </row>
    <row r="375" spans="6:22" x14ac:dyDescent="0.35">
      <c r="F375" t="s">
        <v>4899</v>
      </c>
      <c r="I375">
        <v>1</v>
      </c>
      <c r="J375" s="29"/>
      <c r="K375" s="30"/>
      <c r="L375" s="29"/>
      <c r="M375">
        <v>3</v>
      </c>
      <c r="N375">
        <v>4</v>
      </c>
      <c r="O375" s="49"/>
      <c r="P375">
        <v>2</v>
      </c>
      <c r="Q375" s="22"/>
      <c r="S375" s="22"/>
      <c r="V375" s="47"/>
    </row>
    <row r="376" spans="6:22" x14ac:dyDescent="0.35">
      <c r="F376" t="s">
        <v>4904</v>
      </c>
      <c r="I376">
        <v>1</v>
      </c>
      <c r="J376" s="29"/>
      <c r="K376" s="30"/>
      <c r="L376" s="29"/>
      <c r="M376">
        <v>2</v>
      </c>
      <c r="N376">
        <v>4</v>
      </c>
      <c r="O376" s="49"/>
      <c r="P376">
        <v>3</v>
      </c>
      <c r="Q376" s="22"/>
      <c r="S376" s="22"/>
      <c r="V376" s="47"/>
    </row>
    <row r="377" spans="6:22" x14ac:dyDescent="0.35">
      <c r="F377" t="s">
        <v>4909</v>
      </c>
      <c r="I377">
        <v>1</v>
      </c>
      <c r="J377" s="29"/>
      <c r="K377" s="30"/>
      <c r="L377" s="29"/>
      <c r="M377">
        <v>4</v>
      </c>
      <c r="N377">
        <v>4</v>
      </c>
      <c r="O377" s="49"/>
      <c r="P377">
        <v>4</v>
      </c>
      <c r="Q377" s="22"/>
      <c r="S377" s="22"/>
      <c r="V377" s="47"/>
    </row>
    <row r="378" spans="6:22" x14ac:dyDescent="0.35">
      <c r="F378" t="s">
        <v>4914</v>
      </c>
      <c r="I378">
        <v>1</v>
      </c>
      <c r="J378" s="29"/>
      <c r="K378" s="30"/>
      <c r="L378" s="29"/>
      <c r="O378" s="49"/>
      <c r="Q378" s="22"/>
      <c r="S378" s="22"/>
      <c r="V378" s="47"/>
    </row>
    <row r="379" spans="6:22" x14ac:dyDescent="0.35">
      <c r="F379" t="s">
        <v>4919</v>
      </c>
      <c r="I379">
        <v>0</v>
      </c>
      <c r="J379" s="29"/>
      <c r="K379" s="30"/>
      <c r="L379" s="29"/>
      <c r="M379">
        <v>3</v>
      </c>
      <c r="N379">
        <v>4</v>
      </c>
      <c r="O379" s="49"/>
      <c r="P379">
        <v>4</v>
      </c>
      <c r="Q379" s="22"/>
      <c r="S379" s="22"/>
      <c r="V379" s="47"/>
    </row>
    <row r="380" spans="6:22" x14ac:dyDescent="0.35">
      <c r="F380" t="s">
        <v>4924</v>
      </c>
      <c r="I380">
        <v>1</v>
      </c>
      <c r="J380" s="29"/>
      <c r="K380" s="30"/>
      <c r="L380" s="29"/>
      <c r="M380">
        <v>4</v>
      </c>
      <c r="N380">
        <v>4</v>
      </c>
      <c r="O380" s="49"/>
      <c r="P380">
        <v>4</v>
      </c>
      <c r="Q380" s="22"/>
      <c r="S380" s="22"/>
      <c r="V380" s="47"/>
    </row>
    <row r="381" spans="6:22" x14ac:dyDescent="0.35">
      <c r="F381" t="s">
        <v>4929</v>
      </c>
      <c r="I381">
        <v>1</v>
      </c>
      <c r="J381" s="29"/>
      <c r="K381" s="30"/>
      <c r="L381" s="29"/>
      <c r="M381">
        <v>3</v>
      </c>
      <c r="N381">
        <v>4</v>
      </c>
      <c r="O381" s="49"/>
      <c r="P381">
        <v>4</v>
      </c>
      <c r="Q381" s="22"/>
      <c r="S381" s="22"/>
      <c r="V381" s="47"/>
    </row>
    <row r="382" spans="6:22" x14ac:dyDescent="0.35">
      <c r="F382" t="s">
        <v>4934</v>
      </c>
      <c r="I382">
        <v>1</v>
      </c>
      <c r="J382" s="29"/>
      <c r="K382" s="30"/>
      <c r="L382" s="29"/>
      <c r="M382">
        <v>3</v>
      </c>
      <c r="N382">
        <v>4</v>
      </c>
      <c r="O382" s="49"/>
      <c r="P382">
        <v>3</v>
      </c>
      <c r="Q382" s="22"/>
      <c r="S382" s="22"/>
      <c r="V382" s="47"/>
    </row>
    <row r="383" spans="6:22" x14ac:dyDescent="0.35">
      <c r="F383" t="s">
        <v>4939</v>
      </c>
      <c r="I383">
        <v>1</v>
      </c>
      <c r="J383" s="29"/>
      <c r="K383" s="30"/>
      <c r="L383" s="29"/>
      <c r="M383">
        <v>1</v>
      </c>
      <c r="N383">
        <v>4</v>
      </c>
      <c r="O383" s="49"/>
      <c r="P383">
        <v>4</v>
      </c>
      <c r="Q383" s="22"/>
      <c r="S383" s="22"/>
      <c r="V383" s="47"/>
    </row>
    <row r="384" spans="6:22" x14ac:dyDescent="0.35">
      <c r="F384" t="s">
        <v>4944</v>
      </c>
      <c r="I384">
        <v>1</v>
      </c>
      <c r="J384" s="29"/>
      <c r="K384" s="30"/>
      <c r="L384" s="29"/>
      <c r="M384">
        <v>2</v>
      </c>
      <c r="N384">
        <v>4</v>
      </c>
      <c r="O384" s="49"/>
      <c r="P384">
        <v>3</v>
      </c>
      <c r="Q384" s="22"/>
      <c r="S384" s="22"/>
      <c r="V384" s="47"/>
    </row>
    <row r="385" spans="6:22" x14ac:dyDescent="0.35">
      <c r="F385" t="s">
        <v>4949</v>
      </c>
      <c r="I385">
        <v>1</v>
      </c>
      <c r="J385" s="29"/>
      <c r="K385" s="30"/>
      <c r="L385" s="29"/>
      <c r="M385">
        <v>4</v>
      </c>
      <c r="N385">
        <v>4</v>
      </c>
      <c r="O385" s="49"/>
      <c r="P385">
        <v>3</v>
      </c>
      <c r="Q385" s="22"/>
      <c r="S385" s="22"/>
      <c r="V385" s="47"/>
    </row>
    <row r="386" spans="6:22" x14ac:dyDescent="0.35">
      <c r="F386" t="s">
        <v>4954</v>
      </c>
      <c r="I386">
        <v>1</v>
      </c>
      <c r="J386" s="29"/>
      <c r="K386" s="30"/>
      <c r="L386" s="29"/>
      <c r="M386">
        <v>3</v>
      </c>
      <c r="N386">
        <v>4</v>
      </c>
      <c r="O386" s="49"/>
      <c r="P386">
        <v>3</v>
      </c>
      <c r="Q386" s="22"/>
      <c r="S386" s="22"/>
      <c r="V386" s="47"/>
    </row>
    <row r="387" spans="6:22" x14ac:dyDescent="0.35">
      <c r="F387" t="s">
        <v>4959</v>
      </c>
      <c r="I387">
        <v>1</v>
      </c>
      <c r="J387" s="29"/>
      <c r="K387" s="30"/>
      <c r="L387" s="29"/>
      <c r="M387">
        <v>4</v>
      </c>
      <c r="N387">
        <v>4</v>
      </c>
      <c r="O387" s="49"/>
      <c r="P387">
        <v>3</v>
      </c>
      <c r="Q387" s="22"/>
      <c r="S387" s="22"/>
      <c r="V387" s="47"/>
    </row>
    <row r="388" spans="6:22" x14ac:dyDescent="0.35">
      <c r="F388" t="s">
        <v>4964</v>
      </c>
      <c r="I388">
        <v>1</v>
      </c>
      <c r="J388" s="29"/>
      <c r="K388" s="30"/>
      <c r="L388" s="29"/>
      <c r="M388">
        <v>4</v>
      </c>
      <c r="N388">
        <v>4</v>
      </c>
      <c r="O388" s="49"/>
      <c r="P388">
        <v>3</v>
      </c>
      <c r="Q388" s="22"/>
      <c r="S388" s="22"/>
      <c r="V388" s="47"/>
    </row>
    <row r="389" spans="6:22" x14ac:dyDescent="0.35">
      <c r="F389" t="s">
        <v>4969</v>
      </c>
      <c r="I389">
        <v>1</v>
      </c>
      <c r="J389" s="29"/>
      <c r="K389" s="30"/>
      <c r="L389" s="29"/>
      <c r="O389" s="49"/>
      <c r="Q389" s="22"/>
      <c r="S389" s="22"/>
      <c r="V389" s="47"/>
    </row>
    <row r="390" spans="6:22" x14ac:dyDescent="0.35">
      <c r="F390" t="s">
        <v>4974</v>
      </c>
      <c r="I390">
        <v>0</v>
      </c>
      <c r="J390" s="29"/>
      <c r="K390" s="30"/>
      <c r="L390" s="29"/>
      <c r="M390">
        <v>2</v>
      </c>
      <c r="N390">
        <v>4</v>
      </c>
      <c r="O390" s="49"/>
      <c r="P390">
        <v>2</v>
      </c>
      <c r="Q390" s="22"/>
      <c r="S390" s="22"/>
      <c r="V390" s="47"/>
    </row>
    <row r="391" spans="6:22" x14ac:dyDescent="0.35">
      <c r="F391" t="s">
        <v>4979</v>
      </c>
      <c r="I391">
        <v>1</v>
      </c>
      <c r="J391" s="29"/>
      <c r="K391" s="30"/>
      <c r="L391" s="29"/>
      <c r="O391" s="49"/>
      <c r="Q391" s="22"/>
      <c r="S391" s="22"/>
      <c r="V391" s="47"/>
    </row>
    <row r="392" spans="6:22" x14ac:dyDescent="0.35">
      <c r="F392" t="s">
        <v>4984</v>
      </c>
      <c r="I392">
        <v>0</v>
      </c>
      <c r="J392" s="29"/>
      <c r="K392" s="30"/>
      <c r="L392" s="29"/>
      <c r="M392">
        <v>1</v>
      </c>
      <c r="N392">
        <v>4</v>
      </c>
      <c r="O392" s="49"/>
      <c r="P392">
        <v>4</v>
      </c>
      <c r="Q392" s="22"/>
      <c r="S392" s="22"/>
      <c r="V392" s="47"/>
    </row>
    <row r="393" spans="6:22" x14ac:dyDescent="0.35">
      <c r="F393" t="s">
        <v>4989</v>
      </c>
      <c r="I393">
        <v>1</v>
      </c>
      <c r="J393" s="29"/>
      <c r="K393" s="30"/>
      <c r="L393" s="29"/>
      <c r="M393">
        <v>1</v>
      </c>
      <c r="N393">
        <v>4</v>
      </c>
      <c r="O393" s="49"/>
      <c r="P393">
        <v>4</v>
      </c>
      <c r="Q393" s="22"/>
      <c r="S393" s="22"/>
      <c r="V393" s="47"/>
    </row>
    <row r="394" spans="6:22" x14ac:dyDescent="0.35">
      <c r="F394" t="s">
        <v>4994</v>
      </c>
      <c r="I394">
        <v>0</v>
      </c>
      <c r="J394" s="29"/>
      <c r="K394" s="30"/>
      <c r="L394" s="29"/>
      <c r="O394" s="49"/>
      <c r="Q394" s="22"/>
      <c r="S394" s="22"/>
      <c r="V394" s="47"/>
    </row>
    <row r="395" spans="6:22" x14ac:dyDescent="0.35">
      <c r="F395" t="s">
        <v>4999</v>
      </c>
      <c r="I395">
        <v>0</v>
      </c>
      <c r="J395" s="29"/>
      <c r="K395" s="30"/>
      <c r="L395" s="29"/>
      <c r="M395">
        <v>1</v>
      </c>
      <c r="N395">
        <v>4</v>
      </c>
      <c r="O395" s="49"/>
      <c r="P395">
        <v>4</v>
      </c>
      <c r="Q395" s="22"/>
      <c r="S395" s="22"/>
      <c r="V395" s="47"/>
    </row>
    <row r="396" spans="6:22" x14ac:dyDescent="0.35">
      <c r="F396" t="s">
        <v>5004</v>
      </c>
      <c r="I396">
        <v>1</v>
      </c>
      <c r="J396" s="29"/>
      <c r="K396" s="30"/>
      <c r="L396" s="29"/>
      <c r="M396">
        <v>3</v>
      </c>
      <c r="N396">
        <v>4</v>
      </c>
      <c r="O396" s="49"/>
      <c r="P396">
        <v>4</v>
      </c>
      <c r="Q396" s="22"/>
      <c r="S396" s="22"/>
      <c r="V396" s="47"/>
    </row>
    <row r="397" spans="6:22" x14ac:dyDescent="0.35">
      <c r="F397" t="s">
        <v>5009</v>
      </c>
      <c r="I397">
        <v>1</v>
      </c>
      <c r="J397" s="29"/>
      <c r="K397" s="30"/>
      <c r="L397" s="29"/>
      <c r="M397">
        <v>4</v>
      </c>
      <c r="N397">
        <v>4</v>
      </c>
      <c r="O397" s="49"/>
      <c r="P397">
        <v>4</v>
      </c>
      <c r="Q397" s="22"/>
      <c r="S397" s="22"/>
      <c r="V397" s="47"/>
    </row>
    <row r="398" spans="6:22" x14ac:dyDescent="0.35">
      <c r="F398" t="s">
        <v>5014</v>
      </c>
      <c r="I398">
        <v>1</v>
      </c>
      <c r="J398" s="29"/>
      <c r="K398" s="30"/>
      <c r="L398" s="29"/>
      <c r="M398">
        <v>3</v>
      </c>
      <c r="N398">
        <v>4</v>
      </c>
      <c r="O398" s="49"/>
      <c r="P398">
        <v>4</v>
      </c>
      <c r="Q398" s="22"/>
      <c r="S398" s="22"/>
      <c r="V398" s="47"/>
    </row>
    <row r="399" spans="6:22" x14ac:dyDescent="0.35">
      <c r="F399" t="s">
        <v>5019</v>
      </c>
      <c r="I399">
        <v>1</v>
      </c>
      <c r="J399" s="29"/>
      <c r="K399" s="30"/>
      <c r="L399" s="29"/>
      <c r="O399" s="49"/>
      <c r="Q399" s="22"/>
      <c r="S399" s="22"/>
      <c r="V399" s="47"/>
    </row>
    <row r="400" spans="6:22" x14ac:dyDescent="0.35">
      <c r="F400" t="s">
        <v>5024</v>
      </c>
      <c r="I400">
        <v>0</v>
      </c>
      <c r="J400" s="29"/>
      <c r="K400" s="30"/>
      <c r="L400" s="29"/>
      <c r="M400">
        <v>4</v>
      </c>
      <c r="N400">
        <v>4</v>
      </c>
      <c r="O400" s="49"/>
      <c r="P400">
        <v>4</v>
      </c>
      <c r="Q400" s="22"/>
      <c r="S400" s="22"/>
      <c r="V400" s="47"/>
    </row>
    <row r="401" spans="6:22" x14ac:dyDescent="0.35">
      <c r="F401" t="s">
        <v>5029</v>
      </c>
      <c r="I401">
        <v>1</v>
      </c>
      <c r="J401" s="29"/>
      <c r="K401" s="30"/>
      <c r="L401" s="29"/>
      <c r="M401">
        <v>3</v>
      </c>
      <c r="N401">
        <v>4</v>
      </c>
      <c r="O401" s="49"/>
      <c r="P401">
        <v>4</v>
      </c>
      <c r="Q401" s="22"/>
      <c r="S401" s="22"/>
      <c r="V401" s="47"/>
    </row>
    <row r="402" spans="6:22" x14ac:dyDescent="0.35">
      <c r="F402" t="s">
        <v>5034</v>
      </c>
      <c r="I402">
        <v>1</v>
      </c>
      <c r="J402" s="29"/>
      <c r="K402" s="30"/>
      <c r="L402" s="29"/>
      <c r="M402">
        <v>3</v>
      </c>
      <c r="N402">
        <v>4</v>
      </c>
      <c r="O402" s="49"/>
      <c r="P402">
        <v>4</v>
      </c>
      <c r="Q402" s="22"/>
      <c r="S402" s="22"/>
      <c r="V402" s="47"/>
    </row>
    <row r="403" spans="6:22" x14ac:dyDescent="0.35">
      <c r="F403" t="s">
        <v>5039</v>
      </c>
      <c r="I403">
        <v>1</v>
      </c>
      <c r="J403" s="29"/>
      <c r="K403" s="30"/>
      <c r="L403" s="29"/>
      <c r="M403">
        <v>2</v>
      </c>
      <c r="N403">
        <v>4</v>
      </c>
      <c r="O403" s="49"/>
      <c r="P403">
        <v>4</v>
      </c>
      <c r="Q403" s="22"/>
      <c r="S403" s="22"/>
      <c r="V403" s="47"/>
    </row>
    <row r="404" spans="6:22" x14ac:dyDescent="0.35">
      <c r="F404" t="s">
        <v>5044</v>
      </c>
      <c r="I404">
        <v>0</v>
      </c>
      <c r="J404" s="29"/>
      <c r="K404" s="30"/>
      <c r="L404" s="29"/>
      <c r="M404">
        <v>4</v>
      </c>
      <c r="N404">
        <v>4</v>
      </c>
      <c r="O404" s="49"/>
      <c r="P404">
        <v>4</v>
      </c>
      <c r="Q404" s="22"/>
      <c r="S404" s="22"/>
      <c r="V404" s="47"/>
    </row>
    <row r="405" spans="6:22" x14ac:dyDescent="0.35">
      <c r="F405" t="s">
        <v>5049</v>
      </c>
      <c r="I405">
        <v>0</v>
      </c>
      <c r="J405" s="29"/>
      <c r="K405" s="30"/>
      <c r="L405" s="29"/>
      <c r="M405">
        <v>3</v>
      </c>
      <c r="N405">
        <v>4</v>
      </c>
      <c r="O405" s="49"/>
      <c r="P405">
        <v>4</v>
      </c>
      <c r="Q405" s="22"/>
      <c r="S405" s="22"/>
      <c r="V405" s="47"/>
    </row>
    <row r="406" spans="6:22" x14ac:dyDescent="0.35">
      <c r="F406" t="s">
        <v>5054</v>
      </c>
      <c r="I406">
        <v>1</v>
      </c>
      <c r="J406" s="29"/>
      <c r="K406" s="30"/>
      <c r="L406" s="29"/>
      <c r="M406">
        <v>4</v>
      </c>
      <c r="N406">
        <v>4</v>
      </c>
      <c r="O406" s="49"/>
      <c r="P406">
        <v>4</v>
      </c>
      <c r="Q406" s="22"/>
      <c r="S406" s="22"/>
      <c r="V406" s="47"/>
    </row>
    <row r="407" spans="6:22" x14ac:dyDescent="0.35">
      <c r="F407" t="s">
        <v>5059</v>
      </c>
      <c r="I407">
        <v>1</v>
      </c>
      <c r="J407" s="29"/>
      <c r="K407" s="30"/>
      <c r="L407" s="29"/>
      <c r="M407">
        <v>4</v>
      </c>
      <c r="N407">
        <v>4</v>
      </c>
      <c r="O407" s="49"/>
      <c r="P407">
        <v>3</v>
      </c>
      <c r="Q407" s="22"/>
      <c r="S407" s="22"/>
      <c r="V407" s="47"/>
    </row>
    <row r="408" spans="6:22" x14ac:dyDescent="0.35">
      <c r="F408" t="s">
        <v>5064</v>
      </c>
      <c r="I408">
        <v>1</v>
      </c>
      <c r="J408" s="29"/>
      <c r="K408" s="30"/>
      <c r="L408" s="29"/>
      <c r="M408">
        <v>4</v>
      </c>
      <c r="N408">
        <v>4</v>
      </c>
      <c r="O408" s="49"/>
      <c r="P408">
        <v>4</v>
      </c>
      <c r="Q408" s="22"/>
      <c r="S408" s="22"/>
      <c r="V408" s="47"/>
    </row>
    <row r="409" spans="6:22" x14ac:dyDescent="0.35">
      <c r="F409" t="s">
        <v>5069</v>
      </c>
      <c r="I409">
        <v>0</v>
      </c>
      <c r="J409" s="29"/>
      <c r="K409" s="30"/>
      <c r="L409" s="29"/>
      <c r="M409">
        <v>4</v>
      </c>
      <c r="N409">
        <v>4</v>
      </c>
      <c r="O409" s="49"/>
      <c r="P409">
        <v>4</v>
      </c>
      <c r="Q409" s="22"/>
      <c r="S409" s="22"/>
      <c r="V409" s="47"/>
    </row>
    <row r="410" spans="6:22" x14ac:dyDescent="0.35">
      <c r="F410" t="s">
        <v>5074</v>
      </c>
      <c r="I410">
        <v>1</v>
      </c>
      <c r="J410" s="29"/>
      <c r="K410" s="30"/>
      <c r="L410" s="29"/>
      <c r="M410">
        <v>3</v>
      </c>
      <c r="N410">
        <v>4</v>
      </c>
      <c r="O410" s="49"/>
      <c r="P410">
        <v>4</v>
      </c>
      <c r="Q410" s="22"/>
      <c r="S410" s="22"/>
      <c r="V410" s="47"/>
    </row>
    <row r="411" spans="6:22" x14ac:dyDescent="0.35">
      <c r="F411" t="s">
        <v>5079</v>
      </c>
      <c r="I411">
        <v>1</v>
      </c>
      <c r="J411" s="29"/>
      <c r="K411" s="30"/>
      <c r="L411" s="29"/>
      <c r="M411">
        <v>3</v>
      </c>
      <c r="N411">
        <v>4</v>
      </c>
      <c r="O411" s="49"/>
      <c r="P411">
        <v>4</v>
      </c>
      <c r="Q411" s="22"/>
      <c r="S411" s="22"/>
      <c r="V411" s="47"/>
    </row>
    <row r="412" spans="6:22" x14ac:dyDescent="0.35">
      <c r="F412" t="s">
        <v>5084</v>
      </c>
      <c r="I412">
        <v>1</v>
      </c>
      <c r="J412" s="29"/>
      <c r="K412" s="30"/>
      <c r="L412" s="29"/>
      <c r="M412">
        <v>4</v>
      </c>
      <c r="N412">
        <v>4</v>
      </c>
      <c r="O412" s="49"/>
      <c r="P412">
        <v>4</v>
      </c>
      <c r="Q412" s="22"/>
      <c r="S412" s="22"/>
      <c r="V412" s="47"/>
    </row>
    <row r="413" spans="6:22" x14ac:dyDescent="0.35">
      <c r="F413" t="s">
        <v>5089</v>
      </c>
      <c r="I413">
        <v>1</v>
      </c>
      <c r="J413" s="29"/>
      <c r="K413" s="30"/>
      <c r="L413" s="29"/>
      <c r="M413">
        <v>4</v>
      </c>
      <c r="N413">
        <v>4</v>
      </c>
      <c r="O413" s="49"/>
      <c r="P413">
        <v>4</v>
      </c>
      <c r="Q413" s="22"/>
      <c r="S413" s="22"/>
      <c r="V413" s="47"/>
    </row>
    <row r="414" spans="6:22" x14ac:dyDescent="0.35">
      <c r="F414" t="s">
        <v>5094</v>
      </c>
      <c r="I414">
        <v>0</v>
      </c>
      <c r="J414" s="29"/>
      <c r="K414" s="30"/>
      <c r="L414" s="29"/>
      <c r="M414">
        <v>4</v>
      </c>
      <c r="N414">
        <v>4</v>
      </c>
      <c r="O414" s="49"/>
      <c r="P414">
        <v>4</v>
      </c>
      <c r="Q414" s="22"/>
      <c r="S414" s="22"/>
      <c r="V414" s="47"/>
    </row>
    <row r="415" spans="6:22" x14ac:dyDescent="0.35">
      <c r="F415" t="s">
        <v>5099</v>
      </c>
      <c r="I415">
        <v>1</v>
      </c>
      <c r="J415" s="29"/>
      <c r="K415" s="30"/>
      <c r="L415" s="29"/>
      <c r="M415">
        <v>3</v>
      </c>
      <c r="N415">
        <v>4</v>
      </c>
      <c r="O415" s="49"/>
      <c r="P415">
        <v>3</v>
      </c>
      <c r="Q415" s="22"/>
      <c r="S415" s="22"/>
      <c r="V415" s="47"/>
    </row>
    <row r="416" spans="6:22" x14ac:dyDescent="0.35">
      <c r="F416" t="s">
        <v>5104</v>
      </c>
      <c r="I416">
        <v>1</v>
      </c>
      <c r="J416" s="29"/>
      <c r="K416" s="30"/>
      <c r="L416" s="29"/>
      <c r="M416">
        <v>4</v>
      </c>
      <c r="N416">
        <v>4</v>
      </c>
      <c r="O416" s="49"/>
      <c r="P416">
        <v>4</v>
      </c>
      <c r="Q416" s="22"/>
      <c r="S416" s="22"/>
      <c r="V416" s="47"/>
    </row>
    <row r="417" spans="6:22" x14ac:dyDescent="0.35">
      <c r="F417" t="s">
        <v>5109</v>
      </c>
      <c r="I417">
        <v>1</v>
      </c>
      <c r="J417" s="29"/>
      <c r="K417" s="30"/>
      <c r="L417" s="29"/>
      <c r="O417" s="49"/>
      <c r="Q417" s="22"/>
      <c r="S417" s="22"/>
      <c r="V417" s="47"/>
    </row>
    <row r="418" spans="6:22" x14ac:dyDescent="0.35">
      <c r="F418" t="s">
        <v>5114</v>
      </c>
      <c r="I418">
        <v>0</v>
      </c>
      <c r="J418" s="29"/>
      <c r="K418" s="30"/>
      <c r="L418" s="29"/>
      <c r="M418">
        <v>1</v>
      </c>
      <c r="N418">
        <v>3</v>
      </c>
      <c r="O418" s="49"/>
      <c r="P418">
        <v>4</v>
      </c>
      <c r="Q418" s="22"/>
      <c r="S418" s="22"/>
      <c r="V418" s="47"/>
    </row>
    <row r="419" spans="6:22" x14ac:dyDescent="0.35">
      <c r="F419" t="s">
        <v>5119</v>
      </c>
      <c r="I419">
        <v>1</v>
      </c>
      <c r="J419" s="29"/>
      <c r="K419" s="30"/>
      <c r="L419" s="29"/>
      <c r="O419" s="49"/>
      <c r="Q419" s="22"/>
      <c r="S419" s="22"/>
      <c r="V419" s="47"/>
    </row>
    <row r="420" spans="6:22" x14ac:dyDescent="0.35">
      <c r="F420" t="s">
        <v>5124</v>
      </c>
      <c r="I420">
        <v>0</v>
      </c>
      <c r="J420" s="29"/>
      <c r="K420" s="30"/>
      <c r="L420" s="29"/>
      <c r="O420" s="49"/>
      <c r="Q420" s="22"/>
      <c r="S420" s="22"/>
      <c r="V420" s="47"/>
    </row>
    <row r="421" spans="6:22" x14ac:dyDescent="0.35">
      <c r="F421" t="s">
        <v>5129</v>
      </c>
      <c r="I421">
        <v>0</v>
      </c>
      <c r="J421" s="29"/>
      <c r="K421" s="30"/>
      <c r="L421" s="29"/>
      <c r="M421">
        <v>1</v>
      </c>
      <c r="N421">
        <v>3</v>
      </c>
      <c r="O421" s="49"/>
      <c r="P421">
        <v>4</v>
      </c>
      <c r="Q421" s="22"/>
      <c r="S421" s="22"/>
      <c r="V421" s="47"/>
    </row>
    <row r="422" spans="6:22" x14ac:dyDescent="0.35">
      <c r="F422" t="s">
        <v>5134</v>
      </c>
      <c r="I422">
        <v>1</v>
      </c>
      <c r="J422" s="29"/>
      <c r="K422" s="30"/>
      <c r="L422" s="29"/>
      <c r="O422" s="49"/>
      <c r="Q422" s="22"/>
      <c r="S422" s="22"/>
      <c r="V422" s="47"/>
    </row>
    <row r="423" spans="6:22" x14ac:dyDescent="0.35">
      <c r="F423" t="s">
        <v>5139</v>
      </c>
      <c r="I423">
        <v>0</v>
      </c>
      <c r="J423" s="29"/>
      <c r="K423" s="30"/>
      <c r="L423" s="29"/>
      <c r="O423" s="49"/>
      <c r="Q423" s="22"/>
      <c r="S423" s="22"/>
      <c r="V423" s="47"/>
    </row>
    <row r="424" spans="6:22" x14ac:dyDescent="0.35">
      <c r="F424" t="s">
        <v>5144</v>
      </c>
      <c r="I424">
        <v>0</v>
      </c>
      <c r="J424" s="29"/>
      <c r="K424" s="30"/>
      <c r="L424" s="29"/>
      <c r="O424" s="49"/>
      <c r="Q424" s="22"/>
      <c r="S424" s="22"/>
      <c r="V424" s="47"/>
    </row>
    <row r="425" spans="6:22" x14ac:dyDescent="0.35">
      <c r="F425" t="s">
        <v>5149</v>
      </c>
      <c r="I425">
        <v>0</v>
      </c>
      <c r="J425" s="29"/>
      <c r="K425" s="30"/>
      <c r="L425" s="29"/>
      <c r="O425" s="49"/>
      <c r="Q425" s="22"/>
      <c r="S425" s="22"/>
      <c r="V425" s="47"/>
    </row>
    <row r="426" spans="6:22" x14ac:dyDescent="0.35">
      <c r="F426" t="s">
        <v>5154</v>
      </c>
      <c r="I426">
        <v>0</v>
      </c>
      <c r="J426" s="29"/>
      <c r="K426" s="30"/>
      <c r="L426" s="29"/>
      <c r="O426" s="49"/>
      <c r="Q426" s="22"/>
      <c r="S426" s="22"/>
      <c r="V426" s="47"/>
    </row>
    <row r="427" spans="6:22" x14ac:dyDescent="0.35">
      <c r="F427" t="s">
        <v>5159</v>
      </c>
      <c r="I427">
        <v>0</v>
      </c>
      <c r="J427" s="29"/>
      <c r="K427" s="30"/>
      <c r="L427" s="29"/>
      <c r="O427" s="49"/>
      <c r="Q427" s="22"/>
      <c r="S427" s="22"/>
      <c r="V427" s="47"/>
    </row>
    <row r="428" spans="6:22" x14ac:dyDescent="0.35">
      <c r="F428" t="s">
        <v>5164</v>
      </c>
      <c r="I428">
        <v>0</v>
      </c>
      <c r="J428" s="29"/>
      <c r="K428" s="30"/>
      <c r="L428" s="29"/>
      <c r="O428" s="49"/>
      <c r="Q428" s="22"/>
      <c r="S428" s="22"/>
      <c r="V428" s="47"/>
    </row>
    <row r="429" spans="6:22" x14ac:dyDescent="0.35">
      <c r="F429" t="s">
        <v>5169</v>
      </c>
      <c r="I429">
        <v>0</v>
      </c>
      <c r="J429" s="29"/>
      <c r="K429" s="30"/>
      <c r="L429" s="29"/>
      <c r="M429">
        <v>1</v>
      </c>
      <c r="N429">
        <v>4</v>
      </c>
      <c r="O429" s="49"/>
      <c r="P429">
        <v>2</v>
      </c>
      <c r="Q429" s="22"/>
      <c r="S429" s="22"/>
      <c r="V429" s="47"/>
    </row>
    <row r="430" spans="6:22" x14ac:dyDescent="0.35">
      <c r="F430" t="s">
        <v>5174</v>
      </c>
      <c r="I430">
        <v>1</v>
      </c>
      <c r="J430" s="29"/>
      <c r="K430" s="30"/>
      <c r="L430" s="29"/>
      <c r="O430" s="49"/>
      <c r="Q430" s="22"/>
      <c r="S430" s="22"/>
      <c r="V430" s="47"/>
    </row>
    <row r="431" spans="6:22" x14ac:dyDescent="0.35">
      <c r="F431" t="s">
        <v>5179</v>
      </c>
      <c r="I431">
        <v>0</v>
      </c>
      <c r="J431" s="29"/>
      <c r="K431" s="30"/>
      <c r="L431" s="29"/>
      <c r="O431" s="49"/>
      <c r="Q431" s="22"/>
      <c r="S431" s="22"/>
      <c r="V431" s="47"/>
    </row>
    <row r="432" spans="6:22" x14ac:dyDescent="0.35">
      <c r="F432" t="s">
        <v>5184</v>
      </c>
      <c r="I432">
        <v>0</v>
      </c>
      <c r="J432" s="29"/>
      <c r="K432" s="30"/>
      <c r="L432" s="29"/>
      <c r="O432" s="49"/>
      <c r="Q432" s="22"/>
      <c r="S432" s="22"/>
      <c r="V432" s="47"/>
    </row>
    <row r="433" spans="6:22" x14ac:dyDescent="0.35">
      <c r="F433" t="s">
        <v>5189</v>
      </c>
      <c r="I433">
        <v>0</v>
      </c>
      <c r="J433" s="29"/>
      <c r="K433" s="30"/>
      <c r="L433" s="29"/>
      <c r="M433">
        <v>4</v>
      </c>
      <c r="N433">
        <v>4</v>
      </c>
      <c r="O433" s="49"/>
      <c r="P433">
        <v>4</v>
      </c>
      <c r="Q433" s="22"/>
      <c r="S433" s="22"/>
      <c r="V433" s="47"/>
    </row>
    <row r="434" spans="6:22" x14ac:dyDescent="0.35">
      <c r="F434" t="s">
        <v>5194</v>
      </c>
      <c r="I434">
        <v>1</v>
      </c>
      <c r="J434" s="29"/>
      <c r="K434" s="30"/>
      <c r="L434" s="29"/>
      <c r="O434" s="49"/>
      <c r="Q434" s="22"/>
      <c r="S434" s="22"/>
      <c r="V434" s="47"/>
    </row>
    <row r="435" spans="6:22" x14ac:dyDescent="0.35">
      <c r="F435" t="s">
        <v>5199</v>
      </c>
      <c r="I435">
        <v>0</v>
      </c>
      <c r="J435" s="29"/>
      <c r="K435" s="30"/>
      <c r="L435" s="29"/>
      <c r="M435">
        <v>3</v>
      </c>
      <c r="N435">
        <v>4</v>
      </c>
      <c r="O435" s="49"/>
      <c r="P435">
        <v>3</v>
      </c>
      <c r="Q435" s="22"/>
      <c r="S435" s="22"/>
      <c r="V435" s="47"/>
    </row>
    <row r="436" spans="6:22" x14ac:dyDescent="0.35">
      <c r="F436" t="s">
        <v>5204</v>
      </c>
      <c r="I436">
        <v>1</v>
      </c>
      <c r="J436" s="29"/>
      <c r="K436" s="30"/>
      <c r="L436" s="29"/>
      <c r="O436" s="49"/>
      <c r="Q436" s="22"/>
      <c r="S436" s="22"/>
      <c r="V436" s="47"/>
    </row>
    <row r="437" spans="6:22" x14ac:dyDescent="0.35">
      <c r="F437" t="s">
        <v>5209</v>
      </c>
      <c r="I437">
        <v>0</v>
      </c>
      <c r="J437" s="29"/>
      <c r="K437" s="30"/>
      <c r="L437" s="29"/>
      <c r="O437" s="49"/>
      <c r="Q437" s="22"/>
      <c r="S437" s="22"/>
      <c r="V437" s="47"/>
    </row>
    <row r="438" spans="6:22" x14ac:dyDescent="0.35">
      <c r="F438" t="s">
        <v>5214</v>
      </c>
      <c r="I438">
        <v>0</v>
      </c>
      <c r="J438" s="29"/>
      <c r="K438" s="30"/>
      <c r="L438" s="29"/>
      <c r="M438">
        <v>4</v>
      </c>
      <c r="N438">
        <v>4</v>
      </c>
      <c r="O438" s="49"/>
      <c r="P438">
        <v>4</v>
      </c>
      <c r="Q438" s="22"/>
      <c r="S438" s="22"/>
      <c r="V438" s="47"/>
    </row>
    <row r="439" spans="6:22" x14ac:dyDescent="0.35">
      <c r="F439" t="s">
        <v>5219</v>
      </c>
      <c r="I439">
        <v>1</v>
      </c>
      <c r="J439" s="29"/>
      <c r="K439" s="30"/>
      <c r="L439" s="29"/>
      <c r="M439">
        <v>4</v>
      </c>
      <c r="N439">
        <v>4</v>
      </c>
      <c r="O439" s="49"/>
      <c r="P439">
        <v>4</v>
      </c>
      <c r="Q439" s="22"/>
      <c r="S439" s="22"/>
      <c r="V439" s="47"/>
    </row>
    <row r="440" spans="6:22" x14ac:dyDescent="0.35">
      <c r="F440" t="s">
        <v>5224</v>
      </c>
      <c r="I440">
        <v>0</v>
      </c>
      <c r="J440" s="29"/>
      <c r="K440" s="30"/>
      <c r="L440" s="29"/>
      <c r="M440">
        <v>3</v>
      </c>
      <c r="N440">
        <v>4</v>
      </c>
      <c r="O440" s="49"/>
      <c r="P440">
        <v>4</v>
      </c>
      <c r="Q440" s="22"/>
      <c r="S440" s="22"/>
      <c r="V440" s="47"/>
    </row>
    <row r="441" spans="6:22" x14ac:dyDescent="0.35">
      <c r="F441" t="s">
        <v>5229</v>
      </c>
      <c r="I441">
        <v>1</v>
      </c>
      <c r="J441" s="29"/>
      <c r="K441" s="30"/>
      <c r="L441" s="29"/>
      <c r="O441" s="49"/>
      <c r="Q441" s="22"/>
      <c r="S441" s="22"/>
      <c r="V441" s="47"/>
    </row>
    <row r="442" spans="6:22" x14ac:dyDescent="0.35">
      <c r="F442" t="s">
        <v>5234</v>
      </c>
      <c r="I442">
        <v>0</v>
      </c>
      <c r="J442" s="29"/>
      <c r="K442" s="30"/>
      <c r="L442" s="29"/>
      <c r="O442" s="49"/>
      <c r="Q442" s="22"/>
      <c r="S442" s="22"/>
      <c r="V442" s="47"/>
    </row>
    <row r="443" spans="6:22" x14ac:dyDescent="0.35">
      <c r="F443" t="s">
        <v>5239</v>
      </c>
      <c r="I443">
        <v>0</v>
      </c>
      <c r="J443" s="29"/>
      <c r="K443" s="30"/>
      <c r="L443" s="29"/>
      <c r="O443" s="49"/>
      <c r="Q443" s="22"/>
      <c r="S443" s="22"/>
      <c r="V443" s="47"/>
    </row>
    <row r="444" spans="6:22" x14ac:dyDescent="0.35">
      <c r="F444" t="s">
        <v>5244</v>
      </c>
      <c r="I444">
        <v>0</v>
      </c>
      <c r="J444" s="29"/>
      <c r="K444" s="30"/>
      <c r="L444" s="29"/>
      <c r="O444" s="49"/>
      <c r="Q444" s="22"/>
      <c r="S444" s="22"/>
      <c r="V444" s="47"/>
    </row>
    <row r="445" spans="6:22" x14ac:dyDescent="0.35">
      <c r="F445" t="s">
        <v>5249</v>
      </c>
      <c r="I445">
        <v>0</v>
      </c>
      <c r="J445" s="29"/>
      <c r="K445" s="30"/>
      <c r="L445" s="29"/>
      <c r="M445">
        <v>4</v>
      </c>
      <c r="N445">
        <v>4</v>
      </c>
      <c r="O445" s="49"/>
      <c r="P445">
        <v>4</v>
      </c>
      <c r="Q445" s="22"/>
      <c r="S445" s="22"/>
      <c r="V445" s="47"/>
    </row>
    <row r="446" spans="6:22" x14ac:dyDescent="0.35">
      <c r="F446" t="s">
        <v>5254</v>
      </c>
      <c r="I446">
        <v>1</v>
      </c>
      <c r="J446" s="29"/>
      <c r="K446" s="30"/>
      <c r="L446" s="29"/>
      <c r="M446">
        <v>4</v>
      </c>
      <c r="N446">
        <v>4</v>
      </c>
      <c r="O446" s="49"/>
      <c r="P446">
        <v>4</v>
      </c>
      <c r="Q446" s="22"/>
      <c r="S446" s="22"/>
      <c r="V446" s="47"/>
    </row>
    <row r="447" spans="6:22" x14ac:dyDescent="0.35">
      <c r="F447" t="s">
        <v>5259</v>
      </c>
      <c r="I447">
        <v>1</v>
      </c>
      <c r="J447" s="29"/>
      <c r="K447" s="30"/>
      <c r="L447" s="29"/>
      <c r="M447">
        <v>4</v>
      </c>
      <c r="N447">
        <v>4</v>
      </c>
      <c r="O447" s="49"/>
      <c r="P447">
        <v>4</v>
      </c>
      <c r="Q447" s="22"/>
      <c r="S447" s="22"/>
      <c r="V447" s="47"/>
    </row>
    <row r="448" spans="6:22" x14ac:dyDescent="0.35">
      <c r="F448" t="s">
        <v>5264</v>
      </c>
      <c r="I448">
        <v>1</v>
      </c>
      <c r="J448" s="29"/>
      <c r="K448" s="30"/>
      <c r="L448" s="29"/>
      <c r="M448">
        <v>4</v>
      </c>
      <c r="N448">
        <v>4</v>
      </c>
      <c r="O448" s="49"/>
      <c r="P448">
        <v>4</v>
      </c>
      <c r="Q448" s="22"/>
      <c r="S448" s="22"/>
      <c r="V448" s="47"/>
    </row>
    <row r="449" spans="6:22" x14ac:dyDescent="0.35">
      <c r="F449" t="s">
        <v>5269</v>
      </c>
      <c r="I449">
        <v>1</v>
      </c>
      <c r="J449" s="29"/>
      <c r="K449" s="30"/>
      <c r="L449" s="29"/>
      <c r="M449">
        <v>4</v>
      </c>
      <c r="N449">
        <v>4</v>
      </c>
      <c r="O449" s="49"/>
      <c r="P449">
        <v>4</v>
      </c>
      <c r="Q449" s="22"/>
      <c r="S449" s="22"/>
      <c r="V449" s="47"/>
    </row>
    <row r="450" spans="6:22" x14ac:dyDescent="0.35">
      <c r="F450" t="s">
        <v>5274</v>
      </c>
      <c r="I450">
        <v>1</v>
      </c>
      <c r="J450" s="29"/>
      <c r="K450" s="30"/>
      <c r="L450" s="29"/>
      <c r="M450">
        <v>3</v>
      </c>
      <c r="N450">
        <v>4</v>
      </c>
      <c r="O450" s="49"/>
      <c r="P450">
        <v>4</v>
      </c>
      <c r="Q450" s="22"/>
      <c r="S450" s="22"/>
      <c r="V450" s="47"/>
    </row>
    <row r="451" spans="6:22" x14ac:dyDescent="0.35">
      <c r="F451" t="s">
        <v>5279</v>
      </c>
      <c r="I451">
        <v>1</v>
      </c>
      <c r="J451" s="29"/>
      <c r="K451" s="30"/>
      <c r="L451" s="29"/>
      <c r="M451">
        <v>1</v>
      </c>
      <c r="N451">
        <v>4</v>
      </c>
      <c r="O451" s="49"/>
      <c r="P451">
        <v>4</v>
      </c>
      <c r="Q451" s="22"/>
      <c r="S451" s="22"/>
      <c r="V451" s="47"/>
    </row>
    <row r="452" spans="6:22" x14ac:dyDescent="0.35">
      <c r="F452" t="s">
        <v>5284</v>
      </c>
      <c r="I452">
        <v>1</v>
      </c>
      <c r="J452" s="29"/>
      <c r="K452" s="30"/>
      <c r="L452" s="29"/>
      <c r="O452" s="49"/>
      <c r="Q452" s="22"/>
      <c r="S452" s="22"/>
      <c r="V452" s="47"/>
    </row>
    <row r="453" spans="6:22" x14ac:dyDescent="0.35">
      <c r="F453" t="s">
        <v>5289</v>
      </c>
      <c r="I453">
        <v>0</v>
      </c>
      <c r="J453" s="29"/>
      <c r="K453" s="30"/>
      <c r="L453" s="29"/>
      <c r="M453">
        <v>3</v>
      </c>
      <c r="N453">
        <v>4</v>
      </c>
      <c r="O453" s="49"/>
      <c r="P453">
        <v>3</v>
      </c>
      <c r="Q453" s="22"/>
      <c r="S453" s="22"/>
      <c r="V453" s="47"/>
    </row>
    <row r="454" spans="6:22" x14ac:dyDescent="0.35">
      <c r="F454" t="s">
        <v>5294</v>
      </c>
      <c r="I454">
        <v>1</v>
      </c>
      <c r="J454" s="29"/>
      <c r="K454" s="30"/>
      <c r="L454" s="29"/>
      <c r="M454">
        <v>3</v>
      </c>
      <c r="N454">
        <v>4</v>
      </c>
      <c r="O454" s="49"/>
      <c r="P454">
        <v>3</v>
      </c>
      <c r="Q454" s="22"/>
      <c r="S454" s="22"/>
      <c r="V454" s="47"/>
    </row>
    <row r="455" spans="6:22" x14ac:dyDescent="0.35">
      <c r="F455" t="s">
        <v>5299</v>
      </c>
      <c r="I455">
        <v>1</v>
      </c>
      <c r="J455" s="29"/>
      <c r="K455" s="30"/>
      <c r="L455" s="29"/>
      <c r="M455">
        <v>3</v>
      </c>
      <c r="N455">
        <v>4</v>
      </c>
      <c r="O455" s="49"/>
      <c r="P455">
        <v>3</v>
      </c>
      <c r="Q455" s="22"/>
      <c r="S455" s="22"/>
      <c r="V455" s="47"/>
    </row>
    <row r="456" spans="6:22" x14ac:dyDescent="0.35">
      <c r="F456" t="s">
        <v>5304</v>
      </c>
      <c r="I456">
        <v>1</v>
      </c>
      <c r="J456" s="29"/>
      <c r="K456" s="30"/>
      <c r="L456" s="29"/>
      <c r="M456">
        <v>3</v>
      </c>
      <c r="N456">
        <v>4</v>
      </c>
      <c r="O456" s="49"/>
      <c r="P456">
        <v>4</v>
      </c>
      <c r="Q456" s="22"/>
      <c r="S456" s="22"/>
      <c r="V456" s="47"/>
    </row>
    <row r="457" spans="6:22" x14ac:dyDescent="0.35">
      <c r="F457" t="s">
        <v>5309</v>
      </c>
      <c r="I457">
        <v>1</v>
      </c>
      <c r="J457" s="29"/>
      <c r="K457" s="30"/>
      <c r="L457" s="29"/>
      <c r="M457">
        <v>3</v>
      </c>
      <c r="N457">
        <v>4</v>
      </c>
      <c r="O457" s="49"/>
      <c r="P457">
        <v>4</v>
      </c>
      <c r="Q457" s="22"/>
      <c r="S457" s="22"/>
      <c r="V457" s="47"/>
    </row>
    <row r="458" spans="6:22" x14ac:dyDescent="0.35">
      <c r="F458" t="s">
        <v>5314</v>
      </c>
      <c r="I458">
        <v>1</v>
      </c>
      <c r="J458" s="29"/>
      <c r="K458" s="30"/>
      <c r="L458" s="29"/>
      <c r="M458">
        <v>3</v>
      </c>
      <c r="N458">
        <v>4</v>
      </c>
      <c r="O458" s="49"/>
      <c r="P458">
        <v>4</v>
      </c>
      <c r="Q458" s="22"/>
      <c r="S458" s="22"/>
      <c r="V458" s="47"/>
    </row>
    <row r="459" spans="6:22" x14ac:dyDescent="0.35">
      <c r="F459" t="s">
        <v>5319</v>
      </c>
      <c r="I459">
        <v>1</v>
      </c>
      <c r="J459" s="29"/>
      <c r="K459" s="30"/>
      <c r="L459" s="29"/>
      <c r="M459">
        <v>3</v>
      </c>
      <c r="N459">
        <v>4</v>
      </c>
      <c r="O459" s="49"/>
      <c r="P459">
        <v>3</v>
      </c>
      <c r="Q459" s="22"/>
      <c r="S459" s="22"/>
      <c r="V459" s="47"/>
    </row>
    <row r="460" spans="6:22" x14ac:dyDescent="0.35">
      <c r="F460" t="s">
        <v>5324</v>
      </c>
      <c r="I460">
        <v>1</v>
      </c>
      <c r="J460" s="29"/>
      <c r="K460" s="30"/>
      <c r="L460" s="29"/>
      <c r="M460">
        <v>2</v>
      </c>
      <c r="N460">
        <v>4</v>
      </c>
      <c r="O460" s="49"/>
      <c r="P460">
        <v>4</v>
      </c>
      <c r="Q460" s="22"/>
      <c r="S460" s="22"/>
      <c r="V460" s="47"/>
    </row>
    <row r="461" spans="6:22" x14ac:dyDescent="0.35">
      <c r="F461" t="s">
        <v>5329</v>
      </c>
      <c r="I461">
        <v>1</v>
      </c>
      <c r="J461" s="29"/>
      <c r="K461" s="30"/>
      <c r="L461" s="29"/>
      <c r="M461">
        <v>3</v>
      </c>
      <c r="N461">
        <v>4</v>
      </c>
      <c r="O461" s="49"/>
      <c r="P461">
        <v>4</v>
      </c>
      <c r="Q461" s="22"/>
      <c r="S461" s="22"/>
      <c r="V461" s="47"/>
    </row>
    <row r="462" spans="6:22" x14ac:dyDescent="0.35">
      <c r="F462" t="s">
        <v>5334</v>
      </c>
      <c r="I462">
        <v>1</v>
      </c>
      <c r="J462" s="29"/>
      <c r="K462" s="30"/>
      <c r="L462" s="29"/>
      <c r="M462">
        <v>3</v>
      </c>
      <c r="N462">
        <v>4</v>
      </c>
      <c r="O462" s="49"/>
      <c r="P462">
        <v>4</v>
      </c>
      <c r="Q462" s="22"/>
      <c r="S462" s="22"/>
      <c r="V462" s="47"/>
    </row>
    <row r="463" spans="6:22" x14ac:dyDescent="0.35">
      <c r="F463" t="s">
        <v>5339</v>
      </c>
      <c r="I463">
        <v>1</v>
      </c>
      <c r="J463" s="29"/>
      <c r="K463" s="30"/>
      <c r="L463" s="29"/>
      <c r="M463">
        <v>4</v>
      </c>
      <c r="N463">
        <v>4</v>
      </c>
      <c r="O463" s="49"/>
      <c r="P463">
        <v>4</v>
      </c>
      <c r="Q463" s="22"/>
      <c r="S463" s="22"/>
      <c r="V463" s="47"/>
    </row>
    <row r="464" spans="6:22" x14ac:dyDescent="0.35">
      <c r="F464" t="s">
        <v>5344</v>
      </c>
      <c r="I464">
        <v>0</v>
      </c>
      <c r="J464" s="29"/>
      <c r="K464" s="30"/>
      <c r="L464" s="29"/>
      <c r="M464">
        <v>3</v>
      </c>
      <c r="N464">
        <v>4</v>
      </c>
      <c r="O464" s="49"/>
      <c r="P464">
        <v>4</v>
      </c>
      <c r="Q464" s="22"/>
      <c r="S464" s="22"/>
      <c r="V464" s="47"/>
    </row>
    <row r="465" spans="6:22" x14ac:dyDescent="0.35">
      <c r="F465" t="s">
        <v>5349</v>
      </c>
      <c r="I465">
        <v>1</v>
      </c>
      <c r="J465" s="29"/>
      <c r="K465" s="30"/>
      <c r="L465" s="29"/>
      <c r="M465">
        <v>3</v>
      </c>
      <c r="N465">
        <v>4</v>
      </c>
      <c r="O465" s="49"/>
      <c r="P465">
        <v>3</v>
      </c>
      <c r="Q465" s="22"/>
      <c r="S465" s="22"/>
      <c r="V465" s="47"/>
    </row>
    <row r="466" spans="6:22" x14ac:dyDescent="0.35">
      <c r="F466" t="s">
        <v>5354</v>
      </c>
      <c r="I466">
        <v>1</v>
      </c>
      <c r="J466" s="29"/>
      <c r="K466" s="30"/>
      <c r="L466" s="29"/>
      <c r="M466">
        <v>3</v>
      </c>
      <c r="N466">
        <v>4</v>
      </c>
      <c r="O466" s="49"/>
      <c r="P466">
        <v>4</v>
      </c>
      <c r="Q466" s="22"/>
      <c r="S466" s="22"/>
      <c r="V466" s="47"/>
    </row>
    <row r="467" spans="6:22" x14ac:dyDescent="0.35">
      <c r="F467" t="s">
        <v>5359</v>
      </c>
      <c r="I467">
        <v>1</v>
      </c>
      <c r="J467" s="29"/>
      <c r="K467" s="30"/>
      <c r="L467" s="29"/>
      <c r="M467">
        <v>2</v>
      </c>
      <c r="N467">
        <v>4</v>
      </c>
      <c r="O467" s="49"/>
      <c r="P467">
        <v>3</v>
      </c>
      <c r="Q467" s="22"/>
      <c r="S467" s="22"/>
      <c r="V467" s="47"/>
    </row>
    <row r="468" spans="6:22" x14ac:dyDescent="0.35">
      <c r="F468" t="s">
        <v>5364</v>
      </c>
      <c r="I468">
        <v>1</v>
      </c>
      <c r="J468" s="29"/>
      <c r="K468" s="30"/>
      <c r="L468" s="29"/>
      <c r="M468">
        <v>2</v>
      </c>
      <c r="N468">
        <v>4</v>
      </c>
      <c r="O468" s="49"/>
      <c r="P468">
        <v>3</v>
      </c>
      <c r="Q468" s="22"/>
      <c r="S468" s="22"/>
      <c r="V468" s="47"/>
    </row>
    <row r="469" spans="6:22" x14ac:dyDescent="0.35">
      <c r="F469" t="s">
        <v>5369</v>
      </c>
      <c r="I469">
        <v>1</v>
      </c>
      <c r="J469" s="29"/>
      <c r="K469" s="30"/>
      <c r="L469" s="29"/>
      <c r="M469">
        <v>3</v>
      </c>
      <c r="N469">
        <v>4</v>
      </c>
      <c r="O469" s="49"/>
      <c r="P469">
        <v>4</v>
      </c>
      <c r="Q469" s="22"/>
      <c r="S469" s="22"/>
      <c r="V469" s="47"/>
    </row>
    <row r="470" spans="6:22" x14ac:dyDescent="0.35">
      <c r="F470" t="s">
        <v>5374</v>
      </c>
      <c r="I470">
        <v>1</v>
      </c>
      <c r="J470" s="29"/>
      <c r="K470" s="30"/>
      <c r="L470" s="29"/>
      <c r="M470">
        <v>3</v>
      </c>
      <c r="N470">
        <v>4</v>
      </c>
      <c r="O470" s="49"/>
      <c r="P470">
        <v>3</v>
      </c>
      <c r="Q470" s="22"/>
      <c r="S470" s="22"/>
      <c r="V470" s="47"/>
    </row>
    <row r="471" spans="6:22" x14ac:dyDescent="0.35">
      <c r="F471" t="s">
        <v>5379</v>
      </c>
      <c r="I471">
        <v>1</v>
      </c>
      <c r="J471" s="29"/>
      <c r="K471" s="30"/>
      <c r="L471" s="29"/>
      <c r="M471">
        <v>3</v>
      </c>
      <c r="N471">
        <v>4</v>
      </c>
      <c r="O471" s="49"/>
      <c r="P471">
        <v>3</v>
      </c>
      <c r="Q471" s="22"/>
      <c r="S471" s="22"/>
      <c r="V471" s="47"/>
    </row>
    <row r="472" spans="6:22" x14ac:dyDescent="0.35">
      <c r="F472" t="s">
        <v>5384</v>
      </c>
      <c r="I472">
        <v>1</v>
      </c>
      <c r="J472" s="29"/>
      <c r="K472" s="30"/>
      <c r="L472" s="29"/>
      <c r="M472">
        <v>3</v>
      </c>
      <c r="N472">
        <v>4</v>
      </c>
      <c r="O472" s="49"/>
      <c r="P472">
        <v>3</v>
      </c>
      <c r="Q472" s="22"/>
      <c r="S472" s="22"/>
      <c r="V472" s="47"/>
    </row>
    <row r="473" spans="6:22" x14ac:dyDescent="0.35">
      <c r="F473" t="s">
        <v>5389</v>
      </c>
      <c r="I473">
        <v>1</v>
      </c>
      <c r="J473" s="29"/>
      <c r="K473" s="30"/>
      <c r="L473" s="29"/>
      <c r="O473" s="49"/>
      <c r="Q473" s="22"/>
      <c r="S473" s="22"/>
      <c r="V473" s="47"/>
    </row>
    <row r="474" spans="6:22" x14ac:dyDescent="0.35">
      <c r="F474" t="s">
        <v>5394</v>
      </c>
      <c r="I474">
        <v>0</v>
      </c>
      <c r="J474" s="29"/>
      <c r="K474" s="30"/>
      <c r="L474" s="29"/>
      <c r="M474">
        <v>4</v>
      </c>
      <c r="N474">
        <v>4</v>
      </c>
      <c r="O474" s="49"/>
      <c r="P474">
        <v>4</v>
      </c>
      <c r="Q474" s="22"/>
      <c r="S474" s="22"/>
      <c r="V474" s="47"/>
    </row>
    <row r="475" spans="6:22" x14ac:dyDescent="0.35">
      <c r="F475" t="s">
        <v>5399</v>
      </c>
      <c r="I475">
        <v>1</v>
      </c>
      <c r="J475" s="29"/>
      <c r="K475" s="30"/>
      <c r="L475" s="29"/>
      <c r="M475">
        <v>2</v>
      </c>
      <c r="N475">
        <v>4</v>
      </c>
      <c r="O475" s="49"/>
      <c r="P475">
        <v>4</v>
      </c>
      <c r="Q475" s="22"/>
      <c r="S475" s="22"/>
      <c r="V475" s="47"/>
    </row>
    <row r="476" spans="6:22" x14ac:dyDescent="0.35">
      <c r="F476" t="s">
        <v>5404</v>
      </c>
      <c r="I476">
        <v>1</v>
      </c>
      <c r="J476" s="29"/>
      <c r="K476" s="30"/>
      <c r="L476" s="29"/>
      <c r="M476">
        <v>2</v>
      </c>
      <c r="N476">
        <v>4</v>
      </c>
      <c r="O476" s="49"/>
      <c r="P476">
        <v>4</v>
      </c>
      <c r="Q476" s="22"/>
      <c r="S476" s="22"/>
      <c r="V476" s="47"/>
    </row>
    <row r="477" spans="6:22" x14ac:dyDescent="0.35">
      <c r="F477" t="s">
        <v>5409</v>
      </c>
      <c r="I477">
        <v>1</v>
      </c>
      <c r="J477" s="29"/>
      <c r="K477" s="30"/>
      <c r="L477" s="29"/>
      <c r="O477" s="49"/>
      <c r="Q477" s="22"/>
      <c r="S477" s="22"/>
      <c r="V477" s="47"/>
    </row>
    <row r="478" spans="6:22" x14ac:dyDescent="0.35">
      <c r="F478" t="s">
        <v>5414</v>
      </c>
      <c r="I478">
        <v>0</v>
      </c>
      <c r="J478" s="29"/>
      <c r="K478" s="30"/>
      <c r="L478" s="29"/>
      <c r="O478" s="49"/>
      <c r="Q478" s="22"/>
      <c r="S478" s="22"/>
      <c r="V478" s="47"/>
    </row>
    <row r="479" spans="6:22" x14ac:dyDescent="0.35">
      <c r="F479" t="s">
        <v>5419</v>
      </c>
      <c r="I479">
        <v>0</v>
      </c>
      <c r="J479" s="29"/>
      <c r="K479" s="30"/>
      <c r="L479" s="29"/>
      <c r="O479" s="49"/>
      <c r="Q479" s="22"/>
      <c r="S479" s="22"/>
      <c r="V479" s="47"/>
    </row>
    <row r="480" spans="6:22" x14ac:dyDescent="0.35">
      <c r="F480" t="s">
        <v>5424</v>
      </c>
      <c r="I480">
        <v>0</v>
      </c>
      <c r="J480" s="29"/>
      <c r="K480" s="30"/>
      <c r="L480" s="29"/>
      <c r="M480">
        <v>1</v>
      </c>
      <c r="N480">
        <v>3</v>
      </c>
      <c r="O480" s="49"/>
      <c r="P480">
        <v>4</v>
      </c>
      <c r="Q480" s="22"/>
      <c r="S480" s="22"/>
      <c r="V480" s="47"/>
    </row>
    <row r="481" spans="6:22" x14ac:dyDescent="0.35">
      <c r="F481" t="s">
        <v>5429</v>
      </c>
      <c r="I481">
        <v>1</v>
      </c>
      <c r="J481" s="29"/>
      <c r="K481" s="30"/>
      <c r="L481" s="29"/>
      <c r="O481" s="49"/>
      <c r="Q481" s="22"/>
      <c r="S481" s="22"/>
      <c r="V481" s="47"/>
    </row>
    <row r="482" spans="6:22" x14ac:dyDescent="0.35">
      <c r="F482" t="s">
        <v>5434</v>
      </c>
      <c r="I482">
        <v>0</v>
      </c>
      <c r="J482" s="29"/>
      <c r="K482" s="30"/>
      <c r="L482" s="29"/>
      <c r="O482" s="49"/>
      <c r="Q482" s="22"/>
      <c r="S482" s="22"/>
      <c r="V482" s="47"/>
    </row>
    <row r="483" spans="6:22" x14ac:dyDescent="0.35">
      <c r="F483" t="s">
        <v>5439</v>
      </c>
      <c r="I483">
        <v>0</v>
      </c>
      <c r="J483" s="29"/>
      <c r="K483" s="30"/>
      <c r="L483" s="29"/>
      <c r="O483" s="49"/>
      <c r="Q483" s="22"/>
      <c r="S483" s="22"/>
      <c r="V483" s="47"/>
    </row>
    <row r="484" spans="6:22" x14ac:dyDescent="0.35">
      <c r="F484" t="s">
        <v>5444</v>
      </c>
      <c r="I484">
        <v>0</v>
      </c>
      <c r="J484" s="29"/>
      <c r="K484" s="30"/>
      <c r="L484" s="29"/>
      <c r="M484">
        <v>3</v>
      </c>
      <c r="N484">
        <v>3</v>
      </c>
      <c r="O484" s="49"/>
      <c r="P484">
        <v>4</v>
      </c>
      <c r="Q484" s="22"/>
      <c r="S484" s="22"/>
      <c r="V484" s="47"/>
    </row>
    <row r="485" spans="6:22" x14ac:dyDescent="0.35">
      <c r="F485" t="s">
        <v>5449</v>
      </c>
      <c r="I485">
        <v>1</v>
      </c>
      <c r="J485" s="29"/>
      <c r="K485" s="30"/>
      <c r="L485" s="29"/>
      <c r="M485">
        <v>2</v>
      </c>
      <c r="N485">
        <v>3</v>
      </c>
      <c r="O485" s="49"/>
      <c r="P485">
        <v>4</v>
      </c>
      <c r="Q485" s="22"/>
      <c r="S485" s="22"/>
      <c r="V485" s="47"/>
    </row>
    <row r="486" spans="6:22" x14ac:dyDescent="0.35">
      <c r="F486" t="s">
        <v>5454</v>
      </c>
      <c r="I486">
        <v>1</v>
      </c>
      <c r="J486" s="29"/>
      <c r="K486" s="30"/>
      <c r="L486" s="29"/>
      <c r="M486">
        <v>1</v>
      </c>
      <c r="N486">
        <v>4</v>
      </c>
      <c r="O486" s="49"/>
      <c r="P486">
        <v>4</v>
      </c>
      <c r="Q486" s="22"/>
      <c r="S486" s="22"/>
      <c r="V486" s="47"/>
    </row>
    <row r="487" spans="6:22" x14ac:dyDescent="0.35">
      <c r="F487" t="s">
        <v>5459</v>
      </c>
      <c r="I487">
        <v>1</v>
      </c>
      <c r="J487" s="29"/>
      <c r="K487" s="30"/>
      <c r="L487" s="29"/>
      <c r="M487">
        <v>1</v>
      </c>
      <c r="N487">
        <v>4</v>
      </c>
      <c r="O487" s="49"/>
      <c r="P487">
        <v>4</v>
      </c>
      <c r="Q487" s="22"/>
      <c r="S487" s="22"/>
      <c r="V487" s="47"/>
    </row>
    <row r="488" spans="6:22" x14ac:dyDescent="0.35">
      <c r="F488" t="s">
        <v>5464</v>
      </c>
      <c r="I488">
        <v>1</v>
      </c>
      <c r="J488" s="29"/>
      <c r="K488" s="30"/>
      <c r="L488" s="29"/>
      <c r="M488">
        <v>4</v>
      </c>
      <c r="N488">
        <v>4</v>
      </c>
      <c r="O488" s="49"/>
      <c r="P488">
        <v>4</v>
      </c>
      <c r="Q488" s="22"/>
      <c r="S488" s="22"/>
      <c r="V488" s="47"/>
    </row>
    <row r="489" spans="6:22" x14ac:dyDescent="0.35">
      <c r="F489" t="s">
        <v>5469</v>
      </c>
      <c r="I489">
        <v>1</v>
      </c>
      <c r="J489" s="29"/>
      <c r="K489" s="30"/>
      <c r="L489" s="29"/>
      <c r="M489">
        <v>2</v>
      </c>
      <c r="N489">
        <v>4</v>
      </c>
      <c r="O489" s="49"/>
      <c r="P489">
        <v>4</v>
      </c>
      <c r="Q489" s="22"/>
      <c r="S489" s="22"/>
      <c r="V489" s="47"/>
    </row>
    <row r="490" spans="6:22" x14ac:dyDescent="0.35">
      <c r="F490" t="s">
        <v>5474</v>
      </c>
      <c r="I490">
        <v>1</v>
      </c>
      <c r="J490" s="29"/>
      <c r="K490" s="30"/>
      <c r="L490" s="29"/>
      <c r="M490">
        <v>2</v>
      </c>
      <c r="N490">
        <v>4</v>
      </c>
      <c r="O490" s="49"/>
      <c r="P490">
        <v>4</v>
      </c>
      <c r="Q490" s="22"/>
      <c r="S490" s="22"/>
      <c r="V490" s="47"/>
    </row>
    <row r="491" spans="6:22" x14ac:dyDescent="0.35">
      <c r="F491" t="s">
        <v>5479</v>
      </c>
      <c r="I491">
        <v>1</v>
      </c>
      <c r="J491" s="29"/>
      <c r="K491" s="30"/>
      <c r="L491" s="29"/>
      <c r="O491" s="49"/>
      <c r="Q491" s="22"/>
      <c r="S491" s="22"/>
      <c r="V491" s="47"/>
    </row>
    <row r="492" spans="6:22" x14ac:dyDescent="0.35">
      <c r="F492" t="s">
        <v>5484</v>
      </c>
      <c r="I492">
        <v>0</v>
      </c>
      <c r="J492" s="29"/>
      <c r="K492" s="30"/>
      <c r="L492" s="29"/>
      <c r="O492" s="49"/>
      <c r="Q492" s="22"/>
      <c r="S492" s="22"/>
      <c r="V492" s="47"/>
    </row>
    <row r="493" spans="6:22" x14ac:dyDescent="0.35">
      <c r="F493" t="s">
        <v>5489</v>
      </c>
      <c r="I493">
        <v>0</v>
      </c>
      <c r="J493" s="29"/>
      <c r="K493" s="30"/>
      <c r="L493" s="29"/>
      <c r="O493" s="49"/>
      <c r="Q493" s="22"/>
      <c r="S493" s="22"/>
      <c r="V493" s="47"/>
    </row>
    <row r="494" spans="6:22" x14ac:dyDescent="0.35">
      <c r="F494" t="s">
        <v>5494</v>
      </c>
      <c r="I494">
        <v>0</v>
      </c>
      <c r="J494" s="29"/>
      <c r="K494" s="30"/>
      <c r="L494" s="29"/>
      <c r="O494" s="49"/>
      <c r="Q494" s="22"/>
      <c r="S494" s="22"/>
      <c r="V494" s="47"/>
    </row>
    <row r="495" spans="6:22" x14ac:dyDescent="0.35">
      <c r="F495" t="s">
        <v>5499</v>
      </c>
      <c r="I495">
        <v>0</v>
      </c>
      <c r="J495" s="29"/>
      <c r="K495" s="30"/>
      <c r="L495" s="29"/>
      <c r="O495" s="49"/>
      <c r="Q495" s="22"/>
      <c r="S495" s="22"/>
      <c r="V495" s="47"/>
    </row>
    <row r="496" spans="6:22" x14ac:dyDescent="0.35">
      <c r="F496" t="s">
        <v>5504</v>
      </c>
      <c r="I496">
        <v>0</v>
      </c>
      <c r="J496" s="29"/>
      <c r="K496" s="30"/>
      <c r="L496" s="29"/>
      <c r="M496">
        <v>1</v>
      </c>
      <c r="N496">
        <v>4</v>
      </c>
      <c r="O496" s="49"/>
      <c r="P496">
        <v>4</v>
      </c>
      <c r="Q496" s="22"/>
      <c r="S496" s="22"/>
      <c r="V496" s="47"/>
    </row>
    <row r="497" spans="6:22" x14ac:dyDescent="0.35">
      <c r="F497" t="s">
        <v>5509</v>
      </c>
      <c r="I497">
        <v>1</v>
      </c>
      <c r="J497" s="29"/>
      <c r="K497" s="30"/>
      <c r="L497" s="29"/>
      <c r="O497" s="49"/>
      <c r="Q497" s="22"/>
      <c r="S497" s="22"/>
      <c r="V497" s="47"/>
    </row>
    <row r="498" spans="6:22" x14ac:dyDescent="0.35">
      <c r="F498" t="s">
        <v>5514</v>
      </c>
      <c r="I498">
        <v>0</v>
      </c>
      <c r="J498" s="29"/>
      <c r="K498" s="30"/>
      <c r="L498" s="29"/>
      <c r="O498" s="49"/>
      <c r="Q498" s="22"/>
      <c r="S498" s="22"/>
      <c r="V498" s="47"/>
    </row>
    <row r="499" spans="6:22" x14ac:dyDescent="0.35">
      <c r="F499" t="s">
        <v>5519</v>
      </c>
      <c r="I499">
        <v>0</v>
      </c>
      <c r="J499" s="29"/>
      <c r="K499" s="30"/>
      <c r="L499" s="29"/>
      <c r="O499" s="49"/>
      <c r="Q499" s="22"/>
      <c r="S499" s="22"/>
      <c r="V499" s="47"/>
    </row>
    <row r="500" spans="6:22" x14ac:dyDescent="0.35">
      <c r="F500" t="s">
        <v>5524</v>
      </c>
      <c r="I500">
        <v>0</v>
      </c>
      <c r="J500" s="29"/>
      <c r="K500" s="30"/>
      <c r="L500" s="29"/>
      <c r="O500" s="49"/>
      <c r="Q500" s="22"/>
      <c r="S500" s="22"/>
      <c r="V500" s="47"/>
    </row>
    <row r="501" spans="6:22" x14ac:dyDescent="0.35">
      <c r="F501" t="s">
        <v>5529</v>
      </c>
      <c r="I501">
        <v>0</v>
      </c>
      <c r="J501" s="29"/>
      <c r="K501" s="30"/>
      <c r="L501" s="29"/>
      <c r="O501" s="49"/>
      <c r="Q501" s="22"/>
      <c r="S501" s="22"/>
      <c r="V501" s="47"/>
    </row>
    <row r="502" spans="6:22" x14ac:dyDescent="0.35">
      <c r="F502" t="s">
        <v>5534</v>
      </c>
      <c r="I502">
        <v>0</v>
      </c>
      <c r="J502" s="29"/>
      <c r="K502" s="30"/>
      <c r="L502" s="29"/>
      <c r="M502">
        <v>2</v>
      </c>
      <c r="N502">
        <v>4</v>
      </c>
      <c r="O502" s="49"/>
      <c r="P502">
        <v>4</v>
      </c>
      <c r="Q502" s="22"/>
      <c r="S502" s="22"/>
      <c r="V502" s="47"/>
    </row>
    <row r="503" spans="6:22" x14ac:dyDescent="0.35">
      <c r="F503" t="s">
        <v>5539</v>
      </c>
      <c r="I503">
        <v>1</v>
      </c>
      <c r="J503" s="29"/>
      <c r="K503" s="30"/>
      <c r="L503" s="29"/>
      <c r="M503">
        <v>1</v>
      </c>
      <c r="N503">
        <v>4</v>
      </c>
      <c r="O503" s="49"/>
      <c r="P503">
        <v>4</v>
      </c>
      <c r="Q503" s="22"/>
      <c r="S503" s="22"/>
      <c r="V503" s="47"/>
    </row>
    <row r="504" spans="6:22" x14ac:dyDescent="0.35">
      <c r="F504" t="s">
        <v>5544</v>
      </c>
      <c r="I504">
        <v>1</v>
      </c>
      <c r="J504" s="29"/>
      <c r="K504" s="30"/>
      <c r="L504" s="29"/>
      <c r="O504" s="49"/>
      <c r="Q504" s="22"/>
      <c r="S504" s="22"/>
      <c r="V504" s="47"/>
    </row>
    <row r="505" spans="6:22" x14ac:dyDescent="0.35">
      <c r="F505" t="s">
        <v>5549</v>
      </c>
      <c r="I505">
        <v>0</v>
      </c>
      <c r="J505" s="29"/>
      <c r="K505" s="30"/>
      <c r="L505" s="29"/>
      <c r="O505" s="49"/>
      <c r="Q505" s="22"/>
      <c r="S505" s="22"/>
      <c r="V505" s="47"/>
    </row>
    <row r="506" spans="6:22" x14ac:dyDescent="0.35">
      <c r="F506" t="s">
        <v>5554</v>
      </c>
      <c r="I506">
        <v>0</v>
      </c>
      <c r="J506" s="29"/>
      <c r="K506" s="30"/>
      <c r="L506" s="29"/>
      <c r="O506" s="49"/>
      <c r="Q506" s="22"/>
      <c r="S506" s="22"/>
      <c r="V506" s="47"/>
    </row>
    <row r="507" spans="6:22" x14ac:dyDescent="0.35">
      <c r="F507" t="s">
        <v>5559</v>
      </c>
      <c r="I507">
        <v>0</v>
      </c>
      <c r="J507" s="29"/>
      <c r="K507" s="30"/>
      <c r="L507" s="29"/>
      <c r="M507">
        <v>1</v>
      </c>
      <c r="N507">
        <v>3</v>
      </c>
      <c r="O507" s="49"/>
      <c r="P507">
        <v>2</v>
      </c>
      <c r="Q507" s="22"/>
      <c r="S507" s="22"/>
      <c r="V507" s="47"/>
    </row>
    <row r="508" spans="6:22" x14ac:dyDescent="0.35">
      <c r="F508" t="s">
        <v>5564</v>
      </c>
      <c r="I508">
        <v>1</v>
      </c>
      <c r="J508" s="29"/>
      <c r="K508" s="30"/>
      <c r="L508" s="29"/>
      <c r="O508" s="49"/>
      <c r="Q508" s="22"/>
      <c r="S508" s="22"/>
      <c r="V508" s="47"/>
    </row>
    <row r="509" spans="6:22" x14ac:dyDescent="0.35">
      <c r="F509" t="s">
        <v>5569</v>
      </c>
      <c r="I509">
        <v>0</v>
      </c>
      <c r="J509" s="29"/>
      <c r="K509" s="30"/>
      <c r="L509" s="29"/>
      <c r="O509" s="49"/>
      <c r="Q509" s="22"/>
      <c r="S509" s="22"/>
      <c r="V509" s="47"/>
    </row>
    <row r="510" spans="6:22" x14ac:dyDescent="0.35">
      <c r="F510" t="s">
        <v>5574</v>
      </c>
      <c r="I510">
        <v>0</v>
      </c>
      <c r="J510" s="29"/>
      <c r="K510" s="30"/>
      <c r="L510" s="29"/>
      <c r="O510" s="49"/>
      <c r="Q510" s="22"/>
      <c r="S510" s="22"/>
      <c r="V510" s="47"/>
    </row>
    <row r="511" spans="6:22" x14ac:dyDescent="0.35">
      <c r="F511" t="s">
        <v>5579</v>
      </c>
      <c r="I511">
        <v>0</v>
      </c>
      <c r="J511" s="29"/>
      <c r="K511" s="30"/>
      <c r="L511" s="29"/>
      <c r="O511" s="49"/>
      <c r="Q511" s="22"/>
      <c r="S511" s="22"/>
      <c r="V511" s="47"/>
    </row>
    <row r="512" spans="6:22" x14ac:dyDescent="0.35">
      <c r="F512" t="s">
        <v>5584</v>
      </c>
      <c r="I512">
        <v>0</v>
      </c>
      <c r="J512" s="29"/>
      <c r="K512" s="30"/>
      <c r="L512" s="29"/>
      <c r="O512" s="49"/>
      <c r="Q512" s="22"/>
      <c r="S512" s="22"/>
      <c r="V512" s="47"/>
    </row>
    <row r="513" spans="6:22" x14ac:dyDescent="0.35">
      <c r="F513" t="s">
        <v>5589</v>
      </c>
      <c r="I513">
        <v>0</v>
      </c>
      <c r="J513" s="29"/>
      <c r="K513" s="30"/>
      <c r="L513" s="29"/>
      <c r="O513" s="49"/>
      <c r="Q513" s="22"/>
      <c r="S513" s="22"/>
      <c r="V513" s="47"/>
    </row>
    <row r="514" spans="6:22" x14ac:dyDescent="0.35">
      <c r="F514" t="s">
        <v>5594</v>
      </c>
      <c r="I514">
        <v>0</v>
      </c>
      <c r="J514" s="29"/>
      <c r="K514" s="30"/>
      <c r="L514" s="29"/>
      <c r="O514" s="49"/>
      <c r="Q514" s="22"/>
      <c r="S514" s="22"/>
      <c r="V514" s="47"/>
    </row>
    <row r="515" spans="6:22" x14ac:dyDescent="0.35">
      <c r="F515" t="s">
        <v>5599</v>
      </c>
      <c r="I515">
        <v>0</v>
      </c>
      <c r="J515" s="29"/>
      <c r="K515" s="30"/>
      <c r="L515" s="29"/>
      <c r="O515" s="49"/>
      <c r="Q515" s="22"/>
      <c r="S515" s="22"/>
      <c r="V515" s="47"/>
    </row>
    <row r="516" spans="6:22" x14ac:dyDescent="0.35">
      <c r="F516" t="s">
        <v>5604</v>
      </c>
      <c r="I516">
        <v>0</v>
      </c>
      <c r="J516" s="29"/>
      <c r="K516" s="30"/>
      <c r="L516" s="29"/>
      <c r="O516" s="49"/>
      <c r="Q516" s="22"/>
      <c r="S516" s="22"/>
      <c r="V516" s="47"/>
    </row>
    <row r="517" spans="6:22" x14ac:dyDescent="0.35">
      <c r="F517" t="s">
        <v>5609</v>
      </c>
      <c r="I517">
        <v>0</v>
      </c>
      <c r="J517" s="29"/>
      <c r="K517" s="30"/>
      <c r="L517" s="29"/>
      <c r="M517">
        <v>4</v>
      </c>
      <c r="N517">
        <v>4</v>
      </c>
      <c r="O517" s="49"/>
      <c r="P517">
        <v>4</v>
      </c>
      <c r="Q517" s="22"/>
      <c r="S517" s="22"/>
      <c r="V517" s="47"/>
    </row>
    <row r="518" spans="6:22" x14ac:dyDescent="0.35">
      <c r="F518" t="s">
        <v>5614</v>
      </c>
      <c r="I518">
        <v>0</v>
      </c>
      <c r="J518" s="29"/>
      <c r="K518" s="30"/>
      <c r="L518" s="29"/>
      <c r="M518">
        <v>4</v>
      </c>
      <c r="N518">
        <v>4</v>
      </c>
      <c r="O518" s="49"/>
      <c r="P518">
        <v>4</v>
      </c>
      <c r="Q518" s="22"/>
      <c r="S518" s="22"/>
      <c r="V518" s="47"/>
    </row>
    <row r="519" spans="6:22" x14ac:dyDescent="0.35">
      <c r="F519" t="s">
        <v>5619</v>
      </c>
      <c r="I519">
        <v>0</v>
      </c>
      <c r="J519" s="29"/>
      <c r="K519" s="30"/>
      <c r="L519" s="29"/>
      <c r="M519">
        <v>4</v>
      </c>
      <c r="N519">
        <v>4</v>
      </c>
      <c r="O519" s="49"/>
      <c r="P519">
        <v>4</v>
      </c>
      <c r="Q519" s="22"/>
      <c r="S519" s="22"/>
      <c r="V519" s="47"/>
    </row>
    <row r="520" spans="6:22" x14ac:dyDescent="0.35">
      <c r="F520" t="s">
        <v>5624</v>
      </c>
      <c r="I520">
        <v>0</v>
      </c>
      <c r="J520" s="29"/>
      <c r="K520" s="30"/>
      <c r="L520" s="29"/>
      <c r="M520">
        <v>4</v>
      </c>
      <c r="N520">
        <v>4</v>
      </c>
      <c r="O520" s="49"/>
      <c r="P520">
        <v>4</v>
      </c>
      <c r="Q520" s="22"/>
      <c r="S520" s="22"/>
      <c r="V520" s="47"/>
    </row>
    <row r="521" spans="6:22" x14ac:dyDescent="0.35">
      <c r="F521" t="s">
        <v>5629</v>
      </c>
      <c r="I521">
        <v>0</v>
      </c>
      <c r="J521" s="29"/>
      <c r="K521" s="30"/>
      <c r="L521" s="29"/>
      <c r="M521">
        <v>4</v>
      </c>
      <c r="N521">
        <v>4</v>
      </c>
      <c r="O521" s="49"/>
      <c r="P521">
        <v>4</v>
      </c>
      <c r="Q521" s="22"/>
      <c r="S521" s="22"/>
      <c r="V521" s="47"/>
    </row>
    <row r="522" spans="6:22" x14ac:dyDescent="0.35">
      <c r="F522" t="s">
        <v>5634</v>
      </c>
      <c r="I522">
        <v>0</v>
      </c>
      <c r="J522" s="29"/>
      <c r="K522" s="30"/>
      <c r="L522" s="29"/>
      <c r="M522">
        <v>4</v>
      </c>
      <c r="N522">
        <v>4</v>
      </c>
      <c r="O522" s="49"/>
      <c r="P522">
        <v>4</v>
      </c>
      <c r="Q522" s="22"/>
      <c r="S522" s="22"/>
      <c r="V522" s="47"/>
    </row>
    <row r="523" spans="6:22" x14ac:dyDescent="0.35">
      <c r="F523" t="s">
        <v>5639</v>
      </c>
      <c r="I523">
        <v>0</v>
      </c>
      <c r="J523" s="29"/>
      <c r="K523" s="30"/>
      <c r="L523" s="29"/>
      <c r="M523">
        <v>3</v>
      </c>
      <c r="N523">
        <v>4</v>
      </c>
      <c r="O523" s="49"/>
      <c r="P523">
        <v>4</v>
      </c>
      <c r="Q523" s="22"/>
      <c r="S523" s="22"/>
      <c r="V523" s="47"/>
    </row>
    <row r="524" spans="6:22" x14ac:dyDescent="0.35">
      <c r="F524" t="s">
        <v>5644</v>
      </c>
      <c r="I524">
        <v>0</v>
      </c>
      <c r="J524" s="29"/>
      <c r="K524" s="30"/>
      <c r="L524" s="29"/>
      <c r="O524" s="49"/>
      <c r="Q524" s="22"/>
      <c r="S524" s="22"/>
      <c r="V524" s="47"/>
    </row>
    <row r="525" spans="6:22" x14ac:dyDescent="0.35">
      <c r="F525" t="s">
        <v>5649</v>
      </c>
      <c r="I525">
        <v>0</v>
      </c>
      <c r="J525" s="29"/>
      <c r="K525" s="30"/>
      <c r="L525" s="29"/>
      <c r="M525">
        <v>4</v>
      </c>
      <c r="N525">
        <v>4</v>
      </c>
      <c r="O525" s="49"/>
      <c r="P525">
        <v>4</v>
      </c>
      <c r="Q525" s="22"/>
      <c r="S525" s="22"/>
      <c r="V525" s="47"/>
    </row>
    <row r="526" spans="6:22" x14ac:dyDescent="0.35">
      <c r="F526" t="s">
        <v>5654</v>
      </c>
      <c r="I526">
        <v>0</v>
      </c>
      <c r="J526" s="29"/>
      <c r="K526" s="30"/>
      <c r="L526" s="29"/>
      <c r="M526">
        <v>2</v>
      </c>
      <c r="N526">
        <v>3</v>
      </c>
      <c r="O526" s="49"/>
      <c r="P526">
        <v>4</v>
      </c>
      <c r="Q526" s="22"/>
      <c r="S526" s="22"/>
      <c r="V526" s="47"/>
    </row>
    <row r="527" spans="6:22" x14ac:dyDescent="0.35">
      <c r="F527" t="s">
        <v>5659</v>
      </c>
      <c r="I527">
        <v>1</v>
      </c>
      <c r="J527" s="29"/>
      <c r="K527" s="30"/>
      <c r="L527" s="29"/>
      <c r="M527">
        <v>4</v>
      </c>
      <c r="N527">
        <v>4</v>
      </c>
      <c r="O527" s="49"/>
      <c r="P527">
        <v>4</v>
      </c>
      <c r="Q527" s="22"/>
      <c r="S527" s="22"/>
      <c r="V527" s="47"/>
    </row>
    <row r="528" spans="6:22" x14ac:dyDescent="0.35">
      <c r="F528" t="s">
        <v>5664</v>
      </c>
      <c r="I528">
        <v>0</v>
      </c>
      <c r="J528" s="29"/>
      <c r="K528" s="30"/>
      <c r="L528" s="29"/>
      <c r="O528" s="49"/>
      <c r="Q528" s="22"/>
      <c r="S528" s="22"/>
      <c r="V528" s="47"/>
    </row>
    <row r="529" spans="8:22" x14ac:dyDescent="0.35">
      <c r="H529" t="s">
        <v>26</v>
      </c>
      <c r="I529"/>
      <c r="J529" s="29"/>
      <c r="K529" s="30"/>
      <c r="L529" s="29"/>
      <c r="O529" s="49"/>
      <c r="Q529" s="22"/>
      <c r="S529" s="22"/>
      <c r="V529" s="47"/>
    </row>
    <row r="530" spans="8:22" x14ac:dyDescent="0.35">
      <c r="H530" t="s">
        <v>26</v>
      </c>
      <c r="I530"/>
      <c r="J530" s="29"/>
      <c r="K530" s="30"/>
      <c r="L530" s="29"/>
      <c r="O530" s="49"/>
      <c r="Q530" s="22"/>
      <c r="S530" s="22"/>
      <c r="V530" s="47"/>
    </row>
    <row r="531" spans="8:22" x14ac:dyDescent="0.35">
      <c r="H531" t="s">
        <v>26</v>
      </c>
      <c r="I531"/>
      <c r="J531" s="29"/>
      <c r="K531" s="30"/>
      <c r="L531" s="29"/>
      <c r="O531" s="49"/>
      <c r="Q531" s="22"/>
      <c r="S531" s="22"/>
      <c r="V531" s="47"/>
    </row>
    <row r="532" spans="8:22" x14ac:dyDescent="0.35">
      <c r="H532" t="s">
        <v>26</v>
      </c>
      <c r="I532"/>
      <c r="J532" s="29"/>
      <c r="K532" s="30"/>
      <c r="L532" s="29"/>
      <c r="O532" s="49"/>
      <c r="Q532" s="22"/>
      <c r="S532" s="22"/>
      <c r="V532" s="47"/>
    </row>
    <row r="533" spans="8:22" x14ac:dyDescent="0.35">
      <c r="H533" t="s">
        <v>26</v>
      </c>
      <c r="I533"/>
      <c r="J533" s="29"/>
      <c r="K533" s="30"/>
      <c r="L533" s="29"/>
      <c r="O533" s="49"/>
      <c r="Q533" s="22"/>
      <c r="S533" s="22"/>
      <c r="V533" s="47"/>
    </row>
    <row r="534" spans="8:22" x14ac:dyDescent="0.35">
      <c r="H534" t="s">
        <v>26</v>
      </c>
      <c r="I534"/>
      <c r="J534" s="29"/>
      <c r="K534" s="30"/>
      <c r="L534" s="29"/>
      <c r="O534" s="49"/>
      <c r="Q534" s="22"/>
      <c r="S534" s="22"/>
      <c r="V534" s="47"/>
    </row>
    <row r="535" spans="8:22" x14ac:dyDescent="0.35">
      <c r="H535" t="s">
        <v>26</v>
      </c>
      <c r="I535"/>
      <c r="J535" s="29"/>
      <c r="K535" s="30"/>
      <c r="L535" s="29"/>
      <c r="O535" s="49"/>
      <c r="Q535" s="22"/>
      <c r="S535" s="22"/>
      <c r="V535" s="47"/>
    </row>
    <row r="536" spans="8:22" x14ac:dyDescent="0.35">
      <c r="H536" t="s">
        <v>26</v>
      </c>
      <c r="I536"/>
      <c r="J536" s="29"/>
      <c r="K536" s="30"/>
      <c r="L536" s="29"/>
      <c r="O536" s="49"/>
      <c r="Q536" s="22"/>
      <c r="S536" s="22"/>
      <c r="V536" s="47"/>
    </row>
    <row r="537" spans="8:22" x14ac:dyDescent="0.35">
      <c r="H537" t="s">
        <v>26</v>
      </c>
      <c r="I537"/>
      <c r="J537" s="29"/>
      <c r="K537" s="30"/>
      <c r="L537" s="29"/>
      <c r="O537" s="49"/>
      <c r="Q537" s="22"/>
      <c r="S537" s="22"/>
      <c r="V537" s="47"/>
    </row>
    <row r="538" spans="8:22" x14ac:dyDescent="0.35">
      <c r="H538" t="s">
        <v>26</v>
      </c>
      <c r="I538"/>
      <c r="J538" s="29"/>
      <c r="K538" s="30"/>
      <c r="L538" s="29"/>
      <c r="O538" s="49"/>
      <c r="Q538" s="22"/>
      <c r="S538" s="22"/>
      <c r="V538" s="47"/>
    </row>
    <row r="539" spans="8:22" x14ac:dyDescent="0.35">
      <c r="H539" t="s">
        <v>26</v>
      </c>
      <c r="I539"/>
      <c r="J539" s="29"/>
      <c r="K539" s="30"/>
      <c r="L539" s="29"/>
      <c r="O539" s="49"/>
      <c r="Q539" s="22"/>
      <c r="S539" s="22"/>
      <c r="V539" s="47"/>
    </row>
    <row r="540" spans="8:22" x14ac:dyDescent="0.35">
      <c r="H540" t="s">
        <v>26</v>
      </c>
      <c r="I540"/>
      <c r="J540" s="29"/>
      <c r="K540" s="30"/>
      <c r="L540" s="29"/>
      <c r="O540" s="49"/>
      <c r="Q540" s="22"/>
      <c r="S540" s="22"/>
      <c r="V540" s="47"/>
    </row>
    <row r="541" spans="8:22" x14ac:dyDescent="0.35">
      <c r="H541" t="s">
        <v>26</v>
      </c>
      <c r="I541"/>
      <c r="J541" s="29"/>
      <c r="K541" s="30"/>
      <c r="L541" s="29"/>
      <c r="O541" s="49"/>
      <c r="Q541" s="22"/>
      <c r="S541" s="22"/>
      <c r="V541" s="47"/>
    </row>
    <row r="542" spans="8:22" x14ac:dyDescent="0.35">
      <c r="H542" t="s">
        <v>26</v>
      </c>
      <c r="I542"/>
      <c r="J542" s="29"/>
      <c r="K542" s="30"/>
      <c r="L542" s="29"/>
      <c r="O542" s="49"/>
      <c r="Q542" s="22"/>
      <c r="S542" s="22"/>
      <c r="V542" s="47"/>
    </row>
    <row r="543" spans="8:22" x14ac:dyDescent="0.35">
      <c r="H543" t="s">
        <v>26</v>
      </c>
      <c r="I543"/>
      <c r="J543" s="29"/>
      <c r="K543" s="30"/>
      <c r="L543" s="29"/>
      <c r="O543" s="49"/>
      <c r="Q543" s="22"/>
      <c r="S543" s="22"/>
      <c r="V543" s="47"/>
    </row>
    <row r="544" spans="8:22" x14ac:dyDescent="0.35">
      <c r="H544" t="s">
        <v>26</v>
      </c>
      <c r="I544"/>
      <c r="J544" s="29"/>
      <c r="K544" s="30"/>
      <c r="L544" s="29"/>
      <c r="O544" s="49"/>
      <c r="Q544" s="22"/>
      <c r="S544" s="22"/>
      <c r="V544" s="47"/>
    </row>
    <row r="545" spans="8:22" x14ac:dyDescent="0.35">
      <c r="H545" t="s">
        <v>26</v>
      </c>
      <c r="I545"/>
      <c r="J545" s="29"/>
      <c r="K545" s="30"/>
      <c r="L545" s="29"/>
      <c r="O545" s="49"/>
      <c r="Q545" s="22"/>
      <c r="S545" s="22"/>
      <c r="V545" s="47"/>
    </row>
    <row r="546" spans="8:22" x14ac:dyDescent="0.35">
      <c r="H546" t="s">
        <v>26</v>
      </c>
      <c r="I546"/>
      <c r="J546" s="29"/>
      <c r="K546" s="30"/>
      <c r="L546" s="29"/>
      <c r="O546" s="49"/>
      <c r="Q546" s="22"/>
      <c r="S546" s="22"/>
      <c r="V546" s="47"/>
    </row>
    <row r="547" spans="8:22" x14ac:dyDescent="0.35">
      <c r="H547" t="s">
        <v>26</v>
      </c>
      <c r="I547"/>
      <c r="J547" s="29"/>
      <c r="K547" s="30"/>
      <c r="L547" s="29"/>
      <c r="O547" s="49"/>
      <c r="Q547" s="22"/>
      <c r="S547" s="22"/>
      <c r="V547" s="47"/>
    </row>
    <row r="548" spans="8:22" x14ac:dyDescent="0.35">
      <c r="H548" t="s">
        <v>26</v>
      </c>
      <c r="I548"/>
      <c r="J548" s="29"/>
      <c r="K548" s="30"/>
      <c r="L548" s="29"/>
      <c r="O548" s="49"/>
      <c r="Q548" s="22"/>
      <c r="S548" s="22"/>
      <c r="V548" s="47"/>
    </row>
    <row r="549" spans="8:22" x14ac:dyDescent="0.35">
      <c r="H549" t="s">
        <v>26</v>
      </c>
      <c r="I549"/>
      <c r="J549" s="29"/>
      <c r="K549" s="30"/>
      <c r="L549" s="29"/>
      <c r="O549" s="49"/>
      <c r="Q549" s="22"/>
      <c r="S549" s="22"/>
      <c r="V549" s="47"/>
    </row>
    <row r="550" spans="8:22" x14ac:dyDescent="0.35">
      <c r="H550" t="s">
        <v>26</v>
      </c>
      <c r="I550"/>
      <c r="J550" s="29"/>
      <c r="K550" s="30"/>
      <c r="L550" s="29"/>
      <c r="O550" s="49"/>
      <c r="Q550" s="22"/>
      <c r="S550" s="22"/>
      <c r="V550" s="47"/>
    </row>
    <row r="551" spans="8:22" x14ac:dyDescent="0.35">
      <c r="H551" t="s">
        <v>26</v>
      </c>
      <c r="I551"/>
      <c r="J551" s="29"/>
      <c r="K551" s="30"/>
      <c r="L551" s="29"/>
      <c r="O551" s="49"/>
      <c r="Q551" s="22"/>
      <c r="S551" s="22"/>
      <c r="V551" s="47"/>
    </row>
    <row r="552" spans="8:22" x14ac:dyDescent="0.35">
      <c r="H552" t="s">
        <v>26</v>
      </c>
      <c r="I552"/>
      <c r="J552" s="29"/>
      <c r="K552" s="30"/>
      <c r="L552" s="29"/>
      <c r="O552" s="49"/>
      <c r="Q552" s="22"/>
      <c r="S552" s="22"/>
      <c r="V552" s="47"/>
    </row>
    <row r="553" spans="8:22" x14ac:dyDescent="0.35">
      <c r="H553" t="s">
        <v>26</v>
      </c>
      <c r="I553"/>
      <c r="J553" s="29"/>
      <c r="K553" s="30"/>
      <c r="L553" s="29"/>
      <c r="O553" s="49"/>
      <c r="Q553" s="22"/>
      <c r="S553" s="22"/>
      <c r="V553" s="47"/>
    </row>
    <row r="554" spans="8:22" x14ac:dyDescent="0.35">
      <c r="H554" t="s">
        <v>26</v>
      </c>
      <c r="I554"/>
      <c r="J554" s="29"/>
      <c r="K554" s="30"/>
      <c r="L554" s="29"/>
      <c r="O554" s="49"/>
      <c r="Q554" s="22"/>
      <c r="S554" s="22"/>
      <c r="V554" s="47"/>
    </row>
    <row r="555" spans="8:22" x14ac:dyDescent="0.35">
      <c r="H555" t="s">
        <v>26</v>
      </c>
      <c r="I555"/>
      <c r="J555" s="29"/>
      <c r="K555" s="30"/>
      <c r="L555" s="29"/>
      <c r="O555" s="49"/>
      <c r="Q555" s="22"/>
      <c r="S555" s="22"/>
      <c r="V555" s="47"/>
    </row>
    <row r="556" spans="8:22" x14ac:dyDescent="0.35">
      <c r="H556" t="s">
        <v>26</v>
      </c>
      <c r="I556"/>
      <c r="J556" s="29"/>
      <c r="K556" s="30"/>
      <c r="L556" s="29"/>
      <c r="O556" s="49"/>
      <c r="Q556" s="22"/>
      <c r="S556" s="22"/>
      <c r="V556" s="47"/>
    </row>
    <row r="557" spans="8:22" x14ac:dyDescent="0.35">
      <c r="H557" t="s">
        <v>26</v>
      </c>
      <c r="I557"/>
      <c r="J557" s="29"/>
      <c r="K557" s="30"/>
      <c r="L557" s="29"/>
      <c r="O557" s="49"/>
      <c r="Q557" s="22"/>
      <c r="S557" s="22"/>
      <c r="V557" s="47"/>
    </row>
    <row r="558" spans="8:22" x14ac:dyDescent="0.35">
      <c r="H558" t="s">
        <v>26</v>
      </c>
      <c r="I558"/>
      <c r="J558" s="29"/>
      <c r="K558" s="30"/>
      <c r="L558" s="29"/>
      <c r="O558" s="49"/>
      <c r="Q558" s="22"/>
      <c r="S558" s="22"/>
      <c r="V558" s="47"/>
    </row>
    <row r="559" spans="8:22" x14ac:dyDescent="0.35">
      <c r="H559" t="s">
        <v>26</v>
      </c>
      <c r="I559"/>
      <c r="J559" s="29"/>
      <c r="K559" s="30"/>
      <c r="L559" s="29"/>
      <c r="O559" s="49"/>
      <c r="Q559" s="22"/>
      <c r="S559" s="22"/>
      <c r="V559" s="47"/>
    </row>
    <row r="560" spans="8:22" x14ac:dyDescent="0.35">
      <c r="H560" t="s">
        <v>26</v>
      </c>
      <c r="I560"/>
      <c r="J560" s="29"/>
      <c r="K560" s="30"/>
      <c r="L560" s="29"/>
      <c r="O560" s="49"/>
      <c r="Q560" s="22"/>
      <c r="S560" s="22"/>
      <c r="V560" s="47"/>
    </row>
    <row r="561" spans="8:22" x14ac:dyDescent="0.35">
      <c r="H561" t="s">
        <v>26</v>
      </c>
      <c r="I561"/>
      <c r="J561" s="29"/>
      <c r="K561" s="30"/>
      <c r="L561" s="29"/>
      <c r="O561" s="49"/>
      <c r="Q561" s="22"/>
      <c r="S561" s="22"/>
      <c r="V561" s="47"/>
    </row>
    <row r="562" spans="8:22" x14ac:dyDescent="0.35">
      <c r="H562" t="s">
        <v>26</v>
      </c>
      <c r="I562"/>
      <c r="J562" s="29"/>
      <c r="K562" s="30"/>
      <c r="L562" s="29"/>
      <c r="O562" s="49"/>
      <c r="Q562" s="22"/>
      <c r="S562" s="22"/>
      <c r="V562" s="47"/>
    </row>
    <row r="563" spans="8:22" x14ac:dyDescent="0.35">
      <c r="H563" t="s">
        <v>26</v>
      </c>
      <c r="I563"/>
      <c r="J563" s="29"/>
      <c r="K563" s="30"/>
      <c r="L563" s="29"/>
      <c r="O563" s="49"/>
      <c r="Q563" s="22"/>
      <c r="S563" s="22"/>
      <c r="V563" s="47"/>
    </row>
    <row r="564" spans="8:22" x14ac:dyDescent="0.35">
      <c r="H564" t="s">
        <v>26</v>
      </c>
      <c r="I564"/>
      <c r="J564" s="29"/>
      <c r="K564" s="30"/>
      <c r="L564" s="29"/>
      <c r="O564" s="49"/>
      <c r="Q564" s="22"/>
      <c r="S564" s="22"/>
      <c r="V564" s="47"/>
    </row>
    <row r="565" spans="8:22" x14ac:dyDescent="0.35">
      <c r="H565" t="s">
        <v>26</v>
      </c>
      <c r="I565"/>
      <c r="J565" s="29"/>
      <c r="K565" s="30"/>
      <c r="L565" s="29"/>
      <c r="O565" s="49"/>
      <c r="Q565" s="22"/>
      <c r="S565" s="22"/>
      <c r="V565" s="47"/>
    </row>
    <row r="566" spans="8:22" x14ac:dyDescent="0.35">
      <c r="H566" t="s">
        <v>26</v>
      </c>
      <c r="I566"/>
      <c r="J566" s="29"/>
      <c r="K566" s="30"/>
      <c r="L566" s="29"/>
      <c r="O566" s="49"/>
      <c r="Q566" s="22"/>
      <c r="S566" s="22"/>
      <c r="V566" s="47"/>
    </row>
    <row r="567" spans="8:22" x14ac:dyDescent="0.35">
      <c r="H567" t="s">
        <v>26</v>
      </c>
      <c r="I567"/>
      <c r="J567" s="29"/>
      <c r="K567" s="30"/>
      <c r="L567" s="29"/>
      <c r="O567" s="49"/>
      <c r="Q567" s="22"/>
      <c r="S567" s="22"/>
      <c r="V567" s="47"/>
    </row>
    <row r="568" spans="8:22" x14ac:dyDescent="0.35">
      <c r="H568" t="s">
        <v>26</v>
      </c>
      <c r="I568"/>
      <c r="J568" s="29"/>
      <c r="K568" s="30"/>
      <c r="L568" s="29"/>
      <c r="O568" s="49"/>
      <c r="Q568" s="22"/>
      <c r="S568" s="22"/>
      <c r="V568" s="47"/>
    </row>
    <row r="569" spans="8:22" x14ac:dyDescent="0.35">
      <c r="H569" t="s">
        <v>26</v>
      </c>
      <c r="I569"/>
      <c r="J569" s="29"/>
      <c r="K569" s="30"/>
      <c r="L569" s="29"/>
      <c r="O569" s="49"/>
      <c r="Q569" s="22"/>
      <c r="S569" s="22"/>
      <c r="V569" s="47"/>
    </row>
    <row r="570" spans="8:22" x14ac:dyDescent="0.35">
      <c r="H570" t="s">
        <v>26</v>
      </c>
      <c r="I570"/>
      <c r="J570" s="29"/>
      <c r="K570" s="30"/>
      <c r="L570" s="29"/>
      <c r="O570" s="49"/>
      <c r="Q570" s="22"/>
      <c r="S570" s="22"/>
      <c r="V570" s="47"/>
    </row>
    <row r="571" spans="8:22" x14ac:dyDescent="0.35">
      <c r="H571" t="s">
        <v>26</v>
      </c>
      <c r="I571"/>
      <c r="J571" s="29"/>
      <c r="K571" s="30"/>
      <c r="L571" s="29"/>
      <c r="O571" s="49"/>
      <c r="Q571" s="22"/>
      <c r="S571" s="22"/>
      <c r="V571" s="47"/>
    </row>
    <row r="572" spans="8:22" x14ac:dyDescent="0.35">
      <c r="H572" t="s">
        <v>26</v>
      </c>
      <c r="I572"/>
      <c r="J572" s="29"/>
      <c r="K572" s="30"/>
      <c r="L572" s="29"/>
      <c r="O572" s="49"/>
      <c r="Q572" s="22"/>
      <c r="S572" s="22"/>
      <c r="V572" s="47"/>
    </row>
    <row r="573" spans="8:22" x14ac:dyDescent="0.35">
      <c r="H573" t="s">
        <v>26</v>
      </c>
      <c r="I573"/>
      <c r="J573" s="29"/>
      <c r="K573" s="30"/>
      <c r="L573" s="29"/>
      <c r="O573" s="49"/>
      <c r="Q573" s="22"/>
      <c r="S573" s="22"/>
      <c r="V573" s="47"/>
    </row>
    <row r="574" spans="8:22" x14ac:dyDescent="0.35">
      <c r="H574" t="s">
        <v>26</v>
      </c>
      <c r="I574"/>
      <c r="J574" s="29"/>
      <c r="K574" s="30"/>
      <c r="L574" s="29"/>
      <c r="O574" s="49"/>
      <c r="Q574" s="22"/>
      <c r="S574" s="22"/>
      <c r="V574" s="47"/>
    </row>
    <row r="575" spans="8:22" x14ac:dyDescent="0.35">
      <c r="H575" t="s">
        <v>26</v>
      </c>
      <c r="I575"/>
      <c r="J575" s="29"/>
      <c r="K575" s="30"/>
      <c r="L575" s="29"/>
      <c r="O575" s="49"/>
      <c r="Q575" s="22"/>
      <c r="S575" s="22"/>
      <c r="V575" s="47"/>
    </row>
    <row r="576" spans="8:22" x14ac:dyDescent="0.35">
      <c r="H576" t="s">
        <v>26</v>
      </c>
      <c r="I576"/>
      <c r="J576" s="29"/>
      <c r="K576" s="30"/>
      <c r="L576" s="29"/>
      <c r="O576" s="49"/>
      <c r="Q576" s="22"/>
      <c r="S576" s="22"/>
      <c r="V576" s="47"/>
    </row>
    <row r="577" spans="8:22" x14ac:dyDescent="0.35">
      <c r="H577" t="s">
        <v>26</v>
      </c>
      <c r="I577"/>
      <c r="J577" s="29"/>
      <c r="K577" s="30"/>
      <c r="L577" s="29"/>
      <c r="O577" s="49"/>
      <c r="Q577" s="22"/>
      <c r="S577" s="22"/>
      <c r="V577" s="47"/>
    </row>
    <row r="578" spans="8:22" x14ac:dyDescent="0.35">
      <c r="H578" t="s">
        <v>26</v>
      </c>
      <c r="I578"/>
      <c r="J578" s="29"/>
      <c r="K578" s="30"/>
      <c r="L578" s="29"/>
      <c r="O578" s="49"/>
      <c r="Q578" s="22"/>
      <c r="S578" s="22"/>
      <c r="V578" s="47"/>
    </row>
    <row r="579" spans="8:22" x14ac:dyDescent="0.35">
      <c r="H579" t="s">
        <v>26</v>
      </c>
      <c r="I579"/>
      <c r="J579" s="29"/>
      <c r="K579" s="30"/>
      <c r="L579" s="29"/>
      <c r="O579" s="49"/>
      <c r="Q579" s="22"/>
      <c r="S579" s="22"/>
      <c r="V579" s="47"/>
    </row>
    <row r="580" spans="8:22" x14ac:dyDescent="0.35">
      <c r="H580" t="s">
        <v>26</v>
      </c>
      <c r="I580"/>
      <c r="J580" s="29"/>
      <c r="K580" s="30"/>
      <c r="L580" s="29"/>
      <c r="O580" s="49"/>
      <c r="Q580" s="22"/>
      <c r="S580" s="22"/>
      <c r="V580" s="47"/>
    </row>
    <row r="581" spans="8:22" x14ac:dyDescent="0.35">
      <c r="H581" t="s">
        <v>26</v>
      </c>
      <c r="I581"/>
      <c r="J581" s="29"/>
      <c r="K581" s="30"/>
      <c r="L581" s="29"/>
      <c r="O581" s="49"/>
      <c r="Q581" s="22"/>
      <c r="S581" s="22"/>
      <c r="V581" s="47"/>
    </row>
    <row r="582" spans="8:22" x14ac:dyDescent="0.35">
      <c r="H582" t="s">
        <v>26</v>
      </c>
      <c r="I582"/>
      <c r="J582" s="29"/>
      <c r="K582" s="30"/>
      <c r="L582" s="29"/>
      <c r="O582" s="49"/>
      <c r="Q582" s="22"/>
      <c r="S582" s="22"/>
      <c r="V582" s="47"/>
    </row>
    <row r="583" spans="8:22" x14ac:dyDescent="0.35">
      <c r="H583" t="s">
        <v>26</v>
      </c>
      <c r="I583"/>
      <c r="J583" s="29"/>
      <c r="K583" s="30"/>
      <c r="L583" s="29"/>
      <c r="O583" s="49"/>
      <c r="Q583" s="22"/>
      <c r="S583" s="22"/>
      <c r="V583" s="47"/>
    </row>
    <row r="584" spans="8:22" x14ac:dyDescent="0.35">
      <c r="H584" t="s">
        <v>26</v>
      </c>
      <c r="I584"/>
      <c r="J584" s="29"/>
      <c r="K584" s="30"/>
      <c r="L584" s="29"/>
      <c r="O584" s="49"/>
      <c r="Q584" s="22"/>
      <c r="S584" s="22"/>
      <c r="V584" s="47"/>
    </row>
    <row r="585" spans="8:22" x14ac:dyDescent="0.35">
      <c r="H585" t="s">
        <v>26</v>
      </c>
      <c r="I585"/>
      <c r="J585" s="29"/>
      <c r="K585" s="30"/>
      <c r="L585" s="29"/>
      <c r="O585" s="49"/>
      <c r="Q585" s="22"/>
      <c r="S585" s="22"/>
      <c r="V585" s="47"/>
    </row>
    <row r="586" spans="8:22" x14ac:dyDescent="0.35">
      <c r="H586" t="s">
        <v>26</v>
      </c>
      <c r="I586"/>
      <c r="J586" s="29"/>
      <c r="K586" s="30"/>
      <c r="L586" s="29"/>
      <c r="O586" s="49"/>
      <c r="Q586" s="22"/>
      <c r="S586" s="22"/>
      <c r="V586" s="47"/>
    </row>
    <row r="587" spans="8:22" x14ac:dyDescent="0.35">
      <c r="H587" t="s">
        <v>26</v>
      </c>
      <c r="I587"/>
      <c r="J587" s="29"/>
      <c r="K587" s="30"/>
      <c r="L587" s="29"/>
      <c r="O587" s="49"/>
      <c r="Q587" s="22"/>
      <c r="S587" s="22"/>
      <c r="V587" s="47"/>
    </row>
    <row r="588" spans="8:22" x14ac:dyDescent="0.35">
      <c r="H588" t="s">
        <v>26</v>
      </c>
      <c r="I588"/>
      <c r="J588" s="29"/>
      <c r="K588" s="30"/>
      <c r="L588" s="29"/>
      <c r="O588" s="49"/>
      <c r="Q588" s="22"/>
      <c r="S588" s="22"/>
      <c r="V588" s="47"/>
    </row>
    <row r="589" spans="8:22" x14ac:dyDescent="0.35">
      <c r="H589" t="s">
        <v>26</v>
      </c>
      <c r="I589"/>
      <c r="J589" s="29"/>
      <c r="K589" s="30"/>
      <c r="L589" s="29"/>
      <c r="O589" s="49"/>
      <c r="Q589" s="22"/>
      <c r="S589" s="22"/>
      <c r="V589" s="47"/>
    </row>
    <row r="590" spans="8:22" x14ac:dyDescent="0.35">
      <c r="H590" t="s">
        <v>26</v>
      </c>
      <c r="I590"/>
      <c r="J590" s="29"/>
      <c r="K590" s="30"/>
      <c r="L590" s="29"/>
      <c r="O590" s="49"/>
      <c r="Q590" s="22"/>
      <c r="S590" s="22"/>
      <c r="V590" s="47"/>
    </row>
    <row r="591" spans="8:22" x14ac:dyDescent="0.35">
      <c r="H591" t="s">
        <v>26</v>
      </c>
      <c r="I591"/>
      <c r="J591" s="29"/>
      <c r="K591" s="30"/>
      <c r="L591" s="29"/>
      <c r="O591" s="49"/>
      <c r="Q591" s="22"/>
      <c r="S591" s="22"/>
      <c r="V591" s="47"/>
    </row>
    <row r="592" spans="8:22" x14ac:dyDescent="0.35">
      <c r="H592" t="s">
        <v>26</v>
      </c>
      <c r="I592"/>
      <c r="J592" s="29"/>
      <c r="K592" s="30"/>
      <c r="L592" s="29"/>
      <c r="O592" s="49"/>
      <c r="Q592" s="22"/>
      <c r="S592" s="22"/>
      <c r="V592" s="47"/>
    </row>
    <row r="593" spans="8:22" x14ac:dyDescent="0.35">
      <c r="H593" t="s">
        <v>26</v>
      </c>
      <c r="I593"/>
      <c r="J593" s="29"/>
      <c r="K593" s="30"/>
      <c r="L593" s="29"/>
      <c r="O593" s="49"/>
      <c r="Q593" s="22"/>
      <c r="S593" s="22"/>
      <c r="V593" s="47"/>
    </row>
    <row r="594" spans="8:22" x14ac:dyDescent="0.35">
      <c r="H594" t="s">
        <v>26</v>
      </c>
      <c r="I594"/>
      <c r="J594" s="29"/>
      <c r="K594" s="30"/>
      <c r="L594" s="29"/>
      <c r="O594" s="49"/>
      <c r="Q594" s="22"/>
      <c r="S594" s="22"/>
      <c r="V594" s="47"/>
    </row>
    <row r="595" spans="8:22" x14ac:dyDescent="0.35">
      <c r="H595" t="s">
        <v>26</v>
      </c>
      <c r="I595"/>
      <c r="J595" s="29"/>
      <c r="K595" s="30"/>
      <c r="L595" s="29"/>
      <c r="O595" s="49"/>
      <c r="Q595" s="22"/>
      <c r="S595" s="22"/>
      <c r="V595" s="47"/>
    </row>
    <row r="596" spans="8:22" x14ac:dyDescent="0.35">
      <c r="H596" t="s">
        <v>26</v>
      </c>
      <c r="I596"/>
      <c r="J596" s="29"/>
      <c r="K596" s="30"/>
      <c r="L596" s="29"/>
      <c r="O596" s="49"/>
      <c r="Q596" s="22"/>
      <c r="S596" s="22"/>
      <c r="V596" s="47"/>
    </row>
    <row r="597" spans="8:22" x14ac:dyDescent="0.35">
      <c r="H597" t="s">
        <v>26</v>
      </c>
      <c r="I597"/>
      <c r="J597" s="29"/>
      <c r="K597" s="30"/>
      <c r="L597" s="29"/>
      <c r="O597" s="49"/>
      <c r="Q597" s="22"/>
      <c r="S597" s="22"/>
      <c r="V597" s="47"/>
    </row>
    <row r="598" spans="8:22" x14ac:dyDescent="0.35">
      <c r="H598" t="s">
        <v>26</v>
      </c>
      <c r="I598"/>
      <c r="J598" s="29"/>
      <c r="K598" s="30"/>
      <c r="L598" s="29"/>
      <c r="O598" s="49"/>
      <c r="Q598" s="22"/>
      <c r="S598" s="22"/>
      <c r="V598" s="47"/>
    </row>
    <row r="599" spans="8:22" x14ac:dyDescent="0.35">
      <c r="H599" t="s">
        <v>26</v>
      </c>
      <c r="I599"/>
      <c r="J599" s="29"/>
      <c r="K599" s="30"/>
      <c r="L599" s="29"/>
      <c r="O599" s="49"/>
      <c r="Q599" s="22"/>
      <c r="S599" s="22"/>
      <c r="V599" s="47"/>
    </row>
    <row r="600" spans="8:22" x14ac:dyDescent="0.35">
      <c r="H600" t="s">
        <v>26</v>
      </c>
      <c r="I600"/>
      <c r="J600" s="29"/>
      <c r="K600" s="30"/>
      <c r="L600" s="29"/>
      <c r="O600" s="49"/>
      <c r="Q600" s="22"/>
      <c r="S600" s="22"/>
      <c r="V600" s="47"/>
    </row>
    <row r="601" spans="8:22" x14ac:dyDescent="0.35">
      <c r="H601" t="s">
        <v>26</v>
      </c>
      <c r="I601"/>
      <c r="J601" s="29"/>
      <c r="K601" s="30"/>
      <c r="L601" s="29"/>
      <c r="O601" s="49"/>
      <c r="Q601" s="22"/>
      <c r="S601" s="22"/>
      <c r="V601" s="47"/>
    </row>
    <row r="602" spans="8:22" x14ac:dyDescent="0.35">
      <c r="H602" t="s">
        <v>26</v>
      </c>
      <c r="I602"/>
      <c r="J602" s="29"/>
      <c r="K602" s="30"/>
      <c r="L602" s="29"/>
      <c r="O602" s="49"/>
      <c r="Q602" s="22"/>
      <c r="S602" s="22"/>
      <c r="V602" s="47"/>
    </row>
    <row r="603" spans="8:22" x14ac:dyDescent="0.35">
      <c r="H603" t="s">
        <v>26</v>
      </c>
      <c r="I603"/>
      <c r="J603" s="29"/>
      <c r="K603" s="30"/>
      <c r="L603" s="29"/>
      <c r="O603" s="49"/>
      <c r="Q603" s="22"/>
      <c r="S603" s="22"/>
      <c r="V603" s="47"/>
    </row>
    <row r="604" spans="8:22" x14ac:dyDescent="0.35">
      <c r="H604" t="s">
        <v>26</v>
      </c>
      <c r="I604"/>
      <c r="J604" s="29"/>
      <c r="K604" s="30"/>
      <c r="L604" s="29"/>
      <c r="O604" s="49"/>
      <c r="Q604" s="22"/>
      <c r="S604" s="22"/>
      <c r="V604" s="47"/>
    </row>
    <row r="605" spans="8:22" x14ac:dyDescent="0.35">
      <c r="H605" t="s">
        <v>26</v>
      </c>
      <c r="I605"/>
      <c r="J605" s="29"/>
      <c r="K605" s="30"/>
      <c r="L605" s="29"/>
      <c r="O605" s="49"/>
      <c r="Q605" s="22"/>
      <c r="S605" s="22"/>
      <c r="V605" s="47"/>
    </row>
    <row r="606" spans="8:22" x14ac:dyDescent="0.35">
      <c r="H606" t="s">
        <v>26</v>
      </c>
      <c r="I606"/>
      <c r="J606" s="29"/>
      <c r="K606" s="30"/>
      <c r="L606" s="29"/>
      <c r="O606" s="49"/>
      <c r="Q606" s="22"/>
      <c r="S606" s="22"/>
      <c r="V606" s="47"/>
    </row>
    <row r="607" spans="8:22" x14ac:dyDescent="0.35">
      <c r="H607" t="s">
        <v>26</v>
      </c>
      <c r="I607"/>
      <c r="J607" s="29"/>
      <c r="K607" s="30"/>
      <c r="L607" s="29"/>
      <c r="O607" s="49"/>
      <c r="Q607" s="22"/>
      <c r="S607" s="22"/>
      <c r="V607" s="47"/>
    </row>
    <row r="608" spans="8:22" x14ac:dyDescent="0.35">
      <c r="H608" t="s">
        <v>26</v>
      </c>
      <c r="I608"/>
      <c r="J608" s="29"/>
      <c r="K608" s="30"/>
      <c r="L608" s="29"/>
      <c r="O608" s="49"/>
      <c r="Q608" s="22"/>
      <c r="S608" s="22"/>
      <c r="V608" s="47"/>
    </row>
    <row r="609" spans="8:22" x14ac:dyDescent="0.35">
      <c r="H609" t="s">
        <v>26</v>
      </c>
      <c r="I609"/>
      <c r="J609" s="29"/>
      <c r="K609" s="30"/>
      <c r="L609" s="29"/>
      <c r="O609" s="49"/>
      <c r="Q609" s="22"/>
      <c r="S609" s="22"/>
      <c r="V609" s="47"/>
    </row>
    <row r="610" spans="8:22" x14ac:dyDescent="0.35">
      <c r="H610" t="s">
        <v>26</v>
      </c>
      <c r="I610"/>
      <c r="J610" s="29"/>
      <c r="K610" s="30"/>
      <c r="L610" s="29"/>
      <c r="O610" s="49"/>
      <c r="Q610" s="22"/>
      <c r="S610" s="22"/>
      <c r="V610" s="47"/>
    </row>
    <row r="611" spans="8:22" x14ac:dyDescent="0.35">
      <c r="H611" t="s">
        <v>26</v>
      </c>
      <c r="I611"/>
      <c r="J611" s="29"/>
      <c r="K611" s="30"/>
      <c r="L611" s="29"/>
      <c r="O611" s="49"/>
      <c r="Q611" s="22"/>
      <c r="S611" s="22"/>
      <c r="V611" s="47"/>
    </row>
    <row r="612" spans="8:22" x14ac:dyDescent="0.35">
      <c r="H612" t="s">
        <v>26</v>
      </c>
      <c r="I612"/>
      <c r="J612" s="29"/>
      <c r="K612" s="30"/>
      <c r="L612" s="29"/>
      <c r="O612" s="49"/>
      <c r="Q612" s="22"/>
      <c r="S612" s="22"/>
      <c r="V612" s="47"/>
    </row>
    <row r="613" spans="8:22" x14ac:dyDescent="0.35">
      <c r="H613" t="s">
        <v>26</v>
      </c>
      <c r="I613"/>
      <c r="J613" s="29"/>
      <c r="K613" s="30"/>
      <c r="L613" s="29"/>
      <c r="O613" s="49"/>
      <c r="Q613" s="22"/>
      <c r="S613" s="22"/>
      <c r="V613" s="47"/>
    </row>
    <row r="614" spans="8:22" x14ac:dyDescent="0.35">
      <c r="H614" t="s">
        <v>26</v>
      </c>
      <c r="I614"/>
      <c r="J614" s="29"/>
      <c r="K614" s="30"/>
      <c r="L614" s="29"/>
      <c r="O614" s="49"/>
      <c r="Q614" s="22"/>
      <c r="S614" s="22"/>
      <c r="V614" s="47"/>
    </row>
    <row r="615" spans="8:22" x14ac:dyDescent="0.35">
      <c r="H615" t="s">
        <v>26</v>
      </c>
      <c r="I615"/>
      <c r="J615" s="29"/>
      <c r="K615" s="30"/>
      <c r="L615" s="29"/>
      <c r="O615" s="49"/>
      <c r="Q615" s="22"/>
      <c r="S615" s="22"/>
      <c r="V615" s="47"/>
    </row>
    <row r="616" spans="8:22" x14ac:dyDescent="0.35">
      <c r="H616" t="s">
        <v>26</v>
      </c>
      <c r="I616"/>
      <c r="J616" s="29"/>
      <c r="K616" s="30"/>
      <c r="L616" s="29"/>
      <c r="O616" s="49"/>
      <c r="Q616" s="22"/>
      <c r="S616" s="22"/>
      <c r="V616" s="47"/>
    </row>
    <row r="617" spans="8:22" x14ac:dyDescent="0.35">
      <c r="H617" t="s">
        <v>26</v>
      </c>
      <c r="I617"/>
      <c r="J617" s="29"/>
      <c r="K617" s="30"/>
      <c r="L617" s="29"/>
      <c r="O617" s="49"/>
      <c r="Q617" s="22"/>
      <c r="S617" s="22"/>
      <c r="V617" s="47"/>
    </row>
    <row r="618" spans="8:22" x14ac:dyDescent="0.35">
      <c r="H618" t="s">
        <v>26</v>
      </c>
      <c r="I618"/>
      <c r="J618" s="29"/>
      <c r="K618" s="30"/>
      <c r="L618" s="29"/>
      <c r="O618" s="49"/>
      <c r="Q618" s="22"/>
      <c r="S618" s="22"/>
      <c r="V618" s="47"/>
    </row>
    <row r="619" spans="8:22" x14ac:dyDescent="0.35">
      <c r="H619" t="s">
        <v>26</v>
      </c>
      <c r="I619"/>
      <c r="J619" s="29"/>
      <c r="K619" s="30"/>
      <c r="L619" s="29"/>
      <c r="O619" s="49"/>
      <c r="Q619" s="22"/>
      <c r="S619" s="22"/>
      <c r="V619" s="47"/>
    </row>
    <row r="620" spans="8:22" x14ac:dyDescent="0.35">
      <c r="H620" t="s">
        <v>26</v>
      </c>
      <c r="I620"/>
      <c r="J620" s="29"/>
      <c r="K620" s="30"/>
      <c r="L620" s="29"/>
      <c r="O620" s="49"/>
      <c r="Q620" s="22"/>
      <c r="S620" s="22"/>
      <c r="V620" s="47"/>
    </row>
    <row r="621" spans="8:22" x14ac:dyDescent="0.35">
      <c r="H621" t="s">
        <v>26</v>
      </c>
      <c r="I621"/>
      <c r="J621" s="29"/>
      <c r="K621" s="30"/>
      <c r="L621" s="29"/>
      <c r="O621" s="49"/>
      <c r="Q621" s="22"/>
      <c r="S621" s="22"/>
      <c r="V621" s="47"/>
    </row>
    <row r="622" spans="8:22" x14ac:dyDescent="0.35">
      <c r="H622" t="s">
        <v>26</v>
      </c>
      <c r="I622"/>
      <c r="J622" s="29"/>
      <c r="K622" s="30"/>
      <c r="L622" s="29"/>
      <c r="O622" s="49"/>
      <c r="Q622" s="22"/>
      <c r="S622" s="22"/>
      <c r="V622" s="47"/>
    </row>
    <row r="623" spans="8:22" x14ac:dyDescent="0.35">
      <c r="H623" t="s">
        <v>26</v>
      </c>
      <c r="I623"/>
      <c r="J623" s="29"/>
      <c r="K623" s="30"/>
      <c r="L623" s="29"/>
      <c r="O623" s="49"/>
      <c r="Q623" s="22"/>
      <c r="S623" s="22"/>
      <c r="V623" s="47"/>
    </row>
    <row r="624" spans="8:22" x14ac:dyDescent="0.35">
      <c r="H624" t="s">
        <v>26</v>
      </c>
      <c r="I624"/>
      <c r="J624" s="29"/>
      <c r="K624" s="30"/>
      <c r="L624" s="29"/>
      <c r="O624" s="49"/>
      <c r="Q624" s="22"/>
      <c r="S624" s="22"/>
      <c r="V624" s="47"/>
    </row>
    <row r="625" spans="6:22" x14ac:dyDescent="0.35">
      <c r="H625" t="s">
        <v>26</v>
      </c>
      <c r="I625"/>
      <c r="J625" s="29"/>
      <c r="K625" s="30"/>
      <c r="L625" s="29"/>
      <c r="O625" s="49"/>
      <c r="Q625" s="22"/>
      <c r="S625" s="22"/>
      <c r="V625" s="47"/>
    </row>
    <row r="626" spans="6:22" x14ac:dyDescent="0.35">
      <c r="F626" t="s">
        <v>5668</v>
      </c>
      <c r="I626">
        <v>0</v>
      </c>
      <c r="J626" s="29"/>
      <c r="K626" s="30"/>
      <c r="L626" s="29"/>
      <c r="O626" s="49"/>
      <c r="Q626" s="22"/>
      <c r="S626" s="22"/>
      <c r="V626" s="47"/>
    </row>
    <row r="627" spans="6:22" x14ac:dyDescent="0.35">
      <c r="F627" t="s">
        <v>5673</v>
      </c>
      <c r="I627">
        <v>0</v>
      </c>
      <c r="J627" s="29"/>
      <c r="K627" s="30"/>
      <c r="L627" s="29"/>
      <c r="O627" s="49"/>
      <c r="Q627" s="22"/>
      <c r="S627" s="22"/>
      <c r="V627" s="47"/>
    </row>
    <row r="628" spans="6:22" x14ac:dyDescent="0.35">
      <c r="F628" t="s">
        <v>5678</v>
      </c>
      <c r="I628">
        <v>0</v>
      </c>
      <c r="J628" s="29"/>
      <c r="K628" s="30"/>
      <c r="L628" s="29"/>
      <c r="O628" s="49"/>
      <c r="Q628" s="22"/>
      <c r="S628" s="22"/>
      <c r="V628" s="47"/>
    </row>
    <row r="629" spans="6:22" x14ac:dyDescent="0.35">
      <c r="F629" t="s">
        <v>5683</v>
      </c>
      <c r="I629">
        <v>0</v>
      </c>
      <c r="J629" s="29"/>
      <c r="K629" s="30"/>
      <c r="L629" s="29"/>
      <c r="O629" s="49"/>
      <c r="Q629" s="22"/>
      <c r="S629" s="22"/>
      <c r="V629" s="47"/>
    </row>
    <row r="630" spans="6:22" x14ac:dyDescent="0.35">
      <c r="F630" t="s">
        <v>5688</v>
      </c>
      <c r="I630">
        <v>0</v>
      </c>
      <c r="J630" s="29"/>
      <c r="K630" s="30"/>
      <c r="L630" s="29"/>
      <c r="O630" s="49"/>
      <c r="Q630" s="22"/>
      <c r="S630" s="22"/>
      <c r="V630" s="47"/>
    </row>
    <row r="631" spans="6:22" x14ac:dyDescent="0.35">
      <c r="F631" t="s">
        <v>5693</v>
      </c>
      <c r="I631">
        <v>0</v>
      </c>
      <c r="J631" s="29"/>
      <c r="K631" s="30"/>
      <c r="L631" s="29"/>
      <c r="O631" s="49"/>
      <c r="Q631" s="22"/>
      <c r="S631" s="22"/>
      <c r="V631" s="47"/>
    </row>
    <row r="632" spans="6:22" x14ac:dyDescent="0.35">
      <c r="F632" t="s">
        <v>5698</v>
      </c>
      <c r="I632">
        <v>0</v>
      </c>
      <c r="J632" s="29"/>
      <c r="K632" s="30"/>
      <c r="L632" s="29"/>
      <c r="O632" s="49"/>
      <c r="Q632" s="22"/>
      <c r="S632" s="22"/>
      <c r="V632" s="47"/>
    </row>
    <row r="633" spans="6:22" x14ac:dyDescent="0.35">
      <c r="F633" t="s">
        <v>5703</v>
      </c>
      <c r="I633">
        <v>0</v>
      </c>
      <c r="J633" s="29"/>
      <c r="K633" s="30"/>
      <c r="L633" s="29"/>
      <c r="M633">
        <v>1</v>
      </c>
      <c r="N633">
        <v>3</v>
      </c>
      <c r="O633" s="49"/>
      <c r="P633">
        <v>3</v>
      </c>
      <c r="Q633" s="22"/>
      <c r="S633" s="22"/>
      <c r="V633" s="47"/>
    </row>
    <row r="634" spans="6:22" x14ac:dyDescent="0.35">
      <c r="F634" t="s">
        <v>5708</v>
      </c>
      <c r="I634">
        <v>1</v>
      </c>
      <c r="J634" s="29"/>
      <c r="K634" s="30"/>
      <c r="L634" s="29"/>
      <c r="O634" s="49"/>
      <c r="Q634" s="22"/>
      <c r="S634" s="22"/>
      <c r="V634" s="47"/>
    </row>
    <row r="635" spans="6:22" x14ac:dyDescent="0.35">
      <c r="F635" t="s">
        <v>5713</v>
      </c>
      <c r="I635">
        <v>0</v>
      </c>
      <c r="J635" s="29"/>
      <c r="K635" s="30"/>
      <c r="L635" s="29"/>
      <c r="M635">
        <v>2</v>
      </c>
      <c r="N635">
        <v>4</v>
      </c>
      <c r="O635" s="49"/>
      <c r="P635">
        <v>4</v>
      </c>
      <c r="Q635" s="22"/>
      <c r="S635" s="22"/>
      <c r="V635" s="47"/>
    </row>
    <row r="636" spans="6:22" x14ac:dyDescent="0.35">
      <c r="F636" t="s">
        <v>5718</v>
      </c>
      <c r="I636">
        <v>1</v>
      </c>
      <c r="J636" s="29"/>
      <c r="K636" s="30"/>
      <c r="L636" s="29"/>
      <c r="O636" s="49"/>
      <c r="Q636" s="22"/>
      <c r="S636" s="22"/>
      <c r="V636" s="47"/>
    </row>
    <row r="637" spans="6:22" x14ac:dyDescent="0.35">
      <c r="F637" t="s">
        <v>5723</v>
      </c>
      <c r="I637">
        <v>0</v>
      </c>
      <c r="J637" s="29"/>
      <c r="K637" s="30"/>
      <c r="L637" s="29"/>
      <c r="O637" s="49"/>
      <c r="Q637" s="22"/>
      <c r="S637" s="22"/>
      <c r="V637" s="47"/>
    </row>
    <row r="638" spans="6:22" x14ac:dyDescent="0.35">
      <c r="F638" t="s">
        <v>5728</v>
      </c>
      <c r="I638">
        <v>0</v>
      </c>
      <c r="J638" s="29"/>
      <c r="K638" s="30"/>
      <c r="L638" s="29"/>
      <c r="O638" s="49"/>
      <c r="Q638" s="22"/>
      <c r="S638" s="22"/>
      <c r="V638" s="47"/>
    </row>
    <row r="639" spans="6:22" x14ac:dyDescent="0.35">
      <c r="F639" t="s">
        <v>5733</v>
      </c>
      <c r="I639">
        <v>0</v>
      </c>
      <c r="J639" s="29"/>
      <c r="K639" s="30"/>
      <c r="L639" s="29"/>
      <c r="O639" s="49"/>
      <c r="Q639" s="22"/>
      <c r="S639" s="22"/>
      <c r="V639" s="47"/>
    </row>
    <row r="640" spans="6:22" x14ac:dyDescent="0.35">
      <c r="F640" t="s">
        <v>5738</v>
      </c>
      <c r="I640">
        <v>0</v>
      </c>
      <c r="J640" s="29"/>
      <c r="K640" s="30"/>
      <c r="L640" s="29"/>
      <c r="M640">
        <v>1</v>
      </c>
      <c r="N640">
        <v>4</v>
      </c>
      <c r="O640" s="49"/>
      <c r="P640">
        <v>4</v>
      </c>
      <c r="Q640" s="22"/>
      <c r="S640" s="22"/>
      <c r="V640" s="47"/>
    </row>
    <row r="641" spans="6:22" x14ac:dyDescent="0.35">
      <c r="F641" t="s">
        <v>5743</v>
      </c>
      <c r="I641">
        <v>1</v>
      </c>
      <c r="J641" s="29"/>
      <c r="K641" s="30"/>
      <c r="L641" s="29"/>
      <c r="O641" s="49"/>
      <c r="Q641" s="22"/>
      <c r="S641" s="22"/>
      <c r="V641" s="47"/>
    </row>
    <row r="642" spans="6:22" x14ac:dyDescent="0.35">
      <c r="F642" t="s">
        <v>5748</v>
      </c>
      <c r="I642">
        <v>0</v>
      </c>
      <c r="J642" s="29"/>
      <c r="K642" s="30"/>
      <c r="L642" s="29"/>
      <c r="M642">
        <v>1</v>
      </c>
      <c r="N642">
        <v>2</v>
      </c>
      <c r="O642" s="49"/>
      <c r="P642">
        <v>3</v>
      </c>
      <c r="Q642" s="22"/>
      <c r="S642" s="22"/>
      <c r="V642" s="47"/>
    </row>
    <row r="643" spans="6:22" x14ac:dyDescent="0.35">
      <c r="F643" t="s">
        <v>5753</v>
      </c>
      <c r="I643">
        <v>1</v>
      </c>
      <c r="J643" s="29"/>
      <c r="K643" s="30"/>
      <c r="L643" s="29"/>
      <c r="O643" s="49"/>
      <c r="Q643" s="22"/>
      <c r="S643" s="22"/>
      <c r="V643" s="47"/>
    </row>
    <row r="644" spans="6:22" x14ac:dyDescent="0.35">
      <c r="H644" t="s">
        <v>26</v>
      </c>
      <c r="I644">
        <v>0</v>
      </c>
      <c r="J644" s="29"/>
      <c r="K644" s="30"/>
      <c r="L644" s="29"/>
      <c r="O644" s="49"/>
      <c r="Q644" s="22"/>
      <c r="S644" s="22"/>
      <c r="V644" s="47"/>
    </row>
    <row r="645" spans="6:22" x14ac:dyDescent="0.35">
      <c r="H645" t="s">
        <v>26</v>
      </c>
      <c r="I645">
        <v>0</v>
      </c>
      <c r="J645" s="29"/>
      <c r="K645" s="30"/>
      <c r="L645" s="29"/>
      <c r="O645" s="49"/>
      <c r="Q645" s="22"/>
      <c r="S645" s="22"/>
      <c r="V645" s="47"/>
    </row>
    <row r="646" spans="6:22" x14ac:dyDescent="0.35">
      <c r="H646" t="s">
        <v>26</v>
      </c>
      <c r="I646">
        <v>0</v>
      </c>
      <c r="J646" s="29"/>
      <c r="K646" s="30"/>
      <c r="L646" s="29"/>
      <c r="O646" s="49"/>
      <c r="Q646" s="22"/>
      <c r="S646" s="22"/>
      <c r="V646" s="47"/>
    </row>
    <row r="647" spans="6:22" x14ac:dyDescent="0.35">
      <c r="H647" t="s">
        <v>26</v>
      </c>
      <c r="I647">
        <v>0</v>
      </c>
      <c r="J647" s="29"/>
      <c r="K647" s="30"/>
      <c r="L647" s="29"/>
      <c r="O647" s="49"/>
      <c r="Q647" s="22"/>
      <c r="S647" s="22"/>
      <c r="V647" s="47"/>
    </row>
    <row r="648" spans="6:22" x14ac:dyDescent="0.35">
      <c r="H648" t="s">
        <v>26</v>
      </c>
      <c r="I648">
        <v>0</v>
      </c>
      <c r="J648" s="29"/>
      <c r="K648" s="30"/>
      <c r="L648" s="29"/>
      <c r="O648" s="49"/>
      <c r="Q648" s="22"/>
      <c r="S648" s="22"/>
      <c r="V648" s="47"/>
    </row>
    <row r="649" spans="6:22" x14ac:dyDescent="0.35">
      <c r="H649" t="s">
        <v>26</v>
      </c>
      <c r="I649">
        <v>0</v>
      </c>
      <c r="J649" s="29"/>
      <c r="K649" s="30"/>
      <c r="L649" s="29"/>
      <c r="O649" s="49"/>
      <c r="Q649" s="22"/>
      <c r="S649" s="22"/>
      <c r="V649" s="47"/>
    </row>
    <row r="650" spans="6:22" x14ac:dyDescent="0.35">
      <c r="H650" t="s">
        <v>26</v>
      </c>
      <c r="I650">
        <v>0</v>
      </c>
      <c r="J650" s="29"/>
      <c r="K650" s="30"/>
      <c r="L650" s="29"/>
      <c r="O650" s="49"/>
      <c r="Q650" s="22"/>
      <c r="S650" s="22"/>
      <c r="V650" s="47"/>
    </row>
    <row r="651" spans="6:22" x14ac:dyDescent="0.35">
      <c r="F651" t="s">
        <v>5756</v>
      </c>
      <c r="H651" t="s">
        <v>26</v>
      </c>
      <c r="I651">
        <v>0</v>
      </c>
      <c r="J651" s="29"/>
      <c r="K651" s="30"/>
      <c r="L651" s="29"/>
      <c r="O651" s="49"/>
      <c r="Q651" s="22"/>
      <c r="S651" s="22"/>
      <c r="V651" s="47"/>
    </row>
    <row r="652" spans="6:22" x14ac:dyDescent="0.35">
      <c r="H652" t="s">
        <v>26</v>
      </c>
      <c r="I652">
        <v>0</v>
      </c>
      <c r="J652" s="29"/>
      <c r="K652" s="30"/>
      <c r="L652" s="29"/>
      <c r="O652" s="49"/>
      <c r="Q652" s="22"/>
      <c r="S652" s="22"/>
      <c r="V652" s="47"/>
    </row>
    <row r="653" spans="6:22" x14ac:dyDescent="0.35">
      <c r="F653" t="s">
        <v>5763</v>
      </c>
      <c r="I653">
        <v>0</v>
      </c>
      <c r="J653" s="29"/>
      <c r="K653" s="30"/>
      <c r="L653" s="29"/>
      <c r="O653" s="49"/>
      <c r="Q653" s="22"/>
      <c r="S653" s="22"/>
      <c r="V653" s="47"/>
    </row>
    <row r="654" spans="6:22" x14ac:dyDescent="0.35">
      <c r="F654" t="s">
        <v>5768</v>
      </c>
      <c r="I654">
        <v>0</v>
      </c>
      <c r="J654" s="29"/>
      <c r="K654" s="30"/>
      <c r="L654" s="29"/>
      <c r="O654" s="49"/>
      <c r="Q654" s="22"/>
      <c r="S654" s="22"/>
      <c r="V654" s="47"/>
    </row>
    <row r="655" spans="6:22" x14ac:dyDescent="0.35">
      <c r="F655" t="s">
        <v>5773</v>
      </c>
      <c r="I655">
        <v>0</v>
      </c>
      <c r="J655" s="29"/>
      <c r="K655" s="30"/>
      <c r="L655" s="29"/>
      <c r="M655">
        <v>2</v>
      </c>
      <c r="N655">
        <v>4</v>
      </c>
      <c r="O655" s="49"/>
      <c r="P655">
        <v>4</v>
      </c>
      <c r="Q655" s="22"/>
      <c r="S655" s="22"/>
      <c r="V655" s="47"/>
    </row>
    <row r="656" spans="6:22" x14ac:dyDescent="0.35">
      <c r="F656" t="s">
        <v>5778</v>
      </c>
      <c r="I656">
        <v>1</v>
      </c>
      <c r="J656" s="29"/>
      <c r="K656" s="30"/>
      <c r="L656" s="29"/>
      <c r="O656" s="49"/>
      <c r="Q656" s="22"/>
      <c r="S656" s="22"/>
      <c r="V656" s="47"/>
    </row>
    <row r="657" spans="6:22" x14ac:dyDescent="0.35">
      <c r="F657" t="s">
        <v>5783</v>
      </c>
      <c r="I657">
        <v>0</v>
      </c>
      <c r="J657" s="29"/>
      <c r="K657" s="30"/>
      <c r="L657" s="29"/>
      <c r="O657" s="49"/>
      <c r="Q657" s="22"/>
      <c r="S657" s="22"/>
      <c r="V657" s="47"/>
    </row>
    <row r="658" spans="6:22" x14ac:dyDescent="0.35">
      <c r="F658" t="s">
        <v>5788</v>
      </c>
      <c r="I658">
        <v>0</v>
      </c>
      <c r="J658" s="29"/>
      <c r="K658" s="30"/>
      <c r="L658" s="29"/>
      <c r="O658" s="49"/>
      <c r="Q658" s="22"/>
      <c r="S658" s="22"/>
      <c r="V658" s="47"/>
    </row>
    <row r="659" spans="6:22" x14ac:dyDescent="0.35">
      <c r="F659" t="s">
        <v>5793</v>
      </c>
      <c r="I659">
        <v>0</v>
      </c>
      <c r="J659" s="29"/>
      <c r="K659" s="30"/>
      <c r="L659" s="29"/>
      <c r="O659" s="49"/>
      <c r="Q659" s="22"/>
      <c r="S659" s="22"/>
      <c r="V659" s="47"/>
    </row>
    <row r="660" spans="6:22" x14ac:dyDescent="0.35">
      <c r="F660" t="s">
        <v>5798</v>
      </c>
      <c r="I660">
        <v>0</v>
      </c>
      <c r="J660" s="29"/>
      <c r="K660" s="30"/>
      <c r="L660" s="29"/>
      <c r="M660">
        <v>1</v>
      </c>
      <c r="N660">
        <v>4</v>
      </c>
      <c r="O660" s="49"/>
      <c r="P660">
        <v>4</v>
      </c>
      <c r="Q660" s="22"/>
      <c r="S660" s="22"/>
      <c r="V660" s="47"/>
    </row>
    <row r="661" spans="6:22" x14ac:dyDescent="0.35">
      <c r="F661" t="s">
        <v>5803</v>
      </c>
      <c r="I661">
        <v>1</v>
      </c>
      <c r="J661" s="29"/>
      <c r="K661" s="30"/>
      <c r="L661" s="29"/>
      <c r="M661">
        <v>1</v>
      </c>
      <c r="N661">
        <v>4</v>
      </c>
      <c r="O661" s="49"/>
      <c r="P661">
        <v>4</v>
      </c>
      <c r="Q661" s="22"/>
      <c r="S661" s="22"/>
      <c r="V661" s="47"/>
    </row>
    <row r="662" spans="6:22" x14ac:dyDescent="0.35">
      <c r="F662" t="s">
        <v>5808</v>
      </c>
      <c r="I662">
        <v>1</v>
      </c>
      <c r="J662" s="29"/>
      <c r="K662" s="30"/>
      <c r="L662" s="29"/>
      <c r="M662">
        <v>4</v>
      </c>
      <c r="N662">
        <v>4</v>
      </c>
      <c r="O662" s="49"/>
      <c r="P662">
        <v>4</v>
      </c>
      <c r="Q662" s="22"/>
      <c r="S662" s="22"/>
      <c r="V662" s="47"/>
    </row>
    <row r="663" spans="6:22" x14ac:dyDescent="0.35">
      <c r="F663" t="s">
        <v>5813</v>
      </c>
      <c r="I663">
        <v>1</v>
      </c>
      <c r="J663" s="29"/>
      <c r="K663" s="30"/>
      <c r="L663" s="29"/>
      <c r="M663">
        <v>4</v>
      </c>
      <c r="N663">
        <v>4</v>
      </c>
      <c r="O663" s="49"/>
      <c r="P663">
        <v>4</v>
      </c>
      <c r="Q663" s="22"/>
      <c r="S663" s="22"/>
      <c r="V663" s="47"/>
    </row>
    <row r="664" spans="6:22" x14ac:dyDescent="0.35">
      <c r="F664" t="s">
        <v>5818</v>
      </c>
      <c r="I664">
        <v>1</v>
      </c>
      <c r="J664" s="29"/>
      <c r="K664" s="30"/>
      <c r="L664" s="29"/>
      <c r="M664">
        <v>3</v>
      </c>
      <c r="N664">
        <v>4</v>
      </c>
      <c r="O664" s="49"/>
      <c r="P664">
        <v>4</v>
      </c>
      <c r="Q664" s="22"/>
      <c r="S664" s="22"/>
      <c r="V664" s="47"/>
    </row>
    <row r="665" spans="6:22" x14ac:dyDescent="0.35">
      <c r="F665" t="s">
        <v>5823</v>
      </c>
      <c r="I665">
        <v>1</v>
      </c>
      <c r="J665" s="29"/>
      <c r="K665" s="30"/>
      <c r="L665" s="29"/>
      <c r="O665" s="49"/>
      <c r="Q665" s="22"/>
      <c r="S665" s="22"/>
      <c r="V665" s="47"/>
    </row>
    <row r="666" spans="6:22" x14ac:dyDescent="0.35">
      <c r="F666" t="s">
        <v>5828</v>
      </c>
      <c r="I666">
        <v>0</v>
      </c>
      <c r="J666" s="29"/>
      <c r="K666" s="30"/>
      <c r="L666" s="29"/>
      <c r="M666">
        <v>4</v>
      </c>
      <c r="N666">
        <v>4</v>
      </c>
      <c r="O666" s="49"/>
      <c r="P666">
        <v>4</v>
      </c>
      <c r="Q666" s="22"/>
      <c r="S666" s="22"/>
      <c r="V666" s="47"/>
    </row>
    <row r="667" spans="6:22" x14ac:dyDescent="0.35">
      <c r="F667" t="s">
        <v>5833</v>
      </c>
      <c r="I667">
        <v>1</v>
      </c>
      <c r="J667" s="29"/>
      <c r="K667" s="30"/>
      <c r="L667" s="29"/>
      <c r="M667">
        <v>3</v>
      </c>
      <c r="N667">
        <v>4</v>
      </c>
      <c r="O667" s="49"/>
      <c r="P667">
        <v>4</v>
      </c>
      <c r="Q667" s="22"/>
      <c r="S667" s="22"/>
      <c r="V667" s="47"/>
    </row>
    <row r="668" spans="6:22" x14ac:dyDescent="0.35">
      <c r="F668" t="s">
        <v>5838</v>
      </c>
      <c r="I668">
        <v>1</v>
      </c>
      <c r="J668" s="29"/>
      <c r="K668" s="30"/>
      <c r="L668" s="29"/>
      <c r="M668">
        <v>4</v>
      </c>
      <c r="N668">
        <v>4</v>
      </c>
      <c r="O668" s="49"/>
      <c r="P668">
        <v>3</v>
      </c>
      <c r="Q668" s="22"/>
      <c r="S668" s="22"/>
      <c r="V668" s="47"/>
    </row>
    <row r="669" spans="6:22" x14ac:dyDescent="0.35">
      <c r="F669" t="s">
        <v>5843</v>
      </c>
      <c r="I669">
        <v>1</v>
      </c>
      <c r="J669" s="29"/>
      <c r="K669" s="30"/>
      <c r="L669" s="29"/>
      <c r="M669">
        <v>4</v>
      </c>
      <c r="N669">
        <v>4</v>
      </c>
      <c r="O669" s="49"/>
      <c r="P669">
        <v>4</v>
      </c>
      <c r="Q669" s="22"/>
      <c r="S669" s="22"/>
      <c r="V669" s="47"/>
    </row>
    <row r="670" spans="6:22" x14ac:dyDescent="0.35">
      <c r="F670" t="s">
        <v>5848</v>
      </c>
      <c r="I670">
        <v>1</v>
      </c>
      <c r="J670" s="29"/>
      <c r="K670" s="30"/>
      <c r="L670" s="29"/>
      <c r="M670">
        <v>4</v>
      </c>
      <c r="N670">
        <v>4</v>
      </c>
      <c r="O670" s="49"/>
      <c r="P670">
        <v>4</v>
      </c>
    </row>
    <row r="671" spans="6:22" x14ac:dyDescent="0.35">
      <c r="F671" t="s">
        <v>5853</v>
      </c>
      <c r="I671">
        <v>1</v>
      </c>
      <c r="J671" s="29"/>
      <c r="K671" s="30"/>
      <c r="L671" s="29"/>
      <c r="O671" s="49"/>
    </row>
    <row r="672" spans="6:22" x14ac:dyDescent="0.35">
      <c r="F672" t="s">
        <v>5858</v>
      </c>
      <c r="I672">
        <v>0</v>
      </c>
      <c r="J672" s="29"/>
      <c r="K672" s="30"/>
      <c r="L672" s="29"/>
      <c r="M672">
        <v>4</v>
      </c>
      <c r="N672">
        <v>4</v>
      </c>
      <c r="O672" s="49"/>
      <c r="P672">
        <v>4</v>
      </c>
    </row>
    <row r="673" spans="6:16" x14ac:dyDescent="0.35">
      <c r="F673" t="s">
        <v>5863</v>
      </c>
      <c r="I673">
        <v>0</v>
      </c>
      <c r="J673" s="29"/>
      <c r="K673" s="30"/>
      <c r="L673" s="29"/>
      <c r="O673" s="49"/>
    </row>
    <row r="674" spans="6:16" x14ac:dyDescent="0.35">
      <c r="F674" t="s">
        <v>5868</v>
      </c>
      <c r="I674">
        <v>0</v>
      </c>
      <c r="J674" s="29"/>
      <c r="K674" s="30"/>
      <c r="L674" s="29"/>
      <c r="M674">
        <v>3</v>
      </c>
      <c r="N674">
        <v>4</v>
      </c>
      <c r="O674" s="49"/>
      <c r="P674">
        <v>3</v>
      </c>
    </row>
    <row r="675" spans="6:16" x14ac:dyDescent="0.35">
      <c r="F675" t="s">
        <v>5873</v>
      </c>
      <c r="I675">
        <v>0</v>
      </c>
      <c r="J675" s="29"/>
      <c r="K675" s="30"/>
      <c r="L675" s="29"/>
      <c r="O675" s="49"/>
    </row>
    <row r="676" spans="6:16" x14ac:dyDescent="0.35">
      <c r="F676" t="s">
        <v>5878</v>
      </c>
      <c r="I676">
        <v>0</v>
      </c>
      <c r="J676" s="29"/>
      <c r="K676" s="30"/>
      <c r="L676" s="29"/>
      <c r="O676" s="49"/>
    </row>
    <row r="677" spans="6:16" x14ac:dyDescent="0.35">
      <c r="F677" t="s">
        <v>5883</v>
      </c>
      <c r="I677">
        <v>0</v>
      </c>
      <c r="J677" s="29"/>
      <c r="K677" s="30"/>
      <c r="L677" s="29"/>
      <c r="O677" s="49"/>
    </row>
    <row r="678" spans="6:16" x14ac:dyDescent="0.35">
      <c r="F678" t="s">
        <v>5888</v>
      </c>
      <c r="I678">
        <v>0</v>
      </c>
      <c r="J678" s="29"/>
      <c r="K678" s="30"/>
      <c r="L678" s="29"/>
      <c r="O678" s="49"/>
    </row>
    <row r="679" spans="6:16" x14ac:dyDescent="0.35">
      <c r="F679" t="s">
        <v>5893</v>
      </c>
      <c r="I679">
        <v>0</v>
      </c>
      <c r="J679" s="29"/>
      <c r="K679" s="30"/>
      <c r="L679" s="29"/>
      <c r="M679">
        <v>1</v>
      </c>
      <c r="N679">
        <v>4</v>
      </c>
      <c r="O679" s="49"/>
      <c r="P679">
        <v>4</v>
      </c>
    </row>
    <row r="680" spans="6:16" x14ac:dyDescent="0.35">
      <c r="F680" t="s">
        <v>5898</v>
      </c>
      <c r="I680">
        <v>1</v>
      </c>
      <c r="J680" s="29"/>
      <c r="K680" s="30"/>
      <c r="L680" s="29"/>
      <c r="O680" s="49"/>
    </row>
    <row r="681" spans="6:16" x14ac:dyDescent="0.35">
      <c r="F681" t="s">
        <v>5903</v>
      </c>
      <c r="I681">
        <v>0</v>
      </c>
      <c r="J681" s="29"/>
      <c r="K681" s="30"/>
      <c r="L681" s="29"/>
      <c r="M681">
        <v>1</v>
      </c>
      <c r="N681">
        <v>4</v>
      </c>
      <c r="O681" s="49"/>
      <c r="P681">
        <v>4</v>
      </c>
    </row>
    <row r="682" spans="6:16" x14ac:dyDescent="0.35">
      <c r="F682" t="s">
        <v>5908</v>
      </c>
      <c r="I682">
        <v>1</v>
      </c>
      <c r="J682" s="29"/>
      <c r="K682" s="30"/>
      <c r="L682" s="29"/>
      <c r="O682" s="49"/>
    </row>
    <row r="683" spans="6:16" x14ac:dyDescent="0.35">
      <c r="F683" t="s">
        <v>5913</v>
      </c>
      <c r="I683">
        <v>0</v>
      </c>
      <c r="J683" s="29"/>
      <c r="K683" s="30"/>
      <c r="L683" s="29"/>
      <c r="O683" s="49"/>
    </row>
    <row r="684" spans="6:16" x14ac:dyDescent="0.35">
      <c r="F684" t="s">
        <v>5918</v>
      </c>
      <c r="I684">
        <v>0</v>
      </c>
      <c r="J684" s="29"/>
      <c r="K684" s="30"/>
      <c r="L684" s="29"/>
      <c r="M684">
        <v>1</v>
      </c>
      <c r="N684">
        <v>4</v>
      </c>
      <c r="O684" s="49"/>
      <c r="P684">
        <v>4</v>
      </c>
    </row>
    <row r="685" spans="6:16" x14ac:dyDescent="0.35">
      <c r="F685" t="s">
        <v>5923</v>
      </c>
      <c r="I685">
        <v>1</v>
      </c>
      <c r="J685" s="29"/>
      <c r="K685" s="30"/>
      <c r="L685" s="29"/>
      <c r="M685">
        <v>2</v>
      </c>
      <c r="N685">
        <v>4</v>
      </c>
      <c r="O685" s="49"/>
      <c r="P685">
        <v>4</v>
      </c>
    </row>
    <row r="686" spans="6:16" x14ac:dyDescent="0.35">
      <c r="F686" t="s">
        <v>5928</v>
      </c>
      <c r="I686">
        <v>1</v>
      </c>
      <c r="J686" s="29"/>
      <c r="K686" s="30"/>
      <c r="L686" s="29"/>
      <c r="M686">
        <v>1</v>
      </c>
      <c r="N686">
        <v>4</v>
      </c>
      <c r="O686" s="49"/>
      <c r="P686">
        <v>4</v>
      </c>
    </row>
    <row r="687" spans="6:16" x14ac:dyDescent="0.35">
      <c r="F687" t="s">
        <v>5933</v>
      </c>
      <c r="I687">
        <v>1</v>
      </c>
      <c r="J687" s="29"/>
      <c r="K687" s="30"/>
      <c r="L687" s="29"/>
      <c r="M687">
        <v>2</v>
      </c>
      <c r="N687">
        <v>4</v>
      </c>
      <c r="O687" s="49"/>
      <c r="P687">
        <v>4</v>
      </c>
    </row>
    <row r="688" spans="6:16" x14ac:dyDescent="0.35">
      <c r="F688" t="s">
        <v>5938</v>
      </c>
      <c r="I688">
        <v>1</v>
      </c>
      <c r="J688" s="29"/>
      <c r="K688" s="30"/>
      <c r="L688" s="29"/>
      <c r="O688" s="49"/>
    </row>
    <row r="689" spans="6:16" x14ac:dyDescent="0.35">
      <c r="F689" t="s">
        <v>5943</v>
      </c>
      <c r="I689">
        <v>0</v>
      </c>
      <c r="J689" s="29"/>
      <c r="K689" s="30"/>
      <c r="L689" s="29"/>
      <c r="O689" s="49"/>
    </row>
    <row r="690" spans="6:16" x14ac:dyDescent="0.35">
      <c r="F690" t="s">
        <v>5948</v>
      </c>
      <c r="I690">
        <v>0</v>
      </c>
      <c r="J690" s="29"/>
      <c r="K690" s="30"/>
      <c r="L690" s="29"/>
      <c r="O690" s="49"/>
    </row>
    <row r="691" spans="6:16" x14ac:dyDescent="0.35">
      <c r="F691" t="s">
        <v>5953</v>
      </c>
      <c r="I691">
        <v>0</v>
      </c>
      <c r="J691" s="29"/>
      <c r="K691" s="30"/>
      <c r="L691" s="29"/>
      <c r="O691" s="49"/>
    </row>
    <row r="692" spans="6:16" x14ac:dyDescent="0.35">
      <c r="F692" t="s">
        <v>5958</v>
      </c>
      <c r="I692">
        <v>0</v>
      </c>
      <c r="J692" s="29"/>
      <c r="K692" s="30"/>
      <c r="L692" s="29"/>
      <c r="O692" s="49"/>
    </row>
    <row r="693" spans="6:16" x14ac:dyDescent="0.35">
      <c r="F693" t="s">
        <v>5963</v>
      </c>
      <c r="I693">
        <v>0</v>
      </c>
      <c r="J693" s="29"/>
      <c r="K693" s="30"/>
      <c r="L693" s="29"/>
      <c r="O693" s="49"/>
    </row>
    <row r="694" spans="6:16" x14ac:dyDescent="0.35">
      <c r="F694" t="s">
        <v>5968</v>
      </c>
      <c r="I694">
        <v>0</v>
      </c>
      <c r="J694" s="29"/>
      <c r="K694" s="30"/>
      <c r="L694" s="29"/>
      <c r="O694" s="49"/>
    </row>
    <row r="695" spans="6:16" x14ac:dyDescent="0.35">
      <c r="F695" t="s">
        <v>5973</v>
      </c>
      <c r="I695">
        <v>0</v>
      </c>
      <c r="J695" s="29"/>
      <c r="K695" s="30"/>
      <c r="L695" s="29"/>
      <c r="M695">
        <v>1</v>
      </c>
      <c r="N695">
        <v>4</v>
      </c>
      <c r="O695" s="49"/>
      <c r="P695">
        <v>4</v>
      </c>
    </row>
    <row r="696" spans="6:16" x14ac:dyDescent="0.35">
      <c r="F696" t="s">
        <v>5978</v>
      </c>
      <c r="I696">
        <v>1</v>
      </c>
      <c r="J696" s="29"/>
      <c r="K696" s="30"/>
      <c r="L696" s="29"/>
      <c r="M696">
        <v>3</v>
      </c>
      <c r="N696">
        <v>2</v>
      </c>
      <c r="O696" s="49"/>
      <c r="P696">
        <v>4</v>
      </c>
    </row>
    <row r="697" spans="6:16" x14ac:dyDescent="0.35">
      <c r="F697" t="s">
        <v>5983</v>
      </c>
      <c r="I697">
        <v>1</v>
      </c>
      <c r="J697" s="29"/>
      <c r="K697" s="30"/>
      <c r="L697" s="29"/>
      <c r="O697" s="49"/>
    </row>
    <row r="698" spans="6:16" x14ac:dyDescent="0.35">
      <c r="F698" t="s">
        <v>5988</v>
      </c>
      <c r="H698" t="s">
        <v>26</v>
      </c>
      <c r="I698"/>
      <c r="J698" s="29"/>
      <c r="K698" s="30"/>
      <c r="L698" s="29"/>
      <c r="O698" s="49"/>
    </row>
    <row r="699" spans="6:16" x14ac:dyDescent="0.35">
      <c r="F699" t="s">
        <v>5993</v>
      </c>
      <c r="I699">
        <v>0</v>
      </c>
      <c r="J699" s="29"/>
      <c r="K699" s="30"/>
      <c r="L699" s="29"/>
      <c r="M699">
        <v>4</v>
      </c>
      <c r="N699">
        <v>4</v>
      </c>
      <c r="O699" s="49"/>
      <c r="P699">
        <v>4</v>
      </c>
    </row>
    <row r="700" spans="6:16" x14ac:dyDescent="0.35">
      <c r="F700" t="s">
        <v>5998</v>
      </c>
      <c r="I700">
        <v>0</v>
      </c>
      <c r="J700" s="29"/>
      <c r="K700" s="30"/>
      <c r="L700" s="29"/>
      <c r="M700">
        <v>4</v>
      </c>
      <c r="N700">
        <v>4</v>
      </c>
      <c r="O700" s="49"/>
      <c r="P700">
        <v>4</v>
      </c>
    </row>
    <row r="701" spans="6:16" x14ac:dyDescent="0.35">
      <c r="F701" t="s">
        <v>6003</v>
      </c>
      <c r="I701">
        <v>0</v>
      </c>
      <c r="J701" s="29"/>
      <c r="K701" s="30"/>
      <c r="L701" s="29"/>
      <c r="M701">
        <v>1</v>
      </c>
      <c r="N701">
        <v>2</v>
      </c>
      <c r="O701" s="49"/>
      <c r="P701">
        <v>4</v>
      </c>
    </row>
    <row r="702" spans="6:16" x14ac:dyDescent="0.35">
      <c r="F702" t="s">
        <v>6008</v>
      </c>
      <c r="I702">
        <v>1</v>
      </c>
      <c r="J702" s="29"/>
      <c r="K702" s="30"/>
      <c r="L702" s="29"/>
      <c r="O702" s="49"/>
    </row>
    <row r="703" spans="6:16" x14ac:dyDescent="0.35">
      <c r="F703" t="s">
        <v>6013</v>
      </c>
      <c r="I703">
        <v>0</v>
      </c>
      <c r="J703" s="29"/>
      <c r="K703" s="30"/>
      <c r="L703" s="29"/>
      <c r="O703" s="49"/>
    </row>
    <row r="704" spans="6:16" x14ac:dyDescent="0.35">
      <c r="F704" t="s">
        <v>6018</v>
      </c>
      <c r="I704">
        <v>0</v>
      </c>
      <c r="J704" s="29"/>
      <c r="K704" s="30"/>
      <c r="L704" s="29"/>
      <c r="O704" s="49"/>
    </row>
    <row r="705" spans="6:16" x14ac:dyDescent="0.35">
      <c r="F705" t="s">
        <v>6023</v>
      </c>
      <c r="I705">
        <v>0</v>
      </c>
      <c r="J705" s="29"/>
      <c r="K705" s="30"/>
      <c r="L705" s="29"/>
      <c r="O705" s="49"/>
    </row>
    <row r="706" spans="6:16" x14ac:dyDescent="0.35">
      <c r="F706" t="s">
        <v>6028</v>
      </c>
      <c r="I706">
        <v>0</v>
      </c>
      <c r="J706" s="29"/>
      <c r="K706" s="30"/>
      <c r="L706" s="29"/>
      <c r="O706" s="49"/>
    </row>
    <row r="707" spans="6:16" x14ac:dyDescent="0.35">
      <c r="F707" t="s">
        <v>6033</v>
      </c>
      <c r="I707">
        <v>0</v>
      </c>
      <c r="J707" s="29"/>
      <c r="K707" s="30"/>
      <c r="L707" s="29"/>
      <c r="O707" s="49"/>
    </row>
    <row r="708" spans="6:16" x14ac:dyDescent="0.35">
      <c r="F708" t="s">
        <v>6038</v>
      </c>
      <c r="I708">
        <v>0</v>
      </c>
      <c r="J708" s="29"/>
      <c r="K708" s="30"/>
      <c r="L708" s="29"/>
      <c r="M708">
        <v>1</v>
      </c>
      <c r="N708">
        <v>4</v>
      </c>
      <c r="O708" s="49"/>
      <c r="P708">
        <v>4</v>
      </c>
    </row>
    <row r="709" spans="6:16" x14ac:dyDescent="0.35">
      <c r="F709" t="s">
        <v>6043</v>
      </c>
      <c r="I709">
        <v>1</v>
      </c>
      <c r="J709" s="29"/>
      <c r="K709" s="30"/>
      <c r="L709" s="29"/>
      <c r="M709">
        <v>3</v>
      </c>
      <c r="N709">
        <v>4</v>
      </c>
      <c r="O709" s="49"/>
      <c r="P709">
        <v>4</v>
      </c>
    </row>
    <row r="710" spans="6:16" x14ac:dyDescent="0.35">
      <c r="F710" t="s">
        <v>6048</v>
      </c>
      <c r="I710">
        <v>1</v>
      </c>
      <c r="J710" s="29"/>
      <c r="K710" s="30"/>
      <c r="L710" s="29"/>
      <c r="O710" s="49"/>
    </row>
    <row r="711" spans="6:16" x14ac:dyDescent="0.35">
      <c r="F711" t="s">
        <v>6053</v>
      </c>
      <c r="I711">
        <v>0</v>
      </c>
      <c r="J711" s="29"/>
      <c r="K711" s="30"/>
      <c r="L711" s="29"/>
      <c r="O711" s="49"/>
    </row>
    <row r="712" spans="6:16" x14ac:dyDescent="0.35">
      <c r="F712" t="s">
        <v>6058</v>
      </c>
      <c r="I712">
        <v>0</v>
      </c>
      <c r="J712" s="29"/>
      <c r="K712" s="30"/>
      <c r="L712" s="29"/>
      <c r="O712" s="49"/>
    </row>
    <row r="713" spans="6:16" x14ac:dyDescent="0.35">
      <c r="F713" t="s">
        <v>6063</v>
      </c>
      <c r="I713">
        <v>0</v>
      </c>
      <c r="J713" s="29"/>
      <c r="K713" s="30"/>
      <c r="L713" s="29"/>
      <c r="O713" s="49"/>
    </row>
    <row r="714" spans="6:16" x14ac:dyDescent="0.35">
      <c r="F714" t="s">
        <v>6068</v>
      </c>
      <c r="I714">
        <v>0</v>
      </c>
      <c r="J714" s="29"/>
      <c r="K714" s="30"/>
      <c r="L714" s="29"/>
      <c r="O714" s="49"/>
    </row>
    <row r="715" spans="6:16" x14ac:dyDescent="0.35">
      <c r="F715" t="s">
        <v>6073</v>
      </c>
      <c r="I715">
        <v>0</v>
      </c>
      <c r="J715" s="29"/>
      <c r="K715" s="30"/>
      <c r="L715" s="29"/>
      <c r="O715" s="49"/>
    </row>
    <row r="716" spans="6:16" x14ac:dyDescent="0.35">
      <c r="F716" t="s">
        <v>6078</v>
      </c>
      <c r="I716">
        <v>0</v>
      </c>
      <c r="J716" s="29"/>
      <c r="K716" s="30"/>
      <c r="L716" s="29"/>
      <c r="O716" s="49"/>
    </row>
    <row r="717" spans="6:16" x14ac:dyDescent="0.35">
      <c r="F717" t="s">
        <v>6083</v>
      </c>
      <c r="I717">
        <v>0</v>
      </c>
      <c r="J717" s="29"/>
      <c r="K717" s="30"/>
      <c r="L717" s="29"/>
      <c r="M717">
        <v>2</v>
      </c>
      <c r="N717">
        <v>4</v>
      </c>
      <c r="O717" s="49"/>
      <c r="P717">
        <v>4</v>
      </c>
    </row>
    <row r="718" spans="6:16" x14ac:dyDescent="0.35">
      <c r="F718" t="s">
        <v>6088</v>
      </c>
      <c r="I718">
        <v>1</v>
      </c>
      <c r="J718" s="29"/>
      <c r="K718" s="30"/>
      <c r="L718" s="29"/>
      <c r="O718" s="49"/>
    </row>
    <row r="719" spans="6:16" x14ac:dyDescent="0.35">
      <c r="F719" t="s">
        <v>6093</v>
      </c>
      <c r="I719">
        <v>0</v>
      </c>
      <c r="J719" s="29"/>
      <c r="K719" s="30"/>
      <c r="L719" s="29"/>
      <c r="M719">
        <v>3</v>
      </c>
      <c r="N719">
        <v>4</v>
      </c>
      <c r="O719" s="49"/>
      <c r="P719">
        <v>4</v>
      </c>
    </row>
    <row r="720" spans="6:16" x14ac:dyDescent="0.35">
      <c r="F720" t="s">
        <v>6098</v>
      </c>
      <c r="I720">
        <v>0</v>
      </c>
      <c r="J720" s="29"/>
      <c r="K720" s="30"/>
      <c r="L720" s="29"/>
      <c r="M720">
        <v>4</v>
      </c>
      <c r="N720">
        <v>4</v>
      </c>
      <c r="O720" s="49"/>
      <c r="P720">
        <v>4</v>
      </c>
    </row>
    <row r="721" spans="6:16" x14ac:dyDescent="0.35">
      <c r="F721" t="s">
        <v>6103</v>
      </c>
      <c r="I721">
        <v>0</v>
      </c>
      <c r="J721" s="29"/>
      <c r="K721" s="30"/>
      <c r="L721" s="29"/>
      <c r="O721" s="49"/>
    </row>
    <row r="722" spans="6:16" x14ac:dyDescent="0.35">
      <c r="F722" t="s">
        <v>6108</v>
      </c>
      <c r="I722">
        <v>0</v>
      </c>
      <c r="J722" s="29"/>
      <c r="K722" s="30"/>
      <c r="L722" s="29"/>
      <c r="M722">
        <v>1</v>
      </c>
      <c r="N722">
        <v>3</v>
      </c>
      <c r="O722" s="49"/>
      <c r="P722">
        <v>3</v>
      </c>
    </row>
    <row r="723" spans="6:16" x14ac:dyDescent="0.35">
      <c r="F723" t="s">
        <v>6113</v>
      </c>
      <c r="I723">
        <v>1</v>
      </c>
      <c r="J723" s="29"/>
      <c r="K723" s="30"/>
      <c r="L723" s="29"/>
      <c r="O723" s="49"/>
    </row>
    <row r="724" spans="6:16" x14ac:dyDescent="0.35">
      <c r="F724" t="s">
        <v>6118</v>
      </c>
      <c r="I724">
        <v>0</v>
      </c>
      <c r="J724" s="29"/>
      <c r="K724" s="30"/>
      <c r="L724" s="29"/>
      <c r="M724">
        <v>3</v>
      </c>
      <c r="N724">
        <v>4</v>
      </c>
      <c r="O724" s="49"/>
      <c r="P724">
        <v>4</v>
      </c>
    </row>
    <row r="725" spans="6:16" x14ac:dyDescent="0.35">
      <c r="F725" t="s">
        <v>6123</v>
      </c>
      <c r="I725">
        <v>0</v>
      </c>
      <c r="J725" s="29"/>
      <c r="K725" s="30"/>
      <c r="L725" s="29"/>
      <c r="O725" s="49"/>
    </row>
    <row r="726" spans="6:16" x14ac:dyDescent="0.35">
      <c r="F726" t="s">
        <v>6128</v>
      </c>
      <c r="I726">
        <v>0</v>
      </c>
      <c r="J726" s="29"/>
      <c r="K726" s="30"/>
      <c r="L726" s="29"/>
      <c r="O726" s="49"/>
    </row>
    <row r="727" spans="6:16" x14ac:dyDescent="0.35">
      <c r="H727" t="s">
        <v>26</v>
      </c>
      <c r="I727"/>
      <c r="J727" s="29"/>
      <c r="K727" s="30"/>
      <c r="L727" s="29"/>
      <c r="O727" s="49"/>
    </row>
    <row r="728" spans="6:16" x14ac:dyDescent="0.35">
      <c r="H728" t="s">
        <v>26</v>
      </c>
      <c r="I728"/>
      <c r="J728" s="29"/>
      <c r="K728" s="30"/>
      <c r="L728" s="29"/>
      <c r="O728" s="49"/>
    </row>
    <row r="729" spans="6:16" x14ac:dyDescent="0.35">
      <c r="H729" t="s">
        <v>26</v>
      </c>
      <c r="I729"/>
      <c r="J729" s="29"/>
      <c r="K729" s="30"/>
      <c r="L729" s="29"/>
      <c r="O729" s="49"/>
    </row>
    <row r="730" spans="6:16" x14ac:dyDescent="0.35">
      <c r="H730" t="s">
        <v>26</v>
      </c>
      <c r="I730"/>
      <c r="J730" s="29"/>
      <c r="K730" s="30"/>
      <c r="L730" s="29"/>
      <c r="O730" s="49"/>
    </row>
    <row r="731" spans="6:16" x14ac:dyDescent="0.35">
      <c r="H731" t="s">
        <v>26</v>
      </c>
      <c r="I731"/>
      <c r="J731" s="29"/>
      <c r="K731" s="30"/>
      <c r="L731" s="29"/>
      <c r="O731" s="49"/>
    </row>
    <row r="732" spans="6:16" x14ac:dyDescent="0.35">
      <c r="H732" t="s">
        <v>26</v>
      </c>
      <c r="I732"/>
      <c r="J732" s="29"/>
      <c r="K732" s="30"/>
      <c r="L732" s="29"/>
      <c r="O732" s="49"/>
    </row>
    <row r="733" spans="6:16" x14ac:dyDescent="0.35">
      <c r="H733" t="s">
        <v>26</v>
      </c>
      <c r="I733"/>
      <c r="J733" s="29"/>
      <c r="K733" s="30"/>
      <c r="L733" s="29"/>
      <c r="O733" s="49"/>
    </row>
    <row r="734" spans="6:16" x14ac:dyDescent="0.35">
      <c r="H734" t="s">
        <v>26</v>
      </c>
      <c r="I734"/>
      <c r="J734" s="29"/>
      <c r="K734" s="30"/>
      <c r="L734" s="29"/>
      <c r="O734" s="49"/>
    </row>
    <row r="735" spans="6:16" x14ac:dyDescent="0.35">
      <c r="H735" t="s">
        <v>26</v>
      </c>
      <c r="I735"/>
      <c r="J735" s="29"/>
      <c r="K735" s="30"/>
      <c r="L735" s="29"/>
      <c r="O735" s="49"/>
    </row>
    <row r="736" spans="6:16" x14ac:dyDescent="0.35">
      <c r="H736" t="s">
        <v>26</v>
      </c>
      <c r="I736"/>
      <c r="J736" s="29"/>
      <c r="K736" s="30"/>
      <c r="L736" s="29"/>
      <c r="O736" s="49"/>
    </row>
    <row r="737" spans="8:15" x14ac:dyDescent="0.35">
      <c r="H737" t="s">
        <v>26</v>
      </c>
      <c r="I737"/>
      <c r="J737" s="29"/>
      <c r="K737" s="30"/>
      <c r="L737" s="29"/>
      <c r="O737" s="49"/>
    </row>
    <row r="738" spans="8:15" x14ac:dyDescent="0.35">
      <c r="H738" t="s">
        <v>26</v>
      </c>
      <c r="I738"/>
      <c r="J738" s="29"/>
      <c r="K738" s="30"/>
      <c r="L738" s="29"/>
      <c r="O738" s="49"/>
    </row>
    <row r="739" spans="8:15" x14ac:dyDescent="0.35">
      <c r="H739" t="s">
        <v>26</v>
      </c>
      <c r="I739"/>
      <c r="J739" s="29"/>
      <c r="K739" s="30"/>
      <c r="L739" s="29"/>
      <c r="O739" s="49"/>
    </row>
    <row r="740" spans="8:15" x14ac:dyDescent="0.35">
      <c r="H740" t="s">
        <v>26</v>
      </c>
      <c r="I740"/>
      <c r="J740" s="29"/>
      <c r="K740" s="30"/>
      <c r="L740" s="29"/>
      <c r="O740" s="49"/>
    </row>
    <row r="741" spans="8:15" x14ac:dyDescent="0.35">
      <c r="H741" t="s">
        <v>26</v>
      </c>
      <c r="I741"/>
      <c r="J741" s="29"/>
      <c r="K741" s="30"/>
      <c r="L741" s="29"/>
      <c r="O741" s="49"/>
    </row>
    <row r="742" spans="8:15" x14ac:dyDescent="0.35">
      <c r="H742" t="s">
        <v>26</v>
      </c>
      <c r="I742"/>
      <c r="J742" s="29"/>
      <c r="K742" s="30"/>
      <c r="L742" s="29"/>
      <c r="O742" s="49"/>
    </row>
    <row r="743" spans="8:15" x14ac:dyDescent="0.35">
      <c r="H743" t="s">
        <v>26</v>
      </c>
      <c r="I743"/>
      <c r="J743" s="29"/>
      <c r="K743" s="30"/>
      <c r="L743" s="29"/>
      <c r="O743" s="49"/>
    </row>
    <row r="744" spans="8:15" x14ac:dyDescent="0.35">
      <c r="H744" t="s">
        <v>26</v>
      </c>
      <c r="I744"/>
      <c r="J744" s="29"/>
      <c r="K744" s="30"/>
      <c r="L744" s="29"/>
      <c r="O744" s="49"/>
    </row>
    <row r="745" spans="8:15" x14ac:dyDescent="0.35">
      <c r="H745" t="s">
        <v>26</v>
      </c>
      <c r="I745"/>
      <c r="J745" s="29"/>
      <c r="K745" s="30"/>
      <c r="L745" s="29"/>
      <c r="O745" s="49"/>
    </row>
    <row r="746" spans="8:15" x14ac:dyDescent="0.35">
      <c r="H746" t="s">
        <v>26</v>
      </c>
      <c r="I746"/>
      <c r="J746" s="29"/>
      <c r="K746" s="30"/>
      <c r="L746" s="29"/>
      <c r="O746" s="49"/>
    </row>
    <row r="747" spans="8:15" x14ac:dyDescent="0.35">
      <c r="H747" t="s">
        <v>26</v>
      </c>
      <c r="I747"/>
      <c r="J747" s="29"/>
      <c r="K747" s="30"/>
      <c r="L747" s="29"/>
      <c r="O747" s="49"/>
    </row>
    <row r="748" spans="8:15" x14ac:dyDescent="0.35">
      <c r="H748" t="s">
        <v>26</v>
      </c>
      <c r="I748"/>
      <c r="J748" s="29"/>
      <c r="K748" s="30"/>
      <c r="L748" s="29"/>
      <c r="O748" s="49"/>
    </row>
    <row r="749" spans="8:15" x14ac:dyDescent="0.35">
      <c r="H749" t="s">
        <v>26</v>
      </c>
      <c r="I749"/>
      <c r="J749" s="29"/>
      <c r="K749" s="30"/>
      <c r="L749" s="29"/>
      <c r="O749" s="49"/>
    </row>
    <row r="750" spans="8:15" x14ac:dyDescent="0.35">
      <c r="H750" t="s">
        <v>26</v>
      </c>
      <c r="I750"/>
      <c r="J750" s="29"/>
      <c r="K750" s="30"/>
      <c r="L750" s="29"/>
      <c r="O750" s="49"/>
    </row>
    <row r="751" spans="8:15" x14ac:dyDescent="0.35">
      <c r="H751" t="s">
        <v>26</v>
      </c>
      <c r="I751"/>
      <c r="J751" s="29"/>
      <c r="K751" s="30"/>
      <c r="L751" s="29"/>
      <c r="O751" s="49"/>
    </row>
    <row r="752" spans="8:15" x14ac:dyDescent="0.35">
      <c r="H752" t="s">
        <v>26</v>
      </c>
      <c r="I752"/>
      <c r="J752" s="29"/>
      <c r="K752" s="30"/>
      <c r="L752" s="29"/>
      <c r="O752" s="49"/>
    </row>
    <row r="753" spans="6:16" x14ac:dyDescent="0.35">
      <c r="H753" t="s">
        <v>26</v>
      </c>
      <c r="I753"/>
      <c r="J753" s="29"/>
      <c r="K753" s="30"/>
      <c r="L753" s="29"/>
      <c r="O753" s="49"/>
    </row>
    <row r="754" spans="6:16" x14ac:dyDescent="0.35">
      <c r="H754" t="s">
        <v>26</v>
      </c>
      <c r="I754"/>
      <c r="J754" s="29"/>
      <c r="K754" s="30"/>
      <c r="L754" s="29"/>
      <c r="O754" s="49"/>
    </row>
    <row r="755" spans="6:16" x14ac:dyDescent="0.35">
      <c r="H755" t="s">
        <v>26</v>
      </c>
      <c r="I755"/>
      <c r="J755" s="29"/>
      <c r="K755" s="30"/>
      <c r="L755" s="29"/>
      <c r="O755" s="49"/>
    </row>
    <row r="756" spans="6:16" x14ac:dyDescent="0.35">
      <c r="H756" t="s">
        <v>26</v>
      </c>
      <c r="I756"/>
      <c r="J756" s="29"/>
      <c r="K756" s="30"/>
      <c r="L756" s="29"/>
      <c r="O756" s="49"/>
    </row>
    <row r="757" spans="6:16" x14ac:dyDescent="0.35">
      <c r="H757" t="s">
        <v>26</v>
      </c>
      <c r="I757"/>
      <c r="J757" s="29"/>
      <c r="K757" s="30"/>
      <c r="L757" s="29"/>
      <c r="O757" s="49"/>
    </row>
    <row r="758" spans="6:16" x14ac:dyDescent="0.35">
      <c r="H758" t="s">
        <v>26</v>
      </c>
      <c r="I758"/>
      <c r="J758" s="29"/>
      <c r="K758" s="30"/>
      <c r="L758" s="29"/>
      <c r="O758" s="49"/>
    </row>
    <row r="759" spans="6:16" x14ac:dyDescent="0.35">
      <c r="H759" t="s">
        <v>26</v>
      </c>
      <c r="I759"/>
      <c r="J759" s="29"/>
      <c r="K759" s="30"/>
      <c r="L759" s="29"/>
      <c r="O759" s="49"/>
    </row>
    <row r="760" spans="6:16" x14ac:dyDescent="0.35">
      <c r="H760" t="s">
        <v>26</v>
      </c>
      <c r="I760"/>
      <c r="J760" s="29"/>
      <c r="K760" s="30"/>
      <c r="L760" s="29"/>
      <c r="O760" s="49"/>
    </row>
    <row r="761" spans="6:16" x14ac:dyDescent="0.35">
      <c r="H761" t="s">
        <v>26</v>
      </c>
      <c r="I761"/>
      <c r="J761" s="29"/>
      <c r="K761" s="30"/>
      <c r="L761" s="29"/>
      <c r="O761" s="49"/>
    </row>
    <row r="762" spans="6:16" x14ac:dyDescent="0.35">
      <c r="H762" t="s">
        <v>26</v>
      </c>
      <c r="I762"/>
      <c r="J762" s="29"/>
      <c r="K762" s="30"/>
      <c r="L762" s="29"/>
      <c r="O762" s="49"/>
    </row>
    <row r="763" spans="6:16" x14ac:dyDescent="0.35">
      <c r="H763" t="s">
        <v>26</v>
      </c>
      <c r="I763"/>
      <c r="J763" s="29"/>
      <c r="K763" s="30"/>
      <c r="L763" s="29"/>
      <c r="O763" s="49"/>
    </row>
    <row r="764" spans="6:16" x14ac:dyDescent="0.35">
      <c r="H764" t="s">
        <v>26</v>
      </c>
      <c r="I764"/>
      <c r="J764" s="29"/>
      <c r="K764" s="30"/>
      <c r="L764" s="29"/>
      <c r="O764" s="49"/>
    </row>
    <row r="765" spans="6:16" x14ac:dyDescent="0.35">
      <c r="H765" t="s">
        <v>26</v>
      </c>
      <c r="I765"/>
      <c r="J765" s="29"/>
      <c r="K765" s="30"/>
      <c r="L765" s="29"/>
      <c r="O765" s="49"/>
    </row>
    <row r="766" spans="6:16" x14ac:dyDescent="0.35">
      <c r="F766" t="s">
        <v>6130</v>
      </c>
      <c r="H766" t="s">
        <v>26</v>
      </c>
      <c r="I766"/>
      <c r="J766" s="29"/>
      <c r="K766" s="30"/>
      <c r="L766" s="29"/>
      <c r="O766" s="49"/>
    </row>
    <row r="767" spans="6:16" x14ac:dyDescent="0.35">
      <c r="F767" t="s">
        <v>6135</v>
      </c>
      <c r="I767">
        <v>0</v>
      </c>
      <c r="J767" s="29"/>
      <c r="K767" s="30"/>
      <c r="L767" s="29"/>
      <c r="M767">
        <v>4</v>
      </c>
      <c r="N767">
        <v>4</v>
      </c>
      <c r="O767" s="49"/>
      <c r="P767">
        <v>4</v>
      </c>
    </row>
    <row r="768" spans="6:16" x14ac:dyDescent="0.35">
      <c r="F768" t="s">
        <v>6140</v>
      </c>
      <c r="I768">
        <v>1</v>
      </c>
      <c r="J768" s="29"/>
      <c r="K768" s="30"/>
      <c r="L768" s="29"/>
      <c r="O768" s="49"/>
    </row>
    <row r="769" spans="6:16" x14ac:dyDescent="0.35">
      <c r="F769" t="s">
        <v>6145</v>
      </c>
      <c r="I769">
        <v>0</v>
      </c>
      <c r="J769" s="29"/>
      <c r="K769" s="30"/>
      <c r="L769" s="29"/>
      <c r="O769" s="49"/>
    </row>
    <row r="770" spans="6:16" x14ac:dyDescent="0.35">
      <c r="F770" t="s">
        <v>6150</v>
      </c>
      <c r="I770">
        <v>0</v>
      </c>
      <c r="J770" s="29"/>
      <c r="K770" s="30"/>
      <c r="L770" s="29"/>
      <c r="M770">
        <v>1</v>
      </c>
      <c r="N770">
        <v>4</v>
      </c>
      <c r="O770" s="49"/>
      <c r="P770">
        <v>4</v>
      </c>
    </row>
    <row r="771" spans="6:16" x14ac:dyDescent="0.35">
      <c r="F771" t="s">
        <v>6155</v>
      </c>
      <c r="I771">
        <v>1</v>
      </c>
      <c r="J771" s="29"/>
      <c r="K771" s="30"/>
      <c r="L771" s="29"/>
      <c r="O771" s="49"/>
    </row>
    <row r="772" spans="6:16" x14ac:dyDescent="0.35">
      <c r="F772" t="s">
        <v>6160</v>
      </c>
      <c r="I772">
        <v>0</v>
      </c>
      <c r="J772" s="29"/>
      <c r="K772" s="30"/>
      <c r="L772" s="29"/>
      <c r="M772">
        <v>3</v>
      </c>
      <c r="N772">
        <v>4</v>
      </c>
      <c r="O772" s="49"/>
      <c r="P772">
        <v>3</v>
      </c>
    </row>
    <row r="773" spans="6:16" x14ac:dyDescent="0.35">
      <c r="F773" t="s">
        <v>6165</v>
      </c>
      <c r="I773">
        <v>1</v>
      </c>
      <c r="J773" s="29"/>
      <c r="K773" s="30"/>
      <c r="L773" s="29"/>
      <c r="M773">
        <v>3</v>
      </c>
      <c r="N773">
        <v>4</v>
      </c>
      <c r="O773" s="49"/>
      <c r="P773">
        <v>3</v>
      </c>
    </row>
    <row r="774" spans="6:16" x14ac:dyDescent="0.35">
      <c r="F774" t="s">
        <v>6170</v>
      </c>
      <c r="I774">
        <v>1</v>
      </c>
      <c r="J774" s="29"/>
      <c r="K774" s="30"/>
      <c r="L774" s="29"/>
      <c r="O774" s="49"/>
    </row>
    <row r="775" spans="6:16" x14ac:dyDescent="0.35">
      <c r="F775" t="s">
        <v>6175</v>
      </c>
      <c r="I775">
        <v>0</v>
      </c>
      <c r="J775" s="29"/>
      <c r="K775" s="30"/>
      <c r="L775" s="29"/>
      <c r="O775" s="49"/>
    </row>
    <row r="776" spans="6:16" x14ac:dyDescent="0.35">
      <c r="F776" t="s">
        <v>6180</v>
      </c>
      <c r="I776">
        <v>0</v>
      </c>
      <c r="J776" s="29"/>
      <c r="K776" s="30"/>
      <c r="L776" s="29"/>
      <c r="M776">
        <v>4</v>
      </c>
      <c r="N776">
        <v>3</v>
      </c>
      <c r="O776" s="49"/>
      <c r="P776">
        <v>4</v>
      </c>
    </row>
    <row r="777" spans="6:16" x14ac:dyDescent="0.35">
      <c r="F777" t="s">
        <v>6185</v>
      </c>
      <c r="I777">
        <v>1</v>
      </c>
      <c r="J777" s="29"/>
      <c r="K777" s="30"/>
      <c r="L777" s="29"/>
      <c r="M777">
        <v>4</v>
      </c>
      <c r="N777">
        <v>4</v>
      </c>
      <c r="O777" s="49"/>
      <c r="P777">
        <v>4</v>
      </c>
    </row>
    <row r="778" spans="6:16" x14ac:dyDescent="0.35">
      <c r="F778" t="s">
        <v>6190</v>
      </c>
      <c r="I778">
        <v>1</v>
      </c>
      <c r="J778" s="29"/>
      <c r="K778" s="30"/>
      <c r="L778" s="29"/>
      <c r="M778">
        <v>3</v>
      </c>
      <c r="N778">
        <v>4</v>
      </c>
      <c r="O778" s="49"/>
      <c r="P778">
        <v>1</v>
      </c>
    </row>
    <row r="779" spans="6:16" x14ac:dyDescent="0.35">
      <c r="F779" t="s">
        <v>6195</v>
      </c>
      <c r="I779">
        <v>1</v>
      </c>
      <c r="J779" s="29"/>
      <c r="K779" s="30"/>
      <c r="L779" s="29"/>
      <c r="M779">
        <v>4</v>
      </c>
      <c r="N779">
        <v>4</v>
      </c>
      <c r="O779" s="49"/>
      <c r="P779">
        <v>4</v>
      </c>
    </row>
    <row r="780" spans="6:16" x14ac:dyDescent="0.35">
      <c r="F780" t="s">
        <v>6200</v>
      </c>
      <c r="I780">
        <v>1</v>
      </c>
      <c r="J780" s="29"/>
      <c r="K780" s="30"/>
      <c r="L780" s="29"/>
      <c r="M780">
        <v>4</v>
      </c>
      <c r="N780">
        <v>4</v>
      </c>
      <c r="O780" s="49"/>
      <c r="P780">
        <v>4</v>
      </c>
    </row>
    <row r="781" spans="6:16" x14ac:dyDescent="0.35">
      <c r="F781" t="s">
        <v>6205</v>
      </c>
      <c r="I781">
        <v>0</v>
      </c>
      <c r="J781" s="29"/>
      <c r="K781" s="30"/>
      <c r="L781" s="29"/>
      <c r="M781">
        <v>3</v>
      </c>
      <c r="N781">
        <v>4</v>
      </c>
      <c r="O781" s="49"/>
      <c r="P781">
        <v>4</v>
      </c>
    </row>
    <row r="782" spans="6:16" x14ac:dyDescent="0.35">
      <c r="F782" t="s">
        <v>6210</v>
      </c>
      <c r="I782">
        <v>0</v>
      </c>
      <c r="J782" s="29"/>
      <c r="K782" s="30"/>
      <c r="L782" s="29"/>
      <c r="O782" s="49"/>
    </row>
    <row r="783" spans="6:16" x14ac:dyDescent="0.35">
      <c r="F783" t="s">
        <v>6215</v>
      </c>
      <c r="I783">
        <v>0</v>
      </c>
      <c r="J783" s="29"/>
      <c r="K783" s="30"/>
      <c r="L783" s="29"/>
      <c r="M783">
        <v>4</v>
      </c>
      <c r="N783">
        <v>4</v>
      </c>
      <c r="O783" s="49"/>
      <c r="P783">
        <v>4</v>
      </c>
    </row>
    <row r="784" spans="6:16" x14ac:dyDescent="0.35">
      <c r="F784" t="s">
        <v>6220</v>
      </c>
      <c r="I784">
        <v>1</v>
      </c>
      <c r="J784" s="29"/>
      <c r="K784" s="30"/>
      <c r="L784" s="29"/>
      <c r="M784">
        <v>3</v>
      </c>
      <c r="N784">
        <v>4</v>
      </c>
      <c r="O784" s="49"/>
      <c r="P784">
        <v>4</v>
      </c>
    </row>
    <row r="785" spans="6:16" x14ac:dyDescent="0.35">
      <c r="F785" t="s">
        <v>6225</v>
      </c>
      <c r="I785">
        <v>0</v>
      </c>
      <c r="J785" s="29"/>
      <c r="K785" s="30"/>
      <c r="L785" s="29"/>
      <c r="O785" s="49"/>
    </row>
    <row r="786" spans="6:16" x14ac:dyDescent="0.35">
      <c r="F786" t="s">
        <v>6230</v>
      </c>
      <c r="I786">
        <v>0</v>
      </c>
      <c r="J786" s="29"/>
      <c r="K786" s="30"/>
      <c r="L786" s="29"/>
      <c r="O786" s="49"/>
    </row>
    <row r="787" spans="6:16" x14ac:dyDescent="0.35">
      <c r="F787" t="s">
        <v>6235</v>
      </c>
      <c r="I787">
        <v>0</v>
      </c>
      <c r="J787" s="29"/>
      <c r="K787" s="30"/>
      <c r="L787" s="29"/>
      <c r="M787">
        <v>4</v>
      </c>
      <c r="N787">
        <v>4</v>
      </c>
      <c r="O787" s="49"/>
      <c r="P787">
        <v>4</v>
      </c>
    </row>
    <row r="788" spans="6:16" x14ac:dyDescent="0.35">
      <c r="F788" t="s">
        <v>6240</v>
      </c>
      <c r="I788">
        <v>0</v>
      </c>
      <c r="J788" s="29"/>
      <c r="K788" s="30"/>
      <c r="L788" s="29"/>
      <c r="M788">
        <v>3</v>
      </c>
      <c r="N788">
        <v>3</v>
      </c>
      <c r="O788" s="49"/>
      <c r="P788">
        <v>4</v>
      </c>
    </row>
    <row r="789" spans="6:16" x14ac:dyDescent="0.35">
      <c r="F789" t="s">
        <v>6245</v>
      </c>
      <c r="I789">
        <v>1</v>
      </c>
      <c r="J789" s="29"/>
      <c r="K789" s="30"/>
      <c r="L789" s="29"/>
      <c r="M789">
        <v>1</v>
      </c>
      <c r="N789">
        <v>3</v>
      </c>
      <c r="O789" s="49"/>
      <c r="P789">
        <v>4</v>
      </c>
    </row>
    <row r="790" spans="6:16" x14ac:dyDescent="0.35">
      <c r="F790" t="s">
        <v>6250</v>
      </c>
      <c r="I790">
        <v>1</v>
      </c>
      <c r="J790" s="29"/>
      <c r="K790" s="30"/>
      <c r="L790" s="29"/>
      <c r="O790" s="49"/>
    </row>
    <row r="791" spans="6:16" x14ac:dyDescent="0.35">
      <c r="F791" t="s">
        <v>6255</v>
      </c>
      <c r="I791">
        <v>0</v>
      </c>
      <c r="J791" s="29"/>
      <c r="K791" s="30"/>
      <c r="L791" s="29"/>
      <c r="O791" s="49"/>
    </row>
    <row r="792" spans="6:16" x14ac:dyDescent="0.35">
      <c r="F792" t="s">
        <v>6260</v>
      </c>
      <c r="I792">
        <v>0</v>
      </c>
      <c r="J792" s="29"/>
      <c r="K792" s="30"/>
      <c r="L792" s="29"/>
      <c r="O792" s="49"/>
    </row>
    <row r="793" spans="6:16" x14ac:dyDescent="0.35">
      <c r="F793" t="s">
        <v>6265</v>
      </c>
      <c r="I793">
        <v>0</v>
      </c>
      <c r="J793" s="29"/>
      <c r="K793" s="30"/>
      <c r="L793" s="29"/>
      <c r="M793">
        <v>1</v>
      </c>
      <c r="N793">
        <v>4</v>
      </c>
      <c r="O793" s="49"/>
      <c r="P793">
        <v>4</v>
      </c>
    </row>
    <row r="794" spans="6:16" x14ac:dyDescent="0.35">
      <c r="F794" t="s">
        <v>6270</v>
      </c>
      <c r="I794">
        <v>1</v>
      </c>
      <c r="J794" s="29"/>
      <c r="K794" s="30"/>
      <c r="L794" s="29"/>
      <c r="M794">
        <v>4</v>
      </c>
      <c r="N794">
        <v>4</v>
      </c>
      <c r="O794" s="49"/>
      <c r="P794">
        <v>3</v>
      </c>
    </row>
    <row r="795" spans="6:16" x14ac:dyDescent="0.35">
      <c r="F795" t="s">
        <v>6275</v>
      </c>
      <c r="I795">
        <v>1</v>
      </c>
      <c r="J795" s="29"/>
      <c r="K795" s="30"/>
      <c r="L795" s="29"/>
      <c r="O795" s="49"/>
    </row>
    <row r="796" spans="6:16" x14ac:dyDescent="0.35">
      <c r="F796" t="s">
        <v>6280</v>
      </c>
      <c r="I796">
        <v>0</v>
      </c>
      <c r="J796" s="29"/>
      <c r="K796" s="30"/>
      <c r="L796" s="29"/>
      <c r="O796" s="49"/>
    </row>
    <row r="797" spans="6:16" x14ac:dyDescent="0.35">
      <c r="F797" t="s">
        <v>6285</v>
      </c>
      <c r="I797">
        <v>0</v>
      </c>
      <c r="J797" s="29"/>
      <c r="K797" s="30"/>
      <c r="L797" s="29"/>
      <c r="O797" s="49"/>
    </row>
    <row r="798" spans="6:16" x14ac:dyDescent="0.35">
      <c r="F798" t="s">
        <v>6290</v>
      </c>
      <c r="I798">
        <v>0</v>
      </c>
      <c r="J798" s="29"/>
      <c r="K798" s="30"/>
      <c r="L798" s="29"/>
      <c r="O798" s="49"/>
    </row>
    <row r="799" spans="6:16" x14ac:dyDescent="0.35">
      <c r="F799" t="s">
        <v>6295</v>
      </c>
      <c r="I799">
        <v>0</v>
      </c>
      <c r="J799" s="29"/>
      <c r="K799" s="30"/>
      <c r="L799" s="29"/>
      <c r="M799">
        <v>1</v>
      </c>
      <c r="N799">
        <v>3</v>
      </c>
      <c r="O799" s="49"/>
      <c r="P799">
        <v>3</v>
      </c>
    </row>
    <row r="800" spans="6:16" x14ac:dyDescent="0.35">
      <c r="F800" t="s">
        <v>6300</v>
      </c>
      <c r="I800">
        <v>1</v>
      </c>
      <c r="J800" s="29"/>
      <c r="K800" s="30"/>
      <c r="L800" s="29"/>
      <c r="O800" s="49"/>
    </row>
    <row r="801" spans="6:16" x14ac:dyDescent="0.35">
      <c r="F801" t="s">
        <v>6305</v>
      </c>
      <c r="I801">
        <v>0</v>
      </c>
      <c r="J801" s="29"/>
      <c r="K801" s="30"/>
      <c r="L801" s="29"/>
      <c r="M801">
        <v>4</v>
      </c>
      <c r="N801">
        <v>4</v>
      </c>
      <c r="O801" s="49"/>
      <c r="P801">
        <v>4</v>
      </c>
    </row>
    <row r="802" spans="6:16" x14ac:dyDescent="0.35">
      <c r="F802" t="s">
        <v>6310</v>
      </c>
      <c r="I802">
        <v>1</v>
      </c>
      <c r="J802" s="29"/>
      <c r="K802" s="30"/>
      <c r="L802" s="29"/>
      <c r="M802">
        <v>4</v>
      </c>
      <c r="N802">
        <v>4</v>
      </c>
      <c r="O802" s="49"/>
      <c r="P802">
        <v>4</v>
      </c>
    </row>
    <row r="803" spans="6:16" x14ac:dyDescent="0.35">
      <c r="F803" t="s">
        <v>6315</v>
      </c>
      <c r="I803">
        <v>1</v>
      </c>
      <c r="J803" s="29"/>
      <c r="K803" s="30"/>
      <c r="L803" s="29"/>
      <c r="M803">
        <v>4</v>
      </c>
      <c r="N803">
        <v>4</v>
      </c>
      <c r="O803" s="49"/>
      <c r="P803">
        <v>4</v>
      </c>
    </row>
    <row r="804" spans="6:16" x14ac:dyDescent="0.35">
      <c r="F804" t="s">
        <v>6320</v>
      </c>
      <c r="I804">
        <v>1</v>
      </c>
      <c r="J804" s="29"/>
      <c r="K804" s="30"/>
      <c r="L804" s="29"/>
      <c r="M804">
        <v>4</v>
      </c>
      <c r="N804">
        <v>4</v>
      </c>
      <c r="O804" s="49"/>
      <c r="P804">
        <v>4</v>
      </c>
    </row>
    <row r="805" spans="6:16" x14ac:dyDescent="0.35">
      <c r="F805" t="s">
        <v>6325</v>
      </c>
      <c r="I805">
        <v>1</v>
      </c>
      <c r="J805" s="29"/>
      <c r="K805" s="30"/>
      <c r="L805" s="29"/>
      <c r="M805">
        <v>4</v>
      </c>
      <c r="N805">
        <v>4</v>
      </c>
      <c r="O805" s="49"/>
      <c r="P805">
        <v>4</v>
      </c>
    </row>
    <row r="806" spans="6:16" x14ac:dyDescent="0.35">
      <c r="F806" t="s">
        <v>6330</v>
      </c>
      <c r="I806">
        <v>1</v>
      </c>
      <c r="J806" s="29"/>
      <c r="K806" s="30"/>
      <c r="L806" s="29"/>
      <c r="M806">
        <v>4</v>
      </c>
      <c r="N806">
        <v>4</v>
      </c>
      <c r="O806" s="49"/>
      <c r="P806">
        <v>3</v>
      </c>
    </row>
    <row r="807" spans="6:16" x14ac:dyDescent="0.35">
      <c r="F807" t="s">
        <v>6335</v>
      </c>
      <c r="I807">
        <v>1</v>
      </c>
      <c r="J807" s="29"/>
      <c r="K807" s="30"/>
      <c r="L807" s="29"/>
      <c r="M807">
        <v>4</v>
      </c>
      <c r="N807">
        <v>4</v>
      </c>
      <c r="O807" s="49"/>
      <c r="P807">
        <v>3</v>
      </c>
    </row>
    <row r="808" spans="6:16" x14ac:dyDescent="0.35">
      <c r="F808" t="s">
        <v>6340</v>
      </c>
      <c r="I808">
        <v>1</v>
      </c>
      <c r="J808" s="29"/>
      <c r="K808" s="30"/>
      <c r="L808" s="29"/>
      <c r="M808">
        <v>4</v>
      </c>
      <c r="N808">
        <v>4</v>
      </c>
      <c r="O808" s="49"/>
      <c r="P808">
        <v>3</v>
      </c>
    </row>
    <row r="809" spans="6:16" x14ac:dyDescent="0.35">
      <c r="F809" t="s">
        <v>6345</v>
      </c>
      <c r="I809">
        <v>1</v>
      </c>
      <c r="J809" s="29"/>
      <c r="K809" s="30"/>
      <c r="L809" s="29"/>
      <c r="M809">
        <v>4</v>
      </c>
      <c r="N809">
        <v>4</v>
      </c>
      <c r="O809" s="49"/>
      <c r="P809">
        <v>4</v>
      </c>
    </row>
    <row r="810" spans="6:16" x14ac:dyDescent="0.35">
      <c r="F810" t="s">
        <v>6350</v>
      </c>
      <c r="I810">
        <v>1</v>
      </c>
      <c r="J810" s="29"/>
      <c r="K810" s="30"/>
      <c r="L810" s="29"/>
      <c r="M810">
        <v>4</v>
      </c>
      <c r="N810">
        <v>4</v>
      </c>
      <c r="O810" s="49"/>
      <c r="P810">
        <v>4</v>
      </c>
    </row>
    <row r="811" spans="6:16" x14ac:dyDescent="0.35">
      <c r="F811" t="s">
        <v>6355</v>
      </c>
      <c r="I811">
        <v>1</v>
      </c>
      <c r="J811" s="29"/>
      <c r="K811" s="30"/>
      <c r="L811" s="29"/>
      <c r="M811">
        <v>2</v>
      </c>
      <c r="N811">
        <v>3</v>
      </c>
      <c r="O811" s="49"/>
      <c r="P811">
        <v>4</v>
      </c>
    </row>
    <row r="812" spans="6:16" x14ac:dyDescent="0.35">
      <c r="F812" t="s">
        <v>6360</v>
      </c>
      <c r="I812">
        <v>1</v>
      </c>
      <c r="J812" s="29"/>
      <c r="K812" s="30"/>
      <c r="L812" s="29"/>
      <c r="M812">
        <v>4</v>
      </c>
      <c r="N812">
        <v>4</v>
      </c>
      <c r="O812" s="49"/>
      <c r="P812">
        <v>4</v>
      </c>
    </row>
    <row r="813" spans="6:16" x14ac:dyDescent="0.35">
      <c r="F813" t="s">
        <v>6365</v>
      </c>
      <c r="I813">
        <v>1</v>
      </c>
      <c r="J813" s="29"/>
      <c r="K813" s="30"/>
      <c r="L813" s="29"/>
      <c r="M813">
        <v>2</v>
      </c>
      <c r="N813">
        <v>3</v>
      </c>
      <c r="O813" s="49"/>
      <c r="P813">
        <v>3</v>
      </c>
    </row>
    <row r="814" spans="6:16" x14ac:dyDescent="0.35">
      <c r="F814" t="s">
        <v>6370</v>
      </c>
      <c r="I814">
        <v>1</v>
      </c>
      <c r="J814" s="29"/>
      <c r="K814" s="30"/>
      <c r="L814" s="29"/>
      <c r="M814">
        <v>2</v>
      </c>
      <c r="N814">
        <v>3</v>
      </c>
      <c r="O814" s="49"/>
      <c r="P814">
        <v>3</v>
      </c>
    </row>
    <row r="815" spans="6:16" x14ac:dyDescent="0.35">
      <c r="F815" t="s">
        <v>6375</v>
      </c>
      <c r="I815">
        <v>1</v>
      </c>
      <c r="J815" s="29"/>
      <c r="K815" s="30"/>
      <c r="L815" s="29"/>
      <c r="M815">
        <v>3</v>
      </c>
      <c r="N815">
        <v>4</v>
      </c>
      <c r="O815" s="49"/>
      <c r="P815">
        <v>4</v>
      </c>
    </row>
    <row r="816" spans="6:16" x14ac:dyDescent="0.35">
      <c r="F816" t="s">
        <v>6380</v>
      </c>
      <c r="I816">
        <v>1</v>
      </c>
      <c r="J816" s="29"/>
      <c r="K816" s="30"/>
      <c r="L816" s="29"/>
      <c r="M816">
        <v>4</v>
      </c>
      <c r="N816">
        <v>4</v>
      </c>
      <c r="O816" s="49"/>
      <c r="P816">
        <v>4</v>
      </c>
    </row>
    <row r="817" spans="6:16" x14ac:dyDescent="0.35">
      <c r="F817" t="s">
        <v>6385</v>
      </c>
      <c r="I817">
        <v>1</v>
      </c>
      <c r="J817" s="29"/>
      <c r="K817" s="30"/>
      <c r="L817" s="29"/>
      <c r="M817">
        <v>4</v>
      </c>
      <c r="N817">
        <v>4</v>
      </c>
      <c r="O817" s="49"/>
      <c r="P817">
        <v>4</v>
      </c>
    </row>
    <row r="818" spans="6:16" x14ac:dyDescent="0.35">
      <c r="F818" t="s">
        <v>6390</v>
      </c>
      <c r="I818">
        <v>1</v>
      </c>
      <c r="J818" s="29"/>
      <c r="K818" s="30"/>
      <c r="L818" s="29"/>
      <c r="M818">
        <v>4</v>
      </c>
      <c r="N818">
        <v>4</v>
      </c>
      <c r="O818" s="49"/>
      <c r="P818">
        <v>4</v>
      </c>
    </row>
    <row r="819" spans="6:16" x14ac:dyDescent="0.35">
      <c r="F819" t="s">
        <v>6395</v>
      </c>
      <c r="I819">
        <v>1</v>
      </c>
      <c r="J819" s="29"/>
      <c r="K819" s="30"/>
      <c r="L819" s="29"/>
      <c r="M819">
        <v>3</v>
      </c>
      <c r="N819">
        <v>4</v>
      </c>
      <c r="O819" s="49"/>
      <c r="P819">
        <v>3</v>
      </c>
    </row>
    <row r="820" spans="6:16" x14ac:dyDescent="0.35">
      <c r="F820" t="s">
        <v>6400</v>
      </c>
      <c r="I820">
        <v>1</v>
      </c>
      <c r="J820" s="29"/>
      <c r="K820" s="30"/>
      <c r="L820" s="29"/>
      <c r="M820">
        <v>4</v>
      </c>
      <c r="N820">
        <v>4</v>
      </c>
      <c r="O820" s="49"/>
      <c r="P820">
        <v>4</v>
      </c>
    </row>
    <row r="821" spans="6:16" x14ac:dyDescent="0.35">
      <c r="F821" t="s">
        <v>6405</v>
      </c>
      <c r="I821">
        <v>1</v>
      </c>
      <c r="J821" s="29"/>
      <c r="K821" s="30"/>
      <c r="L821" s="29"/>
      <c r="M821">
        <v>3</v>
      </c>
      <c r="N821">
        <v>4</v>
      </c>
      <c r="O821" s="49"/>
      <c r="P821">
        <v>4</v>
      </c>
    </row>
    <row r="822" spans="6:16" x14ac:dyDescent="0.35">
      <c r="F822" t="s">
        <v>6410</v>
      </c>
      <c r="I822">
        <v>1</v>
      </c>
      <c r="J822" s="29"/>
      <c r="K822" s="30"/>
      <c r="L822" s="29"/>
      <c r="M822">
        <v>3</v>
      </c>
      <c r="N822">
        <v>4</v>
      </c>
      <c r="O822" s="49"/>
      <c r="P822">
        <v>4</v>
      </c>
    </row>
    <row r="823" spans="6:16" x14ac:dyDescent="0.35">
      <c r="F823" t="s">
        <v>6415</v>
      </c>
      <c r="I823">
        <v>1</v>
      </c>
      <c r="J823" s="29"/>
      <c r="K823" s="30"/>
      <c r="L823" s="29"/>
      <c r="M823">
        <v>3</v>
      </c>
      <c r="N823">
        <v>4</v>
      </c>
      <c r="O823" s="49"/>
      <c r="P823">
        <v>4</v>
      </c>
    </row>
    <row r="824" spans="6:16" x14ac:dyDescent="0.35">
      <c r="F824" t="s">
        <v>6420</v>
      </c>
      <c r="I824">
        <v>1</v>
      </c>
      <c r="J824" s="29"/>
      <c r="K824" s="30"/>
      <c r="L824" s="29"/>
      <c r="M824">
        <v>4</v>
      </c>
      <c r="N824">
        <v>4</v>
      </c>
      <c r="O824" s="49"/>
      <c r="P824">
        <v>4</v>
      </c>
    </row>
    <row r="825" spans="6:16" x14ac:dyDescent="0.35">
      <c r="F825" t="s">
        <v>6425</v>
      </c>
      <c r="I825">
        <v>1</v>
      </c>
      <c r="J825" s="29"/>
      <c r="K825" s="30"/>
      <c r="L825" s="29"/>
      <c r="M825">
        <v>4</v>
      </c>
      <c r="N825">
        <v>4</v>
      </c>
      <c r="O825" s="49"/>
      <c r="P825">
        <v>3</v>
      </c>
    </row>
    <row r="826" spans="6:16" x14ac:dyDescent="0.35">
      <c r="F826" t="s">
        <v>6430</v>
      </c>
      <c r="I826">
        <v>1</v>
      </c>
      <c r="J826" s="29"/>
      <c r="K826" s="30"/>
      <c r="L826" s="29"/>
      <c r="M826">
        <v>4</v>
      </c>
      <c r="N826">
        <v>4</v>
      </c>
      <c r="O826" s="49"/>
      <c r="P826">
        <v>3</v>
      </c>
    </row>
    <row r="827" spans="6:16" x14ac:dyDescent="0.35">
      <c r="F827" t="s">
        <v>6435</v>
      </c>
      <c r="I827">
        <v>1</v>
      </c>
      <c r="J827" s="29"/>
      <c r="K827" s="30"/>
      <c r="L827" s="29"/>
      <c r="M827">
        <v>4</v>
      </c>
      <c r="N827">
        <v>4</v>
      </c>
      <c r="O827" s="49"/>
      <c r="P827">
        <v>3</v>
      </c>
    </row>
    <row r="828" spans="6:16" x14ac:dyDescent="0.35">
      <c r="F828" t="s">
        <v>6440</v>
      </c>
      <c r="I828">
        <v>1</v>
      </c>
      <c r="J828" s="29"/>
      <c r="K828" s="30"/>
      <c r="L828" s="29"/>
      <c r="M828">
        <v>4</v>
      </c>
      <c r="N828">
        <v>4</v>
      </c>
      <c r="O828" s="49"/>
      <c r="P828">
        <v>4</v>
      </c>
    </row>
    <row r="829" spans="6:16" x14ac:dyDescent="0.35">
      <c r="F829" t="s">
        <v>6445</v>
      </c>
      <c r="I829">
        <v>1</v>
      </c>
      <c r="J829" s="29"/>
      <c r="K829" s="30"/>
      <c r="L829" s="29"/>
      <c r="M829">
        <v>4</v>
      </c>
      <c r="N829">
        <v>4</v>
      </c>
      <c r="O829" s="49"/>
      <c r="P829">
        <v>3</v>
      </c>
    </row>
    <row r="830" spans="6:16" x14ac:dyDescent="0.35">
      <c r="F830" t="s">
        <v>6450</v>
      </c>
      <c r="I830">
        <v>1</v>
      </c>
      <c r="J830" s="29"/>
      <c r="K830" s="30"/>
      <c r="L830" s="29"/>
      <c r="M830">
        <v>4</v>
      </c>
      <c r="N830">
        <v>4</v>
      </c>
      <c r="O830" s="49"/>
      <c r="P830">
        <v>3</v>
      </c>
    </row>
    <row r="831" spans="6:16" x14ac:dyDescent="0.35">
      <c r="F831" t="s">
        <v>6455</v>
      </c>
      <c r="I831">
        <v>1</v>
      </c>
      <c r="J831" s="29"/>
      <c r="K831" s="30"/>
      <c r="L831" s="29"/>
      <c r="M831">
        <v>4</v>
      </c>
      <c r="N831">
        <v>4</v>
      </c>
      <c r="O831" s="49"/>
      <c r="P831">
        <v>4</v>
      </c>
    </row>
    <row r="832" spans="6:16" x14ac:dyDescent="0.35">
      <c r="F832" t="s">
        <v>6460</v>
      </c>
      <c r="I832">
        <v>1</v>
      </c>
      <c r="J832" s="29"/>
      <c r="K832" s="30"/>
      <c r="L832" s="29"/>
      <c r="M832">
        <v>4</v>
      </c>
      <c r="N832">
        <v>4</v>
      </c>
      <c r="O832" s="49"/>
      <c r="P832">
        <v>4</v>
      </c>
    </row>
    <row r="833" spans="6:16" x14ac:dyDescent="0.35">
      <c r="F833" t="s">
        <v>6465</v>
      </c>
      <c r="I833">
        <v>1</v>
      </c>
      <c r="J833" s="29"/>
      <c r="K833" s="30"/>
      <c r="L833" s="29"/>
      <c r="M833">
        <v>4</v>
      </c>
      <c r="N833">
        <v>4</v>
      </c>
      <c r="O833" s="49"/>
      <c r="P833">
        <v>4</v>
      </c>
    </row>
    <row r="834" spans="6:16" x14ac:dyDescent="0.35">
      <c r="F834" t="s">
        <v>6470</v>
      </c>
      <c r="I834">
        <v>1</v>
      </c>
      <c r="J834" s="29"/>
      <c r="K834" s="30"/>
      <c r="L834" s="29"/>
      <c r="M834">
        <v>4</v>
      </c>
      <c r="N834">
        <v>4</v>
      </c>
      <c r="O834" s="49"/>
      <c r="P834">
        <v>3</v>
      </c>
    </row>
    <row r="835" spans="6:16" x14ac:dyDescent="0.35">
      <c r="F835" t="s">
        <v>6475</v>
      </c>
      <c r="I835">
        <v>1</v>
      </c>
      <c r="J835" s="29"/>
      <c r="K835" s="30"/>
      <c r="L835" s="29"/>
      <c r="M835">
        <v>4</v>
      </c>
      <c r="N835">
        <v>4</v>
      </c>
      <c r="O835" s="49"/>
      <c r="P835">
        <v>3</v>
      </c>
    </row>
    <row r="836" spans="6:16" x14ac:dyDescent="0.35">
      <c r="F836" t="s">
        <v>6480</v>
      </c>
      <c r="I836">
        <v>1</v>
      </c>
      <c r="J836" s="29"/>
      <c r="K836" s="30"/>
      <c r="L836" s="29"/>
      <c r="M836">
        <v>4</v>
      </c>
      <c r="N836">
        <v>4</v>
      </c>
      <c r="O836" s="49"/>
      <c r="P836">
        <v>4</v>
      </c>
    </row>
    <row r="837" spans="6:16" x14ac:dyDescent="0.35">
      <c r="F837" t="s">
        <v>6485</v>
      </c>
      <c r="I837">
        <v>1</v>
      </c>
      <c r="J837" s="29"/>
      <c r="K837" s="30"/>
      <c r="L837" s="29"/>
      <c r="O837" s="49"/>
    </row>
    <row r="838" spans="6:16" x14ac:dyDescent="0.35">
      <c r="H838" t="s">
        <v>26</v>
      </c>
      <c r="I838"/>
      <c r="J838" s="29"/>
      <c r="K838" s="30"/>
      <c r="L838" s="29"/>
      <c r="O838" s="49"/>
    </row>
    <row r="839" spans="6:16" x14ac:dyDescent="0.35">
      <c r="H839" t="s">
        <v>26</v>
      </c>
      <c r="I839"/>
      <c r="J839" s="29"/>
      <c r="K839" s="30"/>
      <c r="L839" s="29"/>
      <c r="M839">
        <v>4</v>
      </c>
      <c r="N839">
        <v>4</v>
      </c>
      <c r="O839" s="49"/>
      <c r="P839">
        <v>3</v>
      </c>
    </row>
    <row r="840" spans="6:16" x14ac:dyDescent="0.35">
      <c r="F840" t="s">
        <v>6495</v>
      </c>
      <c r="I840">
        <v>0</v>
      </c>
      <c r="J840" s="29"/>
      <c r="K840" s="30"/>
      <c r="L840" s="29"/>
      <c r="M840">
        <v>1</v>
      </c>
      <c r="N840">
        <v>4</v>
      </c>
      <c r="O840" s="49"/>
      <c r="P840">
        <v>4</v>
      </c>
    </row>
    <row r="841" spans="6:16" x14ac:dyDescent="0.35">
      <c r="F841" t="s">
        <v>6500</v>
      </c>
      <c r="I841">
        <v>1</v>
      </c>
      <c r="J841" s="29"/>
      <c r="K841" s="30"/>
      <c r="L841" s="29"/>
      <c r="M841">
        <v>3</v>
      </c>
      <c r="N841">
        <v>4</v>
      </c>
      <c r="O841" s="49"/>
      <c r="P841">
        <v>4</v>
      </c>
    </row>
    <row r="842" spans="6:16" x14ac:dyDescent="0.35">
      <c r="F842" t="s">
        <v>6505</v>
      </c>
      <c r="I842">
        <v>1</v>
      </c>
      <c r="J842" s="29"/>
      <c r="K842" s="30"/>
      <c r="L842" s="29"/>
      <c r="M842">
        <v>4</v>
      </c>
      <c r="N842">
        <v>4</v>
      </c>
      <c r="O842" s="49"/>
      <c r="P842">
        <v>4</v>
      </c>
    </row>
    <row r="843" spans="6:16" x14ac:dyDescent="0.35">
      <c r="F843" t="s">
        <v>6510</v>
      </c>
      <c r="I843">
        <v>1</v>
      </c>
      <c r="J843" s="29"/>
      <c r="K843" s="30"/>
      <c r="L843" s="29"/>
      <c r="M843">
        <v>4</v>
      </c>
      <c r="N843">
        <v>4</v>
      </c>
      <c r="O843" s="49"/>
      <c r="P843">
        <v>3</v>
      </c>
    </row>
    <row r="844" spans="6:16" x14ac:dyDescent="0.35">
      <c r="F844" t="s">
        <v>6515</v>
      </c>
      <c r="I844">
        <v>1</v>
      </c>
      <c r="J844" s="29"/>
      <c r="K844" s="30"/>
      <c r="L844" s="29"/>
      <c r="M844">
        <v>4</v>
      </c>
      <c r="N844">
        <v>4</v>
      </c>
      <c r="O844" s="49"/>
      <c r="P844">
        <v>3</v>
      </c>
    </row>
    <row r="845" spans="6:16" x14ac:dyDescent="0.35">
      <c r="F845" t="s">
        <v>6520</v>
      </c>
      <c r="I845">
        <v>1</v>
      </c>
      <c r="J845" s="29"/>
      <c r="K845" s="30"/>
      <c r="L845" s="29"/>
      <c r="M845">
        <v>4</v>
      </c>
      <c r="N845">
        <v>4</v>
      </c>
      <c r="O845" s="49"/>
      <c r="P845">
        <v>4</v>
      </c>
    </row>
    <row r="846" spans="6:16" x14ac:dyDescent="0.35">
      <c r="F846" t="s">
        <v>6525</v>
      </c>
      <c r="I846">
        <v>1</v>
      </c>
      <c r="J846" s="29"/>
      <c r="K846" s="30"/>
      <c r="L846" s="29"/>
      <c r="M846">
        <v>4</v>
      </c>
      <c r="N846">
        <v>4</v>
      </c>
      <c r="O846" s="49"/>
      <c r="P846">
        <v>3</v>
      </c>
    </row>
    <row r="847" spans="6:16" x14ac:dyDescent="0.35">
      <c r="F847" t="s">
        <v>6530</v>
      </c>
      <c r="I847">
        <v>1</v>
      </c>
      <c r="J847" s="29"/>
      <c r="K847" s="30"/>
      <c r="L847" s="29"/>
      <c r="M847">
        <v>4</v>
      </c>
      <c r="N847">
        <v>4</v>
      </c>
      <c r="O847" s="49"/>
      <c r="P847">
        <v>2</v>
      </c>
    </row>
    <row r="848" spans="6:16" x14ac:dyDescent="0.35">
      <c r="F848" t="s">
        <v>6535</v>
      </c>
      <c r="I848">
        <v>1</v>
      </c>
      <c r="J848" s="29"/>
      <c r="K848" s="30"/>
      <c r="L848" s="29"/>
      <c r="M848">
        <v>4</v>
      </c>
      <c r="N848">
        <v>4</v>
      </c>
      <c r="O848" s="49"/>
      <c r="P848">
        <v>2</v>
      </c>
    </row>
    <row r="849" spans="6:16" x14ac:dyDescent="0.35">
      <c r="F849" t="s">
        <v>6540</v>
      </c>
      <c r="I849">
        <v>1</v>
      </c>
      <c r="J849" s="29"/>
      <c r="K849" s="30"/>
      <c r="L849" s="29"/>
      <c r="M849">
        <v>4</v>
      </c>
      <c r="N849">
        <v>4</v>
      </c>
      <c r="O849" s="49"/>
      <c r="P849">
        <v>4</v>
      </c>
    </row>
    <row r="850" spans="6:16" x14ac:dyDescent="0.35">
      <c r="F850" t="s">
        <v>6545</v>
      </c>
      <c r="I850">
        <v>1</v>
      </c>
      <c r="J850" s="29"/>
      <c r="K850" s="30"/>
      <c r="L850" s="29"/>
      <c r="M850">
        <v>4</v>
      </c>
      <c r="N850">
        <v>4</v>
      </c>
      <c r="O850" s="49"/>
      <c r="P850">
        <v>3</v>
      </c>
    </row>
    <row r="851" spans="6:16" x14ac:dyDescent="0.35">
      <c r="F851" t="s">
        <v>6550</v>
      </c>
      <c r="I851">
        <v>1</v>
      </c>
      <c r="J851" s="29"/>
      <c r="K851" s="30"/>
      <c r="L851" s="29"/>
      <c r="M851">
        <v>4</v>
      </c>
      <c r="N851">
        <v>4</v>
      </c>
      <c r="O851" s="49"/>
      <c r="P851">
        <v>3</v>
      </c>
    </row>
    <row r="852" spans="6:16" x14ac:dyDescent="0.35">
      <c r="F852" t="s">
        <v>6555</v>
      </c>
      <c r="I852">
        <v>1</v>
      </c>
      <c r="J852" s="29"/>
      <c r="K852" s="30"/>
      <c r="L852" s="29"/>
      <c r="M852">
        <v>4</v>
      </c>
      <c r="N852">
        <v>4</v>
      </c>
      <c r="O852" s="49"/>
      <c r="P852">
        <v>2</v>
      </c>
    </row>
    <row r="853" spans="6:16" x14ac:dyDescent="0.35">
      <c r="F853" t="s">
        <v>6560</v>
      </c>
      <c r="I853">
        <v>1</v>
      </c>
      <c r="J853" s="29"/>
      <c r="K853" s="30"/>
      <c r="L853" s="29"/>
      <c r="O853" s="49"/>
    </row>
    <row r="854" spans="6:16" x14ac:dyDescent="0.35">
      <c r="F854" t="s">
        <v>6565</v>
      </c>
      <c r="H854" t="s">
        <v>26</v>
      </c>
      <c r="I854"/>
      <c r="J854" s="29"/>
      <c r="K854" s="30"/>
      <c r="L854" s="29"/>
      <c r="O854" s="49"/>
    </row>
    <row r="855" spans="6:16" x14ac:dyDescent="0.35">
      <c r="H855" t="s">
        <v>26</v>
      </c>
      <c r="I855"/>
      <c r="J855" s="29"/>
      <c r="K855" s="30"/>
      <c r="L855" s="29"/>
      <c r="O855" s="49"/>
    </row>
    <row r="856" spans="6:16" x14ac:dyDescent="0.35">
      <c r="H856" t="s">
        <v>26</v>
      </c>
      <c r="I856"/>
      <c r="J856" s="29"/>
      <c r="K856" s="30"/>
      <c r="L856" s="29"/>
      <c r="O856" s="49"/>
    </row>
    <row r="857" spans="6:16" x14ac:dyDescent="0.35">
      <c r="H857" t="s">
        <v>26</v>
      </c>
      <c r="I857"/>
      <c r="J857" s="29"/>
      <c r="K857" s="30"/>
      <c r="L857" s="29"/>
      <c r="O857" s="49"/>
    </row>
    <row r="858" spans="6:16" x14ac:dyDescent="0.35">
      <c r="H858" t="s">
        <v>26</v>
      </c>
      <c r="I858"/>
      <c r="J858" s="29"/>
      <c r="K858" s="30"/>
      <c r="L858" s="29"/>
      <c r="O858" s="49"/>
    </row>
    <row r="859" spans="6:16" x14ac:dyDescent="0.35">
      <c r="H859" t="s">
        <v>26</v>
      </c>
      <c r="I859"/>
      <c r="J859" s="29"/>
      <c r="K859" s="30"/>
      <c r="L859" s="29"/>
      <c r="O859" s="49"/>
    </row>
    <row r="860" spans="6:16" x14ac:dyDescent="0.35">
      <c r="H860" t="s">
        <v>26</v>
      </c>
      <c r="I860"/>
      <c r="J860" s="29"/>
      <c r="K860" s="30"/>
      <c r="L860" s="29"/>
      <c r="O860" s="49"/>
    </row>
    <row r="861" spans="6:16" x14ac:dyDescent="0.35">
      <c r="H861" t="s">
        <v>26</v>
      </c>
      <c r="I861"/>
      <c r="J861" s="29"/>
      <c r="K861" s="30"/>
      <c r="L861" s="29"/>
      <c r="O861" s="49"/>
    </row>
    <row r="862" spans="6:16" x14ac:dyDescent="0.35">
      <c r="H862" t="s">
        <v>26</v>
      </c>
      <c r="I862"/>
      <c r="J862" s="29"/>
      <c r="K862" s="30"/>
      <c r="L862" s="29"/>
      <c r="O862" s="49"/>
    </row>
    <row r="863" spans="6:16" x14ac:dyDescent="0.35">
      <c r="H863" t="s">
        <v>26</v>
      </c>
      <c r="I863"/>
      <c r="J863" s="29"/>
      <c r="K863" s="30"/>
      <c r="L863" s="29"/>
      <c r="O863" s="49"/>
    </row>
    <row r="864" spans="6:16" x14ac:dyDescent="0.35">
      <c r="H864" t="s">
        <v>26</v>
      </c>
      <c r="I864"/>
      <c r="J864" s="29"/>
      <c r="K864" s="30"/>
      <c r="L864" s="29"/>
      <c r="O864" s="49"/>
    </row>
    <row r="865" spans="8:15" x14ac:dyDescent="0.35">
      <c r="H865" t="s">
        <v>26</v>
      </c>
      <c r="I865"/>
      <c r="J865" s="29"/>
      <c r="K865" s="30"/>
      <c r="L865" s="29"/>
      <c r="O865" s="49"/>
    </row>
    <row r="866" spans="8:15" x14ac:dyDescent="0.35">
      <c r="H866" t="s">
        <v>26</v>
      </c>
      <c r="I866"/>
      <c r="J866" s="29"/>
      <c r="K866" s="30"/>
      <c r="L866" s="29"/>
      <c r="O866" s="49"/>
    </row>
    <row r="867" spans="8:15" x14ac:dyDescent="0.35">
      <c r="H867" t="s">
        <v>26</v>
      </c>
      <c r="I867"/>
      <c r="J867" s="29"/>
      <c r="K867" s="30"/>
      <c r="L867" s="29"/>
      <c r="O867" s="49"/>
    </row>
    <row r="868" spans="8:15" x14ac:dyDescent="0.35">
      <c r="H868" t="s">
        <v>26</v>
      </c>
      <c r="I868"/>
      <c r="J868" s="29"/>
      <c r="K868" s="30"/>
      <c r="L868" s="29"/>
      <c r="O868" s="49"/>
    </row>
    <row r="869" spans="8:15" x14ac:dyDescent="0.35">
      <c r="H869" t="s">
        <v>26</v>
      </c>
      <c r="I869"/>
      <c r="J869" s="29"/>
      <c r="K869" s="30"/>
      <c r="L869" s="29"/>
      <c r="O869" s="49"/>
    </row>
    <row r="870" spans="8:15" x14ac:dyDescent="0.35">
      <c r="H870" t="s">
        <v>26</v>
      </c>
      <c r="I870"/>
      <c r="J870" s="29"/>
      <c r="K870" s="30"/>
      <c r="L870" s="29"/>
      <c r="O870" s="49"/>
    </row>
    <row r="871" spans="8:15" x14ac:dyDescent="0.35">
      <c r="H871" t="s">
        <v>26</v>
      </c>
      <c r="I871"/>
      <c r="J871" s="29"/>
      <c r="K871" s="30"/>
      <c r="L871" s="29"/>
      <c r="O871" s="49"/>
    </row>
    <row r="872" spans="8:15" x14ac:dyDescent="0.35">
      <c r="H872" t="s">
        <v>26</v>
      </c>
      <c r="I872"/>
      <c r="J872" s="29"/>
      <c r="K872" s="30"/>
      <c r="L872" s="29"/>
      <c r="O872" s="49"/>
    </row>
    <row r="873" spans="8:15" x14ac:dyDescent="0.35">
      <c r="H873" t="s">
        <v>26</v>
      </c>
      <c r="I873"/>
      <c r="J873" s="29"/>
      <c r="K873" s="30"/>
      <c r="L873" s="29"/>
      <c r="O873" s="49"/>
    </row>
    <row r="874" spans="8:15" x14ac:dyDescent="0.35">
      <c r="H874" t="s">
        <v>26</v>
      </c>
      <c r="I874"/>
      <c r="J874" s="29"/>
      <c r="K874" s="30"/>
      <c r="L874" s="29"/>
      <c r="O874" s="49"/>
    </row>
    <row r="875" spans="8:15" x14ac:dyDescent="0.35">
      <c r="H875" t="s">
        <v>26</v>
      </c>
      <c r="I875"/>
      <c r="J875" s="29"/>
      <c r="K875" s="30"/>
      <c r="L875" s="29"/>
      <c r="O875" s="49"/>
    </row>
    <row r="876" spans="8:15" x14ac:dyDescent="0.35">
      <c r="H876" t="s">
        <v>26</v>
      </c>
      <c r="I876"/>
      <c r="J876" s="29"/>
      <c r="K876" s="30"/>
      <c r="L876" s="29"/>
      <c r="O876" s="49"/>
    </row>
    <row r="877" spans="8:15" x14ac:dyDescent="0.35">
      <c r="H877" t="s">
        <v>26</v>
      </c>
      <c r="I877"/>
      <c r="J877" s="29"/>
      <c r="K877" s="30"/>
      <c r="L877" s="29"/>
      <c r="O877" s="49"/>
    </row>
    <row r="878" spans="8:15" x14ac:dyDescent="0.35">
      <c r="H878" t="s">
        <v>26</v>
      </c>
      <c r="I878"/>
      <c r="J878" s="29"/>
      <c r="K878" s="30"/>
      <c r="L878" s="29"/>
      <c r="O878" s="49"/>
    </row>
    <row r="879" spans="8:15" x14ac:dyDescent="0.35">
      <c r="H879" t="s">
        <v>26</v>
      </c>
      <c r="I879"/>
      <c r="J879" s="29"/>
      <c r="K879" s="30"/>
      <c r="L879" s="29"/>
      <c r="O879" s="49"/>
    </row>
    <row r="880" spans="8:15" x14ac:dyDescent="0.35">
      <c r="H880" t="s">
        <v>26</v>
      </c>
      <c r="I880"/>
      <c r="J880" s="29"/>
      <c r="K880" s="30"/>
      <c r="L880" s="29"/>
      <c r="O880" s="49"/>
    </row>
    <row r="881" spans="6:16" x14ac:dyDescent="0.35">
      <c r="H881" t="s">
        <v>26</v>
      </c>
      <c r="I881"/>
      <c r="J881" s="29"/>
      <c r="K881" s="30"/>
      <c r="L881" s="29"/>
      <c r="O881" s="49"/>
    </row>
    <row r="882" spans="6:16" x14ac:dyDescent="0.35">
      <c r="H882" t="s">
        <v>26</v>
      </c>
      <c r="I882"/>
      <c r="J882" s="29"/>
      <c r="K882" s="30"/>
      <c r="L882" s="29"/>
      <c r="O882" s="49"/>
    </row>
    <row r="883" spans="6:16" x14ac:dyDescent="0.35">
      <c r="H883" t="s">
        <v>26</v>
      </c>
      <c r="I883"/>
      <c r="J883" s="29"/>
      <c r="K883" s="30"/>
      <c r="L883" s="29"/>
      <c r="O883" s="49"/>
    </row>
    <row r="884" spans="6:16" x14ac:dyDescent="0.35">
      <c r="H884" t="s">
        <v>26</v>
      </c>
      <c r="I884"/>
      <c r="J884" s="29"/>
      <c r="K884" s="30"/>
      <c r="L884" s="29"/>
      <c r="M884">
        <v>4</v>
      </c>
      <c r="N884">
        <v>4</v>
      </c>
      <c r="O884" s="49"/>
      <c r="P884">
        <v>3</v>
      </c>
    </row>
    <row r="885" spans="6:16" x14ac:dyDescent="0.35">
      <c r="F885" t="s">
        <v>6569</v>
      </c>
      <c r="I885">
        <v>1</v>
      </c>
      <c r="J885" s="29"/>
      <c r="K885" s="30"/>
      <c r="L885" s="29"/>
      <c r="M885">
        <v>4</v>
      </c>
      <c r="N885">
        <v>4</v>
      </c>
      <c r="O885" s="49"/>
      <c r="P885">
        <v>3</v>
      </c>
    </row>
    <row r="886" spans="6:16" x14ac:dyDescent="0.35">
      <c r="F886" t="s">
        <v>6574</v>
      </c>
      <c r="I886">
        <v>1</v>
      </c>
      <c r="J886" s="29"/>
      <c r="K886" s="30"/>
      <c r="L886" s="29"/>
      <c r="M886">
        <v>4</v>
      </c>
      <c r="N886">
        <v>4</v>
      </c>
      <c r="O886" s="49"/>
      <c r="P886">
        <v>3</v>
      </c>
    </row>
    <row r="887" spans="6:16" x14ac:dyDescent="0.35">
      <c r="F887" t="s">
        <v>6579</v>
      </c>
      <c r="I887">
        <v>1</v>
      </c>
      <c r="J887" s="29"/>
      <c r="K887" s="30"/>
      <c r="L887" s="29"/>
      <c r="M887">
        <v>4</v>
      </c>
      <c r="N887">
        <v>4</v>
      </c>
      <c r="O887" s="49"/>
      <c r="P887">
        <v>4</v>
      </c>
    </row>
    <row r="888" spans="6:16" x14ac:dyDescent="0.35">
      <c r="F888" t="s">
        <v>6584</v>
      </c>
      <c r="I888">
        <v>1</v>
      </c>
      <c r="J888" s="29"/>
      <c r="K888" s="30"/>
      <c r="L888" s="29"/>
      <c r="M888">
        <v>4</v>
      </c>
      <c r="N888">
        <v>3</v>
      </c>
      <c r="O888" s="49"/>
      <c r="P888">
        <v>4</v>
      </c>
    </row>
    <row r="889" spans="6:16" x14ac:dyDescent="0.35">
      <c r="F889" t="s">
        <v>6589</v>
      </c>
      <c r="I889">
        <v>1</v>
      </c>
      <c r="J889" s="29"/>
      <c r="K889" s="30"/>
      <c r="L889" s="29"/>
      <c r="M889">
        <v>4</v>
      </c>
      <c r="N889">
        <v>4</v>
      </c>
      <c r="O889" s="49"/>
      <c r="P889">
        <v>3</v>
      </c>
    </row>
    <row r="890" spans="6:16" x14ac:dyDescent="0.35">
      <c r="F890" t="s">
        <v>6594</v>
      </c>
      <c r="I890">
        <v>1</v>
      </c>
      <c r="J890" s="29"/>
      <c r="K890" s="30"/>
      <c r="L890" s="29"/>
      <c r="M890">
        <v>4</v>
      </c>
      <c r="N890">
        <v>4</v>
      </c>
      <c r="O890" s="49"/>
      <c r="P890">
        <v>4</v>
      </c>
    </row>
    <row r="891" spans="6:16" x14ac:dyDescent="0.35">
      <c r="F891" t="s">
        <v>6599</v>
      </c>
      <c r="I891">
        <v>1</v>
      </c>
      <c r="J891" s="29"/>
      <c r="K891" s="30"/>
      <c r="L891" s="29"/>
      <c r="M891">
        <v>4</v>
      </c>
      <c r="N891">
        <v>4</v>
      </c>
      <c r="O891" s="49"/>
      <c r="P891">
        <v>4</v>
      </c>
    </row>
    <row r="892" spans="6:16" x14ac:dyDescent="0.35">
      <c r="F892" t="s">
        <v>6604</v>
      </c>
      <c r="I892">
        <v>1</v>
      </c>
      <c r="J892" s="29"/>
      <c r="K892" s="30"/>
      <c r="L892" s="29"/>
      <c r="M892">
        <v>4</v>
      </c>
      <c r="N892">
        <v>4</v>
      </c>
      <c r="O892" s="49"/>
      <c r="P892">
        <v>4</v>
      </c>
    </row>
    <row r="893" spans="6:16" x14ac:dyDescent="0.35">
      <c r="F893" t="s">
        <v>6609</v>
      </c>
      <c r="I893">
        <v>1</v>
      </c>
      <c r="J893" s="29"/>
      <c r="K893" s="30"/>
      <c r="L893" s="29"/>
      <c r="M893">
        <v>4</v>
      </c>
      <c r="N893">
        <v>4</v>
      </c>
      <c r="O893" s="49"/>
      <c r="P893">
        <v>4</v>
      </c>
    </row>
    <row r="894" spans="6:16" x14ac:dyDescent="0.35">
      <c r="F894" t="s">
        <v>6614</v>
      </c>
      <c r="I894">
        <v>1</v>
      </c>
      <c r="J894" s="29"/>
      <c r="K894" s="30"/>
      <c r="L894" s="29"/>
      <c r="M894">
        <v>4</v>
      </c>
      <c r="N894">
        <v>4</v>
      </c>
      <c r="O894" s="49"/>
      <c r="P894">
        <v>4</v>
      </c>
    </row>
    <row r="895" spans="6:16" x14ac:dyDescent="0.35">
      <c r="F895" t="s">
        <v>6619</v>
      </c>
      <c r="I895">
        <v>0</v>
      </c>
      <c r="J895" s="29"/>
      <c r="K895" s="30"/>
      <c r="L895" s="29"/>
      <c r="M895">
        <v>4</v>
      </c>
      <c r="N895">
        <v>4</v>
      </c>
      <c r="O895" s="49"/>
      <c r="P895">
        <v>4</v>
      </c>
    </row>
    <row r="896" spans="6:16" x14ac:dyDescent="0.35">
      <c r="F896" t="s">
        <v>6624</v>
      </c>
      <c r="I896">
        <v>0</v>
      </c>
      <c r="J896" s="29"/>
      <c r="K896" s="30"/>
      <c r="L896" s="29"/>
      <c r="M896">
        <v>3</v>
      </c>
      <c r="N896">
        <v>3</v>
      </c>
      <c r="O896" s="49"/>
      <c r="P896">
        <v>4</v>
      </c>
    </row>
    <row r="897" spans="6:16" x14ac:dyDescent="0.35">
      <c r="F897" t="s">
        <v>6629</v>
      </c>
      <c r="I897">
        <v>0</v>
      </c>
      <c r="J897" s="29"/>
      <c r="K897" s="30"/>
      <c r="L897" s="29"/>
      <c r="O897" s="49"/>
    </row>
    <row r="898" spans="6:16" x14ac:dyDescent="0.35">
      <c r="F898" t="s">
        <v>6634</v>
      </c>
      <c r="I898">
        <v>0</v>
      </c>
      <c r="J898" s="29"/>
      <c r="K898" s="30"/>
      <c r="L898" s="29"/>
      <c r="O898" s="49"/>
    </row>
    <row r="899" spans="6:16" x14ac:dyDescent="0.35">
      <c r="F899" t="s">
        <v>6639</v>
      </c>
      <c r="I899">
        <v>0</v>
      </c>
      <c r="J899" s="29"/>
      <c r="K899" s="30"/>
      <c r="L899" s="29"/>
      <c r="M899">
        <v>4</v>
      </c>
      <c r="N899">
        <v>3</v>
      </c>
      <c r="O899" s="49"/>
      <c r="P899">
        <v>4</v>
      </c>
    </row>
    <row r="900" spans="6:16" x14ac:dyDescent="0.35">
      <c r="F900" t="s">
        <v>6644</v>
      </c>
      <c r="I900">
        <v>1</v>
      </c>
      <c r="J900" s="29"/>
      <c r="K900" s="30"/>
      <c r="L900" s="29"/>
      <c r="M900">
        <v>3</v>
      </c>
      <c r="N900">
        <v>3</v>
      </c>
      <c r="O900" s="49"/>
      <c r="P900">
        <v>4</v>
      </c>
    </row>
    <row r="901" spans="6:16" x14ac:dyDescent="0.35">
      <c r="F901" t="s">
        <v>6649</v>
      </c>
      <c r="I901">
        <v>1</v>
      </c>
      <c r="J901" s="29"/>
      <c r="K901" s="30"/>
      <c r="L901" s="29"/>
      <c r="M901">
        <v>4</v>
      </c>
      <c r="N901">
        <v>4</v>
      </c>
      <c r="O901" s="49"/>
      <c r="P901">
        <v>4</v>
      </c>
    </row>
    <row r="902" spans="6:16" x14ac:dyDescent="0.35">
      <c r="F902" t="s">
        <v>6654</v>
      </c>
      <c r="I902">
        <v>1</v>
      </c>
      <c r="J902" s="29"/>
      <c r="K902" s="30"/>
      <c r="L902" s="29"/>
      <c r="O902" s="49"/>
    </row>
    <row r="903" spans="6:16" x14ac:dyDescent="0.35">
      <c r="F903" t="s">
        <v>6659</v>
      </c>
      <c r="I903">
        <v>0</v>
      </c>
      <c r="J903" s="29"/>
      <c r="K903" s="30"/>
      <c r="L903" s="29"/>
      <c r="O903" s="49"/>
    </row>
    <row r="904" spans="6:16" x14ac:dyDescent="0.35">
      <c r="F904" t="s">
        <v>6664</v>
      </c>
      <c r="I904">
        <v>0</v>
      </c>
      <c r="J904" s="29"/>
      <c r="K904" s="30"/>
      <c r="L904" s="29"/>
      <c r="O904" s="49"/>
    </row>
    <row r="905" spans="6:16" x14ac:dyDescent="0.35">
      <c r="F905" t="s">
        <v>6669</v>
      </c>
      <c r="I905">
        <v>0</v>
      </c>
      <c r="J905" s="29"/>
      <c r="K905" s="30"/>
      <c r="L905" s="29"/>
      <c r="O905" s="49"/>
    </row>
    <row r="906" spans="6:16" x14ac:dyDescent="0.35">
      <c r="F906" t="s">
        <v>6674</v>
      </c>
      <c r="I906">
        <v>0</v>
      </c>
      <c r="J906" s="29"/>
      <c r="K906" s="30"/>
      <c r="L906" s="29"/>
      <c r="O906" s="49"/>
    </row>
    <row r="907" spans="6:16" x14ac:dyDescent="0.35">
      <c r="F907" t="s">
        <v>6679</v>
      </c>
      <c r="I907">
        <v>0</v>
      </c>
      <c r="J907" s="29"/>
      <c r="K907" s="30"/>
      <c r="L907" s="29"/>
      <c r="O907" s="49"/>
    </row>
    <row r="908" spans="6:16" x14ac:dyDescent="0.35">
      <c r="F908" t="s">
        <v>6684</v>
      </c>
      <c r="I908">
        <v>0</v>
      </c>
      <c r="J908" s="29"/>
      <c r="K908" s="30"/>
      <c r="L908" s="29"/>
      <c r="M908">
        <v>4</v>
      </c>
      <c r="N908">
        <v>4</v>
      </c>
      <c r="O908" s="49"/>
      <c r="P908">
        <v>3</v>
      </c>
    </row>
    <row r="909" spans="6:16" x14ac:dyDescent="0.35">
      <c r="F909" t="s">
        <v>6689</v>
      </c>
      <c r="I909">
        <v>1</v>
      </c>
      <c r="J909" s="29"/>
      <c r="K909" s="30"/>
      <c r="L909" s="29"/>
      <c r="M909">
        <v>4</v>
      </c>
      <c r="N909">
        <v>4</v>
      </c>
      <c r="O909" s="49"/>
      <c r="P909">
        <v>4</v>
      </c>
    </row>
    <row r="910" spans="6:16" x14ac:dyDescent="0.35">
      <c r="F910" t="s">
        <v>6694</v>
      </c>
      <c r="I910">
        <v>1</v>
      </c>
      <c r="J910" s="29"/>
      <c r="K910" s="30"/>
      <c r="L910" s="29"/>
      <c r="M910">
        <v>4</v>
      </c>
      <c r="N910">
        <v>4</v>
      </c>
      <c r="O910" s="49"/>
      <c r="P910">
        <v>4</v>
      </c>
    </row>
    <row r="911" spans="6:16" x14ac:dyDescent="0.35">
      <c r="F911" t="s">
        <v>6699</v>
      </c>
      <c r="I911">
        <v>1</v>
      </c>
      <c r="J911" s="29"/>
      <c r="K911" s="30"/>
      <c r="L911" s="29"/>
      <c r="M911">
        <v>4</v>
      </c>
      <c r="N911">
        <v>4</v>
      </c>
      <c r="O911" s="49"/>
      <c r="P911">
        <v>3</v>
      </c>
    </row>
    <row r="912" spans="6:16" x14ac:dyDescent="0.35">
      <c r="F912" t="s">
        <v>6704</v>
      </c>
      <c r="I912">
        <v>1</v>
      </c>
      <c r="J912" s="29"/>
      <c r="K912" s="30"/>
      <c r="L912" s="29"/>
      <c r="M912">
        <v>4</v>
      </c>
      <c r="N912">
        <v>4</v>
      </c>
      <c r="O912" s="49"/>
      <c r="P912">
        <v>3</v>
      </c>
    </row>
    <row r="913" spans="6:16" x14ac:dyDescent="0.35">
      <c r="F913" t="s">
        <v>6709</v>
      </c>
      <c r="I913">
        <v>1</v>
      </c>
      <c r="J913" s="29"/>
      <c r="K913" s="30"/>
      <c r="L913" s="29"/>
      <c r="M913">
        <v>4</v>
      </c>
      <c r="N913">
        <v>4</v>
      </c>
      <c r="O913" s="49"/>
      <c r="P913">
        <v>3</v>
      </c>
    </row>
    <row r="914" spans="6:16" x14ac:dyDescent="0.35">
      <c r="F914" t="s">
        <v>6714</v>
      </c>
      <c r="I914">
        <v>1</v>
      </c>
      <c r="J914" s="29"/>
      <c r="K914" s="30"/>
      <c r="L914" s="29"/>
      <c r="M914">
        <v>4</v>
      </c>
      <c r="N914">
        <v>4</v>
      </c>
      <c r="O914" s="49"/>
      <c r="P914">
        <v>3</v>
      </c>
    </row>
    <row r="915" spans="6:16" x14ac:dyDescent="0.35">
      <c r="F915" t="s">
        <v>6719</v>
      </c>
      <c r="I915">
        <v>1</v>
      </c>
      <c r="J915" s="29"/>
      <c r="K915" s="30"/>
      <c r="L915" s="29"/>
      <c r="M915">
        <v>4</v>
      </c>
      <c r="N915">
        <v>4</v>
      </c>
      <c r="O915" s="49"/>
      <c r="P915">
        <v>4</v>
      </c>
    </row>
    <row r="916" spans="6:16" x14ac:dyDescent="0.35">
      <c r="F916" t="s">
        <v>6724</v>
      </c>
      <c r="I916">
        <v>1</v>
      </c>
      <c r="J916" s="29"/>
      <c r="K916" s="30"/>
      <c r="L916" s="29"/>
      <c r="M916">
        <v>4</v>
      </c>
      <c r="N916">
        <v>4</v>
      </c>
      <c r="O916" s="49"/>
      <c r="P916">
        <v>4</v>
      </c>
    </row>
    <row r="917" spans="6:16" x14ac:dyDescent="0.35">
      <c r="F917" t="s">
        <v>6729</v>
      </c>
      <c r="I917">
        <v>1</v>
      </c>
      <c r="J917" s="29"/>
      <c r="K917" s="30"/>
      <c r="L917" s="29"/>
      <c r="M917">
        <v>4</v>
      </c>
      <c r="N917">
        <v>4</v>
      </c>
      <c r="O917" s="49"/>
      <c r="P917">
        <v>4</v>
      </c>
    </row>
    <row r="918" spans="6:16" x14ac:dyDescent="0.35">
      <c r="F918" t="s">
        <v>6734</v>
      </c>
      <c r="I918">
        <v>1</v>
      </c>
      <c r="J918" s="29"/>
      <c r="K918" s="30"/>
      <c r="L918" s="29"/>
      <c r="M918">
        <v>4</v>
      </c>
      <c r="N918">
        <v>4</v>
      </c>
      <c r="O918" s="49"/>
      <c r="P918">
        <v>3</v>
      </c>
    </row>
    <row r="919" spans="6:16" x14ac:dyDescent="0.35">
      <c r="F919" t="s">
        <v>6739</v>
      </c>
      <c r="I919">
        <v>1</v>
      </c>
      <c r="J919" s="29"/>
      <c r="K919" s="30"/>
      <c r="L919" s="29"/>
      <c r="M919">
        <v>4</v>
      </c>
      <c r="N919">
        <v>4</v>
      </c>
      <c r="O919" s="49"/>
      <c r="P919">
        <v>4</v>
      </c>
    </row>
    <row r="920" spans="6:16" x14ac:dyDescent="0.35">
      <c r="F920" t="s">
        <v>6744</v>
      </c>
      <c r="I920">
        <v>1</v>
      </c>
      <c r="J920" s="29"/>
      <c r="K920" s="30"/>
      <c r="L920" s="29"/>
      <c r="M920">
        <v>4</v>
      </c>
      <c r="N920">
        <v>4</v>
      </c>
      <c r="O920" s="49"/>
      <c r="P920">
        <v>4</v>
      </c>
    </row>
    <row r="921" spans="6:16" x14ac:dyDescent="0.35">
      <c r="F921" t="s">
        <v>6749</v>
      </c>
      <c r="I921">
        <v>1</v>
      </c>
      <c r="J921" s="29"/>
      <c r="K921" s="30"/>
      <c r="L921" s="29"/>
      <c r="M921">
        <v>4</v>
      </c>
      <c r="N921">
        <v>4</v>
      </c>
      <c r="O921" s="49"/>
      <c r="P921">
        <v>3</v>
      </c>
    </row>
    <row r="922" spans="6:16" x14ac:dyDescent="0.35">
      <c r="F922" t="s">
        <v>6754</v>
      </c>
      <c r="I922">
        <v>1</v>
      </c>
      <c r="J922" s="29"/>
      <c r="K922" s="30"/>
      <c r="L922" s="29"/>
      <c r="M922">
        <v>4</v>
      </c>
      <c r="N922">
        <v>4</v>
      </c>
      <c r="O922" s="49"/>
      <c r="P922">
        <v>2</v>
      </c>
    </row>
    <row r="923" spans="6:16" x14ac:dyDescent="0.35">
      <c r="F923" t="s">
        <v>6759</v>
      </c>
      <c r="I923">
        <v>1</v>
      </c>
      <c r="J923" s="29"/>
      <c r="K923" s="30"/>
      <c r="L923" s="29"/>
      <c r="M923">
        <v>4</v>
      </c>
      <c r="N923">
        <v>4</v>
      </c>
      <c r="O923" s="49"/>
      <c r="P923">
        <v>2</v>
      </c>
    </row>
    <row r="924" spans="6:16" x14ac:dyDescent="0.35">
      <c r="F924" t="s">
        <v>6764</v>
      </c>
      <c r="I924">
        <v>1</v>
      </c>
      <c r="J924" s="29"/>
      <c r="K924" s="30"/>
      <c r="L924" s="29"/>
      <c r="M924">
        <v>4</v>
      </c>
      <c r="N924">
        <v>4</v>
      </c>
      <c r="O924" s="49"/>
      <c r="P924">
        <v>3</v>
      </c>
    </row>
    <row r="925" spans="6:16" x14ac:dyDescent="0.35">
      <c r="F925" t="s">
        <v>6769</v>
      </c>
      <c r="I925">
        <v>1</v>
      </c>
      <c r="J925" s="29"/>
      <c r="K925" s="30"/>
      <c r="L925" s="29"/>
      <c r="M925">
        <v>4</v>
      </c>
      <c r="N925">
        <v>4</v>
      </c>
      <c r="O925" s="49"/>
      <c r="P925">
        <v>3</v>
      </c>
    </row>
    <row r="926" spans="6:16" x14ac:dyDescent="0.35">
      <c r="F926" t="s">
        <v>6774</v>
      </c>
      <c r="I926">
        <v>1</v>
      </c>
      <c r="J926" s="29"/>
      <c r="K926" s="30"/>
      <c r="L926" s="29"/>
      <c r="M926">
        <v>4</v>
      </c>
      <c r="N926">
        <v>4</v>
      </c>
      <c r="O926" s="49"/>
      <c r="P926">
        <v>4</v>
      </c>
    </row>
    <row r="927" spans="6:16" x14ac:dyDescent="0.35">
      <c r="F927" t="s">
        <v>6779</v>
      </c>
      <c r="I927">
        <v>1</v>
      </c>
      <c r="J927" s="29"/>
      <c r="K927" s="30"/>
      <c r="L927" s="29"/>
      <c r="M927">
        <v>4</v>
      </c>
      <c r="N927">
        <v>4</v>
      </c>
      <c r="O927" s="49"/>
      <c r="P927">
        <v>4</v>
      </c>
    </row>
    <row r="928" spans="6:16" x14ac:dyDescent="0.35">
      <c r="F928" t="s">
        <v>6784</v>
      </c>
      <c r="I928">
        <v>1</v>
      </c>
      <c r="J928" s="29"/>
      <c r="K928" s="30"/>
      <c r="L928" s="29"/>
      <c r="M928">
        <v>4</v>
      </c>
      <c r="N928">
        <v>4</v>
      </c>
      <c r="O928" s="49"/>
      <c r="P928">
        <v>3</v>
      </c>
    </row>
    <row r="929" spans="6:16" x14ac:dyDescent="0.35">
      <c r="F929" t="s">
        <v>6789</v>
      </c>
      <c r="I929">
        <v>1</v>
      </c>
      <c r="J929" s="29"/>
      <c r="K929" s="30"/>
      <c r="L929" s="29"/>
      <c r="M929">
        <v>4</v>
      </c>
      <c r="N929">
        <v>4</v>
      </c>
      <c r="O929" s="49"/>
      <c r="P929">
        <v>3</v>
      </c>
    </row>
    <row r="930" spans="6:16" x14ac:dyDescent="0.35">
      <c r="F930" t="s">
        <v>6794</v>
      </c>
      <c r="I930">
        <v>1</v>
      </c>
      <c r="J930" s="29"/>
      <c r="K930" s="30"/>
      <c r="L930" s="29"/>
      <c r="M930">
        <v>4</v>
      </c>
      <c r="N930">
        <v>4</v>
      </c>
      <c r="O930" s="49"/>
      <c r="P930">
        <v>3</v>
      </c>
    </row>
    <row r="931" spans="6:16" x14ac:dyDescent="0.35">
      <c r="F931" t="s">
        <v>6799</v>
      </c>
      <c r="I931">
        <v>1</v>
      </c>
      <c r="J931" s="29"/>
      <c r="K931" s="30"/>
      <c r="L931" s="29"/>
      <c r="M931">
        <v>4</v>
      </c>
      <c r="N931">
        <v>4</v>
      </c>
      <c r="O931" s="49"/>
      <c r="P931">
        <v>2</v>
      </c>
    </row>
    <row r="932" spans="6:16" x14ac:dyDescent="0.35">
      <c r="F932" t="s">
        <v>6804</v>
      </c>
      <c r="I932">
        <v>1</v>
      </c>
      <c r="J932" s="29"/>
      <c r="K932" s="30"/>
      <c r="L932" s="29"/>
      <c r="M932">
        <v>4</v>
      </c>
      <c r="N932">
        <v>4</v>
      </c>
      <c r="O932" s="49"/>
      <c r="P932">
        <v>4</v>
      </c>
    </row>
    <row r="933" spans="6:16" x14ac:dyDescent="0.35">
      <c r="F933" t="s">
        <v>6809</v>
      </c>
      <c r="I933">
        <v>1</v>
      </c>
      <c r="J933" s="29"/>
      <c r="K933" s="30"/>
      <c r="L933" s="29"/>
      <c r="O933" s="49"/>
    </row>
    <row r="934" spans="6:16" x14ac:dyDescent="0.35">
      <c r="H934" t="s">
        <v>26</v>
      </c>
      <c r="I934"/>
      <c r="J934" s="29"/>
      <c r="K934" s="30"/>
      <c r="L934" s="29"/>
      <c r="M934">
        <v>4</v>
      </c>
      <c r="N934">
        <v>4</v>
      </c>
      <c r="O934" s="49"/>
      <c r="P934">
        <v>2</v>
      </c>
    </row>
    <row r="935" spans="6:16" x14ac:dyDescent="0.35">
      <c r="F935" t="s">
        <v>6817</v>
      </c>
      <c r="I935">
        <v>1</v>
      </c>
      <c r="J935" s="29"/>
      <c r="K935" s="30"/>
      <c r="L935" s="29"/>
      <c r="M935">
        <v>4</v>
      </c>
      <c r="N935">
        <v>4</v>
      </c>
      <c r="O935" s="49"/>
      <c r="P935">
        <v>3</v>
      </c>
    </row>
    <row r="936" spans="6:16" x14ac:dyDescent="0.35">
      <c r="F936" t="s">
        <v>6822</v>
      </c>
      <c r="I936">
        <v>1</v>
      </c>
      <c r="J936" s="29"/>
      <c r="K936" s="30"/>
      <c r="L936" s="29"/>
      <c r="M936">
        <v>4</v>
      </c>
      <c r="N936">
        <v>4</v>
      </c>
      <c r="O936" s="49"/>
      <c r="P936">
        <v>3</v>
      </c>
    </row>
    <row r="937" spans="6:16" x14ac:dyDescent="0.35">
      <c r="F937" t="s">
        <v>6827</v>
      </c>
      <c r="I937">
        <v>1</v>
      </c>
      <c r="J937" s="29"/>
      <c r="K937" s="30"/>
      <c r="L937" s="29"/>
      <c r="M937">
        <v>4</v>
      </c>
      <c r="N937">
        <v>4</v>
      </c>
      <c r="O937" s="49"/>
      <c r="P937">
        <v>3</v>
      </c>
    </row>
    <row r="938" spans="6:16" x14ac:dyDescent="0.35">
      <c r="F938" t="s">
        <v>6832</v>
      </c>
      <c r="I938">
        <v>1</v>
      </c>
      <c r="J938" s="29"/>
      <c r="K938" s="30"/>
      <c r="L938" s="29"/>
      <c r="M938">
        <v>4</v>
      </c>
      <c r="N938">
        <v>4</v>
      </c>
      <c r="O938" s="49"/>
      <c r="P938">
        <v>2</v>
      </c>
    </row>
    <row r="939" spans="6:16" x14ac:dyDescent="0.35">
      <c r="F939" t="s">
        <v>6837</v>
      </c>
      <c r="I939">
        <v>1</v>
      </c>
      <c r="J939" s="29"/>
      <c r="K939" s="30"/>
      <c r="L939" s="29"/>
      <c r="M939">
        <v>4</v>
      </c>
      <c r="N939">
        <v>4</v>
      </c>
      <c r="O939" s="49"/>
      <c r="P939">
        <v>2</v>
      </c>
    </row>
    <row r="940" spans="6:16" x14ac:dyDescent="0.35">
      <c r="F940" t="s">
        <v>6842</v>
      </c>
      <c r="I940">
        <v>1</v>
      </c>
      <c r="J940" s="29"/>
      <c r="K940" s="30"/>
      <c r="L940" s="29"/>
      <c r="M940">
        <v>2</v>
      </c>
      <c r="N940">
        <v>4</v>
      </c>
      <c r="O940" s="49"/>
      <c r="P940">
        <v>3</v>
      </c>
    </row>
    <row r="941" spans="6:16" x14ac:dyDescent="0.35">
      <c r="F941" t="s">
        <v>6847</v>
      </c>
      <c r="I941">
        <v>1</v>
      </c>
      <c r="J941" s="29"/>
      <c r="K941" s="30"/>
      <c r="L941" s="29"/>
      <c r="M941">
        <v>4</v>
      </c>
      <c r="N941">
        <v>4</v>
      </c>
      <c r="O941" s="49"/>
      <c r="P941">
        <v>3</v>
      </c>
    </row>
    <row r="942" spans="6:16" x14ac:dyDescent="0.35">
      <c r="F942" t="s">
        <v>6852</v>
      </c>
      <c r="I942">
        <v>1</v>
      </c>
      <c r="J942" s="29"/>
      <c r="K942" s="30"/>
      <c r="L942" s="29"/>
      <c r="M942">
        <v>4</v>
      </c>
      <c r="N942">
        <v>4</v>
      </c>
      <c r="O942" s="49"/>
      <c r="P942">
        <v>3</v>
      </c>
    </row>
    <row r="943" spans="6:16" x14ac:dyDescent="0.35">
      <c r="F943" t="s">
        <v>6857</v>
      </c>
      <c r="I943">
        <v>1</v>
      </c>
      <c r="J943" s="29"/>
      <c r="K943" s="30"/>
      <c r="L943" s="29"/>
      <c r="M943">
        <v>4</v>
      </c>
      <c r="N943">
        <v>4</v>
      </c>
      <c r="O943" s="49"/>
      <c r="P943">
        <v>2</v>
      </c>
    </row>
    <row r="944" spans="6:16" x14ac:dyDescent="0.35">
      <c r="F944" t="s">
        <v>6862</v>
      </c>
      <c r="I944">
        <v>1</v>
      </c>
      <c r="J944" s="29"/>
      <c r="K944" s="30"/>
      <c r="L944" s="29"/>
      <c r="O944" s="49"/>
    </row>
    <row r="945" spans="6:16" x14ac:dyDescent="0.35">
      <c r="F945" t="s">
        <v>6867</v>
      </c>
      <c r="I945">
        <v>0</v>
      </c>
      <c r="J945" s="29"/>
      <c r="K945" s="30"/>
      <c r="L945" s="29"/>
      <c r="O945" s="49"/>
    </row>
    <row r="946" spans="6:16" x14ac:dyDescent="0.35">
      <c r="F946" t="s">
        <v>6872</v>
      </c>
      <c r="I946">
        <v>0</v>
      </c>
      <c r="J946" s="29"/>
      <c r="K946" s="30"/>
      <c r="L946" s="29"/>
      <c r="O946" s="49"/>
    </row>
    <row r="947" spans="6:16" x14ac:dyDescent="0.35">
      <c r="F947" t="s">
        <v>6877</v>
      </c>
      <c r="I947">
        <v>0</v>
      </c>
      <c r="J947" s="29"/>
      <c r="K947" s="30"/>
      <c r="L947" s="29"/>
      <c r="M947">
        <v>4</v>
      </c>
      <c r="N947">
        <v>4</v>
      </c>
      <c r="O947" s="49"/>
      <c r="P947">
        <v>3</v>
      </c>
    </row>
    <row r="948" spans="6:16" x14ac:dyDescent="0.35">
      <c r="F948" t="s">
        <v>6882</v>
      </c>
      <c r="I948">
        <v>1</v>
      </c>
      <c r="J948" s="29"/>
      <c r="K948" s="30"/>
      <c r="L948" s="29"/>
      <c r="M948">
        <v>3</v>
      </c>
      <c r="N948">
        <v>3</v>
      </c>
      <c r="O948" s="49"/>
      <c r="P948">
        <v>4</v>
      </c>
    </row>
    <row r="949" spans="6:16" x14ac:dyDescent="0.35">
      <c r="F949" t="s">
        <v>6887</v>
      </c>
      <c r="I949">
        <v>1</v>
      </c>
      <c r="J949" s="29"/>
      <c r="K949" s="30"/>
      <c r="L949" s="29"/>
      <c r="M949">
        <v>4</v>
      </c>
      <c r="N949">
        <v>4</v>
      </c>
      <c r="O949" s="49"/>
      <c r="P949">
        <v>4</v>
      </c>
    </row>
    <row r="950" spans="6:16" x14ac:dyDescent="0.35">
      <c r="F950" t="s">
        <v>6892</v>
      </c>
      <c r="I950">
        <v>1</v>
      </c>
      <c r="J950" s="29"/>
      <c r="K950" s="30"/>
      <c r="L950" s="29"/>
      <c r="O950" s="49"/>
    </row>
    <row r="951" spans="6:16" x14ac:dyDescent="0.35">
      <c r="F951" t="s">
        <v>6897</v>
      </c>
      <c r="I951">
        <v>0</v>
      </c>
      <c r="J951" s="29"/>
      <c r="K951" s="30"/>
      <c r="L951" s="29"/>
      <c r="O951" s="49"/>
    </row>
    <row r="952" spans="6:16" x14ac:dyDescent="0.35">
      <c r="F952" t="s">
        <v>6902</v>
      </c>
      <c r="I952">
        <v>0</v>
      </c>
      <c r="J952" s="29"/>
      <c r="K952" s="30"/>
      <c r="L952" s="29"/>
      <c r="O952" s="49"/>
    </row>
    <row r="953" spans="6:16" x14ac:dyDescent="0.35">
      <c r="I953" s="53"/>
      <c r="J953" s="29"/>
      <c r="K953" s="30"/>
      <c r="L953" s="29"/>
      <c r="O953" s="49"/>
    </row>
    <row r="954" spans="6:16" x14ac:dyDescent="0.35">
      <c r="I954" s="53"/>
      <c r="J954" s="29"/>
      <c r="K954" s="30"/>
      <c r="L954" s="29"/>
      <c r="O954" s="49"/>
    </row>
    <row r="955" spans="6:16" x14ac:dyDescent="0.35">
      <c r="I955" s="53"/>
      <c r="J955" s="29"/>
      <c r="K955" s="30"/>
      <c r="L955" s="29"/>
      <c r="O955" s="49"/>
    </row>
    <row r="956" spans="6:16" x14ac:dyDescent="0.35">
      <c r="I956" s="53"/>
      <c r="J956" s="29"/>
      <c r="K956" s="30"/>
      <c r="L956" s="29"/>
      <c r="O956" s="49"/>
    </row>
    <row r="957" spans="6:16" x14ac:dyDescent="0.35">
      <c r="I957" s="53"/>
      <c r="J957" s="29"/>
      <c r="K957" s="30"/>
      <c r="L957" s="29"/>
      <c r="O957" s="49"/>
    </row>
    <row r="958" spans="6:16" x14ac:dyDescent="0.35">
      <c r="I958" s="53"/>
      <c r="J958" s="29"/>
      <c r="K958" s="30"/>
      <c r="L958" s="29"/>
      <c r="O958" s="49"/>
    </row>
    <row r="959" spans="6:16" x14ac:dyDescent="0.35">
      <c r="I959" s="53"/>
      <c r="J959" s="29"/>
      <c r="K959" s="30"/>
      <c r="L959" s="29"/>
      <c r="O959" s="49"/>
    </row>
    <row r="960" spans="6:16" x14ac:dyDescent="0.35">
      <c r="I960" s="53"/>
      <c r="J960" s="29"/>
      <c r="K960" s="30"/>
      <c r="L960" s="29"/>
      <c r="O960" s="49"/>
    </row>
    <row r="961" spans="9:15" x14ac:dyDescent="0.35">
      <c r="I961" s="53"/>
      <c r="J961" s="29"/>
      <c r="K961" s="30"/>
      <c r="L961" s="29"/>
      <c r="O961" s="49"/>
    </row>
    <row r="962" spans="9:15" x14ac:dyDescent="0.35">
      <c r="I962" s="53"/>
      <c r="J962" s="29"/>
      <c r="K962" s="30"/>
      <c r="L962" s="29"/>
      <c r="O962" s="49"/>
    </row>
    <row r="963" spans="9:15" x14ac:dyDescent="0.35">
      <c r="I963" s="53"/>
      <c r="J963" s="29"/>
      <c r="K963" s="30"/>
      <c r="L963" s="29"/>
      <c r="O963" s="49"/>
    </row>
    <row r="964" spans="9:15" x14ac:dyDescent="0.35">
      <c r="I964" s="53"/>
      <c r="J964" s="29"/>
      <c r="K964" s="30"/>
      <c r="L964" s="29"/>
      <c r="O964" s="49"/>
    </row>
    <row r="965" spans="9:15" x14ac:dyDescent="0.35">
      <c r="I965" s="53"/>
      <c r="J965" s="29"/>
      <c r="K965" s="30"/>
      <c r="L965" s="29"/>
      <c r="O965" s="49"/>
    </row>
    <row r="966" spans="9:15" x14ac:dyDescent="0.35">
      <c r="I966" s="53"/>
      <c r="J966" s="29"/>
      <c r="K966" s="30"/>
      <c r="L966" s="29"/>
      <c r="O966" s="49"/>
    </row>
    <row r="967" spans="9:15" x14ac:dyDescent="0.35">
      <c r="I967" s="53"/>
      <c r="J967" s="29"/>
      <c r="K967" s="30"/>
      <c r="L967" s="29"/>
      <c r="O967" s="49"/>
    </row>
    <row r="968" spans="9:15" x14ac:dyDescent="0.35">
      <c r="I968" s="53"/>
      <c r="J968" s="29"/>
      <c r="K968" s="30"/>
      <c r="L968" s="29"/>
      <c r="O968" s="49"/>
    </row>
    <row r="969" spans="9:15" x14ac:dyDescent="0.35">
      <c r="I969" s="53"/>
      <c r="J969" s="29"/>
      <c r="K969" s="30"/>
      <c r="L969" s="29"/>
      <c r="O969" s="49"/>
    </row>
    <row r="970" spans="9:15" x14ac:dyDescent="0.35">
      <c r="I970" s="53"/>
      <c r="J970" s="29"/>
      <c r="K970" s="30"/>
      <c r="L970" s="29"/>
      <c r="O970" s="49"/>
    </row>
    <row r="971" spans="9:15" x14ac:dyDescent="0.35">
      <c r="I971" s="53"/>
      <c r="J971" s="29"/>
      <c r="K971" s="30"/>
      <c r="L971" s="29"/>
      <c r="O971" s="49"/>
    </row>
    <row r="972" spans="9:15" x14ac:dyDescent="0.35">
      <c r="I972" s="53"/>
      <c r="J972" s="29"/>
      <c r="K972" s="30"/>
      <c r="L972" s="29"/>
      <c r="O972" s="49"/>
    </row>
    <row r="973" spans="9:15" x14ac:dyDescent="0.35">
      <c r="I973" s="53"/>
      <c r="J973" s="29"/>
      <c r="K973" s="30"/>
      <c r="L973" s="29"/>
      <c r="O973" s="49"/>
    </row>
    <row r="974" spans="9:15" x14ac:dyDescent="0.35">
      <c r="I974" s="53"/>
      <c r="J974" s="29"/>
      <c r="K974" s="30"/>
      <c r="L974" s="29"/>
      <c r="O974" s="49"/>
    </row>
    <row r="975" spans="9:15" x14ac:dyDescent="0.35">
      <c r="I975" s="53"/>
      <c r="J975" s="29"/>
      <c r="K975" s="30"/>
      <c r="L975" s="29"/>
      <c r="O975" s="49"/>
    </row>
    <row r="976" spans="9:15" x14ac:dyDescent="0.35">
      <c r="I976" s="53"/>
      <c r="J976" s="29"/>
      <c r="K976" s="30"/>
      <c r="L976" s="29"/>
      <c r="O976" s="49"/>
    </row>
    <row r="977" spans="9:15" x14ac:dyDescent="0.35">
      <c r="I977" s="53"/>
      <c r="J977" s="29"/>
      <c r="K977" s="30"/>
      <c r="L977" s="29"/>
      <c r="O977" s="49"/>
    </row>
    <row r="978" spans="9:15" x14ac:dyDescent="0.35">
      <c r="I978" s="53"/>
      <c r="J978" s="29"/>
      <c r="K978" s="30"/>
      <c r="L978" s="29"/>
      <c r="O978" s="49"/>
    </row>
    <row r="979" spans="9:15" x14ac:dyDescent="0.35">
      <c r="I979" s="53"/>
      <c r="J979" s="29"/>
      <c r="K979" s="30"/>
      <c r="L979" s="29"/>
      <c r="O979" s="49"/>
    </row>
    <row r="980" spans="9:15" x14ac:dyDescent="0.35">
      <c r="I980" s="53"/>
      <c r="J980" s="29"/>
      <c r="K980" s="30"/>
      <c r="L980" s="29"/>
      <c r="O980" s="49"/>
    </row>
    <row r="981" spans="9:15" x14ac:dyDescent="0.35">
      <c r="I981" s="53"/>
      <c r="J981" s="29"/>
      <c r="K981" s="30"/>
      <c r="L981" s="29"/>
      <c r="O981" s="49"/>
    </row>
    <row r="982" spans="9:15" x14ac:dyDescent="0.35">
      <c r="I982" s="53"/>
      <c r="J982" s="29"/>
      <c r="K982" s="30"/>
      <c r="L982" s="29"/>
      <c r="O982" s="49"/>
    </row>
    <row r="983" spans="9:15" x14ac:dyDescent="0.35">
      <c r="I983" s="53"/>
      <c r="J983" s="29"/>
      <c r="K983" s="30"/>
      <c r="L983" s="29"/>
      <c r="O983" s="49"/>
    </row>
    <row r="984" spans="9:15" x14ac:dyDescent="0.35">
      <c r="I984" s="53"/>
      <c r="J984" s="29"/>
      <c r="K984" s="30"/>
      <c r="L984" s="29"/>
      <c r="O984" s="49"/>
    </row>
    <row r="985" spans="9:15" x14ac:dyDescent="0.35">
      <c r="I985" s="53"/>
      <c r="J985" s="29"/>
      <c r="K985" s="30"/>
      <c r="L985" s="29"/>
      <c r="O985" s="49"/>
    </row>
    <row r="986" spans="9:15" x14ac:dyDescent="0.35">
      <c r="I986" s="53"/>
      <c r="J986" s="29"/>
      <c r="K986" s="30"/>
      <c r="L986" s="29"/>
      <c r="O986" s="49"/>
    </row>
    <row r="987" spans="9:15" x14ac:dyDescent="0.35">
      <c r="I987" s="53"/>
      <c r="J987" s="29"/>
      <c r="K987" s="30"/>
      <c r="L987" s="29"/>
      <c r="O987" s="49"/>
    </row>
    <row r="988" spans="9:15" x14ac:dyDescent="0.35">
      <c r="I988" s="53"/>
      <c r="J988" s="29"/>
      <c r="K988" s="30"/>
      <c r="L988" s="29"/>
      <c r="O988" s="49"/>
    </row>
    <row r="989" spans="9:15" x14ac:dyDescent="0.35">
      <c r="I989" s="53"/>
      <c r="J989" s="29"/>
      <c r="K989" s="30"/>
      <c r="L989" s="29"/>
      <c r="O989" s="49"/>
    </row>
    <row r="990" spans="9:15" x14ac:dyDescent="0.35">
      <c r="I990" s="53"/>
      <c r="J990" s="29"/>
      <c r="K990" s="30"/>
      <c r="L990" s="29"/>
      <c r="O990" s="49"/>
    </row>
    <row r="991" spans="9:15" x14ac:dyDescent="0.35">
      <c r="I991" s="53"/>
      <c r="J991" s="29"/>
      <c r="K991" s="30"/>
      <c r="L991" s="29"/>
      <c r="O991" s="49"/>
    </row>
    <row r="992" spans="9:15" x14ac:dyDescent="0.35">
      <c r="I992" s="53"/>
      <c r="J992" s="29"/>
      <c r="K992" s="30"/>
      <c r="L992" s="29"/>
      <c r="O992" s="49"/>
    </row>
    <row r="993" spans="9:15" x14ac:dyDescent="0.35">
      <c r="I993" s="53"/>
      <c r="J993" s="29"/>
      <c r="K993" s="30"/>
      <c r="L993" s="29"/>
      <c r="O993" s="49"/>
    </row>
    <row r="994" spans="9:15" x14ac:dyDescent="0.35">
      <c r="I994" s="53"/>
      <c r="J994" s="29"/>
      <c r="K994" s="30"/>
      <c r="L994" s="29"/>
      <c r="O994" s="49"/>
    </row>
    <row r="995" spans="9:15" x14ac:dyDescent="0.35">
      <c r="I995" s="53"/>
      <c r="J995" s="29"/>
      <c r="K995" s="30"/>
      <c r="L995" s="29"/>
      <c r="O995" s="49"/>
    </row>
    <row r="996" spans="9:15" x14ac:dyDescent="0.35">
      <c r="I996" s="53"/>
      <c r="J996" s="29"/>
      <c r="K996" s="30"/>
      <c r="L996" s="29"/>
      <c r="O996" s="49"/>
    </row>
    <row r="997" spans="9:15" x14ac:dyDescent="0.35">
      <c r="I997" s="53"/>
      <c r="J997" s="29"/>
      <c r="K997" s="30"/>
      <c r="L997" s="29"/>
      <c r="O997" s="49"/>
    </row>
    <row r="998" spans="9:15" x14ac:dyDescent="0.35">
      <c r="I998" s="53"/>
      <c r="J998" s="29"/>
      <c r="K998" s="30"/>
      <c r="L998" s="29"/>
      <c r="O998" s="49"/>
    </row>
    <row r="999" spans="9:15" x14ac:dyDescent="0.35">
      <c r="I999" s="53"/>
      <c r="J999" s="29"/>
      <c r="K999" s="30"/>
      <c r="L999" s="29"/>
      <c r="O999" s="49"/>
    </row>
    <row r="1000" spans="9:15" x14ac:dyDescent="0.35">
      <c r="I1000" s="53"/>
      <c r="J1000" s="29"/>
      <c r="K1000" s="30"/>
      <c r="L1000" s="29"/>
      <c r="O1000" s="49"/>
    </row>
    <row r="1001" spans="9:15" x14ac:dyDescent="0.35">
      <c r="I1001" s="53"/>
      <c r="J1001" s="29"/>
      <c r="K1001" s="30"/>
      <c r="L1001" s="29"/>
      <c r="O1001" s="49"/>
    </row>
    <row r="1002" spans="9:15" x14ac:dyDescent="0.35">
      <c r="I1002" s="53"/>
      <c r="J1002" s="29"/>
      <c r="K1002" s="30"/>
      <c r="L1002" s="29"/>
      <c r="O1002" s="49"/>
    </row>
    <row r="1003" spans="9:15" x14ac:dyDescent="0.35">
      <c r="I1003" s="53"/>
      <c r="J1003" s="29"/>
      <c r="K1003" s="30"/>
      <c r="L1003" s="29"/>
      <c r="O1003" s="49"/>
    </row>
    <row r="1004" spans="9:15" x14ac:dyDescent="0.35">
      <c r="I1004" s="53"/>
      <c r="J1004" s="29"/>
      <c r="K1004" s="30"/>
      <c r="L1004" s="29"/>
      <c r="O1004" s="49"/>
    </row>
    <row r="1005" spans="9:15" x14ac:dyDescent="0.35">
      <c r="I1005" s="53"/>
      <c r="J1005" s="29"/>
      <c r="K1005" s="30"/>
      <c r="L1005" s="29"/>
      <c r="O1005" s="49"/>
    </row>
    <row r="1006" spans="9:15" x14ac:dyDescent="0.35">
      <c r="I1006" s="53"/>
      <c r="J1006" s="29"/>
      <c r="K1006" s="30"/>
      <c r="L1006" s="29"/>
      <c r="O1006" s="49"/>
    </row>
    <row r="1007" spans="9:15" x14ac:dyDescent="0.35">
      <c r="I1007" s="53"/>
      <c r="J1007" s="29"/>
      <c r="K1007" s="30"/>
      <c r="L1007" s="29"/>
      <c r="O1007" s="49"/>
    </row>
    <row r="1008" spans="9:15" x14ac:dyDescent="0.35">
      <c r="I1008" s="53"/>
      <c r="J1008" s="29"/>
      <c r="K1008" s="30"/>
      <c r="L1008" s="29"/>
      <c r="O1008" s="49"/>
    </row>
    <row r="1009" spans="9:15" x14ac:dyDescent="0.35">
      <c r="I1009" s="53"/>
      <c r="J1009" s="29"/>
      <c r="K1009" s="30"/>
      <c r="L1009" s="29"/>
      <c r="O1009" s="49"/>
    </row>
    <row r="1010" spans="9:15" x14ac:dyDescent="0.35">
      <c r="I1010" s="53"/>
      <c r="J1010" s="29"/>
      <c r="K1010" s="30"/>
      <c r="L1010" s="29"/>
      <c r="O1010" s="49"/>
    </row>
    <row r="1011" spans="9:15" x14ac:dyDescent="0.35">
      <c r="I1011" s="53"/>
      <c r="J1011" s="29"/>
      <c r="K1011" s="30"/>
      <c r="L1011" s="29"/>
      <c r="O1011" s="49"/>
    </row>
    <row r="1012" spans="9:15" x14ac:dyDescent="0.35">
      <c r="I1012" s="53"/>
      <c r="J1012" s="29"/>
      <c r="K1012" s="30"/>
      <c r="L1012" s="29"/>
      <c r="O1012" s="49"/>
    </row>
    <row r="1013" spans="9:15" x14ac:dyDescent="0.35">
      <c r="I1013" s="53"/>
      <c r="J1013" s="29"/>
      <c r="K1013" s="30"/>
      <c r="L1013" s="29"/>
      <c r="O1013" s="49"/>
    </row>
    <row r="1014" spans="9:15" x14ac:dyDescent="0.35">
      <c r="I1014" s="53"/>
      <c r="J1014" s="29"/>
      <c r="K1014" s="30"/>
      <c r="L1014" s="29"/>
      <c r="O1014" s="49"/>
    </row>
    <row r="1015" spans="9:15" x14ac:dyDescent="0.35">
      <c r="I1015" s="53"/>
      <c r="J1015" s="29"/>
      <c r="K1015" s="30"/>
      <c r="L1015" s="29"/>
      <c r="O1015" s="49"/>
    </row>
    <row r="1016" spans="9:15" x14ac:dyDescent="0.35">
      <c r="I1016" s="53"/>
      <c r="J1016" s="29"/>
      <c r="K1016" s="30"/>
      <c r="L1016" s="29"/>
      <c r="O1016" s="49"/>
    </row>
    <row r="1017" spans="9:15" x14ac:dyDescent="0.35">
      <c r="I1017" s="53"/>
      <c r="J1017" s="29"/>
      <c r="K1017" s="30"/>
      <c r="L1017" s="29"/>
      <c r="O1017" s="49"/>
    </row>
    <row r="1018" spans="9:15" x14ac:dyDescent="0.35">
      <c r="I1018" s="53"/>
      <c r="J1018" s="29"/>
      <c r="K1018" s="30"/>
      <c r="L1018" s="29"/>
      <c r="O1018" s="49"/>
    </row>
    <row r="1019" spans="9:15" x14ac:dyDescent="0.35">
      <c r="I1019" s="53"/>
      <c r="J1019" s="29"/>
      <c r="K1019" s="30"/>
      <c r="L1019" s="29"/>
      <c r="O1019" s="49"/>
    </row>
    <row r="1020" spans="9:15" x14ac:dyDescent="0.35">
      <c r="I1020" s="53"/>
      <c r="J1020" s="29"/>
      <c r="K1020" s="30"/>
      <c r="L1020" s="29"/>
      <c r="O1020" s="49"/>
    </row>
    <row r="1021" spans="9:15" x14ac:dyDescent="0.35">
      <c r="I1021" s="53"/>
      <c r="J1021" s="29"/>
      <c r="K1021" s="30"/>
      <c r="L1021" s="29"/>
      <c r="O1021" s="49"/>
    </row>
    <row r="1022" spans="9:15" x14ac:dyDescent="0.35">
      <c r="I1022" s="53"/>
      <c r="J1022" s="29"/>
      <c r="K1022" s="30"/>
      <c r="L1022" s="29"/>
      <c r="O1022" s="49"/>
    </row>
    <row r="1023" spans="9:15" x14ac:dyDescent="0.35">
      <c r="I1023" s="53"/>
      <c r="J1023" s="29"/>
      <c r="K1023" s="30"/>
      <c r="L1023" s="29"/>
      <c r="O1023" s="49"/>
    </row>
    <row r="1024" spans="9:15" x14ac:dyDescent="0.35">
      <c r="I1024" s="53"/>
      <c r="J1024" s="29"/>
      <c r="K1024" s="30"/>
      <c r="L1024" s="29"/>
      <c r="O1024" s="49"/>
    </row>
    <row r="1025" spans="9:15" x14ac:dyDescent="0.35">
      <c r="I1025" s="53"/>
      <c r="J1025" s="29"/>
      <c r="K1025" s="30"/>
      <c r="L1025" s="29"/>
      <c r="O1025" s="49"/>
    </row>
    <row r="1026" spans="9:15" x14ac:dyDescent="0.35">
      <c r="I1026" s="53"/>
      <c r="J1026" s="29"/>
      <c r="K1026" s="30"/>
      <c r="L1026" s="29"/>
      <c r="O1026" s="49"/>
    </row>
    <row r="1027" spans="9:15" x14ac:dyDescent="0.35">
      <c r="I1027" s="53"/>
      <c r="J1027" s="29"/>
      <c r="K1027" s="30"/>
      <c r="L1027" s="29"/>
      <c r="O1027" s="49"/>
    </row>
    <row r="1028" spans="9:15" x14ac:dyDescent="0.35">
      <c r="I1028" s="53"/>
      <c r="J1028" s="29"/>
      <c r="K1028" s="30"/>
      <c r="L1028" s="29"/>
      <c r="O1028" s="49"/>
    </row>
    <row r="1029" spans="9:15" x14ac:dyDescent="0.35">
      <c r="I1029" s="53"/>
      <c r="J1029" s="29"/>
      <c r="K1029" s="30"/>
      <c r="L1029" s="29"/>
      <c r="O1029" s="49"/>
    </row>
    <row r="1030" spans="9:15" x14ac:dyDescent="0.35">
      <c r="I1030" s="53"/>
      <c r="J1030" s="29"/>
      <c r="K1030" s="30"/>
      <c r="L1030" s="29"/>
      <c r="O1030" s="49"/>
    </row>
    <row r="1031" spans="9:15" x14ac:dyDescent="0.35">
      <c r="I1031" s="53"/>
      <c r="J1031" s="29"/>
      <c r="K1031" s="30"/>
      <c r="L1031" s="29"/>
      <c r="O1031" s="49"/>
    </row>
    <row r="1032" spans="9:15" x14ac:dyDescent="0.35">
      <c r="I1032" s="53"/>
      <c r="J1032" s="29"/>
      <c r="K1032" s="30"/>
      <c r="L1032" s="29"/>
      <c r="O1032" s="49"/>
    </row>
    <row r="1033" spans="9:15" x14ac:dyDescent="0.35">
      <c r="I1033" s="53"/>
      <c r="J1033" s="29"/>
      <c r="K1033" s="30"/>
      <c r="L1033" s="29"/>
      <c r="O1033" s="49"/>
    </row>
    <row r="1034" spans="9:15" x14ac:dyDescent="0.35">
      <c r="I1034" s="53"/>
      <c r="J1034" s="29"/>
      <c r="K1034" s="30"/>
      <c r="L1034" s="29"/>
      <c r="O1034" s="49"/>
    </row>
    <row r="1035" spans="9:15" x14ac:dyDescent="0.35">
      <c r="I1035" s="53"/>
      <c r="J1035" s="29"/>
      <c r="K1035" s="30"/>
      <c r="L1035" s="29"/>
      <c r="O1035" s="49"/>
    </row>
    <row r="1036" spans="9:15" x14ac:dyDescent="0.35">
      <c r="I1036" s="53"/>
      <c r="J1036" s="29"/>
      <c r="K1036" s="30"/>
      <c r="L1036" s="29"/>
      <c r="O1036" s="49"/>
    </row>
    <row r="1037" spans="9:15" x14ac:dyDescent="0.35">
      <c r="I1037" s="53"/>
      <c r="J1037" s="29"/>
      <c r="K1037" s="30"/>
      <c r="L1037" s="29"/>
      <c r="O1037" s="49"/>
    </row>
    <row r="1038" spans="9:15" x14ac:dyDescent="0.35">
      <c r="I1038" s="53"/>
      <c r="J1038" s="29"/>
      <c r="K1038" s="30"/>
      <c r="L1038" s="29"/>
      <c r="O1038" s="49"/>
    </row>
    <row r="1039" spans="9:15" x14ac:dyDescent="0.35">
      <c r="I1039" s="53"/>
      <c r="J1039" s="29"/>
      <c r="K1039" s="30"/>
      <c r="L1039" s="29"/>
      <c r="O1039" s="49"/>
    </row>
    <row r="1040" spans="9:15" x14ac:dyDescent="0.35">
      <c r="I1040" s="53"/>
      <c r="J1040" s="29"/>
      <c r="K1040" s="30"/>
      <c r="L1040" s="29"/>
      <c r="O1040" s="49"/>
    </row>
    <row r="1041" spans="9:15" x14ac:dyDescent="0.35">
      <c r="I1041" s="53"/>
      <c r="J1041" s="29"/>
      <c r="K1041" s="30"/>
      <c r="L1041" s="29"/>
      <c r="O1041" s="49"/>
    </row>
    <row r="1042" spans="9:15" x14ac:dyDescent="0.35">
      <c r="I1042" s="53"/>
      <c r="J1042" s="29"/>
      <c r="K1042" s="30"/>
      <c r="L1042" s="29"/>
      <c r="O1042" s="49"/>
    </row>
    <row r="1043" spans="9:15" x14ac:dyDescent="0.35">
      <c r="I1043" s="53"/>
      <c r="J1043" s="29"/>
      <c r="K1043" s="30"/>
      <c r="L1043" s="29"/>
      <c r="O1043" s="49"/>
    </row>
    <row r="1044" spans="9:15" x14ac:dyDescent="0.35">
      <c r="I1044" s="53"/>
      <c r="J1044" s="29"/>
      <c r="K1044" s="30"/>
      <c r="L1044" s="29"/>
      <c r="O1044" s="49"/>
    </row>
    <row r="1045" spans="9:15" x14ac:dyDescent="0.35">
      <c r="I1045" s="53"/>
      <c r="J1045" s="29"/>
      <c r="K1045" s="30"/>
      <c r="L1045" s="29"/>
      <c r="O1045" s="49"/>
    </row>
    <row r="1046" spans="9:15" x14ac:dyDescent="0.35">
      <c r="I1046" s="53"/>
      <c r="J1046" s="29"/>
      <c r="K1046" s="30"/>
      <c r="L1046" s="29"/>
      <c r="O1046" s="49"/>
    </row>
    <row r="1047" spans="9:15" x14ac:dyDescent="0.35">
      <c r="I1047" s="53"/>
      <c r="J1047" s="29"/>
      <c r="K1047" s="30"/>
      <c r="L1047" s="29"/>
      <c r="O1047" s="49"/>
    </row>
    <row r="1048" spans="9:15" x14ac:dyDescent="0.35">
      <c r="I1048" s="53"/>
      <c r="J1048" s="29"/>
      <c r="K1048" s="30"/>
      <c r="L1048" s="29"/>
      <c r="O1048" s="49"/>
    </row>
    <row r="1049" spans="9:15" x14ac:dyDescent="0.35">
      <c r="I1049" s="53"/>
      <c r="J1049" s="29"/>
      <c r="K1049" s="30"/>
      <c r="L1049" s="29"/>
      <c r="O1049" s="49"/>
    </row>
    <row r="1050" spans="9:15" x14ac:dyDescent="0.35">
      <c r="I1050" s="53"/>
      <c r="J1050" s="29"/>
      <c r="K1050" s="30"/>
      <c r="L1050" s="29"/>
      <c r="O1050" s="49"/>
    </row>
    <row r="1051" spans="9:15" x14ac:dyDescent="0.35">
      <c r="I1051" s="53"/>
      <c r="J1051" s="29"/>
      <c r="K1051" s="30"/>
      <c r="L1051" s="29"/>
      <c r="O1051" s="49"/>
    </row>
    <row r="1052" spans="9:15" x14ac:dyDescent="0.35">
      <c r="I1052" s="53"/>
      <c r="J1052" s="29"/>
      <c r="K1052" s="30"/>
      <c r="L1052" s="29"/>
      <c r="O1052" s="49"/>
    </row>
    <row r="1053" spans="9:15" x14ac:dyDescent="0.35">
      <c r="I1053" s="53"/>
      <c r="J1053" s="29"/>
      <c r="K1053" s="30"/>
      <c r="L1053" s="29"/>
      <c r="O1053" s="49"/>
    </row>
    <row r="1054" spans="9:15" x14ac:dyDescent="0.35">
      <c r="I1054" s="53"/>
      <c r="J1054" s="29"/>
      <c r="K1054" s="30"/>
      <c r="L1054" s="29"/>
      <c r="O1054" s="49"/>
    </row>
    <row r="1055" spans="9:15" x14ac:dyDescent="0.35">
      <c r="I1055" s="53"/>
      <c r="J1055" s="29"/>
      <c r="K1055" s="30"/>
      <c r="L1055" s="29"/>
      <c r="O1055" s="49"/>
    </row>
    <row r="1056" spans="9:15" x14ac:dyDescent="0.35">
      <c r="I1056" s="53"/>
      <c r="J1056" s="29"/>
      <c r="K1056" s="30"/>
      <c r="L1056" s="29"/>
      <c r="O1056" s="49"/>
    </row>
    <row r="1057" spans="9:15" x14ac:dyDescent="0.35">
      <c r="I1057" s="53"/>
      <c r="J1057" s="29"/>
      <c r="K1057" s="30"/>
      <c r="L1057" s="29"/>
      <c r="O1057" s="49"/>
    </row>
    <row r="1058" spans="9:15" x14ac:dyDescent="0.35">
      <c r="I1058" s="53"/>
      <c r="J1058" s="29"/>
      <c r="K1058" s="30"/>
      <c r="L1058" s="29"/>
      <c r="O1058" s="49"/>
    </row>
    <row r="1059" spans="9:15" x14ac:dyDescent="0.35">
      <c r="I1059" s="53"/>
      <c r="J1059" s="29"/>
      <c r="K1059" s="30"/>
      <c r="L1059" s="29"/>
      <c r="O1059" s="49"/>
    </row>
    <row r="1060" spans="9:15" x14ac:dyDescent="0.35">
      <c r="I1060" s="53"/>
      <c r="J1060" s="29"/>
      <c r="K1060" s="30"/>
      <c r="L1060" s="29"/>
      <c r="O1060" s="49"/>
    </row>
    <row r="1061" spans="9:15" x14ac:dyDescent="0.35">
      <c r="I1061" s="53"/>
      <c r="J1061" s="29"/>
      <c r="K1061" s="30"/>
      <c r="L1061" s="29"/>
      <c r="O1061" s="49"/>
    </row>
    <row r="1062" spans="9:15" x14ac:dyDescent="0.35">
      <c r="I1062" s="53"/>
      <c r="J1062" s="29"/>
      <c r="K1062" s="30"/>
      <c r="L1062" s="29"/>
      <c r="O1062" s="49"/>
    </row>
    <row r="1063" spans="9:15" x14ac:dyDescent="0.35">
      <c r="I1063" s="53"/>
      <c r="J1063" s="29"/>
      <c r="K1063" s="30"/>
      <c r="L1063" s="29"/>
      <c r="O1063" s="49"/>
    </row>
    <row r="1064" spans="9:15" x14ac:dyDescent="0.35">
      <c r="I1064" s="53"/>
      <c r="J1064" s="29"/>
      <c r="K1064" s="30"/>
      <c r="L1064" s="29"/>
      <c r="O1064" s="49"/>
    </row>
    <row r="1065" spans="9:15" x14ac:dyDescent="0.35">
      <c r="I1065" s="53"/>
      <c r="J1065" s="29"/>
      <c r="K1065" s="30"/>
      <c r="L1065" s="29"/>
      <c r="O1065" s="49"/>
    </row>
    <row r="1066" spans="9:15" x14ac:dyDescent="0.35">
      <c r="I1066" s="53"/>
      <c r="J1066" s="29"/>
      <c r="K1066" s="30"/>
      <c r="L1066" s="29"/>
      <c r="O1066" s="49"/>
    </row>
    <row r="1067" spans="9:15" x14ac:dyDescent="0.35">
      <c r="I1067" s="53"/>
      <c r="J1067" s="29"/>
      <c r="K1067" s="30"/>
      <c r="L1067" s="29"/>
      <c r="O1067" s="49"/>
    </row>
    <row r="1068" spans="9:15" x14ac:dyDescent="0.35">
      <c r="I1068" s="53"/>
      <c r="J1068" s="29"/>
      <c r="K1068" s="30"/>
      <c r="L1068" s="29"/>
      <c r="O1068" s="49"/>
    </row>
    <row r="1069" spans="9:15" x14ac:dyDescent="0.35">
      <c r="I1069" s="53"/>
      <c r="J1069" s="29"/>
      <c r="K1069" s="30"/>
      <c r="L1069" s="29"/>
      <c r="O1069" s="49"/>
    </row>
    <row r="1070" spans="9:15" x14ac:dyDescent="0.35">
      <c r="I1070" s="53"/>
      <c r="J1070" s="29"/>
      <c r="K1070" s="30"/>
      <c r="L1070" s="29"/>
      <c r="O1070" s="49"/>
    </row>
    <row r="1071" spans="9:15" x14ac:dyDescent="0.35">
      <c r="I1071" s="53"/>
      <c r="J1071" s="29"/>
      <c r="K1071" s="30"/>
      <c r="L1071" s="29"/>
      <c r="O1071" s="49"/>
    </row>
    <row r="1072" spans="9:15" x14ac:dyDescent="0.35">
      <c r="I1072" s="53"/>
      <c r="J1072" s="29"/>
      <c r="K1072" s="30"/>
      <c r="L1072" s="29"/>
      <c r="O1072" s="49"/>
    </row>
    <row r="1073" spans="9:15" x14ac:dyDescent="0.35">
      <c r="I1073" s="53"/>
      <c r="J1073" s="29"/>
      <c r="K1073" s="30"/>
      <c r="L1073" s="29"/>
      <c r="O1073" s="49"/>
    </row>
    <row r="1074" spans="9:15" x14ac:dyDescent="0.35">
      <c r="I1074" s="53"/>
      <c r="J1074" s="29"/>
      <c r="K1074" s="30"/>
      <c r="L1074" s="29"/>
      <c r="O1074" s="49"/>
    </row>
    <row r="1075" spans="9:15" x14ac:dyDescent="0.35">
      <c r="I1075" s="53"/>
      <c r="J1075" s="29"/>
      <c r="K1075" s="30"/>
      <c r="L1075" s="29"/>
      <c r="O1075" s="49"/>
    </row>
    <row r="1076" spans="9:15" x14ac:dyDescent="0.35">
      <c r="I1076" s="53"/>
      <c r="J1076" s="29"/>
      <c r="K1076" s="30"/>
      <c r="L1076" s="29"/>
      <c r="O1076" s="49"/>
    </row>
    <row r="1077" spans="9:15" x14ac:dyDescent="0.35">
      <c r="I1077" s="53"/>
      <c r="J1077" s="29"/>
      <c r="K1077" s="30"/>
      <c r="L1077" s="29"/>
      <c r="O1077" s="49"/>
    </row>
    <row r="1078" spans="9:15" x14ac:dyDescent="0.35">
      <c r="I1078" s="53"/>
      <c r="J1078" s="29"/>
      <c r="K1078" s="30"/>
      <c r="L1078" s="29"/>
      <c r="O1078" s="49"/>
    </row>
    <row r="1079" spans="9:15" x14ac:dyDescent="0.35">
      <c r="I1079" s="53"/>
      <c r="J1079" s="29"/>
      <c r="K1079" s="30"/>
      <c r="L1079" s="29"/>
      <c r="O1079" s="49"/>
    </row>
    <row r="1080" spans="9:15" x14ac:dyDescent="0.35">
      <c r="I1080" s="53"/>
      <c r="J1080" s="29"/>
      <c r="K1080" s="30"/>
      <c r="L1080" s="29"/>
      <c r="O1080" s="49"/>
    </row>
    <row r="1081" spans="9:15" x14ac:dyDescent="0.35">
      <c r="I1081" s="53"/>
      <c r="J1081" s="29"/>
      <c r="K1081" s="30"/>
      <c r="L1081" s="29"/>
      <c r="O1081" s="49"/>
    </row>
    <row r="1082" spans="9:15" x14ac:dyDescent="0.35">
      <c r="I1082" s="53"/>
      <c r="J1082" s="29"/>
      <c r="K1082" s="30"/>
      <c r="L1082" s="29"/>
      <c r="O1082" s="49"/>
    </row>
    <row r="1083" spans="9:15" x14ac:dyDescent="0.35">
      <c r="I1083" s="53"/>
      <c r="J1083" s="29"/>
      <c r="K1083" s="30"/>
      <c r="L1083" s="29"/>
      <c r="O1083" s="49"/>
    </row>
    <row r="1084" spans="9:15" x14ac:dyDescent="0.35">
      <c r="I1084" s="53"/>
      <c r="J1084" s="29"/>
      <c r="K1084" s="30"/>
      <c r="L1084" s="29"/>
      <c r="O1084" s="49"/>
    </row>
    <row r="1085" spans="9:15" x14ac:dyDescent="0.35">
      <c r="I1085" s="53"/>
      <c r="J1085" s="29"/>
      <c r="K1085" s="30"/>
      <c r="L1085" s="29"/>
      <c r="O1085" s="49"/>
    </row>
    <row r="1086" spans="9:15" x14ac:dyDescent="0.35">
      <c r="I1086" s="53"/>
      <c r="J1086" s="29"/>
      <c r="K1086" s="30"/>
      <c r="L1086" s="29"/>
      <c r="O1086" s="49"/>
    </row>
    <row r="1087" spans="9:15" x14ac:dyDescent="0.35">
      <c r="I1087" s="53"/>
      <c r="J1087" s="29"/>
      <c r="K1087" s="30"/>
      <c r="L1087" s="29"/>
      <c r="O1087" s="49"/>
    </row>
    <row r="1088" spans="9:15" x14ac:dyDescent="0.35">
      <c r="I1088" s="53"/>
      <c r="J1088" s="29"/>
      <c r="K1088" s="30"/>
      <c r="L1088" s="29"/>
      <c r="O1088" s="49"/>
    </row>
    <row r="1089" spans="9:15" x14ac:dyDescent="0.35">
      <c r="I1089" s="53"/>
      <c r="J1089" s="29"/>
      <c r="K1089" s="30"/>
      <c r="L1089" s="29"/>
      <c r="O1089" s="49"/>
    </row>
    <row r="1090" spans="9:15" x14ac:dyDescent="0.35">
      <c r="I1090" s="53"/>
      <c r="J1090" s="29"/>
      <c r="K1090" s="30"/>
      <c r="L1090" s="29"/>
      <c r="O1090" s="49"/>
    </row>
    <row r="1091" spans="9:15" x14ac:dyDescent="0.35">
      <c r="I1091" s="53"/>
      <c r="J1091" s="29"/>
      <c r="K1091" s="30"/>
      <c r="L1091" s="29"/>
      <c r="O1091" s="49"/>
    </row>
    <row r="1092" spans="9:15" x14ac:dyDescent="0.35">
      <c r="I1092" s="53"/>
      <c r="J1092" s="29"/>
      <c r="K1092" s="30"/>
      <c r="L1092" s="29"/>
      <c r="O1092" s="49"/>
    </row>
    <row r="1093" spans="9:15" x14ac:dyDescent="0.35">
      <c r="I1093" s="53"/>
      <c r="J1093" s="29"/>
      <c r="K1093" s="30"/>
      <c r="L1093" s="29"/>
      <c r="O1093" s="49"/>
    </row>
    <row r="1094" spans="9:15" x14ac:dyDescent="0.35">
      <c r="I1094" s="53"/>
      <c r="J1094" s="29"/>
      <c r="K1094" s="30"/>
      <c r="L1094" s="29"/>
      <c r="O1094" s="49"/>
    </row>
    <row r="1095" spans="9:15" x14ac:dyDescent="0.35">
      <c r="I1095" s="53"/>
      <c r="J1095" s="29"/>
      <c r="K1095" s="30"/>
      <c r="L1095" s="29"/>
      <c r="O1095" s="49"/>
    </row>
    <row r="1096" spans="9:15" x14ac:dyDescent="0.35">
      <c r="I1096" s="53"/>
      <c r="J1096" s="29"/>
      <c r="K1096" s="30"/>
      <c r="L1096" s="29"/>
      <c r="O1096" s="49"/>
    </row>
    <row r="1097" spans="9:15" x14ac:dyDescent="0.35">
      <c r="I1097" s="53"/>
      <c r="J1097" s="29"/>
      <c r="K1097" s="30"/>
      <c r="L1097" s="29"/>
      <c r="O1097" s="49"/>
    </row>
    <row r="1098" spans="9:15" x14ac:dyDescent="0.35">
      <c r="I1098" s="53"/>
      <c r="J1098" s="29"/>
      <c r="K1098" s="30"/>
      <c r="L1098" s="29"/>
      <c r="O1098" s="49"/>
    </row>
    <row r="1099" spans="9:15" x14ac:dyDescent="0.35">
      <c r="I1099" s="53"/>
      <c r="J1099" s="29"/>
      <c r="K1099" s="30"/>
      <c r="L1099" s="29"/>
      <c r="O1099" s="49"/>
    </row>
    <row r="1100" spans="9:15" x14ac:dyDescent="0.35">
      <c r="I1100" s="53"/>
      <c r="J1100" s="29"/>
      <c r="K1100" s="30"/>
      <c r="L1100" s="29"/>
      <c r="O1100" s="49"/>
    </row>
    <row r="1101" spans="9:15" x14ac:dyDescent="0.35">
      <c r="I1101" s="53"/>
      <c r="J1101" s="29"/>
      <c r="K1101" s="30"/>
      <c r="L1101" s="29"/>
      <c r="O1101" s="49"/>
    </row>
    <row r="1102" spans="9:15" x14ac:dyDescent="0.35">
      <c r="I1102" s="53"/>
      <c r="J1102" s="29"/>
      <c r="K1102" s="30"/>
      <c r="L1102" s="29"/>
      <c r="O1102" s="49"/>
    </row>
    <row r="1103" spans="9:15" x14ac:dyDescent="0.35">
      <c r="I1103" s="53"/>
      <c r="J1103" s="29"/>
      <c r="K1103" s="30"/>
      <c r="L1103" s="29"/>
      <c r="O1103" s="49"/>
    </row>
    <row r="1104" spans="9:15" x14ac:dyDescent="0.35">
      <c r="I1104" s="53"/>
      <c r="J1104" s="29"/>
      <c r="K1104" s="30"/>
      <c r="L1104" s="29"/>
      <c r="O1104" s="49"/>
    </row>
    <row r="1105" spans="9:15" x14ac:dyDescent="0.35">
      <c r="I1105" s="53"/>
      <c r="J1105" s="29"/>
      <c r="K1105" s="30"/>
      <c r="L1105" s="29"/>
      <c r="O1105" s="49"/>
    </row>
    <row r="1106" spans="9:15" x14ac:dyDescent="0.35">
      <c r="I1106" s="53"/>
      <c r="J1106" s="29"/>
      <c r="K1106" s="30"/>
      <c r="L1106" s="29"/>
      <c r="O1106" s="49"/>
    </row>
    <row r="1107" spans="9:15" x14ac:dyDescent="0.35">
      <c r="I1107" s="53"/>
      <c r="J1107" s="29"/>
      <c r="K1107" s="30"/>
      <c r="L1107" s="29"/>
      <c r="O1107" s="49"/>
    </row>
    <row r="1108" spans="9:15" x14ac:dyDescent="0.35">
      <c r="I1108" s="53"/>
      <c r="J1108" s="29"/>
      <c r="K1108" s="30"/>
      <c r="L1108" s="29"/>
      <c r="O1108" s="49"/>
    </row>
    <row r="1109" spans="9:15" x14ac:dyDescent="0.35">
      <c r="I1109" s="53"/>
      <c r="J1109" s="29"/>
      <c r="K1109" s="30"/>
      <c r="L1109" s="29"/>
      <c r="O1109" s="49"/>
    </row>
    <row r="1110" spans="9:15" x14ac:dyDescent="0.35">
      <c r="I1110" s="53"/>
      <c r="J1110" s="29"/>
      <c r="K1110" s="30"/>
      <c r="L1110" s="29"/>
      <c r="O1110" s="49"/>
    </row>
    <row r="1111" spans="9:15" x14ac:dyDescent="0.35">
      <c r="I1111" s="53"/>
      <c r="J1111" s="29"/>
      <c r="K1111" s="30"/>
      <c r="L1111" s="29"/>
      <c r="O1111" s="49"/>
    </row>
    <row r="1112" spans="9:15" x14ac:dyDescent="0.35">
      <c r="I1112" s="53"/>
      <c r="J1112" s="29"/>
      <c r="K1112" s="30"/>
      <c r="L1112" s="29"/>
      <c r="O1112" s="49"/>
    </row>
    <row r="1113" spans="9:15" x14ac:dyDescent="0.35">
      <c r="I1113" s="53"/>
      <c r="J1113" s="29"/>
      <c r="K1113" s="30"/>
      <c r="L1113" s="29"/>
      <c r="O1113" s="49"/>
    </row>
    <row r="1114" spans="9:15" x14ac:dyDescent="0.35">
      <c r="I1114" s="53"/>
      <c r="J1114" s="29"/>
      <c r="K1114" s="30"/>
      <c r="L1114" s="29"/>
      <c r="O1114" s="49"/>
    </row>
    <row r="1115" spans="9:15" x14ac:dyDescent="0.35">
      <c r="I1115" s="53"/>
      <c r="J1115" s="29"/>
      <c r="K1115" s="30"/>
      <c r="L1115" s="29"/>
      <c r="O1115" s="49"/>
    </row>
    <row r="1116" spans="9:15" x14ac:dyDescent="0.35">
      <c r="I1116" s="53"/>
      <c r="J1116" s="29"/>
      <c r="K1116" s="30"/>
      <c r="L1116" s="29"/>
      <c r="O1116" s="49"/>
    </row>
    <row r="1117" spans="9:15" x14ac:dyDescent="0.35">
      <c r="I1117" s="53"/>
      <c r="J1117" s="29"/>
      <c r="K1117" s="30"/>
      <c r="L1117" s="29"/>
      <c r="O1117" s="49"/>
    </row>
    <row r="1118" spans="9:15" x14ac:dyDescent="0.35">
      <c r="I1118" s="53"/>
      <c r="J1118" s="29"/>
      <c r="K1118" s="30"/>
      <c r="L1118" s="29"/>
      <c r="O1118" s="49"/>
    </row>
    <row r="1119" spans="9:15" x14ac:dyDescent="0.35">
      <c r="I1119" s="53"/>
      <c r="J1119" s="29"/>
      <c r="K1119" s="30"/>
      <c r="L1119" s="29"/>
      <c r="O1119" s="49"/>
    </row>
    <row r="1120" spans="9:15" x14ac:dyDescent="0.35">
      <c r="I1120" s="53"/>
      <c r="J1120" s="29"/>
      <c r="K1120" s="30"/>
      <c r="L1120" s="29"/>
      <c r="O1120" s="49"/>
    </row>
    <row r="1121" spans="9:15" x14ac:dyDescent="0.35">
      <c r="I1121" s="53"/>
      <c r="J1121" s="29"/>
      <c r="K1121" s="30"/>
      <c r="L1121" s="29"/>
      <c r="O1121" s="49"/>
    </row>
    <row r="1122" spans="9:15" x14ac:dyDescent="0.35">
      <c r="I1122" s="53"/>
      <c r="J1122" s="29"/>
      <c r="K1122" s="30"/>
      <c r="L1122" s="29"/>
      <c r="O1122" s="49"/>
    </row>
    <row r="1123" spans="9:15" x14ac:dyDescent="0.35">
      <c r="I1123" s="53"/>
      <c r="J1123" s="29"/>
      <c r="K1123" s="30"/>
      <c r="L1123" s="29"/>
      <c r="O1123" s="49"/>
    </row>
    <row r="1124" spans="9:15" x14ac:dyDescent="0.35">
      <c r="I1124" s="53"/>
      <c r="J1124" s="29"/>
      <c r="K1124" s="30"/>
      <c r="L1124" s="29"/>
      <c r="O1124" s="49"/>
    </row>
    <row r="1125" spans="9:15" x14ac:dyDescent="0.35">
      <c r="I1125" s="53"/>
      <c r="J1125" s="29"/>
      <c r="K1125" s="30"/>
      <c r="L1125" s="29"/>
      <c r="O1125" s="49"/>
    </row>
    <row r="1126" spans="9:15" x14ac:dyDescent="0.35">
      <c r="I1126" s="53"/>
      <c r="J1126" s="29"/>
      <c r="K1126" s="30"/>
      <c r="L1126" s="29"/>
      <c r="O1126" s="49"/>
    </row>
    <row r="1127" spans="9:15" x14ac:dyDescent="0.35">
      <c r="I1127" s="53"/>
      <c r="J1127" s="29"/>
      <c r="K1127" s="30"/>
      <c r="L1127" s="29"/>
      <c r="O1127" s="49"/>
    </row>
    <row r="1128" spans="9:15" x14ac:dyDescent="0.35">
      <c r="I1128" s="53"/>
      <c r="J1128" s="29"/>
      <c r="K1128" s="30"/>
      <c r="L1128" s="29"/>
      <c r="O1128" s="49"/>
    </row>
    <row r="1129" spans="9:15" x14ac:dyDescent="0.35">
      <c r="I1129" s="53"/>
      <c r="J1129" s="29"/>
      <c r="K1129" s="30"/>
      <c r="L1129" s="29"/>
      <c r="O1129" s="49"/>
    </row>
    <row r="1130" spans="9:15" x14ac:dyDescent="0.35">
      <c r="I1130" s="53"/>
      <c r="J1130" s="29"/>
      <c r="K1130" s="30"/>
      <c r="L1130" s="29"/>
      <c r="O1130" s="49"/>
    </row>
    <row r="1131" spans="9:15" x14ac:dyDescent="0.35">
      <c r="I1131" s="53"/>
      <c r="J1131" s="29"/>
      <c r="K1131" s="30"/>
      <c r="L1131" s="29"/>
      <c r="O1131" s="49"/>
    </row>
    <row r="1132" spans="9:15" x14ac:dyDescent="0.35">
      <c r="I1132" s="53"/>
      <c r="J1132" s="29"/>
      <c r="K1132" s="30"/>
      <c r="L1132" s="29"/>
      <c r="O1132" s="49"/>
    </row>
    <row r="1133" spans="9:15" x14ac:dyDescent="0.35">
      <c r="I1133" s="53"/>
      <c r="J1133" s="29"/>
      <c r="K1133" s="30"/>
      <c r="L1133" s="29"/>
      <c r="O1133" s="49"/>
    </row>
    <row r="1134" spans="9:15" x14ac:dyDescent="0.35">
      <c r="I1134" s="53"/>
      <c r="J1134" s="29"/>
      <c r="K1134" s="30"/>
      <c r="L1134" s="29"/>
      <c r="O1134" s="49"/>
    </row>
    <row r="1135" spans="9:15" x14ac:dyDescent="0.35">
      <c r="I1135" s="53"/>
      <c r="J1135" s="29"/>
      <c r="K1135" s="30"/>
      <c r="L1135" s="29"/>
      <c r="O1135" s="49"/>
    </row>
    <row r="1136" spans="9:15" x14ac:dyDescent="0.35">
      <c r="I1136" s="53"/>
      <c r="J1136" s="29"/>
      <c r="K1136" s="30"/>
      <c r="L1136" s="29"/>
      <c r="O1136" s="49"/>
    </row>
    <row r="1137" spans="9:15" x14ac:dyDescent="0.35">
      <c r="I1137" s="53"/>
      <c r="J1137" s="29"/>
      <c r="K1137" s="30"/>
      <c r="L1137" s="29"/>
      <c r="O1137" s="49"/>
    </row>
    <row r="1138" spans="9:15" x14ac:dyDescent="0.35">
      <c r="I1138" s="53"/>
      <c r="J1138" s="29"/>
      <c r="K1138" s="30"/>
      <c r="L1138" s="29"/>
      <c r="O1138" s="49"/>
    </row>
    <row r="1139" spans="9:15" x14ac:dyDescent="0.35">
      <c r="I1139" s="53"/>
      <c r="J1139" s="29"/>
      <c r="K1139" s="30"/>
      <c r="L1139" s="29"/>
      <c r="O1139" s="49"/>
    </row>
    <row r="1140" spans="9:15" x14ac:dyDescent="0.35">
      <c r="I1140" s="53"/>
      <c r="J1140" s="29"/>
      <c r="K1140" s="30"/>
      <c r="L1140" s="29"/>
      <c r="O1140" s="49"/>
    </row>
    <row r="1141" spans="9:15" x14ac:dyDescent="0.35">
      <c r="I1141" s="53"/>
      <c r="J1141" s="29"/>
      <c r="K1141" s="30"/>
      <c r="L1141" s="29"/>
      <c r="O1141" s="49"/>
    </row>
    <row r="1142" spans="9:15" x14ac:dyDescent="0.35">
      <c r="I1142" s="53"/>
      <c r="J1142" s="29"/>
      <c r="K1142" s="30"/>
      <c r="L1142" s="29"/>
      <c r="O1142" s="49"/>
    </row>
    <row r="1143" spans="9:15" x14ac:dyDescent="0.35">
      <c r="I1143" s="53"/>
      <c r="J1143" s="29"/>
      <c r="K1143" s="30"/>
      <c r="L1143" s="29"/>
      <c r="O1143" s="49"/>
    </row>
    <row r="1144" spans="9:15" x14ac:dyDescent="0.35">
      <c r="I1144" s="53"/>
      <c r="J1144" s="29"/>
      <c r="K1144" s="30"/>
      <c r="L1144" s="29"/>
      <c r="O1144" s="49"/>
    </row>
    <row r="1145" spans="9:15" x14ac:dyDescent="0.35">
      <c r="I1145" s="53"/>
      <c r="J1145" s="29"/>
      <c r="K1145" s="30"/>
      <c r="L1145" s="29"/>
      <c r="O1145" s="49"/>
    </row>
    <row r="1146" spans="9:15" x14ac:dyDescent="0.35">
      <c r="I1146" s="53"/>
      <c r="J1146" s="29"/>
      <c r="K1146" s="30"/>
      <c r="L1146" s="29"/>
      <c r="O1146" s="49"/>
    </row>
    <row r="1147" spans="9:15" x14ac:dyDescent="0.35">
      <c r="I1147" s="53"/>
      <c r="J1147" s="29"/>
      <c r="K1147" s="30"/>
      <c r="L1147" s="29"/>
      <c r="O1147" s="49"/>
    </row>
    <row r="1148" spans="9:15" x14ac:dyDescent="0.35">
      <c r="I1148" s="53"/>
      <c r="J1148" s="29"/>
      <c r="K1148" s="30"/>
      <c r="L1148" s="29"/>
      <c r="O1148" s="49"/>
    </row>
    <row r="1149" spans="9:15" x14ac:dyDescent="0.35">
      <c r="I1149" s="53"/>
      <c r="J1149" s="29"/>
      <c r="K1149" s="30"/>
      <c r="L1149" s="29"/>
      <c r="O1149" s="49"/>
    </row>
    <row r="1150" spans="9:15" x14ac:dyDescent="0.35">
      <c r="I1150" s="53"/>
      <c r="J1150" s="29"/>
      <c r="K1150" s="30"/>
      <c r="L1150" s="29"/>
      <c r="O1150" s="49"/>
    </row>
    <row r="1151" spans="9:15" x14ac:dyDescent="0.35">
      <c r="I1151" s="53"/>
      <c r="J1151" s="29"/>
      <c r="K1151" s="30"/>
      <c r="L1151" s="29"/>
      <c r="O1151" s="49"/>
    </row>
    <row r="1152" spans="9:15" x14ac:dyDescent="0.35">
      <c r="I1152" s="53"/>
      <c r="J1152" s="29"/>
      <c r="K1152" s="30"/>
      <c r="L1152" s="29"/>
      <c r="O1152" s="49"/>
    </row>
    <row r="1153" spans="9:15" x14ac:dyDescent="0.35">
      <c r="I1153" s="53"/>
      <c r="J1153" s="29"/>
      <c r="K1153" s="30"/>
      <c r="L1153" s="29"/>
      <c r="O1153" s="49"/>
    </row>
    <row r="1154" spans="9:15" x14ac:dyDescent="0.35">
      <c r="I1154" s="53"/>
      <c r="J1154" s="29"/>
      <c r="K1154" s="30"/>
      <c r="L1154" s="29"/>
      <c r="O1154" s="49"/>
    </row>
    <row r="1155" spans="9:15" x14ac:dyDescent="0.35">
      <c r="I1155" s="53"/>
      <c r="J1155" s="29"/>
      <c r="K1155" s="30"/>
      <c r="L1155" s="29"/>
      <c r="O1155" s="49"/>
    </row>
    <row r="1156" spans="9:15" x14ac:dyDescent="0.35">
      <c r="I1156" s="53"/>
      <c r="J1156" s="29"/>
      <c r="K1156" s="30"/>
      <c r="L1156" s="29"/>
      <c r="O1156" s="49"/>
    </row>
    <row r="1157" spans="9:15" x14ac:dyDescent="0.35">
      <c r="I1157" s="53"/>
      <c r="J1157" s="29"/>
      <c r="K1157" s="30"/>
      <c r="L1157" s="29"/>
      <c r="O1157" s="49"/>
    </row>
    <row r="1158" spans="9:15" x14ac:dyDescent="0.35">
      <c r="I1158" s="53"/>
      <c r="J1158" s="29"/>
      <c r="K1158" s="30"/>
      <c r="L1158" s="29"/>
      <c r="O1158" s="49"/>
    </row>
    <row r="1159" spans="9:15" x14ac:dyDescent="0.35">
      <c r="I1159" s="53"/>
      <c r="J1159" s="29"/>
      <c r="K1159" s="30"/>
      <c r="L1159" s="29"/>
      <c r="O1159" s="49"/>
    </row>
    <row r="1160" spans="9:15" x14ac:dyDescent="0.35">
      <c r="I1160" s="53"/>
      <c r="J1160" s="29"/>
      <c r="K1160" s="30"/>
      <c r="L1160" s="29"/>
      <c r="O1160" s="49"/>
    </row>
    <row r="1161" spans="9:15" x14ac:dyDescent="0.35">
      <c r="I1161" s="53"/>
      <c r="J1161" s="29"/>
      <c r="K1161" s="30"/>
      <c r="L1161" s="29"/>
      <c r="O1161" s="49"/>
    </row>
    <row r="1162" spans="9:15" x14ac:dyDescent="0.35">
      <c r="I1162" s="53"/>
      <c r="J1162" s="29"/>
      <c r="K1162" s="30"/>
      <c r="L1162" s="29"/>
      <c r="O1162" s="49"/>
    </row>
    <row r="1163" spans="9:15" x14ac:dyDescent="0.35">
      <c r="I1163" s="53"/>
      <c r="J1163" s="29"/>
      <c r="K1163" s="30"/>
      <c r="L1163" s="29"/>
      <c r="O1163" s="49"/>
    </row>
    <row r="1164" spans="9:15" x14ac:dyDescent="0.35">
      <c r="I1164" s="53"/>
      <c r="J1164" s="29"/>
      <c r="K1164" s="30"/>
      <c r="L1164" s="29"/>
      <c r="O1164" s="49"/>
    </row>
    <row r="1165" spans="9:15" x14ac:dyDescent="0.35">
      <c r="I1165" s="53"/>
      <c r="J1165" s="29"/>
      <c r="K1165" s="30"/>
      <c r="L1165" s="29"/>
      <c r="O1165" s="49"/>
    </row>
    <row r="1166" spans="9:15" x14ac:dyDescent="0.35">
      <c r="I1166" s="53"/>
      <c r="J1166" s="29"/>
      <c r="K1166" s="30"/>
      <c r="L1166" s="29"/>
      <c r="O1166" s="49"/>
    </row>
    <row r="1167" spans="9:15" x14ac:dyDescent="0.35">
      <c r="I1167" s="53"/>
      <c r="J1167" s="29"/>
      <c r="K1167" s="30"/>
      <c r="L1167" s="29"/>
      <c r="O1167" s="49"/>
    </row>
    <row r="1168" spans="9:15" x14ac:dyDescent="0.35">
      <c r="I1168" s="53"/>
      <c r="J1168" s="29"/>
      <c r="K1168" s="30"/>
      <c r="L1168" s="29"/>
      <c r="O1168" s="49"/>
    </row>
    <row r="1169" spans="9:15" x14ac:dyDescent="0.35">
      <c r="I1169" s="53"/>
      <c r="J1169" s="29"/>
      <c r="K1169" s="30"/>
      <c r="L1169" s="29"/>
      <c r="O1169" s="49"/>
    </row>
    <row r="1170" spans="9:15" x14ac:dyDescent="0.35">
      <c r="I1170" s="53"/>
      <c r="J1170" s="29"/>
      <c r="K1170" s="30"/>
      <c r="L1170" s="29"/>
      <c r="O1170" s="49"/>
    </row>
    <row r="1171" spans="9:15" x14ac:dyDescent="0.35">
      <c r="I1171" s="53"/>
      <c r="J1171" s="29"/>
      <c r="K1171" s="30"/>
      <c r="L1171" s="29"/>
      <c r="O1171" s="49"/>
    </row>
    <row r="1172" spans="9:15" x14ac:dyDescent="0.35">
      <c r="I1172" s="53"/>
      <c r="J1172" s="29"/>
      <c r="K1172" s="30"/>
      <c r="L1172" s="29"/>
      <c r="O1172" s="49"/>
    </row>
    <row r="1173" spans="9:15" x14ac:dyDescent="0.35">
      <c r="I1173" s="53"/>
      <c r="J1173" s="29"/>
      <c r="K1173" s="30"/>
      <c r="L1173" s="29"/>
      <c r="O1173" s="49"/>
    </row>
    <row r="1174" spans="9:15" x14ac:dyDescent="0.35">
      <c r="I1174" s="53"/>
      <c r="J1174" s="29"/>
      <c r="K1174" s="30"/>
      <c r="L1174" s="29"/>
      <c r="O1174" s="49"/>
    </row>
    <row r="1175" spans="9:15" x14ac:dyDescent="0.35">
      <c r="I1175" s="53"/>
      <c r="J1175" s="29"/>
      <c r="K1175" s="30"/>
      <c r="L1175" s="29"/>
      <c r="O1175" s="49"/>
    </row>
    <row r="1176" spans="9:15" x14ac:dyDescent="0.35">
      <c r="I1176" s="53"/>
      <c r="J1176" s="29"/>
      <c r="K1176" s="30"/>
      <c r="L1176" s="29"/>
      <c r="O1176" s="49"/>
    </row>
    <row r="1177" spans="9:15" x14ac:dyDescent="0.35">
      <c r="I1177" s="53"/>
      <c r="J1177" s="29"/>
      <c r="K1177" s="30"/>
      <c r="L1177" s="29"/>
      <c r="O1177" s="49"/>
    </row>
    <row r="1178" spans="9:15" x14ac:dyDescent="0.35">
      <c r="I1178" s="53"/>
      <c r="J1178" s="29"/>
      <c r="K1178" s="30"/>
      <c r="L1178" s="29"/>
      <c r="O1178" s="49"/>
    </row>
    <row r="1179" spans="9:15" x14ac:dyDescent="0.35">
      <c r="I1179" s="53"/>
      <c r="J1179" s="29"/>
      <c r="K1179" s="30"/>
      <c r="L1179" s="29"/>
      <c r="O1179" s="49"/>
    </row>
    <row r="1180" spans="9:15" x14ac:dyDescent="0.35">
      <c r="I1180" s="53"/>
      <c r="J1180" s="29"/>
      <c r="K1180" s="30"/>
      <c r="L1180" s="29"/>
      <c r="O1180" s="49"/>
    </row>
    <row r="1181" spans="9:15" x14ac:dyDescent="0.35">
      <c r="I1181" s="53"/>
      <c r="J1181" s="29"/>
      <c r="K1181" s="30"/>
      <c r="L1181" s="29"/>
      <c r="O1181" s="49"/>
    </row>
    <row r="1182" spans="9:15" x14ac:dyDescent="0.35">
      <c r="I1182" s="53"/>
      <c r="J1182" s="29"/>
      <c r="K1182" s="30"/>
      <c r="L1182" s="29"/>
      <c r="O1182" s="49"/>
    </row>
    <row r="1183" spans="9:15" x14ac:dyDescent="0.35">
      <c r="I1183" s="53"/>
      <c r="J1183" s="29"/>
      <c r="K1183" s="30"/>
      <c r="L1183" s="29"/>
      <c r="O1183" s="49"/>
    </row>
    <row r="1184" spans="9:15" x14ac:dyDescent="0.35">
      <c r="I1184" s="53"/>
      <c r="J1184" s="29"/>
      <c r="K1184" s="30"/>
      <c r="L1184" s="29"/>
      <c r="O1184" s="49"/>
    </row>
    <row r="1185" spans="9:15" x14ac:dyDescent="0.35">
      <c r="I1185" s="53"/>
      <c r="J1185" s="29"/>
      <c r="K1185" s="30"/>
      <c r="L1185" s="29"/>
      <c r="O1185" s="49"/>
    </row>
    <row r="1186" spans="9:15" x14ac:dyDescent="0.35">
      <c r="I1186" s="53"/>
      <c r="J1186" s="29"/>
      <c r="K1186" s="30"/>
      <c r="L1186" s="29"/>
      <c r="O1186" s="49"/>
    </row>
    <row r="1187" spans="9:15" x14ac:dyDescent="0.35">
      <c r="I1187" s="53"/>
      <c r="J1187" s="29"/>
      <c r="K1187" s="30"/>
      <c r="L1187" s="29"/>
      <c r="O1187" s="49"/>
    </row>
    <row r="1188" spans="9:15" x14ac:dyDescent="0.35">
      <c r="I1188" s="53"/>
      <c r="J1188" s="29"/>
      <c r="K1188" s="30"/>
      <c r="L1188" s="29"/>
      <c r="O1188" s="49"/>
    </row>
    <row r="1189" spans="9:15" x14ac:dyDescent="0.35">
      <c r="I1189" s="53"/>
      <c r="J1189" s="29"/>
      <c r="K1189" s="30"/>
      <c r="L1189" s="29"/>
      <c r="O1189" s="49"/>
    </row>
    <row r="1190" spans="9:15" x14ac:dyDescent="0.35">
      <c r="I1190" s="53"/>
      <c r="J1190" s="29"/>
      <c r="K1190" s="30"/>
      <c r="L1190" s="29"/>
      <c r="O1190" s="49"/>
    </row>
    <row r="1191" spans="9:15" x14ac:dyDescent="0.35">
      <c r="I1191" s="53"/>
      <c r="J1191" s="29"/>
      <c r="K1191" s="30"/>
      <c r="L1191" s="29"/>
      <c r="O1191" s="49"/>
    </row>
    <row r="1192" spans="9:15" x14ac:dyDescent="0.35">
      <c r="I1192" s="53"/>
      <c r="J1192" s="29"/>
      <c r="K1192" s="30"/>
      <c r="L1192" s="29"/>
      <c r="O1192" s="49"/>
    </row>
    <row r="1193" spans="9:15" x14ac:dyDescent="0.35">
      <c r="I1193" s="53"/>
      <c r="J1193" s="29"/>
      <c r="K1193" s="30"/>
      <c r="L1193" s="29"/>
      <c r="O1193" s="49"/>
    </row>
    <row r="1194" spans="9:15" x14ac:dyDescent="0.35">
      <c r="I1194" s="53"/>
      <c r="J1194" s="29"/>
      <c r="K1194" s="30"/>
      <c r="L1194" s="29"/>
      <c r="O1194" s="49"/>
    </row>
    <row r="1195" spans="9:15" x14ac:dyDescent="0.35">
      <c r="I1195" s="53"/>
      <c r="J1195" s="29"/>
      <c r="K1195" s="30"/>
      <c r="L1195" s="29"/>
      <c r="O1195" s="49"/>
    </row>
    <row r="1196" spans="9:15" x14ac:dyDescent="0.35">
      <c r="I1196" s="53"/>
      <c r="J1196" s="29"/>
      <c r="K1196" s="30"/>
      <c r="L1196" s="29"/>
      <c r="O1196" s="49"/>
    </row>
    <row r="1197" spans="9:15" x14ac:dyDescent="0.35">
      <c r="I1197" s="53"/>
      <c r="J1197" s="29"/>
      <c r="K1197" s="30"/>
      <c r="L1197" s="29"/>
      <c r="O1197" s="49"/>
    </row>
    <row r="1198" spans="9:15" x14ac:dyDescent="0.35">
      <c r="I1198" s="53"/>
      <c r="J1198" s="29"/>
      <c r="K1198" s="30"/>
      <c r="L1198" s="29"/>
      <c r="O1198" s="49"/>
    </row>
    <row r="1199" spans="9:15" x14ac:dyDescent="0.35">
      <c r="I1199" s="53"/>
      <c r="J1199" s="29"/>
      <c r="K1199" s="30"/>
      <c r="L1199" s="29"/>
      <c r="O1199" s="49"/>
    </row>
    <row r="1200" spans="9:15" x14ac:dyDescent="0.35">
      <c r="I1200" s="53"/>
      <c r="J1200" s="29"/>
      <c r="K1200" s="30"/>
      <c r="L1200" s="29"/>
      <c r="O1200" s="49"/>
    </row>
    <row r="1201" spans="9:15" x14ac:dyDescent="0.35">
      <c r="I1201" s="53"/>
      <c r="J1201" s="29"/>
      <c r="K1201" s="30"/>
      <c r="L1201" s="29"/>
      <c r="O1201" s="49"/>
    </row>
    <row r="1202" spans="9:15" x14ac:dyDescent="0.35">
      <c r="I1202" s="53"/>
      <c r="J1202" s="29"/>
      <c r="K1202" s="30"/>
      <c r="L1202" s="29"/>
      <c r="O1202" s="49"/>
    </row>
    <row r="1203" spans="9:15" x14ac:dyDescent="0.35">
      <c r="I1203" s="53"/>
      <c r="J1203" s="29"/>
      <c r="K1203" s="30"/>
      <c r="L1203" s="29"/>
      <c r="O1203" s="49"/>
    </row>
    <row r="1204" spans="9:15" x14ac:dyDescent="0.35">
      <c r="I1204" s="53"/>
      <c r="J1204" s="29"/>
      <c r="K1204" s="30"/>
      <c r="L1204" s="29"/>
      <c r="O1204" s="49"/>
    </row>
    <row r="1205" spans="9:15" x14ac:dyDescent="0.35">
      <c r="I1205" s="53"/>
      <c r="J1205" s="29"/>
      <c r="K1205" s="30"/>
      <c r="L1205" s="29"/>
      <c r="O1205" s="49"/>
    </row>
    <row r="1206" spans="9:15" x14ac:dyDescent="0.35">
      <c r="I1206" s="53"/>
      <c r="J1206" s="29"/>
      <c r="K1206" s="30"/>
      <c r="L1206" s="29"/>
      <c r="O1206" s="49"/>
    </row>
    <row r="1207" spans="9:15" x14ac:dyDescent="0.35">
      <c r="I1207" s="53"/>
      <c r="J1207" s="29"/>
      <c r="K1207" s="30"/>
      <c r="L1207" s="29"/>
      <c r="O1207" s="49"/>
    </row>
    <row r="1208" spans="9:15" x14ac:dyDescent="0.35">
      <c r="I1208" s="53"/>
      <c r="J1208" s="29"/>
      <c r="K1208" s="30"/>
      <c r="L1208" s="29"/>
      <c r="O1208" s="49"/>
    </row>
    <row r="1209" spans="9:15" x14ac:dyDescent="0.35">
      <c r="I1209" s="53"/>
      <c r="J1209" s="29"/>
      <c r="K1209" s="30"/>
      <c r="L1209" s="29"/>
      <c r="O1209" s="49"/>
    </row>
    <row r="1210" spans="9:15" x14ac:dyDescent="0.35">
      <c r="I1210" s="53"/>
      <c r="J1210" s="29"/>
      <c r="K1210" s="30"/>
      <c r="L1210" s="29"/>
      <c r="O1210" s="49"/>
    </row>
    <row r="1211" spans="9:15" x14ac:dyDescent="0.35">
      <c r="I1211" s="53"/>
      <c r="J1211" s="29"/>
      <c r="K1211" s="30"/>
      <c r="L1211" s="29"/>
      <c r="O1211" s="49"/>
    </row>
    <row r="1212" spans="9:15" x14ac:dyDescent="0.35">
      <c r="I1212" s="53"/>
      <c r="J1212" s="29"/>
      <c r="K1212" s="30"/>
      <c r="L1212" s="29"/>
      <c r="O1212" s="49"/>
    </row>
    <row r="1213" spans="9:15" x14ac:dyDescent="0.35">
      <c r="I1213" s="53"/>
      <c r="J1213" s="29"/>
      <c r="K1213" s="30"/>
      <c r="L1213" s="29"/>
      <c r="O1213" s="49"/>
    </row>
    <row r="1214" spans="9:15" x14ac:dyDescent="0.35">
      <c r="I1214" s="53"/>
      <c r="J1214" s="29"/>
      <c r="K1214" s="30"/>
      <c r="L1214" s="29"/>
      <c r="O1214" s="49"/>
    </row>
    <row r="1215" spans="9:15" x14ac:dyDescent="0.35">
      <c r="I1215" s="53"/>
      <c r="J1215" s="29"/>
      <c r="K1215" s="30"/>
      <c r="L1215" s="29"/>
      <c r="O1215" s="49"/>
    </row>
    <row r="1216" spans="9:15" x14ac:dyDescent="0.35">
      <c r="I1216" s="53"/>
      <c r="J1216" s="29"/>
      <c r="K1216" s="30"/>
      <c r="L1216" s="29"/>
      <c r="O1216" s="49"/>
    </row>
    <row r="1217" spans="9:15" x14ac:dyDescent="0.35">
      <c r="I1217" s="53"/>
      <c r="J1217" s="29"/>
      <c r="K1217" s="30"/>
      <c r="L1217" s="29"/>
      <c r="O1217" s="49"/>
    </row>
    <row r="1218" spans="9:15" x14ac:dyDescent="0.35">
      <c r="I1218" s="53"/>
      <c r="J1218" s="29"/>
      <c r="K1218" s="30"/>
      <c r="L1218" s="29"/>
      <c r="O1218" s="49"/>
    </row>
    <row r="1219" spans="9:15" x14ac:dyDescent="0.35">
      <c r="I1219" s="53"/>
      <c r="J1219" s="29"/>
      <c r="K1219" s="30"/>
      <c r="L1219" s="29"/>
      <c r="O1219" s="49"/>
    </row>
    <row r="1220" spans="9:15" x14ac:dyDescent="0.35">
      <c r="I1220" s="53"/>
      <c r="J1220" s="29"/>
      <c r="K1220" s="30"/>
      <c r="L1220" s="29"/>
      <c r="O1220" s="49"/>
    </row>
    <row r="1221" spans="9:15" x14ac:dyDescent="0.35">
      <c r="I1221" s="53"/>
      <c r="J1221" s="29"/>
      <c r="K1221" s="30"/>
      <c r="L1221" s="29"/>
      <c r="O1221" s="49"/>
    </row>
    <row r="1222" spans="9:15" x14ac:dyDescent="0.35">
      <c r="I1222" s="53"/>
      <c r="J1222" s="29"/>
      <c r="K1222" s="30"/>
      <c r="L1222" s="29"/>
      <c r="O1222" s="49"/>
    </row>
    <row r="1223" spans="9:15" x14ac:dyDescent="0.35">
      <c r="I1223" s="53"/>
      <c r="J1223" s="29"/>
      <c r="K1223" s="30"/>
      <c r="L1223" s="29"/>
      <c r="O1223" s="49"/>
    </row>
    <row r="1224" spans="9:15" x14ac:dyDescent="0.35">
      <c r="I1224" s="53"/>
      <c r="J1224" s="29"/>
      <c r="K1224" s="30"/>
      <c r="L1224" s="29"/>
      <c r="O1224" s="49"/>
    </row>
    <row r="1225" spans="9:15" x14ac:dyDescent="0.35">
      <c r="I1225" s="53"/>
      <c r="J1225" s="29"/>
      <c r="K1225" s="30"/>
      <c r="L1225" s="29"/>
      <c r="O1225" s="49"/>
    </row>
    <row r="1226" spans="9:15" x14ac:dyDescent="0.35">
      <c r="I1226" s="53"/>
      <c r="J1226" s="29"/>
      <c r="K1226" s="30"/>
      <c r="L1226" s="29"/>
      <c r="O1226" s="49"/>
    </row>
    <row r="1227" spans="9:15" x14ac:dyDescent="0.35">
      <c r="I1227" s="53"/>
      <c r="J1227" s="29"/>
      <c r="K1227" s="30"/>
      <c r="L1227" s="29"/>
      <c r="O1227" s="49"/>
    </row>
    <row r="1228" spans="9:15" x14ac:dyDescent="0.35">
      <c r="I1228" s="53"/>
      <c r="J1228" s="29"/>
      <c r="K1228" s="30"/>
      <c r="L1228" s="29"/>
      <c r="O1228" s="49"/>
    </row>
    <row r="1229" spans="9:15" x14ac:dyDescent="0.35">
      <c r="I1229" s="53"/>
      <c r="J1229" s="29"/>
      <c r="K1229" s="30"/>
      <c r="L1229" s="29"/>
      <c r="O1229" s="49"/>
    </row>
    <row r="1230" spans="9:15" x14ac:dyDescent="0.35">
      <c r="I1230" s="53"/>
      <c r="J1230" s="29"/>
      <c r="K1230" s="30"/>
      <c r="L1230" s="29"/>
      <c r="O1230" s="49"/>
    </row>
    <row r="1231" spans="9:15" x14ac:dyDescent="0.35">
      <c r="I1231" s="53"/>
      <c r="J1231" s="29"/>
      <c r="K1231" s="30"/>
      <c r="L1231" s="29"/>
      <c r="O1231" s="49"/>
    </row>
    <row r="1232" spans="9:15" x14ac:dyDescent="0.35">
      <c r="I1232" s="53"/>
      <c r="J1232" s="29"/>
      <c r="K1232" s="30"/>
      <c r="L1232" s="29"/>
      <c r="O1232" s="49"/>
    </row>
    <row r="1233" spans="9:15" x14ac:dyDescent="0.35">
      <c r="I1233" s="53"/>
      <c r="J1233" s="29"/>
      <c r="K1233" s="30"/>
      <c r="L1233" s="29"/>
      <c r="O1233" s="49"/>
    </row>
    <row r="1234" spans="9:15" x14ac:dyDescent="0.35">
      <c r="I1234" s="53"/>
      <c r="J1234" s="29"/>
      <c r="K1234" s="30"/>
      <c r="L1234" s="29"/>
      <c r="O1234" s="49"/>
    </row>
    <row r="1235" spans="9:15" x14ac:dyDescent="0.35">
      <c r="I1235" s="53"/>
      <c r="J1235" s="29"/>
      <c r="K1235" s="30"/>
      <c r="L1235" s="29"/>
      <c r="O1235" s="49"/>
    </row>
    <row r="1236" spans="9:15" x14ac:dyDescent="0.35">
      <c r="I1236" s="53"/>
      <c r="J1236" s="29"/>
      <c r="K1236" s="30"/>
      <c r="L1236" s="29"/>
      <c r="O1236" s="49"/>
    </row>
    <row r="1237" spans="9:15" x14ac:dyDescent="0.35">
      <c r="I1237" s="53"/>
      <c r="J1237" s="29"/>
      <c r="K1237" s="30"/>
      <c r="L1237" s="29"/>
      <c r="O1237" s="49"/>
    </row>
    <row r="1238" spans="9:15" x14ac:dyDescent="0.35">
      <c r="I1238" s="53"/>
      <c r="J1238" s="29"/>
      <c r="K1238" s="30"/>
      <c r="L1238" s="29"/>
      <c r="O1238" s="49"/>
    </row>
    <row r="1239" spans="9:15" x14ac:dyDescent="0.35">
      <c r="I1239" s="53"/>
      <c r="J1239" s="29"/>
      <c r="K1239" s="30"/>
      <c r="L1239" s="29"/>
      <c r="O1239" s="49"/>
    </row>
    <row r="1240" spans="9:15" x14ac:dyDescent="0.35">
      <c r="I1240" s="53"/>
      <c r="J1240" s="29"/>
      <c r="K1240" s="30"/>
      <c r="L1240" s="29"/>
      <c r="O1240" s="49"/>
    </row>
    <row r="1241" spans="9:15" x14ac:dyDescent="0.35">
      <c r="I1241" s="53"/>
      <c r="J1241" s="29"/>
      <c r="K1241" s="30"/>
      <c r="L1241" s="29"/>
      <c r="O1241" s="49"/>
    </row>
    <row r="1242" spans="9:15" x14ac:dyDescent="0.35">
      <c r="I1242" s="53"/>
      <c r="J1242" s="29"/>
      <c r="K1242" s="30"/>
      <c r="L1242" s="29"/>
      <c r="O1242" s="49"/>
    </row>
    <row r="1243" spans="9:15" x14ac:dyDescent="0.35">
      <c r="I1243" s="53"/>
      <c r="J1243" s="29"/>
      <c r="K1243" s="30"/>
      <c r="L1243" s="29"/>
      <c r="O1243" s="49"/>
    </row>
    <row r="1244" spans="9:15" x14ac:dyDescent="0.35">
      <c r="I1244" s="53"/>
      <c r="J1244" s="29"/>
      <c r="K1244" s="30"/>
      <c r="L1244" s="29"/>
      <c r="O1244" s="49"/>
    </row>
    <row r="1245" spans="9:15" x14ac:dyDescent="0.35">
      <c r="I1245" s="53"/>
      <c r="J1245" s="29"/>
      <c r="K1245" s="30"/>
      <c r="L1245" s="29"/>
      <c r="O1245" s="49"/>
    </row>
    <row r="1246" spans="9:15" x14ac:dyDescent="0.35">
      <c r="I1246" s="53"/>
      <c r="J1246" s="29"/>
      <c r="K1246" s="30"/>
      <c r="L1246" s="29"/>
      <c r="O1246" s="49"/>
    </row>
    <row r="1247" spans="9:15" x14ac:dyDescent="0.35">
      <c r="I1247" s="53"/>
      <c r="J1247" s="29"/>
      <c r="K1247" s="30"/>
      <c r="L1247" s="29"/>
      <c r="O1247" s="49"/>
    </row>
    <row r="1248" spans="9:15" x14ac:dyDescent="0.35">
      <c r="I1248" s="53"/>
      <c r="J1248" s="29"/>
      <c r="K1248" s="30"/>
      <c r="L1248" s="29"/>
      <c r="O1248" s="49"/>
    </row>
    <row r="1249" spans="9:15" x14ac:dyDescent="0.35">
      <c r="I1249" s="53"/>
      <c r="J1249" s="29"/>
      <c r="K1249" s="30"/>
      <c r="L1249" s="29"/>
      <c r="O1249" s="49"/>
    </row>
    <row r="1250" spans="9:15" x14ac:dyDescent="0.35">
      <c r="I1250" s="53"/>
      <c r="J1250" s="29"/>
      <c r="K1250" s="30"/>
      <c r="L1250" s="29"/>
      <c r="O1250" s="49"/>
    </row>
    <row r="1251" spans="9:15" x14ac:dyDescent="0.35">
      <c r="I1251" s="53"/>
      <c r="J1251" s="29"/>
      <c r="K1251" s="30"/>
      <c r="L1251" s="29"/>
      <c r="O1251" s="49"/>
    </row>
    <row r="1252" spans="9:15" x14ac:dyDescent="0.35">
      <c r="I1252" s="53"/>
      <c r="J1252" s="29"/>
      <c r="K1252" s="30"/>
      <c r="L1252" s="29"/>
      <c r="O1252" s="49"/>
    </row>
    <row r="1253" spans="9:15" x14ac:dyDescent="0.35">
      <c r="I1253" s="53"/>
      <c r="J1253" s="29"/>
      <c r="K1253" s="30"/>
      <c r="L1253" s="29"/>
      <c r="O1253" s="49"/>
    </row>
    <row r="1254" spans="9:15" x14ac:dyDescent="0.35">
      <c r="I1254" s="53"/>
      <c r="J1254" s="29"/>
      <c r="K1254" s="30"/>
      <c r="L1254" s="29"/>
      <c r="O1254" s="49"/>
    </row>
    <row r="1255" spans="9:15" x14ac:dyDescent="0.35">
      <c r="I1255" s="53"/>
      <c r="J1255" s="29"/>
      <c r="K1255" s="30"/>
      <c r="L1255" s="29"/>
      <c r="O1255" s="49"/>
    </row>
    <row r="1256" spans="9:15" x14ac:dyDescent="0.35">
      <c r="I1256" s="53"/>
      <c r="J1256" s="29"/>
      <c r="K1256" s="30"/>
      <c r="L1256" s="29"/>
      <c r="O1256" s="49"/>
    </row>
    <row r="1257" spans="9:15" x14ac:dyDescent="0.35">
      <c r="I1257" s="53"/>
      <c r="J1257" s="29"/>
      <c r="K1257" s="30"/>
      <c r="L1257" s="29"/>
      <c r="O1257" s="49"/>
    </row>
    <row r="1258" spans="9:15" x14ac:dyDescent="0.35">
      <c r="I1258" s="53"/>
      <c r="J1258" s="29"/>
      <c r="K1258" s="30"/>
      <c r="L1258" s="29"/>
      <c r="O1258" s="49"/>
    </row>
    <row r="1259" spans="9:15" x14ac:dyDescent="0.35">
      <c r="I1259" s="53"/>
      <c r="J1259" s="29"/>
      <c r="K1259" s="30"/>
      <c r="L1259" s="29"/>
      <c r="O1259" s="49"/>
    </row>
    <row r="1260" spans="9:15" x14ac:dyDescent="0.35">
      <c r="I1260" s="53"/>
      <c r="J1260" s="29"/>
      <c r="K1260" s="30"/>
      <c r="L1260" s="29"/>
      <c r="O1260" s="49"/>
    </row>
    <row r="1261" spans="9:15" x14ac:dyDescent="0.35">
      <c r="I1261" s="53"/>
      <c r="J1261" s="29"/>
      <c r="K1261" s="30"/>
      <c r="L1261" s="29"/>
      <c r="O1261" s="49"/>
    </row>
    <row r="1262" spans="9:15" x14ac:dyDescent="0.35">
      <c r="I1262" s="53"/>
      <c r="J1262" s="29"/>
      <c r="K1262" s="30"/>
      <c r="L1262" s="29"/>
      <c r="O1262" s="49"/>
    </row>
    <row r="1263" spans="9:15" x14ac:dyDescent="0.35">
      <c r="I1263" s="53"/>
      <c r="J1263" s="29"/>
      <c r="K1263" s="30"/>
      <c r="L1263" s="29"/>
      <c r="O1263" s="49"/>
    </row>
    <row r="1264" spans="9:15" x14ac:dyDescent="0.35">
      <c r="I1264" s="53"/>
      <c r="J1264" s="29"/>
      <c r="K1264" s="30"/>
      <c r="L1264" s="29"/>
      <c r="O1264" s="49"/>
    </row>
    <row r="1265" spans="9:15" x14ac:dyDescent="0.35">
      <c r="I1265" s="53"/>
      <c r="J1265" s="29"/>
      <c r="K1265" s="30"/>
      <c r="L1265" s="29"/>
      <c r="O1265" s="49"/>
    </row>
    <row r="1266" spans="9:15" x14ac:dyDescent="0.35">
      <c r="I1266" s="53"/>
      <c r="J1266" s="29"/>
      <c r="K1266" s="30"/>
      <c r="L1266" s="29"/>
      <c r="O1266" s="49"/>
    </row>
    <row r="1267" spans="9:15" x14ac:dyDescent="0.35">
      <c r="I1267" s="53"/>
      <c r="J1267" s="29"/>
      <c r="K1267" s="30"/>
      <c r="L1267" s="29"/>
      <c r="O1267" s="49"/>
    </row>
    <row r="1268" spans="9:15" x14ac:dyDescent="0.35">
      <c r="I1268" s="53"/>
      <c r="J1268" s="29"/>
      <c r="K1268" s="30"/>
      <c r="L1268" s="29"/>
      <c r="O1268" s="49"/>
    </row>
    <row r="1269" spans="9:15" x14ac:dyDescent="0.35">
      <c r="I1269" s="53"/>
      <c r="J1269" s="29"/>
      <c r="K1269" s="30"/>
      <c r="L1269" s="29"/>
      <c r="O1269" s="49"/>
    </row>
    <row r="1270" spans="9:15" x14ac:dyDescent="0.35">
      <c r="I1270" s="53"/>
      <c r="J1270" s="29"/>
      <c r="K1270" s="30"/>
      <c r="L1270" s="29"/>
      <c r="O1270" s="49"/>
    </row>
    <row r="1271" spans="9:15" x14ac:dyDescent="0.35">
      <c r="I1271" s="53"/>
      <c r="J1271" s="29"/>
      <c r="K1271" s="30"/>
      <c r="L1271" s="29"/>
      <c r="O1271" s="49"/>
    </row>
    <row r="1272" spans="9:15" x14ac:dyDescent="0.35">
      <c r="I1272" s="53"/>
      <c r="J1272" s="29"/>
      <c r="K1272" s="30"/>
      <c r="L1272" s="29"/>
      <c r="O1272" s="49"/>
    </row>
    <row r="1273" spans="9:15" x14ac:dyDescent="0.35">
      <c r="I1273" s="53"/>
      <c r="J1273" s="29"/>
      <c r="K1273" s="30"/>
      <c r="L1273" s="29"/>
      <c r="O1273" s="49"/>
    </row>
    <row r="1274" spans="9:15" x14ac:dyDescent="0.35">
      <c r="I1274" s="53"/>
      <c r="J1274" s="29"/>
      <c r="K1274" s="30"/>
      <c r="L1274" s="29"/>
      <c r="O1274" s="49"/>
    </row>
    <row r="1275" spans="9:15" x14ac:dyDescent="0.35">
      <c r="I1275" s="53"/>
      <c r="J1275" s="29"/>
      <c r="K1275" s="30"/>
      <c r="L1275" s="29"/>
      <c r="O1275" s="49"/>
    </row>
    <row r="1276" spans="9:15" x14ac:dyDescent="0.35">
      <c r="I1276" s="53"/>
      <c r="J1276" s="29"/>
      <c r="K1276" s="30"/>
      <c r="L1276" s="29"/>
      <c r="O1276" s="49"/>
    </row>
    <row r="1277" spans="9:15" x14ac:dyDescent="0.35">
      <c r="I1277" s="53"/>
      <c r="J1277" s="29"/>
      <c r="K1277" s="30"/>
      <c r="L1277" s="29"/>
      <c r="O1277" s="49"/>
    </row>
    <row r="1278" spans="9:15" x14ac:dyDescent="0.35">
      <c r="I1278" s="53"/>
      <c r="J1278" s="29"/>
      <c r="K1278" s="30"/>
      <c r="L1278" s="29"/>
      <c r="O1278" s="49"/>
    </row>
    <row r="1279" spans="9:15" x14ac:dyDescent="0.35">
      <c r="I1279" s="53"/>
      <c r="J1279" s="29"/>
      <c r="K1279" s="30"/>
      <c r="L1279" s="29"/>
      <c r="O1279" s="49"/>
    </row>
    <row r="1280" spans="9:15" x14ac:dyDescent="0.35">
      <c r="I1280" s="53"/>
      <c r="J1280" s="29"/>
      <c r="K1280" s="30"/>
      <c r="L1280" s="29"/>
      <c r="O1280" s="49"/>
    </row>
    <row r="1281" spans="9:15" x14ac:dyDescent="0.35">
      <c r="I1281" s="53"/>
      <c r="J1281" s="29"/>
      <c r="K1281" s="30"/>
      <c r="L1281" s="29"/>
      <c r="O1281" s="49"/>
    </row>
    <row r="1282" spans="9:15" x14ac:dyDescent="0.35">
      <c r="I1282" s="53"/>
      <c r="J1282" s="29"/>
      <c r="K1282" s="30"/>
      <c r="L1282" s="29"/>
      <c r="O1282" s="49"/>
    </row>
    <row r="1283" spans="9:15" x14ac:dyDescent="0.35">
      <c r="I1283" s="53"/>
      <c r="J1283" s="29"/>
      <c r="K1283" s="30"/>
      <c r="L1283" s="29"/>
      <c r="O1283" s="49"/>
    </row>
    <row r="1284" spans="9:15" x14ac:dyDescent="0.35">
      <c r="I1284" s="53"/>
      <c r="J1284" s="29"/>
      <c r="K1284" s="30"/>
      <c r="L1284" s="29"/>
      <c r="O1284" s="49"/>
    </row>
    <row r="1285" spans="9:15" x14ac:dyDescent="0.35">
      <c r="I1285" s="53"/>
      <c r="J1285" s="29"/>
      <c r="K1285" s="30"/>
      <c r="L1285" s="29"/>
      <c r="O1285" s="49"/>
    </row>
    <row r="1286" spans="9:15" x14ac:dyDescent="0.35">
      <c r="I1286" s="53"/>
      <c r="J1286" s="29"/>
      <c r="K1286" s="30"/>
      <c r="L1286" s="29"/>
      <c r="O1286" s="49"/>
    </row>
    <row r="1287" spans="9:15" x14ac:dyDescent="0.35">
      <c r="I1287" s="53"/>
      <c r="J1287" s="29"/>
      <c r="K1287" s="30"/>
      <c r="L1287" s="29"/>
      <c r="O1287" s="49"/>
    </row>
    <row r="1288" spans="9:15" x14ac:dyDescent="0.35">
      <c r="I1288" s="53"/>
      <c r="J1288" s="29"/>
      <c r="K1288" s="30"/>
      <c r="L1288" s="29"/>
      <c r="O1288" s="49"/>
    </row>
    <row r="1289" spans="9:15" x14ac:dyDescent="0.35">
      <c r="I1289" s="53"/>
      <c r="J1289" s="29"/>
      <c r="K1289" s="30"/>
      <c r="L1289" s="29"/>
      <c r="O1289" s="49"/>
    </row>
    <row r="1290" spans="9:15" x14ac:dyDescent="0.35">
      <c r="I1290" s="53"/>
      <c r="J1290" s="29"/>
      <c r="K1290" s="30"/>
      <c r="L1290" s="29"/>
      <c r="O1290" s="49"/>
    </row>
    <row r="1291" spans="9:15" x14ac:dyDescent="0.35">
      <c r="I1291" s="53"/>
      <c r="J1291" s="29"/>
      <c r="K1291" s="30"/>
      <c r="L1291" s="29"/>
      <c r="O1291" s="49"/>
    </row>
    <row r="1292" spans="9:15" x14ac:dyDescent="0.35">
      <c r="I1292" s="53"/>
      <c r="J1292" s="29"/>
      <c r="K1292" s="30"/>
      <c r="L1292" s="29"/>
      <c r="O1292" s="49"/>
    </row>
    <row r="1293" spans="9:15" x14ac:dyDescent="0.35">
      <c r="I1293" s="53"/>
      <c r="J1293" s="29"/>
      <c r="K1293" s="30"/>
      <c r="L1293" s="29"/>
      <c r="O1293" s="49"/>
    </row>
    <row r="1294" spans="9:15" x14ac:dyDescent="0.35">
      <c r="I1294" s="53"/>
      <c r="J1294" s="29"/>
      <c r="K1294" s="30"/>
      <c r="L1294" s="29"/>
      <c r="O1294" s="49"/>
    </row>
    <row r="1295" spans="9:15" x14ac:dyDescent="0.35">
      <c r="I1295" s="53"/>
      <c r="J1295" s="29"/>
      <c r="K1295" s="30"/>
      <c r="L1295" s="29"/>
      <c r="O1295" s="49"/>
    </row>
    <row r="1296" spans="9:15" x14ac:dyDescent="0.35">
      <c r="I1296" s="53"/>
      <c r="J1296" s="29"/>
      <c r="K1296" s="30"/>
      <c r="L1296" s="29"/>
      <c r="O1296" s="49"/>
    </row>
    <row r="1297" spans="9:15" x14ac:dyDescent="0.35">
      <c r="I1297" s="53"/>
      <c r="J1297" s="29"/>
      <c r="K1297" s="30"/>
      <c r="L1297" s="29"/>
      <c r="O1297" s="49"/>
    </row>
    <row r="1298" spans="9:15" x14ac:dyDescent="0.35">
      <c r="I1298" s="53"/>
      <c r="J1298" s="29"/>
      <c r="K1298" s="30"/>
      <c r="L1298" s="29"/>
      <c r="O1298" s="49"/>
    </row>
    <row r="1299" spans="9:15" x14ac:dyDescent="0.35">
      <c r="I1299" s="53"/>
      <c r="J1299" s="29"/>
      <c r="K1299" s="30"/>
      <c r="L1299" s="29"/>
      <c r="O1299" s="49"/>
    </row>
    <row r="1300" spans="9:15" x14ac:dyDescent="0.35">
      <c r="I1300" s="53"/>
      <c r="J1300" s="29"/>
      <c r="K1300" s="30"/>
      <c r="L1300" s="29"/>
      <c r="O1300" s="49"/>
    </row>
    <row r="1301" spans="9:15" x14ac:dyDescent="0.35">
      <c r="I1301" s="53"/>
      <c r="J1301" s="29"/>
      <c r="K1301" s="30"/>
      <c r="L1301" s="29"/>
      <c r="O1301" s="49"/>
    </row>
    <row r="1302" spans="9:15" x14ac:dyDescent="0.35">
      <c r="I1302" s="53"/>
      <c r="J1302" s="29"/>
      <c r="K1302" s="30"/>
      <c r="L1302" s="29"/>
      <c r="O1302" s="49"/>
    </row>
    <row r="1303" spans="9:15" x14ac:dyDescent="0.35">
      <c r="I1303" s="53"/>
      <c r="J1303" s="29"/>
      <c r="K1303" s="30"/>
      <c r="L1303" s="29"/>
      <c r="O1303" s="49"/>
    </row>
    <row r="1304" spans="9:15" x14ac:dyDescent="0.35">
      <c r="I1304" s="53"/>
      <c r="J1304" s="29"/>
      <c r="K1304" s="30"/>
      <c r="L1304" s="29"/>
      <c r="O1304" s="49"/>
    </row>
    <row r="1305" spans="9:15" x14ac:dyDescent="0.35">
      <c r="I1305" s="53"/>
      <c r="J1305" s="29"/>
      <c r="K1305" s="30"/>
      <c r="L1305" s="29"/>
      <c r="O1305" s="49"/>
    </row>
    <row r="1306" spans="9:15" x14ac:dyDescent="0.35">
      <c r="I1306" s="53"/>
      <c r="J1306" s="29"/>
      <c r="K1306" s="30"/>
      <c r="L1306" s="29"/>
      <c r="O1306" s="49"/>
    </row>
    <row r="1307" spans="9:15" x14ac:dyDescent="0.35">
      <c r="I1307" s="53"/>
      <c r="J1307" s="29"/>
      <c r="K1307" s="30"/>
      <c r="L1307" s="29"/>
      <c r="O1307" s="49"/>
    </row>
    <row r="1308" spans="9:15" x14ac:dyDescent="0.35">
      <c r="I1308" s="53"/>
      <c r="J1308" s="29"/>
      <c r="K1308" s="30"/>
      <c r="L1308" s="29"/>
      <c r="O1308" s="49"/>
    </row>
    <row r="1309" spans="9:15" x14ac:dyDescent="0.35">
      <c r="I1309" s="53"/>
      <c r="J1309" s="29"/>
      <c r="K1309" s="30"/>
      <c r="L1309" s="29"/>
      <c r="O1309" s="49"/>
    </row>
    <row r="1310" spans="9:15" x14ac:dyDescent="0.35">
      <c r="I1310" s="53"/>
      <c r="J1310" s="29"/>
      <c r="K1310" s="30"/>
      <c r="L1310" s="29"/>
      <c r="O1310" s="49"/>
    </row>
    <row r="1311" spans="9:15" x14ac:dyDescent="0.35">
      <c r="I1311" s="53"/>
      <c r="J1311" s="29"/>
      <c r="K1311" s="30"/>
      <c r="L1311" s="29"/>
      <c r="O1311" s="49"/>
    </row>
    <row r="1312" spans="9:15" x14ac:dyDescent="0.35">
      <c r="I1312" s="53"/>
      <c r="J1312" s="29"/>
      <c r="K1312" s="30"/>
      <c r="L1312" s="29"/>
      <c r="O1312" s="49"/>
    </row>
    <row r="1313" spans="9:15" x14ac:dyDescent="0.35">
      <c r="I1313" s="53"/>
      <c r="J1313" s="29"/>
      <c r="K1313" s="30"/>
      <c r="L1313" s="29"/>
      <c r="O1313" s="49"/>
    </row>
    <row r="1314" spans="9:15" x14ac:dyDescent="0.35">
      <c r="I1314" s="53"/>
      <c r="J1314" s="29"/>
      <c r="K1314" s="30"/>
      <c r="L1314" s="29"/>
      <c r="O1314" s="49"/>
    </row>
    <row r="1315" spans="9:15" x14ac:dyDescent="0.35">
      <c r="I1315" s="53"/>
      <c r="J1315" s="29"/>
      <c r="K1315" s="30"/>
      <c r="L1315" s="29"/>
      <c r="O1315" s="49"/>
    </row>
    <row r="1316" spans="9:15" x14ac:dyDescent="0.35">
      <c r="I1316" s="53"/>
      <c r="J1316" s="29"/>
      <c r="K1316" s="30"/>
      <c r="L1316" s="29"/>
      <c r="O1316" s="49"/>
    </row>
    <row r="1317" spans="9:15" x14ac:dyDescent="0.35">
      <c r="I1317" s="53"/>
      <c r="J1317" s="29"/>
      <c r="K1317" s="30"/>
      <c r="L1317" s="29"/>
      <c r="O1317" s="49"/>
    </row>
    <row r="1318" spans="9:15" x14ac:dyDescent="0.35">
      <c r="I1318" s="53"/>
      <c r="J1318" s="29"/>
      <c r="K1318" s="30"/>
      <c r="L1318" s="29"/>
      <c r="O1318" s="49"/>
    </row>
    <row r="1319" spans="9:15" x14ac:dyDescent="0.35">
      <c r="I1319" s="53"/>
      <c r="J1319" s="29"/>
      <c r="K1319" s="30"/>
      <c r="L1319" s="29"/>
      <c r="O1319" s="49"/>
    </row>
    <row r="1320" spans="9:15" x14ac:dyDescent="0.35">
      <c r="I1320" s="53"/>
      <c r="J1320" s="29"/>
      <c r="K1320" s="30"/>
      <c r="L1320" s="29"/>
      <c r="O1320" s="49"/>
    </row>
    <row r="1321" spans="9:15" x14ac:dyDescent="0.35">
      <c r="I1321" s="53"/>
      <c r="J1321" s="29"/>
      <c r="K1321" s="30"/>
      <c r="L1321" s="29"/>
      <c r="O1321" s="49"/>
    </row>
    <row r="1322" spans="9:15" x14ac:dyDescent="0.35">
      <c r="I1322" s="53"/>
      <c r="J1322" s="29"/>
      <c r="K1322" s="30"/>
      <c r="L1322" s="29"/>
      <c r="O1322" s="49"/>
    </row>
    <row r="1323" spans="9:15" x14ac:dyDescent="0.35">
      <c r="I1323" s="53"/>
      <c r="J1323" s="29"/>
      <c r="K1323" s="30"/>
      <c r="L1323" s="29"/>
      <c r="O1323" s="49"/>
    </row>
    <row r="1324" spans="9:15" x14ac:dyDescent="0.35">
      <c r="I1324" s="53"/>
      <c r="J1324" s="29"/>
      <c r="K1324" s="30"/>
      <c r="L1324" s="29"/>
      <c r="O1324" s="49"/>
    </row>
    <row r="1325" spans="9:15" x14ac:dyDescent="0.35">
      <c r="I1325" s="53"/>
      <c r="J1325" s="29"/>
      <c r="K1325" s="30"/>
      <c r="L1325" s="29"/>
      <c r="O1325" s="49"/>
    </row>
    <row r="1326" spans="9:15" x14ac:dyDescent="0.35">
      <c r="I1326" s="53"/>
      <c r="J1326" s="29"/>
      <c r="K1326" s="30"/>
      <c r="L1326" s="29"/>
      <c r="O1326" s="49"/>
    </row>
    <row r="1327" spans="9:15" x14ac:dyDescent="0.35">
      <c r="I1327" s="53"/>
      <c r="J1327" s="29"/>
      <c r="K1327" s="30"/>
      <c r="L1327" s="29"/>
      <c r="O1327" s="49"/>
    </row>
    <row r="1328" spans="9:15" x14ac:dyDescent="0.35">
      <c r="I1328" s="53"/>
      <c r="J1328" s="29"/>
      <c r="K1328" s="30"/>
      <c r="L1328" s="29"/>
      <c r="O1328" s="49"/>
    </row>
    <row r="1329" spans="9:15" x14ac:dyDescent="0.35">
      <c r="I1329" s="53"/>
      <c r="J1329" s="29"/>
      <c r="K1329" s="30"/>
      <c r="L1329" s="29"/>
      <c r="O1329" s="49"/>
    </row>
    <row r="1330" spans="9:15" x14ac:dyDescent="0.35">
      <c r="I1330" s="53"/>
      <c r="J1330" s="29"/>
      <c r="K1330" s="30"/>
      <c r="L1330" s="29"/>
      <c r="O1330" s="49"/>
    </row>
    <row r="1331" spans="9:15" x14ac:dyDescent="0.35">
      <c r="I1331" s="53"/>
      <c r="J1331" s="29"/>
      <c r="K1331" s="30"/>
      <c r="L1331" s="29"/>
      <c r="O1331" s="49"/>
    </row>
    <row r="1332" spans="9:15" x14ac:dyDescent="0.35">
      <c r="I1332" s="53"/>
      <c r="J1332" s="29"/>
      <c r="K1332" s="30"/>
      <c r="L1332" s="29"/>
      <c r="O1332" s="49"/>
    </row>
    <row r="1333" spans="9:15" x14ac:dyDescent="0.35">
      <c r="I1333" s="53"/>
      <c r="J1333" s="29"/>
      <c r="K1333" s="30"/>
      <c r="L1333" s="29"/>
      <c r="O1333" s="49"/>
    </row>
    <row r="1334" spans="9:15" x14ac:dyDescent="0.35">
      <c r="I1334" s="53"/>
      <c r="J1334" s="29"/>
      <c r="K1334" s="30"/>
      <c r="L1334" s="29"/>
      <c r="O1334" s="49"/>
    </row>
    <row r="1335" spans="9:15" x14ac:dyDescent="0.35">
      <c r="I1335" s="53"/>
      <c r="J1335" s="29"/>
      <c r="K1335" s="30"/>
      <c r="L1335" s="29"/>
      <c r="O1335" s="49"/>
    </row>
    <row r="1336" spans="9:15" x14ac:dyDescent="0.35">
      <c r="I1336" s="53"/>
      <c r="J1336" s="29"/>
      <c r="K1336" s="30"/>
      <c r="L1336" s="29"/>
      <c r="O1336" s="49"/>
    </row>
    <row r="1337" spans="9:15" x14ac:dyDescent="0.35">
      <c r="I1337" s="53"/>
      <c r="J1337" s="29"/>
      <c r="K1337" s="30"/>
      <c r="L1337" s="29"/>
      <c r="O1337" s="49"/>
    </row>
    <row r="1338" spans="9:15" x14ac:dyDescent="0.35">
      <c r="I1338" s="53"/>
      <c r="J1338" s="29"/>
      <c r="K1338" s="30"/>
      <c r="L1338" s="29"/>
      <c r="O1338" s="49"/>
    </row>
    <row r="1339" spans="9:15" x14ac:dyDescent="0.35">
      <c r="I1339" s="53"/>
      <c r="J1339" s="29"/>
      <c r="K1339" s="30"/>
      <c r="L1339" s="29"/>
      <c r="O1339" s="49"/>
    </row>
    <row r="1340" spans="9:15" x14ac:dyDescent="0.35">
      <c r="I1340" s="53"/>
      <c r="J1340" s="29"/>
      <c r="K1340" s="30"/>
      <c r="L1340" s="29"/>
      <c r="O1340" s="49"/>
    </row>
    <row r="1341" spans="9:15" x14ac:dyDescent="0.35">
      <c r="I1341" s="53"/>
      <c r="J1341" s="29"/>
      <c r="K1341" s="30"/>
      <c r="L1341" s="29"/>
      <c r="O1341" s="49"/>
    </row>
    <row r="1342" spans="9:15" x14ac:dyDescent="0.35">
      <c r="I1342" s="53"/>
      <c r="J1342" s="29"/>
      <c r="K1342" s="30"/>
      <c r="L1342" s="29"/>
      <c r="O1342" s="49"/>
    </row>
    <row r="1343" spans="9:15" x14ac:dyDescent="0.35">
      <c r="I1343" s="53"/>
      <c r="J1343" s="29"/>
      <c r="K1343" s="30"/>
      <c r="L1343" s="29"/>
      <c r="O1343" s="49"/>
    </row>
    <row r="1344" spans="9:15" x14ac:dyDescent="0.35">
      <c r="I1344" s="53"/>
      <c r="J1344" s="29"/>
      <c r="K1344" s="30"/>
      <c r="L1344" s="29"/>
      <c r="O1344" s="49"/>
    </row>
    <row r="1345" spans="9:15" x14ac:dyDescent="0.35">
      <c r="I1345" s="53"/>
      <c r="J1345" s="29"/>
      <c r="K1345" s="30"/>
      <c r="L1345" s="29"/>
      <c r="O1345" s="49"/>
    </row>
    <row r="1346" spans="9:15" x14ac:dyDescent="0.35">
      <c r="I1346" s="53"/>
      <c r="J1346" s="29"/>
      <c r="K1346" s="30"/>
      <c r="L1346" s="29"/>
      <c r="O1346" s="49"/>
    </row>
    <row r="1347" spans="9:15" x14ac:dyDescent="0.35">
      <c r="I1347" s="53"/>
      <c r="J1347" s="29"/>
      <c r="K1347" s="30"/>
      <c r="L1347" s="29"/>
      <c r="O1347" s="49"/>
    </row>
    <row r="1348" spans="9:15" x14ac:dyDescent="0.35">
      <c r="I1348" s="53"/>
      <c r="J1348" s="29"/>
      <c r="K1348" s="30"/>
      <c r="L1348" s="29"/>
      <c r="O1348" s="49"/>
    </row>
    <row r="1349" spans="9:15" x14ac:dyDescent="0.35">
      <c r="I1349" s="53"/>
      <c r="J1349" s="29"/>
      <c r="K1349" s="30"/>
      <c r="L1349" s="29"/>
      <c r="O1349" s="49"/>
    </row>
    <row r="1350" spans="9:15" x14ac:dyDescent="0.35">
      <c r="I1350" s="53"/>
      <c r="J1350" s="29"/>
      <c r="K1350" s="30"/>
      <c r="L1350" s="29"/>
      <c r="O1350" s="49"/>
    </row>
    <row r="1351" spans="9:15" x14ac:dyDescent="0.35">
      <c r="I1351" s="53"/>
      <c r="J1351" s="29"/>
      <c r="K1351" s="30"/>
      <c r="L1351" s="29"/>
      <c r="O1351" s="49"/>
    </row>
    <row r="1352" spans="9:15" x14ac:dyDescent="0.35">
      <c r="I1352" s="53"/>
      <c r="J1352" s="29"/>
      <c r="K1352" s="30"/>
      <c r="L1352" s="29"/>
      <c r="O1352" s="49"/>
    </row>
    <row r="1353" spans="9:15" x14ac:dyDescent="0.35">
      <c r="I1353" s="53"/>
      <c r="J1353" s="29"/>
      <c r="K1353" s="30"/>
      <c r="L1353" s="29"/>
      <c r="O1353" s="49"/>
    </row>
    <row r="1354" spans="9:15" x14ac:dyDescent="0.35">
      <c r="I1354" s="53"/>
      <c r="J1354" s="29"/>
      <c r="K1354" s="30"/>
      <c r="L1354" s="29"/>
      <c r="O1354" s="49"/>
    </row>
    <row r="1355" spans="9:15" x14ac:dyDescent="0.35">
      <c r="I1355" s="53"/>
      <c r="J1355" s="29"/>
      <c r="K1355" s="30"/>
      <c r="L1355" s="29"/>
      <c r="O1355" s="49"/>
    </row>
    <row r="1356" spans="9:15" x14ac:dyDescent="0.35">
      <c r="I1356" s="53"/>
      <c r="J1356" s="29"/>
      <c r="K1356" s="30"/>
      <c r="L1356" s="29"/>
      <c r="O1356" s="49"/>
    </row>
    <row r="1357" spans="9:15" x14ac:dyDescent="0.35">
      <c r="I1357" s="53"/>
      <c r="J1357" s="29"/>
      <c r="K1357" s="30"/>
      <c r="L1357" s="29"/>
      <c r="O1357" s="49"/>
    </row>
    <row r="1358" spans="9:15" x14ac:dyDescent="0.35">
      <c r="I1358" s="53"/>
      <c r="J1358" s="29"/>
      <c r="K1358" s="30"/>
      <c r="L1358" s="29"/>
      <c r="O1358" s="49"/>
    </row>
    <row r="1359" spans="9:15" x14ac:dyDescent="0.35">
      <c r="I1359" s="53"/>
      <c r="J1359" s="29"/>
      <c r="K1359" s="30"/>
      <c r="L1359" s="29"/>
      <c r="O1359" s="49"/>
    </row>
    <row r="1360" spans="9:15" x14ac:dyDescent="0.35">
      <c r="I1360" s="53"/>
      <c r="J1360" s="29"/>
      <c r="K1360" s="30"/>
      <c r="L1360" s="29"/>
      <c r="O1360" s="49"/>
    </row>
    <row r="1361" spans="9:15" x14ac:dyDescent="0.35">
      <c r="I1361" s="53"/>
      <c r="J1361" s="29"/>
      <c r="K1361" s="30"/>
      <c r="L1361" s="29"/>
      <c r="O1361" s="49"/>
    </row>
    <row r="1362" spans="9:15" x14ac:dyDescent="0.35">
      <c r="I1362" s="53"/>
      <c r="J1362" s="29"/>
      <c r="K1362" s="30"/>
      <c r="L1362" s="29"/>
      <c r="O1362" s="49"/>
    </row>
    <row r="1363" spans="9:15" x14ac:dyDescent="0.35">
      <c r="I1363" s="53"/>
      <c r="J1363" s="29"/>
      <c r="K1363" s="30"/>
      <c r="L1363" s="29"/>
      <c r="O1363" s="49"/>
    </row>
    <row r="1364" spans="9:15" x14ac:dyDescent="0.35">
      <c r="I1364" s="53"/>
      <c r="J1364" s="29"/>
      <c r="K1364" s="30"/>
      <c r="L1364" s="29"/>
      <c r="O1364" s="49"/>
    </row>
    <row r="1365" spans="9:15" x14ac:dyDescent="0.35">
      <c r="I1365" s="53"/>
      <c r="J1365" s="29"/>
      <c r="K1365" s="30"/>
      <c r="L1365" s="29"/>
      <c r="O1365" s="49"/>
    </row>
    <row r="1366" spans="9:15" x14ac:dyDescent="0.35">
      <c r="I1366" s="53"/>
      <c r="J1366" s="29"/>
      <c r="K1366" s="30"/>
      <c r="L1366" s="29"/>
      <c r="O1366" s="49"/>
    </row>
    <row r="1367" spans="9:15" x14ac:dyDescent="0.35">
      <c r="I1367" s="53"/>
      <c r="J1367" s="29"/>
      <c r="K1367" s="30"/>
      <c r="L1367" s="29"/>
      <c r="O1367" s="49"/>
    </row>
    <row r="1368" spans="9:15" x14ac:dyDescent="0.35">
      <c r="I1368" s="53"/>
      <c r="J1368" s="29"/>
      <c r="K1368" s="30"/>
      <c r="L1368" s="29"/>
      <c r="O1368" s="49"/>
    </row>
    <row r="1369" spans="9:15" x14ac:dyDescent="0.35">
      <c r="I1369" s="53"/>
      <c r="J1369" s="29"/>
      <c r="K1369" s="30"/>
      <c r="L1369" s="29"/>
      <c r="O1369" s="49"/>
    </row>
    <row r="1370" spans="9:15" x14ac:dyDescent="0.35">
      <c r="I1370" s="53"/>
      <c r="J1370" s="29"/>
      <c r="K1370" s="30"/>
      <c r="L1370" s="29"/>
      <c r="O1370" s="49"/>
    </row>
    <row r="1371" spans="9:15" x14ac:dyDescent="0.35">
      <c r="I1371" s="53"/>
      <c r="J1371" s="29"/>
      <c r="K1371" s="30"/>
      <c r="L1371" s="29"/>
      <c r="O1371" s="49"/>
    </row>
    <row r="1372" spans="9:15" x14ac:dyDescent="0.35">
      <c r="I1372" s="53"/>
      <c r="J1372" s="29"/>
      <c r="K1372" s="30"/>
      <c r="L1372" s="29"/>
      <c r="O1372" s="49"/>
    </row>
    <row r="1373" spans="9:15" x14ac:dyDescent="0.35">
      <c r="I1373" s="53"/>
      <c r="J1373" s="29"/>
      <c r="K1373" s="30"/>
      <c r="L1373" s="29"/>
      <c r="O1373" s="49"/>
    </row>
    <row r="1374" spans="9:15" x14ac:dyDescent="0.35">
      <c r="I1374" s="53"/>
      <c r="J1374" s="29"/>
      <c r="K1374" s="30"/>
      <c r="L1374" s="29"/>
      <c r="O1374" s="49"/>
    </row>
    <row r="1375" spans="9:15" x14ac:dyDescent="0.35">
      <c r="I1375" s="53"/>
      <c r="J1375" s="29"/>
      <c r="K1375" s="30"/>
      <c r="L1375" s="29"/>
      <c r="O1375" s="49"/>
    </row>
    <row r="1376" spans="9:15" x14ac:dyDescent="0.35">
      <c r="I1376" s="53"/>
      <c r="J1376" s="29"/>
      <c r="K1376" s="30"/>
      <c r="L1376" s="29"/>
      <c r="O1376" s="49"/>
    </row>
    <row r="1377" spans="9:15" x14ac:dyDescent="0.35">
      <c r="I1377" s="53"/>
      <c r="J1377" s="29"/>
      <c r="K1377" s="30"/>
      <c r="L1377" s="29"/>
      <c r="O1377" s="49"/>
    </row>
    <row r="1378" spans="9:15" x14ac:dyDescent="0.35">
      <c r="I1378" s="53"/>
      <c r="J1378" s="29"/>
      <c r="K1378" s="30"/>
      <c r="L1378" s="29"/>
      <c r="O1378" s="49"/>
    </row>
    <row r="1379" spans="9:15" x14ac:dyDescent="0.35">
      <c r="I1379" s="53"/>
      <c r="J1379" s="29"/>
      <c r="K1379" s="30"/>
      <c r="L1379" s="29"/>
      <c r="O1379" s="49"/>
    </row>
    <row r="1380" spans="9:15" x14ac:dyDescent="0.35">
      <c r="I1380" s="53"/>
      <c r="J1380" s="29"/>
      <c r="K1380" s="30"/>
      <c r="L1380" s="29"/>
      <c r="O1380" s="49"/>
    </row>
    <row r="1381" spans="9:15" x14ac:dyDescent="0.35">
      <c r="I1381" s="53"/>
      <c r="J1381" s="29"/>
      <c r="K1381" s="30"/>
      <c r="L1381" s="29"/>
      <c r="O1381" s="49"/>
    </row>
    <row r="1382" spans="9:15" x14ac:dyDescent="0.35">
      <c r="I1382" s="53"/>
      <c r="J1382" s="29"/>
      <c r="K1382" s="30"/>
      <c r="L1382" s="29"/>
      <c r="O1382" s="49"/>
    </row>
    <row r="1383" spans="9:15" x14ac:dyDescent="0.35">
      <c r="I1383" s="53"/>
      <c r="J1383" s="29"/>
      <c r="K1383" s="30"/>
      <c r="L1383" s="29"/>
      <c r="O1383" s="49"/>
    </row>
    <row r="1384" spans="9:15" x14ac:dyDescent="0.35">
      <c r="I1384" s="53"/>
      <c r="J1384" s="29"/>
      <c r="K1384" s="30"/>
      <c r="L1384" s="29"/>
      <c r="O1384" s="49"/>
    </row>
    <row r="1385" spans="9:15" x14ac:dyDescent="0.35">
      <c r="I1385" s="53"/>
      <c r="J1385" s="29"/>
      <c r="K1385" s="30"/>
      <c r="L1385" s="29"/>
      <c r="O1385" s="49"/>
    </row>
    <row r="1386" spans="9:15" x14ac:dyDescent="0.35">
      <c r="I1386" s="53"/>
      <c r="J1386" s="29"/>
      <c r="K1386" s="30"/>
      <c r="L1386" s="29"/>
      <c r="O1386" s="49"/>
    </row>
    <row r="1387" spans="9:15" x14ac:dyDescent="0.35">
      <c r="I1387" s="53"/>
      <c r="J1387" s="29"/>
      <c r="K1387" s="30"/>
      <c r="L1387" s="29"/>
      <c r="O1387" s="49"/>
    </row>
    <row r="1388" spans="9:15" x14ac:dyDescent="0.35">
      <c r="I1388" s="53"/>
      <c r="J1388" s="29"/>
      <c r="K1388" s="30"/>
      <c r="L1388" s="29"/>
      <c r="O1388" s="49"/>
    </row>
    <row r="1389" spans="9:15" x14ac:dyDescent="0.35">
      <c r="I1389" s="53"/>
      <c r="J1389" s="29"/>
      <c r="K1389" s="30"/>
      <c r="L1389" s="29"/>
      <c r="O1389" s="49"/>
    </row>
    <row r="1390" spans="9:15" x14ac:dyDescent="0.35">
      <c r="I1390" s="53"/>
      <c r="J1390" s="29"/>
      <c r="K1390" s="30"/>
      <c r="L1390" s="29"/>
      <c r="O1390" s="49"/>
    </row>
    <row r="1391" spans="9:15" x14ac:dyDescent="0.35">
      <c r="I1391" s="53"/>
      <c r="J1391" s="29"/>
      <c r="K1391" s="30"/>
      <c r="L1391" s="29"/>
      <c r="O1391" s="49"/>
    </row>
    <row r="1392" spans="9:15" x14ac:dyDescent="0.35">
      <c r="I1392" s="53"/>
      <c r="J1392" s="29"/>
      <c r="K1392" s="30"/>
      <c r="L1392" s="29"/>
      <c r="O1392" s="49"/>
    </row>
    <row r="1393" spans="9:15" x14ac:dyDescent="0.35">
      <c r="I1393" s="53"/>
      <c r="J1393" s="29"/>
      <c r="K1393" s="30"/>
      <c r="L1393" s="29"/>
      <c r="O1393" s="49"/>
    </row>
    <row r="1394" spans="9:15" x14ac:dyDescent="0.35">
      <c r="I1394" s="53"/>
      <c r="J1394" s="29"/>
      <c r="K1394" s="30"/>
      <c r="L1394" s="29"/>
      <c r="O1394" s="49"/>
    </row>
    <row r="1395" spans="9:15" x14ac:dyDescent="0.35">
      <c r="I1395" s="53"/>
      <c r="J1395" s="29"/>
      <c r="K1395" s="30"/>
      <c r="L1395" s="29"/>
      <c r="O1395" s="49"/>
    </row>
    <row r="1396" spans="9:15" x14ac:dyDescent="0.35">
      <c r="I1396" s="53"/>
      <c r="J1396" s="29"/>
      <c r="K1396" s="30"/>
      <c r="L1396" s="29"/>
      <c r="O1396" s="49"/>
    </row>
    <row r="1397" spans="9:15" x14ac:dyDescent="0.35">
      <c r="I1397" s="53"/>
      <c r="J1397" s="29"/>
      <c r="K1397" s="30"/>
      <c r="L1397" s="29"/>
      <c r="O1397" s="49"/>
    </row>
    <row r="1398" spans="9:15" x14ac:dyDescent="0.35">
      <c r="I1398" s="53"/>
      <c r="J1398" s="29"/>
      <c r="K1398" s="30"/>
      <c r="L1398" s="29"/>
      <c r="O1398" s="49"/>
    </row>
    <row r="1399" spans="9:15" x14ac:dyDescent="0.35">
      <c r="I1399" s="53"/>
      <c r="J1399" s="29"/>
      <c r="K1399" s="30"/>
      <c r="L1399" s="29"/>
      <c r="O1399" s="49"/>
    </row>
    <row r="1400" spans="9:15" x14ac:dyDescent="0.35">
      <c r="I1400" s="53"/>
      <c r="J1400" s="29"/>
      <c r="K1400" s="30"/>
      <c r="L1400" s="29"/>
      <c r="O1400" s="49"/>
    </row>
    <row r="1401" spans="9:15" x14ac:dyDescent="0.35">
      <c r="I1401" s="53"/>
      <c r="J1401" s="29"/>
      <c r="K1401" s="30"/>
      <c r="L1401" s="29"/>
      <c r="O1401" s="49"/>
    </row>
    <row r="1402" spans="9:15" x14ac:dyDescent="0.35">
      <c r="I1402" s="53"/>
      <c r="J1402" s="29"/>
      <c r="K1402" s="30"/>
      <c r="L1402" s="29"/>
      <c r="O1402" s="49"/>
    </row>
    <row r="1403" spans="9:15" x14ac:dyDescent="0.35">
      <c r="I1403" s="53"/>
      <c r="J1403" s="29"/>
      <c r="K1403" s="30"/>
      <c r="L1403" s="29"/>
      <c r="O1403" s="49"/>
    </row>
    <row r="1404" spans="9:15" x14ac:dyDescent="0.35">
      <c r="I1404" s="53"/>
      <c r="J1404" s="29"/>
      <c r="K1404" s="30"/>
      <c r="L1404" s="29"/>
      <c r="O1404" s="49"/>
    </row>
    <row r="1405" spans="9:15" x14ac:dyDescent="0.35">
      <c r="I1405" s="53"/>
      <c r="J1405" s="29"/>
      <c r="K1405" s="30"/>
      <c r="L1405" s="29"/>
      <c r="O1405" s="49"/>
    </row>
    <row r="1406" spans="9:15" x14ac:dyDescent="0.35">
      <c r="I1406" s="53"/>
      <c r="J1406" s="29"/>
      <c r="K1406" s="30"/>
      <c r="L1406" s="29"/>
      <c r="O1406" s="49"/>
    </row>
    <row r="1407" spans="9:15" x14ac:dyDescent="0.35">
      <c r="I1407" s="53"/>
      <c r="J1407" s="29"/>
      <c r="K1407" s="30"/>
      <c r="L1407" s="29"/>
      <c r="O1407" s="49"/>
    </row>
    <row r="1408" spans="9:15" x14ac:dyDescent="0.35">
      <c r="I1408" s="53"/>
      <c r="J1408" s="29"/>
      <c r="K1408" s="30"/>
      <c r="L1408" s="29"/>
      <c r="O1408" s="49"/>
    </row>
    <row r="1409" spans="9:15" x14ac:dyDescent="0.35">
      <c r="I1409" s="53"/>
      <c r="J1409" s="29"/>
      <c r="K1409" s="30"/>
      <c r="L1409" s="29"/>
      <c r="O1409" s="49"/>
    </row>
    <row r="1410" spans="9:15" x14ac:dyDescent="0.35">
      <c r="I1410" s="53"/>
      <c r="J1410" s="29"/>
      <c r="K1410" s="30"/>
      <c r="L1410" s="29"/>
      <c r="O1410" s="49"/>
    </row>
    <row r="1411" spans="9:15" x14ac:dyDescent="0.35">
      <c r="I1411" s="53"/>
      <c r="J1411" s="29"/>
      <c r="K1411" s="30"/>
      <c r="L1411" s="29"/>
      <c r="O1411" s="49"/>
    </row>
    <row r="1412" spans="9:15" x14ac:dyDescent="0.35">
      <c r="I1412" s="53"/>
      <c r="J1412" s="29"/>
      <c r="K1412" s="30"/>
      <c r="L1412" s="29"/>
      <c r="O1412" s="49"/>
    </row>
    <row r="1413" spans="9:15" x14ac:dyDescent="0.35">
      <c r="I1413" s="53"/>
      <c r="J1413" s="29"/>
      <c r="K1413" s="30"/>
      <c r="L1413" s="29"/>
      <c r="O1413" s="49"/>
    </row>
    <row r="1414" spans="9:15" x14ac:dyDescent="0.35">
      <c r="I1414" s="53"/>
      <c r="J1414" s="29"/>
      <c r="K1414" s="30"/>
      <c r="L1414" s="29"/>
      <c r="O1414" s="49"/>
    </row>
    <row r="1415" spans="9:15" x14ac:dyDescent="0.35">
      <c r="I1415" s="53"/>
      <c r="J1415" s="29"/>
      <c r="K1415" s="30"/>
      <c r="L1415" s="29"/>
      <c r="O1415" s="49"/>
    </row>
    <row r="1416" spans="9:15" x14ac:dyDescent="0.35">
      <c r="I1416" s="53"/>
      <c r="J1416" s="29"/>
      <c r="K1416" s="30"/>
      <c r="L1416" s="29"/>
      <c r="O1416" s="49"/>
    </row>
    <row r="1417" spans="9:15" x14ac:dyDescent="0.35">
      <c r="I1417" s="53"/>
      <c r="J1417" s="29"/>
      <c r="K1417" s="30"/>
      <c r="L1417" s="29"/>
      <c r="O1417" s="49"/>
    </row>
    <row r="1418" spans="9:15" x14ac:dyDescent="0.35">
      <c r="I1418" s="53"/>
      <c r="J1418" s="29"/>
      <c r="K1418" s="30"/>
      <c r="L1418" s="29"/>
      <c r="O1418" s="49"/>
    </row>
    <row r="1419" spans="9:15" x14ac:dyDescent="0.35">
      <c r="I1419" s="53"/>
      <c r="J1419" s="29"/>
      <c r="K1419" s="30"/>
      <c r="L1419" s="29"/>
      <c r="O1419" s="49"/>
    </row>
    <row r="1420" spans="9:15" x14ac:dyDescent="0.35">
      <c r="I1420" s="53"/>
      <c r="J1420" s="29"/>
      <c r="K1420" s="30"/>
      <c r="L1420" s="29"/>
      <c r="O1420" s="49"/>
    </row>
    <row r="1421" spans="9:15" x14ac:dyDescent="0.35">
      <c r="I1421" s="53"/>
      <c r="J1421" s="29"/>
      <c r="K1421" s="30"/>
      <c r="L1421" s="29"/>
      <c r="O1421" s="49"/>
    </row>
    <row r="1422" spans="9:15" x14ac:dyDescent="0.35">
      <c r="I1422" s="53"/>
      <c r="J1422" s="29"/>
      <c r="K1422" s="30"/>
      <c r="L1422" s="29"/>
      <c r="O1422" s="49"/>
    </row>
    <row r="1423" spans="9:15" x14ac:dyDescent="0.35">
      <c r="I1423" s="53"/>
      <c r="J1423" s="29"/>
      <c r="K1423" s="30"/>
      <c r="L1423" s="29"/>
      <c r="O1423" s="49"/>
    </row>
    <row r="1424" spans="9:15" x14ac:dyDescent="0.35">
      <c r="I1424" s="53"/>
      <c r="J1424" s="29"/>
      <c r="K1424" s="30"/>
      <c r="L1424" s="29"/>
      <c r="O1424" s="49"/>
    </row>
    <row r="1425" spans="9:15" x14ac:dyDescent="0.35">
      <c r="I1425" s="53"/>
      <c r="J1425" s="29"/>
      <c r="K1425" s="30"/>
      <c r="L1425" s="29"/>
      <c r="O1425" s="49"/>
    </row>
    <row r="1426" spans="9:15" x14ac:dyDescent="0.35">
      <c r="I1426" s="53"/>
      <c r="J1426" s="29"/>
      <c r="K1426" s="30"/>
      <c r="L1426" s="29"/>
      <c r="O1426" s="49"/>
    </row>
    <row r="1427" spans="9:15" x14ac:dyDescent="0.35">
      <c r="I1427" s="53"/>
      <c r="J1427" s="29"/>
      <c r="K1427" s="30"/>
      <c r="L1427" s="29"/>
      <c r="O1427" s="49"/>
    </row>
    <row r="1428" spans="9:15" x14ac:dyDescent="0.35">
      <c r="I1428" s="53"/>
      <c r="J1428" s="29"/>
      <c r="K1428" s="30"/>
      <c r="L1428" s="29"/>
      <c r="O1428" s="49"/>
    </row>
    <row r="1429" spans="9:15" x14ac:dyDescent="0.35">
      <c r="I1429" s="53"/>
      <c r="J1429" s="29"/>
      <c r="K1429" s="30"/>
      <c r="L1429" s="29"/>
      <c r="O1429" s="49"/>
    </row>
    <row r="1430" spans="9:15" x14ac:dyDescent="0.35">
      <c r="I1430" s="53"/>
      <c r="J1430" s="29"/>
      <c r="K1430" s="30"/>
      <c r="L1430" s="29"/>
      <c r="O1430" s="49"/>
    </row>
    <row r="1431" spans="9:15" x14ac:dyDescent="0.35">
      <c r="I1431" s="53"/>
      <c r="J1431" s="29"/>
      <c r="K1431" s="30"/>
      <c r="L1431" s="29"/>
      <c r="O1431" s="49"/>
    </row>
    <row r="1432" spans="9:15" x14ac:dyDescent="0.35">
      <c r="I1432" s="53"/>
      <c r="J1432" s="29"/>
      <c r="K1432" s="30"/>
      <c r="L1432" s="29"/>
      <c r="O1432" s="49"/>
    </row>
    <row r="1433" spans="9:15" x14ac:dyDescent="0.35">
      <c r="I1433" s="53"/>
      <c r="J1433" s="29"/>
      <c r="K1433" s="30"/>
      <c r="L1433" s="29"/>
      <c r="O1433" s="49"/>
    </row>
    <row r="1434" spans="9:15" x14ac:dyDescent="0.35">
      <c r="I1434" s="53"/>
      <c r="J1434" s="29"/>
      <c r="K1434" s="30"/>
      <c r="L1434" s="29"/>
      <c r="O1434" s="49"/>
    </row>
    <row r="1435" spans="9:15" x14ac:dyDescent="0.35">
      <c r="I1435" s="53"/>
      <c r="J1435" s="29"/>
      <c r="K1435" s="30"/>
      <c r="L1435" s="29"/>
      <c r="O1435" s="49"/>
    </row>
    <row r="1436" spans="9:15" x14ac:dyDescent="0.35">
      <c r="I1436" s="53"/>
      <c r="J1436" s="29"/>
      <c r="K1436" s="30"/>
      <c r="L1436" s="29"/>
      <c r="O1436" s="49"/>
    </row>
    <row r="1437" spans="9:15" x14ac:dyDescent="0.35">
      <c r="I1437" s="53"/>
      <c r="J1437" s="29"/>
      <c r="K1437" s="30"/>
      <c r="L1437" s="29"/>
      <c r="O1437" s="49"/>
    </row>
    <row r="1438" spans="9:15" x14ac:dyDescent="0.35">
      <c r="I1438" s="53"/>
      <c r="J1438" s="29"/>
      <c r="K1438" s="30"/>
      <c r="L1438" s="29"/>
      <c r="O1438" s="49"/>
    </row>
    <row r="1439" spans="9:15" x14ac:dyDescent="0.35">
      <c r="I1439" s="53"/>
      <c r="J1439" s="29"/>
      <c r="K1439" s="30"/>
      <c r="L1439" s="29"/>
      <c r="O1439" s="49"/>
    </row>
    <row r="1440" spans="9:15" x14ac:dyDescent="0.35">
      <c r="I1440" s="53"/>
      <c r="J1440" s="29"/>
      <c r="K1440" s="30"/>
      <c r="L1440" s="29"/>
      <c r="O1440" s="49"/>
    </row>
    <row r="1441" spans="9:15" x14ac:dyDescent="0.35">
      <c r="I1441" s="53"/>
      <c r="J1441" s="29"/>
      <c r="K1441" s="30"/>
      <c r="L1441" s="29"/>
      <c r="O1441" s="49"/>
    </row>
    <row r="1442" spans="9:15" x14ac:dyDescent="0.35">
      <c r="I1442" s="53"/>
      <c r="J1442" s="29"/>
      <c r="K1442" s="30"/>
      <c r="L1442" s="29"/>
      <c r="O1442" s="49"/>
    </row>
    <row r="1443" spans="9:15" x14ac:dyDescent="0.35">
      <c r="I1443" s="53"/>
      <c r="J1443" s="29"/>
      <c r="K1443" s="30"/>
      <c r="L1443" s="29"/>
      <c r="O1443" s="49"/>
    </row>
    <row r="1444" spans="9:15" x14ac:dyDescent="0.35">
      <c r="I1444" s="53"/>
      <c r="J1444" s="29"/>
      <c r="K1444" s="30"/>
      <c r="L1444" s="29"/>
      <c r="O1444" s="49"/>
    </row>
    <row r="1445" spans="9:15" x14ac:dyDescent="0.35">
      <c r="I1445" s="53"/>
      <c r="J1445" s="29"/>
      <c r="K1445" s="30"/>
      <c r="L1445" s="29"/>
      <c r="O1445" s="49"/>
    </row>
    <row r="1446" spans="9:15" x14ac:dyDescent="0.35">
      <c r="I1446" s="53"/>
      <c r="J1446" s="29"/>
      <c r="K1446" s="30"/>
      <c r="L1446" s="29"/>
      <c r="O1446" s="49"/>
    </row>
    <row r="1447" spans="9:15" x14ac:dyDescent="0.35">
      <c r="I1447" s="53"/>
      <c r="J1447" s="29"/>
      <c r="K1447" s="30"/>
      <c r="L1447" s="29"/>
      <c r="O1447" s="49"/>
    </row>
    <row r="1448" spans="9:15" x14ac:dyDescent="0.35">
      <c r="I1448" s="53"/>
      <c r="J1448" s="29"/>
      <c r="K1448" s="30"/>
      <c r="L1448" s="29"/>
      <c r="O1448" s="49"/>
    </row>
    <row r="1449" spans="9:15" x14ac:dyDescent="0.35">
      <c r="I1449" s="53"/>
      <c r="J1449" s="29"/>
      <c r="K1449" s="30"/>
      <c r="L1449" s="29"/>
      <c r="O1449" s="49"/>
    </row>
    <row r="1450" spans="9:15" x14ac:dyDescent="0.35">
      <c r="I1450" s="53"/>
      <c r="J1450" s="29"/>
      <c r="K1450" s="30"/>
      <c r="L1450" s="29"/>
      <c r="O1450" s="49"/>
    </row>
    <row r="1451" spans="9:15" x14ac:dyDescent="0.35">
      <c r="I1451" s="53"/>
      <c r="J1451" s="29"/>
      <c r="K1451" s="30"/>
      <c r="L1451" s="29"/>
      <c r="O1451" s="49"/>
    </row>
    <row r="1452" spans="9:15" x14ac:dyDescent="0.35">
      <c r="I1452" s="53"/>
      <c r="J1452" s="29"/>
      <c r="K1452" s="30"/>
      <c r="L1452" s="29"/>
      <c r="O1452" s="49"/>
    </row>
    <row r="1453" spans="9:15" x14ac:dyDescent="0.35">
      <c r="I1453" s="53"/>
      <c r="J1453" s="29"/>
      <c r="K1453" s="30"/>
      <c r="L1453" s="29"/>
      <c r="O1453" s="49"/>
    </row>
    <row r="1454" spans="9:15" x14ac:dyDescent="0.35">
      <c r="I1454" s="53"/>
      <c r="J1454" s="29"/>
      <c r="K1454" s="30"/>
      <c r="L1454" s="29"/>
      <c r="O1454" s="49"/>
    </row>
    <row r="1455" spans="9:15" x14ac:dyDescent="0.35">
      <c r="I1455" s="53"/>
      <c r="J1455" s="29"/>
      <c r="K1455" s="30"/>
      <c r="L1455" s="29"/>
      <c r="O1455" s="49"/>
    </row>
    <row r="1456" spans="9:15" x14ac:dyDescent="0.35">
      <c r="I1456" s="53"/>
      <c r="J1456" s="29"/>
      <c r="K1456" s="30"/>
      <c r="L1456" s="29"/>
      <c r="O1456" s="49"/>
    </row>
    <row r="1457" spans="9:15" x14ac:dyDescent="0.35">
      <c r="I1457" s="53"/>
      <c r="J1457" s="29"/>
      <c r="K1457" s="30"/>
      <c r="L1457" s="29"/>
      <c r="O1457" s="49"/>
    </row>
    <row r="1458" spans="9:15" x14ac:dyDescent="0.35">
      <c r="I1458" s="53"/>
      <c r="J1458" s="29"/>
      <c r="K1458" s="30"/>
      <c r="L1458" s="29"/>
      <c r="O1458" s="49"/>
    </row>
    <row r="1459" spans="9:15" x14ac:dyDescent="0.35">
      <c r="I1459" s="53"/>
      <c r="J1459" s="29"/>
      <c r="K1459" s="30"/>
      <c r="L1459" s="29"/>
      <c r="O1459" s="49"/>
    </row>
    <row r="1460" spans="9:15" x14ac:dyDescent="0.35">
      <c r="I1460" s="53"/>
      <c r="J1460" s="29"/>
      <c r="K1460" s="30"/>
      <c r="L1460" s="29"/>
      <c r="O1460" s="49"/>
    </row>
    <row r="1461" spans="9:15" x14ac:dyDescent="0.35">
      <c r="I1461" s="53"/>
      <c r="J1461" s="29"/>
      <c r="K1461" s="30"/>
      <c r="L1461" s="29"/>
      <c r="O1461" s="49"/>
    </row>
    <row r="1462" spans="9:15" x14ac:dyDescent="0.35">
      <c r="I1462" s="53"/>
      <c r="J1462" s="29"/>
      <c r="K1462" s="30"/>
      <c r="L1462" s="29"/>
      <c r="O1462" s="49"/>
    </row>
    <row r="1463" spans="9:15" x14ac:dyDescent="0.35">
      <c r="I1463" s="53"/>
      <c r="J1463" s="29"/>
      <c r="K1463" s="30"/>
      <c r="L1463" s="29"/>
      <c r="O1463" s="49"/>
    </row>
    <row r="1464" spans="9:15" x14ac:dyDescent="0.35">
      <c r="I1464" s="53"/>
      <c r="J1464" s="29"/>
      <c r="K1464" s="30"/>
      <c r="L1464" s="29"/>
      <c r="O1464" s="49"/>
    </row>
    <row r="1465" spans="9:15" x14ac:dyDescent="0.35">
      <c r="I1465" s="53"/>
      <c r="J1465" s="29"/>
      <c r="K1465" s="30"/>
      <c r="L1465" s="29"/>
      <c r="O1465" s="49"/>
    </row>
    <row r="1466" spans="9:15" x14ac:dyDescent="0.35">
      <c r="I1466" s="53"/>
      <c r="J1466" s="29"/>
      <c r="K1466" s="30"/>
      <c r="L1466" s="29"/>
      <c r="O1466" s="49"/>
    </row>
    <row r="1467" spans="9:15" x14ac:dyDescent="0.35">
      <c r="I1467" s="53"/>
      <c r="J1467" s="29"/>
      <c r="K1467" s="30"/>
      <c r="L1467" s="29"/>
      <c r="O1467" s="49"/>
    </row>
    <row r="1468" spans="9:15" x14ac:dyDescent="0.35">
      <c r="I1468" s="53"/>
      <c r="J1468" s="29"/>
      <c r="K1468" s="30"/>
      <c r="L1468" s="29"/>
      <c r="O1468" s="49"/>
    </row>
    <row r="1469" spans="9:15" x14ac:dyDescent="0.35">
      <c r="I1469" s="53"/>
      <c r="J1469" s="29"/>
      <c r="K1469" s="30"/>
      <c r="L1469" s="29"/>
      <c r="O1469" s="49"/>
    </row>
    <row r="1470" spans="9:15" x14ac:dyDescent="0.35">
      <c r="I1470" s="53"/>
      <c r="J1470" s="29"/>
      <c r="K1470" s="30"/>
      <c r="L1470" s="29"/>
      <c r="O1470" s="49"/>
    </row>
    <row r="1471" spans="9:15" x14ac:dyDescent="0.35">
      <c r="I1471" s="53"/>
      <c r="J1471" s="29"/>
      <c r="K1471" s="30"/>
      <c r="L1471" s="29"/>
      <c r="O1471" s="49"/>
    </row>
    <row r="1472" spans="9:15" x14ac:dyDescent="0.35">
      <c r="I1472" s="53"/>
      <c r="J1472" s="29"/>
      <c r="K1472" s="30"/>
      <c r="L1472" s="29"/>
      <c r="O1472" s="49"/>
    </row>
    <row r="1473" spans="9:15" x14ac:dyDescent="0.35">
      <c r="I1473" s="53"/>
      <c r="J1473" s="29"/>
      <c r="K1473" s="30"/>
      <c r="L1473" s="29"/>
      <c r="O1473" s="49"/>
    </row>
    <row r="1474" spans="9:15" x14ac:dyDescent="0.35">
      <c r="I1474" s="53"/>
      <c r="J1474" s="29"/>
      <c r="K1474" s="30"/>
      <c r="L1474" s="29"/>
      <c r="O1474" s="49"/>
    </row>
    <row r="1475" spans="9:15" x14ac:dyDescent="0.35">
      <c r="I1475" s="53"/>
      <c r="J1475" s="29"/>
      <c r="K1475" s="30"/>
      <c r="L1475" s="29"/>
      <c r="O1475" s="49"/>
    </row>
    <row r="1476" spans="9:15" x14ac:dyDescent="0.35">
      <c r="I1476" s="53"/>
      <c r="J1476" s="29"/>
      <c r="K1476" s="30"/>
      <c r="L1476" s="29"/>
      <c r="O1476" s="49"/>
    </row>
    <row r="1477" spans="9:15" x14ac:dyDescent="0.35">
      <c r="I1477" s="53"/>
      <c r="J1477" s="29"/>
      <c r="K1477" s="30"/>
      <c r="L1477" s="29"/>
      <c r="O1477" s="49"/>
    </row>
    <row r="1478" spans="9:15" x14ac:dyDescent="0.35">
      <c r="I1478" s="53"/>
      <c r="J1478" s="29"/>
      <c r="K1478" s="30"/>
      <c r="L1478" s="29"/>
      <c r="O1478" s="49"/>
    </row>
    <row r="1479" spans="9:15" x14ac:dyDescent="0.35">
      <c r="I1479" s="53"/>
      <c r="J1479" s="29"/>
      <c r="K1479" s="30"/>
      <c r="L1479" s="29"/>
      <c r="O1479" s="49"/>
    </row>
    <row r="1480" spans="9:15" x14ac:dyDescent="0.35">
      <c r="I1480" s="53"/>
      <c r="J1480" s="29"/>
      <c r="K1480" s="30"/>
      <c r="L1480" s="29"/>
      <c r="O1480" s="49"/>
    </row>
    <row r="1481" spans="9:15" x14ac:dyDescent="0.35">
      <c r="I1481" s="53"/>
      <c r="J1481" s="29"/>
      <c r="K1481" s="30"/>
      <c r="L1481" s="29"/>
      <c r="O1481" s="49"/>
    </row>
    <row r="1482" spans="9:15" x14ac:dyDescent="0.35">
      <c r="I1482" s="53"/>
      <c r="J1482" s="29"/>
      <c r="K1482" s="30"/>
      <c r="L1482" s="29"/>
      <c r="O1482" s="49"/>
    </row>
    <row r="1483" spans="9:15" x14ac:dyDescent="0.35">
      <c r="I1483" s="53"/>
      <c r="J1483" s="29"/>
      <c r="K1483" s="30"/>
      <c r="L1483" s="29"/>
      <c r="O1483" s="49"/>
    </row>
    <row r="1484" spans="9:15" x14ac:dyDescent="0.35">
      <c r="I1484" s="53"/>
      <c r="J1484" s="29"/>
      <c r="K1484" s="30"/>
      <c r="L1484" s="29"/>
      <c r="O1484" s="49"/>
    </row>
    <row r="1485" spans="9:15" x14ac:dyDescent="0.35">
      <c r="I1485" s="53"/>
      <c r="J1485" s="29"/>
      <c r="K1485" s="30"/>
      <c r="L1485" s="29"/>
      <c r="O1485" s="49"/>
    </row>
    <row r="1486" spans="9:15" x14ac:dyDescent="0.35">
      <c r="I1486" s="53"/>
      <c r="J1486" s="29"/>
      <c r="K1486" s="30"/>
      <c r="L1486" s="29"/>
      <c r="O1486" s="49"/>
    </row>
    <row r="1487" spans="9:15" x14ac:dyDescent="0.35">
      <c r="I1487" s="53"/>
      <c r="J1487" s="29"/>
      <c r="K1487" s="30"/>
      <c r="L1487" s="29"/>
      <c r="O1487" s="49"/>
    </row>
    <row r="1488" spans="9:15" x14ac:dyDescent="0.35">
      <c r="I1488" s="53"/>
      <c r="J1488" s="29"/>
      <c r="K1488" s="30"/>
      <c r="L1488" s="29"/>
      <c r="O1488" s="49"/>
    </row>
    <row r="1489" spans="9:15" x14ac:dyDescent="0.35">
      <c r="I1489" s="53"/>
      <c r="J1489" s="29"/>
      <c r="K1489" s="30"/>
      <c r="L1489" s="29"/>
      <c r="O1489" s="49"/>
    </row>
    <row r="1490" spans="9:15" x14ac:dyDescent="0.35">
      <c r="I1490" s="53"/>
      <c r="J1490" s="29"/>
      <c r="K1490" s="30"/>
      <c r="L1490" s="29"/>
      <c r="O1490" s="49"/>
    </row>
    <row r="1491" spans="9:15" x14ac:dyDescent="0.35">
      <c r="I1491" s="53"/>
      <c r="J1491" s="29"/>
      <c r="K1491" s="30"/>
      <c r="L1491" s="29"/>
      <c r="O1491" s="49"/>
    </row>
    <row r="1492" spans="9:15" x14ac:dyDescent="0.35">
      <c r="I1492" s="53"/>
      <c r="J1492" s="29"/>
      <c r="K1492" s="30"/>
      <c r="L1492" s="29"/>
      <c r="O1492" s="49"/>
    </row>
    <row r="1493" spans="9:15" x14ac:dyDescent="0.35">
      <c r="I1493" s="53"/>
      <c r="J1493" s="29"/>
      <c r="K1493" s="30"/>
      <c r="L1493" s="29"/>
      <c r="O1493" s="49"/>
    </row>
    <row r="1494" spans="9:15" x14ac:dyDescent="0.35">
      <c r="I1494" s="53"/>
      <c r="J1494" s="29"/>
      <c r="K1494" s="30"/>
      <c r="L1494" s="29"/>
      <c r="O1494" s="49"/>
    </row>
    <row r="1495" spans="9:15" x14ac:dyDescent="0.35">
      <c r="I1495" s="53"/>
      <c r="J1495" s="29"/>
      <c r="K1495" s="30"/>
      <c r="L1495" s="29"/>
      <c r="O1495" s="49"/>
    </row>
    <row r="1496" spans="9:15" x14ac:dyDescent="0.35">
      <c r="I1496" s="53"/>
      <c r="J1496" s="29"/>
      <c r="K1496" s="30"/>
      <c r="L1496" s="29"/>
      <c r="O1496" s="49"/>
    </row>
    <row r="1497" spans="9:15" x14ac:dyDescent="0.35">
      <c r="I1497" s="53"/>
      <c r="J1497" s="29"/>
      <c r="K1497" s="30"/>
      <c r="L1497" s="29"/>
      <c r="O1497" s="49"/>
    </row>
    <row r="1498" spans="9:15" x14ac:dyDescent="0.35">
      <c r="I1498" s="53"/>
      <c r="J1498" s="29"/>
      <c r="K1498" s="30"/>
      <c r="L1498" s="29"/>
      <c r="O1498" s="49"/>
    </row>
    <row r="1499" spans="9:15" x14ac:dyDescent="0.35">
      <c r="I1499" s="53"/>
      <c r="J1499" s="29"/>
      <c r="K1499" s="30"/>
      <c r="L1499" s="29"/>
      <c r="O1499" s="49"/>
    </row>
    <row r="1500" spans="9:15" x14ac:dyDescent="0.35">
      <c r="I1500" s="53"/>
      <c r="J1500" s="29"/>
      <c r="K1500" s="30"/>
      <c r="L1500" s="29"/>
      <c r="O1500" s="49"/>
    </row>
    <row r="1501" spans="9:15" x14ac:dyDescent="0.35">
      <c r="I1501" s="53"/>
      <c r="J1501" s="29"/>
      <c r="K1501" s="30"/>
      <c r="L1501" s="29"/>
      <c r="O1501" s="49"/>
    </row>
    <row r="1502" spans="9:15" x14ac:dyDescent="0.35">
      <c r="I1502" s="53"/>
      <c r="J1502" s="29"/>
      <c r="K1502" s="30"/>
      <c r="L1502" s="29"/>
      <c r="O1502" s="49"/>
    </row>
    <row r="1503" spans="9:15" x14ac:dyDescent="0.35">
      <c r="I1503" s="53"/>
      <c r="J1503" s="29"/>
      <c r="K1503" s="30"/>
      <c r="L1503" s="29"/>
      <c r="O1503" s="49"/>
    </row>
    <row r="1504" spans="9:15" x14ac:dyDescent="0.35">
      <c r="I1504" s="53"/>
      <c r="J1504" s="29"/>
      <c r="K1504" s="30"/>
      <c r="L1504" s="29"/>
      <c r="O1504" s="49"/>
    </row>
    <row r="1505" spans="9:15" x14ac:dyDescent="0.35">
      <c r="I1505" s="53"/>
      <c r="J1505" s="29"/>
      <c r="K1505" s="30"/>
      <c r="L1505" s="29"/>
      <c r="O1505" s="49"/>
    </row>
    <row r="1506" spans="9:15" x14ac:dyDescent="0.35">
      <c r="I1506" s="53"/>
      <c r="J1506" s="29"/>
      <c r="K1506" s="30"/>
      <c r="L1506" s="29"/>
      <c r="O1506" s="49"/>
    </row>
    <row r="1507" spans="9:15" x14ac:dyDescent="0.35">
      <c r="I1507" s="53"/>
      <c r="J1507" s="29"/>
      <c r="K1507" s="30"/>
      <c r="L1507" s="29"/>
      <c r="O1507" s="49"/>
    </row>
    <row r="1508" spans="9:15" x14ac:dyDescent="0.35">
      <c r="I1508" s="53"/>
      <c r="J1508" s="29"/>
      <c r="K1508" s="30"/>
      <c r="L1508" s="29"/>
      <c r="O1508" s="49"/>
    </row>
    <row r="1509" spans="9:15" x14ac:dyDescent="0.35">
      <c r="I1509" s="53"/>
      <c r="J1509" s="29"/>
      <c r="K1509" s="30"/>
      <c r="L1509" s="29"/>
      <c r="O1509" s="49"/>
    </row>
    <row r="1510" spans="9:15" x14ac:dyDescent="0.35">
      <c r="I1510" s="53"/>
      <c r="J1510" s="29"/>
      <c r="K1510" s="30"/>
      <c r="L1510" s="29"/>
      <c r="O1510" s="49"/>
    </row>
    <row r="1511" spans="9:15" x14ac:dyDescent="0.35">
      <c r="I1511" s="53"/>
      <c r="J1511" s="29"/>
      <c r="K1511" s="30"/>
      <c r="L1511" s="29"/>
      <c r="O1511" s="49"/>
    </row>
    <row r="1512" spans="9:15" x14ac:dyDescent="0.35">
      <c r="I1512" s="53"/>
      <c r="J1512" s="29"/>
      <c r="K1512" s="30"/>
      <c r="L1512" s="29"/>
      <c r="O1512" s="49"/>
    </row>
    <row r="1513" spans="9:15" x14ac:dyDescent="0.35">
      <c r="I1513" s="53"/>
      <c r="J1513" s="29"/>
      <c r="K1513" s="30"/>
      <c r="L1513" s="29"/>
      <c r="O1513" s="49"/>
    </row>
    <row r="1514" spans="9:15" x14ac:dyDescent="0.35">
      <c r="I1514" s="53"/>
      <c r="J1514" s="29"/>
      <c r="K1514" s="30"/>
      <c r="L1514" s="29"/>
      <c r="O1514" s="49"/>
    </row>
    <row r="1515" spans="9:15" x14ac:dyDescent="0.35">
      <c r="I1515" s="53"/>
      <c r="J1515" s="29"/>
      <c r="K1515" s="30"/>
      <c r="L1515" s="29"/>
      <c r="O1515" s="49"/>
    </row>
    <row r="1516" spans="9:15" x14ac:dyDescent="0.35">
      <c r="I1516" s="53"/>
      <c r="J1516" s="29"/>
      <c r="K1516" s="30"/>
      <c r="L1516" s="29"/>
      <c r="O1516" s="49"/>
    </row>
    <row r="1517" spans="9:15" x14ac:dyDescent="0.35">
      <c r="I1517" s="53"/>
      <c r="J1517" s="29"/>
      <c r="K1517" s="30"/>
      <c r="L1517" s="29"/>
      <c r="O1517" s="49"/>
    </row>
    <row r="1518" spans="9:15" x14ac:dyDescent="0.35">
      <c r="I1518" s="53"/>
      <c r="J1518" s="29"/>
      <c r="K1518" s="30"/>
      <c r="L1518" s="29"/>
      <c r="O1518" s="49"/>
    </row>
    <row r="1519" spans="9:15" x14ac:dyDescent="0.35">
      <c r="I1519" s="53"/>
      <c r="J1519" s="29"/>
      <c r="K1519" s="30"/>
      <c r="L1519" s="29"/>
      <c r="O1519" s="49"/>
    </row>
    <row r="1520" spans="9:15" x14ac:dyDescent="0.35">
      <c r="I1520" s="53"/>
      <c r="J1520" s="29"/>
      <c r="K1520" s="30"/>
      <c r="L1520" s="29"/>
      <c r="O1520" s="49"/>
    </row>
    <row r="1521" spans="9:15" x14ac:dyDescent="0.35">
      <c r="I1521" s="53"/>
      <c r="J1521" s="29"/>
      <c r="K1521" s="30"/>
      <c r="L1521" s="29"/>
      <c r="O1521" s="49"/>
    </row>
    <row r="1522" spans="9:15" x14ac:dyDescent="0.35">
      <c r="I1522" s="53"/>
      <c r="J1522" s="29"/>
      <c r="K1522" s="30"/>
      <c r="L1522" s="29"/>
      <c r="O1522" s="49"/>
    </row>
    <row r="1523" spans="9:15" x14ac:dyDescent="0.35">
      <c r="I1523" s="53"/>
      <c r="J1523" s="29"/>
      <c r="K1523" s="30"/>
      <c r="L1523" s="29"/>
      <c r="O1523" s="49"/>
    </row>
    <row r="1524" spans="9:15" x14ac:dyDescent="0.35">
      <c r="I1524" s="53"/>
      <c r="J1524" s="29"/>
      <c r="K1524" s="30"/>
      <c r="L1524" s="29"/>
      <c r="O1524" s="49"/>
    </row>
    <row r="1525" spans="9:15" x14ac:dyDescent="0.35">
      <c r="I1525" s="53"/>
      <c r="J1525" s="29"/>
      <c r="K1525" s="30"/>
      <c r="L1525" s="29"/>
      <c r="O1525" s="49"/>
    </row>
    <row r="1526" spans="9:15" x14ac:dyDescent="0.35">
      <c r="I1526" s="53"/>
      <c r="J1526" s="29"/>
      <c r="K1526" s="30"/>
      <c r="L1526" s="29"/>
      <c r="O1526" s="49"/>
    </row>
    <row r="1527" spans="9:15" x14ac:dyDescent="0.35">
      <c r="I1527" s="53"/>
      <c r="J1527" s="29"/>
      <c r="K1527" s="30"/>
      <c r="L1527" s="29"/>
      <c r="O1527" s="49"/>
    </row>
    <row r="1528" spans="9:15" x14ac:dyDescent="0.35">
      <c r="I1528" s="53"/>
      <c r="J1528" s="29"/>
      <c r="K1528" s="30"/>
      <c r="L1528" s="29"/>
      <c r="O1528" s="49"/>
    </row>
    <row r="1529" spans="9:15" x14ac:dyDescent="0.35">
      <c r="I1529" s="53"/>
      <c r="J1529" s="29"/>
      <c r="K1529" s="30"/>
      <c r="L1529" s="29"/>
      <c r="O1529" s="49"/>
    </row>
    <row r="1530" spans="9:15" x14ac:dyDescent="0.35">
      <c r="I1530" s="53"/>
      <c r="J1530" s="29"/>
      <c r="K1530" s="30"/>
      <c r="L1530" s="29"/>
      <c r="O1530" s="49"/>
    </row>
    <row r="1531" spans="9:15" x14ac:dyDescent="0.35">
      <c r="I1531" s="53"/>
      <c r="J1531" s="29"/>
      <c r="K1531" s="30"/>
      <c r="L1531" s="29"/>
      <c r="O1531" s="49"/>
    </row>
    <row r="1532" spans="9:15" x14ac:dyDescent="0.35">
      <c r="I1532" s="53"/>
      <c r="J1532" s="29"/>
      <c r="K1532" s="30"/>
      <c r="L1532" s="29"/>
      <c r="O1532" s="49"/>
    </row>
    <row r="1533" spans="9:15" x14ac:dyDescent="0.35">
      <c r="I1533" s="53"/>
      <c r="J1533" s="29"/>
      <c r="K1533" s="30"/>
      <c r="L1533" s="29"/>
      <c r="O1533" s="49"/>
    </row>
    <row r="1534" spans="9:15" x14ac:dyDescent="0.35">
      <c r="I1534" s="53"/>
      <c r="J1534" s="29"/>
      <c r="K1534" s="30"/>
      <c r="L1534" s="29"/>
      <c r="O1534" s="49"/>
    </row>
    <row r="1535" spans="9:15" x14ac:dyDescent="0.35">
      <c r="I1535" s="53"/>
      <c r="J1535" s="29"/>
      <c r="K1535" s="30"/>
      <c r="L1535" s="29"/>
      <c r="O1535" s="49"/>
    </row>
    <row r="1536" spans="9:15" x14ac:dyDescent="0.35">
      <c r="I1536" s="53"/>
      <c r="J1536" s="29"/>
      <c r="K1536" s="30"/>
      <c r="L1536" s="29"/>
      <c r="O1536" s="49"/>
    </row>
    <row r="1537" spans="9:15" x14ac:dyDescent="0.35">
      <c r="I1537" s="53"/>
      <c r="J1537" s="29"/>
      <c r="K1537" s="30"/>
      <c r="L1537" s="29"/>
      <c r="O1537" s="49"/>
    </row>
    <row r="1538" spans="9:15" x14ac:dyDescent="0.35">
      <c r="I1538" s="53"/>
      <c r="J1538" s="29"/>
      <c r="K1538" s="30"/>
      <c r="L1538" s="29"/>
      <c r="O1538" s="49"/>
    </row>
    <row r="1539" spans="9:15" x14ac:dyDescent="0.35">
      <c r="I1539" s="53"/>
      <c r="J1539" s="29"/>
      <c r="K1539" s="30"/>
      <c r="L1539" s="29"/>
      <c r="O1539" s="49"/>
    </row>
    <row r="1540" spans="9:15" x14ac:dyDescent="0.35">
      <c r="I1540" s="53"/>
      <c r="J1540" s="29"/>
      <c r="K1540" s="30"/>
      <c r="L1540" s="29"/>
      <c r="O1540" s="49"/>
    </row>
    <row r="1541" spans="9:15" x14ac:dyDescent="0.35">
      <c r="I1541" s="53"/>
      <c r="J1541" s="29"/>
      <c r="K1541" s="30"/>
      <c r="L1541" s="29"/>
      <c r="O1541" s="49"/>
    </row>
    <row r="1542" spans="9:15" x14ac:dyDescent="0.35">
      <c r="I1542" s="53"/>
      <c r="J1542" s="29"/>
      <c r="K1542" s="30"/>
      <c r="L1542" s="29"/>
      <c r="O1542" s="49"/>
    </row>
    <row r="1543" spans="9:15" x14ac:dyDescent="0.35">
      <c r="I1543" s="53"/>
      <c r="J1543" s="29"/>
      <c r="K1543" s="30"/>
      <c r="L1543" s="29"/>
      <c r="O1543" s="49"/>
    </row>
    <row r="1544" spans="9:15" x14ac:dyDescent="0.35">
      <c r="I1544" s="53"/>
      <c r="J1544" s="29"/>
      <c r="K1544" s="30"/>
      <c r="L1544" s="29"/>
      <c r="O1544" s="49"/>
    </row>
    <row r="1545" spans="9:15" x14ac:dyDescent="0.35">
      <c r="I1545" s="53"/>
      <c r="J1545" s="29"/>
      <c r="K1545" s="30"/>
      <c r="L1545" s="29"/>
      <c r="O1545" s="49"/>
    </row>
    <row r="1546" spans="9:15" x14ac:dyDescent="0.35">
      <c r="I1546" s="53"/>
      <c r="J1546" s="29"/>
      <c r="K1546" s="30"/>
      <c r="L1546" s="29"/>
      <c r="O1546" s="49"/>
    </row>
    <row r="1547" spans="9:15" x14ac:dyDescent="0.35">
      <c r="I1547" s="53"/>
      <c r="J1547" s="29"/>
      <c r="K1547" s="30"/>
      <c r="L1547" s="29"/>
      <c r="O1547" s="49"/>
    </row>
    <row r="1548" spans="9:15" x14ac:dyDescent="0.35">
      <c r="I1548" s="53"/>
      <c r="J1548" s="29"/>
      <c r="K1548" s="30"/>
      <c r="L1548" s="29"/>
      <c r="O1548" s="49"/>
    </row>
    <row r="1549" spans="9:15" x14ac:dyDescent="0.35">
      <c r="I1549" s="53"/>
      <c r="J1549" s="29"/>
      <c r="K1549" s="30"/>
      <c r="L1549" s="29"/>
      <c r="O1549" s="49"/>
    </row>
    <row r="1550" spans="9:15" x14ac:dyDescent="0.35">
      <c r="I1550" s="53"/>
      <c r="J1550" s="29"/>
      <c r="K1550" s="30"/>
      <c r="L1550" s="29"/>
      <c r="O1550" s="49"/>
    </row>
    <row r="1551" spans="9:15" x14ac:dyDescent="0.35">
      <c r="I1551" s="53"/>
      <c r="J1551" s="29"/>
      <c r="K1551" s="30"/>
      <c r="L1551" s="29"/>
      <c r="O1551" s="49"/>
    </row>
    <row r="1552" spans="9:15" x14ac:dyDescent="0.35">
      <c r="I1552" s="53"/>
      <c r="J1552" s="29"/>
      <c r="K1552" s="30"/>
      <c r="L1552" s="29"/>
      <c r="O1552" s="49"/>
    </row>
    <row r="1553" spans="9:15" x14ac:dyDescent="0.35">
      <c r="I1553" s="53"/>
      <c r="J1553" s="29"/>
      <c r="K1553" s="30"/>
      <c r="L1553" s="29"/>
      <c r="O1553" s="49"/>
    </row>
    <row r="1554" spans="9:15" x14ac:dyDescent="0.35">
      <c r="I1554" s="53"/>
      <c r="J1554" s="29"/>
      <c r="K1554" s="30"/>
      <c r="L1554" s="29"/>
      <c r="O1554" s="49"/>
    </row>
    <row r="1555" spans="9:15" x14ac:dyDescent="0.35">
      <c r="I1555" s="53"/>
      <c r="J1555" s="29"/>
      <c r="K1555" s="30"/>
      <c r="L1555" s="29"/>
      <c r="O1555" s="49"/>
    </row>
    <row r="1556" spans="9:15" x14ac:dyDescent="0.35">
      <c r="I1556" s="53"/>
      <c r="J1556" s="29"/>
      <c r="K1556" s="30"/>
      <c r="L1556" s="29"/>
      <c r="O1556" s="49"/>
    </row>
    <row r="1557" spans="9:15" x14ac:dyDescent="0.35">
      <c r="I1557" s="53"/>
      <c r="J1557" s="29"/>
      <c r="K1557" s="30"/>
      <c r="L1557" s="29"/>
      <c r="O1557" s="49"/>
    </row>
    <row r="1558" spans="9:15" x14ac:dyDescent="0.35">
      <c r="I1558" s="53"/>
      <c r="J1558" s="29"/>
      <c r="K1558" s="30"/>
      <c r="L1558" s="29"/>
      <c r="O1558" s="49"/>
    </row>
    <row r="1559" spans="9:15" x14ac:dyDescent="0.35">
      <c r="I1559" s="53"/>
      <c r="J1559" s="29"/>
      <c r="K1559" s="30"/>
      <c r="L1559" s="29"/>
      <c r="O1559" s="49"/>
    </row>
    <row r="1560" spans="9:15" x14ac:dyDescent="0.35">
      <c r="I1560" s="53"/>
      <c r="J1560" s="29"/>
      <c r="K1560" s="30"/>
      <c r="L1560" s="29"/>
      <c r="O1560" s="49"/>
    </row>
    <row r="1561" spans="9:15" x14ac:dyDescent="0.35">
      <c r="I1561" s="53"/>
      <c r="J1561" s="29"/>
      <c r="K1561" s="30"/>
      <c r="L1561" s="29"/>
      <c r="O1561" s="49"/>
    </row>
    <row r="1562" spans="9:15" x14ac:dyDescent="0.35">
      <c r="I1562" s="53"/>
      <c r="J1562" s="29"/>
      <c r="K1562" s="30"/>
      <c r="L1562" s="29"/>
      <c r="O1562" s="49"/>
    </row>
    <row r="1563" spans="9:15" x14ac:dyDescent="0.35">
      <c r="I1563" s="53"/>
      <c r="J1563" s="29"/>
      <c r="K1563" s="30"/>
      <c r="L1563" s="29"/>
      <c r="O1563" s="49"/>
    </row>
    <row r="1564" spans="9:15" x14ac:dyDescent="0.35">
      <c r="I1564" s="53"/>
      <c r="J1564" s="29"/>
      <c r="K1564" s="30"/>
      <c r="L1564" s="29"/>
      <c r="O1564" s="49"/>
    </row>
    <row r="1565" spans="9:15" x14ac:dyDescent="0.35">
      <c r="I1565" s="53"/>
      <c r="J1565" s="29"/>
      <c r="K1565" s="30"/>
      <c r="L1565" s="29"/>
      <c r="O1565" s="49"/>
    </row>
    <row r="1566" spans="9:15" x14ac:dyDescent="0.35">
      <c r="I1566" s="53"/>
      <c r="J1566" s="29"/>
      <c r="K1566" s="30"/>
      <c r="L1566" s="29"/>
      <c r="O1566" s="49"/>
    </row>
    <row r="1567" spans="9:15" x14ac:dyDescent="0.35">
      <c r="I1567" s="53"/>
      <c r="J1567" s="29"/>
      <c r="K1567" s="30"/>
      <c r="L1567" s="29"/>
      <c r="O1567" s="49"/>
    </row>
    <row r="1568" spans="9:15" x14ac:dyDescent="0.35">
      <c r="I1568" s="53"/>
      <c r="J1568" s="29"/>
      <c r="K1568" s="30"/>
      <c r="L1568" s="29"/>
      <c r="O1568" s="49"/>
    </row>
    <row r="1569" spans="9:15" x14ac:dyDescent="0.35">
      <c r="I1569" s="53"/>
      <c r="J1569" s="29"/>
      <c r="K1569" s="30"/>
      <c r="L1569" s="29"/>
      <c r="O1569" s="49"/>
    </row>
    <row r="1570" spans="9:15" x14ac:dyDescent="0.35">
      <c r="I1570" s="53"/>
      <c r="J1570" s="29"/>
      <c r="K1570" s="30"/>
      <c r="L1570" s="29"/>
      <c r="O1570" s="49"/>
    </row>
    <row r="1571" spans="9:15" x14ac:dyDescent="0.35">
      <c r="I1571" s="53"/>
      <c r="J1571" s="29"/>
      <c r="K1571" s="30"/>
      <c r="L1571" s="29"/>
      <c r="O1571" s="49"/>
    </row>
    <row r="1572" spans="9:15" x14ac:dyDescent="0.35">
      <c r="I1572" s="53"/>
      <c r="J1572" s="29"/>
      <c r="K1572" s="30"/>
      <c r="L1572" s="29"/>
      <c r="O1572" s="49"/>
    </row>
    <row r="1573" spans="9:15" x14ac:dyDescent="0.35">
      <c r="I1573" s="53"/>
      <c r="J1573" s="29"/>
      <c r="K1573" s="30"/>
      <c r="L1573" s="29"/>
      <c r="O1573" s="49"/>
    </row>
    <row r="1574" spans="9:15" x14ac:dyDescent="0.35">
      <c r="I1574" s="53"/>
      <c r="J1574" s="29"/>
      <c r="K1574" s="30"/>
      <c r="L1574" s="29"/>
      <c r="O1574" s="49"/>
    </row>
    <row r="1575" spans="9:15" x14ac:dyDescent="0.35">
      <c r="I1575" s="53"/>
      <c r="J1575" s="29"/>
      <c r="K1575" s="30"/>
      <c r="L1575" s="29"/>
      <c r="O1575" s="49"/>
    </row>
    <row r="1576" spans="9:15" x14ac:dyDescent="0.35">
      <c r="I1576" s="53"/>
      <c r="J1576" s="29"/>
      <c r="K1576" s="30"/>
      <c r="L1576" s="29"/>
      <c r="O1576" s="49"/>
    </row>
    <row r="1577" spans="9:15" x14ac:dyDescent="0.35">
      <c r="I1577" s="53"/>
      <c r="J1577" s="29"/>
      <c r="K1577" s="30"/>
      <c r="L1577" s="29"/>
      <c r="O1577" s="49"/>
    </row>
    <row r="1578" spans="9:15" x14ac:dyDescent="0.35">
      <c r="I1578" s="53"/>
      <c r="J1578" s="29"/>
      <c r="K1578" s="30"/>
      <c r="L1578" s="29"/>
      <c r="O1578" s="49"/>
    </row>
    <row r="1579" spans="9:15" x14ac:dyDescent="0.35">
      <c r="I1579" s="53"/>
      <c r="J1579" s="29"/>
      <c r="K1579" s="30"/>
      <c r="L1579" s="29"/>
      <c r="O1579" s="49"/>
    </row>
    <row r="1580" spans="9:15" x14ac:dyDescent="0.35">
      <c r="I1580" s="53"/>
      <c r="J1580" s="29"/>
      <c r="K1580" s="30"/>
      <c r="L1580" s="29"/>
      <c r="O1580" s="49"/>
    </row>
    <row r="1581" spans="9:15" x14ac:dyDescent="0.35">
      <c r="I1581" s="53"/>
      <c r="J1581" s="29"/>
      <c r="K1581" s="30"/>
      <c r="L1581" s="29"/>
      <c r="O1581" s="49"/>
    </row>
    <row r="1582" spans="9:15" x14ac:dyDescent="0.35">
      <c r="I1582" s="53"/>
      <c r="J1582" s="29"/>
      <c r="K1582" s="30"/>
      <c r="L1582" s="29"/>
      <c r="O1582" s="49"/>
    </row>
    <row r="1583" spans="9:15" x14ac:dyDescent="0.35">
      <c r="I1583" s="53"/>
      <c r="J1583" s="29"/>
      <c r="K1583" s="30"/>
      <c r="L1583" s="29"/>
      <c r="O1583" s="49"/>
    </row>
    <row r="1584" spans="9:15" x14ac:dyDescent="0.35">
      <c r="I1584" s="53"/>
      <c r="J1584" s="29"/>
      <c r="K1584" s="30"/>
      <c r="L1584" s="29"/>
      <c r="O1584" s="49"/>
    </row>
    <row r="1585" spans="9:15" x14ac:dyDescent="0.35">
      <c r="I1585" s="53"/>
      <c r="J1585" s="29"/>
      <c r="K1585" s="30"/>
      <c r="L1585" s="29"/>
      <c r="O1585" s="49"/>
    </row>
    <row r="1586" spans="9:15" x14ac:dyDescent="0.35">
      <c r="I1586" s="53"/>
      <c r="J1586" s="29"/>
      <c r="K1586" s="30"/>
      <c r="L1586" s="29"/>
      <c r="O1586" s="49"/>
    </row>
    <row r="1587" spans="9:15" x14ac:dyDescent="0.35">
      <c r="I1587" s="53"/>
      <c r="J1587" s="29"/>
      <c r="K1587" s="30"/>
      <c r="L1587" s="29"/>
      <c r="O1587" s="49"/>
    </row>
    <row r="1588" spans="9:15" x14ac:dyDescent="0.35">
      <c r="I1588" s="53"/>
      <c r="J1588" s="29"/>
      <c r="K1588" s="30"/>
      <c r="L1588" s="29"/>
      <c r="O1588" s="49"/>
    </row>
    <row r="1589" spans="9:15" x14ac:dyDescent="0.35">
      <c r="I1589" s="53"/>
      <c r="J1589" s="29"/>
      <c r="K1589" s="30"/>
      <c r="L1589" s="29"/>
      <c r="O1589" s="49"/>
    </row>
    <row r="1590" spans="9:15" x14ac:dyDescent="0.35">
      <c r="I1590" s="53"/>
      <c r="J1590" s="29"/>
      <c r="K1590" s="30"/>
      <c r="L1590" s="29"/>
      <c r="O1590" s="49"/>
    </row>
    <row r="1591" spans="9:15" x14ac:dyDescent="0.35">
      <c r="I1591" s="53"/>
      <c r="J1591" s="29"/>
      <c r="K1591" s="30"/>
      <c r="L1591" s="29"/>
      <c r="O1591" s="49"/>
    </row>
    <row r="1592" spans="9:15" x14ac:dyDescent="0.35">
      <c r="I1592" s="53"/>
      <c r="J1592" s="29"/>
      <c r="K1592" s="30"/>
      <c r="L1592" s="29"/>
      <c r="O1592" s="49"/>
    </row>
    <row r="1593" spans="9:15" x14ac:dyDescent="0.35">
      <c r="I1593" s="53"/>
      <c r="J1593" s="29"/>
      <c r="K1593" s="30"/>
      <c r="L1593" s="29"/>
      <c r="O1593" s="49"/>
    </row>
    <row r="1594" spans="9:15" x14ac:dyDescent="0.35">
      <c r="I1594" s="53"/>
      <c r="J1594" s="29"/>
      <c r="K1594" s="30"/>
      <c r="L1594" s="29"/>
      <c r="O1594" s="49"/>
    </row>
    <row r="1595" spans="9:15" x14ac:dyDescent="0.35">
      <c r="I1595" s="53"/>
      <c r="J1595" s="29"/>
      <c r="K1595" s="30"/>
      <c r="L1595" s="29"/>
      <c r="O1595" s="49"/>
    </row>
    <row r="1596" spans="9:15" x14ac:dyDescent="0.35">
      <c r="I1596" s="53"/>
      <c r="J1596" s="29"/>
      <c r="K1596" s="30"/>
      <c r="L1596" s="29"/>
      <c r="O1596" s="49"/>
    </row>
    <row r="1597" spans="9:15" x14ac:dyDescent="0.35">
      <c r="I1597" s="53"/>
      <c r="J1597" s="29"/>
      <c r="K1597" s="30"/>
      <c r="L1597" s="29"/>
      <c r="O1597" s="49"/>
    </row>
    <row r="1598" spans="9:15" x14ac:dyDescent="0.35">
      <c r="I1598" s="53"/>
      <c r="J1598" s="29"/>
      <c r="K1598" s="30"/>
      <c r="L1598" s="29"/>
      <c r="O1598" s="49"/>
    </row>
    <row r="1599" spans="9:15" x14ac:dyDescent="0.35">
      <c r="I1599" s="53"/>
      <c r="J1599" s="29"/>
      <c r="K1599" s="30"/>
      <c r="L1599" s="29"/>
      <c r="O1599" s="49"/>
    </row>
    <row r="1600" spans="9:15" x14ac:dyDescent="0.35">
      <c r="I1600" s="53"/>
      <c r="J1600" s="29"/>
      <c r="K1600" s="30"/>
      <c r="L1600" s="29"/>
      <c r="O1600" s="49"/>
    </row>
    <row r="1601" spans="9:15" x14ac:dyDescent="0.35">
      <c r="I1601" s="53"/>
      <c r="J1601" s="29"/>
      <c r="K1601" s="30"/>
      <c r="L1601" s="29"/>
      <c r="O1601" s="49"/>
    </row>
    <row r="1602" spans="9:15" x14ac:dyDescent="0.35">
      <c r="I1602" s="53"/>
      <c r="J1602" s="29"/>
      <c r="K1602" s="30"/>
      <c r="L1602" s="29"/>
      <c r="O1602" s="49"/>
    </row>
    <row r="1603" spans="9:15" x14ac:dyDescent="0.35">
      <c r="I1603" s="53"/>
      <c r="J1603" s="29"/>
      <c r="K1603" s="30"/>
      <c r="L1603" s="29"/>
      <c r="O1603" s="49"/>
    </row>
    <row r="1604" spans="9:15" x14ac:dyDescent="0.35">
      <c r="I1604" s="53"/>
      <c r="J1604" s="29"/>
      <c r="K1604" s="30"/>
      <c r="L1604" s="29"/>
      <c r="O1604" s="49"/>
    </row>
    <row r="1605" spans="9:15" x14ac:dyDescent="0.35">
      <c r="I1605" s="53"/>
      <c r="J1605" s="29"/>
      <c r="K1605" s="30"/>
      <c r="L1605" s="29"/>
      <c r="O1605" s="49"/>
    </row>
    <row r="1606" spans="9:15" x14ac:dyDescent="0.35">
      <c r="I1606" s="53"/>
      <c r="J1606" s="29"/>
      <c r="K1606" s="30"/>
      <c r="L1606" s="29"/>
      <c r="O1606" s="49"/>
    </row>
    <row r="1607" spans="9:15" x14ac:dyDescent="0.35">
      <c r="I1607" s="53"/>
      <c r="J1607" s="29"/>
      <c r="K1607" s="30"/>
      <c r="L1607" s="29"/>
      <c r="O1607" s="49"/>
    </row>
    <row r="1608" spans="9:15" x14ac:dyDescent="0.35">
      <c r="I1608" s="53"/>
      <c r="J1608" s="29"/>
      <c r="K1608" s="30"/>
      <c r="L1608" s="29"/>
      <c r="O1608" s="49"/>
    </row>
    <row r="1609" spans="9:15" x14ac:dyDescent="0.35">
      <c r="I1609" s="53"/>
      <c r="J1609" s="29"/>
      <c r="K1609" s="30"/>
      <c r="L1609" s="29"/>
      <c r="O1609" s="49"/>
    </row>
    <row r="1610" spans="9:15" x14ac:dyDescent="0.35">
      <c r="I1610" s="53"/>
      <c r="J1610" s="29"/>
      <c r="K1610" s="30"/>
      <c r="L1610" s="29"/>
      <c r="O1610" s="49"/>
    </row>
    <row r="1611" spans="9:15" x14ac:dyDescent="0.35">
      <c r="I1611" s="53"/>
      <c r="J1611" s="29"/>
      <c r="K1611" s="30"/>
      <c r="L1611" s="29"/>
      <c r="O1611" s="49"/>
    </row>
    <row r="1612" spans="9:15" x14ac:dyDescent="0.35">
      <c r="I1612" s="53"/>
      <c r="J1612" s="29"/>
      <c r="K1612" s="30"/>
      <c r="L1612" s="29"/>
      <c r="O1612" s="49"/>
    </row>
    <row r="1613" spans="9:15" x14ac:dyDescent="0.35">
      <c r="I1613" s="53"/>
      <c r="J1613" s="29"/>
      <c r="K1613" s="30"/>
      <c r="L1613" s="29"/>
      <c r="O1613" s="49"/>
    </row>
    <row r="1614" spans="9:15" x14ac:dyDescent="0.35">
      <c r="I1614" s="53"/>
      <c r="J1614" s="29"/>
      <c r="K1614" s="30"/>
      <c r="L1614" s="29"/>
      <c r="O1614" s="49"/>
    </row>
    <row r="1615" spans="9:15" x14ac:dyDescent="0.35">
      <c r="I1615" s="53"/>
      <c r="J1615" s="29"/>
      <c r="K1615" s="30"/>
      <c r="L1615" s="29"/>
      <c r="O1615" s="49"/>
    </row>
    <row r="1616" spans="9:15" x14ac:dyDescent="0.35">
      <c r="I1616" s="53"/>
      <c r="J1616" s="29"/>
      <c r="K1616" s="30"/>
      <c r="L1616" s="29"/>
      <c r="O1616" s="49"/>
    </row>
    <row r="1617" spans="9:15" x14ac:dyDescent="0.35">
      <c r="I1617" s="53"/>
      <c r="J1617" s="29"/>
      <c r="K1617" s="30"/>
      <c r="L1617" s="29"/>
      <c r="O1617" s="49"/>
    </row>
    <row r="1618" spans="9:15" x14ac:dyDescent="0.35">
      <c r="I1618" s="53"/>
      <c r="J1618" s="29"/>
      <c r="K1618" s="30"/>
      <c r="L1618" s="29"/>
      <c r="O1618" s="49"/>
    </row>
    <row r="1619" spans="9:15" x14ac:dyDescent="0.35">
      <c r="I1619" s="53"/>
      <c r="J1619" s="29"/>
      <c r="K1619" s="30"/>
      <c r="L1619" s="29"/>
      <c r="O1619" s="49"/>
    </row>
    <row r="1620" spans="9:15" x14ac:dyDescent="0.35">
      <c r="I1620" s="53"/>
      <c r="J1620" s="29"/>
      <c r="K1620" s="30"/>
      <c r="L1620" s="29"/>
      <c r="O1620" s="49"/>
    </row>
    <row r="1621" spans="9:15" x14ac:dyDescent="0.35">
      <c r="I1621" s="53"/>
      <c r="J1621" s="29"/>
      <c r="K1621" s="30"/>
      <c r="L1621" s="29"/>
      <c r="O1621" s="49"/>
    </row>
    <row r="1622" spans="9:15" x14ac:dyDescent="0.35">
      <c r="I1622" s="53"/>
      <c r="J1622" s="29"/>
      <c r="K1622" s="30"/>
      <c r="L1622" s="29"/>
      <c r="O1622" s="49"/>
    </row>
    <row r="1623" spans="9:15" x14ac:dyDescent="0.35">
      <c r="I1623" s="53"/>
      <c r="J1623" s="29"/>
      <c r="K1623" s="30"/>
      <c r="L1623" s="29"/>
      <c r="O1623" s="49"/>
    </row>
    <row r="1624" spans="9:15" x14ac:dyDescent="0.35">
      <c r="I1624" s="53"/>
      <c r="J1624" s="29"/>
      <c r="K1624" s="30"/>
      <c r="L1624" s="29"/>
      <c r="O1624" s="49"/>
    </row>
    <row r="1625" spans="9:15" x14ac:dyDescent="0.35">
      <c r="I1625" s="53"/>
      <c r="J1625" s="29"/>
      <c r="K1625" s="30"/>
      <c r="L1625" s="29"/>
      <c r="O1625" s="49"/>
    </row>
    <row r="1626" spans="9:15" x14ac:dyDescent="0.35">
      <c r="I1626" s="53"/>
      <c r="J1626" s="29"/>
      <c r="K1626" s="30"/>
      <c r="L1626" s="29"/>
      <c r="O1626" s="49"/>
    </row>
    <row r="1627" spans="9:15" x14ac:dyDescent="0.35">
      <c r="I1627" s="53"/>
      <c r="J1627" s="29"/>
      <c r="K1627" s="30"/>
      <c r="L1627" s="29"/>
      <c r="O1627" s="49"/>
    </row>
    <row r="1628" spans="9:15" x14ac:dyDescent="0.35">
      <c r="I1628" s="53"/>
      <c r="J1628" s="29"/>
      <c r="K1628" s="30"/>
      <c r="L1628" s="29"/>
      <c r="O1628" s="49"/>
    </row>
    <row r="1629" spans="9:15" x14ac:dyDescent="0.35">
      <c r="I1629" s="53"/>
      <c r="J1629" s="29"/>
      <c r="K1629" s="30"/>
      <c r="L1629" s="29"/>
      <c r="O1629" s="49"/>
    </row>
    <row r="1630" spans="9:15" x14ac:dyDescent="0.35">
      <c r="I1630" s="53"/>
      <c r="J1630" s="29"/>
      <c r="K1630" s="30"/>
      <c r="L1630" s="29"/>
      <c r="O1630" s="49"/>
    </row>
    <row r="1631" spans="9:15" x14ac:dyDescent="0.35">
      <c r="I1631" s="53"/>
      <c r="J1631" s="29"/>
      <c r="K1631" s="30"/>
      <c r="L1631" s="29"/>
      <c r="O1631" s="49"/>
    </row>
    <row r="1632" spans="9:15" x14ac:dyDescent="0.35">
      <c r="I1632" s="53"/>
      <c r="J1632" s="29"/>
      <c r="K1632" s="30"/>
      <c r="L1632" s="29"/>
      <c r="O1632" s="49"/>
    </row>
    <row r="1633" spans="9:15" x14ac:dyDescent="0.35">
      <c r="I1633" s="53"/>
      <c r="J1633" s="29"/>
      <c r="K1633" s="30"/>
      <c r="L1633" s="29"/>
      <c r="O1633" s="49"/>
    </row>
    <row r="1634" spans="9:15" x14ac:dyDescent="0.35">
      <c r="I1634" s="53"/>
      <c r="J1634" s="29"/>
      <c r="K1634" s="30"/>
      <c r="L1634" s="29"/>
      <c r="O1634" s="49"/>
    </row>
    <row r="1635" spans="9:15" x14ac:dyDescent="0.35">
      <c r="I1635" s="53"/>
      <c r="J1635" s="29"/>
      <c r="K1635" s="30"/>
      <c r="L1635" s="29"/>
      <c r="O1635" s="49"/>
    </row>
    <row r="1636" spans="9:15" x14ac:dyDescent="0.35">
      <c r="I1636" s="53"/>
      <c r="J1636" s="29"/>
      <c r="K1636" s="30"/>
      <c r="L1636" s="29"/>
      <c r="O1636" s="49"/>
    </row>
    <row r="1637" spans="9:15" x14ac:dyDescent="0.35">
      <c r="I1637" s="53"/>
      <c r="J1637" s="29"/>
      <c r="K1637" s="30"/>
      <c r="L1637" s="29"/>
      <c r="O1637" s="49"/>
    </row>
    <row r="1638" spans="9:15" x14ac:dyDescent="0.35">
      <c r="I1638" s="53"/>
      <c r="J1638" s="29"/>
      <c r="K1638" s="30"/>
      <c r="L1638" s="29"/>
      <c r="O1638" s="49"/>
    </row>
    <row r="1639" spans="9:15" x14ac:dyDescent="0.35">
      <c r="I1639" s="53"/>
      <c r="J1639" s="29"/>
      <c r="K1639" s="30"/>
      <c r="L1639" s="29"/>
      <c r="O1639" s="49"/>
    </row>
    <row r="1640" spans="9:15" x14ac:dyDescent="0.35">
      <c r="I1640" s="53"/>
      <c r="J1640" s="29"/>
      <c r="K1640" s="30"/>
      <c r="L1640" s="29"/>
      <c r="O1640" s="49"/>
    </row>
    <row r="1641" spans="9:15" x14ac:dyDescent="0.35">
      <c r="I1641" s="53"/>
      <c r="J1641" s="29"/>
      <c r="K1641" s="30"/>
      <c r="L1641" s="29"/>
      <c r="O1641" s="49"/>
    </row>
    <row r="1642" spans="9:15" x14ac:dyDescent="0.35">
      <c r="I1642" s="53"/>
      <c r="J1642" s="29"/>
      <c r="K1642" s="30"/>
      <c r="L1642" s="29"/>
      <c r="O1642" s="49"/>
    </row>
    <row r="1643" spans="9:15" x14ac:dyDescent="0.35">
      <c r="I1643" s="53"/>
      <c r="J1643" s="29"/>
      <c r="K1643" s="30"/>
      <c r="L1643" s="29"/>
      <c r="O1643" s="49"/>
    </row>
    <row r="1644" spans="9:15" x14ac:dyDescent="0.35">
      <c r="I1644" s="53"/>
      <c r="J1644" s="29"/>
      <c r="K1644" s="30"/>
      <c r="L1644" s="29"/>
      <c r="O1644" s="49"/>
    </row>
    <row r="1645" spans="9:15" x14ac:dyDescent="0.35">
      <c r="I1645" s="53"/>
      <c r="J1645" s="29"/>
      <c r="K1645" s="30"/>
      <c r="L1645" s="29"/>
      <c r="O1645" s="49"/>
    </row>
    <row r="1646" spans="9:15" x14ac:dyDescent="0.35">
      <c r="I1646" s="53"/>
      <c r="J1646" s="29"/>
      <c r="K1646" s="30"/>
      <c r="L1646" s="29"/>
      <c r="O1646" s="49"/>
    </row>
    <row r="1647" spans="9:15" x14ac:dyDescent="0.35">
      <c r="I1647" s="53"/>
      <c r="J1647" s="29"/>
      <c r="K1647" s="30"/>
      <c r="L1647" s="29"/>
      <c r="O1647" s="49"/>
    </row>
    <row r="1648" spans="9:15" x14ac:dyDescent="0.35">
      <c r="I1648" s="53"/>
      <c r="J1648" s="29"/>
      <c r="K1648" s="30"/>
      <c r="L1648" s="29"/>
      <c r="O1648" s="49"/>
    </row>
    <row r="1649" spans="9:15" x14ac:dyDescent="0.35">
      <c r="I1649" s="53"/>
      <c r="J1649" s="29"/>
      <c r="K1649" s="30"/>
      <c r="L1649" s="29"/>
      <c r="O1649" s="49"/>
    </row>
    <row r="1650" spans="9:15" x14ac:dyDescent="0.35">
      <c r="I1650" s="53"/>
      <c r="J1650" s="29"/>
      <c r="K1650" s="30"/>
      <c r="L1650" s="29"/>
      <c r="O1650" s="49"/>
    </row>
    <row r="1651" spans="9:15" x14ac:dyDescent="0.35">
      <c r="I1651" s="53"/>
      <c r="J1651" s="29"/>
      <c r="K1651" s="30"/>
      <c r="L1651" s="29"/>
      <c r="O1651" s="49"/>
    </row>
    <row r="1652" spans="9:15" x14ac:dyDescent="0.35">
      <c r="I1652" s="53"/>
      <c r="J1652" s="29"/>
      <c r="K1652" s="30"/>
      <c r="L1652" s="29"/>
      <c r="O1652" s="49"/>
    </row>
    <row r="1653" spans="9:15" x14ac:dyDescent="0.35">
      <c r="I1653" s="53"/>
      <c r="J1653" s="29"/>
      <c r="K1653" s="30"/>
      <c r="L1653" s="29"/>
      <c r="O1653" s="49"/>
    </row>
    <row r="1654" spans="9:15" x14ac:dyDescent="0.35">
      <c r="I1654" s="53"/>
      <c r="J1654" s="29"/>
      <c r="K1654" s="30"/>
      <c r="L1654" s="29"/>
      <c r="O1654" s="49"/>
    </row>
    <row r="1655" spans="9:15" x14ac:dyDescent="0.35">
      <c r="I1655" s="53"/>
      <c r="J1655" s="29"/>
      <c r="K1655" s="30"/>
      <c r="L1655" s="29"/>
      <c r="O1655" s="49"/>
    </row>
    <row r="1656" spans="9:15" x14ac:dyDescent="0.35">
      <c r="I1656" s="53"/>
      <c r="J1656" s="29"/>
      <c r="K1656" s="30"/>
      <c r="L1656" s="29"/>
      <c r="O1656" s="49"/>
    </row>
    <row r="1657" spans="9:15" x14ac:dyDescent="0.35">
      <c r="I1657" s="53"/>
      <c r="J1657" s="29"/>
      <c r="K1657" s="30"/>
      <c r="L1657" s="29"/>
      <c r="O1657" s="49"/>
    </row>
    <row r="1658" spans="9:15" x14ac:dyDescent="0.35">
      <c r="I1658" s="53"/>
      <c r="J1658" s="29"/>
      <c r="K1658" s="30"/>
      <c r="L1658" s="29"/>
      <c r="O1658" s="49"/>
    </row>
    <row r="1659" spans="9:15" x14ac:dyDescent="0.35">
      <c r="I1659" s="53"/>
      <c r="J1659" s="29"/>
      <c r="K1659" s="30"/>
      <c r="L1659" s="29"/>
      <c r="O1659" s="49"/>
    </row>
    <row r="1660" spans="9:15" x14ac:dyDescent="0.35">
      <c r="I1660" s="53"/>
      <c r="J1660" s="29"/>
      <c r="K1660" s="30"/>
      <c r="L1660" s="29"/>
      <c r="O1660" s="49"/>
    </row>
    <row r="1661" spans="9:15" x14ac:dyDescent="0.35">
      <c r="I1661" s="53"/>
      <c r="J1661" s="29"/>
      <c r="K1661" s="30"/>
      <c r="L1661" s="29"/>
      <c r="O1661" s="49"/>
    </row>
    <row r="1662" spans="9:15" x14ac:dyDescent="0.35">
      <c r="I1662" s="53"/>
      <c r="J1662" s="29"/>
      <c r="K1662" s="30"/>
      <c r="L1662" s="29"/>
      <c r="O1662" s="49"/>
    </row>
    <row r="1663" spans="9:15" x14ac:dyDescent="0.35">
      <c r="I1663" s="53"/>
      <c r="J1663" s="29"/>
      <c r="K1663" s="30"/>
      <c r="L1663" s="29"/>
      <c r="O1663" s="49"/>
    </row>
    <row r="1664" spans="9:15" x14ac:dyDescent="0.35">
      <c r="I1664" s="53"/>
      <c r="J1664" s="29"/>
      <c r="K1664" s="30"/>
      <c r="L1664" s="29"/>
      <c r="O1664" s="49"/>
    </row>
    <row r="1665" spans="9:15" x14ac:dyDescent="0.35">
      <c r="I1665" s="53"/>
      <c r="J1665" s="29"/>
      <c r="K1665" s="30"/>
      <c r="L1665" s="29"/>
      <c r="O1665" s="49"/>
    </row>
    <row r="1666" spans="9:15" x14ac:dyDescent="0.35">
      <c r="I1666" s="53"/>
      <c r="J1666" s="29"/>
      <c r="K1666" s="30"/>
      <c r="L1666" s="29"/>
      <c r="O1666" s="49"/>
    </row>
    <row r="1667" spans="9:15" x14ac:dyDescent="0.35">
      <c r="I1667" s="53"/>
      <c r="J1667" s="29"/>
      <c r="K1667" s="30"/>
      <c r="L1667" s="29"/>
      <c r="O1667" s="49"/>
    </row>
    <row r="1668" spans="9:15" x14ac:dyDescent="0.35">
      <c r="I1668" s="53"/>
      <c r="J1668" s="29"/>
      <c r="K1668" s="30"/>
      <c r="L1668" s="29"/>
      <c r="O1668" s="49"/>
    </row>
    <row r="1669" spans="9:15" x14ac:dyDescent="0.35">
      <c r="I1669" s="53"/>
      <c r="J1669" s="29"/>
      <c r="K1669" s="30"/>
      <c r="L1669" s="29"/>
      <c r="O1669" s="49"/>
    </row>
    <row r="1670" spans="9:15" x14ac:dyDescent="0.35">
      <c r="I1670" s="53"/>
      <c r="J1670" s="29"/>
      <c r="K1670" s="30"/>
      <c r="L1670" s="29"/>
      <c r="O1670" s="49"/>
    </row>
    <row r="1671" spans="9:15" x14ac:dyDescent="0.35">
      <c r="I1671" s="53"/>
      <c r="J1671" s="29"/>
      <c r="K1671" s="30"/>
      <c r="L1671" s="29"/>
      <c r="O1671" s="49"/>
    </row>
    <row r="1672" spans="9:15" x14ac:dyDescent="0.35">
      <c r="I1672" s="53"/>
      <c r="J1672" s="29"/>
      <c r="K1672" s="30"/>
      <c r="L1672" s="29"/>
      <c r="O1672" s="49"/>
    </row>
    <row r="1673" spans="9:15" x14ac:dyDescent="0.35">
      <c r="I1673" s="53"/>
      <c r="J1673" s="29"/>
      <c r="K1673" s="30"/>
      <c r="L1673" s="29"/>
      <c r="O1673" s="49"/>
    </row>
    <row r="1674" spans="9:15" x14ac:dyDescent="0.35">
      <c r="I1674" s="53"/>
      <c r="J1674" s="29"/>
      <c r="K1674" s="30"/>
      <c r="L1674" s="29"/>
      <c r="O1674" s="49"/>
    </row>
    <row r="1675" spans="9:15" x14ac:dyDescent="0.35">
      <c r="I1675" s="53"/>
      <c r="J1675" s="29"/>
      <c r="K1675" s="30"/>
      <c r="L1675" s="29"/>
      <c r="O1675" s="49"/>
    </row>
    <row r="1676" spans="9:15" x14ac:dyDescent="0.35">
      <c r="I1676" s="53"/>
      <c r="J1676" s="29"/>
      <c r="K1676" s="30"/>
      <c r="L1676" s="29"/>
      <c r="O1676" s="49"/>
    </row>
    <row r="1677" spans="9:15" x14ac:dyDescent="0.35">
      <c r="I1677" s="53"/>
      <c r="J1677" s="29"/>
      <c r="K1677" s="30"/>
      <c r="L1677" s="29"/>
      <c r="O1677" s="49"/>
    </row>
    <row r="1678" spans="9:15" x14ac:dyDescent="0.35">
      <c r="I1678" s="53"/>
      <c r="J1678" s="29"/>
      <c r="K1678" s="30"/>
      <c r="L1678" s="29"/>
      <c r="O1678" s="49"/>
    </row>
    <row r="1679" spans="9:15" x14ac:dyDescent="0.35">
      <c r="I1679" s="53"/>
      <c r="J1679" s="29"/>
      <c r="K1679" s="30"/>
      <c r="L1679" s="29"/>
      <c r="O1679" s="49"/>
    </row>
    <row r="1680" spans="9:15" x14ac:dyDescent="0.35">
      <c r="I1680" s="53"/>
      <c r="J1680" s="29"/>
      <c r="K1680" s="30"/>
      <c r="L1680" s="29"/>
      <c r="O1680" s="49"/>
    </row>
    <row r="1681" spans="9:15" x14ac:dyDescent="0.35">
      <c r="I1681" s="53"/>
      <c r="J1681" s="29"/>
      <c r="K1681" s="30"/>
      <c r="L1681" s="29"/>
      <c r="O1681" s="49"/>
    </row>
    <row r="1682" spans="9:15" x14ac:dyDescent="0.35">
      <c r="I1682" s="53"/>
      <c r="J1682" s="29"/>
      <c r="K1682" s="30"/>
      <c r="L1682" s="29"/>
      <c r="O1682" s="49"/>
    </row>
    <row r="1683" spans="9:15" x14ac:dyDescent="0.35">
      <c r="I1683" s="53"/>
      <c r="J1683" s="29"/>
      <c r="K1683" s="30"/>
      <c r="L1683" s="29"/>
      <c r="O1683" s="49"/>
    </row>
    <row r="1684" spans="9:15" x14ac:dyDescent="0.35">
      <c r="I1684" s="53"/>
      <c r="J1684" s="29"/>
      <c r="K1684" s="30"/>
      <c r="L1684" s="29"/>
      <c r="O1684" s="49"/>
    </row>
    <row r="1685" spans="9:15" x14ac:dyDescent="0.35">
      <c r="I1685" s="53"/>
      <c r="J1685" s="29"/>
      <c r="K1685" s="30"/>
      <c r="L1685" s="29"/>
      <c r="O1685" s="49"/>
    </row>
    <row r="1686" spans="9:15" x14ac:dyDescent="0.35">
      <c r="I1686" s="53"/>
      <c r="J1686" s="29"/>
      <c r="K1686" s="30"/>
      <c r="L1686" s="29"/>
      <c r="O1686" s="49"/>
    </row>
    <row r="1687" spans="9:15" x14ac:dyDescent="0.35">
      <c r="I1687" s="53"/>
      <c r="J1687" s="29"/>
      <c r="K1687" s="30"/>
      <c r="L1687" s="29"/>
      <c r="O1687" s="49"/>
    </row>
    <row r="1688" spans="9:15" x14ac:dyDescent="0.35">
      <c r="I1688" s="53"/>
      <c r="J1688" s="29"/>
      <c r="K1688" s="30"/>
      <c r="L1688" s="29"/>
      <c r="O1688" s="49"/>
    </row>
    <row r="1689" spans="9:15" x14ac:dyDescent="0.35">
      <c r="I1689" s="53"/>
      <c r="J1689" s="29"/>
      <c r="K1689" s="30"/>
      <c r="L1689" s="29"/>
      <c r="O1689" s="49"/>
    </row>
    <row r="1690" spans="9:15" x14ac:dyDescent="0.35">
      <c r="I1690" s="53"/>
      <c r="J1690" s="29"/>
      <c r="K1690" s="30"/>
      <c r="L1690" s="29"/>
      <c r="O1690" s="49"/>
    </row>
    <row r="1691" spans="9:15" x14ac:dyDescent="0.35">
      <c r="I1691" s="53"/>
      <c r="J1691" s="29"/>
      <c r="K1691" s="30"/>
      <c r="L1691" s="29"/>
      <c r="O1691" s="49"/>
    </row>
    <row r="1692" spans="9:15" x14ac:dyDescent="0.35">
      <c r="I1692" s="53"/>
      <c r="J1692" s="29"/>
      <c r="K1692" s="30"/>
      <c r="L1692" s="29"/>
      <c r="O1692" s="49"/>
    </row>
    <row r="1693" spans="9:15" x14ac:dyDescent="0.35">
      <c r="I1693" s="53"/>
      <c r="J1693" s="29"/>
      <c r="K1693" s="30"/>
      <c r="L1693" s="29"/>
      <c r="O1693" s="49"/>
    </row>
    <row r="1694" spans="9:15" x14ac:dyDescent="0.35">
      <c r="I1694" s="53"/>
      <c r="J1694" s="29"/>
      <c r="K1694" s="30"/>
      <c r="L1694" s="29"/>
      <c r="O1694" s="49"/>
    </row>
    <row r="1695" spans="9:15" x14ac:dyDescent="0.35">
      <c r="I1695" s="53"/>
      <c r="J1695" s="29"/>
      <c r="K1695" s="30"/>
      <c r="L1695" s="29"/>
      <c r="O1695" s="49"/>
    </row>
    <row r="1696" spans="9:15" x14ac:dyDescent="0.35">
      <c r="I1696" s="53"/>
      <c r="J1696" s="29"/>
      <c r="K1696" s="30"/>
      <c r="L1696" s="29"/>
      <c r="O1696" s="49"/>
    </row>
    <row r="1697" spans="9:15" x14ac:dyDescent="0.35">
      <c r="I1697" s="53"/>
      <c r="J1697" s="29"/>
      <c r="K1697" s="30"/>
      <c r="L1697" s="29"/>
      <c r="O1697" s="49"/>
    </row>
    <row r="1698" spans="9:15" x14ac:dyDescent="0.35">
      <c r="I1698" s="53"/>
      <c r="J1698" s="29"/>
      <c r="K1698" s="30"/>
      <c r="L1698" s="29"/>
      <c r="O1698" s="49"/>
    </row>
    <row r="1699" spans="9:15" x14ac:dyDescent="0.35">
      <c r="I1699" s="53"/>
      <c r="J1699" s="29"/>
      <c r="K1699" s="30"/>
      <c r="L1699" s="29"/>
      <c r="O1699" s="49"/>
    </row>
    <row r="1700" spans="9:15" x14ac:dyDescent="0.35">
      <c r="I1700" s="53"/>
      <c r="J1700" s="29"/>
      <c r="K1700" s="30"/>
      <c r="L1700" s="29"/>
      <c r="O1700" s="49"/>
    </row>
    <row r="1701" spans="9:15" x14ac:dyDescent="0.35">
      <c r="I1701" s="53"/>
      <c r="J1701" s="29"/>
      <c r="K1701" s="30"/>
      <c r="L1701" s="29"/>
      <c r="O1701" s="49"/>
    </row>
    <row r="1702" spans="9:15" x14ac:dyDescent="0.35">
      <c r="I1702" s="53"/>
      <c r="J1702" s="29"/>
      <c r="K1702" s="30"/>
      <c r="L1702" s="29"/>
      <c r="O1702" s="49"/>
    </row>
    <row r="1703" spans="9:15" x14ac:dyDescent="0.35">
      <c r="I1703" s="53"/>
      <c r="J1703" s="29"/>
      <c r="K1703" s="30"/>
      <c r="L1703" s="29"/>
      <c r="O1703" s="49"/>
    </row>
    <row r="1704" spans="9:15" x14ac:dyDescent="0.35">
      <c r="I1704" s="53"/>
      <c r="J1704" s="29"/>
      <c r="K1704" s="30"/>
      <c r="L1704" s="29"/>
      <c r="O1704" s="49"/>
    </row>
    <row r="1705" spans="9:15" x14ac:dyDescent="0.35">
      <c r="I1705" s="53"/>
      <c r="J1705" s="29"/>
      <c r="K1705" s="30"/>
      <c r="L1705" s="29"/>
      <c r="O1705" s="49"/>
    </row>
    <row r="1706" spans="9:15" x14ac:dyDescent="0.35">
      <c r="I1706" s="53"/>
      <c r="J1706" s="29"/>
      <c r="K1706" s="30"/>
      <c r="L1706" s="29"/>
      <c r="O1706" s="49"/>
    </row>
    <row r="1707" spans="9:15" x14ac:dyDescent="0.35">
      <c r="I1707" s="53"/>
      <c r="J1707" s="29"/>
      <c r="K1707" s="30"/>
      <c r="L1707" s="29"/>
      <c r="O1707" s="49"/>
    </row>
    <row r="1708" spans="9:15" x14ac:dyDescent="0.35">
      <c r="I1708" s="53"/>
      <c r="J1708" s="29"/>
      <c r="K1708" s="30"/>
      <c r="L1708" s="29"/>
      <c r="O1708" s="49"/>
    </row>
    <row r="1709" spans="9:15" x14ac:dyDescent="0.35">
      <c r="I1709" s="53"/>
      <c r="J1709" s="29"/>
      <c r="K1709" s="30"/>
      <c r="L1709" s="29"/>
      <c r="O1709" s="49"/>
    </row>
    <row r="1710" spans="9:15" x14ac:dyDescent="0.35">
      <c r="I1710" s="53"/>
      <c r="J1710" s="29"/>
      <c r="K1710" s="30"/>
      <c r="L1710" s="29"/>
      <c r="O1710" s="49"/>
    </row>
    <row r="1711" spans="9:15" x14ac:dyDescent="0.35">
      <c r="I1711" s="53"/>
      <c r="J1711" s="29"/>
      <c r="K1711" s="30"/>
      <c r="L1711" s="29"/>
      <c r="O1711" s="49"/>
    </row>
    <row r="1712" spans="9:15" x14ac:dyDescent="0.35">
      <c r="I1712" s="53"/>
      <c r="J1712" s="29"/>
      <c r="K1712" s="30"/>
      <c r="L1712" s="29"/>
      <c r="O1712" s="49"/>
    </row>
    <row r="1713" spans="9:15" x14ac:dyDescent="0.35">
      <c r="I1713" s="53"/>
      <c r="J1713" s="29"/>
      <c r="K1713" s="30"/>
      <c r="L1713" s="29"/>
      <c r="O1713" s="49"/>
    </row>
    <row r="1714" spans="9:15" x14ac:dyDescent="0.35">
      <c r="I1714" s="53"/>
      <c r="J1714" s="29"/>
      <c r="K1714" s="30"/>
      <c r="L1714" s="29"/>
      <c r="O1714" s="49"/>
    </row>
    <row r="1715" spans="9:15" x14ac:dyDescent="0.35">
      <c r="I1715" s="53"/>
      <c r="J1715" s="29"/>
      <c r="K1715" s="30"/>
      <c r="L1715" s="29"/>
      <c r="O1715" s="49"/>
    </row>
    <row r="1716" spans="9:15" x14ac:dyDescent="0.35">
      <c r="I1716" s="53"/>
      <c r="J1716" s="29"/>
      <c r="K1716" s="30"/>
      <c r="L1716" s="29"/>
      <c r="O1716" s="49"/>
    </row>
    <row r="1717" spans="9:15" x14ac:dyDescent="0.35">
      <c r="I1717" s="53"/>
      <c r="J1717" s="29"/>
      <c r="K1717" s="30"/>
      <c r="L1717" s="29"/>
      <c r="O1717" s="49"/>
    </row>
    <row r="1718" spans="9:15" x14ac:dyDescent="0.35">
      <c r="I1718" s="53"/>
      <c r="J1718" s="29"/>
      <c r="K1718" s="30"/>
      <c r="L1718" s="29"/>
      <c r="O1718" s="49"/>
    </row>
    <row r="1719" spans="9:15" x14ac:dyDescent="0.35">
      <c r="I1719" s="53"/>
      <c r="J1719" s="29"/>
      <c r="K1719" s="30"/>
      <c r="L1719" s="29"/>
      <c r="O1719" s="49"/>
    </row>
    <row r="1720" spans="9:15" x14ac:dyDescent="0.35">
      <c r="I1720" s="53"/>
      <c r="J1720" s="29"/>
      <c r="K1720" s="30"/>
      <c r="L1720" s="29"/>
      <c r="O1720" s="49"/>
    </row>
    <row r="1721" spans="9:15" x14ac:dyDescent="0.35">
      <c r="I1721" s="53"/>
      <c r="J1721" s="29"/>
      <c r="K1721" s="30"/>
      <c r="L1721" s="29"/>
      <c r="O1721" s="49"/>
    </row>
    <row r="1722" spans="9:15" x14ac:dyDescent="0.35">
      <c r="I1722" s="53"/>
      <c r="J1722" s="29"/>
      <c r="K1722" s="30"/>
      <c r="L1722" s="29"/>
      <c r="O1722" s="49"/>
    </row>
    <row r="1723" spans="9:15" x14ac:dyDescent="0.35">
      <c r="I1723" s="53"/>
      <c r="J1723" s="29"/>
      <c r="K1723" s="30"/>
      <c r="L1723" s="29"/>
      <c r="O1723" s="49"/>
    </row>
    <row r="1724" spans="9:15" x14ac:dyDescent="0.35">
      <c r="I1724" s="53"/>
      <c r="J1724" s="29"/>
      <c r="K1724" s="30"/>
      <c r="L1724" s="29"/>
      <c r="O1724" s="49"/>
    </row>
    <row r="1725" spans="9:15" x14ac:dyDescent="0.35">
      <c r="I1725" s="53"/>
      <c r="J1725" s="29"/>
      <c r="K1725" s="30"/>
      <c r="L1725" s="29"/>
      <c r="O1725" s="49"/>
    </row>
    <row r="1726" spans="9:15" x14ac:dyDescent="0.35">
      <c r="I1726" s="53"/>
      <c r="J1726" s="29"/>
      <c r="K1726" s="30"/>
      <c r="L1726" s="29"/>
      <c r="O1726" s="49"/>
    </row>
    <row r="1727" spans="9:15" x14ac:dyDescent="0.35">
      <c r="I1727" s="53"/>
      <c r="J1727" s="29"/>
      <c r="K1727" s="30"/>
      <c r="L1727" s="29"/>
      <c r="O1727" s="49"/>
    </row>
    <row r="1728" spans="9:15" x14ac:dyDescent="0.35">
      <c r="I1728" s="53"/>
      <c r="J1728" s="29"/>
      <c r="K1728" s="30"/>
      <c r="L1728" s="29"/>
      <c r="O1728" s="49"/>
    </row>
    <row r="1729" spans="9:15" x14ac:dyDescent="0.35">
      <c r="I1729" s="53"/>
      <c r="J1729" s="29"/>
      <c r="K1729" s="30"/>
      <c r="L1729" s="29"/>
      <c r="O1729" s="49"/>
    </row>
    <row r="1730" spans="9:15" x14ac:dyDescent="0.35">
      <c r="I1730" s="53"/>
      <c r="J1730" s="29"/>
      <c r="K1730" s="30"/>
      <c r="L1730" s="29"/>
      <c r="O1730" s="49"/>
    </row>
    <row r="1731" spans="9:15" x14ac:dyDescent="0.35">
      <c r="I1731" s="53"/>
      <c r="J1731" s="29"/>
      <c r="K1731" s="30"/>
      <c r="L1731" s="29"/>
      <c r="O1731" s="49"/>
    </row>
    <row r="1732" spans="9:15" x14ac:dyDescent="0.35">
      <c r="I1732" s="53"/>
      <c r="J1732" s="29"/>
      <c r="K1732" s="30"/>
      <c r="L1732" s="29"/>
      <c r="O1732" s="49"/>
    </row>
    <row r="1733" spans="9:15" x14ac:dyDescent="0.35">
      <c r="I1733" s="53"/>
      <c r="J1733" s="29"/>
      <c r="K1733" s="30"/>
      <c r="L1733" s="29"/>
      <c r="O1733" s="49"/>
    </row>
    <row r="1734" spans="9:15" x14ac:dyDescent="0.35">
      <c r="I1734" s="53"/>
      <c r="J1734" s="29"/>
      <c r="K1734" s="30"/>
      <c r="L1734" s="29"/>
      <c r="O1734" s="49"/>
    </row>
    <row r="1735" spans="9:15" x14ac:dyDescent="0.35">
      <c r="I1735" s="53"/>
      <c r="J1735" s="29"/>
      <c r="K1735" s="30"/>
      <c r="L1735" s="29"/>
      <c r="O1735" s="49"/>
    </row>
    <row r="1736" spans="9:15" x14ac:dyDescent="0.35">
      <c r="I1736" s="53"/>
      <c r="J1736" s="29"/>
      <c r="K1736" s="30"/>
      <c r="L1736" s="29"/>
      <c r="O1736" s="49"/>
    </row>
    <row r="1737" spans="9:15" x14ac:dyDescent="0.35">
      <c r="I1737" s="53"/>
      <c r="J1737" s="29"/>
      <c r="K1737" s="30"/>
      <c r="L1737" s="29"/>
      <c r="O1737" s="49"/>
    </row>
    <row r="1738" spans="9:15" x14ac:dyDescent="0.35">
      <c r="I1738" s="53"/>
      <c r="J1738" s="29"/>
      <c r="K1738" s="30"/>
      <c r="L1738" s="29"/>
      <c r="O1738" s="49"/>
    </row>
    <row r="1739" spans="9:15" x14ac:dyDescent="0.35">
      <c r="I1739" s="53"/>
      <c r="J1739" s="29"/>
      <c r="K1739" s="30"/>
      <c r="L1739" s="29"/>
      <c r="O1739" s="49"/>
    </row>
    <row r="1740" spans="9:15" x14ac:dyDescent="0.35">
      <c r="I1740" s="53"/>
      <c r="J1740" s="29"/>
      <c r="K1740" s="30"/>
      <c r="L1740" s="29"/>
      <c r="O1740" s="49"/>
    </row>
    <row r="1741" spans="9:15" x14ac:dyDescent="0.35">
      <c r="I1741" s="53"/>
      <c r="J1741" s="29"/>
      <c r="K1741" s="30"/>
      <c r="L1741" s="29"/>
      <c r="O1741" s="49"/>
    </row>
    <row r="1742" spans="9:15" x14ac:dyDescent="0.35">
      <c r="I1742" s="53"/>
      <c r="J1742" s="29"/>
      <c r="K1742" s="30"/>
      <c r="L1742" s="29"/>
      <c r="O1742" s="49"/>
    </row>
    <row r="1743" spans="9:15" x14ac:dyDescent="0.35">
      <c r="I1743" s="53"/>
      <c r="J1743" s="29"/>
      <c r="K1743" s="30"/>
      <c r="L1743" s="29"/>
      <c r="O1743" s="49"/>
    </row>
    <row r="1744" spans="9:15" x14ac:dyDescent="0.35">
      <c r="I1744" s="53"/>
      <c r="J1744" s="29"/>
      <c r="K1744" s="30"/>
      <c r="L1744" s="29"/>
      <c r="O1744" s="49"/>
    </row>
    <row r="1745" spans="9:15" x14ac:dyDescent="0.35">
      <c r="I1745" s="53"/>
      <c r="J1745" s="29"/>
      <c r="K1745" s="30"/>
      <c r="L1745" s="29"/>
      <c r="O1745" s="49"/>
    </row>
    <row r="1746" spans="9:15" x14ac:dyDescent="0.35">
      <c r="I1746" s="53"/>
      <c r="J1746" s="29"/>
      <c r="K1746" s="30"/>
      <c r="L1746" s="29"/>
      <c r="O1746" s="49"/>
    </row>
    <row r="1747" spans="9:15" x14ac:dyDescent="0.35">
      <c r="I1747" s="53"/>
      <c r="J1747" s="29"/>
      <c r="K1747" s="30"/>
      <c r="L1747" s="29"/>
      <c r="O1747" s="49"/>
    </row>
    <row r="1748" spans="9:15" x14ac:dyDescent="0.35">
      <c r="I1748" s="53"/>
      <c r="J1748" s="29"/>
      <c r="K1748" s="30"/>
      <c r="L1748" s="29"/>
      <c r="O1748" s="49"/>
    </row>
    <row r="1749" spans="9:15" x14ac:dyDescent="0.35">
      <c r="I1749" s="53"/>
      <c r="J1749" s="29"/>
      <c r="K1749" s="30"/>
      <c r="L1749" s="29"/>
      <c r="O1749" s="49"/>
    </row>
    <row r="1750" spans="9:15" x14ac:dyDescent="0.35">
      <c r="I1750" s="53"/>
      <c r="J1750" s="29"/>
      <c r="K1750" s="30"/>
      <c r="L1750" s="29"/>
      <c r="O1750" s="49"/>
    </row>
    <row r="1751" spans="9:15" x14ac:dyDescent="0.35">
      <c r="I1751" s="53"/>
      <c r="J1751" s="29"/>
      <c r="K1751" s="30"/>
      <c r="L1751" s="29"/>
      <c r="O1751" s="49"/>
    </row>
    <row r="1752" spans="9:15" x14ac:dyDescent="0.35">
      <c r="I1752" s="53"/>
      <c r="J1752" s="29"/>
      <c r="K1752" s="30"/>
      <c r="L1752" s="29"/>
      <c r="O1752" s="49"/>
    </row>
    <row r="1753" spans="9:15" x14ac:dyDescent="0.35">
      <c r="I1753" s="53"/>
      <c r="J1753" s="29"/>
      <c r="K1753" s="30"/>
      <c r="L1753" s="29"/>
      <c r="O1753" s="49"/>
    </row>
    <row r="1754" spans="9:15" x14ac:dyDescent="0.35">
      <c r="I1754" s="53"/>
      <c r="J1754" s="29"/>
      <c r="K1754" s="30"/>
      <c r="L1754" s="29"/>
      <c r="O1754" s="49"/>
    </row>
    <row r="1755" spans="9:15" x14ac:dyDescent="0.35">
      <c r="I1755" s="53"/>
      <c r="J1755" s="29"/>
      <c r="K1755" s="30"/>
      <c r="L1755" s="29"/>
      <c r="O1755" s="49"/>
    </row>
    <row r="1756" spans="9:15" x14ac:dyDescent="0.35">
      <c r="I1756" s="53"/>
      <c r="J1756" s="29"/>
      <c r="K1756" s="30"/>
      <c r="L1756" s="29"/>
      <c r="O1756" s="49"/>
    </row>
    <row r="1757" spans="9:15" x14ac:dyDescent="0.35">
      <c r="I1757" s="53"/>
      <c r="J1757" s="29"/>
      <c r="K1757" s="30"/>
      <c r="L1757" s="29"/>
      <c r="O1757" s="49"/>
    </row>
    <row r="1758" spans="9:15" x14ac:dyDescent="0.35">
      <c r="I1758" s="53"/>
      <c r="J1758" s="29"/>
      <c r="K1758" s="30"/>
      <c r="L1758" s="29"/>
      <c r="O1758" s="49"/>
    </row>
    <row r="1759" spans="9:15" x14ac:dyDescent="0.35">
      <c r="I1759" s="53"/>
      <c r="J1759" s="29"/>
      <c r="K1759" s="30"/>
      <c r="L1759" s="29"/>
      <c r="O1759" s="49"/>
    </row>
    <row r="1760" spans="9:15" x14ac:dyDescent="0.35">
      <c r="I1760" s="53"/>
      <c r="J1760" s="29"/>
      <c r="K1760" s="30"/>
      <c r="L1760" s="29"/>
      <c r="O1760" s="49"/>
    </row>
    <row r="1761" spans="9:15" x14ac:dyDescent="0.35">
      <c r="I1761" s="53"/>
      <c r="J1761" s="29"/>
      <c r="K1761" s="30"/>
      <c r="L1761" s="29"/>
      <c r="O1761" s="49"/>
    </row>
    <row r="1762" spans="9:15" x14ac:dyDescent="0.35">
      <c r="I1762" s="53"/>
      <c r="J1762" s="29"/>
      <c r="K1762" s="30"/>
      <c r="L1762" s="29"/>
      <c r="O1762" s="49"/>
    </row>
    <row r="1763" spans="9:15" x14ac:dyDescent="0.35">
      <c r="I1763" s="53"/>
      <c r="J1763" s="29"/>
      <c r="K1763" s="30"/>
      <c r="L1763" s="29"/>
      <c r="O1763" s="49"/>
    </row>
    <row r="1764" spans="9:15" x14ac:dyDescent="0.35">
      <c r="I1764" s="53"/>
      <c r="J1764" s="29"/>
      <c r="K1764" s="30"/>
      <c r="L1764" s="29"/>
      <c r="O1764" s="49"/>
    </row>
    <row r="1765" spans="9:15" x14ac:dyDescent="0.35">
      <c r="I1765" s="53"/>
      <c r="J1765" s="29"/>
      <c r="K1765" s="30"/>
      <c r="L1765" s="29"/>
      <c r="O1765" s="49"/>
    </row>
    <row r="1766" spans="9:15" x14ac:dyDescent="0.35">
      <c r="I1766" s="53"/>
      <c r="J1766" s="29"/>
      <c r="K1766" s="30"/>
      <c r="L1766" s="29"/>
      <c r="O1766" s="49"/>
    </row>
    <row r="1767" spans="9:15" x14ac:dyDescent="0.35">
      <c r="I1767" s="53"/>
      <c r="J1767" s="29"/>
      <c r="K1767" s="30"/>
      <c r="L1767" s="29"/>
      <c r="O1767" s="49"/>
    </row>
    <row r="1768" spans="9:15" x14ac:dyDescent="0.35">
      <c r="I1768" s="53"/>
      <c r="J1768" s="29"/>
      <c r="K1768" s="30"/>
      <c r="L1768" s="29"/>
      <c r="O1768" s="49"/>
    </row>
    <row r="1769" spans="9:15" x14ac:dyDescent="0.35">
      <c r="I1769" s="53"/>
      <c r="J1769" s="29"/>
      <c r="K1769" s="30"/>
      <c r="L1769" s="29"/>
      <c r="O1769" s="49"/>
    </row>
    <row r="1770" spans="9:15" x14ac:dyDescent="0.35">
      <c r="I1770" s="53"/>
      <c r="J1770" s="29"/>
      <c r="K1770" s="30"/>
      <c r="L1770" s="29"/>
      <c r="O1770" s="49"/>
    </row>
    <row r="1771" spans="9:15" x14ac:dyDescent="0.35">
      <c r="I1771" s="53"/>
      <c r="J1771" s="29"/>
      <c r="K1771" s="30"/>
      <c r="L1771" s="29"/>
      <c r="O1771" s="49"/>
    </row>
    <row r="1772" spans="9:15" x14ac:dyDescent="0.35">
      <c r="I1772" s="53"/>
      <c r="J1772" s="29"/>
      <c r="K1772" s="30"/>
      <c r="L1772" s="29"/>
      <c r="O1772" s="49"/>
    </row>
    <row r="1773" spans="9:15" x14ac:dyDescent="0.35">
      <c r="I1773" s="53"/>
      <c r="J1773" s="29"/>
      <c r="K1773" s="30"/>
      <c r="L1773" s="29"/>
      <c r="O1773" s="49"/>
    </row>
    <row r="1774" spans="9:15" x14ac:dyDescent="0.35">
      <c r="I1774" s="53"/>
      <c r="J1774" s="29"/>
      <c r="K1774" s="30"/>
      <c r="L1774" s="29"/>
      <c r="O1774" s="49"/>
    </row>
    <row r="1775" spans="9:15" x14ac:dyDescent="0.35">
      <c r="I1775" s="53"/>
      <c r="J1775" s="29"/>
      <c r="K1775" s="30"/>
      <c r="L1775" s="29"/>
      <c r="O1775" s="49"/>
    </row>
    <row r="1776" spans="9:15" x14ac:dyDescent="0.35">
      <c r="I1776" s="53"/>
      <c r="J1776" s="29"/>
      <c r="K1776" s="30"/>
      <c r="L1776" s="29"/>
      <c r="O1776" s="49"/>
    </row>
    <row r="1777" spans="9:15" x14ac:dyDescent="0.35">
      <c r="I1777" s="53"/>
      <c r="J1777" s="29"/>
      <c r="K1777" s="30"/>
      <c r="L1777" s="29"/>
      <c r="O1777" s="49"/>
    </row>
    <row r="1778" spans="9:15" x14ac:dyDescent="0.35">
      <c r="I1778" s="53"/>
      <c r="J1778" s="29"/>
      <c r="K1778" s="30"/>
      <c r="L1778" s="29"/>
      <c r="O1778" s="49"/>
    </row>
    <row r="1779" spans="9:15" x14ac:dyDescent="0.35">
      <c r="I1779" s="53"/>
      <c r="J1779" s="29"/>
      <c r="K1779" s="30"/>
      <c r="L1779" s="29"/>
      <c r="O1779" s="49"/>
    </row>
    <row r="1780" spans="9:15" x14ac:dyDescent="0.35">
      <c r="I1780" s="53"/>
      <c r="J1780" s="29"/>
      <c r="K1780" s="30"/>
      <c r="L1780" s="29"/>
      <c r="O1780" s="49"/>
    </row>
    <row r="1781" spans="9:15" x14ac:dyDescent="0.35">
      <c r="I1781" s="53"/>
      <c r="J1781" s="29"/>
      <c r="K1781" s="30"/>
      <c r="L1781" s="29"/>
      <c r="O1781" s="49"/>
    </row>
    <row r="1782" spans="9:15" x14ac:dyDescent="0.35">
      <c r="I1782" s="53"/>
      <c r="J1782" s="29"/>
      <c r="K1782" s="30"/>
      <c r="L1782" s="29"/>
      <c r="O1782" s="49"/>
    </row>
    <row r="1783" spans="9:15" x14ac:dyDescent="0.35">
      <c r="I1783" s="53"/>
      <c r="J1783" s="29"/>
      <c r="K1783" s="30"/>
      <c r="L1783" s="29"/>
      <c r="O1783" s="49"/>
    </row>
    <row r="1784" spans="9:15" x14ac:dyDescent="0.35">
      <c r="I1784" s="53"/>
      <c r="J1784" s="29"/>
      <c r="K1784" s="30"/>
      <c r="L1784" s="29"/>
      <c r="O1784" s="49"/>
    </row>
    <row r="1785" spans="9:15" x14ac:dyDescent="0.35">
      <c r="I1785" s="53"/>
      <c r="J1785" s="29"/>
      <c r="K1785" s="30"/>
      <c r="L1785" s="29"/>
      <c r="O1785" s="49"/>
    </row>
    <row r="1786" spans="9:15" x14ac:dyDescent="0.35">
      <c r="I1786" s="53"/>
      <c r="J1786" s="29"/>
      <c r="K1786" s="30"/>
      <c r="L1786" s="29"/>
      <c r="O1786" s="49"/>
    </row>
    <row r="1787" spans="9:15" x14ac:dyDescent="0.35">
      <c r="I1787" s="53"/>
      <c r="J1787" s="29"/>
      <c r="K1787" s="30"/>
      <c r="L1787" s="29"/>
      <c r="O1787" s="49"/>
    </row>
    <row r="1788" spans="9:15" x14ac:dyDescent="0.35">
      <c r="I1788" s="53"/>
      <c r="J1788" s="29"/>
      <c r="K1788" s="30"/>
      <c r="L1788" s="29"/>
      <c r="O1788" s="49"/>
    </row>
    <row r="1789" spans="9:15" x14ac:dyDescent="0.35">
      <c r="I1789" s="53"/>
      <c r="J1789" s="29"/>
      <c r="K1789" s="30"/>
      <c r="L1789" s="29"/>
      <c r="O1789" s="49"/>
    </row>
    <row r="1790" spans="9:15" x14ac:dyDescent="0.35">
      <c r="I1790" s="53"/>
      <c r="J1790" s="29"/>
      <c r="K1790" s="30"/>
      <c r="L1790" s="29"/>
      <c r="O1790" s="49"/>
    </row>
    <row r="1791" spans="9:15" x14ac:dyDescent="0.35">
      <c r="I1791" s="53"/>
      <c r="J1791" s="29"/>
      <c r="K1791" s="30"/>
      <c r="L1791" s="29"/>
      <c r="O1791" s="49"/>
    </row>
    <row r="1792" spans="9:15" x14ac:dyDescent="0.35">
      <c r="I1792" s="53"/>
      <c r="J1792" s="29"/>
      <c r="K1792" s="30"/>
      <c r="L1792" s="29"/>
      <c r="O1792" s="49"/>
    </row>
    <row r="1793" spans="9:15" x14ac:dyDescent="0.35">
      <c r="I1793" s="53"/>
      <c r="J1793" s="29"/>
      <c r="K1793" s="30"/>
      <c r="L1793" s="29"/>
      <c r="O1793" s="49"/>
    </row>
    <row r="1794" spans="9:15" x14ac:dyDescent="0.35">
      <c r="I1794" s="53"/>
      <c r="J1794" s="29"/>
      <c r="K1794" s="30"/>
      <c r="L1794" s="29"/>
      <c r="O1794" s="49"/>
    </row>
    <row r="1795" spans="9:15" x14ac:dyDescent="0.35">
      <c r="I1795" s="53"/>
      <c r="J1795" s="29"/>
      <c r="K1795" s="30"/>
      <c r="L1795" s="29"/>
      <c r="O1795" s="49"/>
    </row>
    <row r="1796" spans="9:15" x14ac:dyDescent="0.35">
      <c r="I1796" s="53"/>
      <c r="J1796" s="29"/>
      <c r="K1796" s="30"/>
      <c r="L1796" s="29"/>
      <c r="O1796" s="49"/>
    </row>
    <row r="1797" spans="9:15" x14ac:dyDescent="0.35">
      <c r="I1797" s="53"/>
      <c r="J1797" s="29"/>
      <c r="K1797" s="30"/>
      <c r="L1797" s="29"/>
      <c r="O1797" s="49"/>
    </row>
    <row r="1798" spans="9:15" x14ac:dyDescent="0.35">
      <c r="I1798" s="53"/>
      <c r="J1798" s="29"/>
      <c r="K1798" s="30"/>
      <c r="L1798" s="29"/>
      <c r="O1798" s="49"/>
    </row>
    <row r="1799" spans="9:15" x14ac:dyDescent="0.35">
      <c r="I1799" s="53"/>
      <c r="J1799" s="29"/>
      <c r="K1799" s="30"/>
      <c r="L1799" s="29"/>
      <c r="O1799" s="49"/>
    </row>
    <row r="1800" spans="9:15" x14ac:dyDescent="0.35">
      <c r="I1800" s="53"/>
      <c r="J1800" s="29"/>
      <c r="K1800" s="30"/>
      <c r="L1800" s="29"/>
      <c r="O1800" s="49"/>
    </row>
    <row r="1801" spans="9:15" x14ac:dyDescent="0.35">
      <c r="I1801" s="53"/>
      <c r="J1801" s="29"/>
      <c r="K1801" s="30"/>
      <c r="L1801" s="29"/>
      <c r="O1801" s="49"/>
    </row>
    <row r="1802" spans="9:15" x14ac:dyDescent="0.35">
      <c r="I1802" s="53"/>
      <c r="J1802" s="29"/>
      <c r="K1802" s="30"/>
      <c r="L1802" s="29"/>
      <c r="O1802" s="49"/>
    </row>
    <row r="1803" spans="9:15" x14ac:dyDescent="0.35">
      <c r="I1803" s="53"/>
      <c r="J1803" s="29"/>
      <c r="K1803" s="30"/>
      <c r="L1803" s="29"/>
      <c r="O1803" s="49"/>
    </row>
    <row r="1804" spans="9:15" x14ac:dyDescent="0.35">
      <c r="I1804" s="53"/>
      <c r="J1804" s="29"/>
      <c r="K1804" s="30"/>
      <c r="L1804" s="29"/>
      <c r="O1804" s="49"/>
    </row>
    <row r="1805" spans="9:15" x14ac:dyDescent="0.35">
      <c r="I1805" s="53"/>
      <c r="J1805" s="29"/>
      <c r="K1805" s="30"/>
      <c r="L1805" s="29"/>
      <c r="O1805" s="49"/>
    </row>
    <row r="1806" spans="9:15" x14ac:dyDescent="0.35">
      <c r="I1806" s="53"/>
      <c r="J1806" s="29"/>
      <c r="K1806" s="30"/>
      <c r="L1806" s="29"/>
      <c r="O1806" s="49"/>
    </row>
    <row r="1807" spans="9:15" x14ac:dyDescent="0.35">
      <c r="I1807" s="53"/>
      <c r="J1807" s="29"/>
      <c r="K1807" s="30"/>
      <c r="L1807" s="29"/>
      <c r="O1807" s="49"/>
    </row>
    <row r="1808" spans="9:15" x14ac:dyDescent="0.35">
      <c r="I1808" s="53"/>
      <c r="J1808" s="29"/>
      <c r="K1808" s="30"/>
      <c r="L1808" s="29"/>
      <c r="O1808" s="49"/>
    </row>
    <row r="1809" spans="9:15" x14ac:dyDescent="0.35">
      <c r="I1809" s="53"/>
      <c r="J1809" s="29"/>
      <c r="K1809" s="30"/>
      <c r="L1809" s="29"/>
      <c r="O1809" s="49"/>
    </row>
    <row r="1810" spans="9:15" x14ac:dyDescent="0.35">
      <c r="I1810" s="53"/>
      <c r="J1810" s="29"/>
      <c r="K1810" s="30"/>
      <c r="L1810" s="29"/>
      <c r="O1810" s="49"/>
    </row>
    <row r="1811" spans="9:15" x14ac:dyDescent="0.35">
      <c r="I1811" s="53"/>
      <c r="J1811" s="29"/>
      <c r="K1811" s="30"/>
      <c r="L1811" s="29"/>
      <c r="O1811" s="49"/>
    </row>
    <row r="1812" spans="9:15" x14ac:dyDescent="0.35">
      <c r="I1812" s="53"/>
      <c r="J1812" s="29"/>
      <c r="K1812" s="30"/>
      <c r="L1812" s="29"/>
      <c r="O1812" s="49"/>
    </row>
    <row r="1813" spans="9:15" x14ac:dyDescent="0.35">
      <c r="I1813" s="53"/>
      <c r="J1813" s="29"/>
      <c r="K1813" s="30"/>
      <c r="L1813" s="29"/>
      <c r="O1813" s="49"/>
    </row>
    <row r="1814" spans="9:15" x14ac:dyDescent="0.35">
      <c r="I1814" s="53"/>
      <c r="J1814" s="29"/>
      <c r="K1814" s="30"/>
      <c r="L1814" s="29"/>
      <c r="O1814" s="49"/>
    </row>
    <row r="1815" spans="9:15" x14ac:dyDescent="0.35">
      <c r="I1815" s="53"/>
      <c r="J1815" s="29"/>
      <c r="K1815" s="30"/>
      <c r="L1815" s="29"/>
      <c r="O1815" s="49"/>
    </row>
    <row r="1816" spans="9:15" x14ac:dyDescent="0.35">
      <c r="I1816" s="53"/>
      <c r="J1816" s="29"/>
      <c r="K1816" s="30"/>
      <c r="L1816" s="29"/>
      <c r="O1816" s="49"/>
    </row>
    <row r="1817" spans="9:15" x14ac:dyDescent="0.35">
      <c r="I1817" s="53"/>
      <c r="J1817" s="29"/>
      <c r="K1817" s="30"/>
      <c r="L1817" s="29"/>
      <c r="O1817" s="49"/>
    </row>
    <row r="1818" spans="9:15" x14ac:dyDescent="0.35">
      <c r="I1818" s="53"/>
      <c r="J1818" s="29"/>
      <c r="K1818" s="30"/>
      <c r="L1818" s="29"/>
      <c r="O1818" s="49"/>
    </row>
    <row r="1819" spans="9:15" x14ac:dyDescent="0.35">
      <c r="I1819" s="53"/>
      <c r="J1819" s="29"/>
      <c r="K1819" s="30"/>
      <c r="L1819" s="29"/>
      <c r="O1819" s="49"/>
    </row>
    <row r="1820" spans="9:15" x14ac:dyDescent="0.35">
      <c r="I1820" s="53"/>
      <c r="J1820" s="29"/>
      <c r="K1820" s="30"/>
      <c r="L1820" s="29"/>
      <c r="O1820" s="49"/>
    </row>
    <row r="1821" spans="9:15" x14ac:dyDescent="0.35">
      <c r="I1821" s="53"/>
      <c r="J1821" s="29"/>
      <c r="K1821" s="30"/>
      <c r="L1821" s="29"/>
      <c r="O1821" s="49"/>
    </row>
    <row r="1822" spans="9:15" x14ac:dyDescent="0.35">
      <c r="I1822" s="53"/>
      <c r="J1822" s="29"/>
      <c r="K1822" s="30"/>
      <c r="L1822" s="29"/>
      <c r="O1822" s="49"/>
    </row>
    <row r="1823" spans="9:15" x14ac:dyDescent="0.35">
      <c r="I1823" s="53"/>
      <c r="J1823" s="29"/>
      <c r="K1823" s="30"/>
      <c r="L1823" s="29"/>
      <c r="O1823" s="49"/>
    </row>
    <row r="1824" spans="9:15" x14ac:dyDescent="0.35">
      <c r="I1824" s="53"/>
      <c r="J1824" s="29"/>
      <c r="K1824" s="30"/>
      <c r="L1824" s="29"/>
      <c r="O1824" s="49"/>
    </row>
    <row r="1825" spans="9:15" x14ac:dyDescent="0.35">
      <c r="I1825" s="53"/>
      <c r="J1825" s="29"/>
      <c r="K1825" s="30"/>
      <c r="L1825" s="29"/>
      <c r="O1825" s="49"/>
    </row>
    <row r="1826" spans="9:15" x14ac:dyDescent="0.35">
      <c r="I1826" s="53"/>
      <c r="J1826" s="29"/>
      <c r="K1826" s="30"/>
      <c r="L1826" s="29"/>
      <c r="O1826" s="49"/>
    </row>
    <row r="1827" spans="9:15" x14ac:dyDescent="0.35">
      <c r="I1827" s="53"/>
      <c r="J1827" s="29"/>
      <c r="K1827" s="30"/>
      <c r="L1827" s="29"/>
      <c r="O1827" s="49"/>
    </row>
    <row r="1828" spans="9:15" x14ac:dyDescent="0.35">
      <c r="I1828" s="53"/>
      <c r="J1828" s="29"/>
      <c r="K1828" s="30"/>
      <c r="L1828" s="29"/>
      <c r="O1828" s="49"/>
    </row>
    <row r="1829" spans="9:15" x14ac:dyDescent="0.35">
      <c r="I1829" s="53"/>
      <c r="J1829" s="29"/>
      <c r="K1829" s="30"/>
      <c r="L1829" s="29"/>
      <c r="O1829" s="49"/>
    </row>
    <row r="1830" spans="9:15" x14ac:dyDescent="0.35">
      <c r="I1830" s="53"/>
      <c r="J1830" s="29"/>
      <c r="K1830" s="30"/>
      <c r="L1830" s="29"/>
      <c r="O1830" s="49"/>
    </row>
    <row r="1831" spans="9:15" x14ac:dyDescent="0.35">
      <c r="I1831" s="53"/>
      <c r="J1831" s="29"/>
      <c r="K1831" s="30"/>
      <c r="L1831" s="29"/>
      <c r="O1831" s="49"/>
    </row>
    <row r="1832" spans="9:15" x14ac:dyDescent="0.35">
      <c r="I1832" s="53"/>
      <c r="J1832" s="29"/>
      <c r="K1832" s="30"/>
      <c r="L1832" s="29"/>
      <c r="O1832" s="49"/>
    </row>
    <row r="1833" spans="9:15" x14ac:dyDescent="0.35">
      <c r="I1833" s="53"/>
      <c r="J1833" s="29"/>
      <c r="K1833" s="30"/>
      <c r="L1833" s="29"/>
      <c r="O1833" s="49"/>
    </row>
    <row r="1834" spans="9:15" x14ac:dyDescent="0.35">
      <c r="I1834" s="53"/>
      <c r="J1834" s="29"/>
      <c r="K1834" s="30"/>
      <c r="L1834" s="29"/>
      <c r="O1834" s="49"/>
    </row>
    <row r="1835" spans="9:15" x14ac:dyDescent="0.35">
      <c r="I1835" s="53"/>
      <c r="J1835" s="29"/>
      <c r="K1835" s="30"/>
      <c r="L1835" s="29"/>
      <c r="O1835" s="49"/>
    </row>
    <row r="1836" spans="9:15" x14ac:dyDescent="0.35">
      <c r="I1836" s="53"/>
      <c r="J1836" s="29"/>
      <c r="K1836" s="30"/>
      <c r="L1836" s="29"/>
      <c r="O1836" s="49"/>
    </row>
    <row r="1837" spans="9:15" x14ac:dyDescent="0.35">
      <c r="I1837" s="53"/>
      <c r="J1837" s="29"/>
      <c r="K1837" s="30"/>
      <c r="L1837" s="29"/>
      <c r="O1837" s="49"/>
    </row>
    <row r="1838" spans="9:15" x14ac:dyDescent="0.35">
      <c r="I1838" s="53"/>
      <c r="J1838" s="29"/>
      <c r="K1838" s="30"/>
      <c r="L1838" s="29"/>
      <c r="O1838" s="49"/>
    </row>
    <row r="1839" spans="9:15" x14ac:dyDescent="0.35">
      <c r="I1839" s="53"/>
      <c r="J1839" s="29"/>
      <c r="K1839" s="30"/>
      <c r="L1839" s="29"/>
      <c r="O1839" s="49"/>
    </row>
    <row r="1840" spans="9:15" x14ac:dyDescent="0.35">
      <c r="I1840" s="53"/>
      <c r="J1840" s="29"/>
      <c r="K1840" s="30"/>
      <c r="L1840" s="29"/>
      <c r="O1840" s="49"/>
    </row>
    <row r="1841" spans="9:15" x14ac:dyDescent="0.35">
      <c r="I1841" s="53"/>
      <c r="J1841" s="29"/>
      <c r="K1841" s="30"/>
      <c r="L1841" s="29"/>
      <c r="O1841" s="49"/>
    </row>
    <row r="1842" spans="9:15" x14ac:dyDescent="0.35">
      <c r="I1842" s="53"/>
      <c r="J1842" s="29"/>
      <c r="K1842" s="30"/>
      <c r="L1842" s="29"/>
      <c r="O1842" s="49"/>
    </row>
    <row r="1843" spans="9:15" x14ac:dyDescent="0.35">
      <c r="I1843" s="53"/>
      <c r="J1843" s="29"/>
      <c r="K1843" s="30"/>
      <c r="L1843" s="29"/>
      <c r="O1843" s="49"/>
    </row>
    <row r="1844" spans="9:15" x14ac:dyDescent="0.35">
      <c r="I1844" s="53"/>
      <c r="J1844" s="29"/>
      <c r="K1844" s="30"/>
      <c r="L1844" s="29"/>
      <c r="O1844" s="49"/>
    </row>
    <row r="1845" spans="9:15" x14ac:dyDescent="0.35">
      <c r="I1845" s="53"/>
      <c r="J1845" s="29"/>
      <c r="K1845" s="30"/>
      <c r="L1845" s="29"/>
      <c r="O1845" s="49"/>
    </row>
    <row r="1846" spans="9:15" x14ac:dyDescent="0.35">
      <c r="I1846" s="53"/>
      <c r="J1846" s="29"/>
      <c r="K1846" s="30"/>
      <c r="L1846" s="29"/>
      <c r="O1846" s="49"/>
    </row>
    <row r="1847" spans="9:15" x14ac:dyDescent="0.35">
      <c r="I1847" s="53"/>
      <c r="J1847" s="29"/>
      <c r="K1847" s="30"/>
      <c r="L1847" s="29"/>
      <c r="O1847" s="49"/>
    </row>
    <row r="1848" spans="9:15" x14ac:dyDescent="0.35">
      <c r="I1848" s="53"/>
      <c r="J1848" s="29"/>
      <c r="K1848" s="30"/>
      <c r="L1848" s="29"/>
      <c r="O1848" s="49"/>
    </row>
    <row r="1849" spans="9:15" x14ac:dyDescent="0.35">
      <c r="I1849" s="53"/>
      <c r="J1849" s="29"/>
      <c r="K1849" s="30"/>
      <c r="L1849" s="29"/>
      <c r="O1849" s="49"/>
    </row>
    <row r="1850" spans="9:15" x14ac:dyDescent="0.35">
      <c r="I1850" s="53"/>
      <c r="J1850" s="29"/>
      <c r="K1850" s="30"/>
      <c r="L1850" s="29"/>
      <c r="O1850" s="49"/>
    </row>
    <row r="1851" spans="9:15" x14ac:dyDescent="0.35">
      <c r="I1851" s="53"/>
      <c r="J1851" s="29"/>
      <c r="K1851" s="30"/>
      <c r="L1851" s="29"/>
      <c r="O1851" s="49"/>
    </row>
    <row r="1852" spans="9:15" x14ac:dyDescent="0.35">
      <c r="I1852" s="53"/>
      <c r="J1852" s="29"/>
      <c r="K1852" s="30"/>
      <c r="L1852" s="29"/>
      <c r="O1852" s="49"/>
    </row>
    <row r="1853" spans="9:15" x14ac:dyDescent="0.35">
      <c r="I1853" s="53"/>
      <c r="J1853" s="29"/>
      <c r="K1853" s="30"/>
      <c r="L1853" s="29"/>
      <c r="O1853" s="49"/>
    </row>
    <row r="1854" spans="9:15" x14ac:dyDescent="0.35">
      <c r="I1854" s="53"/>
      <c r="J1854" s="29"/>
      <c r="K1854" s="30"/>
      <c r="L1854" s="29"/>
      <c r="O1854" s="49"/>
    </row>
    <row r="1855" spans="9:15" x14ac:dyDescent="0.35">
      <c r="I1855" s="53"/>
      <c r="J1855" s="29"/>
      <c r="K1855" s="30"/>
      <c r="L1855" s="29"/>
      <c r="O1855" s="49"/>
    </row>
    <row r="1856" spans="9:15" x14ac:dyDescent="0.35">
      <c r="I1856" s="53"/>
      <c r="J1856" s="29"/>
      <c r="K1856" s="30"/>
      <c r="L1856" s="29"/>
      <c r="O1856" s="49"/>
    </row>
    <row r="1857" spans="9:15" x14ac:dyDescent="0.35">
      <c r="I1857" s="53"/>
      <c r="J1857" s="29"/>
      <c r="K1857" s="30"/>
      <c r="L1857" s="29"/>
      <c r="O1857" s="49"/>
    </row>
    <row r="1858" spans="9:15" x14ac:dyDescent="0.35">
      <c r="I1858" s="53"/>
      <c r="J1858" s="29"/>
      <c r="K1858" s="30"/>
      <c r="L1858" s="29"/>
      <c r="O1858" s="49"/>
    </row>
    <row r="1859" spans="9:15" x14ac:dyDescent="0.35">
      <c r="I1859" s="53"/>
      <c r="J1859" s="29"/>
      <c r="K1859" s="30"/>
      <c r="L1859" s="29"/>
      <c r="O1859" s="49"/>
    </row>
    <row r="1860" spans="9:15" x14ac:dyDescent="0.35">
      <c r="I1860" s="53"/>
      <c r="J1860" s="29"/>
      <c r="K1860" s="30"/>
      <c r="L1860" s="29"/>
      <c r="O1860" s="49"/>
    </row>
    <row r="1861" spans="9:15" x14ac:dyDescent="0.35">
      <c r="I1861" s="53"/>
      <c r="J1861" s="29"/>
      <c r="K1861" s="30"/>
      <c r="L1861" s="29"/>
      <c r="O1861" s="49"/>
    </row>
    <row r="1862" spans="9:15" x14ac:dyDescent="0.35">
      <c r="I1862" s="53"/>
      <c r="J1862" s="29"/>
      <c r="K1862" s="30"/>
      <c r="L1862" s="29"/>
      <c r="O1862" s="49"/>
    </row>
    <row r="1863" spans="9:15" x14ac:dyDescent="0.35">
      <c r="I1863" s="53"/>
      <c r="J1863" s="29"/>
      <c r="K1863" s="30"/>
      <c r="L1863" s="29"/>
      <c r="O1863" s="49"/>
    </row>
    <row r="1864" spans="9:15" x14ac:dyDescent="0.35">
      <c r="I1864" s="53"/>
      <c r="J1864" s="29"/>
      <c r="K1864" s="30"/>
      <c r="L1864" s="29"/>
      <c r="O1864" s="49"/>
    </row>
    <row r="1865" spans="9:15" x14ac:dyDescent="0.35">
      <c r="I1865" s="53"/>
      <c r="J1865" s="29"/>
      <c r="K1865" s="30"/>
      <c r="L1865" s="29"/>
      <c r="O1865" s="49"/>
    </row>
    <row r="1866" spans="9:15" x14ac:dyDescent="0.35">
      <c r="I1866" s="53"/>
      <c r="J1866" s="29"/>
      <c r="K1866" s="30"/>
      <c r="L1866" s="29"/>
      <c r="O1866" s="49"/>
    </row>
    <row r="1867" spans="9:15" x14ac:dyDescent="0.35">
      <c r="I1867" s="53"/>
      <c r="J1867" s="29"/>
      <c r="K1867" s="30"/>
      <c r="L1867" s="29"/>
      <c r="O1867" s="49"/>
    </row>
    <row r="1868" spans="9:15" x14ac:dyDescent="0.35">
      <c r="I1868" s="53"/>
      <c r="J1868" s="29"/>
      <c r="K1868" s="30"/>
      <c r="L1868" s="29"/>
      <c r="O1868" s="49"/>
    </row>
    <row r="1869" spans="9:15" x14ac:dyDescent="0.35">
      <c r="I1869" s="53"/>
      <c r="J1869" s="29"/>
      <c r="K1869" s="30"/>
      <c r="L1869" s="29"/>
      <c r="O1869" s="49"/>
    </row>
    <row r="1870" spans="9:15" x14ac:dyDescent="0.35">
      <c r="I1870" s="53"/>
      <c r="J1870" s="29"/>
      <c r="K1870" s="30"/>
      <c r="L1870" s="29"/>
      <c r="O1870" s="49"/>
    </row>
    <row r="1871" spans="9:15" x14ac:dyDescent="0.35">
      <c r="I1871" s="53"/>
      <c r="J1871" s="29"/>
      <c r="K1871" s="30"/>
      <c r="L1871" s="29"/>
      <c r="O1871" s="49"/>
    </row>
    <row r="1872" spans="9:15" x14ac:dyDescent="0.35">
      <c r="I1872" s="53"/>
      <c r="J1872" s="29"/>
      <c r="K1872" s="30"/>
      <c r="L1872" s="29"/>
      <c r="O1872" s="49"/>
    </row>
    <row r="1873" spans="9:15" x14ac:dyDescent="0.35">
      <c r="I1873" s="53"/>
      <c r="J1873" s="29"/>
      <c r="K1873" s="30"/>
      <c r="L1873" s="29"/>
      <c r="O1873" s="49"/>
    </row>
    <row r="1874" spans="9:15" x14ac:dyDescent="0.35">
      <c r="I1874" s="53"/>
      <c r="J1874" s="29"/>
      <c r="K1874" s="30"/>
      <c r="L1874" s="29"/>
      <c r="O1874" s="49"/>
    </row>
    <row r="1875" spans="9:15" x14ac:dyDescent="0.35">
      <c r="I1875" s="53"/>
      <c r="J1875" s="29"/>
      <c r="K1875" s="30"/>
      <c r="L1875" s="29"/>
      <c r="O1875" s="49"/>
    </row>
    <row r="1876" spans="9:15" x14ac:dyDescent="0.35">
      <c r="I1876" s="53"/>
      <c r="J1876" s="29"/>
      <c r="K1876" s="30"/>
      <c r="L1876" s="29"/>
      <c r="O1876" s="49"/>
    </row>
    <row r="1877" spans="9:15" x14ac:dyDescent="0.35">
      <c r="I1877" s="53"/>
      <c r="J1877" s="29"/>
      <c r="K1877" s="30"/>
      <c r="L1877" s="29"/>
      <c r="O1877" s="49"/>
    </row>
    <row r="1878" spans="9:15" x14ac:dyDescent="0.35">
      <c r="I1878" s="53"/>
      <c r="J1878" s="29"/>
      <c r="K1878" s="30"/>
      <c r="L1878" s="29"/>
      <c r="O1878" s="49"/>
    </row>
    <row r="1879" spans="9:15" x14ac:dyDescent="0.35">
      <c r="I1879" s="53"/>
      <c r="J1879" s="29"/>
      <c r="K1879" s="30"/>
      <c r="L1879" s="29"/>
      <c r="O1879" s="49"/>
    </row>
    <row r="1880" spans="9:15" x14ac:dyDescent="0.35">
      <c r="I1880" s="53"/>
      <c r="J1880" s="29"/>
      <c r="K1880" s="30"/>
      <c r="L1880" s="29"/>
      <c r="O1880" s="49"/>
    </row>
    <row r="1881" spans="9:15" x14ac:dyDescent="0.35">
      <c r="I1881" s="53"/>
      <c r="J1881" s="29"/>
      <c r="K1881" s="30"/>
      <c r="L1881" s="29"/>
      <c r="O1881" s="49"/>
    </row>
    <row r="1882" spans="9:15" x14ac:dyDescent="0.35">
      <c r="I1882" s="53"/>
      <c r="J1882" s="29"/>
      <c r="K1882" s="30"/>
      <c r="L1882" s="29"/>
      <c r="O1882" s="49"/>
    </row>
    <row r="1883" spans="9:15" x14ac:dyDescent="0.35">
      <c r="I1883" s="53"/>
      <c r="J1883" s="29"/>
      <c r="K1883" s="30"/>
      <c r="L1883" s="29"/>
      <c r="O1883" s="49"/>
    </row>
    <row r="1884" spans="9:15" x14ac:dyDescent="0.35">
      <c r="I1884" s="53"/>
      <c r="J1884" s="29"/>
      <c r="K1884" s="30"/>
      <c r="L1884" s="29"/>
      <c r="O1884" s="49"/>
    </row>
    <row r="1885" spans="9:15" x14ac:dyDescent="0.35">
      <c r="I1885" s="53"/>
      <c r="J1885" s="29"/>
      <c r="K1885" s="30"/>
      <c r="L1885" s="29"/>
      <c r="O1885" s="49"/>
    </row>
    <row r="1886" spans="9:15" x14ac:dyDescent="0.35">
      <c r="I1886" s="53"/>
      <c r="J1886" s="29"/>
      <c r="K1886" s="30"/>
      <c r="L1886" s="29"/>
      <c r="O1886" s="49"/>
    </row>
    <row r="1887" spans="9:15" x14ac:dyDescent="0.35">
      <c r="I1887" s="53"/>
      <c r="J1887" s="29"/>
      <c r="K1887" s="30"/>
      <c r="L1887" s="29"/>
      <c r="O1887" s="49"/>
    </row>
    <row r="1888" spans="9:15" x14ac:dyDescent="0.35">
      <c r="I1888" s="53"/>
      <c r="J1888" s="29"/>
      <c r="K1888" s="30"/>
      <c r="L1888" s="29"/>
      <c r="O1888" s="49"/>
    </row>
    <row r="1889" spans="9:15" x14ac:dyDescent="0.35">
      <c r="I1889" s="53"/>
      <c r="J1889" s="29"/>
      <c r="K1889" s="30"/>
      <c r="L1889" s="29"/>
      <c r="O1889" s="49"/>
    </row>
    <row r="1890" spans="9:15" x14ac:dyDescent="0.35">
      <c r="I1890" s="53"/>
      <c r="J1890" s="29"/>
      <c r="K1890" s="30"/>
      <c r="L1890" s="29"/>
      <c r="O1890" s="49"/>
    </row>
    <row r="1891" spans="9:15" x14ac:dyDescent="0.35">
      <c r="I1891" s="53"/>
      <c r="J1891" s="29"/>
      <c r="K1891" s="30"/>
      <c r="L1891" s="29"/>
      <c r="O1891" s="49"/>
    </row>
    <row r="1892" spans="9:15" x14ac:dyDescent="0.35">
      <c r="I1892" s="53"/>
      <c r="J1892" s="29"/>
      <c r="K1892" s="30"/>
      <c r="L1892" s="29"/>
      <c r="O1892" s="49"/>
    </row>
    <row r="1893" spans="9:15" x14ac:dyDescent="0.35">
      <c r="I1893" s="53"/>
      <c r="J1893" s="29"/>
      <c r="K1893" s="30"/>
      <c r="L1893" s="29"/>
      <c r="O1893" s="49"/>
    </row>
    <row r="1894" spans="9:15" x14ac:dyDescent="0.35">
      <c r="I1894" s="53"/>
      <c r="J1894" s="29"/>
      <c r="K1894" s="30"/>
      <c r="L1894" s="29"/>
      <c r="O1894" s="49"/>
    </row>
    <row r="1895" spans="9:15" x14ac:dyDescent="0.35">
      <c r="I1895" s="53"/>
      <c r="J1895" s="29"/>
      <c r="K1895" s="30"/>
      <c r="L1895" s="29"/>
      <c r="O1895" s="49"/>
    </row>
    <row r="1896" spans="9:15" x14ac:dyDescent="0.35">
      <c r="I1896" s="53"/>
      <c r="J1896" s="29"/>
      <c r="K1896" s="30"/>
      <c r="L1896" s="29"/>
      <c r="O1896" s="49"/>
    </row>
    <row r="1897" spans="9:15" x14ac:dyDescent="0.35">
      <c r="I1897" s="53"/>
      <c r="J1897" s="29"/>
      <c r="K1897" s="30"/>
      <c r="L1897" s="29"/>
      <c r="O1897" s="49"/>
    </row>
    <row r="1898" spans="9:15" x14ac:dyDescent="0.35">
      <c r="I1898" s="53"/>
      <c r="J1898" s="29"/>
      <c r="K1898" s="30"/>
      <c r="L1898" s="29"/>
      <c r="O1898" s="49"/>
    </row>
    <row r="1899" spans="9:15" x14ac:dyDescent="0.35">
      <c r="I1899" s="53"/>
      <c r="J1899" s="29"/>
      <c r="K1899" s="30"/>
      <c r="L1899" s="29"/>
      <c r="O1899" s="49"/>
    </row>
    <row r="1900" spans="9:15" x14ac:dyDescent="0.35">
      <c r="I1900" s="53"/>
      <c r="J1900" s="29"/>
      <c r="K1900" s="30"/>
      <c r="L1900" s="29"/>
      <c r="O1900" s="49"/>
    </row>
    <row r="1901" spans="9:15" x14ac:dyDescent="0.35">
      <c r="I1901" s="53"/>
      <c r="J1901" s="29"/>
      <c r="K1901" s="30"/>
      <c r="L1901" s="29"/>
      <c r="O1901" s="49"/>
    </row>
    <row r="1902" spans="9:15" x14ac:dyDescent="0.35">
      <c r="I1902" s="53"/>
      <c r="J1902" s="29"/>
      <c r="K1902" s="30"/>
      <c r="L1902" s="29"/>
      <c r="O1902" s="49"/>
    </row>
    <row r="1903" spans="9:15" x14ac:dyDescent="0.35">
      <c r="I1903" s="53"/>
      <c r="J1903" s="29"/>
      <c r="K1903" s="30"/>
      <c r="L1903" s="29"/>
      <c r="O1903" s="49"/>
    </row>
    <row r="1904" spans="9:15" x14ac:dyDescent="0.35">
      <c r="I1904" s="53"/>
      <c r="J1904" s="29"/>
      <c r="K1904" s="30"/>
      <c r="L1904" s="29"/>
      <c r="O1904" s="49"/>
    </row>
    <row r="1905" spans="9:15" x14ac:dyDescent="0.35">
      <c r="I1905" s="53"/>
      <c r="J1905" s="29"/>
      <c r="K1905" s="30"/>
      <c r="L1905" s="29"/>
      <c r="O1905" s="49"/>
    </row>
    <row r="1906" spans="9:15" x14ac:dyDescent="0.35">
      <c r="I1906" s="53"/>
      <c r="J1906" s="29"/>
      <c r="K1906" s="30"/>
      <c r="L1906" s="29"/>
      <c r="O1906" s="49"/>
    </row>
    <row r="1907" spans="9:15" x14ac:dyDescent="0.35">
      <c r="I1907" s="53"/>
      <c r="J1907" s="29"/>
      <c r="K1907" s="30"/>
      <c r="L1907" s="29"/>
      <c r="O1907" s="49"/>
    </row>
    <row r="1908" spans="9:15" x14ac:dyDescent="0.35">
      <c r="I1908" s="53"/>
      <c r="J1908" s="29"/>
      <c r="K1908" s="30"/>
      <c r="L1908" s="29"/>
      <c r="O1908" s="49"/>
    </row>
    <row r="1909" spans="9:15" x14ac:dyDescent="0.35">
      <c r="I1909" s="53"/>
      <c r="J1909" s="29"/>
      <c r="K1909" s="30"/>
      <c r="L1909" s="29"/>
      <c r="O1909" s="49"/>
    </row>
    <row r="1910" spans="9:15" x14ac:dyDescent="0.35">
      <c r="I1910" s="53"/>
      <c r="J1910" s="29"/>
      <c r="K1910" s="30"/>
      <c r="L1910" s="29"/>
      <c r="O1910" s="49"/>
    </row>
    <row r="1911" spans="9:15" x14ac:dyDescent="0.35">
      <c r="I1911" s="53"/>
      <c r="J1911" s="29"/>
      <c r="K1911" s="30"/>
      <c r="L1911" s="29"/>
      <c r="O1911" s="49"/>
    </row>
    <row r="1912" spans="9:15" x14ac:dyDescent="0.35">
      <c r="I1912" s="53"/>
      <c r="J1912" s="29"/>
      <c r="K1912" s="30"/>
      <c r="L1912" s="29"/>
      <c r="O1912" s="49"/>
    </row>
    <row r="1913" spans="9:15" x14ac:dyDescent="0.35">
      <c r="I1913" s="53"/>
      <c r="J1913" s="29"/>
      <c r="K1913" s="30"/>
      <c r="L1913" s="29"/>
      <c r="O1913" s="49"/>
    </row>
    <row r="1914" spans="9:15" x14ac:dyDescent="0.35">
      <c r="I1914" s="53"/>
      <c r="J1914" s="29"/>
      <c r="K1914" s="30"/>
      <c r="L1914" s="29"/>
      <c r="O1914" s="49"/>
    </row>
    <row r="1915" spans="9:15" x14ac:dyDescent="0.35">
      <c r="I1915" s="53"/>
      <c r="J1915" s="29"/>
      <c r="K1915" s="30"/>
      <c r="L1915" s="29"/>
      <c r="O1915" s="49"/>
    </row>
    <row r="1916" spans="9:15" x14ac:dyDescent="0.35">
      <c r="I1916" s="53"/>
      <c r="J1916" s="29"/>
      <c r="K1916" s="30"/>
      <c r="L1916" s="29"/>
      <c r="O1916" s="49"/>
    </row>
    <row r="1917" spans="9:15" x14ac:dyDescent="0.35">
      <c r="I1917" s="53"/>
      <c r="J1917" s="29"/>
      <c r="K1917" s="30"/>
      <c r="L1917" s="29"/>
      <c r="O1917" s="49"/>
    </row>
    <row r="1918" spans="9:15" x14ac:dyDescent="0.35">
      <c r="I1918" s="53"/>
      <c r="J1918" s="29"/>
      <c r="K1918" s="30"/>
      <c r="L1918" s="29"/>
      <c r="O1918" s="49"/>
    </row>
    <row r="1919" spans="9:15" x14ac:dyDescent="0.35">
      <c r="I1919" s="53"/>
      <c r="J1919" s="29"/>
      <c r="K1919" s="30"/>
      <c r="L1919" s="29"/>
      <c r="O1919" s="49"/>
    </row>
    <row r="1920" spans="9:15" x14ac:dyDescent="0.35">
      <c r="I1920" s="53"/>
      <c r="J1920" s="29"/>
      <c r="K1920" s="30"/>
      <c r="L1920" s="29"/>
      <c r="O1920" s="49"/>
    </row>
    <row r="1921" spans="9:15" x14ac:dyDescent="0.35">
      <c r="I1921" s="53"/>
      <c r="J1921" s="29"/>
      <c r="K1921" s="30"/>
      <c r="L1921" s="29"/>
      <c r="O1921" s="49"/>
    </row>
    <row r="1922" spans="9:15" x14ac:dyDescent="0.35">
      <c r="I1922" s="53"/>
      <c r="J1922" s="29"/>
      <c r="K1922" s="30"/>
      <c r="L1922" s="29"/>
      <c r="O1922" s="49"/>
    </row>
    <row r="1923" spans="9:15" x14ac:dyDescent="0.35">
      <c r="I1923" s="53"/>
      <c r="J1923" s="29"/>
      <c r="K1923" s="30"/>
      <c r="L1923" s="29"/>
      <c r="O1923" s="49"/>
    </row>
    <row r="1924" spans="9:15" x14ac:dyDescent="0.35">
      <c r="I1924" s="53"/>
      <c r="J1924" s="29"/>
      <c r="K1924" s="30"/>
      <c r="L1924" s="29"/>
      <c r="O1924" s="49"/>
    </row>
    <row r="1925" spans="9:15" x14ac:dyDescent="0.35">
      <c r="I1925" s="53"/>
      <c r="J1925" s="29"/>
      <c r="K1925" s="30"/>
      <c r="L1925" s="29"/>
      <c r="O1925" s="49"/>
    </row>
    <row r="1926" spans="9:15" x14ac:dyDescent="0.35">
      <c r="I1926" s="53"/>
      <c r="J1926" s="29"/>
      <c r="K1926" s="30"/>
      <c r="L1926" s="29"/>
      <c r="O1926" s="49"/>
    </row>
    <row r="1927" spans="9:15" x14ac:dyDescent="0.35">
      <c r="I1927" s="53"/>
      <c r="J1927" s="29"/>
      <c r="K1927" s="30"/>
      <c r="L1927" s="29"/>
      <c r="O1927" s="49"/>
    </row>
    <row r="1928" spans="9:15" x14ac:dyDescent="0.35">
      <c r="I1928" s="53"/>
      <c r="J1928" s="29"/>
      <c r="K1928" s="30"/>
      <c r="L1928" s="29"/>
      <c r="O1928" s="49"/>
    </row>
    <row r="1929" spans="9:15" x14ac:dyDescent="0.35">
      <c r="I1929" s="53"/>
      <c r="J1929" s="29"/>
      <c r="K1929" s="30"/>
      <c r="L1929" s="29"/>
      <c r="O1929" s="49"/>
    </row>
    <row r="1930" spans="9:15" x14ac:dyDescent="0.35">
      <c r="I1930" s="53"/>
      <c r="J1930" s="29"/>
      <c r="K1930" s="30"/>
      <c r="L1930" s="29"/>
      <c r="O1930" s="49"/>
    </row>
    <row r="1931" spans="9:15" x14ac:dyDescent="0.35">
      <c r="I1931" s="53"/>
      <c r="J1931" s="29"/>
      <c r="K1931" s="30"/>
      <c r="L1931" s="29"/>
      <c r="O1931" s="49"/>
    </row>
    <row r="1932" spans="9:15" x14ac:dyDescent="0.35">
      <c r="I1932" s="53"/>
      <c r="J1932" s="29"/>
      <c r="K1932" s="30"/>
      <c r="L1932" s="29"/>
      <c r="O1932" s="49"/>
    </row>
    <row r="1933" spans="9:15" x14ac:dyDescent="0.35">
      <c r="I1933" s="53"/>
      <c r="J1933" s="29"/>
      <c r="K1933" s="30"/>
      <c r="L1933" s="29"/>
      <c r="O1933" s="49"/>
    </row>
    <row r="1934" spans="9:15" x14ac:dyDescent="0.35">
      <c r="I1934" s="53"/>
      <c r="J1934" s="29"/>
      <c r="K1934" s="30"/>
      <c r="L1934" s="29"/>
      <c r="O1934" s="49"/>
    </row>
    <row r="1935" spans="9:15" x14ac:dyDescent="0.35">
      <c r="I1935" s="53"/>
      <c r="J1935" s="29"/>
      <c r="K1935" s="30"/>
      <c r="L1935" s="29"/>
      <c r="O1935" s="49"/>
    </row>
    <row r="1936" spans="9:15" x14ac:dyDescent="0.35">
      <c r="I1936" s="53"/>
      <c r="J1936" s="29"/>
      <c r="K1936" s="30"/>
      <c r="L1936" s="29"/>
      <c r="O1936" s="49"/>
    </row>
    <row r="1937" spans="9:15" x14ac:dyDescent="0.35">
      <c r="I1937" s="53"/>
      <c r="J1937" s="29"/>
      <c r="K1937" s="30"/>
      <c r="L1937" s="29"/>
      <c r="O1937" s="49"/>
    </row>
    <row r="1938" spans="9:15" x14ac:dyDescent="0.35">
      <c r="I1938" s="53"/>
      <c r="J1938" s="29"/>
      <c r="K1938" s="30"/>
      <c r="L1938" s="29"/>
      <c r="O1938" s="49"/>
    </row>
    <row r="1939" spans="9:15" x14ac:dyDescent="0.35">
      <c r="I1939" s="53"/>
      <c r="J1939" s="29"/>
      <c r="K1939" s="30"/>
      <c r="L1939" s="29"/>
      <c r="O1939" s="49"/>
    </row>
    <row r="1940" spans="9:15" x14ac:dyDescent="0.35">
      <c r="I1940" s="53"/>
      <c r="J1940" s="29"/>
      <c r="K1940" s="30"/>
      <c r="L1940" s="29"/>
      <c r="O1940" s="49"/>
    </row>
    <row r="1941" spans="9:15" x14ac:dyDescent="0.35">
      <c r="I1941" s="53"/>
      <c r="J1941" s="29"/>
      <c r="K1941" s="30"/>
      <c r="L1941" s="29"/>
      <c r="O1941" s="49"/>
    </row>
    <row r="1942" spans="9:15" x14ac:dyDescent="0.35">
      <c r="I1942" s="53"/>
      <c r="J1942" s="29"/>
      <c r="K1942" s="30"/>
      <c r="L1942" s="29"/>
      <c r="O1942" s="49"/>
    </row>
    <row r="1943" spans="9:15" x14ac:dyDescent="0.35">
      <c r="I1943" s="53"/>
      <c r="J1943" s="29"/>
      <c r="K1943" s="30"/>
      <c r="L1943" s="29"/>
      <c r="O1943" s="49"/>
    </row>
    <row r="1944" spans="9:15" x14ac:dyDescent="0.35">
      <c r="I1944" s="53"/>
      <c r="J1944" s="29"/>
      <c r="K1944" s="30"/>
      <c r="L1944" s="29"/>
      <c r="O1944" s="49"/>
    </row>
    <row r="1945" spans="9:15" x14ac:dyDescent="0.35">
      <c r="I1945" s="53"/>
      <c r="J1945" s="29"/>
      <c r="K1945" s="30"/>
      <c r="L1945" s="29"/>
      <c r="O1945" s="49"/>
    </row>
    <row r="1946" spans="9:15" x14ac:dyDescent="0.35">
      <c r="I1946" s="53"/>
      <c r="J1946" s="29"/>
      <c r="K1946" s="30"/>
      <c r="L1946" s="29"/>
      <c r="O1946" s="49"/>
    </row>
    <row r="1947" spans="9:15" x14ac:dyDescent="0.35">
      <c r="I1947" s="53"/>
      <c r="J1947" s="29"/>
      <c r="K1947" s="30"/>
      <c r="L1947" s="29"/>
      <c r="O1947" s="49"/>
    </row>
    <row r="1948" spans="9:15" x14ac:dyDescent="0.35">
      <c r="I1948" s="53"/>
      <c r="J1948" s="29"/>
      <c r="K1948" s="30"/>
      <c r="L1948" s="29"/>
      <c r="O1948" s="49"/>
    </row>
    <row r="1949" spans="9:15" x14ac:dyDescent="0.35">
      <c r="I1949" s="53"/>
      <c r="J1949" s="29"/>
      <c r="K1949" s="30"/>
      <c r="L1949" s="29"/>
      <c r="O1949" s="49"/>
    </row>
    <row r="1950" spans="9:15" x14ac:dyDescent="0.35">
      <c r="I1950" s="53"/>
      <c r="J1950" s="29"/>
      <c r="K1950" s="30"/>
      <c r="L1950" s="29"/>
      <c r="O1950" s="49"/>
    </row>
    <row r="1951" spans="9:15" x14ac:dyDescent="0.35">
      <c r="I1951" s="53"/>
      <c r="J1951" s="29"/>
      <c r="K1951" s="30"/>
      <c r="L1951" s="29"/>
      <c r="O1951" s="49"/>
    </row>
    <row r="1952" spans="9:15" x14ac:dyDescent="0.35">
      <c r="I1952" s="53"/>
      <c r="J1952" s="29"/>
      <c r="K1952" s="30"/>
      <c r="L1952" s="29"/>
      <c r="O1952" s="49"/>
    </row>
    <row r="1953" spans="9:15" x14ac:dyDescent="0.35">
      <c r="I1953" s="53"/>
      <c r="J1953" s="29"/>
      <c r="K1953" s="30"/>
      <c r="L1953" s="29"/>
      <c r="O1953" s="49"/>
    </row>
    <row r="1954" spans="9:15" x14ac:dyDescent="0.35">
      <c r="I1954" s="53"/>
      <c r="J1954" s="29"/>
      <c r="K1954" s="30"/>
      <c r="L1954" s="29"/>
      <c r="O1954" s="49"/>
    </row>
    <row r="1955" spans="9:15" x14ac:dyDescent="0.35">
      <c r="I1955" s="53"/>
      <c r="J1955" s="29"/>
      <c r="K1955" s="30"/>
      <c r="L1955" s="29"/>
      <c r="O1955" s="49"/>
    </row>
    <row r="1956" spans="9:15" x14ac:dyDescent="0.35">
      <c r="I1956" s="53"/>
      <c r="J1956" s="29"/>
      <c r="K1956" s="30"/>
      <c r="L1956" s="29"/>
      <c r="O1956" s="49"/>
    </row>
    <row r="1957" spans="9:15" x14ac:dyDescent="0.35">
      <c r="I1957" s="53"/>
      <c r="J1957" s="29"/>
      <c r="K1957" s="30"/>
      <c r="L1957" s="29"/>
      <c r="O1957" s="49"/>
    </row>
    <row r="1958" spans="9:15" x14ac:dyDescent="0.35">
      <c r="I1958" s="53"/>
      <c r="J1958" s="29"/>
      <c r="K1958" s="30"/>
      <c r="L1958" s="29"/>
      <c r="O1958" s="49"/>
    </row>
    <row r="1959" spans="9:15" x14ac:dyDescent="0.35">
      <c r="I1959" s="53"/>
      <c r="J1959" s="29"/>
      <c r="K1959" s="30"/>
      <c r="L1959" s="29"/>
      <c r="O1959" s="49"/>
    </row>
    <row r="1960" spans="9:15" x14ac:dyDescent="0.35">
      <c r="I1960" s="53"/>
      <c r="J1960" s="29"/>
      <c r="K1960" s="30"/>
      <c r="L1960" s="29"/>
      <c r="O1960" s="49"/>
    </row>
    <row r="1961" spans="9:15" x14ac:dyDescent="0.35">
      <c r="I1961" s="53"/>
      <c r="J1961" s="29"/>
      <c r="K1961" s="30"/>
      <c r="L1961" s="29"/>
      <c r="O1961" s="49"/>
    </row>
    <row r="1962" spans="9:15" x14ac:dyDescent="0.35">
      <c r="I1962" s="53"/>
      <c r="J1962" s="29"/>
      <c r="K1962" s="30"/>
      <c r="L1962" s="29"/>
      <c r="O1962" s="49"/>
    </row>
    <row r="1963" spans="9:15" x14ac:dyDescent="0.35">
      <c r="I1963" s="53"/>
      <c r="J1963" s="29"/>
      <c r="K1963" s="30"/>
      <c r="L1963" s="29"/>
      <c r="O1963" s="49"/>
    </row>
    <row r="1964" spans="9:15" x14ac:dyDescent="0.35">
      <c r="I1964" s="53"/>
      <c r="J1964" s="29"/>
      <c r="K1964" s="30"/>
      <c r="L1964" s="29"/>
      <c r="O1964" s="49"/>
    </row>
    <row r="1965" spans="9:15" x14ac:dyDescent="0.35">
      <c r="I1965" s="53"/>
      <c r="J1965" s="29"/>
      <c r="K1965" s="30"/>
      <c r="L1965" s="29"/>
      <c r="O1965" s="49"/>
    </row>
    <row r="1966" spans="9:15" x14ac:dyDescent="0.35">
      <c r="I1966" s="53"/>
      <c r="J1966" s="29"/>
      <c r="K1966" s="30"/>
      <c r="L1966" s="29"/>
      <c r="O1966" s="49"/>
    </row>
    <row r="1967" spans="9:15" x14ac:dyDescent="0.35">
      <c r="I1967" s="53"/>
      <c r="J1967" s="29"/>
      <c r="K1967" s="30"/>
      <c r="L1967" s="29"/>
      <c r="O1967" s="49"/>
    </row>
    <row r="1968" spans="9:15" x14ac:dyDescent="0.35">
      <c r="I1968" s="53"/>
      <c r="J1968" s="29"/>
      <c r="K1968" s="30"/>
      <c r="L1968" s="29"/>
      <c r="O1968" s="49"/>
    </row>
    <row r="1969" spans="9:15" x14ac:dyDescent="0.35">
      <c r="I1969" s="53"/>
      <c r="J1969" s="29"/>
      <c r="K1969" s="30"/>
      <c r="L1969" s="29"/>
      <c r="O1969" s="49"/>
    </row>
    <row r="1970" spans="9:15" x14ac:dyDescent="0.35">
      <c r="I1970" s="53"/>
      <c r="J1970" s="29"/>
      <c r="K1970" s="30"/>
      <c r="L1970" s="29"/>
      <c r="O1970" s="49"/>
    </row>
    <row r="1971" spans="9:15" x14ac:dyDescent="0.35">
      <c r="I1971" s="53"/>
      <c r="J1971" s="29"/>
      <c r="K1971" s="30"/>
      <c r="L1971" s="29"/>
      <c r="O1971" s="49"/>
    </row>
    <row r="1972" spans="9:15" x14ac:dyDescent="0.35">
      <c r="I1972" s="53"/>
      <c r="J1972" s="29"/>
      <c r="K1972" s="30"/>
      <c r="L1972" s="29"/>
      <c r="O1972" s="49"/>
    </row>
    <row r="1973" spans="9:15" x14ac:dyDescent="0.35">
      <c r="I1973" s="53"/>
      <c r="J1973" s="29"/>
      <c r="K1973" s="30"/>
      <c r="L1973" s="29"/>
      <c r="O1973" s="49"/>
    </row>
    <row r="1974" spans="9:15" x14ac:dyDescent="0.35">
      <c r="I1974" s="53"/>
      <c r="J1974" s="29"/>
      <c r="K1974" s="30"/>
      <c r="L1974" s="29"/>
      <c r="O1974" s="49"/>
    </row>
    <row r="1975" spans="9:15" x14ac:dyDescent="0.35">
      <c r="I1975" s="53"/>
      <c r="J1975" s="29"/>
      <c r="K1975" s="30"/>
      <c r="L1975" s="29"/>
      <c r="O1975" s="49"/>
    </row>
    <row r="1976" spans="9:15" x14ac:dyDescent="0.35">
      <c r="I1976" s="53"/>
      <c r="J1976" s="29"/>
      <c r="K1976" s="30"/>
      <c r="L1976" s="29"/>
      <c r="O1976" s="49"/>
    </row>
    <row r="1977" spans="9:15" x14ac:dyDescent="0.35">
      <c r="I1977" s="53"/>
      <c r="J1977" s="29"/>
      <c r="K1977" s="30"/>
      <c r="L1977" s="29"/>
      <c r="O1977" s="49"/>
    </row>
    <row r="1978" spans="9:15" x14ac:dyDescent="0.35">
      <c r="I1978" s="53"/>
      <c r="J1978" s="29"/>
      <c r="K1978" s="30"/>
      <c r="L1978" s="29"/>
      <c r="O1978" s="49"/>
    </row>
    <row r="1979" spans="9:15" x14ac:dyDescent="0.35">
      <c r="I1979" s="53"/>
      <c r="J1979" s="29"/>
      <c r="K1979" s="30"/>
      <c r="L1979" s="29"/>
      <c r="O1979" s="49"/>
    </row>
    <row r="1980" spans="9:15" x14ac:dyDescent="0.35">
      <c r="I1980" s="53"/>
      <c r="J1980" s="29"/>
      <c r="K1980" s="30"/>
      <c r="L1980" s="29"/>
      <c r="O1980" s="49"/>
    </row>
    <row r="1981" spans="9:15" x14ac:dyDescent="0.35">
      <c r="I1981" s="53"/>
      <c r="J1981" s="29"/>
      <c r="K1981" s="30"/>
      <c r="L1981" s="29"/>
      <c r="O1981" s="49"/>
    </row>
    <row r="1982" spans="9:15" x14ac:dyDescent="0.35">
      <c r="I1982" s="53"/>
      <c r="J1982" s="29"/>
      <c r="K1982" s="30"/>
      <c r="L1982" s="29"/>
      <c r="O1982" s="49"/>
    </row>
    <row r="1983" spans="9:15" x14ac:dyDescent="0.35">
      <c r="I1983" s="53"/>
      <c r="J1983" s="29"/>
      <c r="K1983" s="30"/>
      <c r="L1983" s="29"/>
      <c r="O1983" s="49"/>
    </row>
    <row r="1984" spans="9:15" x14ac:dyDescent="0.35">
      <c r="I1984" s="53"/>
      <c r="J1984" s="29"/>
      <c r="K1984" s="30"/>
      <c r="L1984" s="29"/>
      <c r="O1984" s="49"/>
    </row>
    <row r="1985" spans="9:15" x14ac:dyDescent="0.35">
      <c r="I1985" s="53"/>
      <c r="J1985" s="29"/>
      <c r="K1985" s="30"/>
      <c r="L1985" s="29"/>
      <c r="O1985" s="49"/>
    </row>
    <row r="1986" spans="9:15" x14ac:dyDescent="0.35">
      <c r="I1986" s="53"/>
      <c r="J1986" s="29"/>
      <c r="K1986" s="30"/>
      <c r="L1986" s="29"/>
      <c r="O1986" s="49"/>
    </row>
    <row r="1987" spans="9:15" x14ac:dyDescent="0.35">
      <c r="I1987" s="53"/>
      <c r="J1987" s="29"/>
      <c r="K1987" s="30"/>
      <c r="L1987" s="29"/>
      <c r="O1987" s="49"/>
    </row>
    <row r="1988" spans="9:15" x14ac:dyDescent="0.35">
      <c r="I1988" s="53"/>
      <c r="J1988" s="29"/>
      <c r="K1988" s="30"/>
      <c r="L1988" s="29"/>
      <c r="O1988" s="49"/>
    </row>
    <row r="1989" spans="9:15" x14ac:dyDescent="0.35">
      <c r="I1989" s="53"/>
      <c r="J1989" s="29"/>
      <c r="K1989" s="30"/>
      <c r="L1989" s="29"/>
      <c r="O1989" s="49"/>
    </row>
    <row r="1990" spans="9:15" x14ac:dyDescent="0.35">
      <c r="I1990" s="53"/>
      <c r="J1990" s="29"/>
      <c r="K1990" s="30"/>
      <c r="L1990" s="29"/>
      <c r="O1990" s="49"/>
    </row>
    <row r="1991" spans="9:15" x14ac:dyDescent="0.35">
      <c r="I1991" s="53"/>
      <c r="J1991" s="29"/>
      <c r="K1991" s="30"/>
      <c r="L1991" s="29"/>
      <c r="O1991" s="49"/>
    </row>
    <row r="1992" spans="9:15" x14ac:dyDescent="0.35">
      <c r="I1992" s="53"/>
      <c r="J1992" s="29"/>
      <c r="K1992" s="30"/>
      <c r="L1992" s="29"/>
      <c r="O1992" s="49"/>
    </row>
    <row r="1993" spans="9:15" x14ac:dyDescent="0.35">
      <c r="I1993" s="53"/>
      <c r="J1993" s="29"/>
      <c r="K1993" s="30"/>
      <c r="L1993" s="29"/>
      <c r="O1993" s="49"/>
    </row>
    <row r="1994" spans="9:15" x14ac:dyDescent="0.35">
      <c r="I1994" s="53"/>
      <c r="J1994" s="29"/>
      <c r="K1994" s="30"/>
      <c r="L1994" s="29"/>
      <c r="O1994" s="49"/>
    </row>
    <row r="1995" spans="9:15" x14ac:dyDescent="0.35">
      <c r="I1995" s="53"/>
      <c r="J1995" s="29"/>
      <c r="K1995" s="30"/>
      <c r="L1995" s="29"/>
      <c r="O1995" s="49"/>
    </row>
    <row r="1996" spans="9:15" x14ac:dyDescent="0.35">
      <c r="I1996" s="53"/>
      <c r="J1996" s="29"/>
      <c r="K1996" s="30"/>
      <c r="L1996" s="29"/>
      <c r="O1996" s="49"/>
    </row>
    <row r="1997" spans="9:15" x14ac:dyDescent="0.35">
      <c r="I1997" s="53"/>
      <c r="J1997" s="29"/>
      <c r="K1997" s="30"/>
      <c r="L1997" s="29"/>
      <c r="O1997" s="49"/>
    </row>
    <row r="1998" spans="9:15" x14ac:dyDescent="0.35">
      <c r="I1998" s="53"/>
      <c r="J1998" s="29"/>
      <c r="K1998" s="30"/>
      <c r="L1998" s="29"/>
      <c r="O1998" s="49"/>
    </row>
    <row r="1999" spans="9:15" x14ac:dyDescent="0.35">
      <c r="I1999" s="53"/>
      <c r="J1999" s="29"/>
      <c r="K1999" s="30"/>
      <c r="L1999" s="29"/>
      <c r="O1999" s="49"/>
    </row>
    <row r="2000" spans="9:15" x14ac:dyDescent="0.35">
      <c r="I2000" s="53"/>
      <c r="J2000" s="29"/>
      <c r="K2000" s="30"/>
      <c r="L2000" s="29"/>
      <c r="O2000" s="49"/>
    </row>
    <row r="2001" spans="9:15" x14ac:dyDescent="0.35">
      <c r="I2001" s="53"/>
      <c r="J2001" s="29"/>
      <c r="K2001" s="30"/>
      <c r="L2001" s="29"/>
      <c r="O2001" s="49"/>
    </row>
    <row r="2002" spans="9:15" x14ac:dyDescent="0.35">
      <c r="I2002" s="53"/>
      <c r="J2002" s="29"/>
      <c r="K2002" s="30"/>
      <c r="L2002" s="29"/>
      <c r="O2002" s="49"/>
    </row>
    <row r="2003" spans="9:15" x14ac:dyDescent="0.35">
      <c r="I2003" s="53"/>
      <c r="J2003" s="29"/>
      <c r="K2003" s="30"/>
      <c r="L2003" s="29"/>
      <c r="O2003" s="49"/>
    </row>
    <row r="2004" spans="9:15" x14ac:dyDescent="0.35">
      <c r="I2004" s="53"/>
      <c r="J2004" s="29"/>
      <c r="K2004" s="30"/>
      <c r="L2004" s="29"/>
      <c r="O2004" s="49"/>
    </row>
    <row r="2005" spans="9:15" x14ac:dyDescent="0.35">
      <c r="I2005" s="53"/>
      <c r="J2005" s="29"/>
      <c r="K2005" s="30"/>
      <c r="L2005" s="29"/>
      <c r="O2005" s="49"/>
    </row>
    <row r="2006" spans="9:15" x14ac:dyDescent="0.35">
      <c r="I2006" s="53"/>
      <c r="J2006" s="29"/>
      <c r="K2006" s="30"/>
      <c r="L2006" s="29"/>
      <c r="O2006" s="49"/>
    </row>
    <row r="2007" spans="9:15" x14ac:dyDescent="0.35">
      <c r="I2007" s="53"/>
      <c r="J2007" s="29"/>
      <c r="K2007" s="30"/>
      <c r="L2007" s="29"/>
      <c r="O2007" s="49"/>
    </row>
    <row r="2008" spans="9:15" x14ac:dyDescent="0.35">
      <c r="I2008" s="53"/>
      <c r="J2008" s="29"/>
      <c r="K2008" s="30"/>
      <c r="L2008" s="29"/>
      <c r="O2008" s="49"/>
    </row>
    <row r="2009" spans="9:15" x14ac:dyDescent="0.35">
      <c r="I2009" s="53"/>
      <c r="J2009" s="29"/>
      <c r="K2009" s="30"/>
      <c r="L2009" s="29"/>
      <c r="O2009" s="49"/>
    </row>
    <row r="2010" spans="9:15" x14ac:dyDescent="0.35">
      <c r="I2010" s="53"/>
      <c r="J2010" s="29"/>
      <c r="K2010" s="30"/>
      <c r="L2010" s="29"/>
      <c r="O2010" s="49"/>
    </row>
    <row r="2011" spans="9:15" x14ac:dyDescent="0.35">
      <c r="I2011" s="53"/>
      <c r="J2011" s="29"/>
      <c r="K2011" s="30"/>
      <c r="L2011" s="29"/>
      <c r="O2011" s="49"/>
    </row>
    <row r="2012" spans="9:15" x14ac:dyDescent="0.35">
      <c r="I2012" s="53"/>
      <c r="J2012" s="29"/>
      <c r="K2012" s="30"/>
      <c r="L2012" s="29"/>
      <c r="O2012" s="49"/>
    </row>
    <row r="2013" spans="9:15" x14ac:dyDescent="0.35">
      <c r="I2013" s="53"/>
      <c r="J2013" s="29"/>
      <c r="K2013" s="30"/>
      <c r="L2013" s="29"/>
      <c r="O2013" s="49"/>
    </row>
    <row r="2014" spans="9:15" x14ac:dyDescent="0.35">
      <c r="I2014" s="53"/>
      <c r="J2014" s="29"/>
      <c r="K2014" s="30"/>
      <c r="L2014" s="29"/>
      <c r="O2014" s="49"/>
    </row>
    <row r="2015" spans="9:15" x14ac:dyDescent="0.35">
      <c r="I2015" s="53"/>
      <c r="J2015" s="29"/>
      <c r="K2015" s="30"/>
      <c r="L2015" s="29"/>
      <c r="O2015" s="49"/>
    </row>
    <row r="2016" spans="9:15" x14ac:dyDescent="0.35">
      <c r="I2016" s="53"/>
      <c r="J2016" s="29"/>
      <c r="K2016" s="30"/>
      <c r="L2016" s="29"/>
      <c r="O2016" s="49"/>
    </row>
    <row r="2017" spans="9:15" x14ac:dyDescent="0.35">
      <c r="I2017" s="53"/>
      <c r="J2017" s="29"/>
      <c r="K2017" s="30"/>
      <c r="L2017" s="29"/>
      <c r="O2017" s="49"/>
    </row>
    <row r="2018" spans="9:15" x14ac:dyDescent="0.35">
      <c r="I2018" s="53"/>
      <c r="J2018" s="29"/>
      <c r="K2018" s="30"/>
      <c r="L2018" s="29"/>
      <c r="O2018" s="49"/>
    </row>
    <row r="2019" spans="9:15" x14ac:dyDescent="0.35">
      <c r="I2019" s="53"/>
      <c r="J2019" s="29"/>
      <c r="K2019" s="30"/>
      <c r="L2019" s="29"/>
      <c r="O2019" s="49"/>
    </row>
    <row r="2020" spans="9:15" x14ac:dyDescent="0.35">
      <c r="I2020" s="53"/>
      <c r="J2020" s="29"/>
      <c r="K2020" s="30"/>
      <c r="L2020" s="29"/>
      <c r="O2020" s="49"/>
    </row>
    <row r="2021" spans="9:15" x14ac:dyDescent="0.35">
      <c r="I2021" s="53"/>
      <c r="J2021" s="29"/>
      <c r="K2021" s="30"/>
      <c r="L2021" s="29"/>
      <c r="O2021" s="49"/>
    </row>
    <row r="2022" spans="9:15" x14ac:dyDescent="0.35">
      <c r="I2022" s="53"/>
      <c r="J2022" s="29"/>
      <c r="K2022" s="30"/>
      <c r="L2022" s="29"/>
      <c r="O2022" s="49"/>
    </row>
    <row r="2023" spans="9:15" x14ac:dyDescent="0.35">
      <c r="I2023" s="53"/>
      <c r="J2023" s="29"/>
      <c r="K2023" s="30"/>
      <c r="L2023" s="29"/>
      <c r="O2023" s="49"/>
    </row>
    <row r="2024" spans="9:15" x14ac:dyDescent="0.35">
      <c r="I2024" s="53"/>
      <c r="J2024" s="29"/>
      <c r="K2024" s="30"/>
      <c r="L2024" s="29"/>
      <c r="O2024" s="49"/>
    </row>
    <row r="2025" spans="9:15" x14ac:dyDescent="0.35">
      <c r="I2025" s="53"/>
      <c r="J2025" s="29"/>
      <c r="K2025" s="30"/>
      <c r="L2025" s="29"/>
      <c r="O2025" s="49"/>
    </row>
    <row r="2026" spans="9:15" x14ac:dyDescent="0.35">
      <c r="I2026" s="53"/>
      <c r="J2026" s="29"/>
      <c r="K2026" s="30"/>
      <c r="L2026" s="29"/>
      <c r="O2026" s="49"/>
    </row>
    <row r="2027" spans="9:15" x14ac:dyDescent="0.35">
      <c r="I2027" s="53"/>
      <c r="J2027" s="29"/>
      <c r="K2027" s="30"/>
      <c r="L2027" s="29"/>
      <c r="O2027" s="49"/>
    </row>
    <row r="2028" spans="9:15" x14ac:dyDescent="0.35">
      <c r="I2028" s="53"/>
      <c r="J2028" s="29"/>
      <c r="K2028" s="30"/>
      <c r="L2028" s="29"/>
      <c r="O2028" s="49"/>
    </row>
    <row r="2029" spans="9:15" x14ac:dyDescent="0.35">
      <c r="I2029" s="53"/>
      <c r="J2029" s="29"/>
      <c r="K2029" s="30"/>
      <c r="L2029" s="29"/>
      <c r="O2029" s="49"/>
    </row>
    <row r="2030" spans="9:15" x14ac:dyDescent="0.35">
      <c r="I2030" s="53"/>
      <c r="J2030" s="29"/>
      <c r="K2030" s="30"/>
      <c r="L2030" s="29"/>
      <c r="O2030" s="49"/>
    </row>
    <row r="2031" spans="9:15" x14ac:dyDescent="0.35">
      <c r="I2031" s="53"/>
      <c r="J2031" s="29"/>
      <c r="K2031" s="30"/>
      <c r="L2031" s="29"/>
      <c r="O2031" s="49"/>
    </row>
    <row r="2032" spans="9:15" x14ac:dyDescent="0.35">
      <c r="I2032" s="53"/>
      <c r="J2032" s="29"/>
      <c r="K2032" s="30"/>
      <c r="L2032" s="29"/>
      <c r="O2032" s="49"/>
    </row>
    <row r="2033" spans="9:15" x14ac:dyDescent="0.35">
      <c r="I2033" s="53"/>
      <c r="J2033" s="29"/>
      <c r="K2033" s="30"/>
      <c r="L2033" s="29"/>
      <c r="O2033" s="49"/>
    </row>
    <row r="2034" spans="9:15" x14ac:dyDescent="0.35">
      <c r="I2034" s="53"/>
      <c r="J2034" s="29"/>
      <c r="K2034" s="30"/>
      <c r="L2034" s="29"/>
      <c r="O2034" s="49"/>
    </row>
    <row r="2035" spans="9:15" x14ac:dyDescent="0.35">
      <c r="I2035" s="53"/>
      <c r="J2035" s="29"/>
      <c r="K2035" s="30"/>
      <c r="L2035" s="29"/>
      <c r="O2035" s="49"/>
    </row>
    <row r="2036" spans="9:15" x14ac:dyDescent="0.35">
      <c r="I2036" s="53"/>
      <c r="J2036" s="29"/>
      <c r="K2036" s="30"/>
      <c r="L2036" s="29"/>
      <c r="O2036" s="49"/>
    </row>
    <row r="2037" spans="9:15" x14ac:dyDescent="0.35">
      <c r="I2037" s="53"/>
      <c r="J2037" s="29"/>
      <c r="K2037" s="30"/>
      <c r="L2037" s="29"/>
      <c r="O2037" s="49"/>
    </row>
    <row r="2038" spans="9:15" x14ac:dyDescent="0.35">
      <c r="I2038" s="53"/>
      <c r="J2038" s="29"/>
      <c r="K2038" s="30"/>
      <c r="L2038" s="29"/>
      <c r="O2038" s="49"/>
    </row>
    <row r="2039" spans="9:15" x14ac:dyDescent="0.35">
      <c r="I2039" s="53"/>
      <c r="J2039" s="29"/>
      <c r="K2039" s="30"/>
      <c r="L2039" s="29"/>
      <c r="O2039" s="49"/>
    </row>
    <row r="2040" spans="9:15" x14ac:dyDescent="0.35">
      <c r="I2040" s="53"/>
      <c r="J2040" s="29"/>
      <c r="K2040" s="30"/>
      <c r="L2040" s="29"/>
      <c r="O2040" s="49"/>
    </row>
    <row r="2041" spans="9:15" x14ac:dyDescent="0.35">
      <c r="I2041" s="53"/>
      <c r="J2041" s="29"/>
      <c r="K2041" s="30"/>
      <c r="L2041" s="29"/>
      <c r="O2041" s="49"/>
    </row>
    <row r="2042" spans="9:15" x14ac:dyDescent="0.35">
      <c r="I2042" s="53"/>
      <c r="J2042" s="29"/>
      <c r="K2042" s="30"/>
      <c r="L2042" s="29"/>
      <c r="O2042" s="49"/>
    </row>
    <row r="2043" spans="9:15" x14ac:dyDescent="0.35">
      <c r="I2043" s="53"/>
      <c r="J2043" s="29"/>
      <c r="K2043" s="30"/>
      <c r="L2043" s="29"/>
      <c r="O2043" s="49"/>
    </row>
    <row r="2044" spans="9:15" x14ac:dyDescent="0.35">
      <c r="I2044" s="53"/>
      <c r="J2044" s="29"/>
      <c r="K2044" s="30"/>
      <c r="L2044" s="29"/>
      <c r="O2044" s="49"/>
    </row>
    <row r="2045" spans="9:15" x14ac:dyDescent="0.35">
      <c r="I2045" s="53"/>
      <c r="J2045" s="29"/>
      <c r="K2045" s="30"/>
      <c r="L2045" s="29"/>
      <c r="O2045" s="49"/>
    </row>
    <row r="2046" spans="9:15" x14ac:dyDescent="0.35">
      <c r="I2046" s="53"/>
      <c r="J2046" s="29"/>
      <c r="K2046" s="30"/>
      <c r="L2046" s="29"/>
      <c r="O2046" s="49"/>
    </row>
    <row r="2047" spans="9:15" x14ac:dyDescent="0.35">
      <c r="I2047" s="53"/>
      <c r="J2047" s="29"/>
      <c r="K2047" s="30"/>
      <c r="L2047" s="29"/>
      <c r="O2047" s="49"/>
    </row>
    <row r="2048" spans="9:15" x14ac:dyDescent="0.35">
      <c r="I2048" s="53"/>
      <c r="J2048" s="29"/>
      <c r="K2048" s="30"/>
      <c r="L2048" s="29"/>
      <c r="O2048" s="49"/>
    </row>
    <row r="2049" spans="9:15" x14ac:dyDescent="0.35">
      <c r="I2049" s="53"/>
      <c r="J2049" s="29"/>
      <c r="K2049" s="30"/>
      <c r="L2049" s="29"/>
      <c r="O2049" s="49"/>
    </row>
    <row r="2050" spans="9:15" x14ac:dyDescent="0.35">
      <c r="I2050" s="53"/>
      <c r="J2050" s="29"/>
      <c r="K2050" s="30"/>
      <c r="L2050" s="29"/>
      <c r="O2050" s="49"/>
    </row>
    <row r="2051" spans="9:15" x14ac:dyDescent="0.35">
      <c r="I2051" s="53"/>
      <c r="J2051" s="29"/>
      <c r="K2051" s="30"/>
      <c r="L2051" s="29"/>
      <c r="O2051" s="49"/>
    </row>
    <row r="2052" spans="9:15" x14ac:dyDescent="0.35">
      <c r="I2052" s="53"/>
      <c r="J2052" s="29"/>
      <c r="K2052" s="30"/>
      <c r="L2052" s="29"/>
      <c r="O2052" s="49"/>
    </row>
    <row r="2053" spans="9:15" x14ac:dyDescent="0.35">
      <c r="I2053" s="53"/>
      <c r="J2053" s="29"/>
      <c r="K2053" s="30"/>
      <c r="L2053" s="29"/>
      <c r="O2053" s="49"/>
    </row>
    <row r="2054" spans="9:15" x14ac:dyDescent="0.35">
      <c r="I2054" s="53"/>
      <c r="J2054" s="29"/>
      <c r="K2054" s="30"/>
      <c r="L2054" s="29"/>
      <c r="O2054" s="49"/>
    </row>
    <row r="2055" spans="9:15" x14ac:dyDescent="0.35">
      <c r="I2055" s="53"/>
      <c r="J2055" s="29"/>
      <c r="K2055" s="30"/>
      <c r="L2055" s="29"/>
      <c r="O2055" s="49"/>
    </row>
    <row r="2056" spans="9:15" x14ac:dyDescent="0.35">
      <c r="I2056" s="53"/>
      <c r="J2056" s="29"/>
      <c r="K2056" s="30"/>
      <c r="L2056" s="29"/>
      <c r="O2056" s="49"/>
    </row>
    <row r="2057" spans="9:15" x14ac:dyDescent="0.35">
      <c r="I2057" s="53"/>
      <c r="J2057" s="29"/>
      <c r="K2057" s="30"/>
      <c r="L2057" s="29"/>
      <c r="O2057" s="49"/>
    </row>
    <row r="2058" spans="9:15" x14ac:dyDescent="0.35">
      <c r="I2058" s="53"/>
      <c r="J2058" s="29"/>
      <c r="K2058" s="30"/>
      <c r="L2058" s="29"/>
      <c r="O2058" s="49"/>
    </row>
    <row r="2059" spans="9:15" x14ac:dyDescent="0.35">
      <c r="I2059" s="53"/>
      <c r="J2059" s="29"/>
      <c r="K2059" s="30"/>
      <c r="L2059" s="29"/>
      <c r="O2059" s="49"/>
    </row>
    <row r="2060" spans="9:15" x14ac:dyDescent="0.35">
      <c r="I2060" s="53"/>
      <c r="J2060" s="29"/>
      <c r="K2060" s="30"/>
      <c r="L2060" s="29"/>
      <c r="O2060" s="49"/>
    </row>
    <row r="2061" spans="9:15" x14ac:dyDescent="0.35">
      <c r="I2061" s="53"/>
      <c r="J2061" s="29"/>
      <c r="K2061" s="30"/>
      <c r="L2061" s="29"/>
      <c r="O2061" s="49"/>
    </row>
    <row r="2062" spans="9:15" x14ac:dyDescent="0.35">
      <c r="I2062" s="53"/>
      <c r="J2062" s="29"/>
      <c r="K2062" s="30"/>
      <c r="L2062" s="29"/>
      <c r="O2062" s="49"/>
    </row>
    <row r="2063" spans="9:15" x14ac:dyDescent="0.35">
      <c r="I2063" s="53"/>
      <c r="J2063" s="29"/>
      <c r="K2063" s="30"/>
      <c r="L2063" s="29"/>
      <c r="O2063" s="49"/>
    </row>
    <row r="2064" spans="9:15" x14ac:dyDescent="0.35">
      <c r="I2064" s="53"/>
      <c r="J2064" s="29"/>
      <c r="K2064" s="30"/>
      <c r="L2064" s="29"/>
      <c r="O2064" s="49"/>
    </row>
    <row r="2065" spans="9:15" x14ac:dyDescent="0.35">
      <c r="I2065" s="53"/>
      <c r="J2065" s="29"/>
      <c r="K2065" s="30"/>
      <c r="L2065" s="29"/>
      <c r="O2065" s="49"/>
    </row>
    <row r="2066" spans="9:15" x14ac:dyDescent="0.35">
      <c r="I2066" s="53"/>
      <c r="J2066" s="29"/>
      <c r="K2066" s="30"/>
      <c r="L2066" s="29"/>
      <c r="O2066" s="49"/>
    </row>
    <row r="2067" spans="9:15" x14ac:dyDescent="0.35">
      <c r="I2067" s="53"/>
      <c r="J2067" s="29"/>
      <c r="K2067" s="30"/>
      <c r="L2067" s="29"/>
      <c r="O2067" s="49"/>
    </row>
    <row r="2068" spans="9:15" x14ac:dyDescent="0.35">
      <c r="I2068" s="53"/>
      <c r="J2068" s="29"/>
      <c r="K2068" s="30"/>
      <c r="L2068" s="29"/>
      <c r="O2068" s="49"/>
    </row>
    <row r="2069" spans="9:15" x14ac:dyDescent="0.35">
      <c r="I2069" s="53"/>
      <c r="J2069" s="29"/>
      <c r="K2069" s="30"/>
      <c r="L2069" s="29"/>
      <c r="O2069" s="49"/>
    </row>
    <row r="2070" spans="9:15" x14ac:dyDescent="0.35">
      <c r="I2070" s="53"/>
      <c r="J2070" s="29"/>
      <c r="K2070" s="30"/>
      <c r="L2070" s="29"/>
      <c r="O2070" s="49"/>
    </row>
    <row r="2071" spans="9:15" x14ac:dyDescent="0.35">
      <c r="I2071" s="53"/>
      <c r="J2071" s="29"/>
      <c r="K2071" s="30"/>
      <c r="L2071" s="29"/>
      <c r="O2071" s="49"/>
    </row>
    <row r="2072" spans="9:15" x14ac:dyDescent="0.35">
      <c r="I2072" s="53"/>
      <c r="J2072" s="29"/>
      <c r="K2072" s="30"/>
      <c r="L2072" s="29"/>
      <c r="O2072" s="49"/>
    </row>
    <row r="2073" spans="9:15" x14ac:dyDescent="0.35">
      <c r="I2073" s="53"/>
      <c r="J2073" s="29"/>
      <c r="K2073" s="30"/>
      <c r="L2073" s="29"/>
      <c r="O2073" s="49"/>
    </row>
    <row r="2074" spans="9:15" x14ac:dyDescent="0.35">
      <c r="I2074" s="53"/>
      <c r="J2074" s="29"/>
      <c r="K2074" s="30"/>
      <c r="L2074" s="29"/>
      <c r="O2074" s="49"/>
    </row>
    <row r="2075" spans="9:15" x14ac:dyDescent="0.35">
      <c r="I2075" s="53"/>
      <c r="J2075" s="29"/>
      <c r="K2075" s="30"/>
      <c r="L2075" s="29"/>
      <c r="O2075" s="49"/>
    </row>
    <row r="2076" spans="9:15" x14ac:dyDescent="0.35">
      <c r="I2076" s="53"/>
      <c r="J2076" s="29"/>
      <c r="K2076" s="30"/>
      <c r="L2076" s="29"/>
      <c r="O2076" s="49"/>
    </row>
    <row r="2077" spans="9:15" x14ac:dyDescent="0.35">
      <c r="I2077" s="53"/>
      <c r="J2077" s="29"/>
      <c r="K2077" s="30"/>
      <c r="L2077" s="29"/>
      <c r="O2077" s="49"/>
    </row>
    <row r="2078" spans="9:15" x14ac:dyDescent="0.35">
      <c r="I2078" s="53"/>
      <c r="J2078" s="29"/>
      <c r="K2078" s="30"/>
      <c r="L2078" s="29"/>
      <c r="O2078" s="49"/>
    </row>
    <row r="2079" spans="9:15" x14ac:dyDescent="0.35">
      <c r="I2079" s="53"/>
      <c r="J2079" s="29"/>
      <c r="K2079" s="30"/>
      <c r="L2079" s="29"/>
      <c r="O2079" s="49"/>
    </row>
    <row r="2080" spans="9:15" x14ac:dyDescent="0.35">
      <c r="I2080" s="53"/>
      <c r="J2080" s="29"/>
      <c r="K2080" s="30"/>
      <c r="L2080" s="29"/>
      <c r="O2080" s="49"/>
    </row>
    <row r="2081" spans="9:15" x14ac:dyDescent="0.35">
      <c r="I2081" s="53"/>
      <c r="J2081" s="29"/>
      <c r="K2081" s="30"/>
      <c r="L2081" s="29"/>
      <c r="O2081" s="49"/>
    </row>
    <row r="2082" spans="9:15" x14ac:dyDescent="0.35">
      <c r="I2082" s="53"/>
      <c r="J2082" s="29"/>
      <c r="K2082" s="30"/>
      <c r="L2082" s="29"/>
      <c r="O2082" s="49"/>
    </row>
    <row r="2083" spans="9:15" x14ac:dyDescent="0.35">
      <c r="I2083" s="53"/>
      <c r="J2083" s="29"/>
      <c r="K2083" s="30"/>
      <c r="L2083" s="29"/>
      <c r="O2083" s="49"/>
    </row>
    <row r="2084" spans="9:15" x14ac:dyDescent="0.35">
      <c r="I2084" s="53"/>
      <c r="J2084" s="29"/>
      <c r="K2084" s="30"/>
      <c r="L2084" s="29"/>
      <c r="O2084" s="49"/>
    </row>
    <row r="2085" spans="9:15" x14ac:dyDescent="0.35">
      <c r="I2085" s="53"/>
      <c r="J2085" s="29"/>
      <c r="K2085" s="30"/>
      <c r="L2085" s="29"/>
      <c r="O2085" s="49"/>
    </row>
    <row r="2086" spans="9:15" x14ac:dyDescent="0.35">
      <c r="I2086" s="53"/>
      <c r="J2086" s="29"/>
      <c r="K2086" s="30"/>
      <c r="L2086" s="29"/>
      <c r="O2086" s="49"/>
    </row>
    <row r="2087" spans="9:15" x14ac:dyDescent="0.35">
      <c r="I2087" s="53"/>
      <c r="J2087" s="29"/>
      <c r="K2087" s="30"/>
      <c r="L2087" s="29"/>
      <c r="O2087" s="49"/>
    </row>
    <row r="2088" spans="9:15" x14ac:dyDescent="0.35">
      <c r="I2088" s="53"/>
      <c r="J2088" s="29"/>
      <c r="K2088" s="30"/>
      <c r="L2088" s="29"/>
      <c r="O2088" s="49"/>
    </row>
    <row r="2089" spans="9:15" x14ac:dyDescent="0.35">
      <c r="I2089" s="53"/>
      <c r="J2089" s="29"/>
      <c r="K2089" s="30"/>
      <c r="L2089" s="29"/>
      <c r="O2089" s="49"/>
    </row>
    <row r="2090" spans="9:15" x14ac:dyDescent="0.35">
      <c r="I2090" s="53"/>
      <c r="J2090" s="29"/>
      <c r="K2090" s="30"/>
      <c r="L2090" s="29"/>
      <c r="O2090" s="49"/>
    </row>
    <row r="2091" spans="9:15" x14ac:dyDescent="0.35">
      <c r="I2091" s="53"/>
      <c r="J2091" s="29"/>
      <c r="K2091" s="30"/>
      <c r="L2091" s="29"/>
      <c r="O2091" s="49"/>
    </row>
    <row r="2092" spans="9:15" x14ac:dyDescent="0.35">
      <c r="I2092" s="53"/>
      <c r="J2092" s="29"/>
      <c r="K2092" s="30"/>
      <c r="L2092" s="29"/>
      <c r="O2092" s="49"/>
    </row>
    <row r="2093" spans="9:15" x14ac:dyDescent="0.35">
      <c r="I2093" s="53"/>
      <c r="J2093" s="29"/>
      <c r="K2093" s="30"/>
      <c r="L2093" s="29"/>
      <c r="O2093" s="49"/>
    </row>
    <row r="2094" spans="9:15" x14ac:dyDescent="0.35">
      <c r="I2094" s="53"/>
      <c r="J2094" s="29"/>
      <c r="K2094" s="30"/>
      <c r="L2094" s="29"/>
      <c r="O2094" s="49"/>
    </row>
    <row r="2095" spans="9:15" x14ac:dyDescent="0.35">
      <c r="I2095" s="53"/>
      <c r="J2095" s="29"/>
      <c r="K2095" s="30"/>
      <c r="L2095" s="29"/>
      <c r="O2095" s="49"/>
    </row>
    <row r="2096" spans="9:15" x14ac:dyDescent="0.35">
      <c r="I2096" s="53"/>
      <c r="J2096" s="29"/>
      <c r="K2096" s="30"/>
      <c r="L2096" s="29"/>
      <c r="O2096" s="49"/>
    </row>
    <row r="2097" spans="9:15" x14ac:dyDescent="0.35">
      <c r="I2097" s="53"/>
      <c r="J2097" s="29"/>
      <c r="K2097" s="30"/>
      <c r="L2097" s="29"/>
      <c r="O2097" s="49"/>
    </row>
    <row r="2098" spans="9:15" x14ac:dyDescent="0.35">
      <c r="I2098" s="53"/>
      <c r="J2098" s="29"/>
      <c r="K2098" s="30"/>
      <c r="L2098" s="29"/>
      <c r="O2098" s="49"/>
    </row>
    <row r="2099" spans="9:15" x14ac:dyDescent="0.35">
      <c r="I2099" s="53"/>
      <c r="J2099" s="29"/>
      <c r="K2099" s="30"/>
      <c r="L2099" s="29"/>
      <c r="O2099" s="49"/>
    </row>
    <row r="2100" spans="9:15" x14ac:dyDescent="0.35">
      <c r="I2100" s="53"/>
      <c r="J2100" s="29"/>
      <c r="K2100" s="30"/>
      <c r="L2100" s="29"/>
      <c r="O2100" s="49"/>
    </row>
    <row r="2101" spans="9:15" x14ac:dyDescent="0.35">
      <c r="I2101" s="53"/>
      <c r="J2101" s="29"/>
      <c r="K2101" s="30"/>
      <c r="L2101" s="29"/>
      <c r="O2101" s="49"/>
    </row>
    <row r="2102" spans="9:15" x14ac:dyDescent="0.35">
      <c r="I2102" s="53"/>
      <c r="J2102" s="29"/>
      <c r="K2102" s="30"/>
      <c r="L2102" s="29"/>
      <c r="O2102" s="49"/>
    </row>
    <row r="2103" spans="9:15" x14ac:dyDescent="0.35">
      <c r="I2103" s="53"/>
      <c r="J2103" s="29"/>
      <c r="K2103" s="30"/>
      <c r="L2103" s="29"/>
      <c r="O2103" s="49"/>
    </row>
    <row r="2104" spans="9:15" x14ac:dyDescent="0.35">
      <c r="I2104" s="53"/>
      <c r="J2104" s="29"/>
      <c r="K2104" s="30"/>
      <c r="L2104" s="29"/>
      <c r="O2104" s="49"/>
    </row>
    <row r="2105" spans="9:15" x14ac:dyDescent="0.35">
      <c r="I2105" s="53"/>
      <c r="J2105" s="29"/>
      <c r="K2105" s="30"/>
      <c r="L2105" s="29"/>
      <c r="O2105" s="49"/>
    </row>
    <row r="2106" spans="9:15" x14ac:dyDescent="0.35">
      <c r="I2106" s="53"/>
      <c r="J2106" s="29"/>
      <c r="K2106" s="30"/>
      <c r="L2106" s="29"/>
      <c r="O2106" s="49"/>
    </row>
    <row r="2107" spans="9:15" x14ac:dyDescent="0.35">
      <c r="I2107" s="53"/>
      <c r="J2107" s="29"/>
      <c r="K2107" s="30"/>
      <c r="L2107" s="29"/>
      <c r="O2107" s="49"/>
    </row>
    <row r="2108" spans="9:15" x14ac:dyDescent="0.35">
      <c r="I2108" s="53"/>
      <c r="J2108" s="29"/>
      <c r="K2108" s="30"/>
      <c r="L2108" s="29"/>
      <c r="O2108" s="49"/>
    </row>
    <row r="2109" spans="9:15" x14ac:dyDescent="0.35">
      <c r="I2109" s="53"/>
      <c r="J2109" s="29"/>
      <c r="K2109" s="30"/>
      <c r="L2109" s="29"/>
      <c r="O2109" s="49"/>
    </row>
    <row r="2110" spans="9:15" x14ac:dyDescent="0.35">
      <c r="I2110" s="53"/>
      <c r="J2110" s="29"/>
      <c r="K2110" s="30"/>
      <c r="L2110" s="29"/>
      <c r="O2110" s="49"/>
    </row>
    <row r="2111" spans="9:15" x14ac:dyDescent="0.35">
      <c r="I2111" s="53"/>
      <c r="J2111" s="29"/>
      <c r="K2111" s="30"/>
      <c r="L2111" s="29"/>
      <c r="O2111" s="49"/>
    </row>
    <row r="2112" spans="9:15" x14ac:dyDescent="0.35">
      <c r="I2112" s="53"/>
      <c r="J2112" s="29"/>
      <c r="K2112" s="30"/>
      <c r="L2112" s="29"/>
      <c r="O2112" s="49"/>
    </row>
    <row r="2113" spans="9:15" x14ac:dyDescent="0.35">
      <c r="I2113" s="53"/>
      <c r="J2113" s="29"/>
      <c r="K2113" s="30"/>
      <c r="L2113" s="29"/>
      <c r="O2113" s="49"/>
    </row>
    <row r="2114" spans="9:15" x14ac:dyDescent="0.35">
      <c r="I2114" s="53"/>
      <c r="J2114" s="29"/>
      <c r="K2114" s="30"/>
      <c r="L2114" s="29"/>
      <c r="O2114" s="49"/>
    </row>
    <row r="2115" spans="9:15" x14ac:dyDescent="0.35">
      <c r="I2115" s="53"/>
      <c r="J2115" s="29"/>
      <c r="K2115" s="30"/>
      <c r="L2115" s="29"/>
      <c r="O2115" s="49"/>
    </row>
    <row r="2116" spans="9:15" x14ac:dyDescent="0.35">
      <c r="I2116" s="53"/>
      <c r="J2116" s="29"/>
      <c r="K2116" s="30"/>
      <c r="L2116" s="29"/>
      <c r="O2116" s="49"/>
    </row>
    <row r="2117" spans="9:15" x14ac:dyDescent="0.35">
      <c r="I2117" s="53"/>
      <c r="J2117" s="29"/>
      <c r="K2117" s="30"/>
      <c r="L2117" s="29"/>
      <c r="O2117" s="49"/>
    </row>
    <row r="2118" spans="9:15" x14ac:dyDescent="0.35">
      <c r="I2118" s="53"/>
      <c r="J2118" s="29"/>
      <c r="K2118" s="30"/>
      <c r="L2118" s="29"/>
      <c r="O2118" s="49"/>
    </row>
    <row r="2119" spans="9:15" x14ac:dyDescent="0.35">
      <c r="I2119" s="53"/>
      <c r="J2119" s="29"/>
      <c r="K2119" s="30"/>
      <c r="L2119" s="29"/>
      <c r="O2119" s="49"/>
    </row>
    <row r="2120" spans="9:15" x14ac:dyDescent="0.35">
      <c r="I2120" s="53"/>
      <c r="J2120" s="29"/>
      <c r="K2120" s="30"/>
      <c r="L2120" s="29"/>
      <c r="O2120" s="49"/>
    </row>
    <row r="2121" spans="9:15" x14ac:dyDescent="0.35">
      <c r="I2121" s="53"/>
      <c r="J2121" s="29"/>
      <c r="K2121" s="30"/>
      <c r="L2121" s="29"/>
      <c r="O2121" s="49"/>
    </row>
    <row r="2122" spans="9:15" x14ac:dyDescent="0.35">
      <c r="I2122" s="53"/>
      <c r="J2122" s="29"/>
      <c r="K2122" s="30"/>
      <c r="L2122" s="29"/>
      <c r="O2122" s="49"/>
    </row>
    <row r="2123" spans="9:15" x14ac:dyDescent="0.35">
      <c r="I2123" s="53"/>
      <c r="J2123" s="29"/>
      <c r="K2123" s="30"/>
      <c r="L2123" s="29"/>
      <c r="O2123" s="49"/>
    </row>
    <row r="2124" spans="9:15" x14ac:dyDescent="0.35">
      <c r="I2124" s="53"/>
      <c r="J2124" s="29"/>
      <c r="K2124" s="30"/>
      <c r="L2124" s="29"/>
      <c r="O2124" s="49"/>
    </row>
    <row r="2125" spans="9:15" x14ac:dyDescent="0.35">
      <c r="I2125" s="53"/>
      <c r="J2125" s="29"/>
      <c r="K2125" s="30"/>
      <c r="L2125" s="29"/>
      <c r="O2125" s="49"/>
    </row>
    <row r="2126" spans="9:15" x14ac:dyDescent="0.35">
      <c r="I2126" s="53"/>
      <c r="J2126" s="29"/>
      <c r="K2126" s="30"/>
      <c r="L2126" s="29"/>
      <c r="O2126" s="49"/>
    </row>
    <row r="2127" spans="9:15" x14ac:dyDescent="0.35">
      <c r="I2127" s="53"/>
      <c r="J2127" s="29"/>
      <c r="K2127" s="30"/>
      <c r="L2127" s="29"/>
      <c r="O2127" s="49"/>
    </row>
    <row r="2128" spans="9:15" x14ac:dyDescent="0.35">
      <c r="I2128" s="53"/>
      <c r="J2128" s="29"/>
      <c r="K2128" s="30"/>
      <c r="L2128" s="29"/>
      <c r="O2128" s="49"/>
    </row>
    <row r="2129" spans="9:15" x14ac:dyDescent="0.35">
      <c r="I2129" s="53"/>
      <c r="J2129" s="29"/>
      <c r="K2129" s="30"/>
      <c r="L2129" s="29"/>
      <c r="O2129" s="49"/>
    </row>
    <row r="2130" spans="9:15" x14ac:dyDescent="0.35">
      <c r="I2130" s="53"/>
      <c r="J2130" s="29"/>
      <c r="K2130" s="30"/>
      <c r="L2130" s="29"/>
      <c r="O2130" s="49"/>
    </row>
    <row r="2131" spans="9:15" x14ac:dyDescent="0.35">
      <c r="I2131" s="53"/>
      <c r="J2131" s="29"/>
      <c r="K2131" s="30"/>
      <c r="L2131" s="29"/>
      <c r="O2131" s="49"/>
    </row>
    <row r="2132" spans="9:15" x14ac:dyDescent="0.35">
      <c r="I2132" s="53"/>
      <c r="J2132" s="29"/>
      <c r="K2132" s="30"/>
      <c r="L2132" s="29"/>
      <c r="O2132" s="49"/>
    </row>
    <row r="2133" spans="9:15" x14ac:dyDescent="0.35">
      <c r="I2133" s="53"/>
      <c r="J2133" s="29"/>
      <c r="K2133" s="30"/>
      <c r="L2133" s="29"/>
      <c r="O2133" s="49"/>
    </row>
    <row r="2134" spans="9:15" x14ac:dyDescent="0.35">
      <c r="I2134" s="53"/>
      <c r="J2134" s="29"/>
      <c r="K2134" s="30"/>
      <c r="L2134" s="29"/>
      <c r="O2134" s="49"/>
    </row>
    <row r="2135" spans="9:15" x14ac:dyDescent="0.35">
      <c r="I2135" s="53"/>
      <c r="J2135" s="29"/>
      <c r="K2135" s="30"/>
      <c r="L2135" s="29"/>
      <c r="O2135" s="49"/>
    </row>
    <row r="2136" spans="9:15" x14ac:dyDescent="0.35">
      <c r="I2136" s="53"/>
      <c r="J2136" s="29"/>
      <c r="K2136" s="30"/>
      <c r="L2136" s="29"/>
      <c r="O2136" s="49"/>
    </row>
    <row r="2137" spans="9:15" x14ac:dyDescent="0.35">
      <c r="I2137" s="53"/>
      <c r="J2137" s="29"/>
      <c r="K2137" s="30"/>
      <c r="L2137" s="29"/>
      <c r="O2137" s="49"/>
    </row>
    <row r="2138" spans="9:15" x14ac:dyDescent="0.35">
      <c r="I2138" s="53"/>
      <c r="J2138" s="29"/>
      <c r="K2138" s="30"/>
      <c r="L2138" s="29"/>
      <c r="O2138" s="49"/>
    </row>
    <row r="2139" spans="9:15" x14ac:dyDescent="0.35">
      <c r="I2139" s="53"/>
      <c r="J2139" s="29"/>
      <c r="K2139" s="30"/>
      <c r="L2139" s="29"/>
      <c r="O2139" s="49"/>
    </row>
    <row r="2140" spans="9:15" x14ac:dyDescent="0.35">
      <c r="I2140" s="53"/>
      <c r="J2140" s="29"/>
      <c r="K2140" s="30"/>
      <c r="L2140" s="29"/>
      <c r="O2140" s="49"/>
    </row>
    <row r="2141" spans="9:15" x14ac:dyDescent="0.35">
      <c r="I2141" s="53"/>
      <c r="J2141" s="29"/>
      <c r="K2141" s="30"/>
      <c r="L2141" s="29"/>
      <c r="O2141" s="49"/>
    </row>
    <row r="2142" spans="9:15" x14ac:dyDescent="0.35">
      <c r="I2142" s="53"/>
      <c r="J2142" s="29"/>
      <c r="K2142" s="30"/>
      <c r="L2142" s="29"/>
      <c r="O2142" s="49"/>
    </row>
    <row r="2143" spans="9:15" x14ac:dyDescent="0.35">
      <c r="I2143" s="53"/>
      <c r="J2143" s="29"/>
      <c r="K2143" s="30"/>
      <c r="L2143" s="29"/>
      <c r="O2143" s="49"/>
    </row>
    <row r="2144" spans="9:15" x14ac:dyDescent="0.35">
      <c r="I2144" s="53"/>
      <c r="J2144" s="29"/>
      <c r="K2144" s="30"/>
      <c r="L2144" s="29"/>
      <c r="O2144" s="49"/>
    </row>
    <row r="2145" spans="9:15" x14ac:dyDescent="0.35">
      <c r="I2145" s="53"/>
      <c r="J2145" s="29"/>
      <c r="K2145" s="30"/>
      <c r="L2145" s="29"/>
      <c r="O2145" s="49"/>
    </row>
    <row r="2146" spans="9:15" x14ac:dyDescent="0.35">
      <c r="I2146" s="53"/>
      <c r="J2146" s="29"/>
      <c r="K2146" s="30"/>
      <c r="L2146" s="29"/>
      <c r="O2146" s="49"/>
    </row>
    <row r="2147" spans="9:15" x14ac:dyDescent="0.35">
      <c r="I2147" s="53"/>
      <c r="J2147" s="29"/>
      <c r="K2147" s="30"/>
      <c r="L2147" s="29"/>
      <c r="O2147" s="49"/>
    </row>
    <row r="2148" spans="9:15" x14ac:dyDescent="0.35">
      <c r="I2148" s="53"/>
      <c r="J2148" s="29"/>
      <c r="K2148" s="30"/>
      <c r="L2148" s="29"/>
      <c r="O2148" s="49"/>
    </row>
    <row r="2149" spans="9:15" x14ac:dyDescent="0.35">
      <c r="I2149" s="53"/>
      <c r="J2149" s="29"/>
      <c r="K2149" s="30"/>
      <c r="L2149" s="29"/>
      <c r="O2149" s="49"/>
    </row>
    <row r="2150" spans="9:15" x14ac:dyDescent="0.35">
      <c r="I2150" s="53"/>
      <c r="J2150" s="29"/>
      <c r="K2150" s="30"/>
      <c r="L2150" s="29"/>
      <c r="O2150" s="49"/>
    </row>
    <row r="2151" spans="9:15" x14ac:dyDescent="0.35">
      <c r="I2151" s="53"/>
      <c r="J2151" s="29"/>
      <c r="K2151" s="30"/>
      <c r="L2151" s="29"/>
      <c r="O2151" s="49"/>
    </row>
    <row r="2152" spans="9:15" x14ac:dyDescent="0.35">
      <c r="I2152" s="53"/>
      <c r="J2152" s="29"/>
      <c r="K2152" s="30"/>
      <c r="L2152" s="29"/>
      <c r="O2152" s="49"/>
    </row>
    <row r="2153" spans="9:15" x14ac:dyDescent="0.35">
      <c r="I2153" s="53"/>
      <c r="J2153" s="29"/>
      <c r="K2153" s="30"/>
      <c r="L2153" s="29"/>
      <c r="O2153" s="49"/>
    </row>
    <row r="2154" spans="9:15" x14ac:dyDescent="0.35">
      <c r="I2154" s="53"/>
      <c r="J2154" s="29"/>
      <c r="K2154" s="30"/>
      <c r="L2154" s="29"/>
      <c r="O2154" s="49"/>
    </row>
    <row r="2155" spans="9:15" x14ac:dyDescent="0.35">
      <c r="I2155" s="53"/>
      <c r="J2155" s="29"/>
      <c r="K2155" s="30"/>
      <c r="L2155" s="29"/>
      <c r="O2155" s="49"/>
    </row>
    <row r="2156" spans="9:15" x14ac:dyDescent="0.35">
      <c r="I2156" s="53"/>
      <c r="J2156" s="29"/>
      <c r="K2156" s="30"/>
      <c r="L2156" s="29"/>
      <c r="O2156" s="49"/>
    </row>
    <row r="2157" spans="9:15" x14ac:dyDescent="0.35">
      <c r="I2157" s="53"/>
      <c r="J2157" s="29"/>
      <c r="K2157" s="30"/>
      <c r="L2157" s="29"/>
      <c r="O2157" s="49"/>
    </row>
    <row r="2158" spans="9:15" x14ac:dyDescent="0.35">
      <c r="I2158" s="53"/>
      <c r="J2158" s="29"/>
      <c r="K2158" s="30"/>
      <c r="L2158" s="29"/>
      <c r="O2158" s="49"/>
    </row>
    <row r="2159" spans="9:15" x14ac:dyDescent="0.35">
      <c r="I2159" s="53"/>
      <c r="J2159" s="29"/>
      <c r="K2159" s="30"/>
      <c r="L2159" s="29"/>
      <c r="O2159" s="49"/>
    </row>
    <row r="2160" spans="9:15" x14ac:dyDescent="0.35">
      <c r="I2160" s="53"/>
      <c r="J2160" s="29"/>
      <c r="K2160" s="30"/>
      <c r="L2160" s="29"/>
      <c r="O2160" s="49"/>
    </row>
    <row r="2161" spans="9:15" x14ac:dyDescent="0.35">
      <c r="I2161" s="53"/>
      <c r="J2161" s="29"/>
      <c r="K2161" s="30"/>
      <c r="L2161" s="29"/>
      <c r="O2161" s="49"/>
    </row>
    <row r="2162" spans="9:15" x14ac:dyDescent="0.35">
      <c r="I2162" s="53"/>
      <c r="J2162" s="29"/>
      <c r="K2162" s="30"/>
      <c r="L2162" s="29"/>
      <c r="O2162" s="49"/>
    </row>
    <row r="2163" spans="9:15" x14ac:dyDescent="0.35">
      <c r="I2163" s="53"/>
      <c r="J2163" s="29"/>
      <c r="K2163" s="30"/>
      <c r="L2163" s="29"/>
      <c r="O2163" s="49"/>
    </row>
    <row r="2164" spans="9:15" x14ac:dyDescent="0.35">
      <c r="I2164" s="53"/>
      <c r="J2164" s="29"/>
      <c r="K2164" s="30"/>
      <c r="L2164" s="29"/>
      <c r="O2164" s="49"/>
    </row>
    <row r="2165" spans="9:15" x14ac:dyDescent="0.35">
      <c r="I2165" s="53"/>
      <c r="J2165" s="29"/>
      <c r="K2165" s="30"/>
      <c r="L2165" s="29"/>
      <c r="O2165" s="49"/>
    </row>
    <row r="2166" spans="9:15" x14ac:dyDescent="0.35">
      <c r="I2166" s="53"/>
      <c r="J2166" s="29"/>
      <c r="K2166" s="30"/>
      <c r="L2166" s="29"/>
      <c r="O2166" s="49"/>
    </row>
    <row r="2167" spans="9:15" x14ac:dyDescent="0.35">
      <c r="I2167" s="53"/>
      <c r="J2167" s="29"/>
      <c r="K2167" s="30"/>
      <c r="L2167" s="29"/>
      <c r="O2167" s="49"/>
    </row>
    <row r="2168" spans="9:15" x14ac:dyDescent="0.35">
      <c r="I2168" s="53"/>
      <c r="J2168" s="29"/>
      <c r="K2168" s="30"/>
      <c r="L2168" s="29"/>
      <c r="O2168" s="49"/>
    </row>
    <row r="2169" spans="9:15" x14ac:dyDescent="0.35">
      <c r="I2169" s="53"/>
      <c r="J2169" s="29"/>
      <c r="K2169" s="30"/>
      <c r="L2169" s="29"/>
      <c r="O2169" s="49"/>
    </row>
    <row r="2170" spans="9:15" x14ac:dyDescent="0.35">
      <c r="I2170" s="53"/>
      <c r="J2170" s="29"/>
      <c r="K2170" s="30"/>
      <c r="L2170" s="29"/>
      <c r="O2170" s="49"/>
    </row>
    <row r="2171" spans="9:15" x14ac:dyDescent="0.35">
      <c r="I2171" s="53"/>
      <c r="J2171" s="29"/>
      <c r="K2171" s="30"/>
      <c r="L2171" s="29"/>
      <c r="O2171" s="49"/>
    </row>
    <row r="2172" spans="9:15" x14ac:dyDescent="0.35">
      <c r="I2172" s="53"/>
      <c r="J2172" s="29"/>
      <c r="K2172" s="30"/>
      <c r="L2172" s="29"/>
      <c r="O2172" s="49"/>
    </row>
    <row r="2173" spans="9:15" x14ac:dyDescent="0.35">
      <c r="I2173" s="53"/>
      <c r="J2173" s="29"/>
      <c r="K2173" s="30"/>
      <c r="L2173" s="29"/>
      <c r="O2173" s="49"/>
    </row>
    <row r="2174" spans="9:15" x14ac:dyDescent="0.35">
      <c r="I2174" s="53"/>
      <c r="J2174" s="29"/>
      <c r="K2174" s="30"/>
      <c r="L2174" s="29"/>
      <c r="O2174" s="49"/>
    </row>
    <row r="2175" spans="9:15" x14ac:dyDescent="0.35">
      <c r="I2175" s="53"/>
      <c r="J2175" s="29"/>
      <c r="K2175" s="30"/>
      <c r="L2175" s="29"/>
      <c r="O2175" s="49"/>
    </row>
    <row r="2176" spans="9:15" x14ac:dyDescent="0.35">
      <c r="I2176" s="53"/>
      <c r="J2176" s="29"/>
      <c r="K2176" s="30"/>
      <c r="L2176" s="29"/>
      <c r="O2176" s="49"/>
    </row>
    <row r="2177" spans="9:15" x14ac:dyDescent="0.35">
      <c r="I2177" s="53"/>
      <c r="J2177" s="29"/>
      <c r="K2177" s="30"/>
      <c r="L2177" s="29"/>
      <c r="O2177" s="49"/>
    </row>
    <row r="2178" spans="9:15" x14ac:dyDescent="0.35">
      <c r="I2178" s="53"/>
      <c r="J2178" s="29"/>
      <c r="K2178" s="30"/>
      <c r="L2178" s="29"/>
      <c r="O2178" s="49"/>
    </row>
    <row r="2179" spans="9:15" x14ac:dyDescent="0.35">
      <c r="I2179" s="53"/>
      <c r="J2179" s="29"/>
      <c r="K2179" s="30"/>
      <c r="L2179" s="29"/>
      <c r="O2179" s="49"/>
    </row>
    <row r="2180" spans="9:15" x14ac:dyDescent="0.35">
      <c r="I2180" s="53"/>
      <c r="J2180" s="29"/>
      <c r="K2180" s="30"/>
      <c r="L2180" s="29"/>
      <c r="O2180" s="49"/>
    </row>
    <row r="2181" spans="9:15" x14ac:dyDescent="0.35">
      <c r="I2181" s="53"/>
      <c r="J2181" s="29"/>
      <c r="K2181" s="30"/>
      <c r="L2181" s="29"/>
      <c r="O2181" s="49"/>
    </row>
    <row r="2182" spans="9:15" x14ac:dyDescent="0.35">
      <c r="I2182" s="53"/>
      <c r="J2182" s="29"/>
      <c r="K2182" s="30"/>
      <c r="L2182" s="29"/>
      <c r="O2182" s="49"/>
    </row>
    <row r="2183" spans="9:15" x14ac:dyDescent="0.35">
      <c r="I2183" s="53"/>
      <c r="J2183" s="29"/>
      <c r="K2183" s="30"/>
      <c r="L2183" s="29"/>
      <c r="O2183" s="49"/>
    </row>
    <row r="2184" spans="9:15" x14ac:dyDescent="0.35">
      <c r="I2184" s="53"/>
      <c r="J2184" s="29"/>
      <c r="K2184" s="30"/>
      <c r="L2184" s="29"/>
      <c r="O2184" s="49"/>
    </row>
    <row r="2185" spans="9:15" x14ac:dyDescent="0.35">
      <c r="I2185" s="53"/>
      <c r="J2185" s="29"/>
      <c r="K2185" s="30"/>
      <c r="L2185" s="29"/>
      <c r="O2185" s="49"/>
    </row>
    <row r="2186" spans="9:15" x14ac:dyDescent="0.35">
      <c r="I2186" s="53"/>
      <c r="J2186" s="29"/>
      <c r="K2186" s="30"/>
      <c r="L2186" s="29"/>
      <c r="O2186" s="49"/>
    </row>
    <row r="2187" spans="9:15" x14ac:dyDescent="0.35">
      <c r="I2187" s="53"/>
      <c r="J2187" s="29"/>
      <c r="K2187" s="30"/>
      <c r="L2187" s="29"/>
      <c r="O2187" s="49"/>
    </row>
    <row r="2188" spans="9:15" x14ac:dyDescent="0.35">
      <c r="I2188" s="53"/>
      <c r="J2188" s="29"/>
      <c r="K2188" s="30"/>
      <c r="L2188" s="29"/>
      <c r="O2188" s="49"/>
    </row>
    <row r="2189" spans="9:15" x14ac:dyDescent="0.35">
      <c r="I2189" s="53"/>
      <c r="J2189" s="29"/>
      <c r="K2189" s="30"/>
      <c r="L2189" s="29"/>
      <c r="O2189" s="49"/>
    </row>
    <row r="2190" spans="9:15" x14ac:dyDescent="0.35">
      <c r="I2190" s="53"/>
      <c r="J2190" s="29"/>
      <c r="K2190" s="30"/>
      <c r="L2190" s="29"/>
      <c r="O2190" s="49"/>
    </row>
    <row r="2191" spans="9:15" x14ac:dyDescent="0.35">
      <c r="I2191" s="53"/>
      <c r="J2191" s="29"/>
      <c r="K2191" s="30"/>
      <c r="L2191" s="29"/>
      <c r="O2191" s="49"/>
    </row>
    <row r="2192" spans="9:15" x14ac:dyDescent="0.35">
      <c r="I2192" s="53"/>
      <c r="J2192" s="29"/>
      <c r="K2192" s="30"/>
      <c r="L2192" s="29"/>
      <c r="O2192" s="49"/>
    </row>
    <row r="2193" spans="9:15" x14ac:dyDescent="0.35">
      <c r="I2193" s="53"/>
      <c r="J2193" s="29"/>
      <c r="K2193" s="30"/>
      <c r="L2193" s="29"/>
      <c r="O2193" s="49"/>
    </row>
    <row r="2194" spans="9:15" x14ac:dyDescent="0.35">
      <c r="I2194" s="53"/>
      <c r="J2194" s="29"/>
      <c r="K2194" s="30"/>
      <c r="L2194" s="29"/>
      <c r="O2194" s="49"/>
    </row>
    <row r="2195" spans="9:15" x14ac:dyDescent="0.35">
      <c r="I2195" s="53"/>
      <c r="J2195" s="29"/>
      <c r="K2195" s="30"/>
      <c r="L2195" s="29"/>
      <c r="O2195" s="49"/>
    </row>
    <row r="2196" spans="9:15" x14ac:dyDescent="0.35">
      <c r="I2196" s="53"/>
      <c r="J2196" s="29"/>
      <c r="K2196" s="30"/>
      <c r="L2196" s="29"/>
      <c r="O2196" s="49"/>
    </row>
    <row r="2197" spans="9:15" x14ac:dyDescent="0.35">
      <c r="I2197" s="53"/>
      <c r="J2197" s="29"/>
      <c r="K2197" s="30"/>
      <c r="L2197" s="29"/>
      <c r="O2197" s="49"/>
    </row>
    <row r="2198" spans="9:15" x14ac:dyDescent="0.35">
      <c r="I2198" s="53"/>
      <c r="J2198" s="29"/>
      <c r="K2198" s="30"/>
      <c r="L2198" s="29"/>
      <c r="O2198" s="49"/>
    </row>
    <row r="2199" spans="9:15" x14ac:dyDescent="0.35">
      <c r="I2199" s="53"/>
      <c r="J2199" s="29"/>
      <c r="K2199" s="30"/>
      <c r="L2199" s="29"/>
      <c r="O2199" s="49"/>
    </row>
    <row r="2200" spans="9:15" x14ac:dyDescent="0.35">
      <c r="I2200" s="53"/>
      <c r="J2200" s="29"/>
      <c r="K2200" s="30"/>
      <c r="L2200" s="29"/>
      <c r="O2200" s="49"/>
    </row>
    <row r="2201" spans="9:15" x14ac:dyDescent="0.35">
      <c r="I2201" s="53"/>
      <c r="J2201" s="29"/>
      <c r="K2201" s="30"/>
      <c r="L2201" s="29"/>
      <c r="O2201" s="49"/>
    </row>
    <row r="2202" spans="9:15" x14ac:dyDescent="0.35">
      <c r="I2202" s="53"/>
      <c r="J2202" s="29"/>
      <c r="K2202" s="30"/>
      <c r="L2202" s="29"/>
      <c r="O2202" s="49"/>
    </row>
    <row r="2203" spans="9:15" x14ac:dyDescent="0.35">
      <c r="I2203" s="53"/>
      <c r="J2203" s="29"/>
      <c r="K2203" s="30"/>
      <c r="L2203" s="29"/>
      <c r="O2203" s="49"/>
    </row>
    <row r="2204" spans="9:15" x14ac:dyDescent="0.35">
      <c r="I2204" s="53"/>
      <c r="J2204" s="29"/>
      <c r="K2204" s="30"/>
      <c r="L2204" s="29"/>
      <c r="O2204" s="49"/>
    </row>
    <row r="2205" spans="9:15" x14ac:dyDescent="0.35">
      <c r="I2205" s="53"/>
      <c r="J2205" s="29"/>
      <c r="K2205" s="30"/>
      <c r="L2205" s="29"/>
      <c r="O2205" s="49"/>
    </row>
    <row r="2206" spans="9:15" x14ac:dyDescent="0.35">
      <c r="I2206" s="53"/>
      <c r="J2206" s="29"/>
      <c r="K2206" s="30"/>
      <c r="L2206" s="29"/>
      <c r="O2206" s="49"/>
    </row>
    <row r="2207" spans="9:15" x14ac:dyDescent="0.35">
      <c r="I2207" s="53"/>
      <c r="J2207" s="29"/>
      <c r="K2207" s="30"/>
      <c r="L2207" s="29"/>
      <c r="O2207" s="49"/>
    </row>
    <row r="2208" spans="9:15" x14ac:dyDescent="0.35">
      <c r="I2208" s="53"/>
      <c r="J2208" s="29"/>
      <c r="K2208" s="30"/>
      <c r="L2208" s="29"/>
      <c r="O2208" s="49"/>
    </row>
    <row r="2209" spans="9:15" x14ac:dyDescent="0.35">
      <c r="I2209" s="53"/>
      <c r="J2209" s="29"/>
      <c r="K2209" s="30"/>
      <c r="L2209" s="29"/>
      <c r="O2209" s="49"/>
    </row>
    <row r="2210" spans="9:15" x14ac:dyDescent="0.35">
      <c r="I2210" s="53"/>
      <c r="J2210" s="29"/>
      <c r="K2210" s="30"/>
      <c r="L2210" s="29"/>
      <c r="O2210" s="49"/>
    </row>
    <row r="2211" spans="9:15" x14ac:dyDescent="0.35">
      <c r="I2211" s="53"/>
      <c r="J2211" s="29"/>
      <c r="K2211" s="30"/>
      <c r="L2211" s="29"/>
      <c r="O2211" s="49"/>
    </row>
    <row r="2212" spans="9:15" x14ac:dyDescent="0.35">
      <c r="I2212" s="53"/>
      <c r="J2212" s="29"/>
      <c r="K2212" s="30"/>
      <c r="L2212" s="29"/>
      <c r="O2212" s="49"/>
    </row>
    <row r="2213" spans="9:15" x14ac:dyDescent="0.35">
      <c r="I2213" s="53"/>
      <c r="J2213" s="29"/>
      <c r="K2213" s="30"/>
      <c r="L2213" s="29"/>
      <c r="O2213" s="49"/>
    </row>
    <row r="2214" spans="9:15" x14ac:dyDescent="0.35">
      <c r="I2214" s="53"/>
      <c r="J2214" s="29"/>
      <c r="K2214" s="30"/>
      <c r="L2214" s="29"/>
      <c r="O2214" s="49"/>
    </row>
    <row r="2215" spans="9:15" x14ac:dyDescent="0.35">
      <c r="I2215" s="53"/>
      <c r="J2215" s="29"/>
      <c r="K2215" s="30"/>
      <c r="L2215" s="29"/>
      <c r="O2215" s="49"/>
    </row>
    <row r="2216" spans="9:15" x14ac:dyDescent="0.35">
      <c r="I2216" s="53"/>
      <c r="J2216" s="29"/>
      <c r="K2216" s="30"/>
      <c r="L2216" s="29"/>
      <c r="O2216" s="49"/>
    </row>
    <row r="2217" spans="9:15" x14ac:dyDescent="0.35">
      <c r="I2217" s="53"/>
      <c r="J2217" s="29"/>
      <c r="K2217" s="30"/>
      <c r="L2217" s="29"/>
      <c r="O2217" s="49"/>
    </row>
    <row r="2218" spans="9:15" x14ac:dyDescent="0.35">
      <c r="I2218" s="53"/>
      <c r="J2218" s="29"/>
      <c r="K2218" s="30"/>
      <c r="L2218" s="29"/>
      <c r="O2218" s="49"/>
    </row>
    <row r="2219" spans="9:15" x14ac:dyDescent="0.35">
      <c r="I2219" s="53"/>
      <c r="J2219" s="29"/>
      <c r="K2219" s="30"/>
      <c r="L2219" s="29"/>
      <c r="O2219" s="49"/>
    </row>
    <row r="2220" spans="9:15" x14ac:dyDescent="0.35">
      <c r="I2220" s="53"/>
      <c r="J2220" s="29"/>
      <c r="K2220" s="30"/>
      <c r="L2220" s="29"/>
      <c r="O2220" s="49"/>
    </row>
    <row r="2221" spans="9:15" x14ac:dyDescent="0.35">
      <c r="I2221" s="53"/>
      <c r="J2221" s="29"/>
      <c r="K2221" s="30"/>
      <c r="L2221" s="29"/>
      <c r="O2221" s="49"/>
    </row>
    <row r="2222" spans="9:15" x14ac:dyDescent="0.35">
      <c r="I2222" s="53"/>
      <c r="J2222" s="29"/>
      <c r="K2222" s="30"/>
      <c r="L2222" s="29"/>
      <c r="O2222" s="49"/>
    </row>
    <row r="2223" spans="9:15" x14ac:dyDescent="0.35">
      <c r="I2223" s="53"/>
      <c r="J2223" s="29"/>
      <c r="K2223" s="30"/>
      <c r="L2223" s="29"/>
      <c r="O2223" s="49"/>
    </row>
    <row r="2224" spans="9:15" x14ac:dyDescent="0.35">
      <c r="I2224" s="53"/>
      <c r="J2224" s="29"/>
      <c r="K2224" s="30"/>
      <c r="L2224" s="29"/>
      <c r="O2224" s="49"/>
    </row>
    <row r="2225" spans="9:15" x14ac:dyDescent="0.35">
      <c r="I2225" s="53"/>
      <c r="J2225" s="29"/>
      <c r="K2225" s="30"/>
      <c r="L2225" s="29"/>
      <c r="O2225" s="49"/>
    </row>
    <row r="2226" spans="9:15" x14ac:dyDescent="0.35">
      <c r="I2226" s="53"/>
      <c r="J2226" s="29"/>
      <c r="K2226" s="30"/>
      <c r="L2226" s="29"/>
      <c r="O2226" s="49"/>
    </row>
    <row r="2227" spans="9:15" x14ac:dyDescent="0.35">
      <c r="I2227" s="53"/>
      <c r="J2227" s="29"/>
      <c r="K2227" s="30"/>
      <c r="L2227" s="29"/>
      <c r="O2227" s="49"/>
    </row>
    <row r="2228" spans="9:15" x14ac:dyDescent="0.35">
      <c r="I2228" s="53"/>
      <c r="J2228" s="29"/>
      <c r="K2228" s="30"/>
      <c r="L2228" s="29"/>
      <c r="O2228" s="49"/>
    </row>
    <row r="2229" spans="9:15" x14ac:dyDescent="0.35">
      <c r="I2229" s="53"/>
      <c r="J2229" s="29"/>
      <c r="K2229" s="30"/>
      <c r="L2229" s="29"/>
      <c r="O2229" s="49"/>
    </row>
    <row r="2230" spans="9:15" x14ac:dyDescent="0.35">
      <c r="I2230" s="53"/>
      <c r="J2230" s="29"/>
      <c r="K2230" s="30"/>
      <c r="L2230" s="29"/>
      <c r="O2230" s="49"/>
    </row>
    <row r="2231" spans="9:15" x14ac:dyDescent="0.35">
      <c r="I2231" s="53"/>
      <c r="J2231" s="29"/>
      <c r="K2231" s="30"/>
      <c r="L2231" s="29"/>
      <c r="O2231" s="49"/>
    </row>
    <row r="2232" spans="9:15" x14ac:dyDescent="0.35">
      <c r="I2232" s="53"/>
      <c r="J2232" s="29"/>
      <c r="K2232" s="30"/>
      <c r="L2232" s="29"/>
      <c r="O2232" s="49"/>
    </row>
    <row r="2233" spans="9:15" x14ac:dyDescent="0.35">
      <c r="I2233" s="53"/>
      <c r="J2233" s="29"/>
      <c r="K2233" s="30"/>
      <c r="L2233" s="29"/>
      <c r="O2233" s="49"/>
    </row>
    <row r="2234" spans="9:15" x14ac:dyDescent="0.35">
      <c r="I2234" s="53"/>
      <c r="J2234" s="29"/>
      <c r="K2234" s="30"/>
      <c r="L2234" s="29"/>
      <c r="O2234" s="49"/>
    </row>
    <row r="2235" spans="9:15" x14ac:dyDescent="0.35">
      <c r="I2235" s="53"/>
      <c r="J2235" s="29"/>
      <c r="K2235" s="30"/>
      <c r="L2235" s="29"/>
      <c r="O2235" s="49"/>
    </row>
    <row r="2236" spans="9:15" x14ac:dyDescent="0.35">
      <c r="I2236" s="53"/>
      <c r="J2236" s="29"/>
      <c r="K2236" s="30"/>
      <c r="L2236" s="29"/>
      <c r="O2236" s="49"/>
    </row>
    <row r="2237" spans="9:15" x14ac:dyDescent="0.35">
      <c r="I2237" s="53"/>
      <c r="J2237" s="29"/>
      <c r="K2237" s="30"/>
      <c r="L2237" s="29"/>
      <c r="O2237" s="49"/>
    </row>
    <row r="2238" spans="9:15" x14ac:dyDescent="0.35">
      <c r="I2238" s="53"/>
      <c r="J2238" s="29"/>
      <c r="K2238" s="30"/>
      <c r="L2238" s="29"/>
      <c r="O2238" s="49"/>
    </row>
    <row r="2239" spans="9:15" x14ac:dyDescent="0.35">
      <c r="I2239" s="53"/>
      <c r="J2239" s="29"/>
      <c r="K2239" s="30"/>
      <c r="L2239" s="29"/>
      <c r="O2239" s="49"/>
    </row>
    <row r="2240" spans="9:15" x14ac:dyDescent="0.35">
      <c r="I2240" s="53"/>
      <c r="J2240" s="29"/>
      <c r="K2240" s="30"/>
      <c r="L2240" s="29"/>
      <c r="O2240" s="49"/>
    </row>
    <row r="2241" spans="9:15" x14ac:dyDescent="0.35">
      <c r="I2241" s="53"/>
      <c r="J2241" s="29"/>
      <c r="K2241" s="30"/>
      <c r="L2241" s="29"/>
      <c r="O2241" s="49"/>
    </row>
    <row r="2242" spans="9:15" x14ac:dyDescent="0.35">
      <c r="I2242" s="53"/>
      <c r="J2242" s="29"/>
      <c r="K2242" s="30"/>
      <c r="L2242" s="29"/>
      <c r="O2242" s="49"/>
    </row>
    <row r="2243" spans="9:15" x14ac:dyDescent="0.35">
      <c r="I2243" s="53"/>
      <c r="J2243" s="29"/>
      <c r="K2243" s="30"/>
      <c r="L2243" s="29"/>
      <c r="O2243" s="49"/>
    </row>
    <row r="2244" spans="9:15" x14ac:dyDescent="0.35">
      <c r="I2244" s="53"/>
      <c r="J2244" s="29"/>
      <c r="K2244" s="30"/>
      <c r="L2244" s="29"/>
      <c r="O2244" s="49"/>
    </row>
    <row r="2245" spans="9:15" x14ac:dyDescent="0.35">
      <c r="I2245" s="53"/>
      <c r="J2245" s="29"/>
      <c r="K2245" s="30"/>
      <c r="L2245" s="29"/>
      <c r="O2245" s="49"/>
    </row>
    <row r="2246" spans="9:15" x14ac:dyDescent="0.35">
      <c r="I2246" s="53"/>
      <c r="J2246" s="29"/>
      <c r="K2246" s="30"/>
      <c r="L2246" s="29"/>
      <c r="O2246" s="49"/>
    </row>
    <row r="2247" spans="9:15" x14ac:dyDescent="0.35">
      <c r="I2247" s="53"/>
      <c r="J2247" s="29"/>
      <c r="K2247" s="30"/>
      <c r="L2247" s="29"/>
      <c r="O2247" s="49"/>
    </row>
    <row r="2248" spans="9:15" x14ac:dyDescent="0.35">
      <c r="I2248" s="53"/>
      <c r="J2248" s="29"/>
      <c r="K2248" s="30"/>
      <c r="L2248" s="29"/>
      <c r="O2248" s="49"/>
    </row>
    <row r="2249" spans="9:15" x14ac:dyDescent="0.35">
      <c r="I2249" s="53"/>
      <c r="J2249" s="29"/>
      <c r="K2249" s="30"/>
      <c r="L2249" s="29"/>
      <c r="O2249" s="49"/>
    </row>
    <row r="2250" spans="9:15" x14ac:dyDescent="0.35">
      <c r="I2250" s="53"/>
      <c r="J2250" s="29"/>
      <c r="K2250" s="30"/>
      <c r="L2250" s="29"/>
      <c r="O2250" s="49"/>
    </row>
    <row r="2251" spans="9:15" x14ac:dyDescent="0.35">
      <c r="I2251" s="53"/>
      <c r="J2251" s="29"/>
      <c r="K2251" s="30"/>
      <c r="L2251" s="29"/>
      <c r="O2251" s="49"/>
    </row>
    <row r="2252" spans="9:15" x14ac:dyDescent="0.35">
      <c r="I2252" s="53"/>
      <c r="J2252" s="29"/>
      <c r="K2252" s="30"/>
      <c r="L2252" s="29"/>
      <c r="O2252" s="49"/>
    </row>
    <row r="2253" spans="9:15" x14ac:dyDescent="0.35">
      <c r="I2253" s="53"/>
      <c r="J2253" s="29"/>
      <c r="K2253" s="30"/>
      <c r="L2253" s="29"/>
      <c r="O2253" s="49"/>
    </row>
    <row r="2254" spans="9:15" x14ac:dyDescent="0.35">
      <c r="I2254" s="53"/>
      <c r="J2254" s="29"/>
      <c r="K2254" s="30"/>
      <c r="L2254" s="29"/>
      <c r="O2254" s="49"/>
    </row>
    <row r="2255" spans="9:15" x14ac:dyDescent="0.35">
      <c r="I2255" s="53"/>
      <c r="J2255" s="29"/>
      <c r="K2255" s="30"/>
      <c r="L2255" s="29"/>
      <c r="O2255" s="49"/>
    </row>
    <row r="2256" spans="9:15" x14ac:dyDescent="0.35">
      <c r="I2256" s="53"/>
      <c r="J2256" s="29"/>
      <c r="K2256" s="30"/>
      <c r="L2256" s="29"/>
      <c r="O2256" s="49"/>
    </row>
    <row r="2257" spans="9:15" x14ac:dyDescent="0.35">
      <c r="I2257" s="53"/>
      <c r="J2257" s="29"/>
      <c r="K2257" s="30"/>
      <c r="L2257" s="29"/>
      <c r="O2257" s="49"/>
    </row>
    <row r="2258" spans="9:15" x14ac:dyDescent="0.35">
      <c r="I2258" s="53"/>
      <c r="J2258" s="29"/>
      <c r="K2258" s="30"/>
      <c r="L2258" s="29"/>
      <c r="O2258" s="49"/>
    </row>
    <row r="2259" spans="9:15" x14ac:dyDescent="0.35">
      <c r="I2259" s="53"/>
      <c r="J2259" s="29"/>
      <c r="K2259" s="30"/>
      <c r="L2259" s="29"/>
      <c r="O2259" s="49"/>
    </row>
    <row r="2260" spans="9:15" x14ac:dyDescent="0.35">
      <c r="I2260" s="53"/>
      <c r="J2260" s="29"/>
      <c r="K2260" s="30"/>
      <c r="L2260" s="29"/>
      <c r="O2260" s="49"/>
    </row>
    <row r="2261" spans="9:15" x14ac:dyDescent="0.35">
      <c r="I2261" s="53"/>
      <c r="J2261" s="29"/>
      <c r="K2261" s="30"/>
      <c r="L2261" s="29"/>
      <c r="O2261" s="49"/>
    </row>
    <row r="2262" spans="9:15" x14ac:dyDescent="0.35">
      <c r="I2262" s="53"/>
      <c r="J2262" s="29"/>
      <c r="K2262" s="30"/>
      <c r="L2262" s="29"/>
      <c r="O2262" s="49"/>
    </row>
    <row r="2263" spans="9:15" x14ac:dyDescent="0.35">
      <c r="I2263" s="53"/>
      <c r="J2263" s="29"/>
      <c r="K2263" s="30"/>
      <c r="L2263" s="29"/>
      <c r="O2263" s="49"/>
    </row>
    <row r="2264" spans="9:15" x14ac:dyDescent="0.35">
      <c r="I2264" s="53"/>
      <c r="J2264" s="29"/>
      <c r="K2264" s="30"/>
      <c r="L2264" s="29"/>
      <c r="O2264" s="49"/>
    </row>
    <row r="2265" spans="9:15" x14ac:dyDescent="0.35">
      <c r="I2265" s="53"/>
      <c r="J2265" s="29"/>
      <c r="K2265" s="30"/>
      <c r="L2265" s="29"/>
      <c r="O2265" s="49"/>
    </row>
    <row r="2266" spans="9:15" x14ac:dyDescent="0.35">
      <c r="I2266" s="53"/>
      <c r="J2266" s="29"/>
      <c r="K2266" s="30"/>
      <c r="L2266" s="29"/>
      <c r="O2266" s="49"/>
    </row>
    <row r="2267" spans="9:15" x14ac:dyDescent="0.35">
      <c r="I2267" s="53"/>
      <c r="J2267" s="29"/>
      <c r="K2267" s="30"/>
      <c r="L2267" s="29"/>
      <c r="O2267" s="49"/>
    </row>
    <row r="2268" spans="9:15" x14ac:dyDescent="0.35">
      <c r="I2268" s="53"/>
      <c r="J2268" s="29"/>
      <c r="K2268" s="30"/>
      <c r="L2268" s="29"/>
      <c r="O2268" s="49"/>
    </row>
    <row r="2269" spans="9:15" x14ac:dyDescent="0.35">
      <c r="I2269" s="53"/>
      <c r="J2269" s="29"/>
      <c r="K2269" s="30"/>
      <c r="L2269" s="29"/>
      <c r="O2269" s="49"/>
    </row>
    <row r="2270" spans="9:15" x14ac:dyDescent="0.35">
      <c r="I2270" s="53"/>
      <c r="J2270" s="29"/>
      <c r="K2270" s="30"/>
      <c r="L2270" s="29"/>
      <c r="O2270" s="49"/>
    </row>
    <row r="2271" spans="9:15" x14ac:dyDescent="0.35">
      <c r="I2271" s="53"/>
      <c r="J2271" s="29"/>
      <c r="K2271" s="30"/>
      <c r="L2271" s="29"/>
      <c r="O2271" s="49"/>
    </row>
    <row r="2272" spans="9:15" x14ac:dyDescent="0.35">
      <c r="I2272" s="53"/>
      <c r="J2272" s="29"/>
      <c r="K2272" s="30"/>
      <c r="L2272" s="29"/>
      <c r="O2272" s="49"/>
    </row>
    <row r="2273" spans="9:15" x14ac:dyDescent="0.35">
      <c r="I2273" s="53"/>
      <c r="J2273" s="29"/>
      <c r="K2273" s="30"/>
      <c r="L2273" s="29"/>
      <c r="O2273" s="49"/>
    </row>
    <row r="2274" spans="9:15" x14ac:dyDescent="0.35">
      <c r="I2274" s="53"/>
      <c r="J2274" s="29"/>
      <c r="K2274" s="30"/>
      <c r="L2274" s="29"/>
      <c r="O2274" s="49"/>
    </row>
    <row r="2275" spans="9:15" x14ac:dyDescent="0.35">
      <c r="I2275" s="53"/>
      <c r="J2275" s="29"/>
      <c r="K2275" s="30"/>
      <c r="L2275" s="29"/>
      <c r="O2275" s="49"/>
    </row>
    <row r="2276" spans="9:15" x14ac:dyDescent="0.35">
      <c r="I2276" s="53"/>
      <c r="J2276" s="29"/>
      <c r="K2276" s="30"/>
      <c r="L2276" s="29"/>
      <c r="O2276" s="49"/>
    </row>
    <row r="2277" spans="9:15" x14ac:dyDescent="0.35">
      <c r="I2277" s="53"/>
      <c r="J2277" s="29"/>
      <c r="K2277" s="30"/>
      <c r="L2277" s="29"/>
      <c r="O2277" s="49"/>
    </row>
    <row r="2278" spans="9:15" x14ac:dyDescent="0.35">
      <c r="I2278" s="53"/>
      <c r="J2278" s="29"/>
      <c r="K2278" s="30"/>
      <c r="L2278" s="29"/>
      <c r="O2278" s="49"/>
    </row>
    <row r="2279" spans="9:15" x14ac:dyDescent="0.35">
      <c r="I2279" s="53"/>
      <c r="J2279" s="29"/>
      <c r="K2279" s="30"/>
      <c r="L2279" s="29"/>
      <c r="O2279" s="49"/>
    </row>
    <row r="2280" spans="9:15" x14ac:dyDescent="0.35">
      <c r="I2280" s="53"/>
      <c r="J2280" s="29"/>
      <c r="K2280" s="30"/>
      <c r="L2280" s="29"/>
      <c r="O2280" s="49"/>
    </row>
    <row r="2281" spans="9:15" x14ac:dyDescent="0.35">
      <c r="I2281" s="53"/>
      <c r="J2281" s="29"/>
      <c r="K2281" s="30"/>
      <c r="L2281" s="29"/>
      <c r="O2281" s="49"/>
    </row>
    <row r="2282" spans="9:15" x14ac:dyDescent="0.35">
      <c r="I2282" s="53"/>
      <c r="J2282" s="29"/>
      <c r="K2282" s="30"/>
      <c r="L2282" s="29"/>
      <c r="O2282" s="49"/>
    </row>
    <row r="2283" spans="9:15" x14ac:dyDescent="0.35">
      <c r="I2283" s="53"/>
      <c r="J2283" s="29"/>
      <c r="K2283" s="30"/>
      <c r="L2283" s="29"/>
      <c r="O2283" s="49"/>
    </row>
    <row r="2284" spans="9:15" x14ac:dyDescent="0.35">
      <c r="I2284" s="53"/>
      <c r="J2284" s="29"/>
      <c r="K2284" s="30"/>
      <c r="L2284" s="29"/>
      <c r="O2284" s="49"/>
    </row>
    <row r="2285" spans="9:15" x14ac:dyDescent="0.35">
      <c r="I2285" s="53"/>
      <c r="J2285" s="29"/>
      <c r="K2285" s="30"/>
      <c r="L2285" s="29"/>
      <c r="O2285" s="49"/>
    </row>
    <row r="2286" spans="9:15" x14ac:dyDescent="0.35">
      <c r="I2286" s="53"/>
      <c r="J2286" s="29"/>
      <c r="K2286" s="30"/>
      <c r="L2286" s="29"/>
      <c r="O2286" s="49"/>
    </row>
    <row r="2287" spans="9:15" x14ac:dyDescent="0.35">
      <c r="I2287" s="53"/>
      <c r="J2287" s="29"/>
      <c r="K2287" s="30"/>
      <c r="L2287" s="29"/>
      <c r="O2287" s="49"/>
    </row>
    <row r="2288" spans="9:15" x14ac:dyDescent="0.35">
      <c r="I2288" s="53"/>
      <c r="J2288" s="29"/>
      <c r="K2288" s="30"/>
      <c r="L2288" s="29"/>
      <c r="O2288" s="49"/>
    </row>
    <row r="2289" spans="9:15" x14ac:dyDescent="0.35">
      <c r="I2289" s="53"/>
      <c r="J2289" s="29"/>
      <c r="K2289" s="30"/>
      <c r="L2289" s="29"/>
      <c r="O2289" s="49"/>
    </row>
    <row r="2290" spans="9:15" x14ac:dyDescent="0.35">
      <c r="I2290" s="53"/>
      <c r="J2290" s="29"/>
      <c r="K2290" s="30"/>
      <c r="L2290" s="29"/>
      <c r="O2290" s="49"/>
    </row>
    <row r="2291" spans="9:15" x14ac:dyDescent="0.35">
      <c r="I2291" s="53"/>
      <c r="J2291" s="29"/>
      <c r="K2291" s="30"/>
      <c r="L2291" s="29"/>
      <c r="O2291" s="49"/>
    </row>
    <row r="2292" spans="9:15" x14ac:dyDescent="0.35">
      <c r="I2292" s="53"/>
      <c r="J2292" s="29"/>
      <c r="K2292" s="30"/>
      <c r="L2292" s="29"/>
      <c r="O2292" s="49"/>
    </row>
    <row r="2293" spans="9:15" x14ac:dyDescent="0.35">
      <c r="I2293" s="53"/>
      <c r="J2293" s="29"/>
      <c r="K2293" s="30"/>
      <c r="L2293" s="29"/>
      <c r="O2293" s="49"/>
    </row>
    <row r="2294" spans="9:15" x14ac:dyDescent="0.35">
      <c r="I2294" s="53"/>
      <c r="J2294" s="29"/>
      <c r="K2294" s="30"/>
      <c r="L2294" s="29"/>
      <c r="O2294" s="49"/>
    </row>
    <row r="2295" spans="9:15" x14ac:dyDescent="0.35">
      <c r="I2295" s="53"/>
      <c r="J2295" s="29"/>
      <c r="K2295" s="30"/>
      <c r="L2295" s="29"/>
      <c r="O2295" s="49"/>
    </row>
    <row r="2296" spans="9:15" x14ac:dyDescent="0.35">
      <c r="I2296" s="53"/>
      <c r="J2296" s="29"/>
      <c r="K2296" s="30"/>
      <c r="L2296" s="29"/>
      <c r="O2296" s="49"/>
    </row>
    <row r="2297" spans="9:15" x14ac:dyDescent="0.35">
      <c r="I2297" s="53"/>
      <c r="J2297" s="29"/>
      <c r="K2297" s="30"/>
      <c r="L2297" s="29"/>
      <c r="O2297" s="49"/>
    </row>
    <row r="2298" spans="9:15" x14ac:dyDescent="0.35">
      <c r="I2298" s="53"/>
      <c r="J2298" s="29"/>
      <c r="K2298" s="30"/>
      <c r="L2298" s="29"/>
      <c r="O2298" s="49"/>
    </row>
    <row r="2299" spans="9:15" x14ac:dyDescent="0.35">
      <c r="I2299" s="53"/>
      <c r="J2299" s="29"/>
      <c r="K2299" s="30"/>
      <c r="L2299" s="29"/>
      <c r="O2299" s="49"/>
    </row>
    <row r="2300" spans="9:15" x14ac:dyDescent="0.35">
      <c r="I2300" s="53"/>
      <c r="J2300" s="29"/>
      <c r="K2300" s="30"/>
      <c r="L2300" s="29"/>
      <c r="O2300" s="49"/>
    </row>
    <row r="2301" spans="9:15" x14ac:dyDescent="0.35">
      <c r="I2301" s="53"/>
      <c r="J2301" s="29"/>
      <c r="K2301" s="30"/>
      <c r="L2301" s="29"/>
      <c r="O2301" s="49"/>
    </row>
    <row r="2302" spans="9:15" x14ac:dyDescent="0.35">
      <c r="I2302" s="53"/>
      <c r="J2302" s="29"/>
      <c r="K2302" s="30"/>
      <c r="L2302" s="29"/>
      <c r="O2302" s="49"/>
    </row>
    <row r="2303" spans="9:15" x14ac:dyDescent="0.35">
      <c r="I2303" s="53"/>
      <c r="J2303" s="29"/>
      <c r="K2303" s="30"/>
      <c r="L2303" s="29"/>
      <c r="O2303" s="49"/>
    </row>
    <row r="2304" spans="9:15" x14ac:dyDescent="0.35">
      <c r="I2304" s="53"/>
      <c r="J2304" s="29"/>
      <c r="K2304" s="30"/>
      <c r="L2304" s="29"/>
      <c r="O2304" s="49"/>
    </row>
    <row r="2305" spans="9:15" x14ac:dyDescent="0.35">
      <c r="I2305" s="53"/>
      <c r="J2305" s="29"/>
      <c r="K2305" s="30"/>
      <c r="L2305" s="29"/>
      <c r="O2305" s="49"/>
    </row>
    <row r="2306" spans="9:15" x14ac:dyDescent="0.35">
      <c r="I2306" s="53"/>
      <c r="J2306" s="29"/>
      <c r="K2306" s="30"/>
      <c r="L2306" s="29"/>
      <c r="O2306" s="49"/>
    </row>
    <row r="2307" spans="9:15" x14ac:dyDescent="0.35">
      <c r="I2307" s="53"/>
      <c r="J2307" s="29"/>
      <c r="K2307" s="30"/>
      <c r="L2307" s="29"/>
      <c r="O2307" s="49"/>
    </row>
    <row r="2308" spans="9:15" x14ac:dyDescent="0.35">
      <c r="I2308" s="53"/>
      <c r="J2308" s="29"/>
      <c r="K2308" s="30"/>
      <c r="L2308" s="29"/>
      <c r="O2308" s="49"/>
    </row>
    <row r="2309" spans="9:15" x14ac:dyDescent="0.35">
      <c r="I2309" s="53"/>
      <c r="J2309" s="29"/>
      <c r="K2309" s="30"/>
      <c r="L2309" s="29"/>
      <c r="O2309" s="49"/>
    </row>
    <row r="2310" spans="9:15" x14ac:dyDescent="0.35">
      <c r="I2310" s="53"/>
      <c r="J2310" s="29"/>
      <c r="K2310" s="30"/>
      <c r="L2310" s="29"/>
      <c r="O2310" s="49"/>
    </row>
    <row r="2311" spans="9:15" x14ac:dyDescent="0.35">
      <c r="I2311" s="53"/>
      <c r="J2311" s="29"/>
      <c r="K2311" s="30"/>
      <c r="L2311" s="29"/>
      <c r="O2311" s="49"/>
    </row>
    <row r="2312" spans="9:15" x14ac:dyDescent="0.35">
      <c r="I2312" s="53"/>
      <c r="J2312" s="29"/>
      <c r="K2312" s="30"/>
      <c r="L2312" s="29"/>
      <c r="O2312" s="49"/>
    </row>
    <row r="2313" spans="9:15" x14ac:dyDescent="0.35">
      <c r="I2313" s="53"/>
      <c r="J2313" s="29"/>
      <c r="K2313" s="30"/>
      <c r="L2313" s="29"/>
      <c r="O2313" s="49"/>
    </row>
    <row r="2314" spans="9:15" x14ac:dyDescent="0.35">
      <c r="I2314" s="53"/>
      <c r="J2314" s="29"/>
      <c r="K2314" s="30"/>
      <c r="L2314" s="29"/>
      <c r="O2314" s="49"/>
    </row>
    <row r="2315" spans="9:15" x14ac:dyDescent="0.35">
      <c r="I2315" s="53"/>
      <c r="J2315" s="29"/>
      <c r="K2315" s="30"/>
      <c r="L2315" s="29"/>
      <c r="O2315" s="49"/>
    </row>
    <row r="2316" spans="9:15" x14ac:dyDescent="0.35">
      <c r="I2316" s="53"/>
      <c r="J2316" s="29"/>
      <c r="K2316" s="30"/>
      <c r="L2316" s="29"/>
      <c r="O2316" s="49"/>
    </row>
    <row r="2317" spans="9:15" x14ac:dyDescent="0.35">
      <c r="I2317" s="53"/>
      <c r="J2317" s="29"/>
      <c r="K2317" s="30"/>
      <c r="L2317" s="29"/>
      <c r="O2317" s="49"/>
    </row>
    <row r="2318" spans="9:15" x14ac:dyDescent="0.35">
      <c r="I2318" s="53"/>
      <c r="J2318" s="29"/>
      <c r="K2318" s="30"/>
      <c r="L2318" s="29"/>
      <c r="O2318" s="49"/>
    </row>
    <row r="2319" spans="9:15" x14ac:dyDescent="0.35">
      <c r="I2319" s="53"/>
      <c r="J2319" s="29"/>
      <c r="K2319" s="30"/>
      <c r="L2319" s="29"/>
      <c r="O2319" s="49"/>
    </row>
    <row r="2320" spans="9:15" x14ac:dyDescent="0.35">
      <c r="I2320" s="53"/>
      <c r="J2320" s="29"/>
      <c r="K2320" s="30"/>
      <c r="L2320" s="29"/>
      <c r="O2320" s="49"/>
    </row>
    <row r="2321" spans="9:15" x14ac:dyDescent="0.35">
      <c r="I2321" s="53"/>
      <c r="J2321" s="29"/>
      <c r="K2321" s="30"/>
      <c r="L2321" s="29"/>
      <c r="O2321" s="49"/>
    </row>
    <row r="2322" spans="9:15" x14ac:dyDescent="0.35">
      <c r="I2322" s="53"/>
      <c r="J2322" s="29"/>
      <c r="K2322" s="30"/>
      <c r="L2322" s="29"/>
      <c r="O2322" s="49"/>
    </row>
    <row r="2323" spans="9:15" x14ac:dyDescent="0.35">
      <c r="I2323" s="53"/>
      <c r="J2323" s="29"/>
      <c r="K2323" s="30"/>
      <c r="L2323" s="29"/>
      <c r="O2323" s="49"/>
    </row>
    <row r="2324" spans="9:15" x14ac:dyDescent="0.35">
      <c r="I2324" s="53"/>
      <c r="J2324" s="29"/>
      <c r="K2324" s="30"/>
      <c r="L2324" s="29"/>
      <c r="O2324" s="49"/>
    </row>
    <row r="2325" spans="9:15" x14ac:dyDescent="0.35">
      <c r="I2325" s="53"/>
      <c r="J2325" s="29"/>
      <c r="K2325" s="30"/>
      <c r="L2325" s="29"/>
      <c r="O2325" s="49"/>
    </row>
    <row r="2326" spans="9:15" x14ac:dyDescent="0.35">
      <c r="I2326" s="53"/>
      <c r="J2326" s="29"/>
      <c r="K2326" s="30"/>
      <c r="L2326" s="29"/>
      <c r="O2326" s="49"/>
    </row>
    <row r="2327" spans="9:15" x14ac:dyDescent="0.35">
      <c r="I2327" s="53"/>
      <c r="J2327" s="29"/>
      <c r="K2327" s="30"/>
      <c r="L2327" s="29"/>
      <c r="O2327" s="49"/>
    </row>
    <row r="2328" spans="9:15" x14ac:dyDescent="0.35">
      <c r="I2328" s="53"/>
      <c r="J2328" s="29"/>
      <c r="K2328" s="30"/>
      <c r="L2328" s="29"/>
      <c r="O2328" s="49"/>
    </row>
    <row r="2329" spans="9:15" x14ac:dyDescent="0.35">
      <c r="I2329" s="53"/>
      <c r="J2329" s="29"/>
      <c r="K2329" s="30"/>
      <c r="L2329" s="29"/>
      <c r="O2329" s="49"/>
    </row>
    <row r="2330" spans="9:15" x14ac:dyDescent="0.35">
      <c r="I2330" s="53"/>
      <c r="J2330" s="29"/>
      <c r="K2330" s="30"/>
      <c r="L2330" s="29"/>
      <c r="O2330" s="49"/>
    </row>
    <row r="2331" spans="9:15" x14ac:dyDescent="0.35">
      <c r="I2331" s="53"/>
      <c r="J2331" s="29"/>
      <c r="K2331" s="30"/>
      <c r="L2331" s="29"/>
      <c r="O2331" s="49"/>
    </row>
    <row r="2332" spans="9:15" x14ac:dyDescent="0.35">
      <c r="I2332" s="53"/>
      <c r="J2332" s="29"/>
      <c r="K2332" s="30"/>
      <c r="L2332" s="29"/>
      <c r="O2332" s="49"/>
    </row>
    <row r="2333" spans="9:15" x14ac:dyDescent="0.35">
      <c r="I2333" s="53"/>
      <c r="J2333" s="29"/>
      <c r="K2333" s="30"/>
      <c r="L2333" s="29"/>
      <c r="O2333" s="49"/>
    </row>
    <row r="2334" spans="9:15" x14ac:dyDescent="0.35">
      <c r="I2334" s="53"/>
      <c r="J2334" s="29"/>
      <c r="K2334" s="30"/>
      <c r="L2334" s="29"/>
      <c r="O2334" s="49"/>
    </row>
    <row r="2335" spans="9:15" x14ac:dyDescent="0.35">
      <c r="I2335" s="53"/>
      <c r="J2335" s="29"/>
      <c r="K2335" s="30"/>
      <c r="L2335" s="29"/>
      <c r="O2335" s="49"/>
    </row>
    <row r="2336" spans="9:15" x14ac:dyDescent="0.35">
      <c r="I2336" s="53"/>
      <c r="J2336" s="29"/>
      <c r="K2336" s="30"/>
      <c r="L2336" s="29"/>
      <c r="O2336" s="49"/>
    </row>
    <row r="2337" spans="9:15" x14ac:dyDescent="0.35">
      <c r="I2337" s="53"/>
      <c r="J2337" s="29"/>
      <c r="K2337" s="30"/>
      <c r="L2337" s="29"/>
      <c r="O2337" s="49"/>
    </row>
    <row r="2338" spans="9:15" x14ac:dyDescent="0.35">
      <c r="I2338" s="53"/>
      <c r="J2338" s="29"/>
      <c r="K2338" s="30"/>
      <c r="L2338" s="29"/>
      <c r="O2338" s="49"/>
    </row>
    <row r="2339" spans="9:15" x14ac:dyDescent="0.35">
      <c r="I2339" s="53"/>
      <c r="J2339" s="29"/>
      <c r="K2339" s="30"/>
      <c r="L2339" s="29"/>
      <c r="O2339" s="49"/>
    </row>
    <row r="2340" spans="9:15" x14ac:dyDescent="0.35">
      <c r="I2340" s="53"/>
      <c r="J2340" s="29"/>
      <c r="K2340" s="30"/>
      <c r="L2340" s="29"/>
      <c r="O2340" s="49"/>
    </row>
    <row r="2341" spans="9:15" x14ac:dyDescent="0.35">
      <c r="I2341" s="53"/>
      <c r="J2341" s="29"/>
      <c r="K2341" s="30"/>
      <c r="L2341" s="29"/>
      <c r="O2341" s="49"/>
    </row>
    <row r="2342" spans="9:15" x14ac:dyDescent="0.35">
      <c r="I2342" s="53"/>
      <c r="J2342" s="29"/>
      <c r="K2342" s="30"/>
      <c r="L2342" s="29"/>
      <c r="O2342" s="49"/>
    </row>
    <row r="2343" spans="9:15" x14ac:dyDescent="0.35">
      <c r="I2343" s="53"/>
      <c r="J2343" s="29"/>
      <c r="K2343" s="30"/>
      <c r="L2343" s="29"/>
      <c r="O2343" s="49"/>
    </row>
    <row r="2344" spans="9:15" x14ac:dyDescent="0.35">
      <c r="I2344" s="53"/>
      <c r="J2344" s="29"/>
      <c r="K2344" s="30"/>
      <c r="L2344" s="29"/>
      <c r="O2344" s="49"/>
    </row>
    <row r="2345" spans="9:15" x14ac:dyDescent="0.35">
      <c r="I2345" s="53"/>
      <c r="J2345" s="29"/>
      <c r="K2345" s="30"/>
      <c r="L2345" s="29"/>
      <c r="O2345" s="49"/>
    </row>
    <row r="2346" spans="9:15" x14ac:dyDescent="0.35">
      <c r="I2346" s="53"/>
      <c r="J2346" s="29"/>
      <c r="K2346" s="30"/>
      <c r="L2346" s="29"/>
      <c r="O2346" s="49"/>
    </row>
    <row r="2347" spans="9:15" x14ac:dyDescent="0.35">
      <c r="I2347" s="53"/>
      <c r="J2347" s="29"/>
      <c r="K2347" s="30"/>
      <c r="L2347" s="29"/>
      <c r="O2347" s="49"/>
    </row>
    <row r="2348" spans="9:15" x14ac:dyDescent="0.35">
      <c r="I2348" s="53"/>
      <c r="J2348" s="29"/>
      <c r="K2348" s="30"/>
      <c r="L2348" s="29"/>
      <c r="O2348" s="49"/>
    </row>
    <row r="2349" spans="9:15" x14ac:dyDescent="0.35">
      <c r="I2349" s="53"/>
      <c r="J2349" s="29"/>
      <c r="K2349" s="30"/>
      <c r="L2349" s="29"/>
      <c r="O2349" s="49"/>
    </row>
    <row r="2350" spans="9:15" x14ac:dyDescent="0.35">
      <c r="I2350" s="53"/>
      <c r="J2350" s="29"/>
      <c r="K2350" s="30"/>
      <c r="L2350" s="29"/>
      <c r="O2350" s="49"/>
    </row>
    <row r="2351" spans="9:15" x14ac:dyDescent="0.35">
      <c r="I2351" s="53"/>
      <c r="J2351" s="29"/>
      <c r="K2351" s="30"/>
      <c r="L2351" s="29"/>
      <c r="O2351" s="49"/>
    </row>
    <row r="2352" spans="9:15" x14ac:dyDescent="0.35">
      <c r="I2352" s="53"/>
      <c r="J2352" s="29"/>
      <c r="K2352" s="30"/>
      <c r="L2352" s="29"/>
      <c r="O2352" s="49"/>
    </row>
    <row r="2353" spans="9:15" x14ac:dyDescent="0.35">
      <c r="I2353" s="53"/>
      <c r="J2353" s="29"/>
      <c r="K2353" s="30"/>
      <c r="L2353" s="29"/>
      <c r="O2353" s="49"/>
    </row>
    <row r="2354" spans="9:15" x14ac:dyDescent="0.35">
      <c r="I2354" s="53"/>
      <c r="J2354" s="29"/>
      <c r="K2354" s="30"/>
      <c r="L2354" s="29"/>
      <c r="O2354" s="49"/>
    </row>
    <row r="2355" spans="9:15" x14ac:dyDescent="0.35">
      <c r="I2355" s="53"/>
      <c r="J2355" s="29"/>
      <c r="K2355" s="30"/>
      <c r="L2355" s="29"/>
      <c r="O2355" s="49"/>
    </row>
    <row r="2356" spans="9:15" x14ac:dyDescent="0.35">
      <c r="I2356" s="53"/>
      <c r="J2356" s="29"/>
      <c r="K2356" s="30"/>
      <c r="L2356" s="29"/>
      <c r="O2356" s="49"/>
    </row>
    <row r="2357" spans="9:15" x14ac:dyDescent="0.35">
      <c r="I2357" s="53"/>
      <c r="J2357" s="29"/>
      <c r="K2357" s="30"/>
      <c r="L2357" s="29"/>
      <c r="O2357" s="49"/>
    </row>
    <row r="2358" spans="9:15" x14ac:dyDescent="0.35">
      <c r="I2358" s="53"/>
      <c r="J2358" s="29"/>
      <c r="K2358" s="30"/>
      <c r="L2358" s="29"/>
      <c r="O2358" s="49"/>
    </row>
    <row r="2359" spans="9:15" x14ac:dyDescent="0.35">
      <c r="I2359" s="53"/>
      <c r="J2359" s="29"/>
      <c r="K2359" s="30"/>
      <c r="L2359" s="29"/>
      <c r="O2359" s="49"/>
    </row>
    <row r="2360" spans="9:15" x14ac:dyDescent="0.35">
      <c r="I2360" s="53"/>
      <c r="J2360" s="29"/>
      <c r="K2360" s="30"/>
      <c r="L2360" s="29"/>
      <c r="O2360" s="49"/>
    </row>
    <row r="2361" spans="9:15" x14ac:dyDescent="0.35">
      <c r="I2361" s="53"/>
      <c r="J2361" s="29"/>
      <c r="K2361" s="30"/>
      <c r="L2361" s="29"/>
      <c r="O2361" s="49"/>
    </row>
    <row r="2362" spans="9:15" x14ac:dyDescent="0.35">
      <c r="I2362" s="53"/>
      <c r="J2362" s="29"/>
      <c r="K2362" s="30"/>
      <c r="L2362" s="29"/>
      <c r="O2362" s="49"/>
    </row>
    <row r="2363" spans="9:15" x14ac:dyDescent="0.35">
      <c r="I2363" s="53"/>
      <c r="J2363" s="29"/>
      <c r="K2363" s="30"/>
      <c r="L2363" s="29"/>
      <c r="O2363" s="49"/>
    </row>
    <row r="2364" spans="9:15" x14ac:dyDescent="0.35">
      <c r="I2364" s="53"/>
      <c r="J2364" s="29"/>
      <c r="K2364" s="30"/>
      <c r="L2364" s="29"/>
      <c r="O2364" s="49"/>
    </row>
    <row r="2365" spans="9:15" x14ac:dyDescent="0.35">
      <c r="I2365" s="53"/>
      <c r="J2365" s="29"/>
      <c r="K2365" s="30"/>
      <c r="L2365" s="29"/>
      <c r="O2365" s="49"/>
    </row>
    <row r="2366" spans="9:15" x14ac:dyDescent="0.35">
      <c r="I2366" s="53"/>
      <c r="J2366" s="29"/>
      <c r="K2366" s="30"/>
      <c r="L2366" s="29"/>
      <c r="O2366" s="49"/>
    </row>
    <row r="2367" spans="9:15" x14ac:dyDescent="0.35">
      <c r="I2367" s="53"/>
      <c r="J2367" s="29"/>
      <c r="K2367" s="30"/>
      <c r="L2367" s="29"/>
      <c r="O2367" s="49"/>
    </row>
    <row r="2368" spans="9:15" x14ac:dyDescent="0.35">
      <c r="I2368" s="53"/>
      <c r="J2368" s="29"/>
      <c r="K2368" s="30"/>
      <c r="L2368" s="29"/>
      <c r="O2368" s="49"/>
    </row>
    <row r="2369" spans="9:15" x14ac:dyDescent="0.35">
      <c r="I2369" s="53"/>
      <c r="J2369" s="29"/>
      <c r="K2369" s="30"/>
      <c r="L2369" s="29"/>
      <c r="O2369" s="49"/>
    </row>
    <row r="2370" spans="9:15" x14ac:dyDescent="0.35">
      <c r="I2370" s="53"/>
      <c r="J2370" s="29"/>
      <c r="K2370" s="30"/>
      <c r="L2370" s="29"/>
      <c r="O2370" s="49"/>
    </row>
    <row r="2371" spans="9:15" x14ac:dyDescent="0.35">
      <c r="I2371" s="53"/>
      <c r="J2371" s="29"/>
      <c r="K2371" s="30"/>
      <c r="L2371" s="29"/>
      <c r="O2371" s="49"/>
    </row>
    <row r="2372" spans="9:15" x14ac:dyDescent="0.35">
      <c r="I2372" s="53"/>
      <c r="J2372" s="29"/>
      <c r="K2372" s="30"/>
      <c r="L2372" s="29"/>
      <c r="O2372" s="49"/>
    </row>
    <row r="2373" spans="9:15" x14ac:dyDescent="0.35">
      <c r="I2373" s="53"/>
      <c r="J2373" s="29"/>
      <c r="K2373" s="30"/>
      <c r="L2373" s="29"/>
      <c r="O2373" s="49"/>
    </row>
    <row r="2374" spans="9:15" x14ac:dyDescent="0.35">
      <c r="I2374" s="53"/>
      <c r="J2374" s="29"/>
      <c r="K2374" s="30"/>
      <c r="L2374" s="29"/>
      <c r="O2374" s="49"/>
    </row>
    <row r="2375" spans="9:15" x14ac:dyDescent="0.35">
      <c r="I2375" s="53"/>
      <c r="J2375" s="29"/>
      <c r="K2375" s="30"/>
      <c r="L2375" s="29"/>
      <c r="O2375" s="49"/>
    </row>
    <row r="2376" spans="9:15" x14ac:dyDescent="0.35">
      <c r="I2376" s="53"/>
      <c r="J2376" s="29"/>
      <c r="K2376" s="30"/>
      <c r="L2376" s="29"/>
      <c r="O2376" s="49"/>
    </row>
    <row r="2377" spans="9:15" x14ac:dyDescent="0.35">
      <c r="I2377" s="53"/>
      <c r="J2377" s="29"/>
      <c r="K2377" s="30"/>
      <c r="L2377" s="29"/>
      <c r="O2377" s="49"/>
    </row>
    <row r="2378" spans="9:15" x14ac:dyDescent="0.35">
      <c r="I2378" s="53"/>
      <c r="J2378" s="29"/>
      <c r="K2378" s="30"/>
      <c r="L2378" s="29"/>
      <c r="O2378" s="49"/>
    </row>
    <row r="2379" spans="9:15" x14ac:dyDescent="0.35">
      <c r="I2379" s="53"/>
      <c r="J2379" s="29"/>
      <c r="K2379" s="30"/>
      <c r="L2379" s="29"/>
      <c r="O2379" s="49"/>
    </row>
    <row r="2380" spans="9:15" x14ac:dyDescent="0.35">
      <c r="I2380" s="53"/>
      <c r="J2380" s="29"/>
      <c r="K2380" s="30"/>
      <c r="L2380" s="29"/>
      <c r="O2380" s="49"/>
    </row>
    <row r="2381" spans="9:15" x14ac:dyDescent="0.35">
      <c r="I2381" s="53"/>
      <c r="J2381" s="29"/>
      <c r="K2381" s="30"/>
      <c r="L2381" s="29"/>
      <c r="O2381" s="49"/>
    </row>
    <row r="2382" spans="9:15" x14ac:dyDescent="0.35">
      <c r="I2382" s="53"/>
      <c r="J2382" s="29"/>
      <c r="K2382" s="30"/>
      <c r="L2382" s="29"/>
      <c r="O2382" s="49"/>
    </row>
    <row r="2383" spans="9:15" x14ac:dyDescent="0.35">
      <c r="I2383" s="53"/>
      <c r="J2383" s="29"/>
      <c r="K2383" s="30"/>
      <c r="L2383" s="29"/>
      <c r="O2383" s="49"/>
    </row>
    <row r="2384" spans="9:15" x14ac:dyDescent="0.35">
      <c r="I2384" s="53"/>
      <c r="J2384" s="29"/>
      <c r="K2384" s="30"/>
      <c r="L2384" s="29"/>
      <c r="O2384" s="49"/>
    </row>
    <row r="2385" spans="9:15" x14ac:dyDescent="0.35">
      <c r="I2385" s="53"/>
      <c r="J2385" s="29"/>
      <c r="K2385" s="30"/>
      <c r="L2385" s="29"/>
      <c r="O2385" s="49"/>
    </row>
    <row r="2386" spans="9:15" x14ac:dyDescent="0.35">
      <c r="I2386" s="53"/>
      <c r="J2386" s="29"/>
      <c r="K2386" s="30"/>
      <c r="L2386" s="29"/>
      <c r="O2386" s="49"/>
    </row>
    <row r="2387" spans="9:15" x14ac:dyDescent="0.35">
      <c r="I2387" s="53"/>
      <c r="J2387" s="29"/>
      <c r="K2387" s="30"/>
      <c r="L2387" s="29"/>
      <c r="O2387" s="49"/>
    </row>
    <row r="2388" spans="9:15" x14ac:dyDescent="0.35">
      <c r="I2388" s="53"/>
      <c r="J2388" s="29"/>
      <c r="K2388" s="30"/>
      <c r="L2388" s="29"/>
      <c r="O2388" s="49"/>
    </row>
    <row r="2389" spans="9:15" x14ac:dyDescent="0.35">
      <c r="I2389" s="53"/>
      <c r="J2389" s="29"/>
      <c r="K2389" s="30"/>
      <c r="L2389" s="29"/>
      <c r="O2389" s="49"/>
    </row>
    <row r="2390" spans="9:15" x14ac:dyDescent="0.35">
      <c r="I2390" s="53"/>
      <c r="J2390" s="29"/>
      <c r="K2390" s="30"/>
      <c r="L2390" s="29"/>
      <c r="O2390" s="49"/>
    </row>
    <row r="2391" spans="9:15" x14ac:dyDescent="0.35">
      <c r="I2391" s="53"/>
      <c r="J2391" s="29"/>
      <c r="K2391" s="30"/>
      <c r="L2391" s="29"/>
      <c r="O2391" s="49"/>
    </row>
    <row r="2392" spans="9:15" x14ac:dyDescent="0.35">
      <c r="I2392" s="53"/>
      <c r="J2392" s="29"/>
      <c r="K2392" s="30"/>
      <c r="L2392" s="29"/>
      <c r="O2392" s="49"/>
    </row>
    <row r="2393" spans="9:15" x14ac:dyDescent="0.35">
      <c r="I2393" s="53"/>
      <c r="J2393" s="29"/>
      <c r="K2393" s="30"/>
      <c r="L2393" s="29"/>
      <c r="O2393" s="49"/>
    </row>
    <row r="2394" spans="9:15" x14ac:dyDescent="0.35">
      <c r="I2394" s="53"/>
      <c r="J2394" s="29"/>
      <c r="K2394" s="30"/>
      <c r="L2394" s="29"/>
      <c r="O2394" s="49"/>
    </row>
    <row r="2395" spans="9:15" x14ac:dyDescent="0.35">
      <c r="I2395" s="53"/>
      <c r="J2395" s="29"/>
      <c r="K2395" s="30"/>
      <c r="L2395" s="29"/>
      <c r="O2395" s="49"/>
    </row>
    <row r="2396" spans="9:15" x14ac:dyDescent="0.35">
      <c r="I2396" s="53"/>
      <c r="J2396" s="29"/>
      <c r="K2396" s="30"/>
      <c r="L2396" s="29"/>
      <c r="O2396" s="49"/>
    </row>
    <row r="2397" spans="9:15" x14ac:dyDescent="0.35">
      <c r="I2397" s="53"/>
      <c r="J2397" s="29"/>
      <c r="K2397" s="30"/>
      <c r="L2397" s="29"/>
      <c r="O2397" s="49"/>
    </row>
    <row r="2398" spans="9:15" x14ac:dyDescent="0.35">
      <c r="I2398" s="53"/>
      <c r="J2398" s="29"/>
      <c r="K2398" s="30"/>
      <c r="L2398" s="29"/>
      <c r="O2398" s="49"/>
    </row>
    <row r="2399" spans="9:15" x14ac:dyDescent="0.35">
      <c r="I2399" s="53"/>
      <c r="J2399" s="29"/>
      <c r="K2399" s="30"/>
      <c r="L2399" s="29"/>
      <c r="O2399" s="49"/>
    </row>
    <row r="2400" spans="9:15" x14ac:dyDescent="0.35">
      <c r="I2400" s="53"/>
      <c r="J2400" s="29"/>
      <c r="K2400" s="30"/>
      <c r="L2400" s="29"/>
      <c r="O2400" s="49"/>
    </row>
    <row r="2401" spans="9:15" x14ac:dyDescent="0.35">
      <c r="I2401" s="53"/>
      <c r="J2401" s="29"/>
      <c r="K2401" s="30"/>
      <c r="L2401" s="29"/>
      <c r="O2401" s="49"/>
    </row>
    <row r="2402" spans="9:15" x14ac:dyDescent="0.35">
      <c r="I2402" s="53"/>
      <c r="J2402" s="29"/>
      <c r="K2402" s="30"/>
      <c r="L2402" s="29"/>
      <c r="O2402" s="49"/>
    </row>
    <row r="2403" spans="9:15" x14ac:dyDescent="0.35">
      <c r="I2403" s="53"/>
      <c r="J2403" s="29"/>
      <c r="K2403" s="30"/>
      <c r="L2403" s="29"/>
      <c r="O2403" s="49"/>
    </row>
    <row r="2404" spans="9:15" x14ac:dyDescent="0.35">
      <c r="I2404" s="53"/>
      <c r="J2404" s="29"/>
      <c r="K2404" s="30"/>
      <c r="L2404" s="29"/>
      <c r="O2404" s="49"/>
    </row>
    <row r="2405" spans="9:15" x14ac:dyDescent="0.35">
      <c r="I2405" s="53"/>
      <c r="J2405" s="29"/>
      <c r="K2405" s="30"/>
      <c r="L2405" s="29"/>
      <c r="O2405" s="49"/>
    </row>
    <row r="2406" spans="9:15" x14ac:dyDescent="0.35">
      <c r="I2406" s="53"/>
      <c r="J2406" s="29"/>
      <c r="K2406" s="30"/>
      <c r="L2406" s="29"/>
      <c r="O2406" s="49"/>
    </row>
    <row r="2407" spans="9:15" x14ac:dyDescent="0.35">
      <c r="I2407" s="53"/>
      <c r="J2407" s="29"/>
      <c r="K2407" s="30"/>
      <c r="L2407" s="29"/>
      <c r="O2407" s="49"/>
    </row>
    <row r="2408" spans="9:15" x14ac:dyDescent="0.35">
      <c r="I2408" s="53"/>
      <c r="J2408" s="29"/>
      <c r="K2408" s="30"/>
      <c r="L2408" s="29"/>
      <c r="O2408" s="49"/>
    </row>
    <row r="2409" spans="9:15" x14ac:dyDescent="0.35">
      <c r="I2409" s="53"/>
      <c r="J2409" s="29"/>
      <c r="K2409" s="30"/>
      <c r="L2409" s="29"/>
      <c r="O2409" s="49"/>
    </row>
    <row r="2410" spans="9:15" x14ac:dyDescent="0.35">
      <c r="I2410" s="53"/>
      <c r="J2410" s="29"/>
      <c r="K2410" s="30"/>
      <c r="L2410" s="29"/>
      <c r="O2410" s="49"/>
    </row>
    <row r="2411" spans="9:15" x14ac:dyDescent="0.35">
      <c r="I2411" s="53"/>
      <c r="J2411" s="29"/>
      <c r="K2411" s="30"/>
      <c r="L2411" s="29"/>
      <c r="O2411" s="49"/>
    </row>
    <row r="2412" spans="9:15" x14ac:dyDescent="0.35">
      <c r="I2412" s="53"/>
      <c r="J2412" s="29"/>
      <c r="K2412" s="30"/>
      <c r="L2412" s="29"/>
      <c r="O2412" s="49"/>
    </row>
    <row r="2413" spans="9:15" x14ac:dyDescent="0.35">
      <c r="I2413" s="53"/>
      <c r="J2413" s="29"/>
      <c r="K2413" s="30"/>
      <c r="L2413" s="29"/>
      <c r="O2413" s="49"/>
    </row>
    <row r="2414" spans="9:15" x14ac:dyDescent="0.35">
      <c r="I2414" s="53"/>
      <c r="J2414" s="29"/>
      <c r="K2414" s="30"/>
      <c r="L2414" s="29"/>
      <c r="O2414" s="49"/>
    </row>
    <row r="2415" spans="9:15" x14ac:dyDescent="0.35">
      <c r="I2415" s="53"/>
      <c r="J2415" s="29"/>
      <c r="K2415" s="30"/>
      <c r="L2415" s="29"/>
      <c r="O2415" s="49"/>
    </row>
    <row r="2416" spans="9:15" x14ac:dyDescent="0.35">
      <c r="I2416" s="53"/>
      <c r="J2416" s="29"/>
      <c r="K2416" s="30"/>
      <c r="L2416" s="29"/>
      <c r="O2416" s="49"/>
    </row>
    <row r="2417" spans="9:15" x14ac:dyDescent="0.35">
      <c r="I2417" s="53"/>
      <c r="J2417" s="29"/>
      <c r="K2417" s="30"/>
      <c r="L2417" s="29"/>
      <c r="O2417" s="49"/>
    </row>
    <row r="2418" spans="9:15" x14ac:dyDescent="0.35">
      <c r="I2418" s="53"/>
      <c r="J2418" s="29"/>
      <c r="K2418" s="30"/>
      <c r="L2418" s="29"/>
      <c r="O2418" s="49"/>
    </row>
    <row r="2419" spans="9:15" x14ac:dyDescent="0.35">
      <c r="I2419" s="53"/>
      <c r="J2419" s="29"/>
      <c r="K2419" s="30"/>
      <c r="L2419" s="29"/>
      <c r="O2419" s="49"/>
    </row>
    <row r="2420" spans="9:15" x14ac:dyDescent="0.35">
      <c r="I2420" s="53"/>
      <c r="J2420" s="29"/>
      <c r="K2420" s="30"/>
      <c r="L2420" s="29"/>
      <c r="O2420" s="49"/>
    </row>
    <row r="2421" spans="9:15" x14ac:dyDescent="0.35">
      <c r="I2421" s="53"/>
      <c r="J2421" s="29"/>
      <c r="K2421" s="30"/>
      <c r="L2421" s="29"/>
      <c r="O2421" s="49"/>
    </row>
    <row r="2422" spans="9:15" x14ac:dyDescent="0.35">
      <c r="I2422" s="53"/>
      <c r="J2422" s="29"/>
      <c r="K2422" s="30"/>
      <c r="L2422" s="29"/>
      <c r="O2422" s="49"/>
    </row>
    <row r="2423" spans="9:15" x14ac:dyDescent="0.35">
      <c r="I2423" s="53"/>
      <c r="J2423" s="29"/>
      <c r="K2423" s="30"/>
      <c r="L2423" s="29"/>
      <c r="O2423" s="49"/>
    </row>
    <row r="2424" spans="9:15" x14ac:dyDescent="0.35">
      <c r="I2424" s="53"/>
      <c r="J2424" s="29"/>
      <c r="K2424" s="30"/>
      <c r="L2424" s="29"/>
      <c r="O2424" s="49"/>
    </row>
    <row r="2425" spans="9:15" x14ac:dyDescent="0.35">
      <c r="I2425" s="53"/>
      <c r="J2425" s="29"/>
      <c r="K2425" s="30"/>
      <c r="L2425" s="29"/>
      <c r="O2425" s="49"/>
    </row>
    <row r="2426" spans="9:15" x14ac:dyDescent="0.35">
      <c r="I2426" s="53"/>
      <c r="J2426" s="29"/>
      <c r="K2426" s="30"/>
      <c r="L2426" s="29"/>
      <c r="O2426" s="49"/>
    </row>
    <row r="2427" spans="9:15" x14ac:dyDescent="0.35">
      <c r="I2427" s="53"/>
      <c r="J2427" s="29"/>
      <c r="K2427" s="30"/>
      <c r="L2427" s="29"/>
      <c r="O2427" s="49"/>
    </row>
    <row r="2428" spans="9:15" x14ac:dyDescent="0.35">
      <c r="I2428" s="53"/>
      <c r="J2428" s="29"/>
      <c r="K2428" s="30"/>
      <c r="L2428" s="29"/>
      <c r="O2428" s="49"/>
    </row>
    <row r="2429" spans="9:15" x14ac:dyDescent="0.35">
      <c r="I2429" s="53"/>
      <c r="J2429" s="29"/>
      <c r="K2429" s="30"/>
      <c r="L2429" s="29"/>
      <c r="O2429" s="49"/>
    </row>
    <row r="2430" spans="9:15" x14ac:dyDescent="0.35">
      <c r="I2430" s="53"/>
      <c r="J2430" s="29"/>
      <c r="K2430" s="30"/>
      <c r="L2430" s="29"/>
      <c r="O2430" s="49"/>
    </row>
    <row r="2431" spans="9:15" x14ac:dyDescent="0.35">
      <c r="I2431" s="53"/>
      <c r="J2431" s="29"/>
      <c r="K2431" s="30"/>
      <c r="L2431" s="29"/>
      <c r="O2431" s="49"/>
    </row>
    <row r="2432" spans="9:15" x14ac:dyDescent="0.35">
      <c r="I2432" s="53"/>
      <c r="J2432" s="29"/>
      <c r="K2432" s="30"/>
      <c r="L2432" s="29"/>
      <c r="O2432" s="49"/>
    </row>
    <row r="2433" spans="9:15" x14ac:dyDescent="0.35">
      <c r="I2433" s="53"/>
      <c r="J2433" s="29"/>
      <c r="K2433" s="30"/>
      <c r="L2433" s="29"/>
      <c r="O2433" s="49"/>
    </row>
    <row r="2434" spans="9:15" x14ac:dyDescent="0.35">
      <c r="I2434" s="53"/>
      <c r="J2434" s="29"/>
      <c r="K2434" s="30"/>
      <c r="L2434" s="29"/>
      <c r="O2434" s="49"/>
    </row>
    <row r="2435" spans="9:15" x14ac:dyDescent="0.35">
      <c r="I2435" s="53"/>
      <c r="J2435" s="29"/>
      <c r="K2435" s="30"/>
      <c r="L2435" s="29"/>
      <c r="O2435" s="49"/>
    </row>
    <row r="2436" spans="9:15" x14ac:dyDescent="0.35">
      <c r="I2436" s="53"/>
      <c r="J2436" s="29"/>
      <c r="K2436" s="30"/>
      <c r="L2436" s="29"/>
      <c r="O2436" s="49"/>
    </row>
    <row r="2437" spans="9:15" x14ac:dyDescent="0.35">
      <c r="I2437" s="53"/>
      <c r="J2437" s="29"/>
      <c r="K2437" s="30"/>
      <c r="L2437" s="29"/>
      <c r="O2437" s="49"/>
    </row>
    <row r="2438" spans="9:15" x14ac:dyDescent="0.35">
      <c r="I2438" s="53"/>
      <c r="J2438" s="29"/>
      <c r="K2438" s="30"/>
      <c r="L2438" s="29"/>
      <c r="O2438" s="49"/>
    </row>
    <row r="2439" spans="9:15" x14ac:dyDescent="0.35">
      <c r="I2439" s="53"/>
      <c r="J2439" s="29"/>
      <c r="K2439" s="30"/>
      <c r="L2439" s="29"/>
      <c r="O2439" s="49"/>
    </row>
    <row r="2440" spans="9:15" x14ac:dyDescent="0.35">
      <c r="I2440" s="53"/>
      <c r="J2440" s="29"/>
      <c r="K2440" s="30"/>
      <c r="L2440" s="29"/>
      <c r="O2440" s="49"/>
    </row>
    <row r="2441" spans="9:15" x14ac:dyDescent="0.35">
      <c r="I2441" s="53"/>
      <c r="J2441" s="29"/>
      <c r="K2441" s="30"/>
      <c r="L2441" s="29"/>
      <c r="O2441" s="49"/>
    </row>
    <row r="2442" spans="9:15" x14ac:dyDescent="0.35">
      <c r="I2442" s="53"/>
      <c r="J2442" s="29"/>
      <c r="K2442" s="30"/>
      <c r="L2442" s="29"/>
      <c r="O2442" s="49"/>
    </row>
    <row r="2443" spans="9:15" x14ac:dyDescent="0.35">
      <c r="I2443" s="53"/>
      <c r="J2443" s="29"/>
      <c r="K2443" s="30"/>
      <c r="L2443" s="29"/>
      <c r="O2443" s="49"/>
    </row>
    <row r="2444" spans="9:15" x14ac:dyDescent="0.35">
      <c r="I2444" s="53"/>
      <c r="J2444" s="29"/>
      <c r="K2444" s="30"/>
      <c r="L2444" s="29"/>
      <c r="O2444" s="49"/>
    </row>
    <row r="2445" spans="9:15" x14ac:dyDescent="0.35">
      <c r="I2445" s="53"/>
      <c r="J2445" s="29"/>
      <c r="K2445" s="30"/>
      <c r="L2445" s="29"/>
      <c r="O2445" s="49"/>
    </row>
    <row r="2446" spans="9:15" x14ac:dyDescent="0.35">
      <c r="I2446" s="53"/>
      <c r="J2446" s="29"/>
      <c r="K2446" s="30"/>
      <c r="L2446" s="29"/>
      <c r="O2446" s="49"/>
    </row>
    <row r="2447" spans="9:15" x14ac:dyDescent="0.35">
      <c r="I2447" s="53"/>
      <c r="J2447" s="29"/>
      <c r="K2447" s="30"/>
      <c r="L2447" s="29"/>
      <c r="O2447" s="49"/>
    </row>
    <row r="2448" spans="9:15" x14ac:dyDescent="0.35">
      <c r="I2448" s="53"/>
      <c r="J2448" s="29"/>
      <c r="K2448" s="30"/>
      <c r="L2448" s="29"/>
      <c r="O2448" s="49"/>
    </row>
    <row r="2449" spans="9:15" x14ac:dyDescent="0.35">
      <c r="I2449" s="53"/>
      <c r="J2449" s="29"/>
      <c r="K2449" s="30"/>
      <c r="L2449" s="29"/>
      <c r="O2449" s="49"/>
    </row>
    <row r="2450" spans="9:15" x14ac:dyDescent="0.35">
      <c r="I2450" s="53"/>
      <c r="J2450" s="29"/>
      <c r="K2450" s="30"/>
      <c r="L2450" s="29"/>
      <c r="O2450" s="49"/>
    </row>
    <row r="2451" spans="9:15" x14ac:dyDescent="0.35">
      <c r="I2451" s="53"/>
      <c r="J2451" s="29"/>
      <c r="K2451" s="30"/>
      <c r="L2451" s="29"/>
      <c r="O2451" s="49"/>
    </row>
    <row r="2452" spans="9:15" x14ac:dyDescent="0.35">
      <c r="I2452" s="53"/>
      <c r="J2452" s="29"/>
      <c r="K2452" s="30"/>
      <c r="L2452" s="29"/>
      <c r="O2452" s="49"/>
    </row>
    <row r="2453" spans="9:15" x14ac:dyDescent="0.35">
      <c r="I2453" s="53"/>
      <c r="J2453" s="29"/>
      <c r="K2453" s="30"/>
      <c r="L2453" s="29"/>
      <c r="O2453" s="49"/>
    </row>
    <row r="2454" spans="9:15" x14ac:dyDescent="0.35">
      <c r="I2454" s="53"/>
      <c r="J2454" s="29"/>
      <c r="K2454" s="30"/>
      <c r="L2454" s="29"/>
      <c r="O2454" s="49"/>
    </row>
    <row r="2455" spans="9:15" x14ac:dyDescent="0.35">
      <c r="I2455" s="53"/>
      <c r="J2455" s="29"/>
      <c r="K2455" s="30"/>
      <c r="L2455" s="29"/>
      <c r="O2455" s="49"/>
    </row>
    <row r="2456" spans="9:15" x14ac:dyDescent="0.35">
      <c r="I2456" s="53"/>
      <c r="J2456" s="29"/>
      <c r="K2456" s="30"/>
      <c r="L2456" s="29"/>
      <c r="O2456" s="49"/>
    </row>
    <row r="2457" spans="9:15" x14ac:dyDescent="0.35">
      <c r="I2457" s="53"/>
      <c r="J2457" s="29"/>
      <c r="K2457" s="30"/>
      <c r="L2457" s="29"/>
      <c r="O2457" s="49"/>
    </row>
    <row r="2458" spans="9:15" x14ac:dyDescent="0.35">
      <c r="I2458" s="53"/>
      <c r="J2458" s="29"/>
      <c r="K2458" s="30"/>
      <c r="L2458" s="29"/>
      <c r="O2458" s="49"/>
    </row>
    <row r="2459" spans="9:15" x14ac:dyDescent="0.35">
      <c r="I2459" s="53"/>
      <c r="J2459" s="29"/>
      <c r="K2459" s="30"/>
      <c r="L2459" s="29"/>
      <c r="O2459" s="49"/>
    </row>
    <row r="2460" spans="9:15" x14ac:dyDescent="0.35">
      <c r="I2460" s="53"/>
      <c r="J2460" s="29"/>
      <c r="K2460" s="30"/>
      <c r="L2460" s="29"/>
      <c r="O2460" s="49"/>
    </row>
    <row r="2461" spans="9:15" x14ac:dyDescent="0.35">
      <c r="I2461" s="53"/>
      <c r="J2461" s="29"/>
      <c r="K2461" s="30"/>
      <c r="L2461" s="29"/>
      <c r="O2461" s="49"/>
    </row>
    <row r="2462" spans="9:15" x14ac:dyDescent="0.35">
      <c r="I2462" s="53"/>
      <c r="J2462" s="29"/>
      <c r="K2462" s="30"/>
      <c r="L2462" s="29"/>
      <c r="O2462" s="49"/>
    </row>
    <row r="2463" spans="9:15" x14ac:dyDescent="0.35">
      <c r="I2463" s="53"/>
      <c r="J2463" s="29"/>
      <c r="K2463" s="30"/>
      <c r="L2463" s="29"/>
      <c r="O2463" s="49"/>
    </row>
    <row r="2464" spans="9:15" x14ac:dyDescent="0.35">
      <c r="I2464" s="53"/>
      <c r="J2464" s="29"/>
      <c r="K2464" s="30"/>
      <c r="L2464" s="29"/>
      <c r="O2464" s="49"/>
    </row>
    <row r="2465" spans="9:15" x14ac:dyDescent="0.35">
      <c r="I2465" s="53"/>
      <c r="J2465" s="29"/>
      <c r="K2465" s="30"/>
      <c r="L2465" s="29"/>
      <c r="O2465" s="49"/>
    </row>
    <row r="2466" spans="9:15" x14ac:dyDescent="0.35">
      <c r="I2466" s="53"/>
      <c r="J2466" s="29"/>
      <c r="K2466" s="30"/>
      <c r="L2466" s="29"/>
      <c r="O2466" s="49"/>
    </row>
    <row r="2467" spans="9:15" x14ac:dyDescent="0.35">
      <c r="I2467" s="53"/>
      <c r="J2467" s="29"/>
      <c r="K2467" s="30"/>
      <c r="L2467" s="29"/>
      <c r="O2467" s="49"/>
    </row>
    <row r="2468" spans="9:15" x14ac:dyDescent="0.35">
      <c r="I2468" s="53"/>
      <c r="J2468" s="29"/>
      <c r="K2468" s="30"/>
      <c r="L2468" s="29"/>
      <c r="O2468" s="49"/>
    </row>
    <row r="2469" spans="9:15" x14ac:dyDescent="0.35">
      <c r="I2469" s="53"/>
      <c r="J2469" s="29"/>
      <c r="K2469" s="30"/>
      <c r="L2469" s="29"/>
      <c r="O2469" s="49"/>
    </row>
    <row r="2470" spans="9:15" x14ac:dyDescent="0.35">
      <c r="I2470" s="53"/>
      <c r="J2470" s="29"/>
      <c r="K2470" s="30"/>
      <c r="L2470" s="29"/>
      <c r="O2470" s="49"/>
    </row>
    <row r="2471" spans="9:15" x14ac:dyDescent="0.35">
      <c r="I2471" s="53"/>
      <c r="J2471" s="29"/>
      <c r="K2471" s="30"/>
      <c r="L2471" s="29"/>
      <c r="O2471" s="49"/>
    </row>
    <row r="2472" spans="9:15" x14ac:dyDescent="0.35">
      <c r="I2472" s="53"/>
      <c r="J2472" s="29"/>
      <c r="K2472" s="30"/>
      <c r="L2472" s="29"/>
      <c r="O2472" s="49"/>
    </row>
    <row r="2473" spans="9:15" x14ac:dyDescent="0.35">
      <c r="I2473" s="53"/>
      <c r="J2473" s="29"/>
      <c r="K2473" s="30"/>
      <c r="L2473" s="29"/>
      <c r="O2473" s="49"/>
    </row>
    <row r="2474" spans="9:15" x14ac:dyDescent="0.35">
      <c r="I2474" s="53"/>
      <c r="J2474" s="29"/>
      <c r="K2474" s="30"/>
      <c r="L2474" s="29"/>
      <c r="O2474" s="49"/>
    </row>
    <row r="2475" spans="9:15" x14ac:dyDescent="0.35">
      <c r="I2475" s="53"/>
      <c r="J2475" s="29"/>
      <c r="K2475" s="30"/>
      <c r="L2475" s="29"/>
      <c r="O2475" s="49"/>
    </row>
    <row r="2476" spans="9:15" x14ac:dyDescent="0.35">
      <c r="I2476" s="53"/>
      <c r="J2476" s="29"/>
      <c r="K2476" s="30"/>
      <c r="L2476" s="29"/>
      <c r="O2476" s="49"/>
    </row>
    <row r="2477" spans="9:15" x14ac:dyDescent="0.35">
      <c r="I2477" s="53"/>
      <c r="J2477" s="29"/>
      <c r="K2477" s="30"/>
      <c r="L2477" s="29"/>
      <c r="O2477" s="49"/>
    </row>
    <row r="2478" spans="9:15" x14ac:dyDescent="0.35">
      <c r="I2478" s="53"/>
      <c r="J2478" s="29"/>
      <c r="K2478" s="30"/>
      <c r="L2478" s="29"/>
      <c r="O2478" s="49"/>
    </row>
    <row r="2479" spans="9:15" x14ac:dyDescent="0.35">
      <c r="I2479" s="53"/>
      <c r="J2479" s="29"/>
      <c r="K2479" s="30"/>
      <c r="L2479" s="29"/>
      <c r="O2479" s="49"/>
    </row>
    <row r="2480" spans="9:15" x14ac:dyDescent="0.35">
      <c r="I2480" s="53"/>
      <c r="J2480" s="29"/>
      <c r="K2480" s="30"/>
      <c r="L2480" s="29"/>
      <c r="O2480" s="49"/>
    </row>
    <row r="2481" spans="9:15" x14ac:dyDescent="0.35">
      <c r="I2481" s="53"/>
      <c r="J2481" s="29"/>
      <c r="K2481" s="30"/>
      <c r="L2481" s="29"/>
      <c r="O2481" s="49"/>
    </row>
    <row r="2482" spans="9:15" x14ac:dyDescent="0.35">
      <c r="I2482" s="53"/>
      <c r="J2482" s="29"/>
      <c r="K2482" s="30"/>
      <c r="L2482" s="29"/>
      <c r="O2482" s="49"/>
    </row>
    <row r="2483" spans="9:15" x14ac:dyDescent="0.35">
      <c r="I2483" s="53"/>
      <c r="J2483" s="29"/>
      <c r="K2483" s="30"/>
      <c r="L2483" s="29"/>
      <c r="O2483" s="49"/>
    </row>
    <row r="2484" spans="9:15" x14ac:dyDescent="0.35">
      <c r="I2484" s="53"/>
      <c r="J2484" s="29"/>
      <c r="K2484" s="30"/>
      <c r="L2484" s="29"/>
      <c r="O2484" s="49"/>
    </row>
    <row r="2485" spans="9:15" x14ac:dyDescent="0.35">
      <c r="I2485" s="53"/>
      <c r="J2485" s="29"/>
      <c r="K2485" s="30"/>
      <c r="L2485" s="29"/>
      <c r="O2485" s="49"/>
    </row>
    <row r="2486" spans="9:15" x14ac:dyDescent="0.35">
      <c r="I2486" s="53"/>
      <c r="J2486" s="29"/>
      <c r="K2486" s="30"/>
      <c r="L2486" s="29"/>
      <c r="O2486" s="49"/>
    </row>
    <row r="2487" spans="9:15" x14ac:dyDescent="0.35">
      <c r="I2487" s="53"/>
      <c r="J2487" s="29"/>
      <c r="K2487" s="30"/>
      <c r="L2487" s="29"/>
      <c r="O2487" s="49"/>
    </row>
    <row r="2488" spans="9:15" x14ac:dyDescent="0.35">
      <c r="I2488" s="53"/>
      <c r="J2488" s="29"/>
      <c r="K2488" s="30"/>
      <c r="L2488" s="29"/>
      <c r="O2488" s="49"/>
    </row>
    <row r="2489" spans="9:15" x14ac:dyDescent="0.35">
      <c r="I2489" s="53"/>
      <c r="J2489" s="29"/>
      <c r="K2489" s="30"/>
      <c r="L2489" s="29"/>
      <c r="O2489" s="49"/>
    </row>
    <row r="2490" spans="9:15" x14ac:dyDescent="0.35">
      <c r="I2490" s="53"/>
      <c r="J2490" s="29"/>
      <c r="K2490" s="30"/>
      <c r="L2490" s="29"/>
      <c r="O2490" s="49"/>
    </row>
    <row r="2491" spans="9:15" x14ac:dyDescent="0.35">
      <c r="I2491" s="53"/>
      <c r="J2491" s="29"/>
      <c r="K2491" s="30"/>
      <c r="L2491" s="29"/>
      <c r="O2491" s="49"/>
    </row>
    <row r="2492" spans="9:15" x14ac:dyDescent="0.35">
      <c r="I2492" s="53"/>
      <c r="J2492" s="29"/>
      <c r="K2492" s="30"/>
      <c r="L2492" s="29"/>
      <c r="O2492" s="49"/>
    </row>
    <row r="2493" spans="9:15" x14ac:dyDescent="0.35">
      <c r="I2493" s="53"/>
      <c r="J2493" s="29"/>
      <c r="K2493" s="30"/>
      <c r="L2493" s="29"/>
      <c r="O2493" s="49"/>
    </row>
    <row r="2494" spans="9:15" x14ac:dyDescent="0.35">
      <c r="I2494" s="53"/>
      <c r="J2494" s="29"/>
      <c r="K2494" s="30"/>
      <c r="L2494" s="29"/>
      <c r="O2494" s="49"/>
    </row>
    <row r="2495" spans="9:15" x14ac:dyDescent="0.35">
      <c r="I2495" s="53"/>
      <c r="J2495" s="29"/>
      <c r="K2495" s="30"/>
      <c r="L2495" s="29"/>
      <c r="O2495" s="49"/>
    </row>
    <row r="2496" spans="9:15" x14ac:dyDescent="0.35">
      <c r="I2496" s="53"/>
      <c r="J2496" s="29"/>
      <c r="K2496" s="30"/>
      <c r="L2496" s="29"/>
      <c r="O2496" s="49"/>
    </row>
    <row r="2497" spans="9:15" x14ac:dyDescent="0.35">
      <c r="I2497" s="53"/>
      <c r="J2497" s="29"/>
      <c r="K2497" s="30"/>
      <c r="L2497" s="29"/>
      <c r="O2497" s="49"/>
    </row>
    <row r="2498" spans="9:15" x14ac:dyDescent="0.35">
      <c r="I2498" s="53"/>
      <c r="J2498" s="29"/>
      <c r="K2498" s="30"/>
      <c r="L2498" s="29"/>
      <c r="O2498" s="49"/>
    </row>
    <row r="2499" spans="9:15" x14ac:dyDescent="0.35">
      <c r="I2499" s="53"/>
      <c r="J2499" s="29"/>
      <c r="K2499" s="30"/>
      <c r="L2499" s="29"/>
      <c r="O2499" s="49"/>
    </row>
    <row r="2500" spans="9:15" x14ac:dyDescent="0.35">
      <c r="I2500" s="53"/>
      <c r="J2500" s="29"/>
      <c r="K2500" s="30"/>
      <c r="L2500" s="29"/>
      <c r="O2500" s="49"/>
    </row>
    <row r="2501" spans="9:15" x14ac:dyDescent="0.35">
      <c r="I2501" s="53"/>
      <c r="J2501" s="29"/>
      <c r="K2501" s="30"/>
      <c r="L2501" s="29"/>
      <c r="O2501" s="49"/>
    </row>
    <row r="2502" spans="9:15" x14ac:dyDescent="0.35">
      <c r="I2502" s="53"/>
      <c r="J2502" s="29"/>
      <c r="K2502" s="30"/>
      <c r="L2502" s="29"/>
      <c r="O2502" s="49"/>
    </row>
    <row r="2503" spans="9:15" x14ac:dyDescent="0.35">
      <c r="I2503" s="53"/>
      <c r="J2503" s="29"/>
      <c r="K2503" s="30"/>
      <c r="L2503" s="29"/>
      <c r="O2503" s="49"/>
    </row>
    <row r="2504" spans="9:15" x14ac:dyDescent="0.35">
      <c r="I2504" s="53"/>
      <c r="J2504" s="29"/>
      <c r="K2504" s="30"/>
      <c r="L2504" s="29"/>
      <c r="O2504" s="49"/>
    </row>
    <row r="2505" spans="9:15" x14ac:dyDescent="0.35">
      <c r="I2505" s="53"/>
      <c r="J2505" s="29"/>
      <c r="K2505" s="30"/>
      <c r="L2505" s="29"/>
      <c r="O2505" s="49"/>
    </row>
    <row r="2506" spans="9:15" x14ac:dyDescent="0.35">
      <c r="I2506" s="53"/>
      <c r="J2506" s="29"/>
      <c r="K2506" s="30"/>
      <c r="L2506" s="29"/>
      <c r="O2506" s="49"/>
    </row>
    <row r="2507" spans="9:15" x14ac:dyDescent="0.35">
      <c r="I2507" s="53"/>
      <c r="J2507" s="29"/>
      <c r="K2507" s="30"/>
      <c r="L2507" s="29"/>
      <c r="O2507" s="49"/>
    </row>
    <row r="2508" spans="9:15" x14ac:dyDescent="0.35">
      <c r="I2508" s="53"/>
      <c r="J2508" s="29"/>
      <c r="K2508" s="30"/>
      <c r="L2508" s="29"/>
      <c r="O2508" s="49"/>
    </row>
    <row r="2509" spans="9:15" x14ac:dyDescent="0.35">
      <c r="I2509" s="53"/>
      <c r="J2509" s="29"/>
      <c r="K2509" s="30"/>
      <c r="L2509" s="29"/>
      <c r="O2509" s="49"/>
    </row>
    <row r="2510" spans="9:15" x14ac:dyDescent="0.35">
      <c r="I2510" s="53"/>
      <c r="J2510" s="29"/>
      <c r="K2510" s="30"/>
      <c r="L2510" s="29"/>
      <c r="O2510" s="49"/>
    </row>
    <row r="2511" spans="9:15" x14ac:dyDescent="0.35">
      <c r="I2511" s="53"/>
      <c r="J2511" s="29"/>
      <c r="K2511" s="30"/>
      <c r="L2511" s="29"/>
      <c r="O2511" s="49"/>
    </row>
    <row r="2512" spans="9:15" x14ac:dyDescent="0.35">
      <c r="I2512" s="53"/>
      <c r="J2512" s="29"/>
      <c r="K2512" s="30"/>
      <c r="L2512" s="29"/>
      <c r="O2512" s="49"/>
    </row>
    <row r="2513" spans="9:15" x14ac:dyDescent="0.35">
      <c r="I2513" s="53"/>
      <c r="J2513" s="29"/>
      <c r="K2513" s="30"/>
      <c r="L2513" s="29"/>
      <c r="O2513" s="49"/>
    </row>
    <row r="2514" spans="9:15" x14ac:dyDescent="0.35">
      <c r="I2514" s="53"/>
      <c r="J2514" s="29"/>
      <c r="K2514" s="30"/>
      <c r="L2514" s="29"/>
      <c r="O2514" s="49"/>
    </row>
    <row r="2515" spans="9:15" x14ac:dyDescent="0.35">
      <c r="I2515" s="53"/>
      <c r="J2515" s="29"/>
      <c r="K2515" s="30"/>
      <c r="L2515" s="29"/>
      <c r="O2515" s="49"/>
    </row>
    <row r="2516" spans="9:15" x14ac:dyDescent="0.35">
      <c r="I2516" s="53"/>
      <c r="J2516" s="29"/>
      <c r="K2516" s="30"/>
      <c r="L2516" s="29"/>
      <c r="O2516" s="49"/>
    </row>
    <row r="2517" spans="9:15" x14ac:dyDescent="0.35">
      <c r="I2517" s="53"/>
      <c r="J2517" s="29"/>
      <c r="K2517" s="30"/>
      <c r="L2517" s="29"/>
      <c r="O2517" s="49"/>
    </row>
    <row r="2518" spans="9:15" x14ac:dyDescent="0.35">
      <c r="I2518" s="53"/>
      <c r="J2518" s="29"/>
      <c r="K2518" s="30"/>
      <c r="L2518" s="29"/>
      <c r="O2518" s="49"/>
    </row>
    <row r="2519" spans="9:15" x14ac:dyDescent="0.35">
      <c r="I2519" s="53"/>
      <c r="J2519" s="29"/>
      <c r="K2519" s="30"/>
      <c r="L2519" s="29"/>
      <c r="O2519" s="49"/>
    </row>
    <row r="2520" spans="9:15" x14ac:dyDescent="0.35">
      <c r="I2520" s="53"/>
      <c r="J2520" s="29"/>
      <c r="K2520" s="30"/>
      <c r="L2520" s="29"/>
      <c r="O2520" s="49"/>
    </row>
    <row r="2521" spans="9:15" x14ac:dyDescent="0.35">
      <c r="I2521" s="53"/>
      <c r="J2521" s="29"/>
      <c r="K2521" s="30"/>
      <c r="L2521" s="29"/>
      <c r="O2521" s="49"/>
    </row>
    <row r="2522" spans="9:15" x14ac:dyDescent="0.35">
      <c r="I2522" s="53"/>
      <c r="J2522" s="29"/>
      <c r="K2522" s="30"/>
      <c r="L2522" s="29"/>
      <c r="O2522" s="49"/>
    </row>
    <row r="2523" spans="9:15" x14ac:dyDescent="0.35">
      <c r="I2523" s="53"/>
      <c r="J2523" s="29"/>
      <c r="K2523" s="30"/>
      <c r="L2523" s="29"/>
      <c r="O2523" s="49"/>
    </row>
    <row r="2524" spans="9:15" x14ac:dyDescent="0.35">
      <c r="I2524" s="53"/>
      <c r="J2524" s="29"/>
      <c r="K2524" s="30"/>
      <c r="L2524" s="29"/>
      <c r="O2524" s="49"/>
    </row>
    <row r="2525" spans="9:15" x14ac:dyDescent="0.35">
      <c r="I2525" s="53"/>
      <c r="J2525" s="29"/>
      <c r="K2525" s="30"/>
      <c r="L2525" s="29"/>
      <c r="O2525" s="49"/>
    </row>
    <row r="2526" spans="9:15" x14ac:dyDescent="0.35">
      <c r="I2526" s="53"/>
      <c r="J2526" s="29"/>
      <c r="K2526" s="30"/>
      <c r="L2526" s="29"/>
      <c r="O2526" s="49"/>
    </row>
    <row r="2527" spans="9:15" x14ac:dyDescent="0.35">
      <c r="I2527" s="53"/>
      <c r="J2527" s="29"/>
      <c r="K2527" s="30"/>
      <c r="L2527" s="29"/>
      <c r="O2527" s="49"/>
    </row>
    <row r="2528" spans="9:15" x14ac:dyDescent="0.35">
      <c r="I2528" s="53"/>
      <c r="J2528" s="29"/>
      <c r="K2528" s="30"/>
      <c r="L2528" s="29"/>
      <c r="O2528" s="49"/>
    </row>
    <row r="2529" spans="9:15" x14ac:dyDescent="0.35">
      <c r="I2529" s="53"/>
      <c r="J2529" s="29"/>
      <c r="K2529" s="30"/>
      <c r="L2529" s="29"/>
      <c r="O2529" s="49"/>
    </row>
    <row r="2530" spans="9:15" x14ac:dyDescent="0.35">
      <c r="I2530" s="53"/>
      <c r="J2530" s="29"/>
      <c r="K2530" s="30"/>
      <c r="L2530" s="29"/>
      <c r="O2530" s="49"/>
    </row>
    <row r="2531" spans="9:15" x14ac:dyDescent="0.35">
      <c r="I2531" s="53"/>
      <c r="J2531" s="29"/>
      <c r="K2531" s="30"/>
      <c r="L2531" s="29"/>
      <c r="O2531" s="49"/>
    </row>
    <row r="2532" spans="9:15" x14ac:dyDescent="0.35">
      <c r="I2532" s="53"/>
      <c r="J2532" s="29"/>
      <c r="K2532" s="30"/>
      <c r="L2532" s="29"/>
      <c r="O2532" s="49"/>
    </row>
    <row r="2533" spans="9:15" x14ac:dyDescent="0.35">
      <c r="I2533" s="53"/>
      <c r="J2533" s="29"/>
      <c r="K2533" s="30"/>
      <c r="L2533" s="29"/>
      <c r="O2533" s="49"/>
    </row>
    <row r="2534" spans="9:15" x14ac:dyDescent="0.35">
      <c r="I2534" s="53"/>
      <c r="J2534" s="29"/>
      <c r="K2534" s="30"/>
      <c r="L2534" s="29"/>
      <c r="O2534" s="49"/>
    </row>
    <row r="2535" spans="9:15" x14ac:dyDescent="0.35">
      <c r="I2535" s="53"/>
      <c r="J2535" s="29"/>
      <c r="K2535" s="30"/>
      <c r="L2535" s="29"/>
      <c r="O2535" s="49"/>
    </row>
    <row r="2536" spans="9:15" x14ac:dyDescent="0.35">
      <c r="I2536" s="53"/>
      <c r="J2536" s="29"/>
      <c r="K2536" s="30"/>
      <c r="L2536" s="29"/>
      <c r="O2536" s="49"/>
    </row>
    <row r="2537" spans="9:15" x14ac:dyDescent="0.35">
      <c r="I2537" s="53"/>
      <c r="J2537" s="29"/>
      <c r="K2537" s="30"/>
      <c r="L2537" s="29"/>
      <c r="O2537" s="49"/>
    </row>
    <row r="2538" spans="9:15" x14ac:dyDescent="0.35">
      <c r="I2538" s="53"/>
      <c r="J2538" s="29"/>
      <c r="K2538" s="30"/>
      <c r="L2538" s="29"/>
      <c r="O2538" s="49"/>
    </row>
    <row r="2539" spans="9:15" x14ac:dyDescent="0.35">
      <c r="I2539" s="53"/>
      <c r="J2539" s="29"/>
      <c r="K2539" s="30"/>
      <c r="L2539" s="29"/>
      <c r="O2539" s="49"/>
    </row>
    <row r="2540" spans="9:15" x14ac:dyDescent="0.35">
      <c r="I2540" s="53"/>
      <c r="J2540" s="29"/>
      <c r="K2540" s="30"/>
      <c r="L2540" s="29"/>
      <c r="O2540" s="49"/>
    </row>
    <row r="2541" spans="9:15" x14ac:dyDescent="0.35">
      <c r="I2541" s="53"/>
      <c r="J2541" s="29"/>
      <c r="K2541" s="30"/>
      <c r="L2541" s="29"/>
      <c r="O2541" s="49"/>
    </row>
    <row r="2542" spans="9:15" x14ac:dyDescent="0.35">
      <c r="I2542" s="53"/>
      <c r="J2542" s="29"/>
      <c r="K2542" s="30"/>
      <c r="L2542" s="29"/>
      <c r="O2542" s="49"/>
    </row>
    <row r="2543" spans="9:15" x14ac:dyDescent="0.35">
      <c r="I2543" s="53"/>
      <c r="J2543" s="29"/>
      <c r="K2543" s="30"/>
      <c r="L2543" s="29"/>
      <c r="O2543" s="49"/>
    </row>
    <row r="2544" spans="9:15" x14ac:dyDescent="0.35">
      <c r="I2544" s="53"/>
      <c r="J2544" s="29"/>
      <c r="K2544" s="30"/>
      <c r="L2544" s="29"/>
      <c r="O2544" s="49"/>
    </row>
    <row r="2545" spans="9:15" x14ac:dyDescent="0.35">
      <c r="I2545" s="53"/>
      <c r="J2545" s="29"/>
      <c r="K2545" s="30"/>
      <c r="L2545" s="29"/>
      <c r="O2545" s="49"/>
    </row>
    <row r="2546" spans="9:15" x14ac:dyDescent="0.35">
      <c r="I2546" s="53"/>
      <c r="J2546" s="29"/>
      <c r="K2546" s="30"/>
      <c r="L2546" s="29"/>
      <c r="O2546" s="49"/>
    </row>
    <row r="2547" spans="9:15" x14ac:dyDescent="0.35">
      <c r="I2547" s="53"/>
      <c r="J2547" s="29"/>
      <c r="K2547" s="30"/>
      <c r="L2547" s="29"/>
      <c r="O2547" s="49"/>
    </row>
    <row r="2548" spans="9:15" x14ac:dyDescent="0.35">
      <c r="I2548" s="53"/>
      <c r="J2548" s="29"/>
      <c r="K2548" s="30"/>
      <c r="L2548" s="29"/>
      <c r="O2548" s="49"/>
    </row>
    <row r="2549" spans="9:15" x14ac:dyDescent="0.35">
      <c r="I2549" s="53"/>
      <c r="J2549" s="29"/>
      <c r="K2549" s="30"/>
      <c r="L2549" s="29"/>
      <c r="O2549" s="49"/>
    </row>
    <row r="2550" spans="9:15" x14ac:dyDescent="0.35">
      <c r="I2550" s="53"/>
      <c r="J2550" s="29"/>
      <c r="K2550" s="30"/>
      <c r="L2550" s="29"/>
      <c r="O2550" s="49"/>
    </row>
    <row r="2551" spans="9:15" x14ac:dyDescent="0.35">
      <c r="I2551" s="53"/>
      <c r="J2551" s="29"/>
      <c r="K2551" s="30"/>
      <c r="L2551" s="29"/>
      <c r="O2551" s="49"/>
    </row>
    <row r="2552" spans="9:15" x14ac:dyDescent="0.35">
      <c r="I2552" s="53"/>
      <c r="J2552" s="29"/>
      <c r="K2552" s="30"/>
      <c r="L2552" s="29"/>
      <c r="O2552" s="49"/>
    </row>
    <row r="2553" spans="9:15" x14ac:dyDescent="0.35">
      <c r="I2553" s="53"/>
      <c r="J2553" s="29"/>
      <c r="K2553" s="30"/>
      <c r="L2553" s="29"/>
      <c r="O2553" s="49"/>
    </row>
    <row r="2554" spans="9:15" x14ac:dyDescent="0.35">
      <c r="I2554" s="53"/>
      <c r="J2554" s="29"/>
      <c r="K2554" s="30"/>
      <c r="L2554" s="29"/>
      <c r="O2554" s="49"/>
    </row>
    <row r="2555" spans="9:15" x14ac:dyDescent="0.35">
      <c r="I2555" s="53"/>
      <c r="J2555" s="29"/>
      <c r="K2555" s="30"/>
      <c r="L2555" s="29"/>
      <c r="O2555" s="49"/>
    </row>
    <row r="2556" spans="9:15" x14ac:dyDescent="0.35">
      <c r="I2556" s="53"/>
      <c r="J2556" s="29"/>
      <c r="K2556" s="30"/>
      <c r="L2556" s="29"/>
      <c r="O2556" s="49"/>
    </row>
    <row r="2557" spans="9:15" x14ac:dyDescent="0.35">
      <c r="I2557" s="53"/>
      <c r="J2557" s="29"/>
      <c r="K2557" s="30"/>
      <c r="L2557" s="29"/>
      <c r="O2557" s="49"/>
    </row>
    <row r="2558" spans="9:15" x14ac:dyDescent="0.35">
      <c r="I2558" s="53"/>
      <c r="J2558" s="29"/>
      <c r="K2558" s="30"/>
      <c r="L2558" s="29"/>
      <c r="O2558" s="49"/>
    </row>
    <row r="2559" spans="9:15" x14ac:dyDescent="0.35">
      <c r="I2559" s="53"/>
      <c r="J2559" s="29"/>
      <c r="K2559" s="30"/>
      <c r="L2559" s="29"/>
      <c r="O2559" s="49"/>
    </row>
    <row r="2560" spans="9:15" x14ac:dyDescent="0.35">
      <c r="I2560" s="53"/>
      <c r="J2560" s="29"/>
      <c r="K2560" s="30"/>
      <c r="L2560" s="29"/>
      <c r="O2560" s="49"/>
    </row>
    <row r="2561" spans="9:15" x14ac:dyDescent="0.35">
      <c r="I2561" s="53"/>
      <c r="J2561" s="29"/>
      <c r="K2561" s="30"/>
      <c r="L2561" s="29"/>
      <c r="O2561" s="49"/>
    </row>
    <row r="2562" spans="9:15" x14ac:dyDescent="0.35">
      <c r="I2562" s="53"/>
      <c r="J2562" s="29"/>
      <c r="K2562" s="30"/>
      <c r="L2562" s="29"/>
      <c r="O2562" s="49"/>
    </row>
    <row r="2563" spans="9:15" x14ac:dyDescent="0.35">
      <c r="I2563" s="53"/>
      <c r="J2563" s="29"/>
      <c r="K2563" s="30"/>
      <c r="L2563" s="29"/>
      <c r="O2563" s="49"/>
    </row>
    <row r="2564" spans="9:15" x14ac:dyDescent="0.35">
      <c r="I2564" s="53"/>
      <c r="J2564" s="29"/>
      <c r="K2564" s="30"/>
      <c r="L2564" s="29"/>
      <c r="O2564" s="49"/>
    </row>
    <row r="2565" spans="9:15" x14ac:dyDescent="0.35">
      <c r="I2565" s="53"/>
      <c r="J2565" s="29"/>
      <c r="K2565" s="30"/>
      <c r="L2565" s="29"/>
      <c r="O2565" s="49"/>
    </row>
    <row r="2566" spans="9:15" x14ac:dyDescent="0.35">
      <c r="I2566" s="53"/>
      <c r="J2566" s="29"/>
      <c r="K2566" s="30"/>
      <c r="L2566" s="29"/>
      <c r="O2566" s="49"/>
    </row>
    <row r="2567" spans="9:15" x14ac:dyDescent="0.35">
      <c r="I2567" s="53"/>
      <c r="J2567" s="29"/>
      <c r="K2567" s="30"/>
      <c r="L2567" s="29"/>
      <c r="O2567" s="49"/>
    </row>
    <row r="2568" spans="9:15" x14ac:dyDescent="0.35">
      <c r="I2568" s="53"/>
      <c r="J2568" s="29"/>
      <c r="K2568" s="30"/>
      <c r="L2568" s="29"/>
      <c r="O2568" s="49"/>
    </row>
    <row r="2569" spans="9:15" x14ac:dyDescent="0.35">
      <c r="I2569" s="53"/>
      <c r="J2569" s="29"/>
      <c r="K2569" s="30"/>
      <c r="L2569" s="29"/>
      <c r="O2569" s="49"/>
    </row>
    <row r="2570" spans="9:15" x14ac:dyDescent="0.35">
      <c r="I2570" s="53"/>
      <c r="J2570" s="29"/>
      <c r="K2570" s="30"/>
      <c r="L2570" s="29"/>
      <c r="O2570" s="49"/>
    </row>
    <row r="2571" spans="9:15" x14ac:dyDescent="0.35">
      <c r="I2571" s="53"/>
      <c r="J2571" s="29"/>
      <c r="K2571" s="30"/>
      <c r="L2571" s="29"/>
      <c r="O2571" s="49"/>
    </row>
    <row r="2572" spans="9:15" x14ac:dyDescent="0.35">
      <c r="I2572" s="53"/>
      <c r="J2572" s="29"/>
      <c r="K2572" s="30"/>
      <c r="L2572" s="29"/>
      <c r="O2572" s="49"/>
    </row>
    <row r="2573" spans="9:15" x14ac:dyDescent="0.35">
      <c r="I2573" s="53"/>
      <c r="J2573" s="29"/>
      <c r="K2573" s="30"/>
      <c r="L2573" s="29"/>
      <c r="O2573" s="49"/>
    </row>
    <row r="2574" spans="9:15" x14ac:dyDescent="0.35">
      <c r="I2574" s="53"/>
      <c r="J2574" s="29"/>
      <c r="K2574" s="30"/>
      <c r="L2574" s="29"/>
      <c r="O2574" s="49"/>
    </row>
    <row r="2575" spans="9:15" x14ac:dyDescent="0.35">
      <c r="I2575" s="53"/>
      <c r="J2575" s="29"/>
      <c r="K2575" s="30"/>
      <c r="L2575" s="29"/>
      <c r="O2575" s="49"/>
    </row>
    <row r="2576" spans="9:15" x14ac:dyDescent="0.35">
      <c r="I2576" s="53"/>
      <c r="J2576" s="29"/>
      <c r="K2576" s="30"/>
      <c r="L2576" s="29"/>
      <c r="O2576" s="49"/>
    </row>
    <row r="2577" spans="9:15" x14ac:dyDescent="0.35">
      <c r="I2577" s="53"/>
      <c r="J2577" s="29"/>
      <c r="K2577" s="30"/>
      <c r="L2577" s="29"/>
      <c r="O2577" s="49"/>
    </row>
    <row r="2578" spans="9:15" x14ac:dyDescent="0.35">
      <c r="I2578" s="53"/>
      <c r="J2578" s="29"/>
      <c r="K2578" s="30"/>
      <c r="L2578" s="29"/>
      <c r="O2578" s="49"/>
    </row>
    <row r="2579" spans="9:15" x14ac:dyDescent="0.35">
      <c r="I2579" s="53"/>
      <c r="J2579" s="29"/>
      <c r="K2579" s="30"/>
      <c r="L2579" s="29"/>
      <c r="O2579" s="49"/>
    </row>
    <row r="2580" spans="9:15" x14ac:dyDescent="0.35">
      <c r="I2580" s="53"/>
      <c r="J2580" s="29"/>
      <c r="K2580" s="30"/>
      <c r="L2580" s="29"/>
      <c r="O2580" s="49"/>
    </row>
    <row r="2581" spans="9:15" x14ac:dyDescent="0.35">
      <c r="I2581" s="53"/>
      <c r="J2581" s="29"/>
      <c r="K2581" s="30"/>
      <c r="L2581" s="29"/>
      <c r="O2581" s="49"/>
    </row>
    <row r="2582" spans="9:15" x14ac:dyDescent="0.35">
      <c r="I2582" s="53"/>
      <c r="J2582" s="29"/>
      <c r="K2582" s="30"/>
      <c r="L2582" s="29"/>
      <c r="O2582" s="49"/>
    </row>
    <row r="2583" spans="9:15" x14ac:dyDescent="0.35">
      <c r="I2583" s="53"/>
      <c r="J2583" s="29"/>
      <c r="K2583" s="30"/>
      <c r="L2583" s="29"/>
      <c r="O2583" s="49"/>
    </row>
    <row r="2584" spans="9:15" x14ac:dyDescent="0.35">
      <c r="I2584" s="53"/>
      <c r="J2584" s="29"/>
      <c r="K2584" s="30"/>
      <c r="L2584" s="29"/>
      <c r="O2584" s="49"/>
    </row>
    <row r="2585" spans="9:15" x14ac:dyDescent="0.35">
      <c r="I2585" s="53"/>
      <c r="J2585" s="29"/>
      <c r="K2585" s="30"/>
      <c r="L2585" s="29"/>
      <c r="O2585" s="49"/>
    </row>
    <row r="2586" spans="9:15" x14ac:dyDescent="0.35">
      <c r="I2586" s="53"/>
      <c r="J2586" s="29"/>
      <c r="K2586" s="30"/>
      <c r="L2586" s="29"/>
      <c r="O2586" s="49"/>
    </row>
    <row r="2587" spans="9:15" x14ac:dyDescent="0.35">
      <c r="I2587" s="53"/>
      <c r="J2587" s="29"/>
      <c r="K2587" s="30"/>
      <c r="L2587" s="29"/>
      <c r="O2587" s="49"/>
    </row>
    <row r="2588" spans="9:15" x14ac:dyDescent="0.35">
      <c r="I2588" s="53"/>
      <c r="J2588" s="29"/>
      <c r="K2588" s="30"/>
      <c r="L2588" s="29"/>
      <c r="O2588" s="49"/>
    </row>
    <row r="2589" spans="9:15" x14ac:dyDescent="0.35">
      <c r="I2589" s="53"/>
      <c r="J2589" s="29"/>
      <c r="K2589" s="30"/>
      <c r="L2589" s="29"/>
      <c r="O2589" s="49"/>
    </row>
    <row r="2590" spans="9:15" x14ac:dyDescent="0.35">
      <c r="I2590" s="53"/>
      <c r="J2590" s="29"/>
      <c r="K2590" s="30"/>
      <c r="L2590" s="29"/>
      <c r="O2590" s="49"/>
    </row>
    <row r="2591" spans="9:15" x14ac:dyDescent="0.35">
      <c r="I2591" s="53"/>
      <c r="J2591" s="29"/>
      <c r="K2591" s="30"/>
      <c r="L2591" s="29"/>
      <c r="O2591" s="49"/>
    </row>
    <row r="2592" spans="9:15" x14ac:dyDescent="0.35">
      <c r="I2592" s="53"/>
      <c r="J2592" s="29"/>
      <c r="K2592" s="30"/>
      <c r="L2592" s="29"/>
      <c r="O2592" s="49"/>
    </row>
    <row r="2593" spans="9:15" x14ac:dyDescent="0.35">
      <c r="I2593" s="53"/>
      <c r="J2593" s="29"/>
      <c r="K2593" s="30"/>
      <c r="L2593" s="29"/>
      <c r="O2593" s="49"/>
    </row>
    <row r="2594" spans="9:15" x14ac:dyDescent="0.35">
      <c r="I2594" s="53"/>
      <c r="J2594" s="29"/>
      <c r="K2594" s="30"/>
      <c r="L2594" s="29"/>
      <c r="O2594" s="49"/>
    </row>
    <row r="2595" spans="9:15" x14ac:dyDescent="0.35">
      <c r="I2595" s="53"/>
      <c r="J2595" s="29"/>
      <c r="K2595" s="30"/>
      <c r="L2595" s="29"/>
      <c r="O2595" s="49"/>
    </row>
    <row r="2596" spans="9:15" x14ac:dyDescent="0.35">
      <c r="I2596" s="53"/>
      <c r="J2596" s="29"/>
      <c r="K2596" s="30"/>
      <c r="L2596" s="29"/>
      <c r="O2596" s="49"/>
    </row>
    <row r="2597" spans="9:15" x14ac:dyDescent="0.35">
      <c r="I2597" s="53"/>
      <c r="J2597" s="29"/>
      <c r="K2597" s="30"/>
      <c r="L2597" s="29"/>
      <c r="O2597" s="49"/>
    </row>
    <row r="2598" spans="9:15" x14ac:dyDescent="0.35">
      <c r="I2598" s="53"/>
      <c r="J2598" s="29"/>
      <c r="K2598" s="30"/>
      <c r="L2598" s="29"/>
      <c r="O2598" s="49"/>
    </row>
    <row r="2599" spans="9:15" x14ac:dyDescent="0.35">
      <c r="I2599" s="53"/>
      <c r="J2599" s="29"/>
      <c r="K2599" s="30"/>
      <c r="L2599" s="29"/>
      <c r="O2599" s="49"/>
    </row>
    <row r="2600" spans="9:15" x14ac:dyDescent="0.35">
      <c r="I2600" s="53"/>
      <c r="J2600" s="29"/>
      <c r="K2600" s="30"/>
      <c r="L2600" s="29"/>
      <c r="O2600" s="49"/>
    </row>
    <row r="2601" spans="9:15" x14ac:dyDescent="0.35">
      <c r="I2601" s="53"/>
      <c r="J2601" s="29"/>
      <c r="K2601" s="30"/>
      <c r="L2601" s="29"/>
      <c r="O2601" s="49"/>
    </row>
    <row r="2602" spans="9:15" x14ac:dyDescent="0.35">
      <c r="I2602" s="53"/>
      <c r="J2602" s="29"/>
      <c r="K2602" s="30"/>
      <c r="L2602" s="29"/>
      <c r="O2602" s="49"/>
    </row>
    <row r="2603" spans="9:15" x14ac:dyDescent="0.35">
      <c r="I2603" s="53"/>
      <c r="J2603" s="29"/>
      <c r="K2603" s="30"/>
      <c r="L2603" s="29"/>
      <c r="O2603" s="49"/>
    </row>
    <row r="2604" spans="9:15" x14ac:dyDescent="0.35">
      <c r="I2604" s="53"/>
      <c r="J2604" s="29"/>
      <c r="K2604" s="30"/>
      <c r="L2604" s="29"/>
      <c r="O2604" s="49"/>
    </row>
    <row r="2605" spans="9:15" x14ac:dyDescent="0.35">
      <c r="I2605" s="53"/>
      <c r="J2605" s="29"/>
      <c r="K2605" s="30"/>
      <c r="L2605" s="29"/>
      <c r="O2605" s="49"/>
    </row>
    <row r="2606" spans="9:15" x14ac:dyDescent="0.35">
      <c r="I2606" s="53"/>
      <c r="J2606" s="29"/>
      <c r="K2606" s="30"/>
      <c r="L2606" s="29"/>
      <c r="O2606" s="49"/>
    </row>
    <row r="2607" spans="9:15" x14ac:dyDescent="0.35">
      <c r="I2607" s="53"/>
      <c r="J2607" s="29"/>
      <c r="K2607" s="30"/>
      <c r="L2607" s="29"/>
      <c r="O2607" s="49"/>
    </row>
    <row r="2608" spans="9:15" x14ac:dyDescent="0.35">
      <c r="I2608" s="53"/>
      <c r="J2608" s="29"/>
      <c r="K2608" s="30"/>
      <c r="L2608" s="29"/>
      <c r="O2608" s="49"/>
    </row>
    <row r="2609" spans="9:15" x14ac:dyDescent="0.35">
      <c r="I2609" s="53"/>
      <c r="J2609" s="29"/>
      <c r="K2609" s="30"/>
      <c r="L2609" s="29"/>
      <c r="O2609" s="49"/>
    </row>
    <row r="2610" spans="9:15" x14ac:dyDescent="0.35">
      <c r="I2610" s="53"/>
      <c r="J2610" s="29"/>
      <c r="K2610" s="30"/>
      <c r="L2610" s="29"/>
      <c r="O2610" s="49"/>
    </row>
    <row r="2611" spans="9:15" x14ac:dyDescent="0.35">
      <c r="I2611" s="53"/>
      <c r="J2611" s="29"/>
      <c r="K2611" s="30"/>
      <c r="L2611" s="29"/>
      <c r="O2611" s="49"/>
    </row>
    <row r="2612" spans="9:15" x14ac:dyDescent="0.35">
      <c r="I2612" s="53"/>
      <c r="J2612" s="29"/>
      <c r="K2612" s="30"/>
      <c r="L2612" s="29"/>
      <c r="O2612" s="49"/>
    </row>
    <row r="2613" spans="9:15" x14ac:dyDescent="0.35">
      <c r="I2613" s="53"/>
      <c r="J2613" s="29"/>
      <c r="K2613" s="30"/>
      <c r="L2613" s="29"/>
      <c r="O2613" s="49"/>
    </row>
    <row r="2614" spans="9:15" x14ac:dyDescent="0.35">
      <c r="I2614" s="53"/>
      <c r="J2614" s="29"/>
      <c r="K2614" s="30"/>
      <c r="L2614" s="29"/>
      <c r="O2614" s="49"/>
    </row>
    <row r="2615" spans="9:15" x14ac:dyDescent="0.35">
      <c r="I2615" s="53"/>
      <c r="J2615" s="29"/>
      <c r="K2615" s="30"/>
      <c r="L2615" s="29"/>
      <c r="O2615" s="49"/>
    </row>
    <row r="2616" spans="9:15" x14ac:dyDescent="0.35">
      <c r="I2616" s="53"/>
      <c r="J2616" s="29"/>
      <c r="K2616" s="30"/>
      <c r="L2616" s="29"/>
      <c r="O2616" s="49"/>
    </row>
    <row r="2617" spans="9:15" x14ac:dyDescent="0.35">
      <c r="I2617" s="53"/>
      <c r="J2617" s="29"/>
      <c r="K2617" s="30"/>
      <c r="L2617" s="29"/>
      <c r="O2617" s="49"/>
    </row>
    <row r="2618" spans="9:15" x14ac:dyDescent="0.35">
      <c r="I2618" s="53"/>
      <c r="J2618" s="29"/>
      <c r="K2618" s="30"/>
      <c r="L2618" s="29"/>
      <c r="O2618" s="49"/>
    </row>
    <row r="2619" spans="9:15" x14ac:dyDescent="0.35">
      <c r="I2619" s="53"/>
      <c r="J2619" s="29"/>
      <c r="K2619" s="30"/>
      <c r="L2619" s="29"/>
      <c r="O2619" s="49"/>
    </row>
    <row r="2620" spans="9:15" x14ac:dyDescent="0.35">
      <c r="I2620" s="53"/>
      <c r="J2620" s="29"/>
      <c r="K2620" s="30"/>
      <c r="L2620" s="29"/>
      <c r="O2620" s="49"/>
    </row>
    <row r="2621" spans="9:15" x14ac:dyDescent="0.35">
      <c r="I2621" s="53"/>
      <c r="J2621" s="29"/>
      <c r="K2621" s="30"/>
      <c r="L2621" s="29"/>
      <c r="O2621" s="49"/>
    </row>
    <row r="2622" spans="9:15" x14ac:dyDescent="0.35">
      <c r="I2622" s="53"/>
      <c r="J2622" s="29"/>
      <c r="K2622" s="30"/>
      <c r="L2622" s="29"/>
      <c r="O2622" s="49"/>
    </row>
    <row r="2623" spans="9:15" x14ac:dyDescent="0.35">
      <c r="I2623" s="53"/>
      <c r="J2623" s="29"/>
      <c r="K2623" s="30"/>
      <c r="L2623" s="29"/>
      <c r="O2623" s="49"/>
    </row>
    <row r="2624" spans="9:15" x14ac:dyDescent="0.35">
      <c r="I2624" s="53"/>
      <c r="J2624" s="29"/>
      <c r="K2624" s="30"/>
      <c r="L2624" s="29"/>
      <c r="O2624" s="49"/>
    </row>
    <row r="2625" spans="9:15" x14ac:dyDescent="0.35">
      <c r="I2625" s="53"/>
      <c r="J2625" s="29"/>
      <c r="K2625" s="30"/>
      <c r="L2625" s="29"/>
      <c r="O2625" s="49"/>
    </row>
    <row r="2626" spans="9:15" x14ac:dyDescent="0.35">
      <c r="I2626" s="53"/>
      <c r="J2626" s="29"/>
      <c r="K2626" s="30"/>
      <c r="L2626" s="29"/>
      <c r="O2626" s="49"/>
    </row>
    <row r="2627" spans="9:15" x14ac:dyDescent="0.35">
      <c r="I2627" s="53"/>
      <c r="J2627" s="29"/>
      <c r="K2627" s="30"/>
      <c r="L2627" s="29"/>
      <c r="O2627" s="49"/>
    </row>
    <row r="2628" spans="9:15" x14ac:dyDescent="0.35">
      <c r="I2628" s="53"/>
      <c r="J2628" s="29"/>
      <c r="K2628" s="30"/>
      <c r="L2628" s="29"/>
      <c r="O2628" s="49"/>
    </row>
    <row r="2629" spans="9:15" x14ac:dyDescent="0.35">
      <c r="I2629" s="53"/>
      <c r="J2629" s="29"/>
      <c r="K2629" s="30"/>
      <c r="L2629" s="29"/>
      <c r="O2629" s="49"/>
    </row>
    <row r="2630" spans="9:15" x14ac:dyDescent="0.35">
      <c r="I2630" s="53"/>
      <c r="J2630" s="29"/>
      <c r="K2630" s="30"/>
      <c r="L2630" s="29"/>
      <c r="O2630" s="49"/>
    </row>
    <row r="2631" spans="9:15" x14ac:dyDescent="0.35">
      <c r="I2631" s="53"/>
      <c r="J2631" s="29"/>
      <c r="K2631" s="30"/>
      <c r="L2631" s="29"/>
      <c r="O2631" s="49"/>
    </row>
    <row r="2632" spans="9:15" x14ac:dyDescent="0.35">
      <c r="I2632" s="53"/>
      <c r="J2632" s="29"/>
      <c r="K2632" s="30"/>
      <c r="L2632" s="29"/>
      <c r="O2632" s="49"/>
    </row>
    <row r="2633" spans="9:15" x14ac:dyDescent="0.35">
      <c r="I2633" s="53"/>
      <c r="J2633" s="29"/>
      <c r="K2633" s="30"/>
      <c r="L2633" s="29"/>
      <c r="O2633" s="49"/>
    </row>
    <row r="2634" spans="9:15" x14ac:dyDescent="0.35">
      <c r="I2634" s="53"/>
      <c r="J2634" s="29"/>
      <c r="K2634" s="30"/>
      <c r="L2634" s="29"/>
      <c r="O2634" s="49"/>
    </row>
    <row r="2635" spans="9:15" x14ac:dyDescent="0.35">
      <c r="I2635" s="53"/>
      <c r="J2635" s="29"/>
      <c r="K2635" s="30"/>
      <c r="L2635" s="29"/>
      <c r="O2635" s="49"/>
    </row>
    <row r="2636" spans="9:15" x14ac:dyDescent="0.35">
      <c r="I2636" s="53"/>
      <c r="J2636" s="29"/>
      <c r="K2636" s="30"/>
      <c r="L2636" s="29"/>
      <c r="O2636" s="49"/>
    </row>
    <row r="2637" spans="9:15" x14ac:dyDescent="0.35">
      <c r="I2637" s="53"/>
      <c r="J2637" s="29"/>
      <c r="K2637" s="30"/>
      <c r="L2637" s="29"/>
      <c r="O2637" s="49"/>
    </row>
    <row r="2638" spans="9:15" x14ac:dyDescent="0.35">
      <c r="I2638" s="53"/>
      <c r="J2638" s="29"/>
      <c r="K2638" s="30"/>
      <c r="L2638" s="29"/>
      <c r="O2638" s="49"/>
    </row>
    <row r="2639" spans="9:15" x14ac:dyDescent="0.35">
      <c r="I2639" s="53"/>
      <c r="J2639" s="29"/>
      <c r="K2639" s="30"/>
      <c r="L2639" s="29"/>
      <c r="O2639" s="49"/>
    </row>
    <row r="2640" spans="9:15" x14ac:dyDescent="0.35">
      <c r="I2640" s="53"/>
      <c r="J2640" s="29"/>
      <c r="K2640" s="30"/>
      <c r="L2640" s="29"/>
      <c r="O2640" s="49"/>
    </row>
    <row r="2641" spans="9:15" x14ac:dyDescent="0.35">
      <c r="I2641" s="53"/>
      <c r="J2641" s="29"/>
      <c r="K2641" s="30"/>
      <c r="L2641" s="29"/>
      <c r="O2641" s="49"/>
    </row>
    <row r="2642" spans="9:15" x14ac:dyDescent="0.35">
      <c r="I2642" s="53"/>
      <c r="J2642" s="29"/>
      <c r="K2642" s="30"/>
      <c r="L2642" s="29"/>
      <c r="O2642" s="49"/>
    </row>
    <row r="2643" spans="9:15" x14ac:dyDescent="0.35">
      <c r="I2643" s="53"/>
      <c r="J2643" s="29"/>
      <c r="K2643" s="30"/>
      <c r="L2643" s="29"/>
      <c r="O2643" s="49"/>
    </row>
    <row r="2644" spans="9:15" x14ac:dyDescent="0.35">
      <c r="I2644" s="53"/>
      <c r="J2644" s="29"/>
      <c r="K2644" s="30"/>
      <c r="L2644" s="29"/>
      <c r="O2644" s="49"/>
    </row>
    <row r="2645" spans="9:15" x14ac:dyDescent="0.35">
      <c r="I2645" s="53"/>
      <c r="J2645" s="29"/>
      <c r="K2645" s="30"/>
      <c r="L2645" s="29"/>
      <c r="O2645" s="49"/>
    </row>
    <row r="2646" spans="9:15" x14ac:dyDescent="0.35">
      <c r="I2646" s="53"/>
      <c r="J2646" s="29"/>
      <c r="K2646" s="30"/>
      <c r="L2646" s="29"/>
      <c r="O2646" s="49"/>
    </row>
    <row r="2647" spans="9:15" x14ac:dyDescent="0.35">
      <c r="I2647" s="53"/>
      <c r="J2647" s="29"/>
      <c r="K2647" s="30"/>
      <c r="L2647" s="29"/>
      <c r="O2647" s="49"/>
    </row>
    <row r="2648" spans="9:15" x14ac:dyDescent="0.35">
      <c r="I2648" s="53"/>
      <c r="J2648" s="29"/>
      <c r="K2648" s="30"/>
      <c r="L2648" s="29"/>
      <c r="O2648" s="49"/>
    </row>
    <row r="2649" spans="9:15" x14ac:dyDescent="0.35">
      <c r="I2649" s="53"/>
      <c r="J2649" s="29"/>
      <c r="K2649" s="30"/>
      <c r="L2649" s="29"/>
      <c r="O2649" s="49"/>
    </row>
    <row r="2650" spans="9:15" x14ac:dyDescent="0.35">
      <c r="I2650" s="53"/>
      <c r="J2650" s="29"/>
      <c r="K2650" s="30"/>
      <c r="L2650" s="29"/>
      <c r="O2650" s="49"/>
    </row>
    <row r="2651" spans="9:15" x14ac:dyDescent="0.35">
      <c r="I2651" s="53"/>
      <c r="J2651" s="29"/>
      <c r="K2651" s="30"/>
      <c r="L2651" s="29"/>
      <c r="O2651" s="49"/>
    </row>
    <row r="2652" spans="9:15" x14ac:dyDescent="0.35">
      <c r="I2652" s="53"/>
      <c r="J2652" s="29"/>
      <c r="K2652" s="30"/>
      <c r="L2652" s="29"/>
      <c r="O2652" s="49"/>
    </row>
    <row r="2653" spans="9:15" x14ac:dyDescent="0.35">
      <c r="I2653" s="53"/>
      <c r="J2653" s="29"/>
      <c r="K2653" s="30"/>
      <c r="L2653" s="29"/>
      <c r="O2653" s="49"/>
    </row>
    <row r="2654" spans="9:15" x14ac:dyDescent="0.35">
      <c r="I2654" s="53"/>
      <c r="J2654" s="29"/>
      <c r="K2654" s="30"/>
      <c r="L2654" s="29"/>
      <c r="O2654" s="49"/>
    </row>
    <row r="2655" spans="9:15" x14ac:dyDescent="0.35">
      <c r="I2655" s="53"/>
      <c r="J2655" s="29"/>
      <c r="K2655" s="30"/>
      <c r="L2655" s="29"/>
      <c r="O2655" s="49"/>
    </row>
    <row r="2656" spans="9:15" x14ac:dyDescent="0.35">
      <c r="I2656" s="53"/>
      <c r="J2656" s="29"/>
      <c r="K2656" s="30"/>
      <c r="L2656" s="29"/>
      <c r="O2656" s="49"/>
    </row>
    <row r="2657" spans="9:15" x14ac:dyDescent="0.35">
      <c r="I2657" s="53"/>
      <c r="J2657" s="29"/>
      <c r="K2657" s="30"/>
      <c r="L2657" s="29"/>
      <c r="O2657" s="49"/>
    </row>
    <row r="2658" spans="9:15" x14ac:dyDescent="0.35">
      <c r="I2658" s="53"/>
      <c r="J2658" s="29"/>
      <c r="K2658" s="30"/>
      <c r="L2658" s="29"/>
      <c r="O2658" s="49"/>
    </row>
    <row r="2659" spans="9:15" x14ac:dyDescent="0.35">
      <c r="I2659" s="53"/>
      <c r="J2659" s="29"/>
      <c r="K2659" s="30"/>
      <c r="L2659" s="29"/>
      <c r="O2659" s="49"/>
    </row>
    <row r="2660" spans="9:15" x14ac:dyDescent="0.35">
      <c r="I2660" s="53"/>
      <c r="J2660" s="29"/>
      <c r="K2660" s="30"/>
      <c r="L2660" s="29"/>
      <c r="O2660" s="49"/>
    </row>
    <row r="2661" spans="9:15" x14ac:dyDescent="0.35">
      <c r="I2661" s="53"/>
      <c r="J2661" s="29"/>
      <c r="K2661" s="30"/>
      <c r="L2661" s="29"/>
      <c r="O2661" s="49"/>
    </row>
    <row r="2662" spans="9:15" x14ac:dyDescent="0.35">
      <c r="I2662" s="53"/>
      <c r="J2662" s="29"/>
      <c r="K2662" s="30"/>
      <c r="L2662" s="29"/>
      <c r="O2662" s="49"/>
    </row>
    <row r="2663" spans="9:15" x14ac:dyDescent="0.35">
      <c r="I2663" s="53"/>
      <c r="J2663" s="29"/>
      <c r="K2663" s="30"/>
      <c r="L2663" s="29"/>
      <c r="O2663" s="49"/>
    </row>
    <row r="2664" spans="9:15" x14ac:dyDescent="0.35">
      <c r="I2664" s="53"/>
      <c r="J2664" s="29"/>
      <c r="K2664" s="30"/>
      <c r="L2664" s="29"/>
      <c r="O2664" s="49"/>
    </row>
    <row r="2665" spans="9:15" x14ac:dyDescent="0.35">
      <c r="I2665" s="53"/>
      <c r="J2665" s="29"/>
      <c r="K2665" s="30"/>
      <c r="L2665" s="29"/>
      <c r="O2665" s="49"/>
    </row>
    <row r="2666" spans="9:15" x14ac:dyDescent="0.35">
      <c r="I2666" s="53"/>
      <c r="J2666" s="29"/>
      <c r="K2666" s="30"/>
      <c r="L2666" s="29"/>
      <c r="O2666" s="49"/>
    </row>
    <row r="2667" spans="9:15" x14ac:dyDescent="0.35">
      <c r="I2667" s="53"/>
      <c r="J2667" s="29"/>
      <c r="K2667" s="30"/>
      <c r="L2667" s="29"/>
      <c r="O2667" s="49"/>
    </row>
    <row r="2668" spans="9:15" x14ac:dyDescent="0.35">
      <c r="I2668" s="53"/>
      <c r="J2668" s="29"/>
      <c r="K2668" s="30"/>
      <c r="L2668" s="29"/>
      <c r="O2668" s="49"/>
    </row>
    <row r="2669" spans="9:15" x14ac:dyDescent="0.35">
      <c r="I2669" s="53"/>
      <c r="J2669" s="29"/>
      <c r="K2669" s="30"/>
      <c r="L2669" s="29"/>
      <c r="O2669" s="49"/>
    </row>
    <row r="2670" spans="9:15" x14ac:dyDescent="0.35">
      <c r="I2670" s="53"/>
      <c r="J2670" s="29"/>
      <c r="K2670" s="30"/>
      <c r="L2670" s="29"/>
      <c r="O2670" s="49"/>
    </row>
    <row r="2671" spans="9:15" x14ac:dyDescent="0.35">
      <c r="I2671" s="53"/>
      <c r="J2671" s="29"/>
      <c r="K2671" s="30"/>
      <c r="L2671" s="29"/>
      <c r="O2671" s="49"/>
    </row>
    <row r="2672" spans="9:15" x14ac:dyDescent="0.35">
      <c r="I2672" s="53"/>
      <c r="J2672" s="29"/>
      <c r="K2672" s="30"/>
      <c r="L2672" s="29"/>
      <c r="O2672" s="49"/>
    </row>
    <row r="2673" spans="9:15" x14ac:dyDescent="0.35">
      <c r="I2673" s="53"/>
      <c r="J2673" s="29"/>
      <c r="K2673" s="30"/>
      <c r="L2673" s="29"/>
      <c r="O2673" s="49"/>
    </row>
    <row r="2674" spans="9:15" x14ac:dyDescent="0.35">
      <c r="I2674" s="53"/>
      <c r="J2674" s="29"/>
      <c r="K2674" s="30"/>
      <c r="L2674" s="29"/>
      <c r="O2674" s="49"/>
    </row>
    <row r="2675" spans="9:15" x14ac:dyDescent="0.35">
      <c r="I2675" s="53"/>
      <c r="J2675" s="29"/>
      <c r="K2675" s="30"/>
      <c r="L2675" s="29"/>
      <c r="O2675" s="49"/>
    </row>
    <row r="2676" spans="9:15" x14ac:dyDescent="0.35">
      <c r="I2676" s="53"/>
      <c r="J2676" s="29"/>
      <c r="K2676" s="30"/>
      <c r="L2676" s="29"/>
      <c r="O2676" s="49"/>
    </row>
    <row r="2677" spans="9:15" x14ac:dyDescent="0.35">
      <c r="I2677" s="53"/>
      <c r="J2677" s="29"/>
      <c r="K2677" s="30"/>
      <c r="L2677" s="29"/>
      <c r="O2677" s="49"/>
    </row>
    <row r="2678" spans="9:15" x14ac:dyDescent="0.35">
      <c r="I2678" s="53"/>
      <c r="J2678" s="29"/>
      <c r="K2678" s="30"/>
      <c r="L2678" s="29"/>
      <c r="O2678" s="49"/>
    </row>
    <row r="2679" spans="9:15" x14ac:dyDescent="0.35">
      <c r="I2679" s="53"/>
      <c r="J2679" s="29"/>
      <c r="K2679" s="30"/>
      <c r="L2679" s="29"/>
      <c r="O2679" s="49"/>
    </row>
    <row r="2680" spans="9:15" x14ac:dyDescent="0.35">
      <c r="I2680" s="53"/>
      <c r="J2680" s="29"/>
      <c r="K2680" s="30"/>
      <c r="L2680" s="29"/>
      <c r="O2680" s="49"/>
    </row>
    <row r="2681" spans="9:15" x14ac:dyDescent="0.35">
      <c r="I2681" s="53"/>
      <c r="J2681" s="29"/>
      <c r="K2681" s="30"/>
      <c r="L2681" s="29"/>
      <c r="O2681" s="49"/>
    </row>
    <row r="2682" spans="9:15" x14ac:dyDescent="0.35">
      <c r="I2682" s="53"/>
      <c r="J2682" s="29"/>
      <c r="K2682" s="30"/>
      <c r="L2682" s="29"/>
      <c r="O2682" s="49"/>
    </row>
    <row r="2683" spans="9:15" x14ac:dyDescent="0.35">
      <c r="I2683" s="53"/>
      <c r="J2683" s="29"/>
      <c r="K2683" s="30"/>
      <c r="L2683" s="29"/>
      <c r="O2683" s="49"/>
    </row>
    <row r="2684" spans="9:15" x14ac:dyDescent="0.35">
      <c r="I2684" s="53"/>
      <c r="J2684" s="29"/>
      <c r="K2684" s="30"/>
      <c r="L2684" s="29"/>
      <c r="O2684" s="49"/>
    </row>
    <row r="2685" spans="9:15" x14ac:dyDescent="0.35">
      <c r="I2685" s="53"/>
      <c r="J2685" s="29"/>
      <c r="K2685" s="30"/>
      <c r="L2685" s="29"/>
      <c r="O2685" s="49"/>
    </row>
    <row r="2686" spans="9:15" x14ac:dyDescent="0.35">
      <c r="I2686" s="53"/>
      <c r="J2686" s="29"/>
      <c r="K2686" s="30"/>
      <c r="L2686" s="29"/>
      <c r="O2686" s="49"/>
    </row>
    <row r="2687" spans="9:15" x14ac:dyDescent="0.35">
      <c r="I2687" s="53"/>
      <c r="J2687" s="29"/>
      <c r="K2687" s="30"/>
      <c r="L2687" s="29"/>
      <c r="O2687" s="49"/>
    </row>
    <row r="2688" spans="9:15" x14ac:dyDescent="0.35">
      <c r="I2688" s="53"/>
      <c r="J2688" s="29"/>
      <c r="K2688" s="30"/>
      <c r="L2688" s="29"/>
      <c r="O2688" s="49"/>
    </row>
    <row r="2689" spans="9:15" x14ac:dyDescent="0.35">
      <c r="I2689" s="53"/>
      <c r="J2689" s="29"/>
      <c r="K2689" s="30"/>
      <c r="L2689" s="29"/>
      <c r="O2689" s="49"/>
    </row>
    <row r="2690" spans="9:15" x14ac:dyDescent="0.35">
      <c r="I2690" s="53"/>
      <c r="J2690" s="29"/>
      <c r="K2690" s="30"/>
      <c r="L2690" s="29"/>
      <c r="O2690" s="49"/>
    </row>
    <row r="2691" spans="9:15" x14ac:dyDescent="0.35">
      <c r="I2691" s="53"/>
      <c r="J2691" s="29"/>
      <c r="K2691" s="30"/>
      <c r="L2691" s="29"/>
      <c r="O2691" s="49"/>
    </row>
    <row r="2692" spans="9:15" x14ac:dyDescent="0.35">
      <c r="I2692" s="53"/>
      <c r="J2692" s="29"/>
      <c r="K2692" s="30"/>
      <c r="L2692" s="29"/>
      <c r="O2692" s="49"/>
    </row>
    <row r="2693" spans="9:15" x14ac:dyDescent="0.35">
      <c r="I2693" s="53"/>
      <c r="J2693" s="29"/>
      <c r="K2693" s="30"/>
      <c r="L2693" s="29"/>
      <c r="O2693" s="49"/>
    </row>
    <row r="2694" spans="9:15" x14ac:dyDescent="0.35">
      <c r="I2694" s="53"/>
      <c r="J2694" s="29"/>
      <c r="K2694" s="30"/>
      <c r="L2694" s="29"/>
      <c r="O2694" s="49"/>
    </row>
    <row r="2695" spans="9:15" x14ac:dyDescent="0.35">
      <c r="I2695" s="53"/>
      <c r="J2695" s="29"/>
      <c r="K2695" s="30"/>
      <c r="L2695" s="29"/>
      <c r="O2695" s="49"/>
    </row>
    <row r="2696" spans="9:15" x14ac:dyDescent="0.35">
      <c r="I2696" s="53"/>
      <c r="J2696" s="29"/>
      <c r="K2696" s="30"/>
      <c r="L2696" s="29"/>
      <c r="O2696" s="49"/>
    </row>
    <row r="2697" spans="9:15" x14ac:dyDescent="0.35">
      <c r="I2697" s="53"/>
      <c r="J2697" s="29"/>
      <c r="K2697" s="30"/>
      <c r="L2697" s="29"/>
      <c r="O2697" s="49"/>
    </row>
    <row r="2698" spans="9:15" x14ac:dyDescent="0.35">
      <c r="I2698" s="53"/>
      <c r="J2698" s="29"/>
      <c r="K2698" s="30"/>
      <c r="L2698" s="29"/>
      <c r="O2698" s="49"/>
    </row>
    <row r="2699" spans="9:15" x14ac:dyDescent="0.35">
      <c r="I2699" s="53"/>
      <c r="J2699" s="29"/>
      <c r="K2699" s="30"/>
      <c r="L2699" s="29"/>
      <c r="O2699" s="49"/>
    </row>
    <row r="2700" spans="9:15" x14ac:dyDescent="0.35">
      <c r="I2700" s="53"/>
      <c r="J2700" s="29"/>
      <c r="K2700" s="30"/>
      <c r="L2700" s="29"/>
      <c r="O2700" s="49"/>
    </row>
    <row r="2701" spans="9:15" x14ac:dyDescent="0.35">
      <c r="I2701" s="53"/>
      <c r="J2701" s="29"/>
      <c r="K2701" s="30"/>
      <c r="L2701" s="29"/>
      <c r="O2701" s="49"/>
    </row>
    <row r="2702" spans="9:15" x14ac:dyDescent="0.35">
      <c r="I2702" s="53"/>
      <c r="J2702" s="29"/>
      <c r="K2702" s="30"/>
      <c r="L2702" s="29"/>
      <c r="O2702" s="49"/>
    </row>
    <row r="2703" spans="9:15" x14ac:dyDescent="0.35">
      <c r="I2703" s="53"/>
      <c r="J2703" s="29"/>
      <c r="K2703" s="30"/>
      <c r="L2703" s="29"/>
      <c r="O2703" s="49"/>
    </row>
    <row r="2704" spans="9:15" x14ac:dyDescent="0.35">
      <c r="I2704" s="53"/>
      <c r="J2704" s="29"/>
      <c r="K2704" s="30"/>
      <c r="L2704" s="29"/>
      <c r="O2704" s="49"/>
    </row>
    <row r="2705" spans="9:15" x14ac:dyDescent="0.35">
      <c r="I2705" s="53"/>
      <c r="J2705" s="29"/>
      <c r="K2705" s="30"/>
      <c r="L2705" s="29"/>
      <c r="O2705" s="49"/>
    </row>
    <row r="2706" spans="9:15" x14ac:dyDescent="0.35">
      <c r="I2706" s="53"/>
      <c r="J2706" s="29"/>
      <c r="K2706" s="30"/>
      <c r="L2706" s="29"/>
      <c r="O2706" s="49"/>
    </row>
    <row r="2707" spans="9:15" x14ac:dyDescent="0.35">
      <c r="I2707" s="53"/>
      <c r="J2707" s="29"/>
      <c r="K2707" s="30"/>
      <c r="L2707" s="29"/>
      <c r="O2707" s="49"/>
    </row>
    <row r="2708" spans="9:15" x14ac:dyDescent="0.35">
      <c r="I2708" s="53"/>
      <c r="J2708" s="29"/>
      <c r="K2708" s="30"/>
      <c r="L2708" s="29"/>
      <c r="O2708" s="49"/>
    </row>
    <row r="2709" spans="9:15" x14ac:dyDescent="0.35">
      <c r="I2709" s="53"/>
      <c r="J2709" s="29"/>
      <c r="K2709" s="30"/>
      <c r="L2709" s="29"/>
      <c r="O2709" s="49"/>
    </row>
    <row r="2710" spans="9:15" x14ac:dyDescent="0.35">
      <c r="I2710" s="53"/>
      <c r="J2710" s="29"/>
      <c r="K2710" s="30"/>
      <c r="L2710" s="29"/>
      <c r="O2710" s="49"/>
    </row>
    <row r="2711" spans="9:15" x14ac:dyDescent="0.35">
      <c r="I2711" s="53"/>
      <c r="J2711" s="29"/>
      <c r="K2711" s="30"/>
      <c r="L2711" s="29"/>
      <c r="O2711" s="49"/>
    </row>
    <row r="2712" spans="9:15" x14ac:dyDescent="0.35">
      <c r="I2712" s="53"/>
      <c r="J2712" s="29"/>
      <c r="K2712" s="30"/>
      <c r="L2712" s="29"/>
      <c r="O2712" s="49"/>
    </row>
    <row r="2713" spans="9:15" x14ac:dyDescent="0.35">
      <c r="I2713" s="53"/>
      <c r="J2713" s="29"/>
      <c r="K2713" s="30"/>
      <c r="L2713" s="29"/>
      <c r="O2713" s="49"/>
    </row>
    <row r="2714" spans="9:15" x14ac:dyDescent="0.35">
      <c r="I2714" s="53"/>
      <c r="J2714" s="29"/>
      <c r="K2714" s="30"/>
      <c r="L2714" s="29"/>
      <c r="O2714" s="49"/>
    </row>
    <row r="2715" spans="9:15" x14ac:dyDescent="0.35">
      <c r="I2715" s="53"/>
      <c r="J2715" s="29"/>
      <c r="K2715" s="30"/>
      <c r="L2715" s="29"/>
      <c r="O2715" s="49"/>
    </row>
    <row r="2716" spans="9:15" x14ac:dyDescent="0.35">
      <c r="I2716" s="53"/>
      <c r="J2716" s="29"/>
      <c r="K2716" s="30"/>
      <c r="L2716" s="29"/>
      <c r="O2716" s="49"/>
    </row>
    <row r="2717" spans="9:15" x14ac:dyDescent="0.35">
      <c r="I2717" s="53"/>
      <c r="J2717" s="29"/>
      <c r="K2717" s="30"/>
      <c r="L2717" s="29"/>
      <c r="O2717" s="49"/>
    </row>
    <row r="2718" spans="9:15" x14ac:dyDescent="0.35">
      <c r="I2718" s="53"/>
      <c r="J2718" s="29"/>
      <c r="K2718" s="30"/>
      <c r="L2718" s="29"/>
      <c r="O2718" s="49"/>
    </row>
    <row r="2719" spans="9:15" x14ac:dyDescent="0.35">
      <c r="I2719" s="53"/>
      <c r="J2719" s="29"/>
      <c r="K2719" s="30"/>
      <c r="L2719" s="29"/>
      <c r="O2719" s="49"/>
    </row>
    <row r="2720" spans="9:15" x14ac:dyDescent="0.35">
      <c r="I2720" s="53"/>
      <c r="J2720" s="29"/>
      <c r="K2720" s="30"/>
      <c r="L2720" s="29"/>
      <c r="O2720" s="49"/>
    </row>
    <row r="2721" spans="9:15" x14ac:dyDescent="0.35">
      <c r="I2721" s="53"/>
      <c r="J2721" s="29"/>
      <c r="K2721" s="30"/>
      <c r="L2721" s="29"/>
      <c r="O2721" s="49"/>
    </row>
    <row r="2722" spans="9:15" x14ac:dyDescent="0.35">
      <c r="I2722" s="53"/>
      <c r="J2722" s="29"/>
      <c r="K2722" s="30"/>
      <c r="L2722" s="29"/>
      <c r="O2722" s="49"/>
    </row>
    <row r="2723" spans="9:15" x14ac:dyDescent="0.35">
      <c r="I2723" s="53"/>
      <c r="J2723" s="29"/>
      <c r="K2723" s="30"/>
      <c r="L2723" s="29"/>
      <c r="O2723" s="49"/>
    </row>
    <row r="2724" spans="9:15" x14ac:dyDescent="0.35">
      <c r="I2724" s="53"/>
      <c r="J2724" s="29"/>
      <c r="K2724" s="30"/>
      <c r="L2724" s="29"/>
      <c r="O2724" s="49"/>
    </row>
    <row r="2725" spans="9:15" x14ac:dyDescent="0.35">
      <c r="I2725" s="53"/>
      <c r="J2725" s="29"/>
      <c r="K2725" s="30"/>
      <c r="L2725" s="29"/>
      <c r="O2725" s="49"/>
    </row>
    <row r="2726" spans="9:15" x14ac:dyDescent="0.35">
      <c r="I2726" s="53"/>
      <c r="J2726" s="29"/>
      <c r="K2726" s="30"/>
      <c r="L2726" s="29"/>
      <c r="O2726" s="49"/>
    </row>
    <row r="2727" spans="9:15" x14ac:dyDescent="0.35">
      <c r="I2727" s="53"/>
      <c r="J2727" s="29"/>
      <c r="K2727" s="30"/>
      <c r="L2727" s="29"/>
      <c r="O2727" s="49"/>
    </row>
    <row r="2728" spans="9:15" x14ac:dyDescent="0.35">
      <c r="I2728" s="53"/>
      <c r="J2728" s="29"/>
      <c r="K2728" s="30"/>
      <c r="L2728" s="29"/>
      <c r="O2728" s="49"/>
    </row>
    <row r="2729" spans="9:15" x14ac:dyDescent="0.35">
      <c r="I2729" s="53"/>
      <c r="J2729" s="29"/>
      <c r="K2729" s="30"/>
      <c r="L2729" s="29"/>
      <c r="O2729" s="49"/>
    </row>
    <row r="2730" spans="9:15" x14ac:dyDescent="0.35">
      <c r="I2730" s="53"/>
      <c r="J2730" s="29"/>
      <c r="K2730" s="30"/>
      <c r="L2730" s="29"/>
      <c r="O2730" s="49"/>
    </row>
    <row r="2731" spans="9:15" x14ac:dyDescent="0.35">
      <c r="I2731" s="53"/>
      <c r="J2731" s="29"/>
      <c r="K2731" s="30"/>
      <c r="L2731" s="29"/>
      <c r="O2731" s="49"/>
    </row>
    <row r="2732" spans="9:15" x14ac:dyDescent="0.35">
      <c r="I2732" s="53"/>
      <c r="J2732" s="29"/>
      <c r="K2732" s="30"/>
      <c r="L2732" s="29"/>
      <c r="O2732" s="49"/>
    </row>
    <row r="2733" spans="9:15" x14ac:dyDescent="0.35">
      <c r="I2733" s="53"/>
      <c r="J2733" s="29"/>
      <c r="K2733" s="30"/>
      <c r="L2733" s="29"/>
      <c r="O2733" s="49"/>
    </row>
    <row r="2734" spans="9:15" x14ac:dyDescent="0.35">
      <c r="I2734" s="53"/>
      <c r="J2734" s="29"/>
      <c r="K2734" s="30"/>
      <c r="L2734" s="29"/>
      <c r="O2734" s="49"/>
    </row>
    <row r="2735" spans="9:15" x14ac:dyDescent="0.35">
      <c r="I2735" s="53"/>
      <c r="J2735" s="29"/>
      <c r="K2735" s="30"/>
      <c r="L2735" s="29"/>
      <c r="O2735" s="49"/>
    </row>
    <row r="2736" spans="9:15" x14ac:dyDescent="0.35">
      <c r="I2736" s="53"/>
      <c r="J2736" s="29"/>
      <c r="K2736" s="30"/>
      <c r="L2736" s="29"/>
      <c r="O2736" s="49"/>
    </row>
    <row r="2737" spans="9:15" x14ac:dyDescent="0.35">
      <c r="I2737" s="53"/>
      <c r="J2737" s="29"/>
      <c r="K2737" s="30"/>
      <c r="L2737" s="29"/>
      <c r="O2737" s="49"/>
    </row>
    <row r="2738" spans="9:15" x14ac:dyDescent="0.35">
      <c r="I2738" s="53"/>
      <c r="J2738" s="29"/>
      <c r="K2738" s="30"/>
      <c r="L2738" s="29"/>
      <c r="O2738" s="49"/>
    </row>
    <row r="2739" spans="9:15" x14ac:dyDescent="0.35">
      <c r="I2739" s="53"/>
      <c r="J2739" s="29"/>
      <c r="K2739" s="30"/>
      <c r="L2739" s="29"/>
      <c r="O2739" s="49"/>
    </row>
    <row r="2740" spans="9:15" x14ac:dyDescent="0.35">
      <c r="I2740" s="53"/>
      <c r="J2740" s="29"/>
      <c r="K2740" s="30"/>
      <c r="L2740" s="29"/>
      <c r="O2740" s="49"/>
    </row>
    <row r="2741" spans="9:15" x14ac:dyDescent="0.35">
      <c r="I2741" s="53"/>
      <c r="J2741" s="29"/>
      <c r="K2741" s="30"/>
      <c r="L2741" s="29"/>
      <c r="O2741" s="49"/>
    </row>
    <row r="2742" spans="9:15" x14ac:dyDescent="0.35">
      <c r="I2742" s="53"/>
      <c r="J2742" s="29"/>
      <c r="K2742" s="30"/>
      <c r="L2742" s="29"/>
      <c r="O2742" s="49"/>
    </row>
    <row r="2743" spans="9:15" x14ac:dyDescent="0.35">
      <c r="I2743" s="53"/>
      <c r="J2743" s="29"/>
      <c r="K2743" s="30"/>
      <c r="L2743" s="29"/>
      <c r="O2743" s="49"/>
    </row>
    <row r="2744" spans="9:15" x14ac:dyDescent="0.35">
      <c r="I2744" s="53"/>
      <c r="J2744" s="29"/>
      <c r="K2744" s="30"/>
      <c r="L2744" s="29"/>
      <c r="O2744" s="49"/>
    </row>
    <row r="2745" spans="9:15" x14ac:dyDescent="0.35">
      <c r="I2745" s="53"/>
      <c r="J2745" s="29"/>
      <c r="K2745" s="30"/>
      <c r="L2745" s="29"/>
      <c r="O2745" s="49"/>
    </row>
    <row r="2746" spans="9:15" x14ac:dyDescent="0.35">
      <c r="I2746" s="53"/>
      <c r="J2746" s="29"/>
      <c r="K2746" s="30"/>
      <c r="L2746" s="29"/>
      <c r="O2746" s="49"/>
    </row>
    <row r="2747" spans="9:15" x14ac:dyDescent="0.35">
      <c r="I2747" s="53"/>
      <c r="J2747" s="29"/>
      <c r="K2747" s="30"/>
      <c r="L2747" s="29"/>
      <c r="O2747" s="49"/>
    </row>
    <row r="2748" spans="9:15" x14ac:dyDescent="0.35">
      <c r="I2748" s="53"/>
      <c r="J2748" s="29"/>
      <c r="K2748" s="30"/>
      <c r="L2748" s="29"/>
      <c r="O2748" s="49"/>
    </row>
    <row r="2749" spans="9:15" x14ac:dyDescent="0.35">
      <c r="I2749" s="53"/>
      <c r="J2749" s="29"/>
      <c r="K2749" s="30"/>
      <c r="L2749" s="29"/>
      <c r="O2749" s="49"/>
    </row>
    <row r="2750" spans="9:15" x14ac:dyDescent="0.35">
      <c r="I2750" s="53"/>
      <c r="J2750" s="29"/>
      <c r="K2750" s="30"/>
      <c r="L2750" s="29"/>
      <c r="O2750" s="49"/>
    </row>
    <row r="2751" spans="9:15" x14ac:dyDescent="0.35">
      <c r="I2751" s="53"/>
      <c r="J2751" s="29"/>
      <c r="K2751" s="30"/>
      <c r="L2751" s="29"/>
      <c r="O2751" s="49"/>
    </row>
    <row r="2752" spans="9:15" x14ac:dyDescent="0.35">
      <c r="I2752" s="53"/>
      <c r="J2752" s="29"/>
      <c r="K2752" s="30"/>
      <c r="L2752" s="29"/>
      <c r="O2752" s="49"/>
    </row>
    <row r="2753" spans="9:15" x14ac:dyDescent="0.35">
      <c r="I2753" s="53"/>
      <c r="J2753" s="29"/>
      <c r="K2753" s="30"/>
      <c r="L2753" s="29"/>
      <c r="O2753" s="49"/>
    </row>
    <row r="2754" spans="9:15" x14ac:dyDescent="0.35">
      <c r="I2754" s="53"/>
      <c r="J2754" s="29"/>
      <c r="K2754" s="30"/>
      <c r="L2754" s="29"/>
      <c r="O2754" s="49"/>
    </row>
    <row r="2755" spans="9:15" x14ac:dyDescent="0.35">
      <c r="I2755" s="53"/>
      <c r="J2755" s="29"/>
      <c r="K2755" s="30"/>
      <c r="L2755" s="29"/>
      <c r="O2755" s="49"/>
    </row>
    <row r="2756" spans="9:15" x14ac:dyDescent="0.35">
      <c r="I2756" s="53"/>
      <c r="J2756" s="29"/>
      <c r="K2756" s="30"/>
      <c r="L2756" s="29"/>
      <c r="O2756" s="49"/>
    </row>
    <row r="2757" spans="9:15" x14ac:dyDescent="0.35">
      <c r="I2757" s="53"/>
      <c r="J2757" s="29"/>
      <c r="K2757" s="30"/>
      <c r="L2757" s="29"/>
      <c r="O2757" s="49"/>
    </row>
    <row r="2758" spans="9:15" x14ac:dyDescent="0.35">
      <c r="I2758" s="53"/>
      <c r="J2758" s="29"/>
      <c r="K2758" s="30"/>
      <c r="L2758" s="29"/>
      <c r="O2758" s="49"/>
    </row>
    <row r="2759" spans="9:15" x14ac:dyDescent="0.35">
      <c r="I2759" s="53"/>
      <c r="J2759" s="29"/>
      <c r="K2759" s="30"/>
      <c r="L2759" s="29"/>
      <c r="O2759" s="49"/>
    </row>
    <row r="2760" spans="9:15" x14ac:dyDescent="0.35">
      <c r="I2760" s="53"/>
      <c r="J2760" s="29"/>
      <c r="K2760" s="30"/>
      <c r="L2760" s="29"/>
      <c r="O2760" s="49"/>
    </row>
    <row r="2761" spans="9:15" x14ac:dyDescent="0.35">
      <c r="I2761" s="53"/>
      <c r="J2761" s="29"/>
      <c r="K2761" s="30"/>
      <c r="L2761" s="29"/>
      <c r="O2761" s="49"/>
    </row>
    <row r="2762" spans="9:15" x14ac:dyDescent="0.35">
      <c r="I2762" s="53"/>
      <c r="J2762" s="29"/>
      <c r="K2762" s="30"/>
      <c r="L2762" s="29"/>
      <c r="O2762" s="49"/>
    </row>
    <row r="2763" spans="9:15" x14ac:dyDescent="0.35">
      <c r="I2763" s="53"/>
      <c r="J2763" s="29"/>
      <c r="K2763" s="30"/>
      <c r="L2763" s="29"/>
      <c r="O2763" s="49"/>
    </row>
    <row r="2764" spans="9:15" x14ac:dyDescent="0.35">
      <c r="I2764" s="53"/>
      <c r="J2764" s="29"/>
      <c r="K2764" s="30"/>
      <c r="L2764" s="29"/>
      <c r="O2764" s="49"/>
    </row>
    <row r="2765" spans="9:15" x14ac:dyDescent="0.35">
      <c r="I2765" s="53"/>
      <c r="J2765" s="29"/>
      <c r="K2765" s="30"/>
      <c r="L2765" s="29"/>
      <c r="O2765" s="49"/>
    </row>
    <row r="2766" spans="9:15" x14ac:dyDescent="0.35">
      <c r="I2766" s="53"/>
      <c r="J2766" s="29"/>
      <c r="K2766" s="30"/>
      <c r="L2766" s="29"/>
      <c r="O2766" s="49"/>
    </row>
    <row r="2767" spans="9:15" x14ac:dyDescent="0.35">
      <c r="I2767" s="53"/>
      <c r="J2767" s="29"/>
      <c r="K2767" s="30"/>
      <c r="L2767" s="29"/>
      <c r="O2767" s="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489CB-E076-473A-B763-27007B3EEF83}">
  <sheetPr codeName="Sheet4" filterMode="1"/>
  <dimension ref="A1:AJ4939"/>
  <sheetViews>
    <sheetView zoomScale="90" zoomScaleNormal="90" workbookViewId="0">
      <pane ySplit="3" topLeftCell="A4" activePane="bottomLeft" state="frozen"/>
      <selection pane="bottomLeft" activeCell="G448" sqref="G448"/>
    </sheetView>
  </sheetViews>
  <sheetFormatPr defaultRowHeight="14.5" x14ac:dyDescent="0.35"/>
  <cols>
    <col min="1" max="4" width="8.7265625" hidden="1" customWidth="1"/>
    <col min="5" max="5" width="6.26953125" hidden="1" customWidth="1"/>
    <col min="6" max="6" width="28.453125" hidden="1" customWidth="1"/>
    <col min="7" max="7" width="43.6328125" customWidth="1"/>
    <col min="8" max="8" width="6.453125" customWidth="1"/>
    <col min="10" max="10" width="3.81640625" style="19" customWidth="1"/>
    <col min="11" max="11" width="3.81640625" style="17" hidden="1" customWidth="1"/>
    <col min="12" max="12" width="3.81640625" style="18" hidden="1" customWidth="1"/>
    <col min="13" max="13" width="3.81640625" style="17" hidden="1" customWidth="1"/>
    <col min="14" max="15" width="4" style="31" bestFit="1" customWidth="1"/>
    <col min="16" max="16" width="4" style="51" hidden="1" customWidth="1"/>
    <col min="17" max="17" width="3.1796875" style="56" customWidth="1"/>
    <col min="18" max="18" width="3.1796875" style="21" hidden="1" customWidth="1"/>
    <col min="19" max="19" width="3.1796875" style="22" hidden="1" customWidth="1"/>
    <col min="20" max="20" width="3.1796875" style="42" hidden="1" customWidth="1"/>
    <col min="21" max="21" width="3.1796875" style="37" hidden="1" customWidth="1"/>
    <col min="22" max="22" width="3.1796875" style="38" hidden="1" customWidth="1"/>
    <col min="23" max="23" width="3.453125" style="45" hidden="1" customWidth="1"/>
    <col min="35" max="35" width="6.6328125" bestFit="1" customWidth="1"/>
  </cols>
  <sheetData>
    <row r="1" spans="1:36" x14ac:dyDescent="0.35">
      <c r="G1" t="s">
        <v>7576</v>
      </c>
      <c r="J1" s="52" t="s">
        <v>0</v>
      </c>
      <c r="K1" s="11" t="s">
        <v>32</v>
      </c>
      <c r="L1" s="12"/>
      <c r="M1" s="13"/>
      <c r="N1" s="14"/>
      <c r="O1" s="15"/>
      <c r="P1" s="48"/>
      <c r="Q1" s="55" t="s">
        <v>33</v>
      </c>
      <c r="R1" s="16"/>
      <c r="S1" s="16"/>
      <c r="T1" s="41"/>
      <c r="U1" s="35"/>
      <c r="V1" s="36"/>
      <c r="W1" s="44"/>
      <c r="Z1" t="s">
        <v>34</v>
      </c>
    </row>
    <row r="2" spans="1:36" x14ac:dyDescent="0.35">
      <c r="J2" s="53" t="s">
        <v>2</v>
      </c>
      <c r="N2" s="19"/>
      <c r="O2" s="20"/>
      <c r="P2" s="49"/>
      <c r="R2" s="22"/>
      <c r="Z2" s="58"/>
      <c r="AA2" t="s">
        <v>31</v>
      </c>
    </row>
    <row r="3" spans="1:36" ht="145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G3" t="s">
        <v>8</v>
      </c>
      <c r="H3" t="s">
        <v>9</v>
      </c>
      <c r="I3" t="s">
        <v>10</v>
      </c>
      <c r="J3" s="54" t="s">
        <v>7565</v>
      </c>
      <c r="K3" s="23" t="s">
        <v>35</v>
      </c>
      <c r="L3" s="24" t="s">
        <v>36</v>
      </c>
      <c r="M3" s="23" t="s">
        <v>37</v>
      </c>
      <c r="N3" s="26" t="s">
        <v>38</v>
      </c>
      <c r="O3" s="27" t="s">
        <v>39</v>
      </c>
      <c r="P3" s="50" t="s">
        <v>40</v>
      </c>
      <c r="Q3" s="57" t="s">
        <v>41</v>
      </c>
      <c r="R3" s="28" t="s">
        <v>42</v>
      </c>
      <c r="S3" s="28" t="s">
        <v>43</v>
      </c>
      <c r="T3" s="43" t="s">
        <v>44</v>
      </c>
      <c r="U3" s="39" t="s">
        <v>45</v>
      </c>
      <c r="V3" s="40" t="s">
        <v>46</v>
      </c>
      <c r="W3" s="46" t="s">
        <v>47</v>
      </c>
      <c r="X3" t="s">
        <v>24</v>
      </c>
      <c r="Z3" t="s">
        <v>48</v>
      </c>
      <c r="AI3" t="s">
        <v>4</v>
      </c>
      <c r="AJ3" t="s">
        <v>9</v>
      </c>
    </row>
    <row r="4" spans="1:36" x14ac:dyDescent="0.35">
      <c r="A4">
        <v>4</v>
      </c>
      <c r="B4">
        <v>5</v>
      </c>
      <c r="C4">
        <v>146.06851420000001</v>
      </c>
      <c r="D4">
        <v>-17.511920889999999</v>
      </c>
      <c r="E4">
        <v>50</v>
      </c>
      <c r="G4" s="1" t="str">
        <f>IF(F4="", "", HYPERLINK("D:\Data From Lucan\2024\Johnstone\Frames_for_Analysis_50\" &amp; F4, F4))</f>
        <v/>
      </c>
      <c r="H4">
        <v>1</v>
      </c>
      <c r="I4" t="str">
        <f>IF(G4="","X","")</f>
        <v>X</v>
      </c>
      <c r="J4" s="53" t="s">
        <v>26</v>
      </c>
      <c r="K4" s="29"/>
      <c r="L4" s="30"/>
      <c r="M4" s="29"/>
      <c r="N4" s="20"/>
      <c r="O4" s="20"/>
      <c r="P4" s="49"/>
      <c r="R4" s="22"/>
      <c r="T4" s="22"/>
      <c r="W4" s="47"/>
      <c r="Z4">
        <v>1</v>
      </c>
      <c r="AA4" t="s">
        <v>49</v>
      </c>
      <c r="AE4" t="s">
        <v>6907</v>
      </c>
      <c r="AI4">
        <v>1</v>
      </c>
      <c r="AJ4">
        <v>1</v>
      </c>
    </row>
    <row r="5" spans="1:36" x14ac:dyDescent="0.35">
      <c r="A5">
        <v>9</v>
      </c>
      <c r="B5">
        <v>10</v>
      </c>
      <c r="C5">
        <v>146.0682631</v>
      </c>
      <c r="D5">
        <v>-17.511538120000001</v>
      </c>
      <c r="E5">
        <v>50</v>
      </c>
      <c r="G5" s="1" t="str">
        <f t="shared" ref="G5:G68" si="0">IF(F5="", "", HYPERLINK("E:\Data From Lucan\2024\Johnstone\Frames_for_Analysis_50\" &amp; F5, F5))</f>
        <v/>
      </c>
      <c r="H5">
        <v>1</v>
      </c>
      <c r="I5" t="str">
        <f t="shared" ref="I5:I68" si="1">IF(G5="","X","")</f>
        <v>X</v>
      </c>
      <c r="J5" s="53" t="s">
        <v>26</v>
      </c>
      <c r="Z5">
        <v>2</v>
      </c>
      <c r="AA5" t="s">
        <v>50</v>
      </c>
      <c r="AE5">
        <v>1</v>
      </c>
      <c r="AF5" t="s">
        <v>6908</v>
      </c>
      <c r="AI5">
        <v>2</v>
      </c>
      <c r="AJ5">
        <v>1</v>
      </c>
    </row>
    <row r="6" spans="1:36" x14ac:dyDescent="0.35">
      <c r="A6">
        <v>14</v>
      </c>
      <c r="B6">
        <v>15</v>
      </c>
      <c r="C6">
        <v>146.06814209999999</v>
      </c>
      <c r="D6">
        <v>-17.511082399999999</v>
      </c>
      <c r="E6">
        <v>50</v>
      </c>
      <c r="G6" s="1" t="str">
        <f t="shared" si="0"/>
        <v/>
      </c>
      <c r="H6">
        <v>1</v>
      </c>
      <c r="I6" t="str">
        <f t="shared" si="1"/>
        <v>X</v>
      </c>
      <c r="J6" s="53" t="s">
        <v>26</v>
      </c>
      <c r="Z6">
        <v>3</v>
      </c>
      <c r="AA6" t="s">
        <v>51</v>
      </c>
      <c r="AE6">
        <v>2</v>
      </c>
      <c r="AF6" t="s">
        <v>6909</v>
      </c>
      <c r="AI6">
        <v>3</v>
      </c>
      <c r="AJ6">
        <v>1</v>
      </c>
    </row>
    <row r="7" spans="1:36" x14ac:dyDescent="0.35">
      <c r="A7">
        <v>19</v>
      </c>
      <c r="B7">
        <v>20</v>
      </c>
      <c r="C7">
        <v>146.06799290000001</v>
      </c>
      <c r="D7">
        <v>-17.51064062</v>
      </c>
      <c r="E7">
        <v>50</v>
      </c>
      <c r="G7" s="1" t="str">
        <f t="shared" si="0"/>
        <v/>
      </c>
      <c r="H7">
        <v>1</v>
      </c>
      <c r="I7" t="str">
        <f t="shared" si="1"/>
        <v>X</v>
      </c>
      <c r="J7" s="53" t="s">
        <v>26</v>
      </c>
      <c r="Z7">
        <v>4</v>
      </c>
      <c r="AA7" t="s">
        <v>52</v>
      </c>
      <c r="AE7">
        <v>3</v>
      </c>
      <c r="AF7" t="s">
        <v>6910</v>
      </c>
      <c r="AI7">
        <v>4</v>
      </c>
      <c r="AJ7">
        <v>1</v>
      </c>
    </row>
    <row r="8" spans="1:36" x14ac:dyDescent="0.35">
      <c r="A8">
        <v>24</v>
      </c>
      <c r="B8">
        <v>25</v>
      </c>
      <c r="C8">
        <v>146.06768450000001</v>
      </c>
      <c r="D8">
        <v>-17.510283900000001</v>
      </c>
      <c r="E8">
        <v>50</v>
      </c>
      <c r="G8" s="1" t="str">
        <f t="shared" si="0"/>
        <v/>
      </c>
      <c r="H8">
        <v>1</v>
      </c>
      <c r="I8" t="str">
        <f t="shared" si="1"/>
        <v>X</v>
      </c>
      <c r="J8" s="53" t="s">
        <v>26</v>
      </c>
      <c r="AE8">
        <v>4</v>
      </c>
      <c r="AF8" t="s">
        <v>6911</v>
      </c>
      <c r="AI8">
        <v>5</v>
      </c>
      <c r="AJ8">
        <v>1</v>
      </c>
    </row>
    <row r="9" spans="1:36" x14ac:dyDescent="0.35">
      <c r="A9">
        <v>29</v>
      </c>
      <c r="B9">
        <v>30</v>
      </c>
      <c r="C9">
        <v>146.06731429999999</v>
      </c>
      <c r="D9">
        <v>-17.51001102</v>
      </c>
      <c r="E9">
        <v>50</v>
      </c>
      <c r="G9" s="1" t="str">
        <f t="shared" si="0"/>
        <v/>
      </c>
      <c r="H9">
        <v>1</v>
      </c>
      <c r="I9" t="str">
        <f t="shared" si="1"/>
        <v>X</v>
      </c>
      <c r="J9" s="53" t="s">
        <v>26</v>
      </c>
      <c r="AI9">
        <v>6</v>
      </c>
      <c r="AJ9">
        <v>1</v>
      </c>
    </row>
    <row r="10" spans="1:36" x14ac:dyDescent="0.35">
      <c r="A10">
        <v>34</v>
      </c>
      <c r="B10">
        <v>35</v>
      </c>
      <c r="C10">
        <v>146.06688249999999</v>
      </c>
      <c r="D10">
        <v>-17.509821710000001</v>
      </c>
      <c r="E10">
        <v>50</v>
      </c>
      <c r="G10" s="1" t="str">
        <f t="shared" si="0"/>
        <v/>
      </c>
      <c r="H10">
        <v>1</v>
      </c>
      <c r="I10" t="str">
        <f t="shared" si="1"/>
        <v>X</v>
      </c>
      <c r="J10" s="53" t="s">
        <v>26</v>
      </c>
      <c r="AI10">
        <v>7</v>
      </c>
      <c r="AJ10">
        <v>1</v>
      </c>
    </row>
    <row r="11" spans="1:36" x14ac:dyDescent="0.35">
      <c r="A11">
        <v>39</v>
      </c>
      <c r="B11">
        <v>40</v>
      </c>
      <c r="C11">
        <v>146.06642160000001</v>
      </c>
      <c r="D11">
        <v>-17.509847310000001</v>
      </c>
      <c r="E11">
        <v>50</v>
      </c>
      <c r="G11" s="1" t="str">
        <f t="shared" si="0"/>
        <v/>
      </c>
      <c r="H11">
        <v>1</v>
      </c>
      <c r="I11" t="str">
        <f t="shared" si="1"/>
        <v>X</v>
      </c>
      <c r="J11" s="53" t="s">
        <v>26</v>
      </c>
      <c r="Z11" t="s">
        <v>45</v>
      </c>
      <c r="AE11" t="s">
        <v>6912</v>
      </c>
      <c r="AI11">
        <v>8</v>
      </c>
      <c r="AJ11">
        <v>1</v>
      </c>
    </row>
    <row r="12" spans="1:36" x14ac:dyDescent="0.35">
      <c r="A12">
        <v>44</v>
      </c>
      <c r="B12">
        <v>45</v>
      </c>
      <c r="C12">
        <v>146.06596160000001</v>
      </c>
      <c r="D12">
        <v>-17.509949599999999</v>
      </c>
      <c r="E12">
        <v>50</v>
      </c>
      <c r="G12" s="1" t="str">
        <f t="shared" si="0"/>
        <v/>
      </c>
      <c r="H12">
        <v>1</v>
      </c>
      <c r="I12" t="str">
        <f t="shared" si="1"/>
        <v>X</v>
      </c>
      <c r="J12" s="53" t="s">
        <v>26</v>
      </c>
      <c r="Z12">
        <v>1</v>
      </c>
      <c r="AA12" t="s">
        <v>53</v>
      </c>
      <c r="AE12">
        <v>1</v>
      </c>
      <c r="AF12" t="s">
        <v>6913</v>
      </c>
      <c r="AI12">
        <v>9</v>
      </c>
      <c r="AJ12">
        <v>1</v>
      </c>
    </row>
    <row r="13" spans="1:36" x14ac:dyDescent="0.35">
      <c r="A13">
        <v>49</v>
      </c>
      <c r="B13">
        <v>50</v>
      </c>
      <c r="C13">
        <v>146.06550300000001</v>
      </c>
      <c r="D13">
        <v>-17.510059349999999</v>
      </c>
      <c r="E13">
        <v>50</v>
      </c>
      <c r="G13" s="1" t="str">
        <f t="shared" si="0"/>
        <v/>
      </c>
      <c r="H13">
        <v>1</v>
      </c>
      <c r="I13" t="str">
        <f t="shared" si="1"/>
        <v>X</v>
      </c>
      <c r="J13" s="53" t="s">
        <v>26</v>
      </c>
      <c r="X13" t="s">
        <v>54</v>
      </c>
      <c r="Z13">
        <v>2</v>
      </c>
      <c r="AA13" t="s">
        <v>55</v>
      </c>
      <c r="AE13">
        <v>2</v>
      </c>
      <c r="AF13" t="s">
        <v>6914</v>
      </c>
      <c r="AI13">
        <v>10</v>
      </c>
      <c r="AJ13">
        <v>1</v>
      </c>
    </row>
    <row r="14" spans="1:36" x14ac:dyDescent="0.35">
      <c r="A14">
        <v>54</v>
      </c>
      <c r="B14">
        <v>55</v>
      </c>
      <c r="C14">
        <v>146.0650521</v>
      </c>
      <c r="D14">
        <v>-17.510009310000001</v>
      </c>
      <c r="E14">
        <v>50</v>
      </c>
      <c r="G14" s="1" t="str">
        <f t="shared" si="0"/>
        <v/>
      </c>
      <c r="H14">
        <v>1</v>
      </c>
      <c r="I14" t="str">
        <f t="shared" si="1"/>
        <v>X</v>
      </c>
      <c r="J14" s="53" t="s">
        <v>26</v>
      </c>
      <c r="Z14">
        <v>3</v>
      </c>
      <c r="AA14" t="s">
        <v>56</v>
      </c>
      <c r="AE14">
        <v>3</v>
      </c>
      <c r="AF14" t="s">
        <v>6915</v>
      </c>
      <c r="AI14">
        <v>11</v>
      </c>
      <c r="AJ14">
        <v>1</v>
      </c>
    </row>
    <row r="15" spans="1:36" x14ac:dyDescent="0.35">
      <c r="A15">
        <v>59</v>
      </c>
      <c r="B15">
        <v>60</v>
      </c>
      <c r="C15">
        <v>146.064594</v>
      </c>
      <c r="D15">
        <v>-17.50992969</v>
      </c>
      <c r="E15">
        <v>50</v>
      </c>
      <c r="G15" s="1" t="str">
        <f t="shared" si="0"/>
        <v/>
      </c>
      <c r="H15">
        <v>1</v>
      </c>
      <c r="I15" t="str">
        <f t="shared" si="1"/>
        <v>X</v>
      </c>
      <c r="J15" s="53" t="s">
        <v>26</v>
      </c>
      <c r="AE15">
        <v>4</v>
      </c>
      <c r="AF15" t="s">
        <v>6916</v>
      </c>
      <c r="AI15">
        <v>12</v>
      </c>
      <c r="AJ15">
        <v>1</v>
      </c>
    </row>
    <row r="16" spans="1:36" x14ac:dyDescent="0.35">
      <c r="A16">
        <v>64</v>
      </c>
      <c r="B16">
        <v>65</v>
      </c>
      <c r="C16">
        <v>146.0641238</v>
      </c>
      <c r="D16">
        <v>-17.509960899999999</v>
      </c>
      <c r="E16">
        <v>50</v>
      </c>
      <c r="G16" s="1" t="str">
        <f t="shared" si="0"/>
        <v/>
      </c>
      <c r="H16">
        <v>1</v>
      </c>
      <c r="I16" t="str">
        <f t="shared" si="1"/>
        <v>X</v>
      </c>
      <c r="J16" s="53" t="s">
        <v>26</v>
      </c>
      <c r="Z16" t="s">
        <v>57</v>
      </c>
      <c r="AI16">
        <v>13</v>
      </c>
      <c r="AJ16">
        <v>1</v>
      </c>
    </row>
    <row r="17" spans="1:36" x14ac:dyDescent="0.35">
      <c r="A17">
        <v>69</v>
      </c>
      <c r="B17">
        <v>70</v>
      </c>
      <c r="C17">
        <v>146.06365700000001</v>
      </c>
      <c r="D17">
        <v>-17.509915809999999</v>
      </c>
      <c r="E17">
        <v>50</v>
      </c>
      <c r="G17" s="1" t="str">
        <f t="shared" si="0"/>
        <v/>
      </c>
      <c r="H17">
        <v>1</v>
      </c>
      <c r="I17" t="str">
        <f t="shared" si="1"/>
        <v>X</v>
      </c>
      <c r="J17" s="53" t="s">
        <v>26</v>
      </c>
      <c r="Z17">
        <v>1</v>
      </c>
      <c r="AA17" t="s">
        <v>58</v>
      </c>
      <c r="AE17" t="s">
        <v>33</v>
      </c>
      <c r="AI17">
        <v>14</v>
      </c>
      <c r="AJ17">
        <v>1</v>
      </c>
    </row>
    <row r="18" spans="1:36" x14ac:dyDescent="0.35">
      <c r="A18">
        <v>74</v>
      </c>
      <c r="B18">
        <v>75</v>
      </c>
      <c r="C18">
        <v>146.06319629999999</v>
      </c>
      <c r="D18">
        <v>-17.50985202</v>
      </c>
      <c r="E18">
        <v>50</v>
      </c>
      <c r="G18" s="1" t="str">
        <f t="shared" si="0"/>
        <v/>
      </c>
      <c r="H18">
        <v>1</v>
      </c>
      <c r="I18" t="str">
        <f t="shared" si="1"/>
        <v>X</v>
      </c>
      <c r="J18" s="53" t="s">
        <v>26</v>
      </c>
      <c r="Z18">
        <v>2</v>
      </c>
      <c r="AA18" t="s">
        <v>59</v>
      </c>
      <c r="AE18">
        <v>1</v>
      </c>
      <c r="AF18" t="s">
        <v>6917</v>
      </c>
      <c r="AI18">
        <v>15</v>
      </c>
      <c r="AJ18">
        <v>1</v>
      </c>
    </row>
    <row r="19" spans="1:36" x14ac:dyDescent="0.35">
      <c r="A19">
        <v>79</v>
      </c>
      <c r="B19">
        <v>80</v>
      </c>
      <c r="C19">
        <v>146.0627288</v>
      </c>
      <c r="D19">
        <v>-17.50991303</v>
      </c>
      <c r="E19">
        <v>50</v>
      </c>
      <c r="G19" s="1" t="str">
        <f t="shared" si="0"/>
        <v/>
      </c>
      <c r="H19">
        <v>1</v>
      </c>
      <c r="I19" t="str">
        <f t="shared" si="1"/>
        <v>X</v>
      </c>
      <c r="J19" s="53" t="s">
        <v>26</v>
      </c>
      <c r="Z19">
        <v>3</v>
      </c>
      <c r="AA19" t="s">
        <v>60</v>
      </c>
      <c r="AE19">
        <v>2</v>
      </c>
      <c r="AF19" t="s">
        <v>6918</v>
      </c>
      <c r="AI19">
        <v>16</v>
      </c>
      <c r="AJ19">
        <v>1</v>
      </c>
    </row>
    <row r="20" spans="1:36" x14ac:dyDescent="0.35">
      <c r="A20">
        <v>84</v>
      </c>
      <c r="B20">
        <v>85</v>
      </c>
      <c r="C20">
        <v>146.0622597</v>
      </c>
      <c r="D20">
        <v>-17.50993828</v>
      </c>
      <c r="E20">
        <v>50</v>
      </c>
      <c r="G20" s="1" t="str">
        <f t="shared" si="0"/>
        <v/>
      </c>
      <c r="H20">
        <v>1</v>
      </c>
      <c r="I20" t="str">
        <f t="shared" si="1"/>
        <v>X</v>
      </c>
      <c r="J20" s="53" t="s">
        <v>26</v>
      </c>
      <c r="AE20">
        <v>3</v>
      </c>
      <c r="AF20" t="s">
        <v>6919</v>
      </c>
      <c r="AI20">
        <v>17</v>
      </c>
      <c r="AJ20">
        <v>1</v>
      </c>
    </row>
    <row r="21" spans="1:36" x14ac:dyDescent="0.35">
      <c r="A21">
        <v>89</v>
      </c>
      <c r="B21">
        <v>90</v>
      </c>
      <c r="C21">
        <v>146.06179589999999</v>
      </c>
      <c r="D21">
        <v>-17.50998177</v>
      </c>
      <c r="E21">
        <v>50</v>
      </c>
      <c r="G21" s="1" t="str">
        <f t="shared" si="0"/>
        <v/>
      </c>
      <c r="H21">
        <v>1</v>
      </c>
      <c r="I21" t="str">
        <f t="shared" si="1"/>
        <v>X</v>
      </c>
      <c r="J21" s="53" t="s">
        <v>26</v>
      </c>
      <c r="AE21">
        <v>4</v>
      </c>
      <c r="AF21" t="s">
        <v>6920</v>
      </c>
      <c r="AI21">
        <v>18</v>
      </c>
      <c r="AJ21">
        <v>1</v>
      </c>
    </row>
    <row r="22" spans="1:36" x14ac:dyDescent="0.35">
      <c r="A22">
        <v>94</v>
      </c>
      <c r="B22">
        <v>95</v>
      </c>
      <c r="C22">
        <v>146.06133990000001</v>
      </c>
      <c r="D22">
        <v>-17.51010119</v>
      </c>
      <c r="E22">
        <v>50</v>
      </c>
      <c r="G22" s="1" t="str">
        <f t="shared" si="0"/>
        <v/>
      </c>
      <c r="H22">
        <v>1</v>
      </c>
      <c r="I22" t="str">
        <f t="shared" si="1"/>
        <v>X</v>
      </c>
      <c r="J22" s="53" t="s">
        <v>26</v>
      </c>
      <c r="Z22" t="s">
        <v>61</v>
      </c>
      <c r="AI22">
        <v>19</v>
      </c>
      <c r="AJ22">
        <v>1</v>
      </c>
    </row>
    <row r="23" spans="1:36" x14ac:dyDescent="0.35">
      <c r="A23">
        <v>99</v>
      </c>
      <c r="B23">
        <v>100</v>
      </c>
      <c r="C23">
        <v>146.06090140000001</v>
      </c>
      <c r="D23">
        <v>-17.510273900000001</v>
      </c>
      <c r="E23">
        <v>50</v>
      </c>
      <c r="G23" s="1" t="str">
        <f t="shared" si="0"/>
        <v/>
      </c>
      <c r="H23">
        <v>1</v>
      </c>
      <c r="I23" t="str">
        <f t="shared" si="1"/>
        <v>X</v>
      </c>
      <c r="J23" s="53" t="s">
        <v>26</v>
      </c>
      <c r="Z23">
        <v>1</v>
      </c>
      <c r="AA23" t="s">
        <v>58</v>
      </c>
      <c r="AI23">
        <v>20</v>
      </c>
      <c r="AJ23">
        <v>1</v>
      </c>
    </row>
    <row r="24" spans="1:36" x14ac:dyDescent="0.35">
      <c r="A24">
        <v>104</v>
      </c>
      <c r="B24">
        <v>105</v>
      </c>
      <c r="C24">
        <v>146.0605391</v>
      </c>
      <c r="D24">
        <v>-17.510573860000001</v>
      </c>
      <c r="E24">
        <v>50</v>
      </c>
      <c r="G24" s="1" t="str">
        <f t="shared" si="0"/>
        <v/>
      </c>
      <c r="H24">
        <v>1</v>
      </c>
      <c r="I24" t="str">
        <f t="shared" si="1"/>
        <v>X</v>
      </c>
      <c r="J24" s="53" t="s">
        <v>26</v>
      </c>
      <c r="Z24">
        <v>2</v>
      </c>
      <c r="AA24" t="s">
        <v>59</v>
      </c>
      <c r="AI24">
        <v>21</v>
      </c>
      <c r="AJ24">
        <v>1</v>
      </c>
    </row>
    <row r="25" spans="1:36" x14ac:dyDescent="0.35">
      <c r="A25">
        <v>109</v>
      </c>
      <c r="B25">
        <v>110</v>
      </c>
      <c r="C25">
        <v>146.06032949999999</v>
      </c>
      <c r="D25">
        <v>-17.510978980000001</v>
      </c>
      <c r="E25">
        <v>50</v>
      </c>
      <c r="F25" t="s">
        <v>6933</v>
      </c>
      <c r="G25" s="1" t="str">
        <f t="shared" si="0"/>
        <v>110_20240610_0007_R_0657.jpg</v>
      </c>
      <c r="H25">
        <v>1</v>
      </c>
      <c r="I25" t="str">
        <f t="shared" si="1"/>
        <v/>
      </c>
      <c r="J25" s="53">
        <f>IFERROR(VLOOKUP(B25, DATA_Johnstone_2024_ALL!B:J, 8, FALSE), "")</f>
        <v>0</v>
      </c>
      <c r="K25" s="29"/>
      <c r="L25" s="30"/>
      <c r="M25" s="29"/>
      <c r="N25" s="20" t="str">
        <f>IF($J25=1, DATA_Johnstone_2023_50!M25, "")</f>
        <v/>
      </c>
      <c r="O25" s="20" t="str">
        <f>IF($J25=1, DATA_Johnstone_2023_50!N25, "")</f>
        <v/>
      </c>
      <c r="P25" s="49"/>
      <c r="Q25" s="20" t="str">
        <f>IF($J25=1, DATA_Johnstone_2023_50!P25, "")</f>
        <v/>
      </c>
      <c r="R25" s="22"/>
      <c r="T25" s="22"/>
      <c r="W25" s="47"/>
      <c r="Z25">
        <v>3</v>
      </c>
      <c r="AA25" t="s">
        <v>60</v>
      </c>
      <c r="AI25">
        <v>22</v>
      </c>
      <c r="AJ25">
        <v>1</v>
      </c>
    </row>
    <row r="26" spans="1:36" x14ac:dyDescent="0.35">
      <c r="A26">
        <v>114</v>
      </c>
      <c r="B26">
        <v>115</v>
      </c>
      <c r="C26">
        <v>146.06033719999999</v>
      </c>
      <c r="D26">
        <v>-17.511449639999999</v>
      </c>
      <c r="E26">
        <v>50</v>
      </c>
      <c r="F26" t="s">
        <v>6934</v>
      </c>
      <c r="G26" s="1" t="str">
        <f t="shared" si="0"/>
        <v>115_20240610_0007_R_0635.jpg</v>
      </c>
      <c r="H26">
        <v>1</v>
      </c>
      <c r="I26" t="str">
        <f t="shared" si="1"/>
        <v/>
      </c>
      <c r="J26" s="53">
        <f>IFERROR(VLOOKUP(B26, DATA_Johnstone_2024_ALL!B:J, 8, FALSE), "")</f>
        <v>1</v>
      </c>
      <c r="K26" s="29"/>
      <c r="L26" s="30"/>
      <c r="M26" s="29"/>
      <c r="N26" s="20">
        <v>3</v>
      </c>
      <c r="O26" s="20">
        <f>IF($J26=1, DATA_Johnstone_2023_50!N26, "")</f>
        <v>4</v>
      </c>
      <c r="P26" s="49"/>
      <c r="Q26" s="20">
        <v>3</v>
      </c>
      <c r="R26" s="22"/>
      <c r="T26" s="22"/>
      <c r="W26" s="47"/>
      <c r="AI26">
        <v>23</v>
      </c>
      <c r="AJ26">
        <v>1</v>
      </c>
    </row>
    <row r="27" spans="1:36" x14ac:dyDescent="0.35">
      <c r="A27">
        <v>119</v>
      </c>
      <c r="B27">
        <v>120</v>
      </c>
      <c r="C27">
        <v>146.06022179999999</v>
      </c>
      <c r="D27">
        <v>-17.5118981</v>
      </c>
      <c r="E27">
        <v>50</v>
      </c>
      <c r="F27" t="s">
        <v>6935</v>
      </c>
      <c r="G27" s="1" t="str">
        <f t="shared" si="0"/>
        <v>120_20240610_0007_R_0619.jpg</v>
      </c>
      <c r="H27">
        <v>1</v>
      </c>
      <c r="I27" t="str">
        <f t="shared" si="1"/>
        <v/>
      </c>
      <c r="J27" s="53">
        <f>IFERROR(VLOOKUP(B27, DATA_Johnstone_2024_ALL!B:J, 8, FALSE), "")</f>
        <v>1</v>
      </c>
      <c r="K27" s="29"/>
      <c r="L27" s="30"/>
      <c r="M27" s="29"/>
      <c r="N27" s="20">
        <f>IF(J27=1, DATA_Johnstone_2023_50!M27, "")</f>
        <v>4</v>
      </c>
      <c r="O27" s="20">
        <f>IF($J27=1, DATA_Johnstone_2023_50!N27, "")</f>
        <v>4</v>
      </c>
      <c r="P27" s="49"/>
      <c r="Q27" s="20">
        <v>3</v>
      </c>
      <c r="R27" s="22"/>
      <c r="T27" s="22"/>
      <c r="W27" s="47"/>
      <c r="AI27">
        <v>24</v>
      </c>
      <c r="AJ27">
        <v>1</v>
      </c>
    </row>
    <row r="28" spans="1:36" x14ac:dyDescent="0.35">
      <c r="A28">
        <v>124</v>
      </c>
      <c r="B28">
        <v>125</v>
      </c>
      <c r="C28">
        <v>146.06000839999999</v>
      </c>
      <c r="D28">
        <v>-17.512318539999999</v>
      </c>
      <c r="E28">
        <v>50</v>
      </c>
      <c r="F28" t="s">
        <v>6936</v>
      </c>
      <c r="G28" s="1" t="str">
        <f t="shared" si="0"/>
        <v>125_20240610_0007_R_0605.jpg</v>
      </c>
      <c r="H28">
        <v>1</v>
      </c>
      <c r="I28" t="str">
        <f t="shared" si="1"/>
        <v/>
      </c>
      <c r="J28" s="53">
        <f>IFERROR(VLOOKUP(B28, DATA_Johnstone_2024_ALL!B:J, 8, FALSE), "")</f>
        <v>1</v>
      </c>
      <c r="K28" s="29"/>
      <c r="L28" s="30"/>
      <c r="M28" s="29"/>
      <c r="N28" s="20">
        <f>IF(J28=1, DATA_Johnstone_2023_50!M28, "")</f>
        <v>4</v>
      </c>
      <c r="O28" s="20">
        <f>IF($J28=1, DATA_Johnstone_2023_50!N28, "")</f>
        <v>4</v>
      </c>
      <c r="P28" s="49"/>
      <c r="Q28" s="20">
        <f>IF($J28=1, DATA_Johnstone_2023_50!P28, "")</f>
        <v>4</v>
      </c>
      <c r="R28" s="22"/>
      <c r="T28" s="22"/>
      <c r="W28" s="47"/>
      <c r="AI28">
        <v>25</v>
      </c>
      <c r="AJ28">
        <v>1</v>
      </c>
    </row>
    <row r="29" spans="1:36" x14ac:dyDescent="0.35">
      <c r="A29">
        <v>129</v>
      </c>
      <c r="B29">
        <v>130</v>
      </c>
      <c r="C29">
        <v>146.0598268</v>
      </c>
      <c r="D29">
        <v>-17.512752880000001</v>
      </c>
      <c r="E29">
        <v>50</v>
      </c>
      <c r="F29" t="s">
        <v>6937</v>
      </c>
      <c r="G29" s="1" t="str">
        <f t="shared" si="0"/>
        <v>130_20240610_0007_R_0590.jpg</v>
      </c>
      <c r="H29">
        <v>1</v>
      </c>
      <c r="I29" t="str">
        <f t="shared" si="1"/>
        <v/>
      </c>
      <c r="J29" s="53">
        <f>IFERROR(VLOOKUP(B29, DATA_Johnstone_2024_ALL!B:J, 8, FALSE), "")</f>
        <v>1</v>
      </c>
      <c r="K29" s="29"/>
      <c r="L29" s="30"/>
      <c r="M29" s="29"/>
      <c r="N29" s="20">
        <f>IF(J29=1, DATA_Johnstone_2023_50!M29, "")</f>
        <v>4</v>
      </c>
      <c r="O29" s="20">
        <f>IF($J29=1, DATA_Johnstone_2023_50!N29, "")</f>
        <v>4</v>
      </c>
      <c r="P29" s="49"/>
      <c r="Q29" s="20">
        <f>IF($J29=1, DATA_Johnstone_2023_50!P29, "")</f>
        <v>4</v>
      </c>
      <c r="R29" s="22"/>
      <c r="T29" s="22"/>
      <c r="W29" s="47"/>
      <c r="AI29">
        <v>26</v>
      </c>
      <c r="AJ29">
        <v>1</v>
      </c>
    </row>
    <row r="30" spans="1:36" x14ac:dyDescent="0.35">
      <c r="A30">
        <v>134</v>
      </c>
      <c r="B30">
        <v>135</v>
      </c>
      <c r="C30">
        <v>146.05960680000001</v>
      </c>
      <c r="D30">
        <v>-17.51316624</v>
      </c>
      <c r="E30">
        <v>50</v>
      </c>
      <c r="F30" t="s">
        <v>6938</v>
      </c>
      <c r="G30" s="1" t="str">
        <f t="shared" si="0"/>
        <v>135_20240610_0007_R_0576.jpg</v>
      </c>
      <c r="H30">
        <v>1</v>
      </c>
      <c r="I30" t="str">
        <f t="shared" si="1"/>
        <v/>
      </c>
      <c r="J30" s="53">
        <f>IFERROR(VLOOKUP(B30, DATA_Johnstone_2024_ALL!B:J, 8, FALSE), "")</f>
        <v>1</v>
      </c>
      <c r="K30" s="29"/>
      <c r="L30" s="30"/>
      <c r="M30" s="29"/>
      <c r="N30" s="20">
        <f>IF(J30=1, DATA_Johnstone_2023_50!M30, "")</f>
        <v>1</v>
      </c>
      <c r="O30" s="20">
        <f>IF($J30=1, DATA_Johnstone_2023_50!N30, "")</f>
        <v>2</v>
      </c>
      <c r="P30" s="49"/>
      <c r="Q30" s="20">
        <f>IF($J30=1, DATA_Johnstone_2023_50!P30, "")</f>
        <v>4</v>
      </c>
      <c r="R30" s="22"/>
      <c r="T30" s="22"/>
      <c r="W30" s="47"/>
      <c r="AI30">
        <v>27</v>
      </c>
      <c r="AJ30">
        <v>1</v>
      </c>
    </row>
    <row r="31" spans="1:36" x14ac:dyDescent="0.35">
      <c r="A31">
        <v>139</v>
      </c>
      <c r="B31">
        <v>140</v>
      </c>
      <c r="C31">
        <v>146.0594049</v>
      </c>
      <c r="D31">
        <v>-17.513587810000001</v>
      </c>
      <c r="E31">
        <v>50</v>
      </c>
      <c r="F31" t="s">
        <v>6939</v>
      </c>
      <c r="G31" s="1" t="str">
        <f t="shared" si="0"/>
        <v>140_20240610_0007_R_0563.jpg</v>
      </c>
      <c r="H31">
        <v>1</v>
      </c>
      <c r="I31" t="str">
        <f t="shared" si="1"/>
        <v/>
      </c>
      <c r="J31" s="53">
        <f>IFERROR(VLOOKUP(B31, DATA_Johnstone_2024_ALL!B:J, 8, FALSE), "")</f>
        <v>1</v>
      </c>
      <c r="K31" s="29"/>
      <c r="L31" s="30"/>
      <c r="M31" s="29"/>
      <c r="N31" s="20">
        <v>2</v>
      </c>
      <c r="O31" s="20">
        <v>3</v>
      </c>
      <c r="P31" s="49"/>
      <c r="Q31" s="20">
        <v>2</v>
      </c>
      <c r="R31" s="22"/>
      <c r="T31" s="22"/>
      <c r="W31" s="47"/>
      <c r="AI31">
        <v>28</v>
      </c>
      <c r="AJ31">
        <v>1</v>
      </c>
    </row>
    <row r="32" spans="1:36" x14ac:dyDescent="0.35">
      <c r="A32">
        <v>144</v>
      </c>
      <c r="B32">
        <v>145</v>
      </c>
      <c r="C32">
        <v>146.0592182</v>
      </c>
      <c r="D32">
        <v>-17.514015369999999</v>
      </c>
      <c r="E32">
        <v>50</v>
      </c>
      <c r="F32" t="s">
        <v>6940</v>
      </c>
      <c r="G32" s="1" t="str">
        <f t="shared" si="0"/>
        <v>145_20240610_0007_R_0548.jpg</v>
      </c>
      <c r="H32">
        <v>1</v>
      </c>
      <c r="I32" t="str">
        <f t="shared" si="1"/>
        <v/>
      </c>
      <c r="J32" s="53">
        <f>IFERROR(VLOOKUP(B32, DATA_Johnstone_2024_ALL!B:J, 8, FALSE), "")</f>
        <v>0</v>
      </c>
      <c r="K32" s="29"/>
      <c r="L32" s="30"/>
      <c r="M32" s="29"/>
      <c r="N32" s="20" t="str">
        <f>IF(J32=1, DATA_Johnstone_2023_50!M32, "")</f>
        <v/>
      </c>
      <c r="O32" s="20" t="str">
        <f>IF($J32=1, DATA_Johnstone_2023_50!N32, "")</f>
        <v/>
      </c>
      <c r="P32" s="49"/>
      <c r="Q32" s="20" t="str">
        <f>IF($J32=1, DATA_Johnstone_2023_50!P32, "")</f>
        <v/>
      </c>
      <c r="R32" s="22"/>
      <c r="T32" s="22"/>
      <c r="W32" s="47"/>
      <c r="AI32">
        <v>29</v>
      </c>
      <c r="AJ32">
        <v>1</v>
      </c>
    </row>
    <row r="33" spans="1:36" x14ac:dyDescent="0.35">
      <c r="A33">
        <v>149</v>
      </c>
      <c r="B33">
        <v>150</v>
      </c>
      <c r="C33">
        <v>146.05910040000001</v>
      </c>
      <c r="D33">
        <v>-17.51447181</v>
      </c>
      <c r="E33">
        <v>50</v>
      </c>
      <c r="F33" t="s">
        <v>6941</v>
      </c>
      <c r="G33" s="1" t="str">
        <f t="shared" si="0"/>
        <v>150_20240610_0007_R_0532.jpg</v>
      </c>
      <c r="H33">
        <v>1</v>
      </c>
      <c r="I33" t="str">
        <f t="shared" si="1"/>
        <v/>
      </c>
      <c r="J33" s="53">
        <f>IFERROR(VLOOKUP(B33, DATA_Johnstone_2024_ALL!B:J, 8, FALSE), "")</f>
        <v>1</v>
      </c>
      <c r="K33" s="29"/>
      <c r="L33" s="30"/>
      <c r="M33" s="29"/>
      <c r="N33" s="20">
        <f>IF(J33=1, DATA_Johnstone_2023_50!M33, "")</f>
        <v>4</v>
      </c>
      <c r="O33" s="20">
        <f>IF($J33=1, DATA_Johnstone_2023_50!N33, "")</f>
        <v>4</v>
      </c>
      <c r="P33" s="49"/>
      <c r="Q33" s="20">
        <v>3</v>
      </c>
      <c r="R33" s="22"/>
      <c r="T33" s="22"/>
      <c r="W33" s="47"/>
      <c r="AI33">
        <v>30</v>
      </c>
      <c r="AJ33">
        <v>1</v>
      </c>
    </row>
    <row r="34" spans="1:36" x14ac:dyDescent="0.35">
      <c r="A34">
        <v>154</v>
      </c>
      <c r="B34">
        <v>155</v>
      </c>
      <c r="C34">
        <v>146.0590115</v>
      </c>
      <c r="D34">
        <v>-17.514934230000001</v>
      </c>
      <c r="E34">
        <v>50</v>
      </c>
      <c r="F34" t="s">
        <v>6942</v>
      </c>
      <c r="G34" s="1" t="str">
        <f t="shared" si="0"/>
        <v>155_20240610_0007_R_0516.jpg</v>
      </c>
      <c r="H34">
        <v>2</v>
      </c>
      <c r="I34" t="str">
        <f t="shared" si="1"/>
        <v/>
      </c>
      <c r="J34" s="53">
        <f>IFERROR(VLOOKUP(B34, DATA_Johnstone_2024_ALL!B:J, 8, FALSE), "")</f>
        <v>1</v>
      </c>
      <c r="K34" s="29"/>
      <c r="L34" s="30"/>
      <c r="M34" s="29"/>
      <c r="N34" s="20">
        <v>4</v>
      </c>
      <c r="O34" s="20">
        <v>4</v>
      </c>
      <c r="P34" s="49"/>
      <c r="Q34" s="20">
        <v>4</v>
      </c>
      <c r="R34" s="22"/>
      <c r="T34" s="22"/>
      <c r="W34" s="47"/>
      <c r="AI34">
        <v>31</v>
      </c>
      <c r="AJ34">
        <v>1</v>
      </c>
    </row>
    <row r="35" spans="1:36" x14ac:dyDescent="0.35">
      <c r="A35">
        <v>159</v>
      </c>
      <c r="B35">
        <v>160</v>
      </c>
      <c r="C35">
        <v>146.05895599999999</v>
      </c>
      <c r="D35">
        <v>-17.515402399999999</v>
      </c>
      <c r="E35">
        <v>50</v>
      </c>
      <c r="F35" t="s">
        <v>6943</v>
      </c>
      <c r="G35" s="1" t="str">
        <f t="shared" si="0"/>
        <v>160_20240610_0007_R_0501.jpg</v>
      </c>
      <c r="H35">
        <v>2</v>
      </c>
      <c r="I35" t="str">
        <f t="shared" si="1"/>
        <v/>
      </c>
      <c r="J35" s="53">
        <f>IFERROR(VLOOKUP(B35, DATA_Johnstone_2024_ALL!B:J, 8, FALSE), "")</f>
        <v>0</v>
      </c>
      <c r="K35" s="29"/>
      <c r="L35" s="30"/>
      <c r="M35" s="29"/>
      <c r="N35" s="20" t="str">
        <f>IF(J35=1, DATA_Johnstone_2023_50!M35, "")</f>
        <v/>
      </c>
      <c r="O35" s="20" t="str">
        <f>IF($J35=1, DATA_Johnstone_2023_50!N35, "")</f>
        <v/>
      </c>
      <c r="P35" s="49"/>
      <c r="Q35" s="20" t="str">
        <f>IF($J35=1, DATA_Johnstone_2023_50!P35, "")</f>
        <v/>
      </c>
      <c r="R35" s="22"/>
      <c r="T35" s="22"/>
      <c r="W35" s="47"/>
      <c r="AI35">
        <v>32</v>
      </c>
      <c r="AJ35">
        <v>1</v>
      </c>
    </row>
    <row r="36" spans="1:36" x14ac:dyDescent="0.35">
      <c r="A36">
        <v>164</v>
      </c>
      <c r="B36">
        <v>165</v>
      </c>
      <c r="C36">
        <v>146.05891489999999</v>
      </c>
      <c r="D36">
        <v>-17.515871730000001</v>
      </c>
      <c r="E36">
        <v>50</v>
      </c>
      <c r="F36" t="s">
        <v>6944</v>
      </c>
      <c r="G36" s="1" t="str">
        <f t="shared" si="0"/>
        <v>165_20240610_0007_R_0485.jpg</v>
      </c>
      <c r="H36">
        <v>2</v>
      </c>
      <c r="I36" t="str">
        <f t="shared" si="1"/>
        <v/>
      </c>
      <c r="J36" s="53">
        <f>IFERROR(VLOOKUP(B36, DATA_Johnstone_2024_ALL!B:J, 8, FALSE), "")</f>
        <v>1</v>
      </c>
      <c r="K36" s="29"/>
      <c r="L36" s="30"/>
      <c r="M36" s="29"/>
      <c r="N36" s="20">
        <v>1</v>
      </c>
      <c r="O36" s="20">
        <v>3</v>
      </c>
      <c r="P36" s="49"/>
      <c r="Q36" s="20">
        <f>IF($J36=1, DATA_Johnstone_2023_50!P36, "")</f>
        <v>4</v>
      </c>
      <c r="R36" s="22"/>
      <c r="T36" s="22"/>
      <c r="W36" s="47"/>
      <c r="AI36">
        <v>33</v>
      </c>
      <c r="AJ36">
        <v>1</v>
      </c>
    </row>
    <row r="37" spans="1:36" x14ac:dyDescent="0.35">
      <c r="A37">
        <v>169</v>
      </c>
      <c r="B37">
        <v>170</v>
      </c>
      <c r="C37">
        <v>146.0589291</v>
      </c>
      <c r="D37">
        <v>-17.516342850000001</v>
      </c>
      <c r="E37">
        <v>50</v>
      </c>
      <c r="F37" t="s">
        <v>6945</v>
      </c>
      <c r="G37" s="1" t="str">
        <f t="shared" si="0"/>
        <v>170_20240610_0007_R_0468.jpg</v>
      </c>
      <c r="H37">
        <v>2</v>
      </c>
      <c r="I37" t="str">
        <f t="shared" si="1"/>
        <v/>
      </c>
      <c r="J37" s="53">
        <f>IFERROR(VLOOKUP(B37, DATA_Johnstone_2024_ALL!B:J, 8, FALSE), "")</f>
        <v>1</v>
      </c>
      <c r="K37" s="29"/>
      <c r="L37" s="30"/>
      <c r="M37" s="29"/>
      <c r="N37" s="20">
        <v>1</v>
      </c>
      <c r="O37" s="20">
        <f>IF($J37=1, DATA_Johnstone_2023_50!N37, "")</f>
        <v>4</v>
      </c>
      <c r="P37" s="49"/>
      <c r="Q37" s="20">
        <v>3</v>
      </c>
      <c r="R37" s="22"/>
      <c r="T37" s="22"/>
      <c r="W37" s="47"/>
      <c r="AI37">
        <v>34</v>
      </c>
      <c r="AJ37">
        <v>1</v>
      </c>
    </row>
    <row r="38" spans="1:36" x14ac:dyDescent="0.35">
      <c r="A38">
        <v>174</v>
      </c>
      <c r="B38">
        <v>175</v>
      </c>
      <c r="C38">
        <v>146.05898440000001</v>
      </c>
      <c r="D38">
        <v>-17.516810100000001</v>
      </c>
      <c r="E38">
        <v>50</v>
      </c>
      <c r="F38" t="s">
        <v>6946</v>
      </c>
      <c r="G38" s="1" t="str">
        <f t="shared" si="0"/>
        <v>175_20240610_0007_R_0455.jpg</v>
      </c>
      <c r="H38">
        <v>2</v>
      </c>
      <c r="I38" t="str">
        <f t="shared" si="1"/>
        <v/>
      </c>
      <c r="J38" s="53">
        <f>IFERROR(VLOOKUP(B38, DATA_Johnstone_2024_ALL!B:J, 8, FALSE), "")</f>
        <v>0</v>
      </c>
      <c r="K38" s="29"/>
      <c r="L38" s="30"/>
      <c r="M38" s="29"/>
      <c r="N38" s="20" t="str">
        <f>IF(J38=1, DATA_Johnstone_2023_50!M38, "")</f>
        <v/>
      </c>
      <c r="O38" s="20" t="str">
        <f>IF($J38=1, DATA_Johnstone_2023_50!N38, "")</f>
        <v/>
      </c>
      <c r="P38" s="49"/>
      <c r="Q38" s="20" t="str">
        <f>IF($J38=1, DATA_Johnstone_2023_50!P38, "")</f>
        <v/>
      </c>
      <c r="R38" s="22"/>
      <c r="T38" s="22"/>
      <c r="W38" s="47"/>
      <c r="AI38">
        <v>35</v>
      </c>
      <c r="AJ38">
        <v>1</v>
      </c>
    </row>
    <row r="39" spans="1:36" x14ac:dyDescent="0.35">
      <c r="A39">
        <v>179</v>
      </c>
      <c r="B39">
        <v>180</v>
      </c>
      <c r="C39">
        <v>146.05917769999999</v>
      </c>
      <c r="D39">
        <v>-17.517235670000002</v>
      </c>
      <c r="E39">
        <v>50</v>
      </c>
      <c r="F39" t="s">
        <v>6947</v>
      </c>
      <c r="G39" s="1" t="str">
        <f t="shared" si="0"/>
        <v>180_20240610_0007_R_0439.jpg</v>
      </c>
      <c r="H39">
        <v>2</v>
      </c>
      <c r="I39" t="str">
        <f t="shared" si="1"/>
        <v/>
      </c>
      <c r="J39" s="53">
        <f>IFERROR(VLOOKUP(B39, DATA_Johnstone_2024_ALL!B:J, 8, FALSE), "")</f>
        <v>0</v>
      </c>
      <c r="K39" s="29"/>
      <c r="L39" s="30"/>
      <c r="M39" s="29"/>
      <c r="N39" s="20" t="str">
        <f>IF(J39=1, DATA_Johnstone_2023_50!M39, "")</f>
        <v/>
      </c>
      <c r="O39" s="20" t="str">
        <f>IF($J39=1, DATA_Johnstone_2023_50!N39, "")</f>
        <v/>
      </c>
      <c r="P39" s="49"/>
      <c r="Q39" s="20" t="str">
        <f>IF($J39=1, DATA_Johnstone_2023_50!P39, "")</f>
        <v/>
      </c>
      <c r="R39" s="22"/>
      <c r="T39" s="22"/>
      <c r="W39" s="47"/>
      <c r="AI39">
        <v>36</v>
      </c>
      <c r="AJ39">
        <v>1</v>
      </c>
    </row>
    <row r="40" spans="1:36" x14ac:dyDescent="0.35">
      <c r="A40">
        <v>184</v>
      </c>
      <c r="B40">
        <v>185</v>
      </c>
      <c r="C40">
        <v>146.05951200000001</v>
      </c>
      <c r="D40">
        <v>-17.517542850000002</v>
      </c>
      <c r="E40">
        <v>50</v>
      </c>
      <c r="F40" t="s">
        <v>6948</v>
      </c>
      <c r="G40" s="1" t="str">
        <f t="shared" si="0"/>
        <v>185_20240610_0007_R_0419.jpg</v>
      </c>
      <c r="H40">
        <v>2</v>
      </c>
      <c r="I40" t="str">
        <f t="shared" si="1"/>
        <v/>
      </c>
      <c r="J40" s="53">
        <f>IFERROR(VLOOKUP(B40, DATA_Johnstone_2024_ALL!B:J, 8, FALSE), "")</f>
        <v>1</v>
      </c>
      <c r="K40" s="29"/>
      <c r="L40" s="30"/>
      <c r="M40" s="29"/>
      <c r="N40" s="20">
        <f>IF(J40=1, DATA_Johnstone_2023_50!M40, "")</f>
        <v>1</v>
      </c>
      <c r="O40" s="20">
        <f>IF($J40=1, DATA_Johnstone_2023_50!N40, "")</f>
        <v>4</v>
      </c>
      <c r="P40" s="49"/>
      <c r="Q40" s="20">
        <v>4</v>
      </c>
      <c r="R40" s="22"/>
      <c r="T40" s="22"/>
      <c r="W40" s="47"/>
      <c r="AI40">
        <v>37</v>
      </c>
      <c r="AJ40">
        <v>1</v>
      </c>
    </row>
    <row r="41" spans="1:36" x14ac:dyDescent="0.35">
      <c r="A41">
        <v>189</v>
      </c>
      <c r="B41">
        <v>190</v>
      </c>
      <c r="C41">
        <v>146.05996440000001</v>
      </c>
      <c r="D41">
        <v>-17.517667280000001</v>
      </c>
      <c r="E41">
        <v>50</v>
      </c>
      <c r="F41" t="s">
        <v>6949</v>
      </c>
      <c r="G41" s="1" t="str">
        <f t="shared" si="0"/>
        <v>190_20240610_0007_R_0406.jpg</v>
      </c>
      <c r="H41">
        <v>2</v>
      </c>
      <c r="I41" t="str">
        <f t="shared" si="1"/>
        <v/>
      </c>
      <c r="J41" s="53">
        <f>IFERROR(VLOOKUP(B41, DATA_Johnstone_2024_ALL!B:J, 8, FALSE), "")</f>
        <v>1</v>
      </c>
      <c r="K41" s="29"/>
      <c r="L41" s="30"/>
      <c r="M41" s="29"/>
      <c r="N41" s="20">
        <f>IF(J41=1, DATA_Johnstone_2023_50!M41, "")</f>
        <v>3</v>
      </c>
      <c r="O41" s="20">
        <v>3</v>
      </c>
      <c r="P41" s="49"/>
      <c r="Q41" s="20">
        <f>IF($J41=1, DATA_Johnstone_2023_50!P41, "")</f>
        <v>4</v>
      </c>
      <c r="R41" s="22"/>
      <c r="T41" s="22"/>
      <c r="W41" s="47"/>
      <c r="AI41">
        <v>38</v>
      </c>
      <c r="AJ41">
        <v>1</v>
      </c>
    </row>
    <row r="42" spans="1:36" x14ac:dyDescent="0.35">
      <c r="A42">
        <v>194</v>
      </c>
      <c r="B42">
        <v>195</v>
      </c>
      <c r="C42">
        <v>146.06036779999999</v>
      </c>
      <c r="D42">
        <v>-17.517908290000001</v>
      </c>
      <c r="E42">
        <v>50</v>
      </c>
      <c r="F42" t="s">
        <v>6950</v>
      </c>
      <c r="G42" s="1" t="str">
        <f t="shared" si="0"/>
        <v>195_20240610_0007_R_0390.jpg</v>
      </c>
      <c r="H42">
        <v>2</v>
      </c>
      <c r="I42" t="str">
        <f t="shared" si="1"/>
        <v/>
      </c>
      <c r="J42" s="53">
        <f>IFERROR(VLOOKUP(B42, DATA_Johnstone_2024_ALL!B:J, 8, FALSE), "")</f>
        <v>1</v>
      </c>
      <c r="K42" s="29"/>
      <c r="L42" s="30"/>
      <c r="M42" s="29"/>
      <c r="N42" s="20">
        <f>IF(J42=1, DATA_Johnstone_2023_50!M42, "")</f>
        <v>3</v>
      </c>
      <c r="O42" s="20">
        <v>4</v>
      </c>
      <c r="P42" s="49"/>
      <c r="Q42" s="20">
        <v>4</v>
      </c>
      <c r="R42" s="22"/>
      <c r="T42" s="22"/>
      <c r="W42" s="47"/>
      <c r="AI42">
        <v>39</v>
      </c>
      <c r="AJ42">
        <v>1</v>
      </c>
    </row>
    <row r="43" spans="1:36" x14ac:dyDescent="0.35">
      <c r="A43">
        <v>199</v>
      </c>
      <c r="B43">
        <v>200</v>
      </c>
      <c r="C43">
        <v>146.0606827</v>
      </c>
      <c r="D43">
        <v>-17.518258230000001</v>
      </c>
      <c r="E43">
        <v>50</v>
      </c>
      <c r="F43" t="s">
        <v>6951</v>
      </c>
      <c r="G43" s="1" t="str">
        <f t="shared" si="0"/>
        <v>200_20240610_0007_R_0373.jpg</v>
      </c>
      <c r="H43">
        <v>2</v>
      </c>
      <c r="I43" t="str">
        <f t="shared" si="1"/>
        <v/>
      </c>
      <c r="J43" s="53">
        <f>IFERROR(VLOOKUP(B43, DATA_Johnstone_2024_ALL!B:J, 8, FALSE), "")</f>
        <v>1</v>
      </c>
      <c r="K43" s="29"/>
      <c r="L43" s="30"/>
      <c r="M43" s="29"/>
      <c r="N43" s="20">
        <v>3</v>
      </c>
      <c r="O43" s="20">
        <f>IF($J43=1, DATA_Johnstone_2023_50!N43, "")</f>
        <v>3</v>
      </c>
      <c r="P43" s="49"/>
      <c r="Q43" s="20">
        <f>IF($J43=1, DATA_Johnstone_2023_50!P43, "")</f>
        <v>4</v>
      </c>
      <c r="R43" s="22"/>
      <c r="T43" s="22"/>
      <c r="W43" s="47"/>
      <c r="AI43">
        <v>40</v>
      </c>
      <c r="AJ43">
        <v>1</v>
      </c>
    </row>
    <row r="44" spans="1:36" x14ac:dyDescent="0.35">
      <c r="A44">
        <v>204</v>
      </c>
      <c r="B44">
        <v>205</v>
      </c>
      <c r="C44">
        <v>146.06107309999999</v>
      </c>
      <c r="D44">
        <v>-17.51849459</v>
      </c>
      <c r="E44">
        <v>50</v>
      </c>
      <c r="F44" t="s">
        <v>6952</v>
      </c>
      <c r="G44" s="1" t="str">
        <f t="shared" si="0"/>
        <v>205_20240610_0007_R_0360.jpg</v>
      </c>
      <c r="H44">
        <v>2</v>
      </c>
      <c r="I44" t="str">
        <f t="shared" si="1"/>
        <v/>
      </c>
      <c r="J44" s="53">
        <f>IFERROR(VLOOKUP(B44, DATA_Johnstone_2024_ALL!B:J, 8, FALSE), "")</f>
        <v>1</v>
      </c>
      <c r="K44" s="29"/>
      <c r="L44" s="30"/>
      <c r="M44" s="29"/>
      <c r="N44" s="20">
        <f>IF(J44=1, DATA_Johnstone_2023_50!M44, "")</f>
        <v>4</v>
      </c>
      <c r="O44" s="20">
        <f>IF($J44=1, DATA_Johnstone_2023_50!N44, "")</f>
        <v>4</v>
      </c>
      <c r="P44" s="49"/>
      <c r="Q44" s="20">
        <f>IF($J44=1, DATA_Johnstone_2023_50!P44, "")</f>
        <v>3</v>
      </c>
      <c r="R44" s="22"/>
      <c r="T44" s="22"/>
      <c r="W44" s="47"/>
      <c r="AI44">
        <v>41</v>
      </c>
      <c r="AJ44">
        <v>1</v>
      </c>
    </row>
    <row r="45" spans="1:36" x14ac:dyDescent="0.35">
      <c r="A45">
        <v>209</v>
      </c>
      <c r="B45">
        <v>210</v>
      </c>
      <c r="C45">
        <v>146.06128000000001</v>
      </c>
      <c r="D45">
        <v>-17.518909090000001</v>
      </c>
      <c r="E45">
        <v>50</v>
      </c>
      <c r="F45" t="s">
        <v>6953</v>
      </c>
      <c r="G45" s="1" t="str">
        <f t="shared" si="0"/>
        <v>210_20240610_0007_R_0350.jpg</v>
      </c>
      <c r="H45">
        <v>2</v>
      </c>
      <c r="I45" t="str">
        <f t="shared" si="1"/>
        <v/>
      </c>
      <c r="J45" s="53">
        <f>IFERROR(VLOOKUP(B45, DATA_Johnstone_2024_ALL!B:J, 8, FALSE), "")</f>
        <v>1</v>
      </c>
      <c r="K45" s="29"/>
      <c r="L45" s="30"/>
      <c r="M45" s="29"/>
      <c r="N45" s="20">
        <v>3</v>
      </c>
      <c r="O45" s="20">
        <f>IF($J45=1, DATA_Johnstone_2023_50!N45, "")</f>
        <v>4</v>
      </c>
      <c r="P45" s="49"/>
      <c r="Q45" s="20">
        <v>4</v>
      </c>
      <c r="R45" s="22"/>
      <c r="T45" s="22"/>
      <c r="W45" s="47"/>
      <c r="AI45">
        <v>42</v>
      </c>
      <c r="AJ45">
        <v>1</v>
      </c>
    </row>
    <row r="46" spans="1:36" x14ac:dyDescent="0.35">
      <c r="A46">
        <v>214</v>
      </c>
      <c r="B46">
        <v>215</v>
      </c>
      <c r="C46">
        <v>146.06131070000001</v>
      </c>
      <c r="D46">
        <v>-17.519377349999999</v>
      </c>
      <c r="E46">
        <v>50</v>
      </c>
      <c r="F46" t="s">
        <v>6954</v>
      </c>
      <c r="G46" s="1" t="str">
        <f t="shared" si="0"/>
        <v>215_20240610_0007_R_0327.jpg</v>
      </c>
      <c r="H46">
        <v>2</v>
      </c>
      <c r="I46" t="str">
        <f t="shared" si="1"/>
        <v/>
      </c>
      <c r="J46" s="53">
        <f>IFERROR(VLOOKUP(B46, DATA_Johnstone_2024_ALL!B:J, 8, FALSE), "")</f>
        <v>0</v>
      </c>
      <c r="K46" s="29"/>
      <c r="L46" s="30"/>
      <c r="M46" s="29"/>
      <c r="N46" s="20" t="str">
        <f>IF(J46=1, DATA_Johnstone_2023_50!M46, "")</f>
        <v/>
      </c>
      <c r="O46" s="20" t="str">
        <f>IF($J46=1, DATA_Johnstone_2023_50!N46, "")</f>
        <v/>
      </c>
      <c r="P46" s="49"/>
      <c r="Q46" s="20" t="str">
        <f>IF($J46=1, DATA_Johnstone_2023_50!P46, "")</f>
        <v/>
      </c>
      <c r="R46" s="22"/>
      <c r="T46" s="22"/>
      <c r="W46" s="47"/>
      <c r="AI46">
        <v>43</v>
      </c>
      <c r="AJ46">
        <v>1</v>
      </c>
    </row>
    <row r="47" spans="1:36" x14ac:dyDescent="0.35">
      <c r="A47">
        <v>219</v>
      </c>
      <c r="B47">
        <v>220</v>
      </c>
      <c r="C47">
        <v>146.061375</v>
      </c>
      <c r="D47">
        <v>-17.519844450000001</v>
      </c>
      <c r="E47">
        <v>50</v>
      </c>
      <c r="F47" t="s">
        <v>6955</v>
      </c>
      <c r="G47" s="1" t="str">
        <f t="shared" si="0"/>
        <v>220_20240610_0007_R_0307.jpg</v>
      </c>
      <c r="H47">
        <v>2</v>
      </c>
      <c r="I47" t="str">
        <f t="shared" si="1"/>
        <v/>
      </c>
      <c r="J47" s="53">
        <f>IFERROR(VLOOKUP(B47, DATA_Johnstone_2024_ALL!B:J, 8, FALSE), "")</f>
        <v>0</v>
      </c>
      <c r="K47" s="29"/>
      <c r="L47" s="30"/>
      <c r="M47" s="29"/>
      <c r="N47" s="20" t="str">
        <f>IF(J47=1, DATA_Johnstone_2023_50!M47, "")</f>
        <v/>
      </c>
      <c r="O47" s="20" t="str">
        <f>IF($J47=1, DATA_Johnstone_2023_50!N47, "")</f>
        <v/>
      </c>
      <c r="P47" s="49"/>
      <c r="Q47" s="20" t="str">
        <f>IF($J47=1, DATA_Johnstone_2023_50!P47, "")</f>
        <v/>
      </c>
      <c r="R47" s="22"/>
      <c r="T47" s="22"/>
      <c r="W47" s="47"/>
      <c r="AI47">
        <v>44</v>
      </c>
      <c r="AJ47">
        <v>1</v>
      </c>
    </row>
    <row r="48" spans="1:36" x14ac:dyDescent="0.35">
      <c r="A48">
        <v>224</v>
      </c>
      <c r="B48">
        <v>225</v>
      </c>
      <c r="C48">
        <v>146.06149809999999</v>
      </c>
      <c r="D48">
        <v>-17.520296009999999</v>
      </c>
      <c r="E48">
        <v>50</v>
      </c>
      <c r="F48" t="s">
        <v>6956</v>
      </c>
      <c r="G48" s="1" t="str">
        <f t="shared" si="0"/>
        <v>225_20240610_0007_R_0282.jpg</v>
      </c>
      <c r="H48">
        <v>2</v>
      </c>
      <c r="I48" t="str">
        <f t="shared" si="1"/>
        <v/>
      </c>
      <c r="J48" s="53">
        <f>IFERROR(VLOOKUP(B48, DATA_Johnstone_2024_ALL!B:J, 8, FALSE), "")</f>
        <v>1</v>
      </c>
      <c r="K48" s="29"/>
      <c r="L48" s="30"/>
      <c r="M48" s="29"/>
      <c r="N48" s="20">
        <f>IF(J48=1, DATA_Johnstone_2023_50!M48, "")</f>
        <v>4</v>
      </c>
      <c r="O48" s="20">
        <v>4</v>
      </c>
      <c r="P48" s="49"/>
      <c r="Q48" s="20">
        <f>IF($J48=1, DATA_Johnstone_2023_50!P48, "")</f>
        <v>4</v>
      </c>
      <c r="R48" s="22"/>
      <c r="T48" s="22"/>
      <c r="W48" s="47"/>
      <c r="AI48">
        <v>45</v>
      </c>
      <c r="AJ48">
        <v>1</v>
      </c>
    </row>
    <row r="49" spans="1:36" x14ac:dyDescent="0.35">
      <c r="A49">
        <v>229</v>
      </c>
      <c r="B49">
        <v>230</v>
      </c>
      <c r="C49">
        <v>146.06160840000001</v>
      </c>
      <c r="D49">
        <v>-17.520741730000001</v>
      </c>
      <c r="E49">
        <v>50</v>
      </c>
      <c r="G49" s="1" t="str">
        <f t="shared" si="0"/>
        <v/>
      </c>
      <c r="H49">
        <v>2</v>
      </c>
      <c r="I49" t="str">
        <f t="shared" si="1"/>
        <v>X</v>
      </c>
      <c r="J49" s="53" t="str">
        <f>IFERROR(VLOOKUP(B49, DATA_Johnstone_2024_ALL!B:J, 8, FALSE), "")</f>
        <v>X</v>
      </c>
      <c r="K49" s="29"/>
      <c r="L49" s="30"/>
      <c r="M49" s="29"/>
      <c r="N49" s="20" t="str">
        <f>IF(J49=1, DATA_Johnstone_2023_50!M49, "")</f>
        <v/>
      </c>
      <c r="O49" s="20" t="str">
        <f>IF($J49=1, DATA_Johnstone_2023_50!N49, "")</f>
        <v/>
      </c>
      <c r="P49" s="49"/>
      <c r="Q49" s="20" t="str">
        <f>IF($J49=1, DATA_Johnstone_2023_50!P49, "")</f>
        <v/>
      </c>
      <c r="R49" s="22"/>
      <c r="T49" s="22"/>
      <c r="W49" s="47"/>
      <c r="AI49">
        <v>46</v>
      </c>
      <c r="AJ49">
        <v>1</v>
      </c>
    </row>
    <row r="50" spans="1:36" x14ac:dyDescent="0.35">
      <c r="A50">
        <v>234</v>
      </c>
      <c r="B50">
        <v>235</v>
      </c>
      <c r="C50">
        <v>146.06148870000001</v>
      </c>
      <c r="D50">
        <v>-17.521189669999998</v>
      </c>
      <c r="E50">
        <v>50</v>
      </c>
      <c r="F50" t="s">
        <v>6957</v>
      </c>
      <c r="G50" s="1" t="str">
        <f t="shared" si="0"/>
        <v>235_20240610_0007_R_0247.jpg</v>
      </c>
      <c r="H50">
        <v>2</v>
      </c>
      <c r="I50" t="str">
        <f t="shared" si="1"/>
        <v/>
      </c>
      <c r="J50" s="53">
        <f>IFERROR(VLOOKUP(B50, DATA_Johnstone_2024_ALL!B:J, 8, FALSE), "")</f>
        <v>1</v>
      </c>
      <c r="K50" s="29"/>
      <c r="L50" s="30"/>
      <c r="M50" s="29"/>
      <c r="N50" s="20">
        <f>IF(J50=1, DATA_Johnstone_2023_50!M50, "")</f>
        <v>4</v>
      </c>
      <c r="O50" s="20">
        <f>IF($J50=1, DATA_Johnstone_2023_50!N50, "")</f>
        <v>4</v>
      </c>
      <c r="P50" s="49"/>
      <c r="Q50" s="20">
        <f>IF($J50=1, DATA_Johnstone_2023_50!P50, "")</f>
        <v>4</v>
      </c>
      <c r="R50" s="22"/>
      <c r="T50" s="22"/>
      <c r="W50" s="47"/>
      <c r="AI50">
        <v>47</v>
      </c>
      <c r="AJ50">
        <v>1</v>
      </c>
    </row>
    <row r="51" spans="1:36" x14ac:dyDescent="0.35">
      <c r="A51">
        <v>239</v>
      </c>
      <c r="B51">
        <v>240</v>
      </c>
      <c r="C51">
        <v>146.06131679999999</v>
      </c>
      <c r="D51">
        <v>-17.52161774</v>
      </c>
      <c r="E51">
        <v>50</v>
      </c>
      <c r="F51" t="s">
        <v>6958</v>
      </c>
      <c r="G51" s="1" t="str">
        <f t="shared" si="0"/>
        <v>240_20240610_0007_R_0237.jpg</v>
      </c>
      <c r="H51">
        <v>2</v>
      </c>
      <c r="I51" t="str">
        <f t="shared" si="1"/>
        <v/>
      </c>
      <c r="J51" s="53">
        <f>IFERROR(VLOOKUP(B51, DATA_Johnstone_2024_ALL!B:J, 8, FALSE), "")</f>
        <v>1</v>
      </c>
      <c r="K51" s="29"/>
      <c r="L51" s="30"/>
      <c r="M51" s="29"/>
      <c r="N51" s="20">
        <f>IF(J51=1, DATA_Johnstone_2023_50!M51, "")</f>
        <v>4</v>
      </c>
      <c r="O51" s="20">
        <f>IF($J51=1, DATA_Johnstone_2023_50!N51, "")</f>
        <v>4</v>
      </c>
      <c r="P51" s="49"/>
      <c r="Q51" s="20">
        <v>3</v>
      </c>
      <c r="R51" s="22"/>
      <c r="T51" s="22"/>
      <c r="W51" s="47"/>
      <c r="AI51">
        <v>48</v>
      </c>
      <c r="AJ51">
        <v>1</v>
      </c>
    </row>
    <row r="52" spans="1:36" x14ac:dyDescent="0.35">
      <c r="A52">
        <v>244</v>
      </c>
      <c r="B52">
        <v>245</v>
      </c>
      <c r="C52">
        <v>146.0610145</v>
      </c>
      <c r="D52">
        <v>-17.521979609999999</v>
      </c>
      <c r="E52">
        <v>50</v>
      </c>
      <c r="F52" t="s">
        <v>6959</v>
      </c>
      <c r="G52" s="1" t="str">
        <f t="shared" si="0"/>
        <v>245_20240610_0007_R_0206.jpg</v>
      </c>
      <c r="H52">
        <v>2</v>
      </c>
      <c r="I52" t="str">
        <f t="shared" si="1"/>
        <v/>
      </c>
      <c r="J52" s="53">
        <f>IFERROR(VLOOKUP(B52, DATA_Johnstone_2024_ALL!B:J, 8, FALSE), "")</f>
        <v>1</v>
      </c>
      <c r="K52" s="29"/>
      <c r="L52" s="30"/>
      <c r="M52" s="29"/>
      <c r="N52" s="20">
        <v>1</v>
      </c>
      <c r="O52" s="20">
        <v>2</v>
      </c>
      <c r="P52" s="49"/>
      <c r="Q52" s="20">
        <v>3</v>
      </c>
      <c r="R52" s="22"/>
      <c r="T52" s="22"/>
      <c r="W52" s="47"/>
      <c r="AI52">
        <v>49</v>
      </c>
      <c r="AJ52">
        <v>1</v>
      </c>
    </row>
    <row r="53" spans="1:36" x14ac:dyDescent="0.35">
      <c r="A53">
        <v>249</v>
      </c>
      <c r="B53">
        <v>250</v>
      </c>
      <c r="C53">
        <v>146.06073069999999</v>
      </c>
      <c r="D53">
        <v>-17.522355560000001</v>
      </c>
      <c r="E53">
        <v>50</v>
      </c>
      <c r="F53" t="s">
        <v>6960</v>
      </c>
      <c r="G53" s="1" t="str">
        <f t="shared" si="0"/>
        <v>250_20240610_0007_R_0183.jpg</v>
      </c>
      <c r="H53">
        <v>2</v>
      </c>
      <c r="I53" t="str">
        <f t="shared" si="1"/>
        <v/>
      </c>
      <c r="J53" s="53">
        <f>IFERROR(VLOOKUP(B53, DATA_Johnstone_2024_ALL!B:J, 8, FALSE), "")</f>
        <v>1</v>
      </c>
      <c r="K53" s="29"/>
      <c r="L53" s="30"/>
      <c r="M53" s="29"/>
      <c r="N53" s="20">
        <f>IF(J53=1, DATA_Johnstone_2023_50!M53, "")</f>
        <v>4</v>
      </c>
      <c r="O53" s="20">
        <f>IF($J53=1, DATA_Johnstone_2023_50!N53, "")</f>
        <v>4</v>
      </c>
      <c r="P53" s="49"/>
      <c r="Q53" s="20">
        <f>IF($J53=1, DATA_Johnstone_2023_50!P53, "")</f>
        <v>4</v>
      </c>
      <c r="R53" s="22"/>
      <c r="T53" s="22"/>
      <c r="W53" s="47"/>
      <c r="AI53">
        <v>50</v>
      </c>
      <c r="AJ53">
        <v>1</v>
      </c>
    </row>
    <row r="54" spans="1:36" x14ac:dyDescent="0.35">
      <c r="A54">
        <v>254</v>
      </c>
      <c r="B54">
        <v>255</v>
      </c>
      <c r="C54">
        <v>146.06041310000001</v>
      </c>
      <c r="D54">
        <v>-17.52270167</v>
      </c>
      <c r="E54">
        <v>50</v>
      </c>
      <c r="F54" t="s">
        <v>6961</v>
      </c>
      <c r="G54" s="1" t="str">
        <f t="shared" si="0"/>
        <v>255_20240610_0007_R_0165.jpg</v>
      </c>
      <c r="H54">
        <v>2</v>
      </c>
      <c r="I54" t="str">
        <f t="shared" si="1"/>
        <v/>
      </c>
      <c r="J54" s="53">
        <f>IFERROR(VLOOKUP(B54, DATA_Johnstone_2024_ALL!B:J, 8, FALSE), "")</f>
        <v>1</v>
      </c>
      <c r="K54" s="29"/>
      <c r="L54" s="30"/>
      <c r="M54" s="29"/>
      <c r="N54" s="20">
        <f>IF(J54=1, DATA_Johnstone_2023_50!M54, "")</f>
        <v>4</v>
      </c>
      <c r="O54" s="20">
        <f>IF($J54=1, DATA_Johnstone_2023_50!N54, "")</f>
        <v>4</v>
      </c>
      <c r="P54" s="49"/>
      <c r="Q54" s="20">
        <f>IF($J54=1, DATA_Johnstone_2023_50!P54, "")</f>
        <v>4</v>
      </c>
      <c r="R54" s="22"/>
      <c r="T54" s="22"/>
      <c r="W54" s="47"/>
      <c r="AI54">
        <v>51</v>
      </c>
      <c r="AJ54">
        <v>1</v>
      </c>
    </row>
    <row r="55" spans="1:36" x14ac:dyDescent="0.35">
      <c r="A55">
        <v>259</v>
      </c>
      <c r="B55">
        <v>260</v>
      </c>
      <c r="C55">
        <v>146.06004830000001</v>
      </c>
      <c r="D55">
        <v>-17.523000280000002</v>
      </c>
      <c r="E55">
        <v>50</v>
      </c>
      <c r="F55" t="s">
        <v>6962</v>
      </c>
      <c r="G55" s="1" t="str">
        <f t="shared" si="0"/>
        <v>260_20240610_0007_R_0144.jpg</v>
      </c>
      <c r="H55">
        <v>2</v>
      </c>
      <c r="I55" t="str">
        <f t="shared" si="1"/>
        <v/>
      </c>
      <c r="J55" s="53">
        <f>IFERROR(VLOOKUP(B55, DATA_Johnstone_2024_ALL!B:J, 8, FALSE), "")</f>
        <v>1</v>
      </c>
      <c r="K55" s="29"/>
      <c r="L55" s="30"/>
      <c r="M55" s="29"/>
      <c r="N55" s="20">
        <f>IF(J55=1, DATA_Johnstone_2023_50!M55, "")</f>
        <v>4</v>
      </c>
      <c r="O55" s="20">
        <f>IF($J55=1, DATA_Johnstone_2023_50!N55, "")</f>
        <v>4</v>
      </c>
      <c r="P55" s="49"/>
      <c r="Q55" s="20">
        <f>IF($J55=1, DATA_Johnstone_2023_50!P55, "")</f>
        <v>3</v>
      </c>
      <c r="R55" s="22"/>
      <c r="T55" s="22"/>
      <c r="W55" s="47"/>
      <c r="AI55">
        <v>52</v>
      </c>
      <c r="AJ55">
        <v>1</v>
      </c>
    </row>
    <row r="56" spans="1:36" x14ac:dyDescent="0.35">
      <c r="A56">
        <v>264</v>
      </c>
      <c r="B56">
        <v>265</v>
      </c>
      <c r="C56">
        <v>146.05967699999999</v>
      </c>
      <c r="D56">
        <v>-17.52329005</v>
      </c>
      <c r="E56">
        <v>50</v>
      </c>
      <c r="F56" t="s">
        <v>6963</v>
      </c>
      <c r="G56" s="1" t="str">
        <f t="shared" si="0"/>
        <v>265_20240610_0007_R_0122.jpg</v>
      </c>
      <c r="H56">
        <v>2</v>
      </c>
      <c r="I56" t="str">
        <f t="shared" si="1"/>
        <v/>
      </c>
      <c r="J56" s="53">
        <f>IFERROR(VLOOKUP(B56, DATA_Johnstone_2024_ALL!B:J, 8, FALSE), "")</f>
        <v>1</v>
      </c>
      <c r="K56" s="29"/>
      <c r="L56" s="30"/>
      <c r="M56" s="29"/>
      <c r="N56" s="20">
        <f>IF(J56=1, DATA_Johnstone_2023_50!M56, "")</f>
        <v>4</v>
      </c>
      <c r="O56" s="20">
        <f>IF($J56=1, DATA_Johnstone_2023_50!N56, "")</f>
        <v>3</v>
      </c>
      <c r="P56" s="49"/>
      <c r="Q56" s="20">
        <f>IF($J56=1, DATA_Johnstone_2023_50!P56, "")</f>
        <v>4</v>
      </c>
      <c r="R56" s="22"/>
      <c r="T56" s="22"/>
      <c r="W56" s="47"/>
      <c r="AI56">
        <v>53</v>
      </c>
      <c r="AJ56">
        <v>1</v>
      </c>
    </row>
    <row r="57" spans="1:36" x14ac:dyDescent="0.35">
      <c r="A57">
        <v>269</v>
      </c>
      <c r="B57">
        <v>270</v>
      </c>
      <c r="C57">
        <v>146.05931849999999</v>
      </c>
      <c r="D57">
        <v>-17.52359551</v>
      </c>
      <c r="E57">
        <v>50</v>
      </c>
      <c r="F57" t="s">
        <v>6964</v>
      </c>
      <c r="G57" s="1" t="str">
        <f t="shared" si="0"/>
        <v>270_20240610_0007_R_0094.jpg</v>
      </c>
      <c r="H57">
        <v>2</v>
      </c>
      <c r="I57" t="str">
        <f t="shared" si="1"/>
        <v/>
      </c>
      <c r="J57" s="53">
        <f>IFERROR(VLOOKUP(B57, DATA_Johnstone_2024_ALL!B:J, 8, FALSE), "")</f>
        <v>1</v>
      </c>
      <c r="K57" s="29"/>
      <c r="L57" s="30"/>
      <c r="M57" s="29"/>
      <c r="N57" s="20">
        <f>IF(J57=1, DATA_Johnstone_2023_50!M57, "")</f>
        <v>4</v>
      </c>
      <c r="O57" s="20">
        <f>IF($J57=1, DATA_Johnstone_2023_50!N57, "")</f>
        <v>4</v>
      </c>
      <c r="P57" s="49"/>
      <c r="Q57" s="20">
        <f>IF($J57=1, DATA_Johnstone_2023_50!P57, "")</f>
        <v>4</v>
      </c>
      <c r="R57" s="22"/>
      <c r="T57" s="22"/>
      <c r="W57" s="47"/>
      <c r="AI57">
        <v>54</v>
      </c>
      <c r="AJ57">
        <v>1</v>
      </c>
    </row>
    <row r="58" spans="1:36" x14ac:dyDescent="0.35">
      <c r="A58">
        <v>274</v>
      </c>
      <c r="B58">
        <v>275</v>
      </c>
      <c r="C58">
        <v>146.0589616</v>
      </c>
      <c r="D58">
        <v>-17.523903659999998</v>
      </c>
      <c r="E58">
        <v>50</v>
      </c>
      <c r="F58" t="s">
        <v>6965</v>
      </c>
      <c r="G58" s="1" t="str">
        <f t="shared" si="0"/>
        <v>275_20240610_0007_R_0039.jpg</v>
      </c>
      <c r="H58">
        <v>2</v>
      </c>
      <c r="I58" t="str">
        <f t="shared" si="1"/>
        <v/>
      </c>
      <c r="J58" s="53">
        <f>IFERROR(VLOOKUP(B58, DATA_Johnstone_2024_ALL!B:J, 8, FALSE), "")</f>
        <v>1</v>
      </c>
      <c r="K58" s="29"/>
      <c r="L58" s="30"/>
      <c r="M58" s="29"/>
      <c r="N58" s="20">
        <f>IF(J58=1, DATA_Johnstone_2023_50!M58, "")</f>
        <v>4</v>
      </c>
      <c r="O58" s="20">
        <f>IF($J58=1, DATA_Johnstone_2023_50!N58, "")</f>
        <v>4</v>
      </c>
      <c r="P58" s="49"/>
      <c r="Q58" s="20">
        <f>IF($J58=1, DATA_Johnstone_2023_50!P58, "")</f>
        <v>4</v>
      </c>
      <c r="R58" s="22"/>
      <c r="T58" s="22"/>
      <c r="W58" s="47"/>
      <c r="AI58">
        <v>55</v>
      </c>
      <c r="AJ58">
        <v>1</v>
      </c>
    </row>
    <row r="59" spans="1:36" x14ac:dyDescent="0.35">
      <c r="A59">
        <v>279</v>
      </c>
      <c r="B59">
        <v>280</v>
      </c>
      <c r="C59">
        <v>146.0585897</v>
      </c>
      <c r="D59">
        <v>-17.52419261</v>
      </c>
      <c r="E59">
        <v>50</v>
      </c>
      <c r="F59" t="s">
        <v>6966</v>
      </c>
      <c r="G59" s="1" t="str">
        <f t="shared" si="0"/>
        <v>280_20240610_0006_L_0008.jpg</v>
      </c>
      <c r="H59">
        <v>2</v>
      </c>
      <c r="I59" t="str">
        <f t="shared" si="1"/>
        <v/>
      </c>
      <c r="J59" s="53">
        <f>IFERROR(VLOOKUP(B59, DATA_Johnstone_2024_ALL!B:J, 8, FALSE), "")</f>
        <v>1</v>
      </c>
      <c r="K59" s="29"/>
      <c r="L59" s="30"/>
      <c r="M59" s="29"/>
      <c r="N59" s="20">
        <f>IF(J59=1, DATA_Johnstone_2023_50!M59, "")</f>
        <v>4</v>
      </c>
      <c r="O59" s="20">
        <f>IF($J59=1, DATA_Johnstone_2023_50!N59, "")</f>
        <v>4</v>
      </c>
      <c r="P59" s="49"/>
      <c r="Q59" s="20">
        <f>IF($J59=1, DATA_Johnstone_2023_50!P59, "")</f>
        <v>4</v>
      </c>
      <c r="R59" s="22"/>
      <c r="T59" s="22"/>
      <c r="W59" s="47"/>
      <c r="AI59">
        <v>56</v>
      </c>
      <c r="AJ59">
        <v>1</v>
      </c>
    </row>
    <row r="60" spans="1:36" hidden="1" x14ac:dyDescent="0.35">
      <c r="A60">
        <v>284</v>
      </c>
      <c r="B60">
        <v>285</v>
      </c>
      <c r="C60">
        <v>146.05846170000001</v>
      </c>
      <c r="D60">
        <v>-17.524566709999998</v>
      </c>
      <c r="E60">
        <v>50</v>
      </c>
      <c r="F60" t="s">
        <v>6967</v>
      </c>
      <c r="G60" s="1" t="str">
        <f t="shared" si="0"/>
        <v>285_20240610_0006_L_0025.jpg</v>
      </c>
      <c r="H60">
        <v>100</v>
      </c>
      <c r="I60" t="str">
        <f t="shared" si="1"/>
        <v/>
      </c>
      <c r="J60" s="53">
        <f>IFERROR(VLOOKUP(B60, DATA_Johnstone_2024_ALL!B:J, 8, FALSE), "")</f>
        <v>1</v>
      </c>
      <c r="K60" s="29"/>
      <c r="L60" s="30"/>
      <c r="M60" s="29"/>
      <c r="N60" s="20">
        <f>IF(J60=1, DATA_Johnstone_2023_50!M60, "")</f>
        <v>4</v>
      </c>
      <c r="O60" s="20">
        <f>IF($J60=1, DATA_Johnstone_2023_50!N60, "")</f>
        <v>4</v>
      </c>
      <c r="P60" s="49"/>
      <c r="Q60" s="20">
        <f>IF($J60=1, DATA_Johnstone_2023_50!P60, "")</f>
        <v>4</v>
      </c>
      <c r="R60" s="22"/>
      <c r="T60" s="22"/>
      <c r="W60" s="47"/>
      <c r="AI60">
        <v>57</v>
      </c>
      <c r="AJ60">
        <v>1</v>
      </c>
    </row>
    <row r="61" spans="1:36" hidden="1" x14ac:dyDescent="0.35">
      <c r="A61">
        <v>289</v>
      </c>
      <c r="B61">
        <v>290</v>
      </c>
      <c r="C61">
        <v>146.05884950000001</v>
      </c>
      <c r="D61">
        <v>-17.524832620000002</v>
      </c>
      <c r="E61">
        <v>50</v>
      </c>
      <c r="F61" t="s">
        <v>6968</v>
      </c>
      <c r="G61" s="1" t="str">
        <f t="shared" si="0"/>
        <v>290_20240610_0006_L_0051.jpg</v>
      </c>
      <c r="H61">
        <v>100</v>
      </c>
      <c r="I61" t="str">
        <f t="shared" si="1"/>
        <v/>
      </c>
      <c r="J61" s="53">
        <f>IFERROR(VLOOKUP(B61, DATA_Johnstone_2024_ALL!B:J, 8, FALSE), "")</f>
        <v>1</v>
      </c>
      <c r="K61" s="29"/>
      <c r="L61" s="30"/>
      <c r="M61" s="29"/>
      <c r="N61" s="20">
        <f>IF(J61=1, DATA_Johnstone_2023_50!M61, "")</f>
        <v>4</v>
      </c>
      <c r="O61" s="20">
        <f>IF($J61=1, DATA_Johnstone_2023_50!N61, "")</f>
        <v>4</v>
      </c>
      <c r="P61" s="49"/>
      <c r="Q61" s="20">
        <f>IF($J61=1, DATA_Johnstone_2023_50!P61, "")</f>
        <v>4</v>
      </c>
      <c r="R61" s="22"/>
      <c r="T61" s="22"/>
      <c r="W61" s="47"/>
      <c r="AI61">
        <v>58</v>
      </c>
      <c r="AJ61">
        <v>1</v>
      </c>
    </row>
    <row r="62" spans="1:36" hidden="1" x14ac:dyDescent="0.35">
      <c r="A62">
        <v>294</v>
      </c>
      <c r="B62">
        <v>295</v>
      </c>
      <c r="C62">
        <v>146.05925329999999</v>
      </c>
      <c r="D62">
        <v>-17.52507598</v>
      </c>
      <c r="E62">
        <v>50</v>
      </c>
      <c r="F62" t="s">
        <v>6969</v>
      </c>
      <c r="G62" s="1" t="str">
        <f t="shared" si="0"/>
        <v>295_20240610_0006_L_0074.jpg</v>
      </c>
      <c r="H62">
        <v>100</v>
      </c>
      <c r="I62" t="str">
        <f t="shared" si="1"/>
        <v/>
      </c>
      <c r="J62" s="53">
        <f>IFERROR(VLOOKUP(B62, DATA_Johnstone_2024_ALL!B:J, 8, FALSE), "")</f>
        <v>1</v>
      </c>
      <c r="K62" s="29"/>
      <c r="L62" s="30"/>
      <c r="M62" s="29"/>
      <c r="N62" s="20">
        <f>IF(J62=1, DATA_Johnstone_2023_50!M62, "")</f>
        <v>4</v>
      </c>
      <c r="O62" s="20">
        <f>IF($J62=1, DATA_Johnstone_2023_50!N62, "")</f>
        <v>4</v>
      </c>
      <c r="P62" s="49"/>
      <c r="Q62" s="20">
        <f>IF($J62=1, DATA_Johnstone_2023_50!P62, "")</f>
        <v>4</v>
      </c>
      <c r="R62" s="22"/>
      <c r="T62" s="22"/>
      <c r="W62" s="47"/>
      <c r="AI62">
        <v>59</v>
      </c>
      <c r="AJ62">
        <v>1</v>
      </c>
    </row>
    <row r="63" spans="1:36" hidden="1" x14ac:dyDescent="0.35">
      <c r="A63">
        <v>299</v>
      </c>
      <c r="B63">
        <v>300</v>
      </c>
      <c r="C63">
        <v>146.05965639999999</v>
      </c>
      <c r="D63">
        <v>-17.525320610000001</v>
      </c>
      <c r="E63">
        <v>50</v>
      </c>
      <c r="F63" t="s">
        <v>6970</v>
      </c>
      <c r="G63" s="1" t="str">
        <f t="shared" si="0"/>
        <v>300_20240610_0006_L_0094.jpg</v>
      </c>
      <c r="H63">
        <v>100</v>
      </c>
      <c r="I63" t="str">
        <f t="shared" si="1"/>
        <v/>
      </c>
      <c r="J63" s="53">
        <f>IFERROR(VLOOKUP(B63, DATA_Johnstone_2024_ALL!B:J, 8, FALSE), "")</f>
        <v>1</v>
      </c>
      <c r="K63" s="29"/>
      <c r="L63" s="30"/>
      <c r="M63" s="29"/>
      <c r="N63" s="20">
        <f>IF(J63=1, DATA_Johnstone_2023_50!M63, "")</f>
        <v>4</v>
      </c>
      <c r="O63" s="20">
        <f>IF($J63=1, DATA_Johnstone_2023_50!N63, "")</f>
        <v>4</v>
      </c>
      <c r="P63" s="49"/>
      <c r="Q63" s="20">
        <f>IF($J63=1, DATA_Johnstone_2023_50!P63, "")</f>
        <v>3</v>
      </c>
      <c r="R63" s="22"/>
      <c r="T63" s="22"/>
      <c r="W63" s="47"/>
      <c r="AI63">
        <v>60</v>
      </c>
      <c r="AJ63">
        <v>1</v>
      </c>
    </row>
    <row r="64" spans="1:36" hidden="1" x14ac:dyDescent="0.35">
      <c r="A64">
        <v>304</v>
      </c>
      <c r="B64">
        <v>305</v>
      </c>
      <c r="C64">
        <v>146.06004540000001</v>
      </c>
      <c r="D64">
        <v>-17.525585939999999</v>
      </c>
      <c r="E64">
        <v>50</v>
      </c>
      <c r="F64" t="s">
        <v>6971</v>
      </c>
      <c r="G64" s="1" t="str">
        <f t="shared" si="0"/>
        <v>305_20240610_0006_L_0115.jpg</v>
      </c>
      <c r="H64">
        <v>100</v>
      </c>
      <c r="I64" t="str">
        <f t="shared" si="1"/>
        <v/>
      </c>
      <c r="J64" s="53">
        <f>IFERROR(VLOOKUP(B64, DATA_Johnstone_2024_ALL!B:J, 8, FALSE), "")</f>
        <v>1</v>
      </c>
      <c r="K64" s="29"/>
      <c r="L64" s="30"/>
      <c r="M64" s="29"/>
      <c r="N64" s="20">
        <f>IF(J64=1, DATA_Johnstone_2023_50!M64, "")</f>
        <v>4</v>
      </c>
      <c r="O64" s="20">
        <f>IF($J64=1, DATA_Johnstone_2023_50!N64, "")</f>
        <v>4</v>
      </c>
      <c r="P64" s="49"/>
      <c r="Q64" s="20">
        <f>IF($J64=1, DATA_Johnstone_2023_50!P64, "")</f>
        <v>4</v>
      </c>
      <c r="R64" s="22"/>
      <c r="T64" s="22"/>
      <c r="W64" s="47"/>
      <c r="AI64">
        <v>61</v>
      </c>
      <c r="AJ64">
        <v>1</v>
      </c>
    </row>
    <row r="65" spans="1:36" hidden="1" x14ac:dyDescent="0.35">
      <c r="A65">
        <v>309</v>
      </c>
      <c r="B65">
        <v>310</v>
      </c>
      <c r="C65">
        <v>146.06041239999999</v>
      </c>
      <c r="D65">
        <v>-17.525880770000001</v>
      </c>
      <c r="E65">
        <v>50</v>
      </c>
      <c r="F65" t="s">
        <v>6972</v>
      </c>
      <c r="G65" s="1" t="str">
        <f t="shared" si="0"/>
        <v>310_20240610_0006_L_0129.jpg</v>
      </c>
      <c r="H65">
        <v>100</v>
      </c>
      <c r="I65" t="str">
        <f t="shared" si="1"/>
        <v/>
      </c>
      <c r="J65" s="53">
        <f>IFERROR(VLOOKUP(B65, DATA_Johnstone_2024_ALL!B:J, 8, FALSE), "")</f>
        <v>1</v>
      </c>
      <c r="K65" s="29"/>
      <c r="L65" s="30"/>
      <c r="M65" s="29"/>
      <c r="N65" s="20">
        <f>IF(J65=1, DATA_Johnstone_2023_50!M65, "")</f>
        <v>2</v>
      </c>
      <c r="O65" s="20">
        <f>IF($J65=1, DATA_Johnstone_2023_50!N65, "")</f>
        <v>4</v>
      </c>
      <c r="P65" s="49"/>
      <c r="Q65" s="20">
        <f>IF($J65=1, DATA_Johnstone_2023_50!P65, "")</f>
        <v>4</v>
      </c>
      <c r="R65" s="22"/>
      <c r="T65" s="22"/>
      <c r="W65" s="47"/>
      <c r="AI65">
        <v>62</v>
      </c>
      <c r="AJ65">
        <v>1</v>
      </c>
    </row>
    <row r="66" spans="1:36" hidden="1" x14ac:dyDescent="0.35">
      <c r="A66">
        <v>314</v>
      </c>
      <c r="B66">
        <v>315</v>
      </c>
      <c r="C66">
        <v>146.06072750000001</v>
      </c>
      <c r="D66">
        <v>-17.526231070000001</v>
      </c>
      <c r="E66">
        <v>50</v>
      </c>
      <c r="F66" t="s">
        <v>6973</v>
      </c>
      <c r="G66" s="1" t="str">
        <f t="shared" si="0"/>
        <v>315_20240610_0006_L_0148.jpg</v>
      </c>
      <c r="H66">
        <v>100</v>
      </c>
      <c r="I66" t="str">
        <f t="shared" si="1"/>
        <v/>
      </c>
      <c r="J66" s="53">
        <f>IFERROR(VLOOKUP(B66, DATA_Johnstone_2024_ALL!B:J, 8, FALSE), "")</f>
        <v>0</v>
      </c>
      <c r="K66" s="29"/>
      <c r="L66" s="30"/>
      <c r="M66" s="29"/>
      <c r="N66" s="20" t="str">
        <f>IF(J66=1, DATA_Johnstone_2023_50!M66, "")</f>
        <v/>
      </c>
      <c r="O66" s="20" t="str">
        <f>IF($J66=1, DATA_Johnstone_2023_50!N66, "")</f>
        <v/>
      </c>
      <c r="P66" s="49"/>
      <c r="Q66" s="20" t="str">
        <f>IF($J66=1, DATA_Johnstone_2023_50!P66, "")</f>
        <v/>
      </c>
      <c r="R66" s="22"/>
      <c r="T66" s="22"/>
      <c r="W66" s="47"/>
      <c r="AI66">
        <v>63</v>
      </c>
      <c r="AJ66">
        <v>1</v>
      </c>
    </row>
    <row r="67" spans="1:36" hidden="1" x14ac:dyDescent="0.35">
      <c r="A67">
        <v>319</v>
      </c>
      <c r="B67">
        <v>320</v>
      </c>
      <c r="C67">
        <v>146.0610045</v>
      </c>
      <c r="D67">
        <v>-17.526611970000001</v>
      </c>
      <c r="E67">
        <v>50</v>
      </c>
      <c r="F67" t="s">
        <v>6974</v>
      </c>
      <c r="G67" s="1" t="str">
        <f t="shared" si="0"/>
        <v>320_20240610_0006_L_0165.jpg</v>
      </c>
      <c r="H67">
        <v>100</v>
      </c>
      <c r="I67" t="str">
        <f t="shared" si="1"/>
        <v/>
      </c>
      <c r="J67" s="53">
        <f>IFERROR(VLOOKUP(B67, DATA_Johnstone_2024_ALL!B:J, 8, FALSE), "")</f>
        <v>0</v>
      </c>
      <c r="K67" s="29"/>
      <c r="L67" s="30"/>
      <c r="M67" s="29"/>
      <c r="N67" s="20" t="str">
        <f>IF(J67=1, DATA_Johnstone_2023_50!M67, "")</f>
        <v/>
      </c>
      <c r="O67" s="20" t="str">
        <f>IF($J67=1, DATA_Johnstone_2023_50!N67, "")</f>
        <v/>
      </c>
      <c r="P67" s="49"/>
      <c r="Q67" s="20" t="str">
        <f>IF($J67=1, DATA_Johnstone_2023_50!P67, "")</f>
        <v/>
      </c>
      <c r="R67" s="22"/>
      <c r="T67" s="22"/>
      <c r="W67" s="47"/>
      <c r="AI67">
        <v>64</v>
      </c>
      <c r="AJ67">
        <v>1</v>
      </c>
    </row>
    <row r="68" spans="1:36" hidden="1" x14ac:dyDescent="0.35">
      <c r="A68">
        <v>324</v>
      </c>
      <c r="B68">
        <v>325</v>
      </c>
      <c r="C68">
        <v>146.06120110000001</v>
      </c>
      <c r="D68">
        <v>-17.52703854</v>
      </c>
      <c r="E68">
        <v>50</v>
      </c>
      <c r="F68" t="s">
        <v>6975</v>
      </c>
      <c r="G68" s="1" t="str">
        <f t="shared" si="0"/>
        <v>325_20240610_0006_L_0183.jpg</v>
      </c>
      <c r="H68">
        <v>100</v>
      </c>
      <c r="I68" t="str">
        <f t="shared" si="1"/>
        <v/>
      </c>
      <c r="J68" s="53">
        <f>IFERROR(VLOOKUP(B68, DATA_Johnstone_2024_ALL!B:J, 8, FALSE), "")</f>
        <v>1</v>
      </c>
      <c r="K68" s="29"/>
      <c r="L68" s="30"/>
      <c r="M68" s="29"/>
      <c r="N68" s="20">
        <f>IF(J68=1, DATA_Johnstone_2023_50!M68, "")</f>
        <v>3</v>
      </c>
      <c r="O68" s="20">
        <f>IF($J68=1, DATA_Johnstone_2023_50!N68, "")</f>
        <v>2</v>
      </c>
      <c r="P68" s="49"/>
      <c r="Q68" s="20">
        <f>IF($J68=1, DATA_Johnstone_2023_50!P68, "")</f>
        <v>4</v>
      </c>
      <c r="R68" s="22"/>
      <c r="T68" s="22"/>
      <c r="W68" s="47"/>
      <c r="AI68">
        <v>65</v>
      </c>
      <c r="AJ68">
        <v>1</v>
      </c>
    </row>
    <row r="69" spans="1:36" hidden="1" x14ac:dyDescent="0.35">
      <c r="A69">
        <v>329</v>
      </c>
      <c r="B69">
        <v>330</v>
      </c>
      <c r="C69">
        <v>146.06157350000001</v>
      </c>
      <c r="D69">
        <v>-17.527317790000001</v>
      </c>
      <c r="E69">
        <v>50</v>
      </c>
      <c r="F69" t="s">
        <v>6976</v>
      </c>
      <c r="G69" s="1" t="str">
        <f t="shared" ref="G69:G132" si="2">IF(F69="", "", HYPERLINK("E:\Data From Lucan\2024\Johnstone\Frames_for_Analysis_50\" &amp; F69, F69))</f>
        <v>330_20240610_0006_L_0199.jpg</v>
      </c>
      <c r="H69">
        <v>100</v>
      </c>
      <c r="I69" t="str">
        <f t="shared" ref="I69:I132" si="3">IF(G69="","X","")</f>
        <v/>
      </c>
      <c r="J69" s="53">
        <f>IFERROR(VLOOKUP(B69, DATA_Johnstone_2024_ALL!B:J, 8, FALSE), "")</f>
        <v>1</v>
      </c>
      <c r="K69" s="29"/>
      <c r="L69" s="30"/>
      <c r="M69" s="29"/>
      <c r="N69" s="20">
        <f>IF(J69=1, DATA_Johnstone_2023_50!M69, "")</f>
        <v>0</v>
      </c>
      <c r="O69" s="20">
        <f>IF($J69=1, DATA_Johnstone_2023_50!N69, "")</f>
        <v>0</v>
      </c>
      <c r="P69" s="49"/>
      <c r="Q69" s="20">
        <f>IF($J69=1, DATA_Johnstone_2023_50!P69, "")</f>
        <v>0</v>
      </c>
      <c r="R69" s="22"/>
      <c r="T69" s="22"/>
      <c r="W69" s="47"/>
      <c r="AI69">
        <v>66</v>
      </c>
      <c r="AJ69">
        <v>1</v>
      </c>
    </row>
    <row r="70" spans="1:36" hidden="1" x14ac:dyDescent="0.35">
      <c r="A70">
        <v>334</v>
      </c>
      <c r="B70">
        <v>335</v>
      </c>
      <c r="C70">
        <v>146.06184160000001</v>
      </c>
      <c r="D70">
        <v>-17.527684959999998</v>
      </c>
      <c r="E70">
        <v>50</v>
      </c>
      <c r="F70" t="s">
        <v>6977</v>
      </c>
      <c r="G70" s="1" t="str">
        <f t="shared" si="2"/>
        <v>335_20240610_0006_L_0211.jpg</v>
      </c>
      <c r="H70">
        <v>100</v>
      </c>
      <c r="I70" t="str">
        <f t="shared" si="3"/>
        <v/>
      </c>
      <c r="J70" s="53">
        <f>IFERROR(VLOOKUP(B70, DATA_Johnstone_2024_ALL!B:J, 8, FALSE), "")</f>
        <v>0</v>
      </c>
      <c r="K70" s="29"/>
      <c r="L70" s="30"/>
      <c r="M70" s="29"/>
      <c r="N70" s="20" t="str">
        <f>IF(J70=1, DATA_Johnstone_2023_50!M70, "")</f>
        <v/>
      </c>
      <c r="O70" s="20" t="str">
        <f>IF($J70=1, DATA_Johnstone_2023_50!N70, "")</f>
        <v/>
      </c>
      <c r="P70" s="49"/>
      <c r="Q70" s="20" t="str">
        <f>IF($J70=1, DATA_Johnstone_2023_50!P70, "")</f>
        <v/>
      </c>
      <c r="R70" s="22"/>
      <c r="T70" s="22"/>
      <c r="W70" s="47"/>
      <c r="AI70">
        <v>67</v>
      </c>
      <c r="AJ70">
        <v>1</v>
      </c>
    </row>
    <row r="71" spans="1:36" hidden="1" x14ac:dyDescent="0.35">
      <c r="A71">
        <v>339</v>
      </c>
      <c r="B71">
        <v>340</v>
      </c>
      <c r="C71">
        <v>146.06190040000001</v>
      </c>
      <c r="D71">
        <v>-17.528151300000001</v>
      </c>
      <c r="E71">
        <v>50</v>
      </c>
      <c r="F71" t="s">
        <v>6978</v>
      </c>
      <c r="G71" s="1" t="str">
        <f t="shared" si="2"/>
        <v>340_20240610_0006_L_0222.jpg</v>
      </c>
      <c r="H71">
        <v>100</v>
      </c>
      <c r="I71" t="str">
        <f t="shared" si="3"/>
        <v/>
      </c>
      <c r="J71" s="53">
        <f>IFERROR(VLOOKUP(B71, DATA_Johnstone_2024_ALL!B:J, 8, FALSE), "")</f>
        <v>1</v>
      </c>
      <c r="K71" s="29"/>
      <c r="L71" s="30"/>
      <c r="M71" s="29"/>
      <c r="N71" s="20">
        <f>IF(J71=1, DATA_Johnstone_2023_50!M71, "")</f>
        <v>4</v>
      </c>
      <c r="O71" s="20">
        <f>IF($J71=1, DATA_Johnstone_2023_50!N71, "")</f>
        <v>4</v>
      </c>
      <c r="P71" s="49"/>
      <c r="Q71" s="20">
        <f>IF($J71=1, DATA_Johnstone_2023_50!P71, "")</f>
        <v>4</v>
      </c>
      <c r="R71" s="22"/>
      <c r="T71" s="22"/>
      <c r="W71" s="47"/>
      <c r="AI71">
        <v>68</v>
      </c>
      <c r="AJ71">
        <v>1</v>
      </c>
    </row>
    <row r="72" spans="1:36" hidden="1" x14ac:dyDescent="0.35">
      <c r="A72">
        <v>344</v>
      </c>
      <c r="B72">
        <v>345</v>
      </c>
      <c r="C72">
        <v>146.06180610000001</v>
      </c>
      <c r="D72">
        <v>-17.528612320000001</v>
      </c>
      <c r="E72">
        <v>50</v>
      </c>
      <c r="F72" t="s">
        <v>6979</v>
      </c>
      <c r="G72" s="1" t="str">
        <f t="shared" si="2"/>
        <v>345_20240610_0006_L_0235.jpg</v>
      </c>
      <c r="H72">
        <v>100</v>
      </c>
      <c r="I72" t="str">
        <f t="shared" si="3"/>
        <v/>
      </c>
      <c r="J72" s="53">
        <f>IFERROR(VLOOKUP(B72, DATA_Johnstone_2024_ALL!B:J, 8, FALSE), "")</f>
        <v>1</v>
      </c>
      <c r="K72" s="29"/>
      <c r="L72" s="30"/>
      <c r="M72" s="29"/>
      <c r="N72" s="20">
        <f>IF(J72=1, DATA_Johnstone_2023_50!M72, "")</f>
        <v>4</v>
      </c>
      <c r="O72" s="20">
        <f>IF($J72=1, DATA_Johnstone_2023_50!N72, "")</f>
        <v>4</v>
      </c>
      <c r="P72" s="49"/>
      <c r="Q72" s="20">
        <f>IF($J72=1, DATA_Johnstone_2023_50!P72, "")</f>
        <v>4</v>
      </c>
      <c r="R72" s="22"/>
      <c r="T72" s="22"/>
      <c r="W72" s="47"/>
      <c r="AI72">
        <v>69</v>
      </c>
      <c r="AJ72">
        <v>1</v>
      </c>
    </row>
    <row r="73" spans="1:36" hidden="1" x14ac:dyDescent="0.35">
      <c r="A73">
        <v>349</v>
      </c>
      <c r="B73">
        <v>350</v>
      </c>
      <c r="C73">
        <v>146.06156179999999</v>
      </c>
      <c r="D73">
        <v>-17.52900953</v>
      </c>
      <c r="E73">
        <v>50</v>
      </c>
      <c r="F73" t="s">
        <v>6980</v>
      </c>
      <c r="G73" s="1" t="str">
        <f t="shared" si="2"/>
        <v>350_20240610_0006_L_0251.jpg</v>
      </c>
      <c r="H73">
        <v>100</v>
      </c>
      <c r="I73" t="str">
        <f t="shared" si="3"/>
        <v/>
      </c>
      <c r="J73" s="53">
        <f>IFERROR(VLOOKUP(B73, DATA_Johnstone_2024_ALL!B:J, 8, FALSE), "")</f>
        <v>1</v>
      </c>
      <c r="K73" s="29"/>
      <c r="L73" s="30"/>
      <c r="M73" s="29"/>
      <c r="N73" s="20">
        <f>IF(J73=1, DATA_Johnstone_2023_50!M73, "")</f>
        <v>4</v>
      </c>
      <c r="O73" s="20">
        <f>IF($J73=1, DATA_Johnstone_2023_50!N73, "")</f>
        <v>3</v>
      </c>
      <c r="P73" s="49"/>
      <c r="Q73" s="20">
        <f>IF($J73=1, DATA_Johnstone_2023_50!P73, "")</f>
        <v>4</v>
      </c>
      <c r="R73" s="22"/>
      <c r="T73" s="22"/>
      <c r="W73" s="47"/>
      <c r="AI73">
        <v>70</v>
      </c>
      <c r="AJ73">
        <v>1</v>
      </c>
    </row>
    <row r="74" spans="1:36" hidden="1" x14ac:dyDescent="0.35">
      <c r="A74">
        <v>354</v>
      </c>
      <c r="B74">
        <v>355</v>
      </c>
      <c r="C74">
        <v>146.06129809999999</v>
      </c>
      <c r="D74">
        <v>-17.529400370000001</v>
      </c>
      <c r="E74">
        <v>50</v>
      </c>
      <c r="F74" t="s">
        <v>6981</v>
      </c>
      <c r="G74" s="1" t="str">
        <f t="shared" si="2"/>
        <v>355_20240610_0006_L_0269.jpg</v>
      </c>
      <c r="H74">
        <v>100</v>
      </c>
      <c r="I74" t="str">
        <f t="shared" si="3"/>
        <v/>
      </c>
      <c r="J74" s="53">
        <f>IFERROR(VLOOKUP(B74, DATA_Johnstone_2024_ALL!B:J, 8, FALSE), "")</f>
        <v>1</v>
      </c>
      <c r="K74" s="29"/>
      <c r="L74" s="30"/>
      <c r="M74" s="29"/>
      <c r="N74" s="20">
        <f>IF(J74=1, DATA_Johnstone_2023_50!M74, "")</f>
        <v>4</v>
      </c>
      <c r="O74" s="20">
        <f>IF($J74=1, DATA_Johnstone_2023_50!N74, "")</f>
        <v>4</v>
      </c>
      <c r="P74" s="49"/>
      <c r="Q74" s="20">
        <f>IF($J74=1, DATA_Johnstone_2023_50!P74, "")</f>
        <v>4</v>
      </c>
      <c r="R74" s="22"/>
      <c r="T74" s="22"/>
      <c r="W74" s="47"/>
      <c r="AI74">
        <v>71</v>
      </c>
      <c r="AJ74">
        <v>1</v>
      </c>
    </row>
    <row r="75" spans="1:36" hidden="1" x14ac:dyDescent="0.35">
      <c r="A75">
        <v>359</v>
      </c>
      <c r="B75">
        <v>360</v>
      </c>
      <c r="C75">
        <v>146.0612228</v>
      </c>
      <c r="D75">
        <v>-17.529849649999999</v>
      </c>
      <c r="E75">
        <v>50</v>
      </c>
      <c r="F75" t="s">
        <v>6982</v>
      </c>
      <c r="G75" s="1" t="str">
        <f t="shared" si="2"/>
        <v>360_20240610_0006_L_0290.jpg</v>
      </c>
      <c r="H75">
        <v>100</v>
      </c>
      <c r="I75" t="str">
        <f t="shared" si="3"/>
        <v/>
      </c>
      <c r="J75" s="53">
        <f>IFERROR(VLOOKUP(B75, DATA_Johnstone_2024_ALL!B:J, 8, FALSE), "")</f>
        <v>1</v>
      </c>
      <c r="K75" s="29"/>
      <c r="L75" s="30"/>
      <c r="M75" s="29"/>
      <c r="N75" s="20">
        <f>IF(J75=1, DATA_Johnstone_2023_50!M75, "")</f>
        <v>4</v>
      </c>
      <c r="O75" s="20">
        <f>IF($J75=1, DATA_Johnstone_2023_50!N75, "")</f>
        <v>4</v>
      </c>
      <c r="P75" s="49"/>
      <c r="Q75" s="20">
        <f>IF($J75=1, DATA_Johnstone_2023_50!P75, "")</f>
        <v>4</v>
      </c>
      <c r="R75" s="22"/>
      <c r="T75" s="22"/>
      <c r="W75" s="47"/>
      <c r="AI75">
        <v>72</v>
      </c>
      <c r="AJ75">
        <v>1</v>
      </c>
    </row>
    <row r="76" spans="1:36" hidden="1" x14ac:dyDescent="0.35">
      <c r="A76">
        <v>364</v>
      </c>
      <c r="B76">
        <v>365</v>
      </c>
      <c r="C76">
        <v>146.0614592</v>
      </c>
      <c r="D76">
        <v>-17.530252180000002</v>
      </c>
      <c r="E76">
        <v>50</v>
      </c>
      <c r="F76" t="s">
        <v>6983</v>
      </c>
      <c r="G76" s="1" t="str">
        <f t="shared" si="2"/>
        <v>365_20240610_0006_L_0323.jpg</v>
      </c>
      <c r="H76">
        <v>100</v>
      </c>
      <c r="I76" t="str">
        <f t="shared" si="3"/>
        <v/>
      </c>
      <c r="J76" s="53">
        <f>IFERROR(VLOOKUP(B76, DATA_Johnstone_2024_ALL!B:J, 8, FALSE), "")</f>
        <v>1</v>
      </c>
      <c r="K76" s="29"/>
      <c r="L76" s="30"/>
      <c r="M76" s="29"/>
      <c r="N76" s="20">
        <f>IF(J76=1, DATA_Johnstone_2023_50!M76, "")</f>
        <v>4</v>
      </c>
      <c r="O76" s="20">
        <f>IF($J76=1, DATA_Johnstone_2023_50!N76, "")</f>
        <v>4</v>
      </c>
      <c r="P76" s="49"/>
      <c r="Q76" s="20">
        <f>IF($J76=1, DATA_Johnstone_2023_50!P76, "")</f>
        <v>4</v>
      </c>
      <c r="R76" s="22"/>
      <c r="T76" s="22"/>
      <c r="W76" s="47"/>
      <c r="AI76">
        <v>73</v>
      </c>
      <c r="AJ76">
        <v>1</v>
      </c>
    </row>
    <row r="77" spans="1:36" hidden="1" x14ac:dyDescent="0.35">
      <c r="A77">
        <v>369</v>
      </c>
      <c r="B77">
        <v>370</v>
      </c>
      <c r="C77">
        <v>146.06179589999999</v>
      </c>
      <c r="D77">
        <v>-17.53058223</v>
      </c>
      <c r="E77">
        <v>50</v>
      </c>
      <c r="F77" t="s">
        <v>6984</v>
      </c>
      <c r="G77" s="1" t="str">
        <f t="shared" si="2"/>
        <v>370_20240610_0006_L_0357.jpg</v>
      </c>
      <c r="H77">
        <v>100</v>
      </c>
      <c r="I77" t="str">
        <f t="shared" si="3"/>
        <v/>
      </c>
      <c r="J77" s="53">
        <f>IFERROR(VLOOKUP(B77, DATA_Johnstone_2024_ALL!B:J, 8, FALSE), "")</f>
        <v>1</v>
      </c>
      <c r="K77" s="29"/>
      <c r="L77" s="30"/>
      <c r="M77" s="29"/>
      <c r="N77" s="20">
        <f>IF(J77=1, DATA_Johnstone_2023_50!M77, "")</f>
        <v>3</v>
      </c>
      <c r="O77" s="20">
        <f>IF($J77=1, DATA_Johnstone_2023_50!N77, "")</f>
        <v>4</v>
      </c>
      <c r="P77" s="49"/>
      <c r="Q77" s="20">
        <f>IF($J77=1, DATA_Johnstone_2023_50!P77, "")</f>
        <v>4</v>
      </c>
      <c r="R77" s="22"/>
      <c r="T77" s="22"/>
      <c r="W77" s="47"/>
      <c r="AI77">
        <v>74</v>
      </c>
      <c r="AJ77">
        <v>1</v>
      </c>
    </row>
    <row r="78" spans="1:36" hidden="1" x14ac:dyDescent="0.35">
      <c r="A78">
        <v>374</v>
      </c>
      <c r="B78">
        <v>375</v>
      </c>
      <c r="C78">
        <v>146.06211239999999</v>
      </c>
      <c r="D78">
        <v>-17.530928209999999</v>
      </c>
      <c r="E78">
        <v>50</v>
      </c>
      <c r="F78" t="s">
        <v>6985</v>
      </c>
      <c r="G78" s="1" t="str">
        <f t="shared" si="2"/>
        <v>375_20240610_0006_L_0379.jpg</v>
      </c>
      <c r="H78">
        <v>100</v>
      </c>
      <c r="I78" t="str">
        <f t="shared" si="3"/>
        <v/>
      </c>
      <c r="J78" s="53">
        <f>IFERROR(VLOOKUP(B78, DATA_Johnstone_2024_ALL!B:J, 8, FALSE), "")</f>
        <v>0</v>
      </c>
      <c r="K78" s="29"/>
      <c r="L78" s="30"/>
      <c r="M78" s="29"/>
      <c r="N78" s="20" t="str">
        <f>IF(J78=1, DATA_Johnstone_2023_50!M78, "")</f>
        <v/>
      </c>
      <c r="O78" s="20" t="str">
        <f>IF($J78=1, DATA_Johnstone_2023_50!N78, "")</f>
        <v/>
      </c>
      <c r="P78" s="49"/>
      <c r="Q78" s="20" t="str">
        <f>IF($J78=1, DATA_Johnstone_2023_50!P78, "")</f>
        <v/>
      </c>
      <c r="R78" s="22"/>
      <c r="T78" s="22"/>
      <c r="W78" s="47"/>
      <c r="AI78">
        <v>75</v>
      </c>
      <c r="AJ78">
        <v>1</v>
      </c>
    </row>
    <row r="79" spans="1:36" hidden="1" x14ac:dyDescent="0.35">
      <c r="A79">
        <v>379</v>
      </c>
      <c r="B79">
        <v>380</v>
      </c>
      <c r="C79">
        <v>146.06234230000001</v>
      </c>
      <c r="D79">
        <v>-17.531338340000001</v>
      </c>
      <c r="E79">
        <v>50</v>
      </c>
      <c r="F79" t="s">
        <v>6986</v>
      </c>
      <c r="G79" s="1" t="str">
        <f t="shared" si="2"/>
        <v>380_20240610_0006_L_0396.jpg</v>
      </c>
      <c r="H79">
        <v>100</v>
      </c>
      <c r="I79" t="str">
        <f t="shared" si="3"/>
        <v/>
      </c>
      <c r="J79" s="53">
        <f>IFERROR(VLOOKUP(B79, DATA_Johnstone_2024_ALL!B:J, 8, FALSE), "")</f>
        <v>1</v>
      </c>
      <c r="K79" s="29"/>
      <c r="L79" s="30"/>
      <c r="M79" s="29"/>
      <c r="N79" s="20">
        <f>IF(J79=1, DATA_Johnstone_2023_50!M79, "")</f>
        <v>0</v>
      </c>
      <c r="O79" s="20">
        <f>IF($J79=1, DATA_Johnstone_2023_50!N79, "")</f>
        <v>0</v>
      </c>
      <c r="P79" s="49"/>
      <c r="Q79" s="20">
        <f>IF($J79=1, DATA_Johnstone_2023_50!P79, "")</f>
        <v>0</v>
      </c>
      <c r="R79" s="22"/>
      <c r="T79" s="22"/>
      <c r="W79" s="47"/>
      <c r="AI79">
        <v>76</v>
      </c>
      <c r="AJ79">
        <v>1</v>
      </c>
    </row>
    <row r="80" spans="1:36" hidden="1" x14ac:dyDescent="0.35">
      <c r="A80">
        <v>384</v>
      </c>
      <c r="B80">
        <v>385</v>
      </c>
      <c r="C80">
        <v>146.0625143</v>
      </c>
      <c r="D80">
        <v>-17.531772230000001</v>
      </c>
      <c r="E80">
        <v>50</v>
      </c>
      <c r="F80" t="s">
        <v>6987</v>
      </c>
      <c r="G80" s="1" t="str">
        <f t="shared" si="2"/>
        <v>385_20240610_0006_L_0414.jpg</v>
      </c>
      <c r="H80">
        <v>100</v>
      </c>
      <c r="I80" t="str">
        <f t="shared" si="3"/>
        <v/>
      </c>
      <c r="J80" s="53">
        <f>IFERROR(VLOOKUP(B80, DATA_Johnstone_2024_ALL!B:J, 8, FALSE), "")</f>
        <v>0</v>
      </c>
      <c r="K80" s="29"/>
      <c r="L80" s="30"/>
      <c r="M80" s="29"/>
      <c r="N80" s="20" t="str">
        <f>IF(J80=1, DATA_Johnstone_2023_50!M80, "")</f>
        <v/>
      </c>
      <c r="O80" s="20" t="str">
        <f>IF($J80=1, DATA_Johnstone_2023_50!N80, "")</f>
        <v/>
      </c>
      <c r="P80" s="49"/>
      <c r="Q80" s="20" t="str">
        <f>IF($J80=1, DATA_Johnstone_2023_50!P80, "")</f>
        <v/>
      </c>
      <c r="R80" s="22"/>
      <c r="T80" s="22"/>
      <c r="W80" s="47"/>
      <c r="AI80">
        <v>77</v>
      </c>
      <c r="AJ80">
        <v>1</v>
      </c>
    </row>
    <row r="81" spans="1:36" hidden="1" x14ac:dyDescent="0.35">
      <c r="A81">
        <v>389</v>
      </c>
      <c r="B81">
        <v>390</v>
      </c>
      <c r="C81">
        <v>146.06240990000001</v>
      </c>
      <c r="D81">
        <v>-17.532220859999999</v>
      </c>
      <c r="E81">
        <v>50</v>
      </c>
      <c r="F81" t="s">
        <v>6988</v>
      </c>
      <c r="G81" s="1" t="str">
        <f t="shared" si="2"/>
        <v>390_20240610_0006_L_0428.jpg</v>
      </c>
      <c r="H81">
        <v>100</v>
      </c>
      <c r="I81" t="str">
        <f t="shared" si="3"/>
        <v/>
      </c>
      <c r="J81" s="53">
        <f>IFERROR(VLOOKUP(B81, DATA_Johnstone_2024_ALL!B:J, 8, FALSE), "")</f>
        <v>0</v>
      </c>
      <c r="K81" s="29"/>
      <c r="L81" s="30"/>
      <c r="M81" s="29"/>
      <c r="N81" s="20" t="str">
        <f>IF(J81=1, DATA_Johnstone_2023_50!M81, "")</f>
        <v/>
      </c>
      <c r="O81" s="20" t="str">
        <f>IF($J81=1, DATA_Johnstone_2023_50!N81, "")</f>
        <v/>
      </c>
      <c r="P81" s="49"/>
      <c r="Q81" s="20" t="str">
        <f>IF($J81=1, DATA_Johnstone_2023_50!P81, "")</f>
        <v/>
      </c>
      <c r="R81" s="22"/>
      <c r="T81" s="22"/>
      <c r="W81" s="47"/>
      <c r="AI81">
        <v>78</v>
      </c>
      <c r="AJ81">
        <v>1</v>
      </c>
    </row>
    <row r="82" spans="1:36" hidden="1" x14ac:dyDescent="0.35">
      <c r="A82">
        <v>394</v>
      </c>
      <c r="B82">
        <v>395</v>
      </c>
      <c r="C82">
        <v>146.06205700000001</v>
      </c>
      <c r="D82">
        <v>-17.53251375</v>
      </c>
      <c r="E82">
        <v>50</v>
      </c>
      <c r="F82" t="s">
        <v>6989</v>
      </c>
      <c r="G82" s="1" t="str">
        <f t="shared" si="2"/>
        <v>395_20240610_0006_L_0441.jpg</v>
      </c>
      <c r="H82">
        <v>100</v>
      </c>
      <c r="I82" t="str">
        <f t="shared" si="3"/>
        <v/>
      </c>
      <c r="J82" s="53">
        <f>IFERROR(VLOOKUP(B82, DATA_Johnstone_2024_ALL!B:J, 8, FALSE), "")</f>
        <v>1</v>
      </c>
      <c r="K82" s="29"/>
      <c r="L82" s="30"/>
      <c r="M82" s="29"/>
      <c r="N82" s="20">
        <f>IF(J82=1, DATA_Johnstone_2023_50!M82, "")</f>
        <v>0</v>
      </c>
      <c r="O82" s="20">
        <f>IF($J82=1, DATA_Johnstone_2023_50!N82, "")</f>
        <v>0</v>
      </c>
      <c r="P82" s="49"/>
      <c r="Q82" s="20">
        <f>IF($J82=1, DATA_Johnstone_2023_50!P82, "")</f>
        <v>0</v>
      </c>
      <c r="R82" s="22"/>
      <c r="T82" s="22"/>
      <c r="W82" s="47"/>
      <c r="AI82">
        <v>79</v>
      </c>
      <c r="AJ82">
        <v>1</v>
      </c>
    </row>
    <row r="83" spans="1:36" hidden="1" x14ac:dyDescent="0.35">
      <c r="A83">
        <v>399</v>
      </c>
      <c r="B83">
        <v>400</v>
      </c>
      <c r="C83">
        <v>146.061601</v>
      </c>
      <c r="D83">
        <v>-17.532614930000001</v>
      </c>
      <c r="E83">
        <v>50</v>
      </c>
      <c r="F83" t="s">
        <v>6990</v>
      </c>
      <c r="G83" s="1" t="str">
        <f t="shared" si="2"/>
        <v>400_20240610_0006_L_0458.jpg</v>
      </c>
      <c r="H83">
        <v>100</v>
      </c>
      <c r="I83" t="str">
        <f t="shared" si="3"/>
        <v/>
      </c>
      <c r="J83" s="53">
        <f>IFERROR(VLOOKUP(B83, DATA_Johnstone_2024_ALL!B:J, 8, FALSE), "")</f>
        <v>0</v>
      </c>
      <c r="K83" s="29"/>
      <c r="L83" s="30"/>
      <c r="M83" s="29"/>
      <c r="N83" s="20" t="str">
        <f>IF(J83=1, DATA_Johnstone_2023_50!M83, "")</f>
        <v/>
      </c>
      <c r="O83" s="20" t="str">
        <f>IF($J83=1, DATA_Johnstone_2023_50!N83, "")</f>
        <v/>
      </c>
      <c r="P83" s="49"/>
      <c r="Q83" s="20" t="str">
        <f>IF($J83=1, DATA_Johnstone_2023_50!P83, "")</f>
        <v/>
      </c>
      <c r="R83" s="22"/>
      <c r="T83" s="22"/>
      <c r="W83" s="47"/>
      <c r="AI83">
        <v>80</v>
      </c>
      <c r="AJ83">
        <v>1</v>
      </c>
    </row>
    <row r="84" spans="1:36" hidden="1" x14ac:dyDescent="0.35">
      <c r="A84">
        <v>404</v>
      </c>
      <c r="B84">
        <v>405</v>
      </c>
      <c r="C84">
        <v>146.0611317</v>
      </c>
      <c r="D84">
        <v>-17.53257992</v>
      </c>
      <c r="E84">
        <v>50</v>
      </c>
      <c r="F84" t="s">
        <v>6991</v>
      </c>
      <c r="G84" s="1" t="str">
        <f t="shared" si="2"/>
        <v>405_20240610_0006_L_0480.jpg</v>
      </c>
      <c r="H84">
        <v>100</v>
      </c>
      <c r="I84" t="str">
        <f t="shared" si="3"/>
        <v/>
      </c>
      <c r="J84" s="53">
        <f>IFERROR(VLOOKUP(B84, DATA_Johnstone_2024_ALL!B:J, 8, FALSE), "")</f>
        <v>1</v>
      </c>
      <c r="K84" s="29"/>
      <c r="L84" s="30"/>
      <c r="M84" s="29"/>
      <c r="N84" s="20">
        <f>IF(J84=1, DATA_Johnstone_2023_50!M84, "")</f>
        <v>4</v>
      </c>
      <c r="O84" s="20">
        <f>IF($J84=1, DATA_Johnstone_2023_50!N84, "")</f>
        <v>4</v>
      </c>
      <c r="P84" s="49"/>
      <c r="Q84" s="20">
        <f>IF($J84=1, DATA_Johnstone_2023_50!P84, "")</f>
        <v>4</v>
      </c>
      <c r="R84" s="22"/>
      <c r="T84" s="22"/>
      <c r="W84" s="47"/>
      <c r="AI84">
        <v>81</v>
      </c>
      <c r="AJ84">
        <v>1</v>
      </c>
    </row>
    <row r="85" spans="1:36" hidden="1" x14ac:dyDescent="0.35">
      <c r="A85">
        <v>409</v>
      </c>
      <c r="B85">
        <v>410</v>
      </c>
      <c r="C85">
        <v>146.06066519999999</v>
      </c>
      <c r="D85">
        <v>-17.532516480000002</v>
      </c>
      <c r="E85">
        <v>50</v>
      </c>
      <c r="F85" t="s">
        <v>6992</v>
      </c>
      <c r="G85" s="1" t="str">
        <f t="shared" si="2"/>
        <v>410_20240610_0006_L_0503.jpg</v>
      </c>
      <c r="H85">
        <v>100</v>
      </c>
      <c r="I85" t="str">
        <f t="shared" si="3"/>
        <v/>
      </c>
      <c r="J85" s="53">
        <f>IFERROR(VLOOKUP(B85, DATA_Johnstone_2024_ALL!B:J, 8, FALSE), "")</f>
        <v>1</v>
      </c>
      <c r="K85" s="29"/>
      <c r="L85" s="30"/>
      <c r="M85" s="29"/>
      <c r="N85" s="20">
        <f>IF(J85=1, DATA_Johnstone_2023_50!M85, "")</f>
        <v>4</v>
      </c>
      <c r="O85" s="20">
        <f>IF($J85=1, DATA_Johnstone_2023_50!N85, "")</f>
        <v>4</v>
      </c>
      <c r="P85" s="49"/>
      <c r="Q85" s="20">
        <f>IF($J85=1, DATA_Johnstone_2023_50!P85, "")</f>
        <v>4</v>
      </c>
      <c r="R85" s="22"/>
      <c r="T85" s="22"/>
      <c r="W85" s="47"/>
      <c r="AI85">
        <v>82</v>
      </c>
      <c r="AJ85">
        <v>1</v>
      </c>
    </row>
    <row r="86" spans="1:36" hidden="1" x14ac:dyDescent="0.35">
      <c r="A86">
        <v>414</v>
      </c>
      <c r="B86">
        <v>415</v>
      </c>
      <c r="C86">
        <v>146.06021960000001</v>
      </c>
      <c r="D86">
        <v>-17.53262939</v>
      </c>
      <c r="E86">
        <v>50</v>
      </c>
      <c r="F86" t="s">
        <v>6993</v>
      </c>
      <c r="G86" s="1" t="str">
        <f t="shared" si="2"/>
        <v>415_20240610_0006_L_0532.jpg</v>
      </c>
      <c r="H86">
        <v>100</v>
      </c>
      <c r="I86" t="str">
        <f t="shared" si="3"/>
        <v/>
      </c>
      <c r="J86" s="53">
        <f>IFERROR(VLOOKUP(B86, DATA_Johnstone_2024_ALL!B:J, 8, FALSE), "")</f>
        <v>1</v>
      </c>
      <c r="K86" s="29"/>
      <c r="L86" s="30"/>
      <c r="M86" s="29"/>
      <c r="N86" s="20">
        <f>IF(J86=1, DATA_Johnstone_2023_50!M86, "")</f>
        <v>0</v>
      </c>
      <c r="O86" s="20">
        <f>IF($J86=1, DATA_Johnstone_2023_50!N86, "")</f>
        <v>0</v>
      </c>
      <c r="P86" s="49"/>
      <c r="Q86" s="20">
        <f>IF($J86=1, DATA_Johnstone_2023_50!P86, "")</f>
        <v>0</v>
      </c>
      <c r="R86" s="22"/>
      <c r="T86" s="22"/>
      <c r="W86" s="47"/>
      <c r="AI86">
        <v>83</v>
      </c>
      <c r="AJ86">
        <v>1</v>
      </c>
    </row>
    <row r="87" spans="1:36" hidden="1" x14ac:dyDescent="0.35">
      <c r="A87">
        <v>419</v>
      </c>
      <c r="B87">
        <v>420</v>
      </c>
      <c r="C87">
        <v>146.05988590000001</v>
      </c>
      <c r="D87">
        <v>-17.5329561</v>
      </c>
      <c r="E87">
        <v>50</v>
      </c>
      <c r="F87" t="s">
        <v>6994</v>
      </c>
      <c r="G87" s="1" t="str">
        <f t="shared" si="2"/>
        <v>420_20240610_0006_L_0556.jpg</v>
      </c>
      <c r="H87">
        <v>100</v>
      </c>
      <c r="I87" t="str">
        <f t="shared" si="3"/>
        <v/>
      </c>
      <c r="J87" s="53">
        <f>IFERROR(VLOOKUP(B87, DATA_Johnstone_2024_ALL!B:J, 8, FALSE), "")</f>
        <v>1</v>
      </c>
      <c r="K87" s="29"/>
      <c r="L87" s="30"/>
      <c r="M87" s="29"/>
      <c r="N87" s="20">
        <f>IF(J87=1, DATA_Johnstone_2023_50!M87, "")</f>
        <v>0</v>
      </c>
      <c r="O87" s="20">
        <f>IF($J87=1, DATA_Johnstone_2023_50!N87, "")</f>
        <v>0</v>
      </c>
      <c r="P87" s="49"/>
      <c r="Q87" s="20">
        <f>IF($J87=1, DATA_Johnstone_2023_50!P87, "")</f>
        <v>0</v>
      </c>
      <c r="R87" s="22"/>
      <c r="T87" s="22"/>
      <c r="W87" s="47"/>
      <c r="AI87">
        <v>84</v>
      </c>
      <c r="AJ87">
        <v>1</v>
      </c>
    </row>
    <row r="88" spans="1:36" hidden="1" x14ac:dyDescent="0.35">
      <c r="A88">
        <v>424</v>
      </c>
      <c r="B88">
        <v>425</v>
      </c>
      <c r="C88">
        <v>146.0595802</v>
      </c>
      <c r="D88">
        <v>-17.53331219</v>
      </c>
      <c r="E88">
        <v>50</v>
      </c>
      <c r="G88" s="1" t="str">
        <f t="shared" si="2"/>
        <v/>
      </c>
      <c r="H88">
        <v>100</v>
      </c>
      <c r="I88" t="str">
        <f t="shared" si="3"/>
        <v>X</v>
      </c>
      <c r="J88" s="53" t="str">
        <f>IFERROR(VLOOKUP(B88, DATA_Johnstone_2024_ALL!B:J, 8, FALSE), "")</f>
        <v>X</v>
      </c>
      <c r="K88" s="29"/>
      <c r="L88" s="30"/>
      <c r="M88" s="29"/>
      <c r="N88" s="20" t="str">
        <f>IF(J88=1, DATA_Johnstone_2023_50!M88, "")</f>
        <v/>
      </c>
      <c r="O88" s="20" t="str">
        <f>IF($J88=1, DATA_Johnstone_2023_50!N88, "")</f>
        <v/>
      </c>
      <c r="P88" s="49"/>
      <c r="Q88" s="20" t="str">
        <f>IF($J88=1, DATA_Johnstone_2023_50!P88, "")</f>
        <v/>
      </c>
      <c r="R88" s="22"/>
      <c r="T88" s="22"/>
      <c r="W88" s="47"/>
      <c r="AI88">
        <v>85</v>
      </c>
      <c r="AJ88">
        <v>1</v>
      </c>
    </row>
    <row r="89" spans="1:36" hidden="1" x14ac:dyDescent="0.35">
      <c r="A89">
        <v>429</v>
      </c>
      <c r="B89">
        <v>430</v>
      </c>
      <c r="C89">
        <v>146.05956180000001</v>
      </c>
      <c r="D89">
        <v>-17.53375131</v>
      </c>
      <c r="E89">
        <v>50</v>
      </c>
      <c r="G89" s="1" t="str">
        <f t="shared" si="2"/>
        <v/>
      </c>
      <c r="H89">
        <v>100</v>
      </c>
      <c r="I89" t="str">
        <f t="shared" si="3"/>
        <v>X</v>
      </c>
      <c r="J89" s="53" t="str">
        <f>IFERROR(VLOOKUP(B89, DATA_Johnstone_2024_ALL!B:J, 8, FALSE), "")</f>
        <v>X</v>
      </c>
      <c r="K89" s="29"/>
      <c r="L89" s="30"/>
      <c r="M89" s="29"/>
      <c r="N89" s="20" t="str">
        <f>IF(J89=1, DATA_Johnstone_2023_50!M89, "")</f>
        <v/>
      </c>
      <c r="O89" s="20" t="str">
        <f>IF($J89=1, DATA_Johnstone_2023_50!N89, "")</f>
        <v/>
      </c>
      <c r="P89" s="49"/>
      <c r="Q89" s="20" t="str">
        <f>IF($J89=1, DATA_Johnstone_2023_50!P89, "")</f>
        <v/>
      </c>
      <c r="R89" s="22"/>
      <c r="T89" s="22"/>
      <c r="W89" s="47"/>
      <c r="AI89">
        <v>86</v>
      </c>
      <c r="AJ89">
        <v>1</v>
      </c>
    </row>
    <row r="90" spans="1:36" hidden="1" x14ac:dyDescent="0.35">
      <c r="A90">
        <v>434</v>
      </c>
      <c r="B90">
        <v>435</v>
      </c>
      <c r="C90">
        <v>146.0599278</v>
      </c>
      <c r="D90">
        <v>-17.534020890000001</v>
      </c>
      <c r="E90">
        <v>50</v>
      </c>
      <c r="G90" s="1" t="str">
        <f t="shared" si="2"/>
        <v/>
      </c>
      <c r="H90">
        <v>100</v>
      </c>
      <c r="I90" t="str">
        <f t="shared" si="3"/>
        <v>X</v>
      </c>
      <c r="J90" s="53" t="str">
        <f>IFERROR(VLOOKUP(B90, DATA_Johnstone_2024_ALL!B:J, 8, FALSE), "")</f>
        <v>X</v>
      </c>
      <c r="K90" s="29"/>
      <c r="L90" s="30"/>
      <c r="M90" s="29"/>
      <c r="N90" s="20" t="str">
        <f>IF(J90=1, DATA_Johnstone_2023_50!M90, "")</f>
        <v/>
      </c>
      <c r="O90" s="20" t="str">
        <f>IF($J90=1, DATA_Johnstone_2023_50!N90, "")</f>
        <v/>
      </c>
      <c r="P90" s="49"/>
      <c r="Q90" s="20" t="str">
        <f>IF($J90=1, DATA_Johnstone_2023_50!P90, "")</f>
        <v/>
      </c>
      <c r="R90" s="22"/>
      <c r="T90" s="22"/>
      <c r="W90" s="47"/>
      <c r="AI90">
        <v>87</v>
      </c>
      <c r="AJ90">
        <v>1</v>
      </c>
    </row>
    <row r="91" spans="1:36" hidden="1" x14ac:dyDescent="0.35">
      <c r="A91">
        <v>439</v>
      </c>
      <c r="B91">
        <v>440</v>
      </c>
      <c r="C91">
        <v>146.0603883</v>
      </c>
      <c r="D91">
        <v>-17.53408516</v>
      </c>
      <c r="E91">
        <v>50</v>
      </c>
      <c r="G91" s="1" t="str">
        <f t="shared" si="2"/>
        <v/>
      </c>
      <c r="H91">
        <v>100</v>
      </c>
      <c r="I91" t="str">
        <f t="shared" si="3"/>
        <v>X</v>
      </c>
      <c r="J91" s="53" t="str">
        <f>IFERROR(VLOOKUP(B91, DATA_Johnstone_2024_ALL!B:J, 8, FALSE), "")</f>
        <v>X</v>
      </c>
      <c r="K91" s="29"/>
      <c r="L91" s="30"/>
      <c r="M91" s="29"/>
      <c r="N91" s="20" t="str">
        <f>IF(J91=1, DATA_Johnstone_2023_50!M91, "")</f>
        <v/>
      </c>
      <c r="O91" s="20" t="str">
        <f>IF($J91=1, DATA_Johnstone_2023_50!N91, "")</f>
        <v/>
      </c>
      <c r="P91" s="49"/>
      <c r="Q91" s="20" t="str">
        <f>IF($J91=1, DATA_Johnstone_2023_50!P91, "")</f>
        <v/>
      </c>
      <c r="R91" s="22"/>
      <c r="T91" s="22"/>
      <c r="W91" s="47"/>
      <c r="AI91">
        <v>88</v>
      </c>
      <c r="AJ91">
        <v>1</v>
      </c>
    </row>
    <row r="92" spans="1:36" hidden="1" x14ac:dyDescent="0.35">
      <c r="A92">
        <v>444</v>
      </c>
      <c r="B92">
        <v>445</v>
      </c>
      <c r="C92">
        <v>146.06083530000001</v>
      </c>
      <c r="D92">
        <v>-17.533951640000002</v>
      </c>
      <c r="E92">
        <v>50</v>
      </c>
      <c r="G92" s="1" t="str">
        <f t="shared" si="2"/>
        <v/>
      </c>
      <c r="H92">
        <v>100</v>
      </c>
      <c r="I92" t="str">
        <f t="shared" si="3"/>
        <v>X</v>
      </c>
      <c r="J92" s="53" t="str">
        <f>IFERROR(VLOOKUP(B92, DATA_Johnstone_2024_ALL!B:J, 8, FALSE), "")</f>
        <v>X</v>
      </c>
      <c r="K92" s="29"/>
      <c r="L92" s="30"/>
      <c r="M92" s="29"/>
      <c r="N92" s="20" t="str">
        <f>IF(J92=1, DATA_Johnstone_2023_50!M92, "")</f>
        <v/>
      </c>
      <c r="O92" s="20" t="str">
        <f>IF($J92=1, DATA_Johnstone_2023_50!N92, "")</f>
        <v/>
      </c>
      <c r="P92" s="49"/>
      <c r="Q92" s="20" t="str">
        <f>IF($J92=1, DATA_Johnstone_2023_50!P92, "")</f>
        <v/>
      </c>
      <c r="R92" s="22"/>
      <c r="T92" s="22"/>
      <c r="W92" s="47"/>
      <c r="AI92">
        <v>89</v>
      </c>
      <c r="AJ92">
        <v>1</v>
      </c>
    </row>
    <row r="93" spans="1:36" hidden="1" x14ac:dyDescent="0.35">
      <c r="A93">
        <v>449</v>
      </c>
      <c r="B93">
        <v>450</v>
      </c>
      <c r="C93">
        <v>146.06124349999999</v>
      </c>
      <c r="D93">
        <v>-17.533717830000001</v>
      </c>
      <c r="E93">
        <v>50</v>
      </c>
      <c r="G93" s="1" t="str">
        <f t="shared" si="2"/>
        <v/>
      </c>
      <c r="H93">
        <v>100</v>
      </c>
      <c r="I93" t="str">
        <f t="shared" si="3"/>
        <v>X</v>
      </c>
      <c r="J93" s="53" t="str">
        <f>IFERROR(VLOOKUP(B93, DATA_Johnstone_2024_ALL!B:J, 8, FALSE), "")</f>
        <v>X</v>
      </c>
      <c r="K93" s="29"/>
      <c r="L93" s="30"/>
      <c r="M93" s="29"/>
      <c r="N93" s="20" t="str">
        <f>IF(J93=1, DATA_Johnstone_2023_50!M93, "")</f>
        <v/>
      </c>
      <c r="O93" s="20" t="str">
        <f>IF($J93=1, DATA_Johnstone_2023_50!N93, "")</f>
        <v/>
      </c>
      <c r="P93" s="49"/>
      <c r="Q93" s="20" t="str">
        <f>IF($J93=1, DATA_Johnstone_2023_50!P93, "")</f>
        <v/>
      </c>
      <c r="R93" s="22"/>
      <c r="T93" s="22"/>
      <c r="W93" s="47"/>
      <c r="AI93">
        <v>90</v>
      </c>
      <c r="AJ93">
        <v>1</v>
      </c>
    </row>
    <row r="94" spans="1:36" hidden="1" x14ac:dyDescent="0.35">
      <c r="A94">
        <v>454</v>
      </c>
      <c r="B94">
        <v>455</v>
      </c>
      <c r="C94">
        <v>146.0616143</v>
      </c>
      <c r="D94">
        <v>-17.533426540000001</v>
      </c>
      <c r="E94">
        <v>50</v>
      </c>
      <c r="G94" s="1" t="str">
        <f t="shared" si="2"/>
        <v/>
      </c>
      <c r="H94">
        <v>100</v>
      </c>
      <c r="I94" t="str">
        <f t="shared" si="3"/>
        <v>X</v>
      </c>
      <c r="J94" s="53" t="str">
        <f>IFERROR(VLOOKUP(B94, DATA_Johnstone_2024_ALL!B:J, 8, FALSE), "")</f>
        <v>X</v>
      </c>
      <c r="K94" s="29"/>
      <c r="L94" s="30"/>
      <c r="M94" s="29"/>
      <c r="N94" s="20" t="str">
        <f>IF(J94=1, DATA_Johnstone_2023_50!M94, "")</f>
        <v/>
      </c>
      <c r="O94" s="20" t="str">
        <f>IF($J94=1, DATA_Johnstone_2023_50!N94, "")</f>
        <v/>
      </c>
      <c r="P94" s="49"/>
      <c r="Q94" s="20" t="str">
        <f>IF($J94=1, DATA_Johnstone_2023_50!P94, "")</f>
        <v/>
      </c>
      <c r="R94" s="22"/>
      <c r="T94" s="22"/>
      <c r="W94" s="47"/>
      <c r="AI94">
        <v>91</v>
      </c>
      <c r="AJ94">
        <v>1</v>
      </c>
    </row>
    <row r="95" spans="1:36" hidden="1" x14ac:dyDescent="0.35">
      <c r="A95">
        <v>459</v>
      </c>
      <c r="B95">
        <v>460</v>
      </c>
      <c r="C95">
        <v>146.0619872</v>
      </c>
      <c r="D95">
        <v>-17.533158799999999</v>
      </c>
      <c r="E95">
        <v>50</v>
      </c>
      <c r="G95" s="1" t="str">
        <f t="shared" si="2"/>
        <v/>
      </c>
      <c r="H95">
        <v>100</v>
      </c>
      <c r="I95" t="str">
        <f t="shared" si="3"/>
        <v>X</v>
      </c>
      <c r="J95" s="53" t="str">
        <f>IFERROR(VLOOKUP(B95, DATA_Johnstone_2024_ALL!B:J, 8, FALSE), "")</f>
        <v>X</v>
      </c>
      <c r="K95" s="29"/>
      <c r="L95" s="30"/>
      <c r="M95" s="29"/>
      <c r="N95" s="20" t="str">
        <f>IF(J95=1, DATA_Johnstone_2023_50!M95, "")</f>
        <v/>
      </c>
      <c r="O95" s="20" t="str">
        <f>IF($J95=1, DATA_Johnstone_2023_50!N95, "")</f>
        <v/>
      </c>
      <c r="P95" s="49"/>
      <c r="Q95" s="20" t="str">
        <f>IF($J95=1, DATA_Johnstone_2023_50!P95, "")</f>
        <v/>
      </c>
      <c r="R95" s="22"/>
      <c r="T95" s="22"/>
      <c r="W95" s="47"/>
      <c r="AI95">
        <v>92</v>
      </c>
      <c r="AJ95">
        <v>1</v>
      </c>
    </row>
    <row r="96" spans="1:36" hidden="1" x14ac:dyDescent="0.35">
      <c r="A96">
        <v>464</v>
      </c>
      <c r="B96">
        <v>465</v>
      </c>
      <c r="C96">
        <v>146.06245379999999</v>
      </c>
      <c r="D96">
        <v>-17.53311033</v>
      </c>
      <c r="E96">
        <v>50</v>
      </c>
      <c r="G96" s="1" t="str">
        <f t="shared" si="2"/>
        <v/>
      </c>
      <c r="H96">
        <v>100</v>
      </c>
      <c r="I96" t="str">
        <f t="shared" si="3"/>
        <v>X</v>
      </c>
      <c r="J96" s="53" t="str">
        <f>IFERROR(VLOOKUP(B96, DATA_Johnstone_2024_ALL!B:J, 8, FALSE), "")</f>
        <v>X</v>
      </c>
      <c r="K96" s="29"/>
      <c r="L96" s="30"/>
      <c r="M96" s="29"/>
      <c r="N96" s="20" t="str">
        <f>IF(J96=1, DATA_Johnstone_2023_50!M96, "")</f>
        <v/>
      </c>
      <c r="O96" s="20" t="str">
        <f>IF($J96=1, DATA_Johnstone_2023_50!N96, "")</f>
        <v/>
      </c>
      <c r="P96" s="49"/>
      <c r="Q96" s="20" t="str">
        <f>IF($J96=1, DATA_Johnstone_2023_50!P96, "")</f>
        <v/>
      </c>
      <c r="R96" s="22"/>
      <c r="T96" s="22"/>
      <c r="W96" s="47"/>
      <c r="AI96">
        <v>93</v>
      </c>
      <c r="AJ96">
        <v>1</v>
      </c>
    </row>
    <row r="97" spans="1:36" hidden="1" x14ac:dyDescent="0.35">
      <c r="A97">
        <v>469</v>
      </c>
      <c r="B97">
        <v>470</v>
      </c>
      <c r="C97">
        <v>146.0629021</v>
      </c>
      <c r="D97">
        <v>-17.533228879999999</v>
      </c>
      <c r="E97">
        <v>50</v>
      </c>
      <c r="G97" s="1" t="str">
        <f t="shared" si="2"/>
        <v/>
      </c>
      <c r="H97">
        <v>100</v>
      </c>
      <c r="I97" t="str">
        <f t="shared" si="3"/>
        <v>X</v>
      </c>
      <c r="J97" s="53" t="str">
        <f>IFERROR(VLOOKUP(B97, DATA_Johnstone_2024_ALL!B:J, 8, FALSE), "")</f>
        <v>X</v>
      </c>
      <c r="K97" s="29"/>
      <c r="L97" s="30"/>
      <c r="M97" s="29"/>
      <c r="N97" s="20" t="str">
        <f>IF(J97=1, DATA_Johnstone_2023_50!M97, "")</f>
        <v/>
      </c>
      <c r="O97" s="20" t="str">
        <f>IF($J97=1, DATA_Johnstone_2023_50!N97, "")</f>
        <v/>
      </c>
      <c r="P97" s="49"/>
      <c r="Q97" s="20" t="str">
        <f>IF($J97=1, DATA_Johnstone_2023_50!P97, "")</f>
        <v/>
      </c>
      <c r="R97" s="22"/>
      <c r="T97" s="22"/>
      <c r="W97" s="47"/>
      <c r="AI97">
        <v>94</v>
      </c>
      <c r="AJ97">
        <v>1</v>
      </c>
    </row>
    <row r="98" spans="1:36" hidden="1" x14ac:dyDescent="0.35">
      <c r="A98">
        <v>474</v>
      </c>
      <c r="B98">
        <v>475</v>
      </c>
      <c r="C98">
        <v>146.06327039999999</v>
      </c>
      <c r="D98">
        <v>-17.533515380000001</v>
      </c>
      <c r="E98">
        <v>50</v>
      </c>
      <c r="G98" s="1" t="str">
        <f t="shared" si="2"/>
        <v/>
      </c>
      <c r="H98">
        <v>100</v>
      </c>
      <c r="I98" t="str">
        <f t="shared" si="3"/>
        <v>X</v>
      </c>
      <c r="J98" s="53" t="str">
        <f>IFERROR(VLOOKUP(B98, DATA_Johnstone_2024_ALL!B:J, 8, FALSE), "")</f>
        <v>X</v>
      </c>
      <c r="K98" s="29"/>
      <c r="L98" s="30"/>
      <c r="M98" s="29"/>
      <c r="N98" s="20" t="str">
        <f>IF(J98=1, DATA_Johnstone_2023_50!M98, "")</f>
        <v/>
      </c>
      <c r="O98" s="20" t="str">
        <f>IF($J98=1, DATA_Johnstone_2023_50!N98, "")</f>
        <v/>
      </c>
      <c r="P98" s="49"/>
      <c r="Q98" s="20" t="str">
        <f>IF($J98=1, DATA_Johnstone_2023_50!P98, "")</f>
        <v/>
      </c>
      <c r="R98" s="22"/>
      <c r="T98" s="22"/>
      <c r="W98" s="47"/>
      <c r="AI98">
        <v>95</v>
      </c>
      <c r="AJ98">
        <v>1</v>
      </c>
    </row>
    <row r="99" spans="1:36" hidden="1" x14ac:dyDescent="0.35">
      <c r="A99">
        <v>479</v>
      </c>
      <c r="B99">
        <v>480</v>
      </c>
      <c r="C99">
        <v>146.06369900000001</v>
      </c>
      <c r="D99">
        <v>-17.5337119</v>
      </c>
      <c r="E99">
        <v>50</v>
      </c>
      <c r="G99" s="1" t="str">
        <f t="shared" si="2"/>
        <v/>
      </c>
      <c r="H99">
        <v>100</v>
      </c>
      <c r="I99" t="str">
        <f t="shared" si="3"/>
        <v>X</v>
      </c>
      <c r="J99" s="53" t="str">
        <f>IFERROR(VLOOKUP(B99, DATA_Johnstone_2024_ALL!B:J, 8, FALSE), "")</f>
        <v>X</v>
      </c>
      <c r="K99" s="29"/>
      <c r="L99" s="30"/>
      <c r="M99" s="29"/>
      <c r="N99" s="20" t="str">
        <f>IF(J99=1, DATA_Johnstone_2023_50!M99, "")</f>
        <v/>
      </c>
      <c r="O99" s="20" t="str">
        <f>IF($J99=1, DATA_Johnstone_2023_50!N99, "")</f>
        <v/>
      </c>
      <c r="P99" s="49"/>
      <c r="Q99" s="20" t="str">
        <f>IF($J99=1, DATA_Johnstone_2023_50!P99, "")</f>
        <v/>
      </c>
      <c r="R99" s="22"/>
      <c r="T99" s="22"/>
      <c r="W99" s="47"/>
      <c r="AI99">
        <v>96</v>
      </c>
      <c r="AJ99">
        <v>1</v>
      </c>
    </row>
    <row r="100" spans="1:36" hidden="1" x14ac:dyDescent="0.35">
      <c r="A100">
        <v>484</v>
      </c>
      <c r="B100">
        <v>485</v>
      </c>
      <c r="C100">
        <v>146.0640788</v>
      </c>
      <c r="D100">
        <v>-17.533983719999998</v>
      </c>
      <c r="E100">
        <v>50</v>
      </c>
      <c r="G100" s="1" t="str">
        <f t="shared" si="2"/>
        <v/>
      </c>
      <c r="H100">
        <v>100</v>
      </c>
      <c r="I100" t="str">
        <f t="shared" si="3"/>
        <v>X</v>
      </c>
      <c r="J100" s="53" t="str">
        <f>IFERROR(VLOOKUP(B100, DATA_Johnstone_2024_ALL!B:J, 8, FALSE), "")</f>
        <v>X</v>
      </c>
      <c r="K100" s="29"/>
      <c r="L100" s="30"/>
      <c r="M100" s="29"/>
      <c r="N100" s="20" t="str">
        <f>IF(J100=1, DATA_Johnstone_2023_50!M100, "")</f>
        <v/>
      </c>
      <c r="O100" s="20" t="str">
        <f>IF($J100=1, DATA_Johnstone_2023_50!N100, "")</f>
        <v/>
      </c>
      <c r="P100" s="49"/>
      <c r="Q100" s="20" t="str">
        <f>IF($J100=1, DATA_Johnstone_2023_50!P100, "")</f>
        <v/>
      </c>
      <c r="R100" s="22"/>
      <c r="T100" s="22"/>
      <c r="W100" s="47"/>
      <c r="AI100">
        <v>97</v>
      </c>
      <c r="AJ100">
        <v>1</v>
      </c>
    </row>
    <row r="101" spans="1:36" hidden="1" x14ac:dyDescent="0.35">
      <c r="A101">
        <v>489</v>
      </c>
      <c r="B101">
        <v>490</v>
      </c>
      <c r="C101">
        <v>146.0643609</v>
      </c>
      <c r="D101">
        <v>-17.534360039999999</v>
      </c>
      <c r="E101">
        <v>50</v>
      </c>
      <c r="G101" s="1" t="str">
        <f t="shared" si="2"/>
        <v/>
      </c>
      <c r="H101">
        <v>100</v>
      </c>
      <c r="I101" t="str">
        <f t="shared" si="3"/>
        <v>X</v>
      </c>
      <c r="J101" s="53" t="str">
        <f>IFERROR(VLOOKUP(B101, DATA_Johnstone_2024_ALL!B:J, 8, FALSE), "")</f>
        <v>X</v>
      </c>
      <c r="K101" s="29"/>
      <c r="L101" s="30"/>
      <c r="M101" s="29"/>
      <c r="N101" s="20" t="str">
        <f>IF(J101=1, DATA_Johnstone_2023_50!M101, "")</f>
        <v/>
      </c>
      <c r="O101" s="20" t="str">
        <f>IF($J101=1, DATA_Johnstone_2023_50!N101, "")</f>
        <v/>
      </c>
      <c r="P101" s="49"/>
      <c r="Q101" s="20" t="str">
        <f>IF($J101=1, DATA_Johnstone_2023_50!P101, "")</f>
        <v/>
      </c>
      <c r="R101" s="22"/>
      <c r="T101" s="22"/>
      <c r="W101" s="47"/>
      <c r="AI101">
        <v>98</v>
      </c>
      <c r="AJ101">
        <v>1</v>
      </c>
    </row>
    <row r="102" spans="1:36" hidden="1" x14ac:dyDescent="0.35">
      <c r="A102">
        <v>494</v>
      </c>
      <c r="B102">
        <v>495</v>
      </c>
      <c r="C102">
        <v>146.06449860000001</v>
      </c>
      <c r="D102">
        <v>-17.534805200000001</v>
      </c>
      <c r="E102">
        <v>50</v>
      </c>
      <c r="G102" s="1" t="str">
        <f t="shared" si="2"/>
        <v/>
      </c>
      <c r="H102">
        <v>100</v>
      </c>
      <c r="I102" t="str">
        <f t="shared" si="3"/>
        <v>X</v>
      </c>
      <c r="J102" s="53" t="str">
        <f>IFERROR(VLOOKUP(B102, DATA_Johnstone_2024_ALL!B:J, 8, FALSE), "")</f>
        <v>X</v>
      </c>
      <c r="K102" s="29"/>
      <c r="L102" s="30"/>
      <c r="M102" s="29"/>
      <c r="N102" s="20" t="str">
        <f>IF(J102=1, DATA_Johnstone_2023_50!M102, "")</f>
        <v/>
      </c>
      <c r="O102" s="20" t="str">
        <f>IF($J102=1, DATA_Johnstone_2023_50!N102, "")</f>
        <v/>
      </c>
      <c r="P102" s="49"/>
      <c r="Q102" s="20" t="str">
        <f>IF($J102=1, DATA_Johnstone_2023_50!P102, "")</f>
        <v/>
      </c>
      <c r="R102" s="22"/>
      <c r="T102" s="22"/>
      <c r="W102" s="47"/>
      <c r="AI102">
        <v>99</v>
      </c>
      <c r="AJ102">
        <v>1</v>
      </c>
    </row>
    <row r="103" spans="1:36" hidden="1" x14ac:dyDescent="0.35">
      <c r="A103">
        <v>499</v>
      </c>
      <c r="B103">
        <v>500</v>
      </c>
      <c r="C103">
        <v>146.06452239999999</v>
      </c>
      <c r="D103">
        <v>-17.535274950000002</v>
      </c>
      <c r="E103">
        <v>50</v>
      </c>
      <c r="G103" s="1" t="str">
        <f t="shared" si="2"/>
        <v/>
      </c>
      <c r="H103">
        <v>100</v>
      </c>
      <c r="I103" t="str">
        <f t="shared" si="3"/>
        <v>X</v>
      </c>
      <c r="J103" s="53" t="str">
        <f>IFERROR(VLOOKUP(B103, DATA_Johnstone_2024_ALL!B:J, 8, FALSE), "")</f>
        <v>X</v>
      </c>
      <c r="K103" s="29"/>
      <c r="L103" s="30"/>
      <c r="M103" s="29"/>
      <c r="N103" s="20" t="str">
        <f>IF(J103=1, DATA_Johnstone_2023_50!M103, "")</f>
        <v/>
      </c>
      <c r="O103" s="20" t="str">
        <f>IF($J103=1, DATA_Johnstone_2023_50!N103, "")</f>
        <v/>
      </c>
      <c r="P103" s="49"/>
      <c r="Q103" s="20" t="str">
        <f>IF($J103=1, DATA_Johnstone_2023_50!P103, "")</f>
        <v/>
      </c>
      <c r="R103" s="22"/>
      <c r="T103" s="22"/>
      <c r="W103" s="47"/>
      <c r="AI103">
        <v>100</v>
      </c>
      <c r="AJ103">
        <v>1</v>
      </c>
    </row>
    <row r="104" spans="1:36" hidden="1" x14ac:dyDescent="0.35">
      <c r="A104">
        <v>504</v>
      </c>
      <c r="B104">
        <v>505</v>
      </c>
      <c r="C104">
        <v>146.06461809999999</v>
      </c>
      <c r="D104">
        <v>-17.535729440000001</v>
      </c>
      <c r="E104">
        <v>50</v>
      </c>
      <c r="G104" s="1" t="str">
        <f t="shared" si="2"/>
        <v/>
      </c>
      <c r="H104">
        <v>100</v>
      </c>
      <c r="I104" t="str">
        <f t="shared" si="3"/>
        <v>X</v>
      </c>
      <c r="J104" s="53" t="str">
        <f>IFERROR(VLOOKUP(B104, DATA_Johnstone_2024_ALL!B:J, 8, FALSE), "")</f>
        <v>X</v>
      </c>
      <c r="K104" s="29"/>
      <c r="L104" s="30"/>
      <c r="M104" s="29"/>
      <c r="N104" s="20" t="str">
        <f>IF(J104=1, DATA_Johnstone_2023_50!M104, "")</f>
        <v/>
      </c>
      <c r="O104" s="20" t="str">
        <f>IF($J104=1, DATA_Johnstone_2023_50!N104, "")</f>
        <v/>
      </c>
      <c r="P104" s="49"/>
      <c r="Q104" s="20" t="str">
        <f>IF($J104=1, DATA_Johnstone_2023_50!P104, "")</f>
        <v/>
      </c>
      <c r="R104" s="22"/>
      <c r="T104" s="22"/>
      <c r="W104" s="47"/>
      <c r="AI104">
        <v>101</v>
      </c>
      <c r="AJ104">
        <v>1</v>
      </c>
    </row>
    <row r="105" spans="1:36" hidden="1" x14ac:dyDescent="0.35">
      <c r="A105">
        <v>509</v>
      </c>
      <c r="B105">
        <v>510</v>
      </c>
      <c r="C105">
        <v>146.06454070000001</v>
      </c>
      <c r="D105">
        <v>-17.536153259999999</v>
      </c>
      <c r="E105">
        <v>50</v>
      </c>
      <c r="G105" s="1" t="str">
        <f t="shared" si="2"/>
        <v/>
      </c>
      <c r="H105">
        <v>100</v>
      </c>
      <c r="I105" t="str">
        <f t="shared" si="3"/>
        <v>X</v>
      </c>
      <c r="J105" s="53" t="str">
        <f>IFERROR(VLOOKUP(B105, DATA_Johnstone_2024_ALL!B:J, 8, FALSE), "")</f>
        <v>X</v>
      </c>
      <c r="K105" s="29"/>
      <c r="L105" s="30"/>
      <c r="M105" s="29"/>
      <c r="N105" s="20" t="str">
        <f>IF(J105=1, DATA_Johnstone_2023_50!M105, "")</f>
        <v/>
      </c>
      <c r="O105" s="20" t="str">
        <f>IF($J105=1, DATA_Johnstone_2023_50!N105, "")</f>
        <v/>
      </c>
      <c r="P105" s="49"/>
      <c r="Q105" s="20" t="str">
        <f>IF($J105=1, DATA_Johnstone_2023_50!P105, "")</f>
        <v/>
      </c>
      <c r="R105" s="22"/>
      <c r="T105" s="22"/>
      <c r="W105" s="47"/>
      <c r="AI105">
        <v>102</v>
      </c>
      <c r="AJ105">
        <v>1</v>
      </c>
    </row>
    <row r="106" spans="1:36" hidden="1" x14ac:dyDescent="0.35">
      <c r="A106">
        <v>514</v>
      </c>
      <c r="B106">
        <v>515</v>
      </c>
      <c r="C106">
        <v>146.06413169999999</v>
      </c>
      <c r="D106">
        <v>-17.53636629</v>
      </c>
      <c r="E106">
        <v>50</v>
      </c>
      <c r="G106" s="1" t="str">
        <f t="shared" si="2"/>
        <v/>
      </c>
      <c r="H106">
        <v>100</v>
      </c>
      <c r="I106" t="str">
        <f t="shared" si="3"/>
        <v>X</v>
      </c>
      <c r="J106" s="53" t="str">
        <f>IFERROR(VLOOKUP(B106, DATA_Johnstone_2024_ALL!B:J, 8, FALSE), "")</f>
        <v>X</v>
      </c>
      <c r="K106" s="29"/>
      <c r="L106" s="30"/>
      <c r="M106" s="29"/>
      <c r="N106" s="20" t="str">
        <f>IF(J106=1, DATA_Johnstone_2023_50!M106, "")</f>
        <v/>
      </c>
      <c r="O106" s="20" t="str">
        <f>IF($J106=1, DATA_Johnstone_2023_50!N106, "")</f>
        <v/>
      </c>
      <c r="P106" s="49"/>
      <c r="Q106" s="20" t="str">
        <f>IF($J106=1, DATA_Johnstone_2023_50!P106, "")</f>
        <v/>
      </c>
      <c r="R106" s="22"/>
      <c r="T106" s="22"/>
      <c r="W106" s="47"/>
      <c r="AI106">
        <v>103</v>
      </c>
      <c r="AJ106">
        <v>1</v>
      </c>
    </row>
    <row r="107" spans="1:36" hidden="1" x14ac:dyDescent="0.35">
      <c r="A107">
        <v>519</v>
      </c>
      <c r="B107">
        <v>520</v>
      </c>
      <c r="C107">
        <v>146.06366460000001</v>
      </c>
      <c r="D107">
        <v>-17.536425349999998</v>
      </c>
      <c r="E107">
        <v>50</v>
      </c>
      <c r="G107" s="1" t="str">
        <f t="shared" si="2"/>
        <v/>
      </c>
      <c r="H107">
        <v>100</v>
      </c>
      <c r="I107" t="str">
        <f t="shared" si="3"/>
        <v>X</v>
      </c>
      <c r="J107" s="53" t="str">
        <f>IFERROR(VLOOKUP(B107, DATA_Johnstone_2024_ALL!B:J, 8, FALSE), "")</f>
        <v>X</v>
      </c>
      <c r="K107" s="29"/>
      <c r="L107" s="30"/>
      <c r="M107" s="29"/>
      <c r="N107" s="20" t="str">
        <f>IF(J107=1, DATA_Johnstone_2023_50!M107, "")</f>
        <v/>
      </c>
      <c r="O107" s="20" t="str">
        <f>IF($J107=1, DATA_Johnstone_2023_50!N107, "")</f>
        <v/>
      </c>
      <c r="P107" s="49"/>
      <c r="Q107" s="20" t="str">
        <f>IF($J107=1, DATA_Johnstone_2023_50!P107, "")</f>
        <v/>
      </c>
      <c r="R107" s="22"/>
      <c r="T107" s="22"/>
      <c r="W107" s="47"/>
      <c r="AI107">
        <v>104</v>
      </c>
      <c r="AJ107">
        <v>1</v>
      </c>
    </row>
    <row r="108" spans="1:36" hidden="1" x14ac:dyDescent="0.35">
      <c r="A108">
        <v>524</v>
      </c>
      <c r="B108">
        <v>525</v>
      </c>
      <c r="C108">
        <v>146.06319590000001</v>
      </c>
      <c r="D108">
        <v>-17.53644779</v>
      </c>
      <c r="E108">
        <v>50</v>
      </c>
      <c r="G108" s="1" t="str">
        <f t="shared" si="2"/>
        <v/>
      </c>
      <c r="H108">
        <v>100</v>
      </c>
      <c r="I108" t="str">
        <f t="shared" si="3"/>
        <v>X</v>
      </c>
      <c r="J108" s="53" t="str">
        <f>IFERROR(VLOOKUP(B108, DATA_Johnstone_2024_ALL!B:J, 8, FALSE), "")</f>
        <v>X</v>
      </c>
      <c r="K108" s="29"/>
      <c r="L108" s="30"/>
      <c r="M108" s="29"/>
      <c r="N108" s="20" t="str">
        <f>IF(J108=1, DATA_Johnstone_2023_50!M108, "")</f>
        <v/>
      </c>
      <c r="O108" s="20" t="str">
        <f>IF($J108=1, DATA_Johnstone_2023_50!N108, "")</f>
        <v/>
      </c>
      <c r="P108" s="49"/>
      <c r="Q108" s="20" t="str">
        <f>IF($J108=1, DATA_Johnstone_2023_50!P108, "")</f>
        <v/>
      </c>
      <c r="R108" s="22"/>
      <c r="T108" s="22"/>
      <c r="W108" s="47"/>
      <c r="AI108">
        <v>105</v>
      </c>
      <c r="AJ108">
        <v>1</v>
      </c>
    </row>
    <row r="109" spans="1:36" hidden="1" x14ac:dyDescent="0.35">
      <c r="A109">
        <v>529</v>
      </c>
      <c r="B109">
        <v>530</v>
      </c>
      <c r="C109">
        <v>146.06273659999999</v>
      </c>
      <c r="D109">
        <v>-17.536354249999999</v>
      </c>
      <c r="E109">
        <v>50</v>
      </c>
      <c r="G109" s="1" t="str">
        <f t="shared" si="2"/>
        <v/>
      </c>
      <c r="H109">
        <v>100</v>
      </c>
      <c r="I109" t="str">
        <f t="shared" si="3"/>
        <v>X</v>
      </c>
      <c r="J109" s="53" t="str">
        <f>IFERROR(VLOOKUP(B109, DATA_Johnstone_2024_ALL!B:J, 8, FALSE), "")</f>
        <v>X</v>
      </c>
      <c r="K109" s="29"/>
      <c r="L109" s="30"/>
      <c r="M109" s="29"/>
      <c r="N109" s="20" t="str">
        <f>IF(J109=1, DATA_Johnstone_2023_50!M109, "")</f>
        <v/>
      </c>
      <c r="O109" s="20" t="str">
        <f>IF($J109=1, DATA_Johnstone_2023_50!N109, "")</f>
        <v/>
      </c>
      <c r="P109" s="49"/>
      <c r="Q109" s="20" t="str">
        <f>IF($J109=1, DATA_Johnstone_2023_50!P109, "")</f>
        <v/>
      </c>
      <c r="R109" s="22"/>
      <c r="T109" s="22"/>
      <c r="W109" s="47"/>
      <c r="AI109">
        <v>106</v>
      </c>
      <c r="AJ109">
        <v>1</v>
      </c>
    </row>
    <row r="110" spans="1:36" hidden="1" x14ac:dyDescent="0.35">
      <c r="A110">
        <v>534</v>
      </c>
      <c r="B110">
        <v>535</v>
      </c>
      <c r="C110">
        <v>146.06233760000001</v>
      </c>
      <c r="D110">
        <v>-17.53612124</v>
      </c>
      <c r="E110">
        <v>50</v>
      </c>
      <c r="G110" s="1" t="str">
        <f t="shared" si="2"/>
        <v/>
      </c>
      <c r="H110">
        <v>100</v>
      </c>
      <c r="I110" t="str">
        <f t="shared" si="3"/>
        <v>X</v>
      </c>
      <c r="J110" s="53" t="str">
        <f>IFERROR(VLOOKUP(B110, DATA_Johnstone_2024_ALL!B:J, 8, FALSE), "")</f>
        <v>X</v>
      </c>
      <c r="K110" s="29"/>
      <c r="L110" s="30"/>
      <c r="M110" s="29"/>
      <c r="N110" s="20" t="str">
        <f>IF(J110=1, DATA_Johnstone_2023_50!M110, "")</f>
        <v/>
      </c>
      <c r="O110" s="20" t="str">
        <f>IF($J110=1, DATA_Johnstone_2023_50!N110, "")</f>
        <v/>
      </c>
      <c r="P110" s="49"/>
      <c r="Q110" s="20" t="str">
        <f>IF($J110=1, DATA_Johnstone_2023_50!P110, "")</f>
        <v/>
      </c>
      <c r="R110" s="22"/>
      <c r="T110" s="22"/>
      <c r="W110" s="47"/>
      <c r="AI110">
        <v>107</v>
      </c>
      <c r="AJ110">
        <v>1</v>
      </c>
    </row>
    <row r="111" spans="1:36" hidden="1" x14ac:dyDescent="0.35">
      <c r="A111">
        <v>539</v>
      </c>
      <c r="B111">
        <v>540</v>
      </c>
      <c r="C111">
        <v>146.06188059999999</v>
      </c>
      <c r="D111">
        <v>-17.53608174</v>
      </c>
      <c r="E111">
        <v>50</v>
      </c>
      <c r="G111" s="1" t="str">
        <f t="shared" si="2"/>
        <v/>
      </c>
      <c r="H111">
        <v>100</v>
      </c>
      <c r="I111" t="str">
        <f t="shared" si="3"/>
        <v>X</v>
      </c>
      <c r="J111" s="53" t="str">
        <f>IFERROR(VLOOKUP(B111, DATA_Johnstone_2024_ALL!B:J, 8, FALSE), "")</f>
        <v>X</v>
      </c>
      <c r="K111" s="29"/>
      <c r="L111" s="30"/>
      <c r="M111" s="29"/>
      <c r="N111" s="20" t="str">
        <f>IF(J111=1, DATA_Johnstone_2023_50!M111, "")</f>
        <v/>
      </c>
      <c r="O111" s="20" t="str">
        <f>IF($J111=1, DATA_Johnstone_2023_50!N111, "")</f>
        <v/>
      </c>
      <c r="P111" s="49"/>
      <c r="Q111" s="20" t="str">
        <f>IF($J111=1, DATA_Johnstone_2023_50!P111, "")</f>
        <v/>
      </c>
      <c r="R111" s="22"/>
      <c r="T111" s="22"/>
      <c r="W111" s="47"/>
      <c r="AI111">
        <v>108</v>
      </c>
      <c r="AJ111">
        <v>1</v>
      </c>
    </row>
    <row r="112" spans="1:36" hidden="1" x14ac:dyDescent="0.35">
      <c r="A112">
        <v>544</v>
      </c>
      <c r="B112">
        <v>545</v>
      </c>
      <c r="C112">
        <v>146.06154119999999</v>
      </c>
      <c r="D112">
        <v>-17.536379090000001</v>
      </c>
      <c r="E112">
        <v>50</v>
      </c>
      <c r="G112" s="1" t="str">
        <f t="shared" si="2"/>
        <v/>
      </c>
      <c r="H112">
        <v>100</v>
      </c>
      <c r="I112" t="str">
        <f t="shared" si="3"/>
        <v>X</v>
      </c>
      <c r="J112" s="53" t="str">
        <f>IFERROR(VLOOKUP(B112, DATA_Johnstone_2024_ALL!B:J, 8, FALSE), "")</f>
        <v>X</v>
      </c>
      <c r="K112" s="29"/>
      <c r="L112" s="30"/>
      <c r="M112" s="29"/>
      <c r="N112" s="20" t="str">
        <f>IF(J112=1, DATA_Johnstone_2023_50!M112, "")</f>
        <v/>
      </c>
      <c r="O112" s="20" t="str">
        <f>IF($J112=1, DATA_Johnstone_2023_50!N112, "")</f>
        <v/>
      </c>
      <c r="P112" s="49"/>
      <c r="Q112" s="20" t="str">
        <f>IF($J112=1, DATA_Johnstone_2023_50!P112, "")</f>
        <v/>
      </c>
      <c r="R112" s="22"/>
      <c r="T112" s="22"/>
      <c r="W112" s="47"/>
      <c r="AI112">
        <v>109</v>
      </c>
      <c r="AJ112">
        <v>1</v>
      </c>
    </row>
    <row r="113" spans="1:36" hidden="1" x14ac:dyDescent="0.35">
      <c r="A113">
        <v>549</v>
      </c>
      <c r="B113">
        <v>550</v>
      </c>
      <c r="C113">
        <v>146.0614631</v>
      </c>
      <c r="D113">
        <v>-17.536843080000001</v>
      </c>
      <c r="E113">
        <v>50</v>
      </c>
      <c r="G113" s="1" t="str">
        <f t="shared" si="2"/>
        <v/>
      </c>
      <c r="H113">
        <v>100</v>
      </c>
      <c r="I113" t="str">
        <f t="shared" si="3"/>
        <v>X</v>
      </c>
      <c r="J113" s="53" t="str">
        <f>IFERROR(VLOOKUP(B113, DATA_Johnstone_2024_ALL!B:J, 8, FALSE), "")</f>
        <v>X</v>
      </c>
      <c r="K113" s="29"/>
      <c r="L113" s="30"/>
      <c r="M113" s="29"/>
      <c r="N113" s="20" t="str">
        <f>IF(J113=1, DATA_Johnstone_2023_50!M113, "")</f>
        <v/>
      </c>
      <c r="O113" s="20" t="str">
        <f>IF($J113=1, DATA_Johnstone_2023_50!N113, "")</f>
        <v/>
      </c>
      <c r="P113" s="49"/>
      <c r="Q113" s="20" t="str">
        <f>IF($J113=1, DATA_Johnstone_2023_50!P113, "")</f>
        <v/>
      </c>
      <c r="R113" s="22"/>
      <c r="T113" s="22"/>
      <c r="W113" s="47"/>
      <c r="AI113">
        <v>110</v>
      </c>
      <c r="AJ113">
        <v>1</v>
      </c>
    </row>
    <row r="114" spans="1:36" hidden="1" x14ac:dyDescent="0.35">
      <c r="A114">
        <v>554</v>
      </c>
      <c r="B114">
        <v>555</v>
      </c>
      <c r="C114">
        <v>146.0614898</v>
      </c>
      <c r="D114">
        <v>-17.53730822</v>
      </c>
      <c r="E114">
        <v>50</v>
      </c>
      <c r="G114" s="1" t="str">
        <f t="shared" si="2"/>
        <v/>
      </c>
      <c r="H114">
        <v>100</v>
      </c>
      <c r="I114" t="str">
        <f t="shared" si="3"/>
        <v>X</v>
      </c>
      <c r="J114" s="53" t="str">
        <f>IFERROR(VLOOKUP(B114, DATA_Johnstone_2024_ALL!B:J, 8, FALSE), "")</f>
        <v>X</v>
      </c>
      <c r="K114" s="29"/>
      <c r="L114" s="30"/>
      <c r="M114" s="29"/>
      <c r="N114" s="20" t="str">
        <f>IF(J114=1, DATA_Johnstone_2023_50!M114, "")</f>
        <v/>
      </c>
      <c r="O114" s="20" t="str">
        <f>IF($J114=1, DATA_Johnstone_2023_50!N114, "")</f>
        <v/>
      </c>
      <c r="P114" s="49"/>
      <c r="Q114" s="20" t="str">
        <f>IF($J114=1, DATA_Johnstone_2023_50!P114, "")</f>
        <v/>
      </c>
      <c r="R114" s="22"/>
      <c r="T114" s="22"/>
      <c r="W114" s="47"/>
      <c r="AI114">
        <v>111</v>
      </c>
      <c r="AJ114">
        <v>1</v>
      </c>
    </row>
    <row r="115" spans="1:36" hidden="1" x14ac:dyDescent="0.35">
      <c r="A115">
        <v>559</v>
      </c>
      <c r="B115">
        <v>560</v>
      </c>
      <c r="C115">
        <v>146.061746</v>
      </c>
      <c r="D115">
        <v>-17.537683359999999</v>
      </c>
      <c r="E115">
        <v>50</v>
      </c>
      <c r="G115" s="1" t="str">
        <f t="shared" si="2"/>
        <v/>
      </c>
      <c r="H115">
        <v>100</v>
      </c>
      <c r="I115" t="str">
        <f t="shared" si="3"/>
        <v>X</v>
      </c>
      <c r="J115" s="53" t="str">
        <f>IFERROR(VLOOKUP(B115, DATA_Johnstone_2024_ALL!B:J, 8, FALSE), "")</f>
        <v>X</v>
      </c>
      <c r="K115" s="29"/>
      <c r="L115" s="30"/>
      <c r="M115" s="29"/>
      <c r="N115" s="20" t="str">
        <f>IF(J115=1, DATA_Johnstone_2023_50!M115, "")</f>
        <v/>
      </c>
      <c r="O115" s="20" t="str">
        <f>IF($J115=1, DATA_Johnstone_2023_50!N115, "")</f>
        <v/>
      </c>
      <c r="P115" s="49"/>
      <c r="Q115" s="20" t="str">
        <f>IF($J115=1, DATA_Johnstone_2023_50!P115, "")</f>
        <v/>
      </c>
      <c r="R115" s="22"/>
      <c r="T115" s="22"/>
      <c r="W115" s="47"/>
      <c r="AI115">
        <v>112</v>
      </c>
      <c r="AJ115">
        <v>1</v>
      </c>
    </row>
    <row r="116" spans="1:36" hidden="1" x14ac:dyDescent="0.35">
      <c r="A116">
        <v>564</v>
      </c>
      <c r="B116">
        <v>565</v>
      </c>
      <c r="C116">
        <v>146.06217290000001</v>
      </c>
      <c r="D116">
        <v>-17.537862839999999</v>
      </c>
      <c r="E116">
        <v>50</v>
      </c>
      <c r="G116" s="1" t="str">
        <f t="shared" si="2"/>
        <v/>
      </c>
      <c r="H116">
        <v>100</v>
      </c>
      <c r="I116" t="str">
        <f t="shared" si="3"/>
        <v>X</v>
      </c>
      <c r="J116" s="53" t="str">
        <f>IFERROR(VLOOKUP(B116, DATA_Johnstone_2024_ALL!B:J, 8, FALSE), "")</f>
        <v>X</v>
      </c>
      <c r="K116" s="29"/>
      <c r="L116" s="30"/>
      <c r="M116" s="29"/>
      <c r="N116" s="20" t="str">
        <f>IF(J116=1, DATA_Johnstone_2023_50!M116, "")</f>
        <v/>
      </c>
      <c r="O116" s="20" t="str">
        <f>IF($J116=1, DATA_Johnstone_2023_50!N116, "")</f>
        <v/>
      </c>
      <c r="P116" s="49"/>
      <c r="Q116" s="20" t="str">
        <f>IF($J116=1, DATA_Johnstone_2023_50!P116, "")</f>
        <v/>
      </c>
      <c r="R116" s="22"/>
      <c r="T116" s="22"/>
      <c r="W116" s="47"/>
      <c r="AI116">
        <v>113</v>
      </c>
      <c r="AJ116">
        <v>1</v>
      </c>
    </row>
    <row r="117" spans="1:36" hidden="1" x14ac:dyDescent="0.35">
      <c r="A117">
        <v>569</v>
      </c>
      <c r="B117">
        <v>570</v>
      </c>
      <c r="C117">
        <v>146.06264110000001</v>
      </c>
      <c r="D117">
        <v>-17.537913110000002</v>
      </c>
      <c r="E117">
        <v>50</v>
      </c>
      <c r="G117" s="1" t="str">
        <f t="shared" si="2"/>
        <v/>
      </c>
      <c r="H117">
        <v>100</v>
      </c>
      <c r="I117" t="str">
        <f t="shared" si="3"/>
        <v>X</v>
      </c>
      <c r="J117" s="53" t="str">
        <f>IFERROR(VLOOKUP(B117, DATA_Johnstone_2024_ALL!B:J, 8, FALSE), "")</f>
        <v>X</v>
      </c>
      <c r="K117" s="29"/>
      <c r="L117" s="30"/>
      <c r="M117" s="29"/>
      <c r="N117" s="20" t="str">
        <f>IF(J117=1, DATA_Johnstone_2023_50!M117, "")</f>
        <v/>
      </c>
      <c r="O117" s="20" t="str">
        <f>IF($J117=1, DATA_Johnstone_2023_50!N117, "")</f>
        <v/>
      </c>
      <c r="P117" s="49"/>
      <c r="Q117" s="20" t="str">
        <f>IF($J117=1, DATA_Johnstone_2023_50!P117, "")</f>
        <v/>
      </c>
      <c r="R117" s="22"/>
      <c r="T117" s="22"/>
      <c r="W117" s="47"/>
      <c r="AI117">
        <v>114</v>
      </c>
      <c r="AJ117">
        <v>1</v>
      </c>
    </row>
    <row r="118" spans="1:36" hidden="1" x14ac:dyDescent="0.35">
      <c r="A118">
        <v>574</v>
      </c>
      <c r="B118">
        <v>575</v>
      </c>
      <c r="C118">
        <v>146.0630816</v>
      </c>
      <c r="D118">
        <v>-17.538063040000001</v>
      </c>
      <c r="E118">
        <v>50</v>
      </c>
      <c r="G118" s="1" t="str">
        <f t="shared" si="2"/>
        <v/>
      </c>
      <c r="H118">
        <v>100</v>
      </c>
      <c r="I118" t="str">
        <f t="shared" si="3"/>
        <v>X</v>
      </c>
      <c r="J118" s="53" t="str">
        <f>IFERROR(VLOOKUP(B118, DATA_Johnstone_2024_ALL!B:J, 8, FALSE), "")</f>
        <v>X</v>
      </c>
      <c r="K118" s="29"/>
      <c r="L118" s="30"/>
      <c r="M118" s="29"/>
      <c r="N118" s="20" t="str">
        <f>IF(J118=1, DATA_Johnstone_2023_50!M118, "")</f>
        <v/>
      </c>
      <c r="O118" s="20" t="str">
        <f>IF($J118=1, DATA_Johnstone_2023_50!N118, "")</f>
        <v/>
      </c>
      <c r="P118" s="49"/>
      <c r="Q118" s="20" t="str">
        <f>IF($J118=1, DATA_Johnstone_2023_50!P118, "")</f>
        <v/>
      </c>
      <c r="R118" s="22"/>
      <c r="T118" s="22"/>
      <c r="W118" s="47"/>
      <c r="AI118">
        <v>115</v>
      </c>
      <c r="AJ118">
        <v>1</v>
      </c>
    </row>
    <row r="119" spans="1:36" hidden="1" x14ac:dyDescent="0.35">
      <c r="A119">
        <v>579</v>
      </c>
      <c r="B119">
        <v>580</v>
      </c>
      <c r="C119">
        <v>146.06352480000001</v>
      </c>
      <c r="D119">
        <v>-17.538186759999999</v>
      </c>
      <c r="E119">
        <v>50</v>
      </c>
      <c r="G119" s="1" t="str">
        <f t="shared" si="2"/>
        <v/>
      </c>
      <c r="H119">
        <v>100</v>
      </c>
      <c r="I119" t="str">
        <f t="shared" si="3"/>
        <v>X</v>
      </c>
      <c r="J119" s="53" t="str">
        <f>IFERROR(VLOOKUP(B119, DATA_Johnstone_2024_ALL!B:J, 8, FALSE), "")</f>
        <v>X</v>
      </c>
      <c r="K119" s="29"/>
      <c r="L119" s="30"/>
      <c r="M119" s="29"/>
      <c r="N119" s="20" t="str">
        <f>IF(J119=1, DATA_Johnstone_2023_50!M119, "")</f>
        <v/>
      </c>
      <c r="O119" s="20" t="str">
        <f>IF($J119=1, DATA_Johnstone_2023_50!N119, "")</f>
        <v/>
      </c>
      <c r="P119" s="49"/>
      <c r="Q119" s="20" t="str">
        <f>IF($J119=1, DATA_Johnstone_2023_50!P119, "")</f>
        <v/>
      </c>
      <c r="R119" s="22"/>
      <c r="T119" s="22"/>
      <c r="W119" s="47"/>
      <c r="AI119">
        <v>116</v>
      </c>
      <c r="AJ119">
        <v>1</v>
      </c>
    </row>
    <row r="120" spans="1:36" hidden="1" x14ac:dyDescent="0.35">
      <c r="A120">
        <v>584</v>
      </c>
      <c r="B120">
        <v>585</v>
      </c>
      <c r="C120">
        <v>146.0639865</v>
      </c>
      <c r="D120">
        <v>-17.538152369999999</v>
      </c>
      <c r="E120">
        <v>50</v>
      </c>
      <c r="G120" s="1" t="str">
        <f t="shared" si="2"/>
        <v/>
      </c>
      <c r="H120">
        <v>100</v>
      </c>
      <c r="I120" t="str">
        <f t="shared" si="3"/>
        <v>X</v>
      </c>
      <c r="J120" s="53" t="str">
        <f>IFERROR(VLOOKUP(B120, DATA_Johnstone_2024_ALL!B:J, 8, FALSE), "")</f>
        <v>X</v>
      </c>
      <c r="K120" s="29"/>
      <c r="L120" s="30"/>
      <c r="M120" s="29"/>
      <c r="N120" s="20" t="str">
        <f>IF(J120=1, DATA_Johnstone_2023_50!M120, "")</f>
        <v/>
      </c>
      <c r="O120" s="20" t="str">
        <f>IF($J120=1, DATA_Johnstone_2023_50!N120, "")</f>
        <v/>
      </c>
      <c r="P120" s="49"/>
      <c r="Q120" s="20" t="str">
        <f>IF($J120=1, DATA_Johnstone_2023_50!P120, "")</f>
        <v/>
      </c>
      <c r="R120" s="22"/>
      <c r="T120" s="22"/>
      <c r="W120" s="47"/>
      <c r="AI120">
        <v>117</v>
      </c>
      <c r="AJ120">
        <v>1</v>
      </c>
    </row>
    <row r="121" spans="1:36" hidden="1" x14ac:dyDescent="0.35">
      <c r="A121">
        <v>589</v>
      </c>
      <c r="B121">
        <v>590</v>
      </c>
      <c r="C121">
        <v>146.06445389999999</v>
      </c>
      <c r="D121">
        <v>-17.538092389999999</v>
      </c>
      <c r="E121">
        <v>50</v>
      </c>
      <c r="G121" s="1" t="str">
        <f t="shared" si="2"/>
        <v/>
      </c>
      <c r="H121">
        <v>100</v>
      </c>
      <c r="I121" t="str">
        <f t="shared" si="3"/>
        <v>X</v>
      </c>
      <c r="J121" s="53" t="str">
        <f>IFERROR(VLOOKUP(B121, DATA_Johnstone_2024_ALL!B:J, 8, FALSE), "")</f>
        <v>X</v>
      </c>
      <c r="K121" s="29"/>
      <c r="L121" s="30"/>
      <c r="M121" s="29"/>
      <c r="N121" s="20" t="str">
        <f>IF(J121=1, DATA_Johnstone_2023_50!M121, "")</f>
        <v/>
      </c>
      <c r="O121" s="20" t="str">
        <f>IF($J121=1, DATA_Johnstone_2023_50!N121, "")</f>
        <v/>
      </c>
      <c r="P121" s="49"/>
      <c r="Q121" s="20" t="str">
        <f>IF($J121=1, DATA_Johnstone_2023_50!P121, "")</f>
        <v/>
      </c>
      <c r="R121" s="22"/>
      <c r="T121" s="22"/>
      <c r="W121" s="47"/>
      <c r="AI121">
        <v>118</v>
      </c>
      <c r="AJ121">
        <v>1</v>
      </c>
    </row>
    <row r="122" spans="1:36" hidden="1" x14ac:dyDescent="0.35">
      <c r="A122">
        <v>594</v>
      </c>
      <c r="B122">
        <v>595</v>
      </c>
      <c r="C122">
        <v>146.06492259999999</v>
      </c>
      <c r="D122">
        <v>-17.538121740000001</v>
      </c>
      <c r="E122">
        <v>50</v>
      </c>
      <c r="G122" s="1" t="str">
        <f t="shared" si="2"/>
        <v/>
      </c>
      <c r="H122">
        <v>100</v>
      </c>
      <c r="I122" t="str">
        <f t="shared" si="3"/>
        <v>X</v>
      </c>
      <c r="J122" s="53" t="str">
        <f>IFERROR(VLOOKUP(B122, DATA_Johnstone_2024_ALL!B:J, 8, FALSE), "")</f>
        <v>X</v>
      </c>
      <c r="K122" s="29"/>
      <c r="L122" s="30"/>
      <c r="M122" s="29"/>
      <c r="N122" s="20" t="str">
        <f>IF(J122=1, DATA_Johnstone_2023_50!M122, "")</f>
        <v/>
      </c>
      <c r="O122" s="20" t="str">
        <f>IF($J122=1, DATA_Johnstone_2023_50!N122, "")</f>
        <v/>
      </c>
      <c r="P122" s="49"/>
      <c r="Q122" s="20" t="str">
        <f>IF($J122=1, DATA_Johnstone_2023_50!P122, "")</f>
        <v/>
      </c>
      <c r="R122" s="22"/>
      <c r="T122" s="22"/>
      <c r="W122" s="47"/>
      <c r="AI122">
        <v>119</v>
      </c>
      <c r="AJ122">
        <v>1</v>
      </c>
    </row>
    <row r="123" spans="1:36" hidden="1" x14ac:dyDescent="0.35">
      <c r="A123">
        <v>599</v>
      </c>
      <c r="B123">
        <v>600</v>
      </c>
      <c r="C123">
        <v>146.0652906</v>
      </c>
      <c r="D123">
        <v>-17.538370140000001</v>
      </c>
      <c r="E123">
        <v>50</v>
      </c>
      <c r="G123" s="1" t="str">
        <f t="shared" si="2"/>
        <v/>
      </c>
      <c r="H123">
        <v>100</v>
      </c>
      <c r="I123" t="str">
        <f t="shared" si="3"/>
        <v>X</v>
      </c>
      <c r="J123" s="53" t="str">
        <f>IFERROR(VLOOKUP(B123, DATA_Johnstone_2024_ALL!B:J, 8, FALSE), "")</f>
        <v>X</v>
      </c>
      <c r="K123" s="29"/>
      <c r="L123" s="30"/>
      <c r="M123" s="29"/>
      <c r="N123" s="20" t="str">
        <f>IF(J123=1, DATA_Johnstone_2023_50!M123, "")</f>
        <v/>
      </c>
      <c r="O123" s="20" t="str">
        <f>IF($J123=1, DATA_Johnstone_2023_50!N123, "")</f>
        <v/>
      </c>
      <c r="P123" s="49"/>
      <c r="Q123" s="20" t="str">
        <f>IF($J123=1, DATA_Johnstone_2023_50!P123, "")</f>
        <v/>
      </c>
      <c r="R123" s="22"/>
      <c r="T123" s="22"/>
      <c r="W123" s="47"/>
      <c r="AI123">
        <v>120</v>
      </c>
      <c r="AJ123">
        <v>1</v>
      </c>
    </row>
    <row r="124" spans="1:36" hidden="1" x14ac:dyDescent="0.35">
      <c r="A124">
        <v>604</v>
      </c>
      <c r="B124">
        <v>605</v>
      </c>
      <c r="C124">
        <v>146.0653484</v>
      </c>
      <c r="D124">
        <v>-17.538822499999998</v>
      </c>
      <c r="E124">
        <v>50</v>
      </c>
      <c r="G124" s="1" t="str">
        <f t="shared" si="2"/>
        <v/>
      </c>
      <c r="H124">
        <v>100</v>
      </c>
      <c r="I124" t="str">
        <f t="shared" si="3"/>
        <v>X</v>
      </c>
      <c r="J124" s="53" t="str">
        <f>IFERROR(VLOOKUP(B124, DATA_Johnstone_2024_ALL!B:J, 8, FALSE), "")</f>
        <v>X</v>
      </c>
      <c r="K124" s="29"/>
      <c r="L124" s="30"/>
      <c r="M124" s="29"/>
      <c r="N124" s="20" t="str">
        <f>IF(J124=1, DATA_Johnstone_2023_50!M124, "")</f>
        <v/>
      </c>
      <c r="O124" s="20" t="str">
        <f>IF($J124=1, DATA_Johnstone_2023_50!N124, "")</f>
        <v/>
      </c>
      <c r="P124" s="49"/>
      <c r="Q124" s="20" t="str">
        <f>IF($J124=1, DATA_Johnstone_2023_50!P124, "")</f>
        <v/>
      </c>
      <c r="R124" s="22"/>
      <c r="T124" s="22"/>
      <c r="W124" s="47"/>
      <c r="AI124">
        <v>121</v>
      </c>
      <c r="AJ124">
        <v>1</v>
      </c>
    </row>
    <row r="125" spans="1:36" hidden="1" x14ac:dyDescent="0.35">
      <c r="A125">
        <v>609</v>
      </c>
      <c r="B125">
        <v>610</v>
      </c>
      <c r="C125">
        <v>146.06515440000001</v>
      </c>
      <c r="D125">
        <v>-17.539244530000001</v>
      </c>
      <c r="E125">
        <v>50</v>
      </c>
      <c r="G125" s="1" t="str">
        <f t="shared" si="2"/>
        <v/>
      </c>
      <c r="H125">
        <v>100</v>
      </c>
      <c r="I125" t="str">
        <f t="shared" si="3"/>
        <v>X</v>
      </c>
      <c r="J125" s="53" t="str">
        <f>IFERROR(VLOOKUP(B125, DATA_Johnstone_2024_ALL!B:J, 8, FALSE), "")</f>
        <v>X</v>
      </c>
      <c r="K125" s="29"/>
      <c r="L125" s="30"/>
      <c r="M125" s="29"/>
      <c r="N125" s="20" t="str">
        <f>IF(J125=1, DATA_Johnstone_2023_50!M125, "")</f>
        <v/>
      </c>
      <c r="O125" s="20" t="str">
        <f>IF($J125=1, DATA_Johnstone_2023_50!N125, "")</f>
        <v/>
      </c>
      <c r="P125" s="49"/>
      <c r="Q125" s="20" t="str">
        <f>IF($J125=1, DATA_Johnstone_2023_50!P125, "")</f>
        <v/>
      </c>
      <c r="R125" s="22"/>
      <c r="T125" s="22"/>
      <c r="W125" s="47"/>
      <c r="AI125">
        <v>122</v>
      </c>
      <c r="AJ125">
        <v>1</v>
      </c>
    </row>
    <row r="126" spans="1:36" hidden="1" x14ac:dyDescent="0.35">
      <c r="A126">
        <v>614</v>
      </c>
      <c r="B126">
        <v>615</v>
      </c>
      <c r="C126">
        <v>146.06479210000001</v>
      </c>
      <c r="D126">
        <v>-17.53954474</v>
      </c>
      <c r="E126">
        <v>50</v>
      </c>
      <c r="G126" s="1" t="str">
        <f t="shared" si="2"/>
        <v/>
      </c>
      <c r="H126">
        <v>100</v>
      </c>
      <c r="I126" t="str">
        <f t="shared" si="3"/>
        <v>X</v>
      </c>
      <c r="J126" s="53" t="str">
        <f>IFERROR(VLOOKUP(B126, DATA_Johnstone_2024_ALL!B:J, 8, FALSE), "")</f>
        <v>X</v>
      </c>
      <c r="K126" s="29"/>
      <c r="L126" s="30"/>
      <c r="M126" s="29"/>
      <c r="N126" s="20" t="str">
        <f>IF(J126=1, DATA_Johnstone_2023_50!M126, "")</f>
        <v/>
      </c>
      <c r="O126" s="20" t="str">
        <f>IF($J126=1, DATA_Johnstone_2023_50!N126, "")</f>
        <v/>
      </c>
      <c r="P126" s="49"/>
      <c r="Q126" s="20" t="str">
        <f>IF($J126=1, DATA_Johnstone_2023_50!P126, "")</f>
        <v/>
      </c>
      <c r="R126" s="22"/>
      <c r="T126" s="22"/>
      <c r="W126" s="47"/>
      <c r="AI126">
        <v>123</v>
      </c>
      <c r="AJ126">
        <v>1</v>
      </c>
    </row>
    <row r="127" spans="1:36" hidden="1" x14ac:dyDescent="0.35">
      <c r="A127">
        <v>619</v>
      </c>
      <c r="B127">
        <v>620</v>
      </c>
      <c r="C127">
        <v>146.06436070000001</v>
      </c>
      <c r="D127">
        <v>-17.539703620000001</v>
      </c>
      <c r="E127">
        <v>50</v>
      </c>
      <c r="G127" s="1" t="str">
        <f t="shared" si="2"/>
        <v/>
      </c>
      <c r="H127">
        <v>100</v>
      </c>
      <c r="I127" t="str">
        <f t="shared" si="3"/>
        <v>X</v>
      </c>
      <c r="J127" s="53" t="str">
        <f>IFERROR(VLOOKUP(B127, DATA_Johnstone_2024_ALL!B:J, 8, FALSE), "")</f>
        <v>X</v>
      </c>
      <c r="K127" s="29"/>
      <c r="L127" s="30"/>
      <c r="M127" s="29"/>
      <c r="N127" s="20" t="str">
        <f>IF(J127=1, DATA_Johnstone_2023_50!M127, "")</f>
        <v/>
      </c>
      <c r="O127" s="20" t="str">
        <f>IF($J127=1, DATA_Johnstone_2023_50!N127, "")</f>
        <v/>
      </c>
      <c r="P127" s="49"/>
      <c r="Q127" s="20" t="str">
        <f>IF($J127=1, DATA_Johnstone_2023_50!P127, "")</f>
        <v/>
      </c>
      <c r="R127" s="22"/>
      <c r="T127" s="22"/>
      <c r="W127" s="47"/>
      <c r="AI127">
        <v>124</v>
      </c>
      <c r="AJ127">
        <v>1</v>
      </c>
    </row>
    <row r="128" spans="1:36" hidden="1" x14ac:dyDescent="0.35">
      <c r="A128">
        <v>624</v>
      </c>
      <c r="B128">
        <v>625</v>
      </c>
      <c r="C128">
        <v>146.06390540000001</v>
      </c>
      <c r="D128">
        <v>-17.539806030000001</v>
      </c>
      <c r="E128">
        <v>50</v>
      </c>
      <c r="G128" s="1" t="str">
        <f t="shared" si="2"/>
        <v/>
      </c>
      <c r="H128">
        <v>100</v>
      </c>
      <c r="I128" t="str">
        <f t="shared" si="3"/>
        <v>X</v>
      </c>
      <c r="J128" s="53" t="str">
        <f>IFERROR(VLOOKUP(B128, DATA_Johnstone_2024_ALL!B:J, 8, FALSE), "")</f>
        <v>X</v>
      </c>
      <c r="K128" s="29"/>
      <c r="L128" s="30"/>
      <c r="M128" s="29"/>
      <c r="N128" s="20" t="str">
        <f>IF(J128=1, DATA_Johnstone_2023_50!M128, "")</f>
        <v/>
      </c>
      <c r="O128" s="20" t="str">
        <f>IF($J128=1, DATA_Johnstone_2023_50!N128, "")</f>
        <v/>
      </c>
      <c r="P128" s="49"/>
      <c r="Q128" s="20" t="str">
        <f>IF($J128=1, DATA_Johnstone_2023_50!P128, "")</f>
        <v/>
      </c>
      <c r="R128" s="22"/>
      <c r="T128" s="22"/>
      <c r="W128" s="47"/>
      <c r="AI128">
        <v>125</v>
      </c>
      <c r="AJ128">
        <v>1</v>
      </c>
    </row>
    <row r="129" spans="1:36" hidden="1" x14ac:dyDescent="0.35">
      <c r="A129">
        <v>629</v>
      </c>
      <c r="B129">
        <v>630</v>
      </c>
      <c r="C129">
        <v>146.06346439999999</v>
      </c>
      <c r="D129">
        <v>-17.539972670000001</v>
      </c>
      <c r="E129">
        <v>50</v>
      </c>
      <c r="G129" s="1" t="str">
        <f t="shared" si="2"/>
        <v/>
      </c>
      <c r="H129">
        <v>100</v>
      </c>
      <c r="I129" t="str">
        <f t="shared" si="3"/>
        <v>X</v>
      </c>
      <c r="J129" s="53" t="str">
        <f>IFERROR(VLOOKUP(B129, DATA_Johnstone_2024_ALL!B:J, 8, FALSE), "")</f>
        <v>X</v>
      </c>
      <c r="K129" s="29"/>
      <c r="L129" s="30"/>
      <c r="M129" s="29"/>
      <c r="N129" s="20" t="str">
        <f>IF(J129=1, DATA_Johnstone_2023_50!M129, "")</f>
        <v/>
      </c>
      <c r="O129" s="20" t="str">
        <f>IF($J129=1, DATA_Johnstone_2023_50!N129, "")</f>
        <v/>
      </c>
      <c r="P129" s="49"/>
      <c r="Q129" s="20" t="str">
        <f>IF($J129=1, DATA_Johnstone_2023_50!P129, "")</f>
        <v/>
      </c>
      <c r="R129" s="22"/>
      <c r="T129" s="22"/>
      <c r="W129" s="47"/>
      <c r="AI129">
        <v>126</v>
      </c>
      <c r="AJ129">
        <v>1</v>
      </c>
    </row>
    <row r="130" spans="1:36" hidden="1" x14ac:dyDescent="0.35">
      <c r="A130">
        <v>634</v>
      </c>
      <c r="B130">
        <v>635</v>
      </c>
      <c r="C130">
        <v>146.06313159999999</v>
      </c>
      <c r="D130">
        <v>-17.540280939999999</v>
      </c>
      <c r="E130">
        <v>50</v>
      </c>
      <c r="G130" s="1" t="str">
        <f t="shared" si="2"/>
        <v/>
      </c>
      <c r="H130">
        <v>100</v>
      </c>
      <c r="I130" t="str">
        <f t="shared" si="3"/>
        <v>X</v>
      </c>
      <c r="J130" s="53" t="str">
        <f>IFERROR(VLOOKUP(B130, DATA_Johnstone_2024_ALL!B:J, 8, FALSE), "")</f>
        <v>X</v>
      </c>
      <c r="K130" s="29"/>
      <c r="L130" s="30"/>
      <c r="M130" s="29"/>
      <c r="N130" s="20" t="str">
        <f>IF(J130=1, DATA_Johnstone_2023_50!M130, "")</f>
        <v/>
      </c>
      <c r="O130" s="20" t="str">
        <f>IF($J130=1, DATA_Johnstone_2023_50!N130, "")</f>
        <v/>
      </c>
      <c r="P130" s="49"/>
      <c r="Q130" s="20" t="str">
        <f>IF($J130=1, DATA_Johnstone_2023_50!P130, "")</f>
        <v/>
      </c>
      <c r="R130" s="22"/>
      <c r="T130" s="22"/>
      <c r="W130" s="47"/>
      <c r="AI130">
        <v>127</v>
      </c>
      <c r="AJ130">
        <v>1</v>
      </c>
    </row>
    <row r="131" spans="1:36" hidden="1" x14ac:dyDescent="0.35">
      <c r="A131">
        <v>639</v>
      </c>
      <c r="B131">
        <v>640</v>
      </c>
      <c r="C131">
        <v>146.0630051</v>
      </c>
      <c r="D131">
        <v>-17.540734740000001</v>
      </c>
      <c r="E131">
        <v>50</v>
      </c>
      <c r="G131" s="1" t="str">
        <f t="shared" si="2"/>
        <v/>
      </c>
      <c r="H131">
        <v>100</v>
      </c>
      <c r="I131" t="str">
        <f t="shared" si="3"/>
        <v>X</v>
      </c>
      <c r="J131" s="53" t="str">
        <f>IFERROR(VLOOKUP(B131, DATA_Johnstone_2024_ALL!B:J, 8, FALSE), "")</f>
        <v>X</v>
      </c>
      <c r="K131" s="29"/>
      <c r="L131" s="30"/>
      <c r="M131" s="29"/>
      <c r="N131" s="20" t="str">
        <f>IF(J131=1, DATA_Johnstone_2023_50!M131, "")</f>
        <v/>
      </c>
      <c r="O131" s="20" t="str">
        <f>IF($J131=1, DATA_Johnstone_2023_50!N131, "")</f>
        <v/>
      </c>
      <c r="P131" s="49"/>
      <c r="Q131" s="20" t="str">
        <f>IF($J131=1, DATA_Johnstone_2023_50!P131, "")</f>
        <v/>
      </c>
      <c r="R131" s="22"/>
      <c r="T131" s="22"/>
      <c r="W131" s="47"/>
      <c r="AI131">
        <v>128</v>
      </c>
      <c r="AJ131">
        <v>1</v>
      </c>
    </row>
    <row r="132" spans="1:36" hidden="1" x14ac:dyDescent="0.35">
      <c r="A132">
        <v>644</v>
      </c>
      <c r="B132">
        <v>645</v>
      </c>
      <c r="C132">
        <v>146.06312410000001</v>
      </c>
      <c r="D132">
        <v>-17.541172360000001</v>
      </c>
      <c r="E132">
        <v>50</v>
      </c>
      <c r="G132" s="1" t="str">
        <f t="shared" si="2"/>
        <v/>
      </c>
      <c r="H132">
        <v>100</v>
      </c>
      <c r="I132" t="str">
        <f t="shared" si="3"/>
        <v>X</v>
      </c>
      <c r="J132" s="53" t="str">
        <f>IFERROR(VLOOKUP(B132, DATA_Johnstone_2024_ALL!B:J, 8, FALSE), "")</f>
        <v>X</v>
      </c>
      <c r="K132" s="29"/>
      <c r="L132" s="30"/>
      <c r="M132" s="29"/>
      <c r="N132" s="20" t="str">
        <f>IF(J132=1, DATA_Johnstone_2023_50!M132, "")</f>
        <v/>
      </c>
      <c r="O132" s="20" t="str">
        <f>IF($J132=1, DATA_Johnstone_2023_50!N132, "")</f>
        <v/>
      </c>
      <c r="P132" s="49"/>
      <c r="Q132" s="20" t="str">
        <f>IF($J132=1, DATA_Johnstone_2023_50!P132, "")</f>
        <v/>
      </c>
      <c r="R132" s="22"/>
      <c r="T132" s="22"/>
      <c r="W132" s="47"/>
      <c r="AI132">
        <v>129</v>
      </c>
      <c r="AJ132">
        <v>1</v>
      </c>
    </row>
    <row r="133" spans="1:36" hidden="1" x14ac:dyDescent="0.35">
      <c r="A133">
        <v>649</v>
      </c>
      <c r="B133">
        <v>650</v>
      </c>
      <c r="C133">
        <v>146.06351710000001</v>
      </c>
      <c r="D133">
        <v>-17.541402420000001</v>
      </c>
      <c r="E133">
        <v>50</v>
      </c>
      <c r="G133" s="1" t="str">
        <f t="shared" ref="G133:G196" si="4">IF(F133="", "", HYPERLINK("E:\Data From Lucan\2024\Johnstone\Frames_for_Analysis_50\" &amp; F133, F133))</f>
        <v/>
      </c>
      <c r="H133">
        <v>100</v>
      </c>
      <c r="I133" t="str">
        <f t="shared" ref="I133:I196" si="5">IF(G133="","X","")</f>
        <v>X</v>
      </c>
      <c r="J133" s="53" t="str">
        <f>IFERROR(VLOOKUP(B133, DATA_Johnstone_2024_ALL!B:J, 8, FALSE), "")</f>
        <v>X</v>
      </c>
      <c r="K133" s="29"/>
      <c r="L133" s="30"/>
      <c r="M133" s="29"/>
      <c r="N133" s="20" t="str">
        <f>IF(J133=1, DATA_Johnstone_2023_50!M133, "")</f>
        <v/>
      </c>
      <c r="O133" s="20" t="str">
        <f>IF($J133=1, DATA_Johnstone_2023_50!N133, "")</f>
        <v/>
      </c>
      <c r="P133" s="49"/>
      <c r="Q133" s="20" t="str">
        <f>IF($J133=1, DATA_Johnstone_2023_50!P133, "")</f>
        <v/>
      </c>
      <c r="R133" s="22"/>
      <c r="T133" s="22"/>
      <c r="W133" s="47"/>
      <c r="AI133">
        <v>130</v>
      </c>
      <c r="AJ133">
        <v>1</v>
      </c>
    </row>
    <row r="134" spans="1:36" hidden="1" x14ac:dyDescent="0.35">
      <c r="A134">
        <v>654</v>
      </c>
      <c r="B134">
        <v>655</v>
      </c>
      <c r="C134">
        <v>146.06398429999999</v>
      </c>
      <c r="D134">
        <v>-17.541416139999999</v>
      </c>
      <c r="E134">
        <v>50</v>
      </c>
      <c r="G134" s="1" t="str">
        <f t="shared" si="4"/>
        <v/>
      </c>
      <c r="H134">
        <v>100</v>
      </c>
      <c r="I134" t="str">
        <f t="shared" si="5"/>
        <v>X</v>
      </c>
      <c r="J134" s="53" t="str">
        <f>IFERROR(VLOOKUP(B134, DATA_Johnstone_2024_ALL!B:J, 8, FALSE), "")</f>
        <v>X</v>
      </c>
      <c r="K134" s="29"/>
      <c r="L134" s="30"/>
      <c r="M134" s="29"/>
      <c r="N134" s="20" t="str">
        <f>IF(J134=1, DATA_Johnstone_2023_50!M134, "")</f>
        <v/>
      </c>
      <c r="O134" s="20" t="str">
        <f>IF($J134=1, DATA_Johnstone_2023_50!N134, "")</f>
        <v/>
      </c>
      <c r="P134" s="49"/>
      <c r="Q134" s="20" t="str">
        <f>IF($J134=1, DATA_Johnstone_2023_50!P134, "")</f>
        <v/>
      </c>
      <c r="R134" s="22"/>
      <c r="T134" s="22"/>
      <c r="W134" s="47"/>
      <c r="AI134">
        <v>131</v>
      </c>
      <c r="AJ134">
        <v>1</v>
      </c>
    </row>
    <row r="135" spans="1:36" hidden="1" x14ac:dyDescent="0.35">
      <c r="A135">
        <v>659</v>
      </c>
      <c r="B135">
        <v>660</v>
      </c>
      <c r="C135">
        <v>146.06445310000001</v>
      </c>
      <c r="D135">
        <v>-17.5413788</v>
      </c>
      <c r="E135">
        <v>50</v>
      </c>
      <c r="G135" s="1" t="str">
        <f t="shared" si="4"/>
        <v/>
      </c>
      <c r="H135">
        <v>100</v>
      </c>
      <c r="I135" t="str">
        <f t="shared" si="5"/>
        <v>X</v>
      </c>
      <c r="J135" s="53" t="str">
        <f>IFERROR(VLOOKUP(B135, DATA_Johnstone_2024_ALL!B:J, 8, FALSE), "")</f>
        <v>X</v>
      </c>
      <c r="K135" s="29"/>
      <c r="L135" s="30"/>
      <c r="M135" s="29"/>
      <c r="N135" s="20" t="str">
        <f>IF(J135=1, DATA_Johnstone_2023_50!M135, "")</f>
        <v/>
      </c>
      <c r="O135" s="20" t="str">
        <f>IF($J135=1, DATA_Johnstone_2023_50!N135, "")</f>
        <v/>
      </c>
      <c r="P135" s="49"/>
      <c r="Q135" s="20" t="str">
        <f>IF($J135=1, DATA_Johnstone_2023_50!P135, "")</f>
        <v/>
      </c>
      <c r="R135" s="22"/>
      <c r="T135" s="22"/>
      <c r="W135" s="47"/>
      <c r="AI135">
        <v>132</v>
      </c>
      <c r="AJ135">
        <v>1</v>
      </c>
    </row>
    <row r="136" spans="1:36" hidden="1" x14ac:dyDescent="0.35">
      <c r="A136">
        <v>664</v>
      </c>
      <c r="B136">
        <v>665</v>
      </c>
      <c r="C136">
        <v>146.06491299999999</v>
      </c>
      <c r="D136">
        <v>-17.54144878</v>
      </c>
      <c r="E136">
        <v>50</v>
      </c>
      <c r="G136" s="1" t="str">
        <f t="shared" si="4"/>
        <v/>
      </c>
      <c r="H136">
        <v>100</v>
      </c>
      <c r="I136" t="str">
        <f t="shared" si="5"/>
        <v>X</v>
      </c>
      <c r="J136" s="53" t="str">
        <f>IFERROR(VLOOKUP(B136, DATA_Johnstone_2024_ALL!B:J, 8, FALSE), "")</f>
        <v>X</v>
      </c>
      <c r="K136" s="29"/>
      <c r="L136" s="30"/>
      <c r="M136" s="29"/>
      <c r="N136" s="20" t="str">
        <f>IF(J136=1, DATA_Johnstone_2023_50!M136, "")</f>
        <v/>
      </c>
      <c r="O136" s="20" t="str">
        <f>IF($J136=1, DATA_Johnstone_2023_50!N136, "")</f>
        <v/>
      </c>
      <c r="P136" s="49"/>
      <c r="Q136" s="20" t="str">
        <f>IF($J136=1, DATA_Johnstone_2023_50!P136, "")</f>
        <v/>
      </c>
      <c r="R136" s="22"/>
      <c r="T136" s="22"/>
      <c r="W136" s="47"/>
      <c r="AI136">
        <v>133</v>
      </c>
      <c r="AJ136">
        <v>1</v>
      </c>
    </row>
    <row r="137" spans="1:36" hidden="1" x14ac:dyDescent="0.35">
      <c r="A137">
        <v>669</v>
      </c>
      <c r="B137">
        <v>670</v>
      </c>
      <c r="C137">
        <v>146.06525629999999</v>
      </c>
      <c r="D137">
        <v>-17.541748120000001</v>
      </c>
      <c r="E137">
        <v>50</v>
      </c>
      <c r="G137" s="1" t="str">
        <f t="shared" si="4"/>
        <v/>
      </c>
      <c r="H137">
        <v>100</v>
      </c>
      <c r="I137" t="str">
        <f t="shared" si="5"/>
        <v>X</v>
      </c>
      <c r="J137" s="53" t="str">
        <f>IFERROR(VLOOKUP(B137, DATA_Johnstone_2024_ALL!B:J, 8, FALSE), "")</f>
        <v>X</v>
      </c>
      <c r="K137" s="29"/>
      <c r="L137" s="30"/>
      <c r="M137" s="29"/>
      <c r="N137" s="20" t="str">
        <f>IF(J137=1, DATA_Johnstone_2023_50!M137, "")</f>
        <v/>
      </c>
      <c r="O137" s="20" t="str">
        <f>IF($J137=1, DATA_Johnstone_2023_50!N137, "")</f>
        <v/>
      </c>
      <c r="P137" s="49"/>
      <c r="Q137" s="20" t="str">
        <f>IF($J137=1, DATA_Johnstone_2023_50!P137, "")</f>
        <v/>
      </c>
      <c r="R137" s="22"/>
      <c r="T137" s="22"/>
      <c r="W137" s="47"/>
      <c r="AI137">
        <v>134</v>
      </c>
      <c r="AJ137">
        <v>1</v>
      </c>
    </row>
    <row r="138" spans="1:36" hidden="1" x14ac:dyDescent="0.35">
      <c r="A138">
        <v>674</v>
      </c>
      <c r="B138">
        <v>675</v>
      </c>
      <c r="C138">
        <v>146.06539960000001</v>
      </c>
      <c r="D138">
        <v>-17.54219174</v>
      </c>
      <c r="E138">
        <v>50</v>
      </c>
      <c r="G138" s="1" t="str">
        <f t="shared" si="4"/>
        <v/>
      </c>
      <c r="H138">
        <v>100</v>
      </c>
      <c r="I138" t="str">
        <f t="shared" si="5"/>
        <v>X</v>
      </c>
      <c r="J138" s="53" t="str">
        <f>IFERROR(VLOOKUP(B138, DATA_Johnstone_2024_ALL!B:J, 8, FALSE), "")</f>
        <v>X</v>
      </c>
      <c r="K138" s="29"/>
      <c r="L138" s="30"/>
      <c r="M138" s="29"/>
      <c r="N138" s="20" t="str">
        <f>IF(J138=1, DATA_Johnstone_2023_50!M138, "")</f>
        <v/>
      </c>
      <c r="O138" s="20" t="str">
        <f>IF($J138=1, DATA_Johnstone_2023_50!N138, "")</f>
        <v/>
      </c>
      <c r="P138" s="49"/>
      <c r="Q138" s="20" t="str">
        <f>IF($J138=1, DATA_Johnstone_2023_50!P138, "")</f>
        <v/>
      </c>
      <c r="R138" s="22"/>
      <c r="T138" s="22"/>
      <c r="W138" s="47"/>
      <c r="AI138">
        <v>135</v>
      </c>
      <c r="AJ138">
        <v>1</v>
      </c>
    </row>
    <row r="139" spans="1:36" hidden="1" x14ac:dyDescent="0.35">
      <c r="A139">
        <v>679</v>
      </c>
      <c r="B139">
        <v>680</v>
      </c>
      <c r="C139">
        <v>146.06540150000001</v>
      </c>
      <c r="D139">
        <v>-17.542663260000001</v>
      </c>
      <c r="E139">
        <v>50</v>
      </c>
      <c r="G139" s="1" t="str">
        <f t="shared" si="4"/>
        <v/>
      </c>
      <c r="H139">
        <v>100</v>
      </c>
      <c r="I139" t="str">
        <f t="shared" si="5"/>
        <v>X</v>
      </c>
      <c r="J139" s="53" t="str">
        <f>IFERROR(VLOOKUP(B139, DATA_Johnstone_2024_ALL!B:J, 8, FALSE), "")</f>
        <v>X</v>
      </c>
      <c r="K139" s="29"/>
      <c r="L139" s="30"/>
      <c r="M139" s="29"/>
      <c r="N139" s="20" t="str">
        <f>IF(J139=1, DATA_Johnstone_2023_50!M139, "")</f>
        <v/>
      </c>
      <c r="O139" s="20" t="str">
        <f>IF($J139=1, DATA_Johnstone_2023_50!N139, "")</f>
        <v/>
      </c>
      <c r="P139" s="49"/>
      <c r="Q139" s="20" t="str">
        <f>IF($J139=1, DATA_Johnstone_2023_50!P139, "")</f>
        <v/>
      </c>
      <c r="R139" s="22"/>
      <c r="T139" s="22"/>
      <c r="W139" s="47"/>
      <c r="AI139">
        <v>136</v>
      </c>
      <c r="AJ139">
        <v>1</v>
      </c>
    </row>
    <row r="140" spans="1:36" hidden="1" x14ac:dyDescent="0.35">
      <c r="A140">
        <v>684</v>
      </c>
      <c r="B140">
        <v>685</v>
      </c>
      <c r="C140">
        <v>146.06544969999999</v>
      </c>
      <c r="D140">
        <v>-17.543129069999999</v>
      </c>
      <c r="E140">
        <v>50</v>
      </c>
      <c r="G140" s="1" t="str">
        <f t="shared" si="4"/>
        <v/>
      </c>
      <c r="H140">
        <v>100</v>
      </c>
      <c r="I140" t="str">
        <f t="shared" si="5"/>
        <v>X</v>
      </c>
      <c r="J140" s="53" t="str">
        <f>IFERROR(VLOOKUP(B140, DATA_Johnstone_2024_ALL!B:J, 8, FALSE), "")</f>
        <v>X</v>
      </c>
      <c r="K140" s="29"/>
      <c r="L140" s="30"/>
      <c r="M140" s="29"/>
      <c r="N140" s="20" t="str">
        <f>IF(J140=1, DATA_Johnstone_2023_50!M140, "")</f>
        <v/>
      </c>
      <c r="O140" s="20" t="str">
        <f>IF($J140=1, DATA_Johnstone_2023_50!N140, "")</f>
        <v/>
      </c>
      <c r="P140" s="49"/>
      <c r="Q140" s="20" t="str">
        <f>IF($J140=1, DATA_Johnstone_2023_50!P140, "")</f>
        <v/>
      </c>
      <c r="R140" s="22"/>
      <c r="T140" s="22"/>
      <c r="W140" s="47"/>
      <c r="AI140">
        <v>137</v>
      </c>
      <c r="AJ140">
        <v>1</v>
      </c>
    </row>
    <row r="141" spans="1:36" hidden="1" x14ac:dyDescent="0.35">
      <c r="A141">
        <v>689</v>
      </c>
      <c r="B141">
        <v>690</v>
      </c>
      <c r="C141">
        <v>146.06577010000001</v>
      </c>
      <c r="D141">
        <v>-17.543465399999999</v>
      </c>
      <c r="E141">
        <v>50</v>
      </c>
      <c r="G141" s="1" t="str">
        <f t="shared" si="4"/>
        <v/>
      </c>
      <c r="H141">
        <v>100</v>
      </c>
      <c r="I141" t="str">
        <f t="shared" si="5"/>
        <v>X</v>
      </c>
      <c r="J141" s="53" t="str">
        <f>IFERROR(VLOOKUP(B141, DATA_Johnstone_2024_ALL!B:J, 8, FALSE), "")</f>
        <v>X</v>
      </c>
      <c r="K141" s="29"/>
      <c r="L141" s="30"/>
      <c r="M141" s="29"/>
      <c r="N141" s="20" t="str">
        <f>IF(J141=1, DATA_Johnstone_2023_50!M141, "")</f>
        <v/>
      </c>
      <c r="O141" s="20" t="str">
        <f>IF($J141=1, DATA_Johnstone_2023_50!N141, "")</f>
        <v/>
      </c>
      <c r="P141" s="49"/>
      <c r="Q141" s="20" t="str">
        <f>IF($J141=1, DATA_Johnstone_2023_50!P141, "")</f>
        <v/>
      </c>
      <c r="R141" s="22"/>
      <c r="T141" s="22"/>
      <c r="W141" s="47"/>
      <c r="AI141">
        <v>138</v>
      </c>
      <c r="AJ141">
        <v>1</v>
      </c>
    </row>
    <row r="142" spans="1:36" hidden="1" x14ac:dyDescent="0.35">
      <c r="A142">
        <v>694</v>
      </c>
      <c r="B142">
        <v>695</v>
      </c>
      <c r="C142">
        <v>146.06618649999999</v>
      </c>
      <c r="D142">
        <v>-17.54368083</v>
      </c>
      <c r="E142">
        <v>50</v>
      </c>
      <c r="G142" s="1" t="str">
        <f t="shared" si="4"/>
        <v/>
      </c>
      <c r="H142">
        <v>100</v>
      </c>
      <c r="I142" t="str">
        <f t="shared" si="5"/>
        <v>X</v>
      </c>
      <c r="J142" s="53" t="str">
        <f>IFERROR(VLOOKUP(B142, DATA_Johnstone_2024_ALL!B:J, 8, FALSE), "")</f>
        <v>X</v>
      </c>
      <c r="K142" s="29"/>
      <c r="L142" s="30"/>
      <c r="M142" s="29"/>
      <c r="N142" s="20" t="str">
        <f>IF(J142=1, DATA_Johnstone_2023_50!M142, "")</f>
        <v/>
      </c>
      <c r="O142" s="20" t="str">
        <f>IF($J142=1, DATA_Johnstone_2023_50!N142, "")</f>
        <v/>
      </c>
      <c r="P142" s="49"/>
      <c r="Q142" s="20" t="str">
        <f>IF($J142=1, DATA_Johnstone_2023_50!P142, "")</f>
        <v/>
      </c>
      <c r="R142" s="22"/>
      <c r="T142" s="22"/>
      <c r="W142" s="47"/>
      <c r="AI142">
        <v>139</v>
      </c>
      <c r="AJ142">
        <v>1</v>
      </c>
    </row>
    <row r="143" spans="1:36" hidden="1" x14ac:dyDescent="0.35">
      <c r="A143">
        <v>699</v>
      </c>
      <c r="B143">
        <v>700</v>
      </c>
      <c r="C143">
        <v>146.06656150000001</v>
      </c>
      <c r="D143">
        <v>-17.54395607</v>
      </c>
      <c r="E143">
        <v>50</v>
      </c>
      <c r="G143" s="1" t="str">
        <f t="shared" si="4"/>
        <v/>
      </c>
      <c r="H143">
        <v>100</v>
      </c>
      <c r="I143" t="str">
        <f t="shared" si="5"/>
        <v>X</v>
      </c>
      <c r="J143" s="53" t="str">
        <f>IFERROR(VLOOKUP(B143, DATA_Johnstone_2024_ALL!B:J, 8, FALSE), "")</f>
        <v>X</v>
      </c>
      <c r="K143" s="29"/>
      <c r="L143" s="30"/>
      <c r="M143" s="29"/>
      <c r="N143" s="20" t="str">
        <f>IF(J143=1, DATA_Johnstone_2023_50!M143, "")</f>
        <v/>
      </c>
      <c r="O143" s="20" t="str">
        <f>IF($J143=1, DATA_Johnstone_2023_50!N143, "")</f>
        <v/>
      </c>
      <c r="P143" s="49"/>
      <c r="Q143" s="20" t="str">
        <f>IF($J143=1, DATA_Johnstone_2023_50!P143, "")</f>
        <v/>
      </c>
      <c r="R143" s="22"/>
      <c r="T143" s="22"/>
      <c r="W143" s="47"/>
      <c r="AI143">
        <v>140</v>
      </c>
      <c r="AJ143">
        <v>1</v>
      </c>
    </row>
    <row r="144" spans="1:36" hidden="1" x14ac:dyDescent="0.35">
      <c r="A144">
        <v>704</v>
      </c>
      <c r="B144">
        <v>705</v>
      </c>
      <c r="C144">
        <v>146.06673720000001</v>
      </c>
      <c r="D144">
        <v>-17.544384869999998</v>
      </c>
      <c r="E144">
        <v>50</v>
      </c>
      <c r="G144" s="1" t="str">
        <f t="shared" si="4"/>
        <v/>
      </c>
      <c r="H144">
        <v>100</v>
      </c>
      <c r="I144" t="str">
        <f t="shared" si="5"/>
        <v>X</v>
      </c>
      <c r="J144" s="53" t="str">
        <f>IFERROR(VLOOKUP(B144, DATA_Johnstone_2024_ALL!B:J, 8, FALSE), "")</f>
        <v>X</v>
      </c>
      <c r="K144" s="29"/>
      <c r="L144" s="30"/>
      <c r="M144" s="29"/>
      <c r="N144" s="20" t="str">
        <f>IF(J144=1, DATA_Johnstone_2023_50!M144, "")</f>
        <v/>
      </c>
      <c r="O144" s="20" t="str">
        <f>IF($J144=1, DATA_Johnstone_2023_50!N144, "")</f>
        <v/>
      </c>
      <c r="P144" s="49"/>
      <c r="Q144" s="20" t="str">
        <f>IF($J144=1, DATA_Johnstone_2023_50!P144, "")</f>
        <v/>
      </c>
      <c r="R144" s="22"/>
      <c r="T144" s="22"/>
      <c r="W144" s="47"/>
      <c r="AI144">
        <v>141</v>
      </c>
      <c r="AJ144">
        <v>1</v>
      </c>
    </row>
    <row r="145" spans="1:36" hidden="1" x14ac:dyDescent="0.35">
      <c r="A145">
        <v>709</v>
      </c>
      <c r="B145">
        <v>710</v>
      </c>
      <c r="C145">
        <v>146.06664649999999</v>
      </c>
      <c r="D145">
        <v>-17.54482526</v>
      </c>
      <c r="E145">
        <v>50</v>
      </c>
      <c r="G145" s="1" t="str">
        <f t="shared" si="4"/>
        <v/>
      </c>
      <c r="H145">
        <v>100</v>
      </c>
      <c r="I145" t="str">
        <f t="shared" si="5"/>
        <v>X</v>
      </c>
      <c r="J145" s="53" t="str">
        <f>IFERROR(VLOOKUP(B145, DATA_Johnstone_2024_ALL!B:J, 8, FALSE), "")</f>
        <v>X</v>
      </c>
      <c r="K145" s="29"/>
      <c r="L145" s="30"/>
      <c r="M145" s="29"/>
      <c r="N145" s="20" t="str">
        <f>IF(J145=1, DATA_Johnstone_2023_50!M145, "")</f>
        <v/>
      </c>
      <c r="O145" s="20" t="str">
        <f>IF($J145=1, DATA_Johnstone_2023_50!N145, "")</f>
        <v/>
      </c>
      <c r="P145" s="49"/>
      <c r="Q145" s="20" t="str">
        <f>IF($J145=1, DATA_Johnstone_2023_50!P145, "")</f>
        <v/>
      </c>
      <c r="R145" s="22"/>
      <c r="T145" s="22"/>
      <c r="W145" s="47"/>
      <c r="AI145">
        <v>142</v>
      </c>
      <c r="AJ145">
        <v>1</v>
      </c>
    </row>
    <row r="146" spans="1:36" hidden="1" x14ac:dyDescent="0.35">
      <c r="A146">
        <v>714</v>
      </c>
      <c r="B146">
        <v>715</v>
      </c>
      <c r="C146">
        <v>146.06655979999999</v>
      </c>
      <c r="D146">
        <v>-17.54441538</v>
      </c>
      <c r="E146">
        <v>50</v>
      </c>
      <c r="G146" s="1" t="str">
        <f t="shared" si="4"/>
        <v/>
      </c>
      <c r="H146">
        <v>100</v>
      </c>
      <c r="I146" t="str">
        <f t="shared" si="5"/>
        <v>X</v>
      </c>
      <c r="J146" s="53" t="str">
        <f>IFERROR(VLOOKUP(B146, DATA_Johnstone_2024_ALL!B:J, 8, FALSE), "")</f>
        <v>X</v>
      </c>
      <c r="K146" s="29"/>
      <c r="L146" s="30"/>
      <c r="M146" s="29"/>
      <c r="N146" s="20" t="str">
        <f>IF(J146=1, DATA_Johnstone_2023_50!M146, "")</f>
        <v/>
      </c>
      <c r="O146" s="20" t="str">
        <f>IF($J146=1, DATA_Johnstone_2023_50!N146, "")</f>
        <v/>
      </c>
      <c r="P146" s="49"/>
      <c r="Q146" s="20" t="str">
        <f>IF($J146=1, DATA_Johnstone_2023_50!P146, "")</f>
        <v/>
      </c>
      <c r="R146" s="22"/>
      <c r="T146" s="22"/>
      <c r="W146" s="47"/>
      <c r="AI146">
        <v>143</v>
      </c>
      <c r="AJ146">
        <v>1</v>
      </c>
    </row>
    <row r="147" spans="1:36" hidden="1" x14ac:dyDescent="0.35">
      <c r="A147">
        <v>719</v>
      </c>
      <c r="B147">
        <v>720</v>
      </c>
      <c r="C147">
        <v>146.06637420000001</v>
      </c>
      <c r="D147">
        <v>-17.54400841</v>
      </c>
      <c r="E147">
        <v>50</v>
      </c>
      <c r="G147" s="1" t="str">
        <f t="shared" si="4"/>
        <v/>
      </c>
      <c r="H147">
        <v>100</v>
      </c>
      <c r="I147" t="str">
        <f t="shared" si="5"/>
        <v>X</v>
      </c>
      <c r="J147" s="53" t="str">
        <f>IFERROR(VLOOKUP(B147, DATA_Johnstone_2024_ALL!B:J, 8, FALSE), "")</f>
        <v>X</v>
      </c>
      <c r="K147" s="29"/>
      <c r="L147" s="30"/>
      <c r="M147" s="29"/>
      <c r="N147" s="20" t="str">
        <f>IF(J147=1, DATA_Johnstone_2023_50!M147, "")</f>
        <v/>
      </c>
      <c r="O147" s="20" t="str">
        <f>IF($J147=1, DATA_Johnstone_2023_50!N147, "")</f>
        <v/>
      </c>
      <c r="P147" s="49"/>
      <c r="Q147" s="20" t="str">
        <f>IF($J147=1, DATA_Johnstone_2023_50!P147, "")</f>
        <v/>
      </c>
      <c r="R147" s="22"/>
      <c r="T147" s="22"/>
      <c r="W147" s="47"/>
      <c r="AI147">
        <v>144</v>
      </c>
      <c r="AJ147">
        <v>1</v>
      </c>
    </row>
    <row r="148" spans="1:36" hidden="1" x14ac:dyDescent="0.35">
      <c r="A148">
        <v>724</v>
      </c>
      <c r="B148">
        <v>725</v>
      </c>
      <c r="C148">
        <v>146.0659392</v>
      </c>
      <c r="D148">
        <v>-17.543831040000001</v>
      </c>
      <c r="E148">
        <v>50</v>
      </c>
      <c r="G148" s="1" t="str">
        <f t="shared" si="4"/>
        <v/>
      </c>
      <c r="H148">
        <v>100</v>
      </c>
      <c r="I148" t="str">
        <f t="shared" si="5"/>
        <v>X</v>
      </c>
      <c r="J148" s="53" t="str">
        <f>IFERROR(VLOOKUP(B148, DATA_Johnstone_2024_ALL!B:J, 8, FALSE), "")</f>
        <v>X</v>
      </c>
      <c r="K148" s="29"/>
      <c r="L148" s="30"/>
      <c r="M148" s="29"/>
      <c r="N148" s="20" t="str">
        <f>IF(J148=1, DATA_Johnstone_2023_50!M148, "")</f>
        <v/>
      </c>
      <c r="O148" s="20" t="str">
        <f>IF($J148=1, DATA_Johnstone_2023_50!N148, "")</f>
        <v/>
      </c>
      <c r="P148" s="49"/>
      <c r="Q148" s="20" t="str">
        <f>IF($J148=1, DATA_Johnstone_2023_50!P148, "")</f>
        <v/>
      </c>
      <c r="R148" s="22"/>
      <c r="T148" s="22"/>
      <c r="W148" s="47"/>
      <c r="AI148">
        <v>145</v>
      </c>
      <c r="AJ148">
        <v>1</v>
      </c>
    </row>
    <row r="149" spans="1:36" hidden="1" x14ac:dyDescent="0.35">
      <c r="A149">
        <v>729</v>
      </c>
      <c r="B149">
        <v>730</v>
      </c>
      <c r="C149">
        <v>146.06554729999999</v>
      </c>
      <c r="D149">
        <v>-17.54357546</v>
      </c>
      <c r="E149">
        <v>50</v>
      </c>
      <c r="G149" s="1" t="str">
        <f t="shared" si="4"/>
        <v/>
      </c>
      <c r="H149">
        <v>100</v>
      </c>
      <c r="I149" t="str">
        <f t="shared" si="5"/>
        <v>X</v>
      </c>
      <c r="J149" s="53" t="str">
        <f>IFERROR(VLOOKUP(B149, DATA_Johnstone_2024_ALL!B:J, 8, FALSE), "")</f>
        <v>X</v>
      </c>
      <c r="K149" s="29"/>
      <c r="L149" s="30"/>
      <c r="M149" s="29"/>
      <c r="N149" s="20" t="str">
        <f>IF(J149=1, DATA_Johnstone_2023_50!M149, "")</f>
        <v/>
      </c>
      <c r="O149" s="20" t="str">
        <f>IF($J149=1, DATA_Johnstone_2023_50!N149, "")</f>
        <v/>
      </c>
      <c r="P149" s="49"/>
      <c r="Q149" s="20" t="str">
        <f>IF($J149=1, DATA_Johnstone_2023_50!P149, "")</f>
        <v/>
      </c>
      <c r="R149" s="22"/>
      <c r="T149" s="22"/>
      <c r="W149" s="47"/>
      <c r="AI149">
        <v>146</v>
      </c>
      <c r="AJ149">
        <v>1</v>
      </c>
    </row>
    <row r="150" spans="1:36" hidden="1" x14ac:dyDescent="0.35">
      <c r="A150">
        <v>734</v>
      </c>
      <c r="B150">
        <v>735</v>
      </c>
      <c r="C150">
        <v>146.06529649999999</v>
      </c>
      <c r="D150">
        <v>-17.543184310000001</v>
      </c>
      <c r="E150">
        <v>50</v>
      </c>
      <c r="G150" s="1" t="str">
        <f t="shared" si="4"/>
        <v/>
      </c>
      <c r="H150">
        <v>100</v>
      </c>
      <c r="I150" t="str">
        <f t="shared" si="5"/>
        <v>X</v>
      </c>
      <c r="J150" s="53" t="str">
        <f>IFERROR(VLOOKUP(B150, DATA_Johnstone_2024_ALL!B:J, 8, FALSE), "")</f>
        <v>X</v>
      </c>
      <c r="K150" s="29"/>
      <c r="L150" s="30"/>
      <c r="M150" s="29"/>
      <c r="N150" s="20" t="str">
        <f>IF(J150=1, DATA_Johnstone_2023_50!M150, "")</f>
        <v/>
      </c>
      <c r="O150" s="20" t="str">
        <f>IF($J150=1, DATA_Johnstone_2023_50!N150, "")</f>
        <v/>
      </c>
      <c r="P150" s="49"/>
      <c r="Q150" s="20" t="str">
        <f>IF($J150=1, DATA_Johnstone_2023_50!P150, "")</f>
        <v/>
      </c>
      <c r="R150" s="22"/>
      <c r="T150" s="22"/>
      <c r="W150" s="47"/>
      <c r="AI150">
        <v>147</v>
      </c>
      <c r="AJ150">
        <v>1</v>
      </c>
    </row>
    <row r="151" spans="1:36" hidden="1" x14ac:dyDescent="0.35">
      <c r="A151">
        <v>739</v>
      </c>
      <c r="B151">
        <v>740</v>
      </c>
      <c r="C151">
        <v>146.0652255</v>
      </c>
      <c r="D151">
        <v>-17.542729990000002</v>
      </c>
      <c r="E151">
        <v>50</v>
      </c>
      <c r="G151" s="1" t="str">
        <f t="shared" si="4"/>
        <v/>
      </c>
      <c r="H151">
        <v>100</v>
      </c>
      <c r="I151" t="str">
        <f t="shared" si="5"/>
        <v>X</v>
      </c>
      <c r="J151" s="53" t="str">
        <f>IFERROR(VLOOKUP(B151, DATA_Johnstone_2024_ALL!B:J, 8, FALSE), "")</f>
        <v>X</v>
      </c>
      <c r="K151" s="29"/>
      <c r="L151" s="30"/>
      <c r="M151" s="29"/>
      <c r="N151" s="20" t="str">
        <f>IF(J151=1, DATA_Johnstone_2023_50!M151, "")</f>
        <v/>
      </c>
      <c r="O151" s="20" t="str">
        <f>IF($J151=1, DATA_Johnstone_2023_50!N151, "")</f>
        <v/>
      </c>
      <c r="P151" s="49"/>
      <c r="Q151" s="20" t="str">
        <f>IF($J151=1, DATA_Johnstone_2023_50!P151, "")</f>
        <v/>
      </c>
      <c r="R151" s="22"/>
      <c r="T151" s="22"/>
      <c r="W151" s="47"/>
      <c r="AI151">
        <v>148</v>
      </c>
      <c r="AJ151">
        <v>1</v>
      </c>
    </row>
    <row r="152" spans="1:36" hidden="1" x14ac:dyDescent="0.35">
      <c r="A152">
        <v>744</v>
      </c>
      <c r="B152">
        <v>745</v>
      </c>
      <c r="C152">
        <v>146.06520950000001</v>
      </c>
      <c r="D152">
        <v>-17.542258799999999</v>
      </c>
      <c r="E152">
        <v>50</v>
      </c>
      <c r="G152" s="1" t="str">
        <f t="shared" si="4"/>
        <v/>
      </c>
      <c r="H152">
        <v>100</v>
      </c>
      <c r="I152" t="str">
        <f t="shared" si="5"/>
        <v>X</v>
      </c>
      <c r="J152" s="53" t="str">
        <f>IFERROR(VLOOKUP(B152, DATA_Johnstone_2024_ALL!B:J, 8, FALSE), "")</f>
        <v>X</v>
      </c>
      <c r="K152" s="29"/>
      <c r="L152" s="30"/>
      <c r="M152" s="29"/>
      <c r="N152" s="20" t="str">
        <f>IF(J152=1, DATA_Johnstone_2023_50!M152, "")</f>
        <v/>
      </c>
      <c r="O152" s="20" t="str">
        <f>IF($J152=1, DATA_Johnstone_2023_50!N152, "")</f>
        <v/>
      </c>
      <c r="P152" s="49"/>
      <c r="Q152" s="20" t="str">
        <f>IF($J152=1, DATA_Johnstone_2023_50!P152, "")</f>
        <v/>
      </c>
      <c r="R152" s="22"/>
      <c r="T152" s="22"/>
      <c r="W152" s="47"/>
      <c r="AI152">
        <v>149</v>
      </c>
      <c r="AJ152">
        <v>1</v>
      </c>
    </row>
    <row r="153" spans="1:36" hidden="1" x14ac:dyDescent="0.35">
      <c r="A153">
        <v>749</v>
      </c>
      <c r="B153">
        <v>750</v>
      </c>
      <c r="C153">
        <v>146.065079</v>
      </c>
      <c r="D153">
        <v>-17.541812270000001</v>
      </c>
      <c r="E153">
        <v>50</v>
      </c>
      <c r="G153" s="1" t="str">
        <f t="shared" si="4"/>
        <v/>
      </c>
      <c r="H153">
        <v>100</v>
      </c>
      <c r="I153" t="str">
        <f t="shared" si="5"/>
        <v>X</v>
      </c>
      <c r="J153" s="53" t="str">
        <f>IFERROR(VLOOKUP(B153, DATA_Johnstone_2024_ALL!B:J, 8, FALSE), "")</f>
        <v>X</v>
      </c>
      <c r="K153" s="29"/>
      <c r="L153" s="30"/>
      <c r="M153" s="29"/>
      <c r="N153" s="20" t="str">
        <f>IF(J153=1, DATA_Johnstone_2023_50!M153, "")</f>
        <v/>
      </c>
      <c r="O153" s="20" t="str">
        <f>IF($J153=1, DATA_Johnstone_2023_50!N153, "")</f>
        <v/>
      </c>
      <c r="P153" s="49"/>
      <c r="Q153" s="20" t="str">
        <f>IF($J153=1, DATA_Johnstone_2023_50!P153, "")</f>
        <v/>
      </c>
      <c r="R153" s="22"/>
      <c r="T153" s="22"/>
      <c r="W153" s="47"/>
      <c r="AI153">
        <v>150</v>
      </c>
      <c r="AJ153">
        <v>1</v>
      </c>
    </row>
    <row r="154" spans="1:36" hidden="1" x14ac:dyDescent="0.35">
      <c r="A154">
        <v>754</v>
      </c>
      <c r="B154">
        <v>755</v>
      </c>
      <c r="C154">
        <v>146.06470150000001</v>
      </c>
      <c r="D154">
        <v>-17.541572590000001</v>
      </c>
      <c r="E154">
        <v>50</v>
      </c>
      <c r="G154" s="1" t="str">
        <f t="shared" si="4"/>
        <v/>
      </c>
      <c r="H154">
        <v>100</v>
      </c>
      <c r="I154" t="str">
        <f t="shared" si="5"/>
        <v>X</v>
      </c>
      <c r="J154" s="53" t="str">
        <f>IFERROR(VLOOKUP(B154, DATA_Johnstone_2024_ALL!B:J, 8, FALSE), "")</f>
        <v>X</v>
      </c>
      <c r="K154" s="29"/>
      <c r="L154" s="30"/>
      <c r="M154" s="29"/>
      <c r="N154" s="20" t="str">
        <f>IF(J154=1, DATA_Johnstone_2023_50!M154, "")</f>
        <v/>
      </c>
      <c r="O154" s="20" t="str">
        <f>IF($J154=1, DATA_Johnstone_2023_50!N154, "")</f>
        <v/>
      </c>
      <c r="P154" s="49"/>
      <c r="Q154" s="20" t="str">
        <f>IF($J154=1, DATA_Johnstone_2023_50!P154, "")</f>
        <v/>
      </c>
      <c r="R154" s="22"/>
      <c r="T154" s="22"/>
      <c r="W154" s="47"/>
      <c r="AI154">
        <v>151</v>
      </c>
      <c r="AJ154">
        <v>1</v>
      </c>
    </row>
    <row r="155" spans="1:36" hidden="1" x14ac:dyDescent="0.35">
      <c r="A155">
        <v>759</v>
      </c>
      <c r="B155">
        <v>760</v>
      </c>
      <c r="C155">
        <v>146.06423190000001</v>
      </c>
      <c r="D155">
        <v>-17.541596479999999</v>
      </c>
      <c r="E155">
        <v>50</v>
      </c>
      <c r="G155" s="1" t="str">
        <f t="shared" si="4"/>
        <v/>
      </c>
      <c r="H155">
        <v>100</v>
      </c>
      <c r="I155" t="str">
        <f t="shared" si="5"/>
        <v>X</v>
      </c>
      <c r="J155" s="53" t="str">
        <f>IFERROR(VLOOKUP(B155, DATA_Johnstone_2024_ALL!B:J, 8, FALSE), "")</f>
        <v>X</v>
      </c>
      <c r="K155" s="29"/>
      <c r="L155" s="30"/>
      <c r="M155" s="29"/>
      <c r="N155" s="20" t="str">
        <f>IF(J155=1, DATA_Johnstone_2023_50!M155, "")</f>
        <v/>
      </c>
      <c r="O155" s="20" t="str">
        <f>IF($J155=1, DATA_Johnstone_2023_50!N155, "")</f>
        <v/>
      </c>
      <c r="P155" s="49"/>
      <c r="Q155" s="20" t="str">
        <f>IF($J155=1, DATA_Johnstone_2023_50!P155, "")</f>
        <v/>
      </c>
      <c r="R155" s="22"/>
      <c r="T155" s="22"/>
      <c r="W155" s="47"/>
      <c r="AI155">
        <v>152</v>
      </c>
      <c r="AJ155">
        <v>2</v>
      </c>
    </row>
    <row r="156" spans="1:36" hidden="1" x14ac:dyDescent="0.35">
      <c r="A156">
        <v>764</v>
      </c>
      <c r="B156">
        <v>765</v>
      </c>
      <c r="C156">
        <v>146.06376689999999</v>
      </c>
      <c r="D156">
        <v>-17.54167288</v>
      </c>
      <c r="E156">
        <v>50</v>
      </c>
      <c r="G156" s="1" t="str">
        <f t="shared" si="4"/>
        <v/>
      </c>
      <c r="H156">
        <v>100</v>
      </c>
      <c r="I156" t="str">
        <f t="shared" si="5"/>
        <v>X</v>
      </c>
      <c r="J156" s="53" t="str">
        <f>IFERROR(VLOOKUP(B156, DATA_Johnstone_2024_ALL!B:J, 8, FALSE), "")</f>
        <v>X</v>
      </c>
      <c r="K156" s="29"/>
      <c r="L156" s="30"/>
      <c r="M156" s="29"/>
      <c r="N156" s="20" t="str">
        <f>IF(J156=1, DATA_Johnstone_2023_50!M156, "")</f>
        <v/>
      </c>
      <c r="O156" s="20" t="str">
        <f>IF($J156=1, DATA_Johnstone_2023_50!N156, "")</f>
        <v/>
      </c>
      <c r="P156" s="49"/>
      <c r="Q156" s="20" t="str">
        <f>IF($J156=1, DATA_Johnstone_2023_50!P156, "")</f>
        <v/>
      </c>
      <c r="R156" s="22"/>
      <c r="T156" s="22"/>
      <c r="W156" s="47"/>
      <c r="AI156">
        <v>153</v>
      </c>
      <c r="AJ156">
        <v>2</v>
      </c>
    </row>
    <row r="157" spans="1:36" hidden="1" x14ac:dyDescent="0.35">
      <c r="A157">
        <v>769</v>
      </c>
      <c r="B157">
        <v>770</v>
      </c>
      <c r="C157">
        <v>146.06330740000001</v>
      </c>
      <c r="D157">
        <v>-17.541617649999999</v>
      </c>
      <c r="E157">
        <v>50</v>
      </c>
      <c r="G157" s="1" t="str">
        <f t="shared" si="4"/>
        <v/>
      </c>
      <c r="H157">
        <v>100</v>
      </c>
      <c r="I157" t="str">
        <f t="shared" si="5"/>
        <v>X</v>
      </c>
      <c r="J157" s="53" t="str">
        <f>IFERROR(VLOOKUP(B157, DATA_Johnstone_2024_ALL!B:J, 8, FALSE), "")</f>
        <v>X</v>
      </c>
      <c r="K157" s="29"/>
      <c r="L157" s="30"/>
      <c r="M157" s="29"/>
      <c r="N157" s="20" t="str">
        <f>IF(J157=1, DATA_Johnstone_2023_50!M157, "")</f>
        <v/>
      </c>
      <c r="O157" s="20" t="str">
        <f>IF($J157=1, DATA_Johnstone_2023_50!N157, "")</f>
        <v/>
      </c>
      <c r="P157" s="49"/>
      <c r="Q157" s="20" t="str">
        <f>IF($J157=1, DATA_Johnstone_2023_50!P157, "")</f>
        <v/>
      </c>
      <c r="R157" s="22"/>
      <c r="T157" s="22"/>
      <c r="W157" s="47"/>
      <c r="AI157">
        <v>154</v>
      </c>
      <c r="AJ157">
        <v>2</v>
      </c>
    </row>
    <row r="158" spans="1:36" hidden="1" x14ac:dyDescent="0.35">
      <c r="A158">
        <v>774</v>
      </c>
      <c r="B158">
        <v>775</v>
      </c>
      <c r="C158">
        <v>146.06293600000001</v>
      </c>
      <c r="D158">
        <v>-17.541335539999999</v>
      </c>
      <c r="E158">
        <v>50</v>
      </c>
      <c r="G158" s="1" t="str">
        <f t="shared" si="4"/>
        <v/>
      </c>
      <c r="H158">
        <v>100</v>
      </c>
      <c r="I158" t="str">
        <f t="shared" si="5"/>
        <v>X</v>
      </c>
      <c r="J158" s="53" t="str">
        <f>IFERROR(VLOOKUP(B158, DATA_Johnstone_2024_ALL!B:J, 8, FALSE), "")</f>
        <v>X</v>
      </c>
      <c r="K158" s="29"/>
      <c r="L158" s="30"/>
      <c r="M158" s="29"/>
      <c r="N158" s="20" t="str">
        <f>IF(J158=1, DATA_Johnstone_2023_50!M158, "")</f>
        <v/>
      </c>
      <c r="O158" s="20" t="str">
        <f>IF($J158=1, DATA_Johnstone_2023_50!N158, "")</f>
        <v/>
      </c>
      <c r="P158" s="49"/>
      <c r="Q158" s="20" t="str">
        <f>IF($J158=1, DATA_Johnstone_2023_50!P158, "")</f>
        <v/>
      </c>
      <c r="R158" s="22"/>
      <c r="T158" s="22"/>
      <c r="W158" s="47"/>
      <c r="AI158">
        <v>155</v>
      </c>
      <c r="AJ158">
        <v>2</v>
      </c>
    </row>
    <row r="159" spans="1:36" hidden="1" x14ac:dyDescent="0.35">
      <c r="A159">
        <v>779</v>
      </c>
      <c r="B159">
        <v>780</v>
      </c>
      <c r="C159">
        <v>146.06279989999999</v>
      </c>
      <c r="D159">
        <v>-17.540893369999999</v>
      </c>
      <c r="E159">
        <v>50</v>
      </c>
      <c r="G159" s="1" t="str">
        <f t="shared" si="4"/>
        <v/>
      </c>
      <c r="H159">
        <v>100</v>
      </c>
      <c r="I159" t="str">
        <f t="shared" si="5"/>
        <v>X</v>
      </c>
      <c r="J159" s="53" t="str">
        <f>IFERROR(VLOOKUP(B159, DATA_Johnstone_2024_ALL!B:J, 8, FALSE), "")</f>
        <v>X</v>
      </c>
      <c r="K159" s="29"/>
      <c r="L159" s="30"/>
      <c r="M159" s="29"/>
      <c r="N159" s="20" t="str">
        <f>IF(J159=1, DATA_Johnstone_2023_50!M159, "")</f>
        <v/>
      </c>
      <c r="O159" s="20" t="str">
        <f>IF($J159=1, DATA_Johnstone_2023_50!N159, "")</f>
        <v/>
      </c>
      <c r="P159" s="49"/>
      <c r="Q159" s="20" t="str">
        <f>IF($J159=1, DATA_Johnstone_2023_50!P159, "")</f>
        <v/>
      </c>
      <c r="R159" s="22"/>
      <c r="T159" s="22"/>
      <c r="W159" s="47"/>
      <c r="AI159">
        <v>156</v>
      </c>
      <c r="AJ159">
        <v>2</v>
      </c>
    </row>
    <row r="160" spans="1:36" hidden="1" x14ac:dyDescent="0.35">
      <c r="A160">
        <v>784</v>
      </c>
      <c r="B160">
        <v>785</v>
      </c>
      <c r="C160">
        <v>146.06285790000001</v>
      </c>
      <c r="D160">
        <v>-17.540427359999999</v>
      </c>
      <c r="E160">
        <v>50</v>
      </c>
      <c r="G160" s="1" t="str">
        <f t="shared" si="4"/>
        <v/>
      </c>
      <c r="H160">
        <v>100</v>
      </c>
      <c r="I160" t="str">
        <f t="shared" si="5"/>
        <v>X</v>
      </c>
      <c r="J160" s="53" t="str">
        <f>IFERROR(VLOOKUP(B160, DATA_Johnstone_2024_ALL!B:J, 8, FALSE), "")</f>
        <v>X</v>
      </c>
      <c r="K160" s="29"/>
      <c r="L160" s="30"/>
      <c r="M160" s="29"/>
      <c r="N160" s="20" t="str">
        <f>IF(J160=1, DATA_Johnstone_2023_50!M160, "")</f>
        <v/>
      </c>
      <c r="O160" s="20" t="str">
        <f>IF($J160=1, DATA_Johnstone_2023_50!N160, "")</f>
        <v/>
      </c>
      <c r="P160" s="49"/>
      <c r="Q160" s="20" t="str">
        <f>IF($J160=1, DATA_Johnstone_2023_50!P160, "")</f>
        <v/>
      </c>
      <c r="R160" s="22"/>
      <c r="T160" s="22"/>
      <c r="W160" s="47"/>
      <c r="AI160">
        <v>157</v>
      </c>
      <c r="AJ160">
        <v>2</v>
      </c>
    </row>
    <row r="161" spans="1:36" hidden="1" x14ac:dyDescent="0.35">
      <c r="A161">
        <v>789</v>
      </c>
      <c r="B161">
        <v>790</v>
      </c>
      <c r="C161">
        <v>146.06310020000001</v>
      </c>
      <c r="D161">
        <v>-17.540023399999999</v>
      </c>
      <c r="E161">
        <v>50</v>
      </c>
      <c r="G161" s="1" t="str">
        <f t="shared" si="4"/>
        <v/>
      </c>
      <c r="H161">
        <v>100</v>
      </c>
      <c r="I161" t="str">
        <f t="shared" si="5"/>
        <v>X</v>
      </c>
      <c r="J161" s="53" t="str">
        <f>IFERROR(VLOOKUP(B161, DATA_Johnstone_2024_ALL!B:J, 8, FALSE), "")</f>
        <v>X</v>
      </c>
      <c r="K161" s="29"/>
      <c r="L161" s="30"/>
      <c r="M161" s="29"/>
      <c r="N161" s="20" t="str">
        <f>IF(J161=1, DATA_Johnstone_2023_50!M161, "")</f>
        <v/>
      </c>
      <c r="O161" s="20" t="str">
        <f>IF($J161=1, DATA_Johnstone_2023_50!N161, "")</f>
        <v/>
      </c>
      <c r="P161" s="49"/>
      <c r="Q161" s="20" t="str">
        <f>IF($J161=1, DATA_Johnstone_2023_50!P161, "")</f>
        <v/>
      </c>
      <c r="R161" s="22"/>
      <c r="T161" s="22"/>
      <c r="W161" s="47"/>
      <c r="AI161">
        <v>158</v>
      </c>
      <c r="AJ161">
        <v>2</v>
      </c>
    </row>
    <row r="162" spans="1:36" hidden="1" x14ac:dyDescent="0.35">
      <c r="A162">
        <v>794</v>
      </c>
      <c r="B162">
        <v>795</v>
      </c>
      <c r="C162">
        <v>146.0634676</v>
      </c>
      <c r="D162">
        <v>-17.539733900000002</v>
      </c>
      <c r="E162">
        <v>50</v>
      </c>
      <c r="G162" s="1" t="str">
        <f t="shared" si="4"/>
        <v/>
      </c>
      <c r="H162">
        <v>100</v>
      </c>
      <c r="I162" t="str">
        <f t="shared" si="5"/>
        <v>X</v>
      </c>
      <c r="J162" s="53" t="str">
        <f>IFERROR(VLOOKUP(B162, DATA_Johnstone_2024_ALL!B:J, 8, FALSE), "")</f>
        <v>X</v>
      </c>
      <c r="K162" s="29"/>
      <c r="L162" s="30"/>
      <c r="M162" s="29"/>
      <c r="N162" s="20" t="str">
        <f>IF(J162=1, DATA_Johnstone_2023_50!M162, "")</f>
        <v/>
      </c>
      <c r="O162" s="20" t="str">
        <f>IF($J162=1, DATA_Johnstone_2023_50!N162, "")</f>
        <v/>
      </c>
      <c r="P162" s="49"/>
      <c r="Q162" s="20" t="str">
        <f>IF($J162=1, DATA_Johnstone_2023_50!P162, "")</f>
        <v/>
      </c>
      <c r="R162" s="22"/>
      <c r="T162" s="22"/>
      <c r="W162" s="47"/>
      <c r="AI162">
        <v>159</v>
      </c>
      <c r="AJ162">
        <v>2</v>
      </c>
    </row>
    <row r="163" spans="1:36" hidden="1" x14ac:dyDescent="0.35">
      <c r="A163">
        <v>799</v>
      </c>
      <c r="B163">
        <v>800</v>
      </c>
      <c r="C163">
        <v>146.0639036</v>
      </c>
      <c r="D163">
        <v>-17.53955478</v>
      </c>
      <c r="E163">
        <v>50</v>
      </c>
      <c r="G163" s="1" t="str">
        <f t="shared" si="4"/>
        <v/>
      </c>
      <c r="H163">
        <v>100</v>
      </c>
      <c r="I163" t="str">
        <f t="shared" si="5"/>
        <v>X</v>
      </c>
      <c r="J163" s="53" t="str">
        <f>IFERROR(VLOOKUP(B163, DATA_Johnstone_2024_ALL!B:J, 8, FALSE), "")</f>
        <v>X</v>
      </c>
      <c r="K163" s="29"/>
      <c r="L163" s="30"/>
      <c r="M163" s="29"/>
      <c r="N163" s="20" t="str">
        <f>IF(J163=1, DATA_Johnstone_2023_50!M163, "")</f>
        <v/>
      </c>
      <c r="O163" s="20" t="str">
        <f>IF($J163=1, DATA_Johnstone_2023_50!N163, "")</f>
        <v/>
      </c>
      <c r="P163" s="49"/>
      <c r="Q163" s="20" t="str">
        <f>IF($J163=1, DATA_Johnstone_2023_50!P163, "")</f>
        <v/>
      </c>
      <c r="R163" s="22"/>
      <c r="T163" s="22"/>
      <c r="W163" s="47"/>
      <c r="AI163">
        <v>160</v>
      </c>
      <c r="AJ163">
        <v>2</v>
      </c>
    </row>
    <row r="164" spans="1:36" hidden="1" x14ac:dyDescent="0.35">
      <c r="A164">
        <v>804</v>
      </c>
      <c r="B164">
        <v>805</v>
      </c>
      <c r="C164">
        <v>146.0643579</v>
      </c>
      <c r="D164">
        <v>-17.539428640000001</v>
      </c>
      <c r="E164">
        <v>50</v>
      </c>
      <c r="G164" s="1" t="str">
        <f t="shared" si="4"/>
        <v/>
      </c>
      <c r="H164">
        <v>100</v>
      </c>
      <c r="I164" t="str">
        <f t="shared" si="5"/>
        <v>X</v>
      </c>
      <c r="J164" s="53" t="str">
        <f>IFERROR(VLOOKUP(B164, DATA_Johnstone_2024_ALL!B:J, 8, FALSE), "")</f>
        <v>X</v>
      </c>
      <c r="K164" s="29"/>
      <c r="L164" s="30"/>
      <c r="M164" s="29"/>
      <c r="N164" s="20" t="str">
        <f>IF(J164=1, DATA_Johnstone_2023_50!M164, "")</f>
        <v/>
      </c>
      <c r="O164" s="20" t="str">
        <f>IF($J164=1, DATA_Johnstone_2023_50!N164, "")</f>
        <v/>
      </c>
      <c r="P164" s="49"/>
      <c r="Q164" s="20" t="str">
        <f>IF($J164=1, DATA_Johnstone_2023_50!P164, "")</f>
        <v/>
      </c>
      <c r="R164" s="22"/>
      <c r="T164" s="22"/>
      <c r="W164" s="47"/>
      <c r="AI164">
        <v>161</v>
      </c>
      <c r="AJ164">
        <v>2</v>
      </c>
    </row>
    <row r="165" spans="1:36" hidden="1" x14ac:dyDescent="0.35">
      <c r="A165">
        <v>809</v>
      </c>
      <c r="B165">
        <v>810</v>
      </c>
      <c r="C165">
        <v>146.0647884</v>
      </c>
      <c r="D165">
        <v>-17.539239429999999</v>
      </c>
      <c r="E165">
        <v>50</v>
      </c>
      <c r="G165" s="1" t="str">
        <f t="shared" si="4"/>
        <v/>
      </c>
      <c r="H165">
        <v>100</v>
      </c>
      <c r="I165" t="str">
        <f t="shared" si="5"/>
        <v>X</v>
      </c>
      <c r="J165" s="53" t="str">
        <f>IFERROR(VLOOKUP(B165, DATA_Johnstone_2024_ALL!B:J, 8, FALSE), "")</f>
        <v>X</v>
      </c>
      <c r="K165" s="29"/>
      <c r="L165" s="30"/>
      <c r="M165" s="29"/>
      <c r="N165" s="20" t="str">
        <f>IF(J165=1, DATA_Johnstone_2023_50!M165, "")</f>
        <v/>
      </c>
      <c r="O165" s="20" t="str">
        <f>IF($J165=1, DATA_Johnstone_2023_50!N165, "")</f>
        <v/>
      </c>
      <c r="P165" s="49"/>
      <c r="Q165" s="20" t="str">
        <f>IF($J165=1, DATA_Johnstone_2023_50!P165, "")</f>
        <v/>
      </c>
      <c r="R165" s="22"/>
      <c r="T165" s="22"/>
      <c r="W165" s="47"/>
      <c r="AI165">
        <v>162</v>
      </c>
      <c r="AJ165">
        <v>2</v>
      </c>
    </row>
    <row r="166" spans="1:36" hidden="1" x14ac:dyDescent="0.35">
      <c r="A166">
        <v>814</v>
      </c>
      <c r="B166">
        <v>815</v>
      </c>
      <c r="C166">
        <v>146.06511599999999</v>
      </c>
      <c r="D166">
        <v>-17.538908639999999</v>
      </c>
      <c r="E166">
        <v>50</v>
      </c>
      <c r="G166" s="1" t="str">
        <f t="shared" si="4"/>
        <v/>
      </c>
      <c r="H166">
        <v>100</v>
      </c>
      <c r="I166" t="str">
        <f t="shared" si="5"/>
        <v>X</v>
      </c>
      <c r="J166" s="53" t="str">
        <f>IFERROR(VLOOKUP(B166, DATA_Johnstone_2024_ALL!B:J, 8, FALSE), "")</f>
        <v>X</v>
      </c>
      <c r="K166" s="29"/>
      <c r="L166" s="30"/>
      <c r="M166" s="29"/>
      <c r="N166" s="20" t="str">
        <f>IF(J166=1, DATA_Johnstone_2023_50!M166, "")</f>
        <v/>
      </c>
      <c r="O166" s="20" t="str">
        <f>IF($J166=1, DATA_Johnstone_2023_50!N166, "")</f>
        <v/>
      </c>
      <c r="P166" s="49"/>
      <c r="Q166" s="20" t="str">
        <f>IF($J166=1, DATA_Johnstone_2023_50!P166, "")</f>
        <v/>
      </c>
      <c r="R166" s="22"/>
      <c r="T166" s="22"/>
      <c r="W166" s="47"/>
      <c r="AI166">
        <v>163</v>
      </c>
      <c r="AJ166">
        <v>2</v>
      </c>
    </row>
    <row r="167" spans="1:36" hidden="1" x14ac:dyDescent="0.35">
      <c r="A167">
        <v>819</v>
      </c>
      <c r="B167">
        <v>820</v>
      </c>
      <c r="C167">
        <v>146.0651412</v>
      </c>
      <c r="D167">
        <v>-17.538458240000001</v>
      </c>
      <c r="E167">
        <v>50</v>
      </c>
      <c r="G167" s="1" t="str">
        <f t="shared" si="4"/>
        <v/>
      </c>
      <c r="H167">
        <v>100</v>
      </c>
      <c r="I167" t="str">
        <f t="shared" si="5"/>
        <v>X</v>
      </c>
      <c r="J167" s="53" t="str">
        <f>IFERROR(VLOOKUP(B167, DATA_Johnstone_2024_ALL!B:J, 8, FALSE), "")</f>
        <v>X</v>
      </c>
      <c r="K167" s="29"/>
      <c r="L167" s="30"/>
      <c r="M167" s="29"/>
      <c r="N167" s="20" t="str">
        <f>IF(J167=1, DATA_Johnstone_2023_50!M167, "")</f>
        <v/>
      </c>
      <c r="O167" s="20" t="str">
        <f>IF($J167=1, DATA_Johnstone_2023_50!N167, "")</f>
        <v/>
      </c>
      <c r="P167" s="49"/>
      <c r="Q167" s="20" t="str">
        <f>IF($J167=1, DATA_Johnstone_2023_50!P167, "")</f>
        <v/>
      </c>
      <c r="R167" s="22"/>
      <c r="T167" s="22"/>
      <c r="W167" s="47"/>
      <c r="AI167">
        <v>164</v>
      </c>
      <c r="AJ167">
        <v>2</v>
      </c>
    </row>
    <row r="168" spans="1:36" hidden="1" x14ac:dyDescent="0.35">
      <c r="A168">
        <v>824</v>
      </c>
      <c r="B168">
        <v>825</v>
      </c>
      <c r="C168">
        <v>146.06474710000001</v>
      </c>
      <c r="D168">
        <v>-17.538288399999999</v>
      </c>
      <c r="E168">
        <v>50</v>
      </c>
      <c r="G168" s="1" t="str">
        <f t="shared" si="4"/>
        <v/>
      </c>
      <c r="H168">
        <v>100</v>
      </c>
      <c r="I168" t="str">
        <f t="shared" si="5"/>
        <v>X</v>
      </c>
      <c r="J168" s="53" t="str">
        <f>IFERROR(VLOOKUP(B168, DATA_Johnstone_2024_ALL!B:J, 8, FALSE), "")</f>
        <v>X</v>
      </c>
      <c r="K168" s="29"/>
      <c r="L168" s="30"/>
      <c r="M168" s="29"/>
      <c r="N168" s="20" t="str">
        <f>IF(J168=1, DATA_Johnstone_2023_50!M168, "")</f>
        <v/>
      </c>
      <c r="O168" s="20" t="str">
        <f>IF($J168=1, DATA_Johnstone_2023_50!N168, "")</f>
        <v/>
      </c>
      <c r="P168" s="49"/>
      <c r="Q168" s="20" t="str">
        <f>IF($J168=1, DATA_Johnstone_2023_50!P168, "")</f>
        <v/>
      </c>
      <c r="R168" s="22"/>
      <c r="T168" s="22"/>
      <c r="W168" s="47"/>
      <c r="AI168">
        <v>165</v>
      </c>
      <c r="AJ168">
        <v>2</v>
      </c>
    </row>
    <row r="169" spans="1:36" hidden="1" x14ac:dyDescent="0.35">
      <c r="A169">
        <v>829</v>
      </c>
      <c r="B169">
        <v>830</v>
      </c>
      <c r="C169">
        <v>146.06428170000001</v>
      </c>
      <c r="D169">
        <v>-17.538359329999999</v>
      </c>
      <c r="E169">
        <v>50</v>
      </c>
      <c r="G169" s="1" t="str">
        <f t="shared" si="4"/>
        <v/>
      </c>
      <c r="H169">
        <v>100</v>
      </c>
      <c r="I169" t="str">
        <f t="shared" si="5"/>
        <v>X</v>
      </c>
      <c r="J169" s="53" t="str">
        <f>IFERROR(VLOOKUP(B169, DATA_Johnstone_2024_ALL!B:J, 8, FALSE), "")</f>
        <v>X</v>
      </c>
      <c r="K169" s="29"/>
      <c r="L169" s="30"/>
      <c r="M169" s="29"/>
      <c r="N169" s="20" t="str">
        <f>IF(J169=1, DATA_Johnstone_2023_50!M169, "")</f>
        <v/>
      </c>
      <c r="O169" s="20" t="str">
        <f>IF($J169=1, DATA_Johnstone_2023_50!N169, "")</f>
        <v/>
      </c>
      <c r="P169" s="49"/>
      <c r="Q169" s="20" t="str">
        <f>IF($J169=1, DATA_Johnstone_2023_50!P169, "")</f>
        <v/>
      </c>
      <c r="R169" s="22"/>
      <c r="T169" s="22"/>
      <c r="W169" s="47"/>
      <c r="AI169">
        <v>166</v>
      </c>
      <c r="AJ169">
        <v>2</v>
      </c>
    </row>
    <row r="170" spans="1:36" hidden="1" x14ac:dyDescent="0.35">
      <c r="A170">
        <v>834</v>
      </c>
      <c r="B170">
        <v>835</v>
      </c>
      <c r="C170">
        <v>146.06381540000001</v>
      </c>
      <c r="D170">
        <v>-17.53839799</v>
      </c>
      <c r="E170">
        <v>50</v>
      </c>
      <c r="G170" s="1" t="str">
        <f t="shared" si="4"/>
        <v/>
      </c>
      <c r="H170">
        <v>100</v>
      </c>
      <c r="I170" t="str">
        <f t="shared" si="5"/>
        <v>X</v>
      </c>
      <c r="J170" s="53" t="str">
        <f>IFERROR(VLOOKUP(B170, DATA_Johnstone_2024_ALL!B:J, 8, FALSE), "")</f>
        <v>X</v>
      </c>
      <c r="K170" s="29"/>
      <c r="L170" s="30"/>
      <c r="M170" s="29"/>
      <c r="N170" s="20" t="str">
        <f>IF(J170=1, DATA_Johnstone_2023_50!M170, "")</f>
        <v/>
      </c>
      <c r="O170" s="20" t="str">
        <f>IF($J170=1, DATA_Johnstone_2023_50!N170, "")</f>
        <v/>
      </c>
      <c r="P170" s="49"/>
      <c r="Q170" s="20" t="str">
        <f>IF($J170=1, DATA_Johnstone_2023_50!P170, "")</f>
        <v/>
      </c>
      <c r="R170" s="22"/>
      <c r="T170" s="22"/>
      <c r="W170" s="47"/>
      <c r="AI170">
        <v>167</v>
      </c>
      <c r="AJ170">
        <v>2</v>
      </c>
    </row>
    <row r="171" spans="1:36" hidden="1" x14ac:dyDescent="0.35">
      <c r="A171">
        <v>839</v>
      </c>
      <c r="B171">
        <v>840</v>
      </c>
      <c r="C171">
        <v>146.06334770000001</v>
      </c>
      <c r="D171">
        <v>-17.538339700000002</v>
      </c>
      <c r="E171">
        <v>50</v>
      </c>
      <c r="G171" s="1" t="str">
        <f t="shared" si="4"/>
        <v/>
      </c>
      <c r="H171">
        <v>100</v>
      </c>
      <c r="I171" t="str">
        <f t="shared" si="5"/>
        <v>X</v>
      </c>
      <c r="J171" s="53" t="str">
        <f>IFERROR(VLOOKUP(B171, DATA_Johnstone_2024_ALL!B:J, 8, FALSE), "")</f>
        <v>X</v>
      </c>
      <c r="K171" s="29"/>
      <c r="L171" s="30"/>
      <c r="M171" s="29"/>
      <c r="N171" s="20" t="str">
        <f>IF(J171=1, DATA_Johnstone_2023_50!M171, "")</f>
        <v/>
      </c>
      <c r="O171" s="20" t="str">
        <f>IF($J171=1, DATA_Johnstone_2023_50!N171, "")</f>
        <v/>
      </c>
      <c r="P171" s="49"/>
      <c r="Q171" s="20" t="str">
        <f>IF($J171=1, DATA_Johnstone_2023_50!P171, "")</f>
        <v/>
      </c>
      <c r="R171" s="22"/>
      <c r="T171" s="22"/>
      <c r="W171" s="47"/>
      <c r="AI171">
        <v>168</v>
      </c>
      <c r="AJ171">
        <v>2</v>
      </c>
    </row>
    <row r="172" spans="1:36" hidden="1" x14ac:dyDescent="0.35">
      <c r="A172">
        <v>844</v>
      </c>
      <c r="B172">
        <v>845</v>
      </c>
      <c r="C172">
        <v>146.0628815</v>
      </c>
      <c r="D172">
        <v>-17.538269289999999</v>
      </c>
      <c r="E172">
        <v>50</v>
      </c>
      <c r="G172" s="1" t="str">
        <f t="shared" si="4"/>
        <v/>
      </c>
      <c r="H172">
        <v>100</v>
      </c>
      <c r="I172" t="str">
        <f t="shared" si="5"/>
        <v>X</v>
      </c>
      <c r="J172" s="53" t="str">
        <f>IFERROR(VLOOKUP(B172, DATA_Johnstone_2024_ALL!B:J, 8, FALSE), "")</f>
        <v>X</v>
      </c>
      <c r="K172" s="29"/>
      <c r="L172" s="30"/>
      <c r="M172" s="29"/>
      <c r="N172" s="20" t="str">
        <f>IF(J172=1, DATA_Johnstone_2023_50!M172, "")</f>
        <v/>
      </c>
      <c r="O172" s="20" t="str">
        <f>IF($J172=1, DATA_Johnstone_2023_50!N172, "")</f>
        <v/>
      </c>
      <c r="P172" s="49"/>
      <c r="Q172" s="20" t="str">
        <f>IF($J172=1, DATA_Johnstone_2023_50!P172, "")</f>
        <v/>
      </c>
      <c r="R172" s="22"/>
      <c r="T172" s="22"/>
      <c r="W172" s="47"/>
      <c r="AI172">
        <v>169</v>
      </c>
      <c r="AJ172">
        <v>2</v>
      </c>
    </row>
    <row r="173" spans="1:36" hidden="1" x14ac:dyDescent="0.35">
      <c r="A173">
        <v>849</v>
      </c>
      <c r="B173">
        <v>850</v>
      </c>
      <c r="C173">
        <v>146.0624139</v>
      </c>
      <c r="D173">
        <v>-17.538208709999999</v>
      </c>
      <c r="E173">
        <v>50</v>
      </c>
      <c r="G173" s="1" t="str">
        <f t="shared" si="4"/>
        <v/>
      </c>
      <c r="H173">
        <v>100</v>
      </c>
      <c r="I173" t="str">
        <f t="shared" si="5"/>
        <v>X</v>
      </c>
      <c r="J173" s="53" t="str">
        <f>IFERROR(VLOOKUP(B173, DATA_Johnstone_2024_ALL!B:J, 8, FALSE), "")</f>
        <v>X</v>
      </c>
      <c r="K173" s="29"/>
      <c r="L173" s="30"/>
      <c r="M173" s="29"/>
      <c r="N173" s="20" t="str">
        <f>IF(J173=1, DATA_Johnstone_2023_50!M173, "")</f>
        <v/>
      </c>
      <c r="O173" s="20" t="str">
        <f>IF($J173=1, DATA_Johnstone_2023_50!N173, "")</f>
        <v/>
      </c>
      <c r="P173" s="49"/>
      <c r="Q173" s="20" t="str">
        <f>IF($J173=1, DATA_Johnstone_2023_50!P173, "")</f>
        <v/>
      </c>
      <c r="R173" s="22"/>
      <c r="T173" s="22"/>
      <c r="W173" s="47"/>
      <c r="AI173">
        <v>170</v>
      </c>
      <c r="AJ173">
        <v>2</v>
      </c>
    </row>
    <row r="174" spans="1:36" hidden="1" x14ac:dyDescent="0.35">
      <c r="A174">
        <v>854</v>
      </c>
      <c r="B174">
        <v>855</v>
      </c>
      <c r="C174">
        <v>146.0619548</v>
      </c>
      <c r="D174">
        <v>-17.538102309999999</v>
      </c>
      <c r="E174">
        <v>50</v>
      </c>
      <c r="G174" s="1" t="str">
        <f t="shared" si="4"/>
        <v/>
      </c>
      <c r="H174">
        <v>100</v>
      </c>
      <c r="I174" t="str">
        <f t="shared" si="5"/>
        <v>X</v>
      </c>
      <c r="J174" s="53" t="str">
        <f>IFERROR(VLOOKUP(B174, DATA_Johnstone_2024_ALL!B:J, 8, FALSE), "")</f>
        <v>X</v>
      </c>
      <c r="K174" s="29"/>
      <c r="L174" s="30"/>
      <c r="M174" s="29"/>
      <c r="N174" s="20" t="str">
        <f>IF(J174=1, DATA_Johnstone_2023_50!M174, "")</f>
        <v/>
      </c>
      <c r="O174" s="20" t="str">
        <f>IF($J174=1, DATA_Johnstone_2023_50!N174, "")</f>
        <v/>
      </c>
      <c r="P174" s="49"/>
      <c r="Q174" s="20" t="str">
        <f>IF($J174=1, DATA_Johnstone_2023_50!P174, "")</f>
        <v/>
      </c>
      <c r="R174" s="22"/>
      <c r="T174" s="22"/>
      <c r="W174" s="47"/>
      <c r="AI174">
        <v>171</v>
      </c>
      <c r="AJ174">
        <v>2</v>
      </c>
    </row>
    <row r="175" spans="1:36" hidden="1" x14ac:dyDescent="0.35">
      <c r="A175">
        <v>859</v>
      </c>
      <c r="B175">
        <v>860</v>
      </c>
      <c r="C175">
        <v>146.0615387</v>
      </c>
      <c r="D175">
        <v>-17.537885630000002</v>
      </c>
      <c r="E175">
        <v>50</v>
      </c>
      <c r="G175" s="1" t="str">
        <f t="shared" si="4"/>
        <v/>
      </c>
      <c r="H175">
        <v>100</v>
      </c>
      <c r="I175" t="str">
        <f t="shared" si="5"/>
        <v>X</v>
      </c>
      <c r="J175" s="53" t="str">
        <f>IFERROR(VLOOKUP(B175, DATA_Johnstone_2024_ALL!B:J, 8, FALSE), "")</f>
        <v>X</v>
      </c>
      <c r="K175" s="29"/>
      <c r="L175" s="30"/>
      <c r="M175" s="29"/>
      <c r="N175" s="20" t="str">
        <f>IF(J175=1, DATA_Johnstone_2023_50!M175, "")</f>
        <v/>
      </c>
      <c r="O175" s="20" t="str">
        <f>IF($J175=1, DATA_Johnstone_2023_50!N175, "")</f>
        <v/>
      </c>
      <c r="P175" s="49"/>
      <c r="Q175" s="20" t="str">
        <f>IF($J175=1, DATA_Johnstone_2023_50!P175, "")</f>
        <v/>
      </c>
      <c r="R175" s="22"/>
      <c r="T175" s="22"/>
      <c r="W175" s="47"/>
      <c r="AI175">
        <v>172</v>
      </c>
      <c r="AJ175">
        <v>2</v>
      </c>
    </row>
    <row r="176" spans="1:36" hidden="1" x14ac:dyDescent="0.35">
      <c r="A176">
        <v>864</v>
      </c>
      <c r="B176">
        <v>865</v>
      </c>
      <c r="C176">
        <v>146.06125979999999</v>
      </c>
      <c r="D176">
        <v>-17.537520709999999</v>
      </c>
      <c r="E176">
        <v>50</v>
      </c>
      <c r="G176" s="1" t="str">
        <f t="shared" si="4"/>
        <v/>
      </c>
      <c r="H176">
        <v>100</v>
      </c>
      <c r="I176" t="str">
        <f t="shared" si="5"/>
        <v>X</v>
      </c>
      <c r="J176" s="53" t="str">
        <f>IFERROR(VLOOKUP(B176, DATA_Johnstone_2024_ALL!B:J, 8, FALSE), "")</f>
        <v>X</v>
      </c>
      <c r="K176" s="29"/>
      <c r="L176" s="30"/>
      <c r="M176" s="29"/>
      <c r="N176" s="20" t="str">
        <f>IF(J176=1, DATA_Johnstone_2023_50!M176, "")</f>
        <v/>
      </c>
      <c r="O176" s="20" t="str">
        <f>IF($J176=1, DATA_Johnstone_2023_50!N176, "")</f>
        <v/>
      </c>
      <c r="P176" s="49"/>
      <c r="Q176" s="20" t="str">
        <f>IF($J176=1, DATA_Johnstone_2023_50!P176, "")</f>
        <v/>
      </c>
      <c r="R176" s="22"/>
      <c r="T176" s="22"/>
      <c r="W176" s="47"/>
      <c r="AI176">
        <v>173</v>
      </c>
      <c r="AJ176">
        <v>2</v>
      </c>
    </row>
    <row r="177" spans="1:36" hidden="1" x14ac:dyDescent="0.35">
      <c r="A177">
        <v>869</v>
      </c>
      <c r="B177">
        <v>870</v>
      </c>
      <c r="C177">
        <v>146.06118219999999</v>
      </c>
      <c r="D177">
        <v>-17.53705789</v>
      </c>
      <c r="E177">
        <v>50</v>
      </c>
      <c r="G177" s="1" t="str">
        <f t="shared" si="4"/>
        <v/>
      </c>
      <c r="H177">
        <v>100</v>
      </c>
      <c r="I177" t="str">
        <f t="shared" si="5"/>
        <v>X</v>
      </c>
      <c r="J177" s="53" t="str">
        <f>IFERROR(VLOOKUP(B177, DATA_Johnstone_2024_ALL!B:J, 8, FALSE), "")</f>
        <v>X</v>
      </c>
      <c r="K177" s="29"/>
      <c r="L177" s="30"/>
      <c r="M177" s="29"/>
      <c r="N177" s="20" t="str">
        <f>IF(J177=1, DATA_Johnstone_2023_50!M177, "")</f>
        <v/>
      </c>
      <c r="O177" s="20" t="str">
        <f>IF($J177=1, DATA_Johnstone_2023_50!N177, "")</f>
        <v/>
      </c>
      <c r="P177" s="49"/>
      <c r="Q177" s="20" t="str">
        <f>IF($J177=1, DATA_Johnstone_2023_50!P177, "")</f>
        <v/>
      </c>
      <c r="R177" s="22"/>
      <c r="T177" s="22"/>
      <c r="W177" s="47"/>
      <c r="AI177">
        <v>174</v>
      </c>
      <c r="AJ177">
        <v>2</v>
      </c>
    </row>
    <row r="178" spans="1:36" hidden="1" x14ac:dyDescent="0.35">
      <c r="A178">
        <v>874</v>
      </c>
      <c r="B178">
        <v>875</v>
      </c>
      <c r="C178">
        <v>146.06117320000001</v>
      </c>
      <c r="D178">
        <v>-17.536587910000002</v>
      </c>
      <c r="E178">
        <v>50</v>
      </c>
      <c r="G178" s="1" t="str">
        <f t="shared" si="4"/>
        <v/>
      </c>
      <c r="H178">
        <v>100</v>
      </c>
      <c r="I178" t="str">
        <f t="shared" si="5"/>
        <v>X</v>
      </c>
      <c r="J178" s="53" t="str">
        <f>IFERROR(VLOOKUP(B178, DATA_Johnstone_2024_ALL!B:J, 8, FALSE), "")</f>
        <v>X</v>
      </c>
      <c r="K178" s="29"/>
      <c r="L178" s="30"/>
      <c r="M178" s="29"/>
      <c r="N178" s="20" t="str">
        <f>IF(J178=1, DATA_Johnstone_2023_50!M178, "")</f>
        <v/>
      </c>
      <c r="O178" s="20" t="str">
        <f>IF($J178=1, DATA_Johnstone_2023_50!N178, "")</f>
        <v/>
      </c>
      <c r="P178" s="49"/>
      <c r="Q178" s="20" t="str">
        <f>IF($J178=1, DATA_Johnstone_2023_50!P178, "")</f>
        <v/>
      </c>
      <c r="R178" s="22"/>
      <c r="T178" s="22"/>
      <c r="W178" s="47"/>
      <c r="AI178">
        <v>175</v>
      </c>
      <c r="AJ178">
        <v>2</v>
      </c>
    </row>
    <row r="179" spans="1:36" hidden="1" x14ac:dyDescent="0.35">
      <c r="A179">
        <v>879</v>
      </c>
      <c r="B179">
        <v>880</v>
      </c>
      <c r="C179">
        <v>146.06134449999999</v>
      </c>
      <c r="D179">
        <v>-17.536188859999999</v>
      </c>
      <c r="E179">
        <v>50</v>
      </c>
      <c r="G179" s="1" t="str">
        <f t="shared" si="4"/>
        <v/>
      </c>
      <c r="H179">
        <v>100</v>
      </c>
      <c r="I179" t="str">
        <f t="shared" si="5"/>
        <v>X</v>
      </c>
      <c r="J179" s="53" t="str">
        <f>IFERROR(VLOOKUP(B179, DATA_Johnstone_2024_ALL!B:J, 8, FALSE), "")</f>
        <v>X</v>
      </c>
      <c r="K179" s="29"/>
      <c r="L179" s="30"/>
      <c r="M179" s="29"/>
      <c r="N179" s="20" t="str">
        <f>IF(J179=1, DATA_Johnstone_2023_50!M179, "")</f>
        <v/>
      </c>
      <c r="O179" s="20" t="str">
        <f>IF($J179=1, DATA_Johnstone_2023_50!N179, "")</f>
        <v/>
      </c>
      <c r="P179" s="49"/>
      <c r="Q179" s="20" t="str">
        <f>IF($J179=1, DATA_Johnstone_2023_50!P179, "")</f>
        <v/>
      </c>
      <c r="R179" s="22"/>
      <c r="T179" s="22"/>
      <c r="W179" s="47"/>
      <c r="AI179">
        <v>176</v>
      </c>
      <c r="AJ179">
        <v>2</v>
      </c>
    </row>
    <row r="180" spans="1:36" hidden="1" x14ac:dyDescent="0.35">
      <c r="A180">
        <v>884</v>
      </c>
      <c r="B180">
        <v>885</v>
      </c>
      <c r="C180">
        <v>146.0616728</v>
      </c>
      <c r="D180">
        <v>-17.535872569999999</v>
      </c>
      <c r="E180">
        <v>50</v>
      </c>
      <c r="G180" s="1" t="str">
        <f t="shared" si="4"/>
        <v/>
      </c>
      <c r="H180">
        <v>100</v>
      </c>
      <c r="I180" t="str">
        <f t="shared" si="5"/>
        <v>X</v>
      </c>
      <c r="J180" s="53" t="str">
        <f>IFERROR(VLOOKUP(B180, DATA_Johnstone_2024_ALL!B:J, 8, FALSE), "")</f>
        <v>X</v>
      </c>
      <c r="K180" s="29"/>
      <c r="L180" s="30"/>
      <c r="M180" s="29"/>
      <c r="N180" s="20" t="str">
        <f>IF(J180=1, DATA_Johnstone_2023_50!M180, "")</f>
        <v/>
      </c>
      <c r="O180" s="20" t="str">
        <f>IF($J180=1, DATA_Johnstone_2023_50!N180, "")</f>
        <v/>
      </c>
      <c r="P180" s="49"/>
      <c r="Q180" s="20" t="str">
        <f>IF($J180=1, DATA_Johnstone_2023_50!P180, "")</f>
        <v/>
      </c>
      <c r="R180" s="22"/>
      <c r="T180" s="22"/>
      <c r="W180" s="47"/>
      <c r="AI180">
        <v>177</v>
      </c>
      <c r="AJ180">
        <v>2</v>
      </c>
    </row>
    <row r="181" spans="1:36" hidden="1" x14ac:dyDescent="0.35">
      <c r="A181">
        <v>889</v>
      </c>
      <c r="B181">
        <v>890</v>
      </c>
      <c r="C181">
        <v>146.0621228</v>
      </c>
      <c r="D181">
        <v>-17.535821869999999</v>
      </c>
      <c r="E181">
        <v>50</v>
      </c>
      <c r="G181" s="1" t="str">
        <f t="shared" si="4"/>
        <v/>
      </c>
      <c r="H181">
        <v>100</v>
      </c>
      <c r="I181" t="str">
        <f t="shared" si="5"/>
        <v>X</v>
      </c>
      <c r="J181" s="53" t="str">
        <f>IFERROR(VLOOKUP(B181, DATA_Johnstone_2024_ALL!B:J, 8, FALSE), "")</f>
        <v>X</v>
      </c>
      <c r="K181" s="29"/>
      <c r="L181" s="30"/>
      <c r="M181" s="29"/>
      <c r="N181" s="20" t="str">
        <f>IF(J181=1, DATA_Johnstone_2023_50!M181, "")</f>
        <v/>
      </c>
      <c r="O181" s="20" t="str">
        <f>IF($J181=1, DATA_Johnstone_2023_50!N181, "")</f>
        <v/>
      </c>
      <c r="P181" s="49"/>
      <c r="Q181" s="20" t="str">
        <f>IF($J181=1, DATA_Johnstone_2023_50!P181, "")</f>
        <v/>
      </c>
      <c r="R181" s="22"/>
      <c r="T181" s="22"/>
      <c r="W181" s="47"/>
      <c r="AI181">
        <v>178</v>
      </c>
      <c r="AJ181">
        <v>2</v>
      </c>
    </row>
    <row r="182" spans="1:36" hidden="1" x14ac:dyDescent="0.35">
      <c r="A182">
        <v>894</v>
      </c>
      <c r="B182">
        <v>895</v>
      </c>
      <c r="C182">
        <v>146.06254709999999</v>
      </c>
      <c r="D182">
        <v>-17.535920900000001</v>
      </c>
      <c r="E182">
        <v>50</v>
      </c>
      <c r="G182" s="1" t="str">
        <f t="shared" si="4"/>
        <v/>
      </c>
      <c r="H182">
        <v>100</v>
      </c>
      <c r="I182" t="str">
        <f t="shared" si="5"/>
        <v>X</v>
      </c>
      <c r="J182" s="53" t="str">
        <f>IFERROR(VLOOKUP(B182, DATA_Johnstone_2024_ALL!B:J, 8, FALSE), "")</f>
        <v>X</v>
      </c>
      <c r="K182" s="29"/>
      <c r="L182" s="30"/>
      <c r="M182" s="29"/>
      <c r="N182" s="20" t="str">
        <f>IF(J182=1, DATA_Johnstone_2023_50!M182, "")</f>
        <v/>
      </c>
      <c r="O182" s="20" t="str">
        <f>IF($J182=1, DATA_Johnstone_2023_50!N182, "")</f>
        <v/>
      </c>
      <c r="P182" s="49"/>
      <c r="Q182" s="20" t="str">
        <f>IF($J182=1, DATA_Johnstone_2023_50!P182, "")</f>
        <v/>
      </c>
      <c r="R182" s="22"/>
      <c r="T182" s="22"/>
      <c r="W182" s="47"/>
      <c r="AI182">
        <v>179</v>
      </c>
      <c r="AJ182">
        <v>2</v>
      </c>
    </row>
    <row r="183" spans="1:36" hidden="1" x14ac:dyDescent="0.35">
      <c r="A183">
        <v>899</v>
      </c>
      <c r="B183">
        <v>900</v>
      </c>
      <c r="C183">
        <v>146.06293199999999</v>
      </c>
      <c r="D183">
        <v>-17.53613373</v>
      </c>
      <c r="E183">
        <v>50</v>
      </c>
      <c r="G183" s="1" t="str">
        <f t="shared" si="4"/>
        <v/>
      </c>
      <c r="H183">
        <v>100</v>
      </c>
      <c r="I183" t="str">
        <f t="shared" si="5"/>
        <v>X</v>
      </c>
      <c r="J183" s="53" t="str">
        <f>IFERROR(VLOOKUP(B183, DATA_Johnstone_2024_ALL!B:J, 8, FALSE), "")</f>
        <v>X</v>
      </c>
      <c r="K183" s="29"/>
      <c r="L183" s="30"/>
      <c r="M183" s="29"/>
      <c r="N183" s="20" t="str">
        <f>IF(J183=1, DATA_Johnstone_2023_50!M183, "")</f>
        <v/>
      </c>
      <c r="O183" s="20" t="str">
        <f>IF($J183=1, DATA_Johnstone_2023_50!N183, "")</f>
        <v/>
      </c>
      <c r="P183" s="49"/>
      <c r="Q183" s="20" t="str">
        <f>IF($J183=1, DATA_Johnstone_2023_50!P183, "")</f>
        <v/>
      </c>
      <c r="R183" s="22"/>
      <c r="T183" s="22"/>
      <c r="W183" s="47"/>
      <c r="AI183">
        <v>180</v>
      </c>
      <c r="AJ183">
        <v>2</v>
      </c>
    </row>
    <row r="184" spans="1:36" hidden="1" x14ac:dyDescent="0.35">
      <c r="A184">
        <v>904</v>
      </c>
      <c r="B184">
        <v>905</v>
      </c>
      <c r="C184">
        <v>146.0633976</v>
      </c>
      <c r="D184">
        <v>-17.53620579</v>
      </c>
      <c r="E184">
        <v>50</v>
      </c>
      <c r="G184" s="1" t="str">
        <f t="shared" si="4"/>
        <v/>
      </c>
      <c r="H184">
        <v>100</v>
      </c>
      <c r="I184" t="str">
        <f t="shared" si="5"/>
        <v>X</v>
      </c>
      <c r="J184" s="53" t="str">
        <f>IFERROR(VLOOKUP(B184, DATA_Johnstone_2024_ALL!B:J, 8, FALSE), "")</f>
        <v>X</v>
      </c>
      <c r="K184" s="29"/>
      <c r="L184" s="30"/>
      <c r="M184" s="29"/>
      <c r="N184" s="20" t="str">
        <f>IF(J184=1, DATA_Johnstone_2023_50!M184, "")</f>
        <v/>
      </c>
      <c r="O184" s="20" t="str">
        <f>IF($J184=1, DATA_Johnstone_2023_50!N184, "")</f>
        <v/>
      </c>
      <c r="P184" s="49"/>
      <c r="Q184" s="20" t="str">
        <f>IF($J184=1, DATA_Johnstone_2023_50!P184, "")</f>
        <v/>
      </c>
      <c r="R184" s="22"/>
      <c r="T184" s="22"/>
      <c r="W184" s="47"/>
      <c r="AI184">
        <v>181</v>
      </c>
      <c r="AJ184">
        <v>2</v>
      </c>
    </row>
    <row r="185" spans="1:36" hidden="1" x14ac:dyDescent="0.35">
      <c r="A185">
        <v>909</v>
      </c>
      <c r="B185">
        <v>910</v>
      </c>
      <c r="C185">
        <v>146.06386209999999</v>
      </c>
      <c r="D185">
        <v>-17.536223849999999</v>
      </c>
      <c r="E185">
        <v>50</v>
      </c>
      <c r="G185" s="1" t="str">
        <f t="shared" si="4"/>
        <v/>
      </c>
      <c r="H185">
        <v>100</v>
      </c>
      <c r="I185" t="str">
        <f t="shared" si="5"/>
        <v>X</v>
      </c>
      <c r="J185" s="53" t="str">
        <f>IFERROR(VLOOKUP(B185, DATA_Johnstone_2024_ALL!B:J, 8, FALSE), "")</f>
        <v>X</v>
      </c>
      <c r="K185" s="29"/>
      <c r="L185" s="30"/>
      <c r="M185" s="29"/>
      <c r="N185" s="20" t="str">
        <f>IF(J185=1, DATA_Johnstone_2023_50!M185, "")</f>
        <v/>
      </c>
      <c r="O185" s="20" t="str">
        <f>IF($J185=1, DATA_Johnstone_2023_50!N185, "")</f>
        <v/>
      </c>
      <c r="P185" s="49"/>
      <c r="Q185" s="20" t="str">
        <f>IF($J185=1, DATA_Johnstone_2023_50!P185, "")</f>
        <v/>
      </c>
      <c r="R185" s="22"/>
      <c r="T185" s="22"/>
      <c r="W185" s="47"/>
      <c r="AI185">
        <v>182</v>
      </c>
      <c r="AJ185">
        <v>2</v>
      </c>
    </row>
    <row r="186" spans="1:36" hidden="1" x14ac:dyDescent="0.35">
      <c r="A186">
        <v>914</v>
      </c>
      <c r="B186">
        <v>915</v>
      </c>
      <c r="C186">
        <v>146.06429249999999</v>
      </c>
      <c r="D186">
        <v>-17.536040199999999</v>
      </c>
      <c r="E186">
        <v>50</v>
      </c>
      <c r="G186" s="1" t="str">
        <f t="shared" si="4"/>
        <v/>
      </c>
      <c r="H186">
        <v>100</v>
      </c>
      <c r="I186" t="str">
        <f t="shared" si="5"/>
        <v>X</v>
      </c>
      <c r="J186" s="53" t="str">
        <f>IFERROR(VLOOKUP(B186, DATA_Johnstone_2024_ALL!B:J, 8, FALSE), "")</f>
        <v>X</v>
      </c>
      <c r="K186" s="29"/>
      <c r="L186" s="30"/>
      <c r="M186" s="29"/>
      <c r="N186" s="20" t="str">
        <f>IF(J186=1, DATA_Johnstone_2023_50!M186, "")</f>
        <v/>
      </c>
      <c r="O186" s="20" t="str">
        <f>IF($J186=1, DATA_Johnstone_2023_50!N186, "")</f>
        <v/>
      </c>
      <c r="P186" s="49"/>
      <c r="Q186" s="20" t="str">
        <f>IF($J186=1, DATA_Johnstone_2023_50!P186, "")</f>
        <v/>
      </c>
      <c r="R186" s="22"/>
      <c r="T186" s="22"/>
      <c r="W186" s="47"/>
      <c r="AI186">
        <v>183</v>
      </c>
      <c r="AJ186">
        <v>2</v>
      </c>
    </row>
    <row r="187" spans="1:36" hidden="1" x14ac:dyDescent="0.35">
      <c r="A187">
        <v>919</v>
      </c>
      <c r="B187">
        <v>920</v>
      </c>
      <c r="C187">
        <v>146.06441950000001</v>
      </c>
      <c r="D187">
        <v>-17.535619359999998</v>
      </c>
      <c r="E187">
        <v>50</v>
      </c>
      <c r="G187" s="1" t="str">
        <f t="shared" si="4"/>
        <v/>
      </c>
      <c r="H187">
        <v>100</v>
      </c>
      <c r="I187" t="str">
        <f t="shared" si="5"/>
        <v>X</v>
      </c>
      <c r="J187" s="53" t="str">
        <f>IFERROR(VLOOKUP(B187, DATA_Johnstone_2024_ALL!B:J, 8, FALSE), "")</f>
        <v>X</v>
      </c>
      <c r="K187" s="29"/>
      <c r="L187" s="30"/>
      <c r="M187" s="29"/>
      <c r="N187" s="20" t="str">
        <f>IF(J187=1, DATA_Johnstone_2023_50!M187, "")</f>
        <v/>
      </c>
      <c r="O187" s="20" t="str">
        <f>IF($J187=1, DATA_Johnstone_2023_50!N187, "")</f>
        <v/>
      </c>
      <c r="P187" s="49"/>
      <c r="Q187" s="20" t="str">
        <f>IF($J187=1, DATA_Johnstone_2023_50!P187, "")</f>
        <v/>
      </c>
      <c r="R187" s="22"/>
      <c r="T187" s="22"/>
      <c r="W187" s="47"/>
      <c r="AI187">
        <v>184</v>
      </c>
      <c r="AJ187">
        <v>2</v>
      </c>
    </row>
    <row r="188" spans="1:36" hidden="1" x14ac:dyDescent="0.35">
      <c r="A188">
        <v>924</v>
      </c>
      <c r="B188">
        <v>925</v>
      </c>
      <c r="C188">
        <v>146.06427729999999</v>
      </c>
      <c r="D188">
        <v>-17.535169790000001</v>
      </c>
      <c r="E188">
        <v>50</v>
      </c>
      <c r="G188" s="1" t="str">
        <f t="shared" si="4"/>
        <v/>
      </c>
      <c r="H188">
        <v>100</v>
      </c>
      <c r="I188" t="str">
        <f t="shared" si="5"/>
        <v>X</v>
      </c>
      <c r="J188" s="53" t="str">
        <f>IFERROR(VLOOKUP(B188, DATA_Johnstone_2024_ALL!B:J, 8, FALSE), "")</f>
        <v>X</v>
      </c>
      <c r="K188" s="29"/>
      <c r="L188" s="30"/>
      <c r="M188" s="29"/>
      <c r="N188" s="20" t="str">
        <f>IF(J188=1, DATA_Johnstone_2023_50!M188, "")</f>
        <v/>
      </c>
      <c r="O188" s="20" t="str">
        <f>IF($J188=1, DATA_Johnstone_2023_50!N188, "")</f>
        <v/>
      </c>
      <c r="P188" s="49"/>
      <c r="Q188" s="20" t="str">
        <f>IF($J188=1, DATA_Johnstone_2023_50!P188, "")</f>
        <v/>
      </c>
      <c r="R188" s="22"/>
      <c r="T188" s="22"/>
      <c r="W188" s="47"/>
      <c r="AI188">
        <v>185</v>
      </c>
      <c r="AJ188">
        <v>2</v>
      </c>
    </row>
    <row r="189" spans="1:36" hidden="1" x14ac:dyDescent="0.35">
      <c r="A189">
        <v>929</v>
      </c>
      <c r="B189">
        <v>930</v>
      </c>
      <c r="C189">
        <v>146.06413430000001</v>
      </c>
      <c r="D189">
        <v>-17.534720480000001</v>
      </c>
      <c r="E189">
        <v>50</v>
      </c>
      <c r="G189" s="1" t="str">
        <f t="shared" si="4"/>
        <v/>
      </c>
      <c r="H189">
        <v>100</v>
      </c>
      <c r="I189" t="str">
        <f t="shared" si="5"/>
        <v>X</v>
      </c>
      <c r="J189" s="53" t="str">
        <f>IFERROR(VLOOKUP(B189, DATA_Johnstone_2024_ALL!B:J, 8, FALSE), "")</f>
        <v>X</v>
      </c>
      <c r="K189" s="29"/>
      <c r="L189" s="30"/>
      <c r="M189" s="29"/>
      <c r="N189" s="20" t="str">
        <f>IF(J189=1, DATA_Johnstone_2023_50!M189, "")</f>
        <v/>
      </c>
      <c r="O189" s="20" t="str">
        <f>IF($J189=1, DATA_Johnstone_2023_50!N189, "")</f>
        <v/>
      </c>
      <c r="P189" s="49"/>
      <c r="Q189" s="20" t="str">
        <f>IF($J189=1, DATA_Johnstone_2023_50!P189, "")</f>
        <v/>
      </c>
      <c r="R189" s="22"/>
      <c r="T189" s="22"/>
      <c r="W189" s="47"/>
      <c r="AI189">
        <v>186</v>
      </c>
      <c r="AJ189">
        <v>2</v>
      </c>
    </row>
    <row r="190" spans="1:36" hidden="1" x14ac:dyDescent="0.35">
      <c r="A190">
        <v>934</v>
      </c>
      <c r="B190">
        <v>935</v>
      </c>
      <c r="C190">
        <v>146.0639085</v>
      </c>
      <c r="D190">
        <v>-17.534308299999999</v>
      </c>
      <c r="E190">
        <v>50</v>
      </c>
      <c r="G190" s="1" t="str">
        <f t="shared" si="4"/>
        <v/>
      </c>
      <c r="H190">
        <v>100</v>
      </c>
      <c r="I190" t="str">
        <f t="shared" si="5"/>
        <v>X</v>
      </c>
      <c r="J190" s="53" t="str">
        <f>IFERROR(VLOOKUP(B190, DATA_Johnstone_2024_ALL!B:J, 8, FALSE), "")</f>
        <v>X</v>
      </c>
      <c r="K190" s="29"/>
      <c r="L190" s="30"/>
      <c r="M190" s="29"/>
      <c r="N190" s="20" t="str">
        <f>IF(J190=1, DATA_Johnstone_2023_50!M190, "")</f>
        <v/>
      </c>
      <c r="O190" s="20" t="str">
        <f>IF($J190=1, DATA_Johnstone_2023_50!N190, "")</f>
        <v/>
      </c>
      <c r="P190" s="49"/>
      <c r="Q190" s="20" t="str">
        <f>IF($J190=1, DATA_Johnstone_2023_50!P190, "")</f>
        <v/>
      </c>
      <c r="R190" s="22"/>
      <c r="T190" s="22"/>
      <c r="W190" s="47"/>
      <c r="AI190">
        <v>187</v>
      </c>
      <c r="AJ190">
        <v>2</v>
      </c>
    </row>
    <row r="191" spans="1:36" hidden="1" x14ac:dyDescent="0.35">
      <c r="A191">
        <v>939</v>
      </c>
      <c r="B191">
        <v>940</v>
      </c>
      <c r="C191">
        <v>146.06358779999999</v>
      </c>
      <c r="D191">
        <v>-17.533987889999999</v>
      </c>
      <c r="E191">
        <v>50</v>
      </c>
      <c r="G191" s="1" t="str">
        <f t="shared" si="4"/>
        <v/>
      </c>
      <c r="H191">
        <v>100</v>
      </c>
      <c r="I191" t="str">
        <f t="shared" si="5"/>
        <v>X</v>
      </c>
      <c r="J191" s="53" t="str">
        <f>IFERROR(VLOOKUP(B191, DATA_Johnstone_2024_ALL!B:J, 8, FALSE), "")</f>
        <v>X</v>
      </c>
      <c r="K191" s="29"/>
      <c r="L191" s="30"/>
      <c r="M191" s="29"/>
      <c r="N191" s="20" t="str">
        <f>IF(J191=1, DATA_Johnstone_2023_50!M191, "")</f>
        <v/>
      </c>
      <c r="O191" s="20" t="str">
        <f>IF($J191=1, DATA_Johnstone_2023_50!N191, "")</f>
        <v/>
      </c>
      <c r="P191" s="49"/>
      <c r="Q191" s="20" t="str">
        <f>IF($J191=1, DATA_Johnstone_2023_50!P191, "")</f>
        <v/>
      </c>
      <c r="R191" s="22"/>
      <c r="T191" s="22"/>
      <c r="W191" s="47"/>
      <c r="AI191">
        <v>188</v>
      </c>
      <c r="AJ191">
        <v>2</v>
      </c>
    </row>
    <row r="192" spans="1:36" hidden="1" x14ac:dyDescent="0.35">
      <c r="A192">
        <v>944</v>
      </c>
      <c r="B192">
        <v>945</v>
      </c>
      <c r="C192">
        <v>146.0631612</v>
      </c>
      <c r="D192">
        <v>-17.53378769</v>
      </c>
      <c r="E192">
        <v>50</v>
      </c>
      <c r="G192" s="1" t="str">
        <f t="shared" si="4"/>
        <v/>
      </c>
      <c r="H192">
        <v>100</v>
      </c>
      <c r="I192" t="str">
        <f t="shared" si="5"/>
        <v>X</v>
      </c>
      <c r="J192" s="53" t="str">
        <f>IFERROR(VLOOKUP(B192, DATA_Johnstone_2024_ALL!B:J, 8, FALSE), "")</f>
        <v>X</v>
      </c>
      <c r="K192" s="29"/>
      <c r="L192" s="30"/>
      <c r="M192" s="29"/>
      <c r="N192" s="20" t="str">
        <f>IF(J192=1, DATA_Johnstone_2023_50!M192, "")</f>
        <v/>
      </c>
      <c r="O192" s="20" t="str">
        <f>IF($J192=1, DATA_Johnstone_2023_50!N192, "")</f>
        <v/>
      </c>
      <c r="P192" s="49"/>
      <c r="Q192" s="20" t="str">
        <f>IF($J192=1, DATA_Johnstone_2023_50!P192, "")</f>
        <v/>
      </c>
      <c r="R192" s="22"/>
      <c r="T192" s="22"/>
      <c r="W192" s="47"/>
      <c r="AI192">
        <v>189</v>
      </c>
      <c r="AJ192">
        <v>2</v>
      </c>
    </row>
    <row r="193" spans="1:36" hidden="1" x14ac:dyDescent="0.35">
      <c r="A193">
        <v>949</v>
      </c>
      <c r="B193">
        <v>950</v>
      </c>
      <c r="C193">
        <v>146.06272989999999</v>
      </c>
      <c r="D193">
        <v>-17.533597159999999</v>
      </c>
      <c r="E193">
        <v>50</v>
      </c>
      <c r="G193" s="1" t="str">
        <f t="shared" si="4"/>
        <v/>
      </c>
      <c r="H193">
        <v>100</v>
      </c>
      <c r="I193" t="str">
        <f t="shared" si="5"/>
        <v>X</v>
      </c>
      <c r="J193" s="53" t="str">
        <f>IFERROR(VLOOKUP(B193, DATA_Johnstone_2024_ALL!B:J, 8, FALSE), "")</f>
        <v>X</v>
      </c>
      <c r="K193" s="29"/>
      <c r="L193" s="30"/>
      <c r="M193" s="29"/>
      <c r="N193" s="20" t="str">
        <f>IF(J193=1, DATA_Johnstone_2023_50!M193, "")</f>
        <v/>
      </c>
      <c r="O193" s="20" t="str">
        <f>IF($J193=1, DATA_Johnstone_2023_50!N193, "")</f>
        <v/>
      </c>
      <c r="P193" s="49"/>
      <c r="Q193" s="20" t="str">
        <f>IF($J193=1, DATA_Johnstone_2023_50!P193, "")</f>
        <v/>
      </c>
      <c r="R193" s="22"/>
      <c r="T193" s="22"/>
      <c r="W193" s="47"/>
      <c r="AI193">
        <v>190</v>
      </c>
      <c r="AJ193">
        <v>2</v>
      </c>
    </row>
    <row r="194" spans="1:36" hidden="1" x14ac:dyDescent="0.35">
      <c r="A194">
        <v>954</v>
      </c>
      <c r="B194">
        <v>955</v>
      </c>
      <c r="C194">
        <v>146.0623027</v>
      </c>
      <c r="D194">
        <v>-17.533398219999999</v>
      </c>
      <c r="E194">
        <v>50</v>
      </c>
      <c r="G194" s="1" t="str">
        <f t="shared" si="4"/>
        <v/>
      </c>
      <c r="H194">
        <v>100</v>
      </c>
      <c r="I194" t="str">
        <f t="shared" si="5"/>
        <v>X</v>
      </c>
      <c r="J194" s="53" t="str">
        <f>IFERROR(VLOOKUP(B194, DATA_Johnstone_2024_ALL!B:J, 8, FALSE), "")</f>
        <v>X</v>
      </c>
      <c r="K194" s="29"/>
      <c r="L194" s="30"/>
      <c r="M194" s="29"/>
      <c r="N194" s="20" t="str">
        <f>IF(J194=1, DATA_Johnstone_2023_50!M194, "")</f>
        <v/>
      </c>
      <c r="O194" s="20" t="str">
        <f>IF($J194=1, DATA_Johnstone_2023_50!N194, "")</f>
        <v/>
      </c>
      <c r="P194" s="49"/>
      <c r="Q194" s="20" t="str">
        <f>IF($J194=1, DATA_Johnstone_2023_50!P194, "")</f>
        <v/>
      </c>
      <c r="R194" s="22"/>
      <c r="T194" s="22"/>
      <c r="W194" s="47"/>
      <c r="AI194">
        <v>191</v>
      </c>
      <c r="AJ194">
        <v>2</v>
      </c>
    </row>
    <row r="195" spans="1:36" hidden="1" x14ac:dyDescent="0.35">
      <c r="A195">
        <v>959</v>
      </c>
      <c r="B195">
        <v>960</v>
      </c>
      <c r="C195">
        <v>146.0618532</v>
      </c>
      <c r="D195">
        <v>-17.533463699999999</v>
      </c>
      <c r="E195">
        <v>50</v>
      </c>
      <c r="G195" s="1" t="str">
        <f t="shared" si="4"/>
        <v/>
      </c>
      <c r="H195">
        <v>100</v>
      </c>
      <c r="I195" t="str">
        <f t="shared" si="5"/>
        <v>X</v>
      </c>
      <c r="J195" s="53" t="str">
        <f>IFERROR(VLOOKUP(B195, DATA_Johnstone_2024_ALL!B:J, 8, FALSE), "")</f>
        <v>X</v>
      </c>
      <c r="K195" s="29"/>
      <c r="L195" s="30"/>
      <c r="M195" s="29"/>
      <c r="N195" s="20" t="str">
        <f>IF(J195=1, DATA_Johnstone_2023_50!M195, "")</f>
        <v/>
      </c>
      <c r="O195" s="20" t="str">
        <f>IF($J195=1, DATA_Johnstone_2023_50!N195, "")</f>
        <v/>
      </c>
      <c r="P195" s="49"/>
      <c r="Q195" s="20" t="str">
        <f>IF($J195=1, DATA_Johnstone_2023_50!P195, "")</f>
        <v/>
      </c>
      <c r="R195" s="22"/>
      <c r="T195" s="22"/>
      <c r="W195" s="47"/>
      <c r="AI195">
        <v>192</v>
      </c>
      <c r="AJ195">
        <v>2</v>
      </c>
    </row>
    <row r="196" spans="1:36" hidden="1" x14ac:dyDescent="0.35">
      <c r="A196">
        <v>964</v>
      </c>
      <c r="B196">
        <v>965</v>
      </c>
      <c r="C196">
        <v>146.06150360000001</v>
      </c>
      <c r="D196">
        <v>-17.533777730000001</v>
      </c>
      <c r="E196">
        <v>50</v>
      </c>
      <c r="G196" s="1" t="str">
        <f t="shared" si="4"/>
        <v/>
      </c>
      <c r="H196">
        <v>100</v>
      </c>
      <c r="I196" t="str">
        <f t="shared" si="5"/>
        <v>X</v>
      </c>
      <c r="J196" s="53" t="str">
        <f>IFERROR(VLOOKUP(B196, DATA_Johnstone_2024_ALL!B:J, 8, FALSE), "")</f>
        <v>X</v>
      </c>
      <c r="K196" s="29"/>
      <c r="L196" s="30"/>
      <c r="M196" s="29"/>
      <c r="N196" s="20" t="str">
        <f>IF(J196=1, DATA_Johnstone_2023_50!M196, "")</f>
        <v/>
      </c>
      <c r="O196" s="20" t="str">
        <f>IF($J196=1, DATA_Johnstone_2023_50!N196, "")</f>
        <v/>
      </c>
      <c r="P196" s="49"/>
      <c r="Q196" s="20" t="str">
        <f>IF($J196=1, DATA_Johnstone_2023_50!P196, "")</f>
        <v/>
      </c>
      <c r="R196" s="22"/>
      <c r="T196" s="22"/>
      <c r="W196" s="47"/>
      <c r="AI196">
        <v>193</v>
      </c>
      <c r="AJ196">
        <v>2</v>
      </c>
    </row>
    <row r="197" spans="1:36" hidden="1" x14ac:dyDescent="0.35">
      <c r="A197">
        <v>969</v>
      </c>
      <c r="B197">
        <v>970</v>
      </c>
      <c r="C197">
        <v>146.06112999999999</v>
      </c>
      <c r="D197">
        <v>-17.5340633</v>
      </c>
      <c r="E197">
        <v>50</v>
      </c>
      <c r="G197" s="1" t="str">
        <f t="shared" ref="G197:G260" si="6">IF(F197="", "", HYPERLINK("E:\Data From Lucan\2024\Johnstone\Frames_for_Analysis_50\" &amp; F197, F197))</f>
        <v/>
      </c>
      <c r="H197">
        <v>100</v>
      </c>
      <c r="I197" t="str">
        <f t="shared" ref="I197:I260" si="7">IF(G197="","X","")</f>
        <v>X</v>
      </c>
      <c r="J197" s="53" t="str">
        <f>IFERROR(VLOOKUP(B197, DATA_Johnstone_2024_ALL!B:J, 8, FALSE), "")</f>
        <v>X</v>
      </c>
      <c r="K197" s="29"/>
      <c r="L197" s="30"/>
      <c r="M197" s="29"/>
      <c r="N197" s="20" t="str">
        <f>IF(J197=1, DATA_Johnstone_2023_50!M197, "")</f>
        <v/>
      </c>
      <c r="O197" s="20" t="str">
        <f>IF($J197=1, DATA_Johnstone_2023_50!N197, "")</f>
        <v/>
      </c>
      <c r="P197" s="49"/>
      <c r="Q197" s="20" t="str">
        <f>IF($J197=1, DATA_Johnstone_2023_50!P197, "")</f>
        <v/>
      </c>
      <c r="R197" s="22"/>
      <c r="T197" s="22"/>
      <c r="W197" s="47"/>
      <c r="AI197">
        <v>194</v>
      </c>
      <c r="AJ197">
        <v>2</v>
      </c>
    </row>
    <row r="198" spans="1:36" hidden="1" x14ac:dyDescent="0.35">
      <c r="A198">
        <v>974</v>
      </c>
      <c r="B198">
        <v>975</v>
      </c>
      <c r="C198">
        <v>146.06070550000001</v>
      </c>
      <c r="D198">
        <v>-17.534251810000001</v>
      </c>
      <c r="E198">
        <v>50</v>
      </c>
      <c r="G198" s="1" t="str">
        <f t="shared" si="6"/>
        <v/>
      </c>
      <c r="H198">
        <v>100</v>
      </c>
      <c r="I198" t="str">
        <f t="shared" si="7"/>
        <v>X</v>
      </c>
      <c r="J198" s="53" t="str">
        <f>IFERROR(VLOOKUP(B198, DATA_Johnstone_2024_ALL!B:J, 8, FALSE), "")</f>
        <v>X</v>
      </c>
      <c r="K198" s="29"/>
      <c r="L198" s="30"/>
      <c r="M198" s="29"/>
      <c r="N198" s="20" t="str">
        <f>IF(J198=1, DATA_Johnstone_2023_50!M198, "")</f>
        <v/>
      </c>
      <c r="O198" s="20" t="str">
        <f>IF($J198=1, DATA_Johnstone_2023_50!N198, "")</f>
        <v/>
      </c>
      <c r="P198" s="49"/>
      <c r="Q198" s="20" t="str">
        <f>IF($J198=1, DATA_Johnstone_2023_50!P198, "")</f>
        <v/>
      </c>
      <c r="R198" s="22"/>
      <c r="T198" s="22"/>
      <c r="W198" s="47"/>
      <c r="AI198">
        <v>195</v>
      </c>
      <c r="AJ198">
        <v>2</v>
      </c>
    </row>
    <row r="199" spans="1:36" hidden="1" x14ac:dyDescent="0.35">
      <c r="A199">
        <v>979</v>
      </c>
      <c r="B199">
        <v>980</v>
      </c>
      <c r="C199">
        <v>146.0602375</v>
      </c>
      <c r="D199">
        <v>-17.534290339999998</v>
      </c>
      <c r="E199">
        <v>50</v>
      </c>
      <c r="G199" s="1" t="str">
        <f t="shared" si="6"/>
        <v/>
      </c>
      <c r="H199">
        <v>100</v>
      </c>
      <c r="I199" t="str">
        <f t="shared" si="7"/>
        <v>X</v>
      </c>
      <c r="J199" s="53" t="str">
        <f>IFERROR(VLOOKUP(B199, DATA_Johnstone_2024_ALL!B:J, 8, FALSE), "")</f>
        <v>X</v>
      </c>
      <c r="K199" s="29"/>
      <c r="L199" s="30"/>
      <c r="M199" s="29"/>
      <c r="N199" s="20" t="str">
        <f>IF(J199=1, DATA_Johnstone_2023_50!M199, "")</f>
        <v/>
      </c>
      <c r="O199" s="20" t="str">
        <f>IF($J199=1, DATA_Johnstone_2023_50!N199, "")</f>
        <v/>
      </c>
      <c r="P199" s="49"/>
      <c r="Q199" s="20" t="str">
        <f>IF($J199=1, DATA_Johnstone_2023_50!P199, "")</f>
        <v/>
      </c>
      <c r="R199" s="22"/>
      <c r="T199" s="22"/>
      <c r="W199" s="47"/>
      <c r="AI199">
        <v>196</v>
      </c>
      <c r="AJ199">
        <v>2</v>
      </c>
    </row>
    <row r="200" spans="1:36" hidden="1" x14ac:dyDescent="0.35">
      <c r="A200">
        <v>984</v>
      </c>
      <c r="B200">
        <v>985</v>
      </c>
      <c r="C200">
        <v>146.05977799999999</v>
      </c>
      <c r="D200">
        <v>-17.534236329999999</v>
      </c>
      <c r="G200" s="1" t="str">
        <f t="shared" si="6"/>
        <v/>
      </c>
      <c r="H200">
        <v>100</v>
      </c>
      <c r="I200" t="str">
        <f t="shared" si="7"/>
        <v>X</v>
      </c>
      <c r="J200" s="53" t="str">
        <f>IFERROR(VLOOKUP(B200, DATA_Johnstone_2024_ALL!B:J, 8, FALSE), "")</f>
        <v>X</v>
      </c>
      <c r="K200" s="29"/>
      <c r="L200" s="30"/>
      <c r="M200" s="29"/>
      <c r="N200" s="20" t="str">
        <f>IF(J200=1, DATA_Johnstone_2023_50!M200, "")</f>
        <v/>
      </c>
      <c r="O200" s="20" t="str">
        <f>IF($J200=1, DATA_Johnstone_2023_50!N200, "")</f>
        <v/>
      </c>
      <c r="P200" s="49"/>
      <c r="Q200" s="20" t="str">
        <f>IF($J200=1, DATA_Johnstone_2023_50!P200, "")</f>
        <v/>
      </c>
      <c r="R200" s="22"/>
      <c r="T200" s="22"/>
      <c r="W200" s="47"/>
      <c r="AI200">
        <v>197</v>
      </c>
      <c r="AJ200">
        <v>2</v>
      </c>
    </row>
    <row r="201" spans="1:36" hidden="1" x14ac:dyDescent="0.35">
      <c r="A201">
        <v>989</v>
      </c>
      <c r="B201">
        <v>990</v>
      </c>
      <c r="C201">
        <v>146.0593964</v>
      </c>
      <c r="D201">
        <v>-17.533978780000002</v>
      </c>
      <c r="G201" s="1" t="str">
        <f t="shared" si="6"/>
        <v/>
      </c>
      <c r="H201">
        <v>100</v>
      </c>
      <c r="I201" t="str">
        <f t="shared" si="7"/>
        <v>X</v>
      </c>
      <c r="J201" s="53" t="str">
        <f>IFERROR(VLOOKUP(B201, DATA_Johnstone_2024_ALL!B:J, 8, FALSE), "")</f>
        <v>X</v>
      </c>
      <c r="K201" s="29"/>
      <c r="L201" s="30"/>
      <c r="M201" s="29"/>
      <c r="N201" s="20" t="str">
        <f>IF(J201=1, DATA_Johnstone_2023_50!M201, "")</f>
        <v/>
      </c>
      <c r="O201" s="20" t="str">
        <f>IF($J201=1, DATA_Johnstone_2023_50!N201, "")</f>
        <v/>
      </c>
      <c r="P201" s="49"/>
      <c r="Q201" s="20" t="str">
        <f>IF($J201=1, DATA_Johnstone_2023_50!P201, "")</f>
        <v/>
      </c>
      <c r="R201" s="22"/>
      <c r="T201" s="22"/>
      <c r="W201" s="47"/>
      <c r="AI201">
        <v>198</v>
      </c>
      <c r="AJ201">
        <v>2</v>
      </c>
    </row>
    <row r="202" spans="1:36" hidden="1" x14ac:dyDescent="0.35">
      <c r="A202">
        <v>994</v>
      </c>
      <c r="B202">
        <v>995</v>
      </c>
      <c r="C202">
        <v>146.05917009999999</v>
      </c>
      <c r="D202">
        <v>-17.533568649999999</v>
      </c>
      <c r="G202" s="1" t="str">
        <f t="shared" si="6"/>
        <v/>
      </c>
      <c r="H202">
        <v>100</v>
      </c>
      <c r="I202" t="str">
        <f t="shared" si="7"/>
        <v>X</v>
      </c>
      <c r="J202" s="53" t="str">
        <f>IFERROR(VLOOKUP(B202, DATA_Johnstone_2024_ALL!B:J, 8, FALSE), "")</f>
        <v>X</v>
      </c>
      <c r="K202" s="29"/>
      <c r="L202" s="30"/>
      <c r="M202" s="29"/>
      <c r="N202" s="20" t="str">
        <f>IF(J202=1, DATA_Johnstone_2023_50!M202, "")</f>
        <v/>
      </c>
      <c r="O202" s="20" t="str">
        <f>IF($J202=1, DATA_Johnstone_2023_50!N202, "")</f>
        <v/>
      </c>
      <c r="P202" s="49"/>
      <c r="Q202" s="20" t="str">
        <f>IF($J202=1, DATA_Johnstone_2023_50!P202, "")</f>
        <v/>
      </c>
      <c r="R202" s="22"/>
      <c r="T202" s="22"/>
      <c r="W202" s="47"/>
      <c r="AI202">
        <v>199</v>
      </c>
      <c r="AJ202">
        <v>2</v>
      </c>
    </row>
    <row r="203" spans="1:36" hidden="1" x14ac:dyDescent="0.35">
      <c r="A203">
        <v>999</v>
      </c>
      <c r="B203">
        <v>1000</v>
      </c>
      <c r="C203">
        <v>146.05886720000001</v>
      </c>
      <c r="D203">
        <v>-17.533322800000001</v>
      </c>
      <c r="G203" s="1" t="str">
        <f t="shared" si="6"/>
        <v/>
      </c>
      <c r="H203">
        <v>100</v>
      </c>
      <c r="I203" t="str">
        <f t="shared" si="7"/>
        <v>X</v>
      </c>
      <c r="J203" s="53" t="str">
        <f>IFERROR(VLOOKUP(B203, DATA_Johnstone_2024_ALL!B:J, 8, FALSE), "")</f>
        <v>X</v>
      </c>
      <c r="K203" s="29"/>
      <c r="L203" s="30"/>
      <c r="M203" s="29"/>
      <c r="N203" s="20" t="str">
        <f>IF(J203=1, DATA_Johnstone_2023_50!M203, "")</f>
        <v/>
      </c>
      <c r="O203" s="20" t="str">
        <f>IF($J203=1, DATA_Johnstone_2023_50!N203, "")</f>
        <v/>
      </c>
      <c r="P203" s="49"/>
      <c r="Q203" s="20" t="str">
        <f>IF($J203=1, DATA_Johnstone_2023_50!P203, "")</f>
        <v/>
      </c>
      <c r="R203" s="22"/>
      <c r="T203" s="22"/>
      <c r="W203" s="47"/>
      <c r="AI203">
        <v>200</v>
      </c>
      <c r="AJ203">
        <v>2</v>
      </c>
    </row>
    <row r="204" spans="1:36" hidden="1" x14ac:dyDescent="0.35">
      <c r="A204">
        <v>1004</v>
      </c>
      <c r="B204">
        <v>1005</v>
      </c>
      <c r="C204">
        <v>146.05929119999999</v>
      </c>
      <c r="D204">
        <v>-17.53312584</v>
      </c>
      <c r="G204" s="1" t="str">
        <f t="shared" si="6"/>
        <v/>
      </c>
      <c r="H204">
        <v>100</v>
      </c>
      <c r="I204" t="str">
        <f t="shared" si="7"/>
        <v>X</v>
      </c>
      <c r="J204" s="53" t="str">
        <f>IFERROR(VLOOKUP(B204, DATA_Johnstone_2024_ALL!B:J, 8, FALSE), "")</f>
        <v>X</v>
      </c>
      <c r="K204" s="29"/>
      <c r="L204" s="30"/>
      <c r="M204" s="29"/>
      <c r="N204" s="20" t="str">
        <f>IF(J204=1, DATA_Johnstone_2023_50!M204, "")</f>
        <v/>
      </c>
      <c r="O204" s="20" t="str">
        <f>IF($J204=1, DATA_Johnstone_2023_50!N204, "")</f>
        <v/>
      </c>
      <c r="P204" s="49"/>
      <c r="Q204" s="20" t="str">
        <f>IF($J204=1, DATA_Johnstone_2023_50!P204, "")</f>
        <v/>
      </c>
      <c r="R204" s="22"/>
      <c r="T204" s="22"/>
      <c r="W204" s="47"/>
      <c r="AI204">
        <v>201</v>
      </c>
      <c r="AJ204">
        <v>2</v>
      </c>
    </row>
    <row r="205" spans="1:36" hidden="1" x14ac:dyDescent="0.35">
      <c r="A205">
        <v>1009</v>
      </c>
      <c r="B205">
        <v>1010</v>
      </c>
      <c r="C205">
        <v>146.05957699999999</v>
      </c>
      <c r="D205">
        <v>-17.532760660000001</v>
      </c>
      <c r="F205" t="s">
        <v>6995</v>
      </c>
      <c r="G205" s="1" t="str">
        <f t="shared" si="6"/>
        <v>1010_20240610_0006_L_0562.jpg</v>
      </c>
      <c r="H205">
        <v>100</v>
      </c>
      <c r="I205" t="str">
        <f t="shared" si="7"/>
        <v/>
      </c>
      <c r="J205" s="53" t="str">
        <f>IFERROR(VLOOKUP(B205, DATA_Johnstone_2024_ALL!B:J, 8, FALSE), "")</f>
        <v>X</v>
      </c>
      <c r="K205" s="29"/>
      <c r="L205" s="30"/>
      <c r="M205" s="29"/>
      <c r="N205" s="20" t="str">
        <f>IF(J205=1, DATA_Johnstone_2023_50!M205, "")</f>
        <v/>
      </c>
      <c r="O205" s="20" t="str">
        <f>IF($J205=1, DATA_Johnstone_2023_50!N205, "")</f>
        <v/>
      </c>
      <c r="P205" s="49"/>
      <c r="Q205" s="20" t="str">
        <f>IF($J205=1, DATA_Johnstone_2023_50!P205, "")</f>
        <v/>
      </c>
      <c r="R205" s="22"/>
      <c r="T205" s="22"/>
      <c r="W205" s="47"/>
      <c r="AI205">
        <v>202</v>
      </c>
      <c r="AJ205">
        <v>2</v>
      </c>
    </row>
    <row r="206" spans="1:36" hidden="1" x14ac:dyDescent="0.35">
      <c r="A206">
        <v>1014</v>
      </c>
      <c r="B206">
        <v>1015</v>
      </c>
      <c r="C206">
        <v>146.05982839999999</v>
      </c>
      <c r="D206">
        <v>-17.53237442</v>
      </c>
      <c r="F206" t="s">
        <v>6996</v>
      </c>
      <c r="G206" s="1" t="str">
        <f t="shared" si="6"/>
        <v>1015_20240610_0006_L_0572.jpg</v>
      </c>
      <c r="H206">
        <v>100</v>
      </c>
      <c r="I206" t="str">
        <f t="shared" si="7"/>
        <v/>
      </c>
      <c r="J206" s="53">
        <f>IFERROR(VLOOKUP(B206, DATA_Johnstone_2024_ALL!B:J, 8, FALSE), "")</f>
        <v>1</v>
      </c>
      <c r="K206" s="29"/>
      <c r="L206" s="30"/>
      <c r="M206" s="29"/>
      <c r="N206" s="20">
        <f>IF(J206=1, DATA_Johnstone_2023_50!M206, "")</f>
        <v>4</v>
      </c>
      <c r="O206" s="20">
        <f>IF($J206=1, DATA_Johnstone_2023_50!N206, "")</f>
        <v>4</v>
      </c>
      <c r="P206" s="49"/>
      <c r="Q206" s="20">
        <f>IF($J206=1, DATA_Johnstone_2023_50!P206, "")</f>
        <v>4</v>
      </c>
      <c r="R206" s="22"/>
      <c r="T206" s="22"/>
      <c r="W206" s="47"/>
      <c r="AI206">
        <v>203</v>
      </c>
      <c r="AJ206">
        <v>2</v>
      </c>
    </row>
    <row r="207" spans="1:36" hidden="1" x14ac:dyDescent="0.35">
      <c r="A207">
        <v>1019</v>
      </c>
      <c r="B207">
        <v>1020</v>
      </c>
      <c r="C207">
        <v>146.06026890000001</v>
      </c>
      <c r="D207">
        <v>-17.532218050000001</v>
      </c>
      <c r="F207" t="s">
        <v>6997</v>
      </c>
      <c r="G207" s="1" t="str">
        <f t="shared" si="6"/>
        <v>1020_20240610_0006_L_0592.jpg</v>
      </c>
      <c r="H207">
        <v>100</v>
      </c>
      <c r="I207" t="str">
        <f t="shared" si="7"/>
        <v/>
      </c>
      <c r="J207" s="53">
        <f>IFERROR(VLOOKUP(B207, DATA_Johnstone_2024_ALL!B:J, 8, FALSE), "")</f>
        <v>1</v>
      </c>
      <c r="K207" s="29"/>
      <c r="L207" s="30"/>
      <c r="M207" s="29"/>
      <c r="N207" s="20">
        <f>IF(J207=1, DATA_Johnstone_2023_50!M207, "")</f>
        <v>4</v>
      </c>
      <c r="O207" s="20">
        <f>IF($J207=1, DATA_Johnstone_2023_50!N207, "")</f>
        <v>4</v>
      </c>
      <c r="P207" s="49"/>
      <c r="Q207" s="20">
        <f>IF($J207=1, DATA_Johnstone_2023_50!P207, "")</f>
        <v>4</v>
      </c>
      <c r="R207" s="22"/>
      <c r="T207" s="22"/>
      <c r="W207" s="47"/>
      <c r="AI207">
        <v>204</v>
      </c>
      <c r="AJ207">
        <v>2</v>
      </c>
    </row>
    <row r="208" spans="1:36" hidden="1" x14ac:dyDescent="0.35">
      <c r="A208">
        <v>1024</v>
      </c>
      <c r="B208">
        <v>1025</v>
      </c>
      <c r="C208">
        <v>146.0607383</v>
      </c>
      <c r="D208">
        <v>-17.532173920000002</v>
      </c>
      <c r="F208" t="s">
        <v>6998</v>
      </c>
      <c r="G208" s="1" t="str">
        <f t="shared" si="6"/>
        <v>1025_20240610_0006_L_0610.jpg</v>
      </c>
      <c r="H208">
        <v>100</v>
      </c>
      <c r="I208" t="str">
        <f t="shared" si="7"/>
        <v/>
      </c>
      <c r="J208" s="53">
        <f>IFERROR(VLOOKUP(B208, DATA_Johnstone_2024_ALL!B:J, 8, FALSE), "")</f>
        <v>1</v>
      </c>
      <c r="K208" s="29"/>
      <c r="L208" s="30"/>
      <c r="M208" s="29"/>
      <c r="N208" s="20">
        <f>IF(J208=1, DATA_Johnstone_2023_50!M208, "")</f>
        <v>4</v>
      </c>
      <c r="O208" s="20">
        <f>IF($J208=1, DATA_Johnstone_2023_50!N208, "")</f>
        <v>4</v>
      </c>
      <c r="P208" s="49"/>
      <c r="Q208" s="20">
        <f>IF($J208=1, DATA_Johnstone_2023_50!P208, "")</f>
        <v>4</v>
      </c>
      <c r="R208" s="22"/>
      <c r="T208" s="22"/>
      <c r="W208" s="47"/>
      <c r="AI208">
        <v>205</v>
      </c>
      <c r="AJ208">
        <v>2</v>
      </c>
    </row>
    <row r="209" spans="1:36" hidden="1" x14ac:dyDescent="0.35">
      <c r="A209">
        <v>1029</v>
      </c>
      <c r="B209">
        <v>1030</v>
      </c>
      <c r="C209">
        <v>146.0612098</v>
      </c>
      <c r="D209">
        <v>-17.532176159999999</v>
      </c>
      <c r="F209" t="s">
        <v>6999</v>
      </c>
      <c r="G209" s="1" t="str">
        <f t="shared" si="6"/>
        <v>1030_20240610_0006_L_0630.jpg</v>
      </c>
      <c r="H209">
        <v>100</v>
      </c>
      <c r="I209" t="str">
        <f t="shared" si="7"/>
        <v/>
      </c>
      <c r="J209" s="53">
        <f>IFERROR(VLOOKUP(B209, DATA_Johnstone_2024_ALL!B:J, 8, FALSE), "")</f>
        <v>1</v>
      </c>
      <c r="K209" s="29"/>
      <c r="L209" s="30"/>
      <c r="M209" s="29"/>
      <c r="N209" s="20">
        <f>IF(J209=1, DATA_Johnstone_2023_50!M209, "")</f>
        <v>4</v>
      </c>
      <c r="O209" s="20">
        <f>IF($J209=1, DATA_Johnstone_2023_50!N209, "")</f>
        <v>4</v>
      </c>
      <c r="P209" s="49"/>
      <c r="Q209" s="20">
        <f>IF($J209=1, DATA_Johnstone_2023_50!P209, "")</f>
        <v>3</v>
      </c>
      <c r="R209" s="22"/>
      <c r="T209" s="22"/>
      <c r="W209" s="47"/>
      <c r="AI209">
        <v>206</v>
      </c>
      <c r="AJ209">
        <v>2</v>
      </c>
    </row>
    <row r="210" spans="1:36" hidden="1" x14ac:dyDescent="0.35">
      <c r="A210">
        <v>1034</v>
      </c>
      <c r="B210">
        <v>1035</v>
      </c>
      <c r="C210">
        <v>146.06168</v>
      </c>
      <c r="D210">
        <v>-17.532156350000001</v>
      </c>
      <c r="F210" t="s">
        <v>7000</v>
      </c>
      <c r="G210" s="1" t="str">
        <f t="shared" si="6"/>
        <v>1035_20240610_0006_L_0655.jpg</v>
      </c>
      <c r="H210">
        <v>100</v>
      </c>
      <c r="I210" t="str">
        <f t="shared" si="7"/>
        <v/>
      </c>
      <c r="J210" s="53">
        <f>IFERROR(VLOOKUP(B210, DATA_Johnstone_2024_ALL!B:J, 8, FALSE), "")</f>
        <v>1</v>
      </c>
      <c r="K210" s="29"/>
      <c r="L210" s="30"/>
      <c r="M210" s="29"/>
      <c r="N210" s="20">
        <f>IF(J210=1, DATA_Johnstone_2023_50!M210, "")</f>
        <v>4</v>
      </c>
      <c r="O210" s="20">
        <f>IF($J210=1, DATA_Johnstone_2023_50!N210, "")</f>
        <v>4</v>
      </c>
      <c r="P210" s="49"/>
      <c r="Q210" s="20">
        <f>IF($J210=1, DATA_Johnstone_2023_50!P210, "")</f>
        <v>4</v>
      </c>
      <c r="R210" s="22"/>
      <c r="T210" s="22"/>
      <c r="W210" s="47"/>
      <c r="AI210">
        <v>207</v>
      </c>
      <c r="AJ210">
        <v>2</v>
      </c>
    </row>
    <row r="211" spans="1:36" hidden="1" x14ac:dyDescent="0.35">
      <c r="A211">
        <v>1039</v>
      </c>
      <c r="B211">
        <v>1040</v>
      </c>
      <c r="C211">
        <v>146.06207760000001</v>
      </c>
      <c r="D211">
        <v>-17.531960680000001</v>
      </c>
      <c r="F211" t="s">
        <v>7001</v>
      </c>
      <c r="G211" s="1" t="str">
        <f t="shared" si="6"/>
        <v>1040_20240610_0006_L_0686.jpg</v>
      </c>
      <c r="H211">
        <v>100</v>
      </c>
      <c r="I211" t="str">
        <f t="shared" si="7"/>
        <v/>
      </c>
      <c r="J211" s="53">
        <f>IFERROR(VLOOKUP(B211, DATA_Johnstone_2024_ALL!B:J, 8, FALSE), "")</f>
        <v>1</v>
      </c>
      <c r="K211" s="29"/>
      <c r="L211" s="30"/>
      <c r="M211" s="29"/>
      <c r="N211" s="20">
        <f>IF(J211=1, DATA_Johnstone_2023_50!M211, "")</f>
        <v>4</v>
      </c>
      <c r="O211" s="20">
        <f>IF($J211=1, DATA_Johnstone_2023_50!N211, "")</f>
        <v>4</v>
      </c>
      <c r="P211" s="49"/>
      <c r="Q211" s="20">
        <f>IF($J211=1, DATA_Johnstone_2023_50!P211, "")</f>
        <v>4</v>
      </c>
      <c r="R211" s="22"/>
      <c r="T211" s="22"/>
      <c r="W211" s="47"/>
      <c r="AI211">
        <v>208</v>
      </c>
      <c r="AJ211">
        <v>2</v>
      </c>
    </row>
    <row r="212" spans="1:36" hidden="1" x14ac:dyDescent="0.35">
      <c r="A212">
        <v>1044</v>
      </c>
      <c r="B212">
        <v>1045</v>
      </c>
      <c r="C212">
        <v>146.0619773</v>
      </c>
      <c r="D212">
        <v>-17.531513220000001</v>
      </c>
      <c r="F212" t="s">
        <v>7002</v>
      </c>
      <c r="G212" s="1" t="str">
        <f t="shared" si="6"/>
        <v>1045_20240610_0006_L_0717.jpg</v>
      </c>
      <c r="H212">
        <v>100</v>
      </c>
      <c r="I212" t="str">
        <f t="shared" si="7"/>
        <v/>
      </c>
      <c r="J212" s="53">
        <f>IFERROR(VLOOKUP(B212, DATA_Johnstone_2024_ALL!B:J, 8, FALSE), "")</f>
        <v>1</v>
      </c>
      <c r="K212" s="29"/>
      <c r="L212" s="30"/>
      <c r="M212" s="29"/>
      <c r="N212" s="20">
        <f>IF(J212=1, DATA_Johnstone_2023_50!M212, "")</f>
        <v>4</v>
      </c>
      <c r="O212" s="20">
        <f>IF($J212=1, DATA_Johnstone_2023_50!N212, "")</f>
        <v>4</v>
      </c>
      <c r="P212" s="49"/>
      <c r="Q212" s="20">
        <f>IF($J212=1, DATA_Johnstone_2023_50!P212, "")</f>
        <v>4</v>
      </c>
      <c r="R212" s="22"/>
      <c r="T212" s="22"/>
      <c r="W212" s="47"/>
      <c r="AI212">
        <v>209</v>
      </c>
      <c r="AJ212">
        <v>2</v>
      </c>
    </row>
    <row r="213" spans="1:36" hidden="1" x14ac:dyDescent="0.35">
      <c r="A213">
        <v>1049</v>
      </c>
      <c r="B213">
        <v>1050</v>
      </c>
      <c r="C213">
        <v>146.06166630000001</v>
      </c>
      <c r="D213">
        <v>-17.53116211</v>
      </c>
      <c r="F213" t="s">
        <v>7003</v>
      </c>
      <c r="G213" s="1" t="str">
        <f t="shared" si="6"/>
        <v>1050_20240610_0006_L_0742.jpg</v>
      </c>
      <c r="H213">
        <v>100</v>
      </c>
      <c r="I213" t="str">
        <f t="shared" si="7"/>
        <v/>
      </c>
      <c r="J213" s="53">
        <f>IFERROR(VLOOKUP(B213, DATA_Johnstone_2024_ALL!B:J, 8, FALSE), "")</f>
        <v>1</v>
      </c>
      <c r="K213" s="29"/>
      <c r="L213" s="30"/>
      <c r="M213" s="29"/>
      <c r="N213" s="20">
        <f>IF(J213=1, DATA_Johnstone_2023_50!M213, "")</f>
        <v>4</v>
      </c>
      <c r="O213" s="20">
        <f>IF($J213=1, DATA_Johnstone_2023_50!N213, "")</f>
        <v>4</v>
      </c>
      <c r="P213" s="49"/>
      <c r="Q213" s="20">
        <f>IF($J213=1, DATA_Johnstone_2023_50!P213, "")</f>
        <v>4</v>
      </c>
      <c r="R213" s="22"/>
      <c r="T213" s="22"/>
      <c r="W213" s="47"/>
      <c r="AI213">
        <v>210</v>
      </c>
      <c r="AJ213">
        <v>2</v>
      </c>
    </row>
    <row r="214" spans="1:36" hidden="1" x14ac:dyDescent="0.35">
      <c r="A214">
        <v>1054</v>
      </c>
      <c r="B214">
        <v>1055</v>
      </c>
      <c r="C214">
        <v>146.06134449999999</v>
      </c>
      <c r="D214">
        <v>-17.53081856</v>
      </c>
      <c r="F214" t="s">
        <v>7004</v>
      </c>
      <c r="G214" s="1" t="str">
        <f t="shared" si="6"/>
        <v>1055_20240610_0006_L_0762.jpg</v>
      </c>
      <c r="H214">
        <v>100</v>
      </c>
      <c r="I214" t="str">
        <f t="shared" si="7"/>
        <v/>
      </c>
      <c r="J214" s="53">
        <f>IFERROR(VLOOKUP(B214, DATA_Johnstone_2024_ALL!B:J, 8, FALSE), "")</f>
        <v>1</v>
      </c>
      <c r="K214" s="29"/>
      <c r="L214" s="30"/>
      <c r="M214" s="29"/>
      <c r="N214" s="20">
        <f>IF(J214=1, DATA_Johnstone_2023_50!M214, "")</f>
        <v>0</v>
      </c>
      <c r="O214" s="20">
        <f>IF($J214=1, DATA_Johnstone_2023_50!N214, "")</f>
        <v>0</v>
      </c>
      <c r="P214" s="49"/>
      <c r="Q214" s="20">
        <f>IF($J214=1, DATA_Johnstone_2023_50!P214, "")</f>
        <v>0</v>
      </c>
      <c r="R214" s="22"/>
      <c r="T214" s="22"/>
      <c r="W214" s="47"/>
      <c r="AI214">
        <v>211</v>
      </c>
      <c r="AJ214">
        <v>2</v>
      </c>
    </row>
    <row r="215" spans="1:36" hidden="1" x14ac:dyDescent="0.35">
      <c r="A215">
        <v>1059</v>
      </c>
      <c r="B215">
        <v>1060</v>
      </c>
      <c r="C215">
        <v>146.06105289999999</v>
      </c>
      <c r="D215">
        <v>-17.530448</v>
      </c>
      <c r="F215" t="s">
        <v>7005</v>
      </c>
      <c r="G215" s="1" t="str">
        <f t="shared" si="6"/>
        <v>1060_20240610_0006_L_0784.jpg</v>
      </c>
      <c r="H215">
        <v>100</v>
      </c>
      <c r="I215" t="str">
        <f t="shared" si="7"/>
        <v/>
      </c>
      <c r="J215" s="53">
        <f>IFERROR(VLOOKUP(B215, DATA_Johnstone_2024_ALL!B:J, 8, FALSE), "")</f>
        <v>0</v>
      </c>
      <c r="K215" s="29"/>
      <c r="L215" s="30"/>
      <c r="M215" s="29"/>
      <c r="N215" s="20" t="str">
        <f>IF(J215=1, DATA_Johnstone_2023_50!M215, "")</f>
        <v/>
      </c>
      <c r="O215" s="20" t="str">
        <f>IF($J215=1, DATA_Johnstone_2023_50!N215, "")</f>
        <v/>
      </c>
      <c r="P215" s="49"/>
      <c r="Q215" s="20" t="str">
        <f>IF($J215=1, DATA_Johnstone_2023_50!P215, "")</f>
        <v/>
      </c>
      <c r="R215" s="22"/>
      <c r="T215" s="22"/>
      <c r="W215" s="47"/>
      <c r="AI215">
        <v>212</v>
      </c>
      <c r="AJ215">
        <v>2</v>
      </c>
    </row>
    <row r="216" spans="1:36" hidden="1" x14ac:dyDescent="0.35">
      <c r="A216">
        <v>1064</v>
      </c>
      <c r="B216">
        <v>1065</v>
      </c>
      <c r="C216">
        <v>146.06082129999999</v>
      </c>
      <c r="D216">
        <v>-17.530041749999999</v>
      </c>
      <c r="F216" t="s">
        <v>7006</v>
      </c>
      <c r="G216" s="1" t="str">
        <f t="shared" si="6"/>
        <v>1065_20240610_0006_L_0801.jpg</v>
      </c>
      <c r="H216">
        <v>100</v>
      </c>
      <c r="I216" t="str">
        <f t="shared" si="7"/>
        <v/>
      </c>
      <c r="J216" s="53">
        <f>IFERROR(VLOOKUP(B216, DATA_Johnstone_2024_ALL!B:J, 8, FALSE), "")</f>
        <v>0</v>
      </c>
      <c r="K216" s="29"/>
      <c r="L216" s="30"/>
      <c r="M216" s="29"/>
      <c r="N216" s="20" t="str">
        <f>IF(J216=1, DATA_Johnstone_2023_50!M216, "")</f>
        <v/>
      </c>
      <c r="O216" s="20" t="str">
        <f>IF($J216=1, DATA_Johnstone_2023_50!N216, "")</f>
        <v/>
      </c>
      <c r="P216" s="49"/>
      <c r="Q216" s="20" t="str">
        <f>IF($J216=1, DATA_Johnstone_2023_50!P216, "")</f>
        <v/>
      </c>
      <c r="R216" s="22"/>
      <c r="T216" s="22"/>
      <c r="W216" s="47"/>
      <c r="AI216">
        <v>213</v>
      </c>
      <c r="AJ216">
        <v>2</v>
      </c>
    </row>
    <row r="217" spans="1:36" hidden="1" x14ac:dyDescent="0.35">
      <c r="A217">
        <v>1069</v>
      </c>
      <c r="B217">
        <v>1070</v>
      </c>
      <c r="C217">
        <v>146.0607564</v>
      </c>
      <c r="D217">
        <v>-17.529584079999999</v>
      </c>
      <c r="F217" t="s">
        <v>7007</v>
      </c>
      <c r="G217" s="1" t="str">
        <f t="shared" si="6"/>
        <v>1070_20240610_0006_L_0815.jpg</v>
      </c>
      <c r="H217">
        <v>100</v>
      </c>
      <c r="I217" t="str">
        <f t="shared" si="7"/>
        <v/>
      </c>
      <c r="J217" s="53">
        <f>IFERROR(VLOOKUP(B217, DATA_Johnstone_2024_ALL!B:J, 8, FALSE), "")</f>
        <v>0</v>
      </c>
      <c r="K217" s="29"/>
      <c r="L217" s="30"/>
      <c r="M217" s="29"/>
      <c r="N217" s="20" t="str">
        <f>IF(J217=1, DATA_Johnstone_2023_50!M217, "")</f>
        <v/>
      </c>
      <c r="O217" s="20" t="str">
        <f>IF($J217=1, DATA_Johnstone_2023_50!N217, "")</f>
        <v/>
      </c>
      <c r="P217" s="49"/>
      <c r="Q217" s="20" t="str">
        <f>IF($J217=1, DATA_Johnstone_2023_50!P217, "")</f>
        <v/>
      </c>
      <c r="R217" s="22"/>
      <c r="T217" s="22"/>
      <c r="W217" s="47"/>
      <c r="AI217">
        <v>214</v>
      </c>
      <c r="AJ217">
        <v>2</v>
      </c>
    </row>
    <row r="218" spans="1:36" hidden="1" x14ac:dyDescent="0.35">
      <c r="A218">
        <v>1074</v>
      </c>
      <c r="B218">
        <v>1075</v>
      </c>
      <c r="C218">
        <v>146.06086790000001</v>
      </c>
      <c r="D218">
        <v>-17.52912813</v>
      </c>
      <c r="F218" t="s">
        <v>7008</v>
      </c>
      <c r="G218" s="1" t="str">
        <f t="shared" si="6"/>
        <v>1075_20240610_0006_L_0833.jpg</v>
      </c>
      <c r="H218">
        <v>100</v>
      </c>
      <c r="I218" t="str">
        <f t="shared" si="7"/>
        <v/>
      </c>
      <c r="J218" s="53">
        <f>IFERROR(VLOOKUP(B218, DATA_Johnstone_2024_ALL!B:J, 8, FALSE), "")</f>
        <v>1</v>
      </c>
      <c r="K218" s="29"/>
      <c r="L218" s="30"/>
      <c r="M218" s="29"/>
      <c r="N218" s="20">
        <f>IF(J218=1, DATA_Johnstone_2023_50!M218, "")</f>
        <v>4</v>
      </c>
      <c r="O218" s="20">
        <f>IF($J218=1, DATA_Johnstone_2023_50!N218, "")</f>
        <v>4</v>
      </c>
      <c r="P218" s="49"/>
      <c r="Q218" s="20">
        <f>IF($J218=1, DATA_Johnstone_2023_50!P218, "")</f>
        <v>4</v>
      </c>
      <c r="R218" s="22"/>
      <c r="T218" s="22"/>
      <c r="W218" s="47"/>
      <c r="AI218">
        <v>215</v>
      </c>
      <c r="AJ218">
        <v>2</v>
      </c>
    </row>
    <row r="219" spans="1:36" hidden="1" x14ac:dyDescent="0.35">
      <c r="A219">
        <v>1079</v>
      </c>
      <c r="B219">
        <v>1080</v>
      </c>
      <c r="C219">
        <v>146.06109989999999</v>
      </c>
      <c r="D219">
        <v>-17.528719079999998</v>
      </c>
      <c r="F219" t="s">
        <v>7009</v>
      </c>
      <c r="G219" s="1" t="str">
        <f t="shared" si="6"/>
        <v>1080_20240610_0006_L_0866.jpg</v>
      </c>
      <c r="H219">
        <v>100</v>
      </c>
      <c r="I219" t="str">
        <f t="shared" si="7"/>
        <v/>
      </c>
      <c r="J219" s="53">
        <f>IFERROR(VLOOKUP(B219, DATA_Johnstone_2024_ALL!B:J, 8, FALSE), "")</f>
        <v>1</v>
      </c>
      <c r="K219" s="29"/>
      <c r="L219" s="30"/>
      <c r="M219" s="29"/>
      <c r="N219" s="20">
        <f>IF(J219=1, DATA_Johnstone_2023_50!M219, "")</f>
        <v>4</v>
      </c>
      <c r="O219" s="20">
        <f>IF($J219=1, DATA_Johnstone_2023_50!N219, "")</f>
        <v>4</v>
      </c>
      <c r="P219" s="49"/>
      <c r="Q219" s="20">
        <f>IF($J219=1, DATA_Johnstone_2023_50!P219, "")</f>
        <v>4</v>
      </c>
      <c r="R219" s="22"/>
      <c r="T219" s="22"/>
      <c r="W219" s="47"/>
      <c r="AI219">
        <v>216</v>
      </c>
      <c r="AJ219">
        <v>2</v>
      </c>
    </row>
    <row r="220" spans="1:36" hidden="1" x14ac:dyDescent="0.35">
      <c r="A220">
        <v>1084</v>
      </c>
      <c r="B220">
        <v>1085</v>
      </c>
      <c r="C220">
        <v>146.06135689999999</v>
      </c>
      <c r="D220">
        <v>-17.528325880000001</v>
      </c>
      <c r="F220" t="s">
        <v>7010</v>
      </c>
      <c r="G220" s="1" t="str">
        <f t="shared" si="6"/>
        <v>1085_20240610_0006_L_0897.jpg</v>
      </c>
      <c r="H220">
        <v>100</v>
      </c>
      <c r="I220" t="str">
        <f t="shared" si="7"/>
        <v/>
      </c>
      <c r="J220" s="53">
        <f>IFERROR(VLOOKUP(B220, DATA_Johnstone_2024_ALL!B:J, 8, FALSE), "")</f>
        <v>1</v>
      </c>
      <c r="K220" s="29"/>
      <c r="L220" s="30"/>
      <c r="M220" s="29"/>
      <c r="N220" s="20">
        <f>IF(J220=1, DATA_Johnstone_2023_50!M220, "")</f>
        <v>4</v>
      </c>
      <c r="O220" s="20">
        <f>IF($J220=1, DATA_Johnstone_2023_50!N220, "")</f>
        <v>4</v>
      </c>
      <c r="P220" s="49"/>
      <c r="Q220" s="20">
        <f>IF($J220=1, DATA_Johnstone_2023_50!P220, "")</f>
        <v>3</v>
      </c>
      <c r="R220" s="22"/>
      <c r="T220" s="22"/>
      <c r="W220" s="47"/>
      <c r="AI220">
        <v>217</v>
      </c>
      <c r="AJ220">
        <v>2</v>
      </c>
    </row>
    <row r="221" spans="1:36" hidden="1" x14ac:dyDescent="0.35">
      <c r="A221">
        <v>1089</v>
      </c>
      <c r="B221">
        <v>1090</v>
      </c>
      <c r="C221">
        <v>146.06142600000001</v>
      </c>
      <c r="D221">
        <v>-17.527879590000001</v>
      </c>
      <c r="F221" t="s">
        <v>7011</v>
      </c>
      <c r="G221" s="1" t="str">
        <f t="shared" si="6"/>
        <v>1090_20240610_0006_L_0927.jpg</v>
      </c>
      <c r="H221">
        <v>100</v>
      </c>
      <c r="I221" t="str">
        <f t="shared" si="7"/>
        <v/>
      </c>
      <c r="J221" s="53">
        <f>IFERROR(VLOOKUP(B221, DATA_Johnstone_2024_ALL!B:J, 8, FALSE), "")</f>
        <v>1</v>
      </c>
      <c r="K221" s="29"/>
      <c r="L221" s="30"/>
      <c r="M221" s="29"/>
      <c r="N221" s="20">
        <f>IF(J221=1, DATA_Johnstone_2023_50!M221, "")</f>
        <v>4</v>
      </c>
      <c r="O221" s="20">
        <f>IF($J221=1, DATA_Johnstone_2023_50!N221, "")</f>
        <v>4</v>
      </c>
      <c r="P221" s="49"/>
      <c r="Q221" s="20">
        <f>IF($J221=1, DATA_Johnstone_2023_50!P221, "")</f>
        <v>4</v>
      </c>
      <c r="R221" s="22"/>
      <c r="T221" s="22"/>
      <c r="W221" s="47"/>
      <c r="AI221">
        <v>218</v>
      </c>
      <c r="AJ221">
        <v>2</v>
      </c>
    </row>
    <row r="222" spans="1:36" hidden="1" x14ac:dyDescent="0.35">
      <c r="A222">
        <v>1094</v>
      </c>
      <c r="B222">
        <v>1095</v>
      </c>
      <c r="C222">
        <v>146.06115199999999</v>
      </c>
      <c r="D222">
        <v>-17.527504180000001</v>
      </c>
      <c r="F222" t="s">
        <v>7012</v>
      </c>
      <c r="G222" s="1" t="str">
        <f t="shared" si="6"/>
        <v>1095_20240610_0006_L_0950.jpg</v>
      </c>
      <c r="H222">
        <v>100</v>
      </c>
      <c r="I222" t="str">
        <f t="shared" si="7"/>
        <v/>
      </c>
      <c r="J222" s="53">
        <f>IFERROR(VLOOKUP(B222, DATA_Johnstone_2024_ALL!B:J, 8, FALSE), "")</f>
        <v>1</v>
      </c>
      <c r="K222" s="29"/>
      <c r="L222" s="30"/>
      <c r="M222" s="29"/>
      <c r="N222" s="20">
        <f>IF(J222=1, DATA_Johnstone_2023_50!M222, "")</f>
        <v>4</v>
      </c>
      <c r="O222" s="20">
        <f>IF($J222=1, DATA_Johnstone_2023_50!N222, "")</f>
        <v>4</v>
      </c>
      <c r="P222" s="49"/>
      <c r="Q222" s="20">
        <f>IF($J222=1, DATA_Johnstone_2023_50!P222, "")</f>
        <v>3</v>
      </c>
      <c r="R222" s="22"/>
      <c r="T222" s="22"/>
      <c r="W222" s="47"/>
      <c r="AI222">
        <v>219</v>
      </c>
      <c r="AJ222">
        <v>2</v>
      </c>
    </row>
    <row r="223" spans="1:36" hidden="1" x14ac:dyDescent="0.35">
      <c r="A223">
        <v>1099</v>
      </c>
      <c r="B223">
        <v>1100</v>
      </c>
      <c r="C223">
        <v>146.060824</v>
      </c>
      <c r="D223">
        <v>-17.527165449999998</v>
      </c>
      <c r="F223" t="s">
        <v>7013</v>
      </c>
      <c r="G223" s="1" t="str">
        <f t="shared" si="6"/>
        <v>1100_20240610_0006_L_0968.jpg</v>
      </c>
      <c r="H223">
        <v>100</v>
      </c>
      <c r="I223" t="str">
        <f t="shared" si="7"/>
        <v/>
      </c>
      <c r="J223" s="53" t="str">
        <f>IFERROR(VLOOKUP(B223, DATA_Johnstone_2024_ALL!B:J, 8, FALSE), "")</f>
        <v>X</v>
      </c>
      <c r="K223" s="29"/>
      <c r="L223" s="30"/>
      <c r="M223" s="29"/>
      <c r="N223" s="20" t="str">
        <f>IF(J223=1, DATA_Johnstone_2023_50!M223, "")</f>
        <v/>
      </c>
      <c r="O223" s="20" t="str">
        <f>IF($J223=1, DATA_Johnstone_2023_50!N223, "")</f>
        <v/>
      </c>
      <c r="P223" s="49"/>
      <c r="Q223" s="20" t="str">
        <f>IF($J223=1, DATA_Johnstone_2023_50!P223, "")</f>
        <v/>
      </c>
      <c r="R223" s="22"/>
      <c r="T223" s="22"/>
      <c r="W223" s="47"/>
      <c r="AI223">
        <v>220</v>
      </c>
      <c r="AJ223">
        <v>2</v>
      </c>
    </row>
    <row r="224" spans="1:36" hidden="1" x14ac:dyDescent="0.35">
      <c r="A224">
        <v>1104</v>
      </c>
      <c r="B224">
        <v>1105</v>
      </c>
      <c r="C224">
        <v>146.06049859999999</v>
      </c>
      <c r="D224">
        <v>-17.526824869999999</v>
      </c>
      <c r="F224" t="s">
        <v>7014</v>
      </c>
      <c r="G224" s="1" t="str">
        <f t="shared" si="6"/>
        <v>1105_20240610_0006_L_0986.jpg</v>
      </c>
      <c r="H224">
        <v>100</v>
      </c>
      <c r="I224" t="str">
        <f t="shared" si="7"/>
        <v/>
      </c>
      <c r="J224" s="53">
        <f>IFERROR(VLOOKUP(B224, DATA_Johnstone_2024_ALL!B:J, 8, FALSE), "")</f>
        <v>1</v>
      </c>
      <c r="K224" s="29"/>
      <c r="L224" s="30"/>
      <c r="M224" s="29"/>
      <c r="N224" s="20">
        <f>IF(J224=1, DATA_Johnstone_2023_50!M224, "")</f>
        <v>4</v>
      </c>
      <c r="O224" s="20">
        <f>IF($J224=1, DATA_Johnstone_2023_50!N224, "")</f>
        <v>4</v>
      </c>
      <c r="P224" s="49"/>
      <c r="Q224" s="20">
        <f>IF($J224=1, DATA_Johnstone_2023_50!P224, "")</f>
        <v>3</v>
      </c>
      <c r="R224" s="22"/>
      <c r="T224" s="22"/>
      <c r="W224" s="47"/>
      <c r="AI224">
        <v>221</v>
      </c>
      <c r="AJ224">
        <v>2</v>
      </c>
    </row>
    <row r="225" spans="1:36" hidden="1" x14ac:dyDescent="0.35">
      <c r="A225">
        <v>1109</v>
      </c>
      <c r="B225">
        <v>1110</v>
      </c>
      <c r="C225">
        <v>146.06023870000001</v>
      </c>
      <c r="D225">
        <v>-17.526431500000001</v>
      </c>
      <c r="F225" t="s">
        <v>7015</v>
      </c>
      <c r="G225" s="1" t="str">
        <f t="shared" si="6"/>
        <v>1110_20240610_0006_L_1006.jpg</v>
      </c>
      <c r="H225">
        <v>100</v>
      </c>
      <c r="I225" t="str">
        <f t="shared" si="7"/>
        <v/>
      </c>
      <c r="J225" s="53">
        <f>IFERROR(VLOOKUP(B225, DATA_Johnstone_2024_ALL!B:J, 8, FALSE), "")</f>
        <v>1</v>
      </c>
      <c r="K225" s="29"/>
      <c r="L225" s="30"/>
      <c r="M225" s="29"/>
      <c r="N225" s="20">
        <f>IF(J225=1, DATA_Johnstone_2023_50!M225, "")</f>
        <v>4</v>
      </c>
      <c r="O225" s="20">
        <f>IF($J225=1, DATA_Johnstone_2023_50!N225, "")</f>
        <v>4</v>
      </c>
      <c r="P225" s="49"/>
      <c r="Q225" s="20">
        <f>IF($J225=1, DATA_Johnstone_2023_50!P225, "")</f>
        <v>3</v>
      </c>
      <c r="R225" s="22"/>
      <c r="T225" s="22"/>
      <c r="W225" s="47"/>
      <c r="AI225">
        <v>222</v>
      </c>
      <c r="AJ225">
        <v>2</v>
      </c>
    </row>
    <row r="226" spans="1:36" hidden="1" x14ac:dyDescent="0.35">
      <c r="A226">
        <v>1114</v>
      </c>
      <c r="B226">
        <v>1115</v>
      </c>
      <c r="C226">
        <v>146.0599335</v>
      </c>
      <c r="D226">
        <v>-17.526072070000001</v>
      </c>
      <c r="F226" t="s">
        <v>7016</v>
      </c>
      <c r="G226" s="1" t="str">
        <f t="shared" si="6"/>
        <v>1115_20240610_0006_L_1024.jpg</v>
      </c>
      <c r="H226">
        <v>100</v>
      </c>
      <c r="I226" t="str">
        <f t="shared" si="7"/>
        <v/>
      </c>
      <c r="J226" s="53">
        <f>IFERROR(VLOOKUP(B226, DATA_Johnstone_2024_ALL!B:J, 8, FALSE), "")</f>
        <v>1</v>
      </c>
      <c r="K226" s="29"/>
      <c r="L226" s="30"/>
      <c r="M226" s="29"/>
      <c r="N226" s="20">
        <f>IF(J226=1, DATA_Johnstone_2023_50!M226, "")</f>
        <v>4</v>
      </c>
      <c r="O226" s="20">
        <f>IF($J226=1, DATA_Johnstone_2023_50!N226, "")</f>
        <v>4</v>
      </c>
      <c r="P226" s="49"/>
      <c r="Q226" s="20">
        <f>IF($J226=1, DATA_Johnstone_2023_50!P226, "")</f>
        <v>2</v>
      </c>
      <c r="R226" s="22"/>
      <c r="T226" s="22"/>
      <c r="W226" s="47"/>
      <c r="AI226">
        <v>223</v>
      </c>
      <c r="AJ226">
        <v>2</v>
      </c>
    </row>
    <row r="227" spans="1:36" hidden="1" x14ac:dyDescent="0.35">
      <c r="A227">
        <v>1119</v>
      </c>
      <c r="B227">
        <v>1120</v>
      </c>
      <c r="C227">
        <v>146.05953310000001</v>
      </c>
      <c r="D227">
        <v>-17.52583018</v>
      </c>
      <c r="F227" t="s">
        <v>7017</v>
      </c>
      <c r="G227" s="1" t="str">
        <f t="shared" si="6"/>
        <v>1120_20240610_0006_L_1043.jpg</v>
      </c>
      <c r="H227">
        <v>100</v>
      </c>
      <c r="I227" t="str">
        <f t="shared" si="7"/>
        <v/>
      </c>
      <c r="J227" s="53">
        <f>IFERROR(VLOOKUP(B227, DATA_Johnstone_2024_ALL!B:J, 8, FALSE), "")</f>
        <v>1</v>
      </c>
      <c r="K227" s="29"/>
      <c r="L227" s="30"/>
      <c r="M227" s="29"/>
      <c r="N227" s="20">
        <f>IF(J227=1, DATA_Johnstone_2023_50!M227, "")</f>
        <v>4</v>
      </c>
      <c r="O227" s="20">
        <f>IF($J227=1, DATA_Johnstone_2023_50!N227, "")</f>
        <v>4</v>
      </c>
      <c r="P227" s="49"/>
      <c r="Q227" s="20">
        <f>IF($J227=1, DATA_Johnstone_2023_50!P227, "")</f>
        <v>4</v>
      </c>
      <c r="R227" s="22"/>
      <c r="T227" s="22"/>
      <c r="W227" s="47"/>
      <c r="AI227">
        <v>224</v>
      </c>
      <c r="AJ227">
        <v>2</v>
      </c>
    </row>
    <row r="228" spans="1:36" hidden="1" x14ac:dyDescent="0.35">
      <c r="A228">
        <v>1124</v>
      </c>
      <c r="B228">
        <v>1125</v>
      </c>
      <c r="C228">
        <v>146.05908830000001</v>
      </c>
      <c r="D228">
        <v>-17.525674779999999</v>
      </c>
      <c r="F228" t="s">
        <v>7018</v>
      </c>
      <c r="G228" s="1" t="str">
        <f t="shared" si="6"/>
        <v>1125_20240610_0006_L_1063.jpg</v>
      </c>
      <c r="H228">
        <v>100</v>
      </c>
      <c r="I228" t="str">
        <f t="shared" si="7"/>
        <v/>
      </c>
      <c r="J228" s="53">
        <f>IFERROR(VLOOKUP(B228, DATA_Johnstone_2024_ALL!B:J, 8, FALSE), "")</f>
        <v>1</v>
      </c>
      <c r="K228" s="29"/>
      <c r="L228" s="30"/>
      <c r="M228" s="29"/>
      <c r="N228" s="20">
        <f>IF(J228=1, DATA_Johnstone_2023_50!M228, "")</f>
        <v>4</v>
      </c>
      <c r="O228" s="20">
        <f>IF($J228=1, DATA_Johnstone_2023_50!N228, "")</f>
        <v>4</v>
      </c>
      <c r="P228" s="49"/>
      <c r="Q228" s="20">
        <f>IF($J228=1, DATA_Johnstone_2023_50!P228, "")</f>
        <v>4</v>
      </c>
      <c r="R228" s="22"/>
      <c r="T228" s="22"/>
      <c r="W228" s="47"/>
      <c r="AI228">
        <v>225</v>
      </c>
      <c r="AJ228">
        <v>2</v>
      </c>
    </row>
    <row r="229" spans="1:36" hidden="1" x14ac:dyDescent="0.35">
      <c r="A229">
        <v>1129</v>
      </c>
      <c r="B229">
        <v>1130</v>
      </c>
      <c r="C229">
        <v>146.05864779999999</v>
      </c>
      <c r="D229">
        <v>-17.52550931</v>
      </c>
      <c r="F229" t="s">
        <v>7019</v>
      </c>
      <c r="G229" s="1" t="str">
        <f t="shared" si="6"/>
        <v>1130_20240610_0006_L_1081.jpg</v>
      </c>
      <c r="H229">
        <v>100</v>
      </c>
      <c r="I229" t="str">
        <f t="shared" si="7"/>
        <v/>
      </c>
      <c r="J229" s="53">
        <f>IFERROR(VLOOKUP(B229, DATA_Johnstone_2024_ALL!B:J, 8, FALSE), "")</f>
        <v>1</v>
      </c>
      <c r="K229" s="29"/>
      <c r="L229" s="30"/>
      <c r="M229" s="29"/>
      <c r="N229" s="20">
        <f>IF(J229=1, DATA_Johnstone_2023_50!M229, "")</f>
        <v>4</v>
      </c>
      <c r="O229" s="20">
        <f>IF($J229=1, DATA_Johnstone_2023_50!N229, "")</f>
        <v>4</v>
      </c>
      <c r="P229" s="49"/>
      <c r="Q229" s="20">
        <f>IF($J229=1, DATA_Johnstone_2023_50!P229, "")</f>
        <v>3</v>
      </c>
      <c r="R229" s="22"/>
      <c r="T229" s="22"/>
      <c r="W229" s="47"/>
      <c r="AI229">
        <v>226</v>
      </c>
      <c r="AJ229">
        <v>2</v>
      </c>
    </row>
    <row r="230" spans="1:36" hidden="1" x14ac:dyDescent="0.35">
      <c r="A230">
        <v>1134</v>
      </c>
      <c r="B230">
        <v>1135</v>
      </c>
      <c r="C230">
        <v>146.05823599999999</v>
      </c>
      <c r="D230">
        <v>-17.525280939999998</v>
      </c>
      <c r="F230" t="s">
        <v>7020</v>
      </c>
      <c r="G230" s="1" t="str">
        <f t="shared" si="6"/>
        <v>1135_20240610_0006_L_1099.jpg</v>
      </c>
      <c r="H230">
        <v>100</v>
      </c>
      <c r="I230" t="str">
        <f t="shared" si="7"/>
        <v/>
      </c>
      <c r="J230" s="53">
        <f>IFERROR(VLOOKUP(B230, DATA_Johnstone_2024_ALL!B:J, 8, FALSE), "")</f>
        <v>1</v>
      </c>
      <c r="K230" s="29"/>
      <c r="L230" s="30"/>
      <c r="M230" s="29"/>
      <c r="N230" s="20">
        <f>IF(J230=1, DATA_Johnstone_2023_50!M230, "")</f>
        <v>4</v>
      </c>
      <c r="O230" s="20">
        <f>IF($J230=1, DATA_Johnstone_2023_50!N230, "")</f>
        <v>4</v>
      </c>
      <c r="P230" s="49"/>
      <c r="Q230" s="20">
        <f>IF($J230=1, DATA_Johnstone_2023_50!P230, "")</f>
        <v>4</v>
      </c>
      <c r="R230" s="22"/>
      <c r="T230" s="22"/>
      <c r="W230" s="47"/>
      <c r="AI230">
        <v>227</v>
      </c>
      <c r="AJ230">
        <v>2</v>
      </c>
    </row>
    <row r="231" spans="1:36" hidden="1" x14ac:dyDescent="0.35">
      <c r="A231">
        <v>1139</v>
      </c>
      <c r="B231">
        <v>1140</v>
      </c>
      <c r="C231">
        <v>146.05788920000001</v>
      </c>
      <c r="D231">
        <v>-17.52496588</v>
      </c>
      <c r="F231" t="s">
        <v>7021</v>
      </c>
      <c r="G231" s="1" t="str">
        <f t="shared" si="6"/>
        <v>1140_20240610_0006_L_1112.jpg</v>
      </c>
      <c r="H231">
        <v>100</v>
      </c>
      <c r="I231" t="str">
        <f t="shared" si="7"/>
        <v/>
      </c>
      <c r="J231" s="53">
        <f>IFERROR(VLOOKUP(B231, DATA_Johnstone_2024_ALL!B:J, 8, FALSE), "")</f>
        <v>1</v>
      </c>
      <c r="K231" s="29"/>
      <c r="L231" s="30"/>
      <c r="M231" s="29"/>
      <c r="N231" s="20">
        <f>IF(J231=1, DATA_Johnstone_2023_50!M231, "")</f>
        <v>4</v>
      </c>
      <c r="O231" s="20">
        <f>IF($J231=1, DATA_Johnstone_2023_50!N231, "")</f>
        <v>4</v>
      </c>
      <c r="P231" s="49"/>
      <c r="Q231" s="20">
        <f>IF($J231=1, DATA_Johnstone_2023_50!P231, "")</f>
        <v>4</v>
      </c>
      <c r="R231" s="22"/>
      <c r="T231" s="22"/>
      <c r="W231" s="47"/>
      <c r="AI231">
        <v>228</v>
      </c>
      <c r="AJ231">
        <v>2</v>
      </c>
    </row>
    <row r="232" spans="1:36" hidden="1" x14ac:dyDescent="0.35">
      <c r="A232">
        <v>1144</v>
      </c>
      <c r="B232">
        <v>1145</v>
      </c>
      <c r="C232">
        <v>146.05763859999999</v>
      </c>
      <c r="D232">
        <v>-17.524567919999999</v>
      </c>
      <c r="F232" t="s">
        <v>7022</v>
      </c>
      <c r="G232" s="1" t="str">
        <f t="shared" si="6"/>
        <v>1145_20240610_0006_L_1127.jpg</v>
      </c>
      <c r="H232">
        <v>100</v>
      </c>
      <c r="I232" t="str">
        <f t="shared" si="7"/>
        <v/>
      </c>
      <c r="J232" s="53">
        <f>IFERROR(VLOOKUP(B232, DATA_Johnstone_2024_ALL!B:J, 8, FALSE), "")</f>
        <v>1</v>
      </c>
      <c r="K232" s="29"/>
      <c r="L232" s="30"/>
      <c r="M232" s="29"/>
      <c r="N232" s="20">
        <f>IF(J232=1, DATA_Johnstone_2023_50!M232, "")</f>
        <v>4</v>
      </c>
      <c r="O232" s="20">
        <f>IF($J232=1, DATA_Johnstone_2023_50!N232, "")</f>
        <v>4</v>
      </c>
      <c r="P232" s="49"/>
      <c r="Q232" s="20">
        <f>IF($J232=1, DATA_Johnstone_2023_50!P232, "")</f>
        <v>3</v>
      </c>
      <c r="R232" s="22"/>
      <c r="T232" s="22"/>
      <c r="W232" s="47"/>
      <c r="AI232">
        <v>229</v>
      </c>
      <c r="AJ232">
        <v>2</v>
      </c>
    </row>
    <row r="233" spans="1:36" x14ac:dyDescent="0.35">
      <c r="A233">
        <v>1149</v>
      </c>
      <c r="B233">
        <v>1150</v>
      </c>
      <c r="C233">
        <v>146.05728579999999</v>
      </c>
      <c r="D233">
        <v>-17.524311350000001</v>
      </c>
      <c r="F233" t="s">
        <v>7023</v>
      </c>
      <c r="G233" s="1" t="str">
        <f t="shared" si="6"/>
        <v>1150_20240610_0006_L_1139.jpg</v>
      </c>
      <c r="H233">
        <v>2</v>
      </c>
      <c r="I233" t="str">
        <f t="shared" si="7"/>
        <v/>
      </c>
      <c r="J233" s="53">
        <f>IFERROR(VLOOKUP(B233, DATA_Johnstone_2024_ALL!B:J, 8, FALSE), "")</f>
        <v>1</v>
      </c>
      <c r="K233" s="29"/>
      <c r="L233" s="30"/>
      <c r="M233" s="29"/>
      <c r="N233" s="20">
        <f>IF(J233=1, DATA_Johnstone_2023_50!M233, "")</f>
        <v>4</v>
      </c>
      <c r="O233" s="20">
        <f>IF($J233=1, DATA_Johnstone_2023_50!N233, "")</f>
        <v>4</v>
      </c>
      <c r="P233" s="49"/>
      <c r="Q233" s="20">
        <f>IF($J233=1, DATA_Johnstone_2023_50!P233, "")</f>
        <v>4</v>
      </c>
      <c r="R233" s="22"/>
      <c r="T233" s="22"/>
      <c r="W233" s="47"/>
      <c r="AI233">
        <v>230</v>
      </c>
      <c r="AJ233">
        <v>2</v>
      </c>
    </row>
    <row r="234" spans="1:36" x14ac:dyDescent="0.35">
      <c r="A234">
        <v>1154</v>
      </c>
      <c r="B234">
        <v>1155</v>
      </c>
      <c r="C234">
        <v>146.0568146</v>
      </c>
      <c r="D234">
        <v>-17.524314929999999</v>
      </c>
      <c r="F234" t="s">
        <v>7024</v>
      </c>
      <c r="G234" s="1" t="str">
        <f t="shared" si="6"/>
        <v>1155_20240610_0003_L_0033.jpg</v>
      </c>
      <c r="H234">
        <v>2</v>
      </c>
      <c r="I234" t="str">
        <f t="shared" si="7"/>
        <v/>
      </c>
      <c r="J234" s="53">
        <f>IFERROR(VLOOKUP(B234, DATA_Johnstone_2024_ALL!B:J, 8, FALSE), "")</f>
        <v>1</v>
      </c>
      <c r="K234" s="29"/>
      <c r="L234" s="30"/>
      <c r="M234" s="29"/>
      <c r="N234" s="20">
        <f>IF(J234=1, DATA_Johnstone_2023_50!M234, "")</f>
        <v>4</v>
      </c>
      <c r="O234" s="20">
        <f>IF($J234=1, DATA_Johnstone_2023_50!N234, "")</f>
        <v>4</v>
      </c>
      <c r="P234" s="49"/>
      <c r="Q234" s="20">
        <f>IF($J234=1, DATA_Johnstone_2023_50!P234, "")</f>
        <v>4</v>
      </c>
      <c r="R234" s="22"/>
      <c r="T234" s="22"/>
      <c r="W234" s="47"/>
      <c r="AI234">
        <v>231</v>
      </c>
      <c r="AJ234">
        <v>2</v>
      </c>
    </row>
    <row r="235" spans="1:36" x14ac:dyDescent="0.35">
      <c r="A235">
        <v>1159</v>
      </c>
      <c r="B235">
        <v>1160</v>
      </c>
      <c r="C235">
        <v>146.0563478</v>
      </c>
      <c r="D235">
        <v>-17.524266610000002</v>
      </c>
      <c r="F235" t="s">
        <v>7025</v>
      </c>
      <c r="G235" s="1" t="str">
        <f t="shared" si="6"/>
        <v>1160_20240610_0003_L_0068.jpg</v>
      </c>
      <c r="H235">
        <v>2</v>
      </c>
      <c r="I235" t="str">
        <f t="shared" si="7"/>
        <v/>
      </c>
      <c r="J235" s="53">
        <f>IFERROR(VLOOKUP(B235, DATA_Johnstone_2024_ALL!B:J, 8, FALSE), "")</f>
        <v>1</v>
      </c>
      <c r="K235" s="29"/>
      <c r="L235" s="30"/>
      <c r="M235" s="29"/>
      <c r="N235" s="20">
        <f>IF(J235=1, DATA_Johnstone_2023_50!M235, "")</f>
        <v>4</v>
      </c>
      <c r="O235" s="20">
        <f>IF($J235=1, DATA_Johnstone_2023_50!N235, "")</f>
        <v>4</v>
      </c>
      <c r="P235" s="49"/>
      <c r="Q235" s="20">
        <v>4</v>
      </c>
      <c r="R235" s="22"/>
      <c r="T235" s="22"/>
      <c r="W235" s="47"/>
      <c r="AI235">
        <v>232</v>
      </c>
      <c r="AJ235">
        <v>2</v>
      </c>
    </row>
    <row r="236" spans="1:36" x14ac:dyDescent="0.35">
      <c r="A236">
        <v>1164</v>
      </c>
      <c r="B236">
        <v>1165</v>
      </c>
      <c r="C236">
        <v>146.05599340000001</v>
      </c>
      <c r="D236">
        <v>-17.524003140000001</v>
      </c>
      <c r="G236" s="1" t="str">
        <f t="shared" si="6"/>
        <v/>
      </c>
      <c r="H236">
        <v>2</v>
      </c>
      <c r="I236" t="str">
        <f t="shared" si="7"/>
        <v>X</v>
      </c>
      <c r="J236" s="53" t="str">
        <f>IFERROR(VLOOKUP(B236, DATA_Johnstone_2024_ALL!B:J, 8, FALSE), "")</f>
        <v>X</v>
      </c>
      <c r="K236" s="29"/>
      <c r="L236" s="30"/>
      <c r="M236" s="29"/>
      <c r="N236" s="20" t="str">
        <f>IF(J236=1, DATA_Johnstone_2023_50!M236, "")</f>
        <v/>
      </c>
      <c r="O236" s="20" t="str">
        <f>IF($J236=1, DATA_Johnstone_2023_50!N236, "")</f>
        <v/>
      </c>
      <c r="P236" s="49"/>
      <c r="Q236" s="20" t="str">
        <f>IF($J236=1, DATA_Johnstone_2023_50!P236, "")</f>
        <v/>
      </c>
      <c r="R236" s="22"/>
      <c r="T236" s="22"/>
      <c r="W236" s="47"/>
      <c r="AI236">
        <v>233</v>
      </c>
      <c r="AJ236">
        <v>2</v>
      </c>
    </row>
    <row r="237" spans="1:36" x14ac:dyDescent="0.35">
      <c r="A237">
        <v>1169</v>
      </c>
      <c r="B237">
        <v>1170</v>
      </c>
      <c r="C237">
        <v>146.05554839999999</v>
      </c>
      <c r="D237">
        <v>-17.523863309999999</v>
      </c>
      <c r="F237" t="s">
        <v>7026</v>
      </c>
      <c r="G237" s="1" t="str">
        <f t="shared" si="6"/>
        <v>1170_20240610_0003_L_0101.jpg</v>
      </c>
      <c r="H237">
        <v>2</v>
      </c>
      <c r="I237" t="str">
        <f t="shared" si="7"/>
        <v/>
      </c>
      <c r="J237" s="53">
        <f>IFERROR(VLOOKUP(B237, DATA_Johnstone_2024_ALL!B:J, 8, FALSE), "")</f>
        <v>1</v>
      </c>
      <c r="K237" s="29"/>
      <c r="L237" s="30"/>
      <c r="M237" s="29"/>
      <c r="N237" s="20">
        <f>IF(J237=1, DATA_Johnstone_2023_50!M237, "")</f>
        <v>4</v>
      </c>
      <c r="O237" s="20">
        <f>IF($J237=1, DATA_Johnstone_2023_50!N237, "")</f>
        <v>4</v>
      </c>
      <c r="P237" s="49"/>
      <c r="Q237" s="20">
        <f>IF($J237=1, DATA_Johnstone_2023_50!P237, "")</f>
        <v>3</v>
      </c>
      <c r="R237" s="22"/>
      <c r="T237" s="22"/>
      <c r="W237" s="47"/>
      <c r="AI237">
        <v>234</v>
      </c>
      <c r="AJ237">
        <v>2</v>
      </c>
    </row>
    <row r="238" spans="1:36" x14ac:dyDescent="0.35">
      <c r="A238">
        <v>1174</v>
      </c>
      <c r="B238">
        <v>1175</v>
      </c>
      <c r="C238">
        <v>146.05507789999999</v>
      </c>
      <c r="D238">
        <v>-17.52383266</v>
      </c>
      <c r="F238" t="s">
        <v>7027</v>
      </c>
      <c r="G238" s="1" t="str">
        <f t="shared" si="6"/>
        <v>1175_20240610_0003_L_0118.jpg</v>
      </c>
      <c r="H238">
        <v>2</v>
      </c>
      <c r="I238" t="str">
        <f t="shared" si="7"/>
        <v/>
      </c>
      <c r="J238" s="53">
        <f>IFERROR(VLOOKUP(B238, DATA_Johnstone_2024_ALL!B:J, 8, FALSE), "")</f>
        <v>1</v>
      </c>
      <c r="K238" s="29"/>
      <c r="L238" s="30"/>
      <c r="M238" s="29"/>
      <c r="N238" s="20">
        <v>4</v>
      </c>
      <c r="O238" s="20">
        <f>IF($J238=1, DATA_Johnstone_2023_50!N238, "")</f>
        <v>4</v>
      </c>
      <c r="P238" s="49"/>
      <c r="Q238" s="20">
        <f>IF($J238=1, DATA_Johnstone_2023_50!P238, "")</f>
        <v>4</v>
      </c>
      <c r="R238" s="22"/>
      <c r="T238" s="22"/>
      <c r="W238" s="47"/>
      <c r="AI238">
        <v>235</v>
      </c>
      <c r="AJ238">
        <v>2</v>
      </c>
    </row>
    <row r="239" spans="1:36" x14ac:dyDescent="0.35">
      <c r="A239">
        <v>1179</v>
      </c>
      <c r="B239">
        <v>1180</v>
      </c>
      <c r="C239">
        <v>146.0546066</v>
      </c>
      <c r="D239">
        <v>-17.52384271</v>
      </c>
      <c r="F239" t="s">
        <v>7028</v>
      </c>
      <c r="G239" s="1" t="str">
        <f t="shared" si="6"/>
        <v>1180_20240610_0003_L_0132.jpg</v>
      </c>
      <c r="H239">
        <v>2</v>
      </c>
      <c r="I239" t="str">
        <f t="shared" si="7"/>
        <v/>
      </c>
      <c r="J239" s="53">
        <f>IFERROR(VLOOKUP(B239, DATA_Johnstone_2024_ALL!B:J, 8, FALSE), "")</f>
        <v>1</v>
      </c>
      <c r="K239" s="29"/>
      <c r="L239" s="30"/>
      <c r="M239" s="29"/>
      <c r="N239" s="20">
        <f>IF(J239=1, DATA_Johnstone_2023_50!M239, "")</f>
        <v>4</v>
      </c>
      <c r="O239" s="20">
        <f>IF($J239=1, DATA_Johnstone_2023_50!N239, "")</f>
        <v>4</v>
      </c>
      <c r="P239" s="49"/>
      <c r="Q239" s="20">
        <f>IF($J239=1, DATA_Johnstone_2023_50!P239, "")</f>
        <v>4</v>
      </c>
      <c r="R239" s="22"/>
      <c r="T239" s="22"/>
      <c r="W239" s="47"/>
      <c r="AI239">
        <v>236</v>
      </c>
      <c r="AJ239">
        <v>2</v>
      </c>
    </row>
    <row r="240" spans="1:36" x14ac:dyDescent="0.35">
      <c r="A240">
        <v>1184</v>
      </c>
      <c r="B240">
        <v>1185</v>
      </c>
      <c r="C240">
        <v>146.05413569999999</v>
      </c>
      <c r="D240">
        <v>-17.523865539999999</v>
      </c>
      <c r="F240" t="s">
        <v>7029</v>
      </c>
      <c r="G240" s="1" t="str">
        <f t="shared" si="6"/>
        <v>1185_20240610_0003_L_0151.jpg</v>
      </c>
      <c r="H240">
        <v>2</v>
      </c>
      <c r="I240" t="str">
        <f t="shared" si="7"/>
        <v/>
      </c>
      <c r="J240" s="53">
        <f>IFERROR(VLOOKUP(B240, DATA_Johnstone_2024_ALL!B:J, 8, FALSE), "")</f>
        <v>1</v>
      </c>
      <c r="K240" s="29"/>
      <c r="L240" s="30"/>
      <c r="M240" s="29"/>
      <c r="N240" s="20">
        <v>4</v>
      </c>
      <c r="O240" s="20">
        <f>IF($J240=1, DATA_Johnstone_2023_50!N240, "")</f>
        <v>4</v>
      </c>
      <c r="P240" s="49"/>
      <c r="Q240" s="20">
        <f>IF($J240=1, DATA_Johnstone_2023_50!P240, "")</f>
        <v>4</v>
      </c>
      <c r="R240" s="22"/>
      <c r="T240" s="22"/>
      <c r="W240" s="47"/>
      <c r="AI240">
        <v>237</v>
      </c>
      <c r="AJ240">
        <v>2</v>
      </c>
    </row>
    <row r="241" spans="1:36" x14ac:dyDescent="0.35">
      <c r="A241">
        <v>1189</v>
      </c>
      <c r="B241">
        <v>1190</v>
      </c>
      <c r="C241">
        <v>146.05366509999999</v>
      </c>
      <c r="D241">
        <v>-17.52389428</v>
      </c>
      <c r="F241" t="s">
        <v>7030</v>
      </c>
      <c r="G241" s="1" t="str">
        <f t="shared" si="6"/>
        <v>1190_20240610_0003_L_0182.jpg</v>
      </c>
      <c r="H241">
        <v>2</v>
      </c>
      <c r="I241" t="str">
        <f t="shared" si="7"/>
        <v/>
      </c>
      <c r="J241" s="53">
        <f>IFERROR(VLOOKUP(B241, DATA_Johnstone_2024_ALL!B:J, 8, FALSE), "")</f>
        <v>1</v>
      </c>
      <c r="K241" s="29"/>
      <c r="L241" s="30"/>
      <c r="M241" s="29"/>
      <c r="N241" s="20">
        <f>IF(J241=1, DATA_Johnstone_2023_50!M241, "")</f>
        <v>4</v>
      </c>
      <c r="O241" s="20">
        <f>IF($J241=1, DATA_Johnstone_2023_50!N241, "")</f>
        <v>4</v>
      </c>
      <c r="P241" s="49"/>
      <c r="Q241" s="20">
        <f>IF($J241=1, DATA_Johnstone_2023_50!P241, "")</f>
        <v>4</v>
      </c>
      <c r="R241" s="22"/>
      <c r="T241" s="22"/>
      <c r="W241" s="47"/>
      <c r="AI241">
        <v>238</v>
      </c>
      <c r="AJ241">
        <v>2</v>
      </c>
    </row>
    <row r="242" spans="1:36" x14ac:dyDescent="0.35">
      <c r="A242">
        <v>1194</v>
      </c>
      <c r="B242">
        <v>1195</v>
      </c>
      <c r="C242">
        <v>146.05319600000001</v>
      </c>
      <c r="D242">
        <v>-17.523941910000001</v>
      </c>
      <c r="F242" t="s">
        <v>7031</v>
      </c>
      <c r="G242" s="1" t="str">
        <f t="shared" si="6"/>
        <v>1195_20240610_0003_L_0215.jpg</v>
      </c>
      <c r="H242">
        <v>2</v>
      </c>
      <c r="I242" t="str">
        <f t="shared" si="7"/>
        <v/>
      </c>
      <c r="J242" s="53">
        <f>IFERROR(VLOOKUP(B242, DATA_Johnstone_2024_ALL!B:J, 8, FALSE), "")</f>
        <v>1</v>
      </c>
      <c r="K242" s="29"/>
      <c r="L242" s="30"/>
      <c r="M242" s="29"/>
      <c r="N242" s="20">
        <v>4</v>
      </c>
      <c r="O242" s="20">
        <f>IF($J242=1, DATA_Johnstone_2023_50!N242, "")</f>
        <v>4</v>
      </c>
      <c r="P242" s="49"/>
      <c r="Q242" s="20">
        <f>IF($J242=1, DATA_Johnstone_2023_50!P242, "")</f>
        <v>4</v>
      </c>
      <c r="R242" s="22"/>
      <c r="T242" s="22"/>
      <c r="W242" s="47"/>
      <c r="AI242">
        <v>239</v>
      </c>
      <c r="AJ242">
        <v>2</v>
      </c>
    </row>
    <row r="243" spans="1:36" x14ac:dyDescent="0.35">
      <c r="A243">
        <v>1199</v>
      </c>
      <c r="B243">
        <v>1200</v>
      </c>
      <c r="C243">
        <v>146.05272719999999</v>
      </c>
      <c r="D243">
        <v>-17.52399217</v>
      </c>
      <c r="F243" t="s">
        <v>7032</v>
      </c>
      <c r="G243" s="1" t="str">
        <f t="shared" si="6"/>
        <v>1200_20240610_0003_L_0239.jpg</v>
      </c>
      <c r="H243">
        <v>2</v>
      </c>
      <c r="I243" t="str">
        <f t="shared" si="7"/>
        <v/>
      </c>
      <c r="J243" s="53">
        <f>IFERROR(VLOOKUP(B243, DATA_Johnstone_2024_ALL!B:J, 8, FALSE), "")</f>
        <v>1</v>
      </c>
      <c r="K243" s="29"/>
      <c r="L243" s="30"/>
      <c r="M243" s="29"/>
      <c r="N243" s="20">
        <f>IF(J243=1, DATA_Johnstone_2023_50!M243, "")</f>
        <v>4</v>
      </c>
      <c r="O243" s="20">
        <f>IF($J243=1, DATA_Johnstone_2023_50!N243, "")</f>
        <v>4</v>
      </c>
      <c r="P243" s="49"/>
      <c r="Q243" s="20">
        <f>IF($J243=1, DATA_Johnstone_2023_50!P243, "")</f>
        <v>4</v>
      </c>
      <c r="R243" s="22"/>
      <c r="T243" s="22"/>
      <c r="W243" s="47"/>
      <c r="AI243">
        <v>240</v>
      </c>
      <c r="AJ243">
        <v>2</v>
      </c>
    </row>
    <row r="244" spans="1:36" x14ac:dyDescent="0.35">
      <c r="A244">
        <v>1204</v>
      </c>
      <c r="B244">
        <v>1205</v>
      </c>
      <c r="C244">
        <v>146.05226590000001</v>
      </c>
      <c r="D244">
        <v>-17.524089459999999</v>
      </c>
      <c r="F244" t="s">
        <v>7033</v>
      </c>
      <c r="G244" s="1" t="str">
        <f t="shared" si="6"/>
        <v>1205_20240610_0003_L_0269.jpg</v>
      </c>
      <c r="H244">
        <v>2</v>
      </c>
      <c r="I244" t="str">
        <f t="shared" si="7"/>
        <v/>
      </c>
      <c r="J244" s="53">
        <f>IFERROR(VLOOKUP(B244, DATA_Johnstone_2024_ALL!B:J, 8, FALSE), "")</f>
        <v>0</v>
      </c>
      <c r="K244" s="29"/>
      <c r="L244" s="30"/>
      <c r="M244" s="29"/>
      <c r="N244" s="20" t="str">
        <f>IF(J244=1, DATA_Johnstone_2023_50!M244, "")</f>
        <v/>
      </c>
      <c r="O244" s="20" t="str">
        <f>IF($J244=1, DATA_Johnstone_2023_50!N244, "")</f>
        <v/>
      </c>
      <c r="P244" s="49"/>
      <c r="Q244" s="20" t="str">
        <f>IF($J244=1, DATA_Johnstone_2023_50!P244, "")</f>
        <v/>
      </c>
      <c r="R244" s="22"/>
      <c r="T244" s="22"/>
      <c r="W244" s="47"/>
      <c r="AI244">
        <v>241</v>
      </c>
      <c r="AJ244">
        <v>2</v>
      </c>
    </row>
    <row r="245" spans="1:36" x14ac:dyDescent="0.35">
      <c r="A245">
        <v>1209</v>
      </c>
      <c r="B245">
        <v>1210</v>
      </c>
      <c r="C245">
        <v>146.051804</v>
      </c>
      <c r="D245">
        <v>-17.524183900000001</v>
      </c>
      <c r="F245" t="s">
        <v>7034</v>
      </c>
      <c r="G245" s="1" t="str">
        <f t="shared" si="6"/>
        <v>1210_20240610_0003_L_0300.jpg</v>
      </c>
      <c r="H245">
        <v>2</v>
      </c>
      <c r="I245" t="str">
        <f t="shared" si="7"/>
        <v/>
      </c>
      <c r="J245" s="53">
        <f>IFERROR(VLOOKUP(B245, DATA_Johnstone_2024_ALL!B:J, 8, FALSE), "")</f>
        <v>1</v>
      </c>
      <c r="K245" s="29"/>
      <c r="L245" s="30"/>
      <c r="M245" s="29"/>
      <c r="N245" s="20">
        <f>IF(J245=1, DATA_Johnstone_2023_50!M245, "")</f>
        <v>4</v>
      </c>
      <c r="O245" s="20">
        <f>IF($J245=1, DATA_Johnstone_2023_50!N245, "")</f>
        <v>4</v>
      </c>
      <c r="P245" s="49"/>
      <c r="Q245" s="20">
        <v>3</v>
      </c>
      <c r="R245" s="22"/>
      <c r="T245" s="22"/>
      <c r="W245" s="47"/>
      <c r="AI245">
        <v>242</v>
      </c>
      <c r="AJ245">
        <v>2</v>
      </c>
    </row>
    <row r="246" spans="1:36" x14ac:dyDescent="0.35">
      <c r="A246">
        <v>1214</v>
      </c>
      <c r="B246">
        <v>1215</v>
      </c>
      <c r="C246">
        <v>146.0513406</v>
      </c>
      <c r="D246">
        <v>-17.52427102</v>
      </c>
      <c r="F246" t="s">
        <v>7035</v>
      </c>
      <c r="G246" s="1" t="str">
        <f t="shared" si="6"/>
        <v>1215_20240610_0003_L_0335.jpg</v>
      </c>
      <c r="H246">
        <v>2</v>
      </c>
      <c r="I246" t="str">
        <f t="shared" si="7"/>
        <v/>
      </c>
      <c r="J246" s="53">
        <f>IFERROR(VLOOKUP(B246, DATA_Johnstone_2024_ALL!B:J, 8, FALSE), "")</f>
        <v>0</v>
      </c>
      <c r="K246" s="29"/>
      <c r="L246" s="30"/>
      <c r="M246" s="29"/>
      <c r="N246" s="20" t="str">
        <f>IF(J246=1, DATA_Johnstone_2023_50!M246, "")</f>
        <v/>
      </c>
      <c r="O246" s="20" t="str">
        <f>IF($J246=1, DATA_Johnstone_2023_50!N246, "")</f>
        <v/>
      </c>
      <c r="P246" s="49"/>
      <c r="Q246" s="20" t="str">
        <f>IF($J246=1, DATA_Johnstone_2023_50!P246, "")</f>
        <v/>
      </c>
      <c r="R246" s="22"/>
      <c r="T246" s="22"/>
      <c r="W246" s="47"/>
      <c r="AI246">
        <v>243</v>
      </c>
      <c r="AJ246">
        <v>2</v>
      </c>
    </row>
    <row r="247" spans="1:36" x14ac:dyDescent="0.35">
      <c r="A247">
        <v>1219</v>
      </c>
      <c r="B247">
        <v>1220</v>
      </c>
      <c r="C247">
        <v>146.05091490000001</v>
      </c>
      <c r="D247">
        <v>-17.524446650000002</v>
      </c>
      <c r="F247" t="s">
        <v>7036</v>
      </c>
      <c r="G247" s="1" t="str">
        <f t="shared" si="6"/>
        <v>1220_20240610_0003_L_0376.jpg</v>
      </c>
      <c r="H247">
        <v>3</v>
      </c>
      <c r="I247" t="str">
        <f t="shared" si="7"/>
        <v/>
      </c>
      <c r="J247" s="53">
        <f>IFERROR(VLOOKUP(B247, DATA_Johnstone_2024_ALL!B:J, 8, FALSE), "")</f>
        <v>1</v>
      </c>
      <c r="K247" s="29"/>
      <c r="L247" s="30"/>
      <c r="M247" s="29"/>
      <c r="N247" s="20">
        <v>4</v>
      </c>
      <c r="O247" s="20">
        <f>IF($J247=1, DATA_Johnstone_2023_50!N247, "")</f>
        <v>4</v>
      </c>
      <c r="P247" s="49"/>
      <c r="Q247" s="20">
        <f>IF($J247=1, DATA_Johnstone_2023_50!P247, "")</f>
        <v>4</v>
      </c>
      <c r="R247" s="22"/>
      <c r="T247" s="22"/>
      <c r="W247" s="47"/>
      <c r="AI247">
        <v>244</v>
      </c>
      <c r="AJ247">
        <v>2</v>
      </c>
    </row>
    <row r="248" spans="1:36" x14ac:dyDescent="0.35">
      <c r="A248">
        <v>1224</v>
      </c>
      <c r="B248">
        <v>1225</v>
      </c>
      <c r="C248">
        <v>146.05051700000001</v>
      </c>
      <c r="D248">
        <v>-17.52469739</v>
      </c>
      <c r="F248" t="s">
        <v>7037</v>
      </c>
      <c r="G248" s="1" t="str">
        <f t="shared" si="6"/>
        <v>1225_20240610_0003_L_0405.jpg</v>
      </c>
      <c r="H248">
        <v>3</v>
      </c>
      <c r="I248" t="str">
        <f t="shared" si="7"/>
        <v/>
      </c>
      <c r="J248" s="53">
        <f>IFERROR(VLOOKUP(B248, DATA_Johnstone_2024_ALL!B:J, 8, FALSE), "")</f>
        <v>1</v>
      </c>
      <c r="K248" s="29"/>
      <c r="L248" s="30"/>
      <c r="M248" s="29"/>
      <c r="N248" s="20">
        <v>1</v>
      </c>
      <c r="O248" s="20">
        <f>IF($J248=1, DATA_Johnstone_2023_50!N248, "")</f>
        <v>3</v>
      </c>
      <c r="P248" s="49"/>
      <c r="Q248" s="20">
        <v>4</v>
      </c>
      <c r="R248" s="22"/>
      <c r="T248" s="22"/>
      <c r="W248" s="47"/>
      <c r="AI248">
        <v>245</v>
      </c>
      <c r="AJ248">
        <v>2</v>
      </c>
    </row>
    <row r="249" spans="1:36" x14ac:dyDescent="0.35">
      <c r="A249">
        <v>1229</v>
      </c>
      <c r="B249">
        <v>1230</v>
      </c>
      <c r="C249">
        <v>146.05016190000001</v>
      </c>
      <c r="D249">
        <v>-17.525004809999999</v>
      </c>
      <c r="F249" t="s">
        <v>7038</v>
      </c>
      <c r="G249" s="1" t="str">
        <f t="shared" si="6"/>
        <v>1230_20240610_0003_L_0433.jpg</v>
      </c>
      <c r="H249">
        <v>3</v>
      </c>
      <c r="I249" t="str">
        <f t="shared" si="7"/>
        <v/>
      </c>
      <c r="J249" s="53">
        <f>IFERROR(VLOOKUP(B249, DATA_Johnstone_2024_ALL!B:J, 8, FALSE), "")</f>
        <v>1</v>
      </c>
      <c r="K249" s="29"/>
      <c r="L249" s="30"/>
      <c r="M249" s="29"/>
      <c r="N249" s="20">
        <v>3</v>
      </c>
      <c r="O249" s="20">
        <v>3</v>
      </c>
      <c r="P249" s="49"/>
      <c r="Q249" s="20">
        <v>2</v>
      </c>
      <c r="R249" s="22"/>
      <c r="T249" s="22"/>
      <c r="W249" s="47"/>
      <c r="AI249">
        <v>246</v>
      </c>
      <c r="AJ249">
        <v>2</v>
      </c>
    </row>
    <row r="250" spans="1:36" x14ac:dyDescent="0.35">
      <c r="A250">
        <v>1234</v>
      </c>
      <c r="B250">
        <v>1235</v>
      </c>
      <c r="C250">
        <v>146.04983799999999</v>
      </c>
      <c r="D250">
        <v>-17.52534747</v>
      </c>
      <c r="F250" t="s">
        <v>7039</v>
      </c>
      <c r="G250" s="1" t="str">
        <f t="shared" si="6"/>
        <v>1235_20240610_0003_L_0471.jpg</v>
      </c>
      <c r="H250">
        <v>3</v>
      </c>
      <c r="I250" t="str">
        <f t="shared" si="7"/>
        <v/>
      </c>
      <c r="J250" s="53">
        <f>IFERROR(VLOOKUP(B250, DATA_Johnstone_2024_ALL!B:J, 8, FALSE), "")</f>
        <v>0</v>
      </c>
      <c r="K250" s="29"/>
      <c r="L250" s="30"/>
      <c r="M250" s="29"/>
      <c r="N250" s="20" t="str">
        <f>IF(J250=1, DATA_Johnstone_2023_50!M250, "")</f>
        <v/>
      </c>
      <c r="O250" s="20" t="str">
        <f>IF($J250=1, DATA_Johnstone_2023_50!N250, "")</f>
        <v/>
      </c>
      <c r="P250" s="49"/>
      <c r="Q250" s="20" t="str">
        <f>IF($J250=1, DATA_Johnstone_2023_50!P250, "")</f>
        <v/>
      </c>
      <c r="R250" s="22"/>
      <c r="T250" s="22"/>
      <c r="W250" s="47"/>
      <c r="AI250">
        <v>247</v>
      </c>
      <c r="AJ250">
        <v>2</v>
      </c>
    </row>
    <row r="251" spans="1:36" x14ac:dyDescent="0.35">
      <c r="A251">
        <v>1239</v>
      </c>
      <c r="B251">
        <v>1240</v>
      </c>
      <c r="C251">
        <v>146.04950249999999</v>
      </c>
      <c r="D251">
        <v>-17.525678330000002</v>
      </c>
      <c r="F251" t="s">
        <v>7040</v>
      </c>
      <c r="G251" s="1" t="str">
        <f t="shared" si="6"/>
        <v>1240_20240610_0003_L_0511.jpg</v>
      </c>
      <c r="H251">
        <v>3</v>
      </c>
      <c r="I251" t="str">
        <f t="shared" si="7"/>
        <v/>
      </c>
      <c r="J251" s="53">
        <f>IFERROR(VLOOKUP(B251, DATA_Johnstone_2024_ALL!B:J, 8, FALSE), "")</f>
        <v>0</v>
      </c>
      <c r="K251" s="29"/>
      <c r="L251" s="30"/>
      <c r="M251" s="29"/>
      <c r="N251" s="20" t="str">
        <f>IF(J251=1, DATA_Johnstone_2023_50!M251, "")</f>
        <v/>
      </c>
      <c r="O251" s="20" t="str">
        <f>IF($J251=1, DATA_Johnstone_2023_50!N251, "")</f>
        <v/>
      </c>
      <c r="P251" s="49"/>
      <c r="Q251" s="20" t="str">
        <f>IF($J251=1, DATA_Johnstone_2023_50!P251, "")</f>
        <v/>
      </c>
      <c r="R251" s="22"/>
      <c r="T251" s="22"/>
      <c r="W251" s="47"/>
      <c r="AI251">
        <v>248</v>
      </c>
      <c r="AJ251">
        <v>2</v>
      </c>
    </row>
    <row r="252" spans="1:36" x14ac:dyDescent="0.35">
      <c r="A252">
        <v>1244</v>
      </c>
      <c r="B252">
        <v>1245</v>
      </c>
      <c r="C252">
        <v>146.0491763</v>
      </c>
      <c r="D252">
        <v>-17.52601688</v>
      </c>
      <c r="F252" t="s">
        <v>7041</v>
      </c>
      <c r="G252" s="1" t="str">
        <f t="shared" si="6"/>
        <v>1245_20240610_0003_L_0543.jpg</v>
      </c>
      <c r="H252">
        <v>3</v>
      </c>
      <c r="I252" t="str">
        <f t="shared" si="7"/>
        <v/>
      </c>
      <c r="J252" s="53">
        <f>IFERROR(VLOOKUP(B252, DATA_Johnstone_2024_ALL!B:J, 8, FALSE), "")</f>
        <v>0</v>
      </c>
      <c r="K252" s="29"/>
      <c r="L252" s="30"/>
      <c r="M252" s="29"/>
      <c r="N252" s="20" t="str">
        <f>IF(J252=1, DATA_Johnstone_2023_50!M252, "")</f>
        <v/>
      </c>
      <c r="O252" s="20" t="str">
        <f>IF($J252=1, DATA_Johnstone_2023_50!N252, "")</f>
        <v/>
      </c>
      <c r="P252" s="49"/>
      <c r="Q252" s="20" t="str">
        <f>IF($J252=1, DATA_Johnstone_2023_50!P252, "")</f>
        <v/>
      </c>
      <c r="R252" s="22"/>
      <c r="T252" s="22"/>
      <c r="W252" s="47"/>
      <c r="AI252">
        <v>249</v>
      </c>
      <c r="AJ252">
        <v>2</v>
      </c>
    </row>
    <row r="253" spans="1:36" x14ac:dyDescent="0.35">
      <c r="A253">
        <v>1249</v>
      </c>
      <c r="B253">
        <v>1250</v>
      </c>
      <c r="C253">
        <v>146.04890800000001</v>
      </c>
      <c r="D253">
        <v>-17.52640289</v>
      </c>
      <c r="F253" t="s">
        <v>7042</v>
      </c>
      <c r="G253" s="1" t="str">
        <f t="shared" si="6"/>
        <v>1250_20240610_0003_L_0569.jpg</v>
      </c>
      <c r="H253">
        <v>3</v>
      </c>
      <c r="I253" t="str">
        <f t="shared" si="7"/>
        <v/>
      </c>
      <c r="J253" s="53">
        <f>IFERROR(VLOOKUP(B253, DATA_Johnstone_2024_ALL!B:J, 8, FALSE), "")</f>
        <v>0</v>
      </c>
      <c r="K253" s="29"/>
      <c r="L253" s="30"/>
      <c r="M253" s="29"/>
      <c r="N253" s="20" t="str">
        <f>IF(J253=1, DATA_Johnstone_2023_50!M253, "")</f>
        <v/>
      </c>
      <c r="O253" s="20" t="str">
        <f>IF($J253=1, DATA_Johnstone_2023_50!N253, "")</f>
        <v/>
      </c>
      <c r="P253" s="49"/>
      <c r="Q253" s="20" t="str">
        <f>IF($J253=1, DATA_Johnstone_2023_50!P253, "")</f>
        <v/>
      </c>
      <c r="R253" s="22"/>
      <c r="T253" s="22"/>
      <c r="W253" s="47"/>
      <c r="AI253">
        <v>250</v>
      </c>
      <c r="AJ253">
        <v>2</v>
      </c>
    </row>
    <row r="254" spans="1:36" x14ac:dyDescent="0.35">
      <c r="A254">
        <v>1254</v>
      </c>
      <c r="B254">
        <v>1255</v>
      </c>
      <c r="C254">
        <v>146.04861990000001</v>
      </c>
      <c r="D254">
        <v>-17.526773089999999</v>
      </c>
      <c r="F254" t="s">
        <v>7043</v>
      </c>
      <c r="G254" s="1" t="str">
        <f t="shared" si="6"/>
        <v>1255_20240610_0003_L_0598.jpg</v>
      </c>
      <c r="H254">
        <v>3</v>
      </c>
      <c r="I254" t="str">
        <f t="shared" si="7"/>
        <v/>
      </c>
      <c r="J254" s="53">
        <f>IFERROR(VLOOKUP(B254, DATA_Johnstone_2024_ALL!B:J, 8, FALSE), "")</f>
        <v>1</v>
      </c>
      <c r="K254" s="29"/>
      <c r="L254" s="30"/>
      <c r="M254" s="29"/>
      <c r="N254" s="20">
        <v>3</v>
      </c>
      <c r="O254" s="20">
        <v>4</v>
      </c>
      <c r="P254" s="49"/>
      <c r="Q254" s="20">
        <v>4</v>
      </c>
      <c r="R254" s="22"/>
      <c r="T254" s="22"/>
      <c r="W254" s="47"/>
      <c r="AI254">
        <v>251</v>
      </c>
      <c r="AJ254">
        <v>2</v>
      </c>
    </row>
    <row r="255" spans="1:36" x14ac:dyDescent="0.35">
      <c r="A255">
        <v>1259</v>
      </c>
      <c r="B255">
        <v>1260</v>
      </c>
      <c r="C255">
        <v>146.04831580000001</v>
      </c>
      <c r="D255">
        <v>-17.527133190000001</v>
      </c>
      <c r="F255" t="s">
        <v>7044</v>
      </c>
      <c r="G255" s="1" t="str">
        <f t="shared" si="6"/>
        <v>1260_20240610_0003_L_0625.jpg</v>
      </c>
      <c r="H255">
        <v>3</v>
      </c>
      <c r="I255" t="str">
        <f t="shared" si="7"/>
        <v/>
      </c>
      <c r="J255" s="53">
        <f>IFERROR(VLOOKUP(B255, DATA_Johnstone_2024_ALL!B:J, 8, FALSE), "")</f>
        <v>1</v>
      </c>
      <c r="K255" s="29"/>
      <c r="L255" s="30"/>
      <c r="M255" s="29"/>
      <c r="N255" s="20">
        <v>1</v>
      </c>
      <c r="O255" s="20">
        <v>2</v>
      </c>
      <c r="P255" s="49"/>
      <c r="Q255" s="20">
        <f>IF($J255=1, DATA_Johnstone_2023_50!P255, "")</f>
        <v>4</v>
      </c>
      <c r="R255" s="22"/>
      <c r="T255" s="22"/>
      <c r="W255" s="47"/>
      <c r="AI255">
        <v>252</v>
      </c>
      <c r="AJ255">
        <v>2</v>
      </c>
    </row>
    <row r="256" spans="1:36" x14ac:dyDescent="0.35">
      <c r="A256">
        <v>1264</v>
      </c>
      <c r="B256">
        <v>1265</v>
      </c>
      <c r="C256">
        <v>146.04800259999999</v>
      </c>
      <c r="D256">
        <v>-17.527485080000002</v>
      </c>
      <c r="F256" t="s">
        <v>7045</v>
      </c>
      <c r="G256" s="1" t="str">
        <f t="shared" si="6"/>
        <v>1265_20240610_0003_L_0650.jpg</v>
      </c>
      <c r="H256">
        <v>3</v>
      </c>
      <c r="I256" t="str">
        <f t="shared" si="7"/>
        <v/>
      </c>
      <c r="J256" s="53">
        <f>IFERROR(VLOOKUP(B256, DATA_Johnstone_2024_ALL!B:J, 8, FALSE), "")</f>
        <v>1</v>
      </c>
      <c r="K256" s="29"/>
      <c r="L256" s="30"/>
      <c r="M256" s="29"/>
      <c r="N256" s="20">
        <v>4</v>
      </c>
      <c r="O256" s="20">
        <v>3</v>
      </c>
      <c r="P256" s="49"/>
      <c r="Q256" s="20">
        <v>4</v>
      </c>
      <c r="R256" s="22"/>
      <c r="T256" s="22"/>
      <c r="W256" s="47"/>
      <c r="AI256">
        <v>253</v>
      </c>
      <c r="AJ256">
        <v>2</v>
      </c>
    </row>
    <row r="257" spans="1:36" x14ac:dyDescent="0.35">
      <c r="A257">
        <v>1269</v>
      </c>
      <c r="B257">
        <v>1270</v>
      </c>
      <c r="C257">
        <v>146.0476793</v>
      </c>
      <c r="D257">
        <v>-17.527828190000001</v>
      </c>
      <c r="F257" t="s">
        <v>7046</v>
      </c>
      <c r="G257" s="1" t="str">
        <f t="shared" si="6"/>
        <v>1270_20240610_0003_L_0678.jpg</v>
      </c>
      <c r="H257">
        <v>3</v>
      </c>
      <c r="I257" t="str">
        <f t="shared" si="7"/>
        <v/>
      </c>
      <c r="J257" s="53" t="str">
        <f>IFERROR(VLOOKUP(B257, DATA_Johnstone_2024_ALL!B:J, 8, FALSE), "")</f>
        <v>X</v>
      </c>
      <c r="K257" s="29"/>
      <c r="L257" s="30"/>
      <c r="M257" s="29"/>
      <c r="N257" s="20" t="str">
        <f>IF(J257=1, DATA_Johnstone_2023_50!M257, "")</f>
        <v/>
      </c>
      <c r="O257" s="20" t="str">
        <f>IF($J257=1, DATA_Johnstone_2023_50!N257, "")</f>
        <v/>
      </c>
      <c r="P257" s="49"/>
      <c r="Q257" s="20" t="str">
        <f>IF($J257=1, DATA_Johnstone_2023_50!P257, "")</f>
        <v/>
      </c>
      <c r="R257" s="22"/>
      <c r="T257" s="22"/>
      <c r="W257" s="47"/>
      <c r="AI257">
        <v>254</v>
      </c>
      <c r="AJ257">
        <v>2</v>
      </c>
    </row>
    <row r="258" spans="1:36" x14ac:dyDescent="0.35">
      <c r="A258">
        <v>1274</v>
      </c>
      <c r="B258">
        <v>1275</v>
      </c>
      <c r="C258">
        <v>146.04735009999999</v>
      </c>
      <c r="D258">
        <v>-17.528165529999999</v>
      </c>
      <c r="F258" t="s">
        <v>7047</v>
      </c>
      <c r="G258" s="1" t="str">
        <f t="shared" si="6"/>
        <v>1275_20240610_0003_L_0699.jpg</v>
      </c>
      <c r="H258">
        <v>3</v>
      </c>
      <c r="I258" t="str">
        <f t="shared" si="7"/>
        <v/>
      </c>
      <c r="J258" s="53">
        <f>IFERROR(VLOOKUP(B258, DATA_Johnstone_2024_ALL!B:J, 8, FALSE), "")</f>
        <v>0</v>
      </c>
      <c r="K258" s="29"/>
      <c r="L258" s="30"/>
      <c r="M258" s="29"/>
      <c r="N258" s="20" t="str">
        <f>IF(J258=1, DATA_Johnstone_2023_50!M258, "")</f>
        <v/>
      </c>
      <c r="O258" s="20" t="str">
        <f>IF($J258=1, DATA_Johnstone_2023_50!N258, "")</f>
        <v/>
      </c>
      <c r="P258" s="49"/>
      <c r="Q258" s="20" t="str">
        <f>IF($J258=1, DATA_Johnstone_2023_50!P258, "")</f>
        <v/>
      </c>
      <c r="R258" s="22"/>
      <c r="T258" s="22"/>
      <c r="W258" s="47"/>
      <c r="AI258">
        <v>255</v>
      </c>
      <c r="AJ258">
        <v>2</v>
      </c>
    </row>
    <row r="259" spans="1:36" x14ac:dyDescent="0.35">
      <c r="A259">
        <v>1279</v>
      </c>
      <c r="B259">
        <v>1280</v>
      </c>
      <c r="C259">
        <v>146.0468946</v>
      </c>
      <c r="D259">
        <v>-17.527320790000001</v>
      </c>
      <c r="G259" s="1" t="str">
        <f t="shared" si="6"/>
        <v/>
      </c>
      <c r="H259">
        <v>3</v>
      </c>
      <c r="I259" t="str">
        <f t="shared" si="7"/>
        <v>X</v>
      </c>
      <c r="J259" s="53" t="str">
        <f>IFERROR(VLOOKUP(B259, DATA_Johnstone_2024_ALL!B:J, 8, FALSE), "")</f>
        <v>X</v>
      </c>
      <c r="K259" s="29"/>
      <c r="L259" s="30"/>
      <c r="M259" s="29"/>
      <c r="N259" s="20" t="str">
        <f>IF(J259=1, DATA_Johnstone_2023_50!M259, "")</f>
        <v/>
      </c>
      <c r="O259" s="20" t="str">
        <f>IF($J259=1, DATA_Johnstone_2023_50!N259, "")</f>
        <v/>
      </c>
      <c r="P259" s="49"/>
      <c r="Q259" s="20" t="str">
        <f>IF($J259=1, DATA_Johnstone_2023_50!P259, "")</f>
        <v/>
      </c>
      <c r="R259" s="22"/>
      <c r="T259" s="22"/>
      <c r="W259" s="47"/>
      <c r="AI259">
        <v>256</v>
      </c>
      <c r="AJ259">
        <v>2</v>
      </c>
    </row>
    <row r="260" spans="1:36" x14ac:dyDescent="0.35">
      <c r="A260">
        <v>1284</v>
      </c>
      <c r="B260">
        <v>1285</v>
      </c>
      <c r="C260">
        <v>146.04724429999999</v>
      </c>
      <c r="D260">
        <v>-17.527004489999999</v>
      </c>
      <c r="G260" s="1" t="str">
        <f t="shared" si="6"/>
        <v/>
      </c>
      <c r="H260">
        <v>3</v>
      </c>
      <c r="I260" t="str">
        <f t="shared" si="7"/>
        <v>X</v>
      </c>
      <c r="J260" s="53" t="str">
        <f>IFERROR(VLOOKUP(B260, DATA_Johnstone_2024_ALL!B:J, 8, FALSE), "")</f>
        <v>X</v>
      </c>
      <c r="K260" s="29"/>
      <c r="L260" s="30"/>
      <c r="M260" s="29"/>
      <c r="N260" s="20" t="str">
        <f>IF(J260=1, DATA_Johnstone_2023_50!M260, "")</f>
        <v/>
      </c>
      <c r="O260" s="20" t="str">
        <f>IF($J260=1, DATA_Johnstone_2023_50!N260, "")</f>
        <v/>
      </c>
      <c r="P260" s="49"/>
      <c r="Q260" s="20" t="str">
        <f>IF($J260=1, DATA_Johnstone_2023_50!P260, "")</f>
        <v/>
      </c>
      <c r="R260" s="22"/>
      <c r="T260" s="22"/>
      <c r="W260" s="47"/>
      <c r="AI260">
        <v>257</v>
      </c>
      <c r="AJ260">
        <v>2</v>
      </c>
    </row>
    <row r="261" spans="1:36" x14ac:dyDescent="0.35">
      <c r="A261">
        <v>1289</v>
      </c>
      <c r="B261">
        <v>1290</v>
      </c>
      <c r="C261">
        <v>146.04751490000001</v>
      </c>
      <c r="D261">
        <v>-17.52662909</v>
      </c>
      <c r="G261" s="1" t="str">
        <f t="shared" ref="G261:G324" si="8">IF(F261="", "", HYPERLINK("E:\Data From Lucan\2024\Johnstone\Frames_for_Analysis_50\" &amp; F261, F261))</f>
        <v/>
      </c>
      <c r="H261">
        <v>3</v>
      </c>
      <c r="I261" t="str">
        <f t="shared" ref="I261:I324" si="9">IF(G261="","X","")</f>
        <v>X</v>
      </c>
      <c r="J261" s="53" t="str">
        <f>IFERROR(VLOOKUP(B261, DATA_Johnstone_2024_ALL!B:J, 8, FALSE), "")</f>
        <v>X</v>
      </c>
      <c r="K261" s="29"/>
      <c r="L261" s="30"/>
      <c r="M261" s="29"/>
      <c r="N261" s="20" t="str">
        <f>IF(J261=1, DATA_Johnstone_2023_50!M261, "")</f>
        <v/>
      </c>
      <c r="O261" s="20" t="str">
        <f>IF($J261=1, DATA_Johnstone_2023_50!N261, "")</f>
        <v/>
      </c>
      <c r="P261" s="49"/>
      <c r="Q261" s="20" t="str">
        <f>IF($J261=1, DATA_Johnstone_2023_50!P261, "")</f>
        <v/>
      </c>
      <c r="R261" s="22"/>
      <c r="T261" s="22"/>
      <c r="W261" s="47"/>
      <c r="AI261">
        <v>258</v>
      </c>
      <c r="AJ261">
        <v>2</v>
      </c>
    </row>
    <row r="262" spans="1:36" x14ac:dyDescent="0.35">
      <c r="A262">
        <v>1294</v>
      </c>
      <c r="B262">
        <v>1295</v>
      </c>
      <c r="C262">
        <v>146.0477367</v>
      </c>
      <c r="D262">
        <v>-17.526213649999999</v>
      </c>
      <c r="G262" s="1" t="str">
        <f t="shared" si="8"/>
        <v/>
      </c>
      <c r="H262">
        <v>3</v>
      </c>
      <c r="I262" t="str">
        <f t="shared" si="9"/>
        <v>X</v>
      </c>
      <c r="J262" s="53" t="str">
        <f>IFERROR(VLOOKUP(B262, DATA_Johnstone_2024_ALL!B:J, 8, FALSE), "")</f>
        <v>X</v>
      </c>
      <c r="K262" s="29"/>
      <c r="L262" s="30"/>
      <c r="M262" s="29"/>
      <c r="N262" s="20" t="str">
        <f>IF(J262=1, DATA_Johnstone_2023_50!M262, "")</f>
        <v/>
      </c>
      <c r="O262" s="20" t="str">
        <f>IF($J262=1, DATA_Johnstone_2023_50!N262, "")</f>
        <v/>
      </c>
      <c r="P262" s="49"/>
      <c r="Q262" s="20" t="str">
        <f>IF($J262=1, DATA_Johnstone_2023_50!P262, "")</f>
        <v/>
      </c>
      <c r="R262" s="22"/>
      <c r="T262" s="22"/>
      <c r="W262" s="47"/>
      <c r="AI262">
        <v>259</v>
      </c>
      <c r="AJ262">
        <v>2</v>
      </c>
    </row>
    <row r="263" spans="1:36" x14ac:dyDescent="0.35">
      <c r="A263">
        <v>1299</v>
      </c>
      <c r="B263">
        <v>1300</v>
      </c>
      <c r="C263">
        <v>146.04796920000001</v>
      </c>
      <c r="D263">
        <v>-17.52580407</v>
      </c>
      <c r="G263" s="1" t="str">
        <f t="shared" si="8"/>
        <v/>
      </c>
      <c r="H263">
        <v>3</v>
      </c>
      <c r="I263" t="str">
        <f t="shared" si="9"/>
        <v>X</v>
      </c>
      <c r="J263" s="53" t="str">
        <f>IFERROR(VLOOKUP(B263, DATA_Johnstone_2024_ALL!B:J, 8, FALSE), "")</f>
        <v>X</v>
      </c>
      <c r="K263" s="29"/>
      <c r="L263" s="30"/>
      <c r="M263" s="29"/>
      <c r="N263" s="20" t="str">
        <f>IF(J263=1, DATA_Johnstone_2023_50!M263, "")</f>
        <v/>
      </c>
      <c r="O263" s="20" t="str">
        <f>IF($J263=1, DATA_Johnstone_2023_50!N263, "")</f>
        <v/>
      </c>
      <c r="P263" s="49"/>
      <c r="Q263" s="20" t="str">
        <f>IF($J263=1, DATA_Johnstone_2023_50!P263, "")</f>
        <v/>
      </c>
      <c r="R263" s="22"/>
      <c r="T263" s="22"/>
      <c r="W263" s="47"/>
      <c r="AI263">
        <v>260</v>
      </c>
      <c r="AJ263">
        <v>2</v>
      </c>
    </row>
    <row r="264" spans="1:36" x14ac:dyDescent="0.35">
      <c r="A264">
        <v>1304</v>
      </c>
      <c r="B264">
        <v>1305</v>
      </c>
      <c r="C264">
        <v>146.0478205</v>
      </c>
      <c r="D264">
        <v>-17.525535600000001</v>
      </c>
      <c r="G264" s="1" t="str">
        <f t="shared" si="8"/>
        <v/>
      </c>
      <c r="H264">
        <v>3</v>
      </c>
      <c r="I264" t="str">
        <f t="shared" si="9"/>
        <v>X</v>
      </c>
      <c r="J264" s="53" t="str">
        <f>IFERROR(VLOOKUP(B264, DATA_Johnstone_2024_ALL!B:J, 8, FALSE), "")</f>
        <v>X</v>
      </c>
      <c r="K264" s="29"/>
      <c r="L264" s="30"/>
      <c r="M264" s="29"/>
      <c r="N264" s="20" t="str">
        <f>IF(J264=1, DATA_Johnstone_2023_50!M264, "")</f>
        <v/>
      </c>
      <c r="O264" s="20" t="str">
        <f>IF($J264=1, DATA_Johnstone_2023_50!N264, "")</f>
        <v/>
      </c>
      <c r="P264" s="49"/>
      <c r="Q264" s="20" t="str">
        <f>IF($J264=1, DATA_Johnstone_2023_50!P264, "")</f>
        <v/>
      </c>
      <c r="R264" s="22"/>
      <c r="T264" s="22"/>
      <c r="W264" s="47"/>
      <c r="AI264">
        <v>261</v>
      </c>
      <c r="AJ264">
        <v>2</v>
      </c>
    </row>
    <row r="265" spans="1:36" x14ac:dyDescent="0.35">
      <c r="A265">
        <v>1309</v>
      </c>
      <c r="B265">
        <v>1310</v>
      </c>
      <c r="C265">
        <v>146.04742529999999</v>
      </c>
      <c r="D265">
        <v>-17.52549338</v>
      </c>
      <c r="G265" s="1" t="str">
        <f t="shared" si="8"/>
        <v/>
      </c>
      <c r="H265">
        <v>3</v>
      </c>
      <c r="I265" t="str">
        <f t="shared" si="9"/>
        <v>X</v>
      </c>
      <c r="J265" s="53" t="str">
        <f>IFERROR(VLOOKUP(B265, DATA_Johnstone_2024_ALL!B:J, 8, FALSE), "")</f>
        <v>X</v>
      </c>
      <c r="K265" s="29"/>
      <c r="L265" s="30"/>
      <c r="M265" s="29"/>
      <c r="N265" s="20" t="str">
        <f>IF(J265=1, DATA_Johnstone_2023_50!M265, "")</f>
        <v/>
      </c>
      <c r="O265" s="20" t="str">
        <f>IF($J265=1, DATA_Johnstone_2023_50!N265, "")</f>
        <v/>
      </c>
      <c r="P265" s="49"/>
      <c r="Q265" s="20" t="str">
        <f>IF($J265=1, DATA_Johnstone_2023_50!P265, "")</f>
        <v/>
      </c>
      <c r="R265" s="22"/>
      <c r="T265" s="22"/>
      <c r="W265" s="47"/>
      <c r="AI265">
        <v>262</v>
      </c>
      <c r="AJ265">
        <v>2</v>
      </c>
    </row>
    <row r="266" spans="1:36" x14ac:dyDescent="0.35">
      <c r="A266">
        <v>1314</v>
      </c>
      <c r="B266">
        <v>1315</v>
      </c>
      <c r="C266">
        <v>146.0469775</v>
      </c>
      <c r="D266">
        <v>-17.525348220000001</v>
      </c>
      <c r="G266" s="1" t="str">
        <f t="shared" si="8"/>
        <v/>
      </c>
      <c r="H266">
        <v>3</v>
      </c>
      <c r="I266" t="str">
        <f t="shared" si="9"/>
        <v>X</v>
      </c>
      <c r="J266" s="53" t="str">
        <f>IFERROR(VLOOKUP(B266, DATA_Johnstone_2024_ALL!B:J, 8, FALSE), "")</f>
        <v>X</v>
      </c>
      <c r="K266" s="29"/>
      <c r="L266" s="30"/>
      <c r="M266" s="29"/>
      <c r="N266" s="20" t="str">
        <f>IF(J266=1, DATA_Johnstone_2023_50!M266, "")</f>
        <v/>
      </c>
      <c r="O266" s="20" t="str">
        <f>IF($J266=1, DATA_Johnstone_2023_50!N266, "")</f>
        <v/>
      </c>
      <c r="P266" s="49"/>
      <c r="Q266" s="20" t="str">
        <f>IF($J266=1, DATA_Johnstone_2023_50!P266, "")</f>
        <v/>
      </c>
      <c r="R266" s="22"/>
      <c r="T266" s="22"/>
      <c r="W266" s="47"/>
      <c r="AI266">
        <v>263</v>
      </c>
      <c r="AJ266">
        <v>2</v>
      </c>
    </row>
    <row r="267" spans="1:36" x14ac:dyDescent="0.35">
      <c r="A267">
        <v>1319</v>
      </c>
      <c r="B267">
        <v>1320</v>
      </c>
      <c r="C267">
        <v>146.0465232</v>
      </c>
      <c r="D267">
        <v>-17.525374249999999</v>
      </c>
      <c r="G267" s="1" t="str">
        <f t="shared" si="8"/>
        <v/>
      </c>
      <c r="H267">
        <v>3</v>
      </c>
      <c r="I267" t="str">
        <f t="shared" si="9"/>
        <v>X</v>
      </c>
      <c r="J267" s="53" t="str">
        <f>IFERROR(VLOOKUP(B267, DATA_Johnstone_2024_ALL!B:J, 8, FALSE), "")</f>
        <v>X</v>
      </c>
      <c r="K267" s="29"/>
      <c r="L267" s="30"/>
      <c r="M267" s="29"/>
      <c r="N267" s="20" t="str">
        <f>IF(J267=1, DATA_Johnstone_2023_50!M267, "")</f>
        <v/>
      </c>
      <c r="O267" s="20" t="str">
        <f>IF($J267=1, DATA_Johnstone_2023_50!N267, "")</f>
        <v/>
      </c>
      <c r="P267" s="49"/>
      <c r="Q267" s="20" t="str">
        <f>IF($J267=1, DATA_Johnstone_2023_50!P267, "")</f>
        <v/>
      </c>
      <c r="R267" s="22"/>
      <c r="T267" s="22"/>
      <c r="W267" s="47"/>
      <c r="AI267">
        <v>264</v>
      </c>
      <c r="AJ267">
        <v>2</v>
      </c>
    </row>
    <row r="268" spans="1:36" x14ac:dyDescent="0.35">
      <c r="A268">
        <v>1324</v>
      </c>
      <c r="B268">
        <v>1325</v>
      </c>
      <c r="C268">
        <v>146.04608260000001</v>
      </c>
      <c r="D268">
        <v>-17.525541749999999</v>
      </c>
      <c r="G268" s="1" t="str">
        <f t="shared" si="8"/>
        <v/>
      </c>
      <c r="H268">
        <v>3</v>
      </c>
      <c r="I268" t="str">
        <f t="shared" si="9"/>
        <v>X</v>
      </c>
      <c r="J268" s="53" t="str">
        <f>IFERROR(VLOOKUP(B268, DATA_Johnstone_2024_ALL!B:J, 8, FALSE), "")</f>
        <v>X</v>
      </c>
      <c r="K268" s="29"/>
      <c r="L268" s="30"/>
      <c r="M268" s="29"/>
      <c r="N268" s="20" t="str">
        <f>IF(J268=1, DATA_Johnstone_2023_50!M268, "")</f>
        <v/>
      </c>
      <c r="O268" s="20" t="str">
        <f>IF($J268=1, DATA_Johnstone_2023_50!N268, "")</f>
        <v/>
      </c>
      <c r="P268" s="49"/>
      <c r="Q268" s="20" t="str">
        <f>IF($J268=1, DATA_Johnstone_2023_50!P268, "")</f>
        <v/>
      </c>
      <c r="R268" s="22"/>
      <c r="T268" s="22"/>
      <c r="W268" s="47"/>
      <c r="AI268">
        <v>265</v>
      </c>
      <c r="AJ268">
        <v>2</v>
      </c>
    </row>
    <row r="269" spans="1:36" x14ac:dyDescent="0.35">
      <c r="A269">
        <v>1329</v>
      </c>
      <c r="B269">
        <v>1330</v>
      </c>
      <c r="C269">
        <v>146.04565160000001</v>
      </c>
      <c r="D269">
        <v>-17.525727329999999</v>
      </c>
      <c r="G269" s="1" t="str">
        <f t="shared" si="8"/>
        <v/>
      </c>
      <c r="H269">
        <v>3</v>
      </c>
      <c r="I269" t="str">
        <f t="shared" si="9"/>
        <v>X</v>
      </c>
      <c r="J269" s="53" t="str">
        <f>IFERROR(VLOOKUP(B269, DATA_Johnstone_2024_ALL!B:J, 8, FALSE), "")</f>
        <v>X</v>
      </c>
      <c r="K269" s="29"/>
      <c r="L269" s="30"/>
      <c r="M269" s="29"/>
      <c r="N269" s="20" t="str">
        <f>IF(J269=1, DATA_Johnstone_2023_50!M269, "")</f>
        <v/>
      </c>
      <c r="O269" s="20" t="str">
        <f>IF($J269=1, DATA_Johnstone_2023_50!N269, "")</f>
        <v/>
      </c>
      <c r="P269" s="49"/>
      <c r="Q269" s="20" t="str">
        <f>IF($J269=1, DATA_Johnstone_2023_50!P269, "")</f>
        <v/>
      </c>
      <c r="R269" s="22"/>
      <c r="T269" s="22"/>
      <c r="W269" s="47"/>
      <c r="AI269">
        <v>266</v>
      </c>
      <c r="AJ269">
        <v>2</v>
      </c>
    </row>
    <row r="270" spans="1:36" x14ac:dyDescent="0.35">
      <c r="A270">
        <v>1334</v>
      </c>
      <c r="B270">
        <v>1335</v>
      </c>
      <c r="C270">
        <v>146.04527340000001</v>
      </c>
      <c r="D270">
        <v>-17.52600164</v>
      </c>
      <c r="G270" s="1" t="str">
        <f t="shared" si="8"/>
        <v/>
      </c>
      <c r="H270">
        <v>3</v>
      </c>
      <c r="I270" t="str">
        <f t="shared" si="9"/>
        <v>X</v>
      </c>
      <c r="J270" s="53" t="str">
        <f>IFERROR(VLOOKUP(B270, DATA_Johnstone_2024_ALL!B:J, 8, FALSE), "")</f>
        <v>X</v>
      </c>
      <c r="K270" s="29"/>
      <c r="L270" s="30"/>
      <c r="M270" s="29"/>
      <c r="N270" s="20" t="str">
        <f>IF(J270=1, DATA_Johnstone_2023_50!M270, "")</f>
        <v/>
      </c>
      <c r="O270" s="20" t="str">
        <f>IF($J270=1, DATA_Johnstone_2023_50!N270, "")</f>
        <v/>
      </c>
      <c r="P270" s="49"/>
      <c r="Q270" s="20" t="str">
        <f>IF($J270=1, DATA_Johnstone_2023_50!P270, "")</f>
        <v/>
      </c>
      <c r="R270" s="22"/>
      <c r="T270" s="22"/>
      <c r="W270" s="47"/>
      <c r="AI270">
        <v>267</v>
      </c>
      <c r="AJ270">
        <v>2</v>
      </c>
    </row>
    <row r="271" spans="1:36" x14ac:dyDescent="0.35">
      <c r="A271">
        <v>1339</v>
      </c>
      <c r="B271">
        <v>1340</v>
      </c>
      <c r="C271">
        <v>146.044849</v>
      </c>
      <c r="D271">
        <v>-17.526205019999999</v>
      </c>
      <c r="G271" s="1" t="str">
        <f t="shared" si="8"/>
        <v/>
      </c>
      <c r="H271">
        <v>3</v>
      </c>
      <c r="I271" t="str">
        <f t="shared" si="9"/>
        <v>X</v>
      </c>
      <c r="J271" s="53" t="str">
        <f>IFERROR(VLOOKUP(B271, DATA_Johnstone_2024_ALL!B:J, 8, FALSE), "")</f>
        <v>X</v>
      </c>
      <c r="K271" s="29"/>
      <c r="L271" s="30"/>
      <c r="M271" s="29"/>
      <c r="N271" s="20" t="str">
        <f>IF(J271=1, DATA_Johnstone_2023_50!M271, "")</f>
        <v/>
      </c>
      <c r="O271" s="20" t="str">
        <f>IF($J271=1, DATA_Johnstone_2023_50!N271, "")</f>
        <v/>
      </c>
      <c r="P271" s="49"/>
      <c r="Q271" s="20" t="str">
        <f>IF($J271=1, DATA_Johnstone_2023_50!P271, "")</f>
        <v/>
      </c>
      <c r="R271" s="22"/>
      <c r="T271" s="22"/>
      <c r="W271" s="47"/>
      <c r="AI271">
        <v>268</v>
      </c>
      <c r="AJ271">
        <v>2</v>
      </c>
    </row>
    <row r="272" spans="1:36" x14ac:dyDescent="0.35">
      <c r="A272">
        <v>1344</v>
      </c>
      <c r="B272">
        <v>1345</v>
      </c>
      <c r="C272">
        <v>146.04441919999999</v>
      </c>
      <c r="D272">
        <v>-17.526399090000002</v>
      </c>
      <c r="G272" s="1" t="str">
        <f t="shared" si="8"/>
        <v/>
      </c>
      <c r="H272">
        <v>3</v>
      </c>
      <c r="I272" t="str">
        <f t="shared" si="9"/>
        <v>X</v>
      </c>
      <c r="J272" s="53" t="str">
        <f>IFERROR(VLOOKUP(B272, DATA_Johnstone_2024_ALL!B:J, 8, FALSE), "")</f>
        <v>X</v>
      </c>
      <c r="K272" s="29"/>
      <c r="L272" s="30"/>
      <c r="M272" s="29"/>
      <c r="N272" s="20" t="str">
        <f>IF(J272=1, DATA_Johnstone_2023_50!M272, "")</f>
        <v/>
      </c>
      <c r="O272" s="20" t="str">
        <f>IF($J272=1, DATA_Johnstone_2023_50!N272, "")</f>
        <v/>
      </c>
      <c r="P272" s="49"/>
      <c r="Q272" s="20" t="str">
        <f>IF($J272=1, DATA_Johnstone_2023_50!P272, "")</f>
        <v/>
      </c>
      <c r="R272" s="22"/>
      <c r="T272" s="22"/>
      <c r="W272" s="47"/>
      <c r="AI272">
        <v>269</v>
      </c>
      <c r="AJ272">
        <v>2</v>
      </c>
    </row>
    <row r="273" spans="1:36" x14ac:dyDescent="0.35">
      <c r="A273">
        <v>1349</v>
      </c>
      <c r="B273">
        <v>1350</v>
      </c>
      <c r="C273">
        <v>146.04397739999999</v>
      </c>
      <c r="D273">
        <v>-17.526561439999998</v>
      </c>
      <c r="G273" s="1" t="str">
        <f t="shared" si="8"/>
        <v/>
      </c>
      <c r="H273">
        <v>3</v>
      </c>
      <c r="I273" t="str">
        <f t="shared" si="9"/>
        <v>X</v>
      </c>
      <c r="J273" s="53" t="str">
        <f>IFERROR(VLOOKUP(B273, DATA_Johnstone_2024_ALL!B:J, 8, FALSE), "")</f>
        <v>X</v>
      </c>
      <c r="K273" s="29"/>
      <c r="L273" s="30"/>
      <c r="M273" s="29"/>
      <c r="N273" s="20" t="str">
        <f>IF(J273=1, DATA_Johnstone_2023_50!M273, "")</f>
        <v/>
      </c>
      <c r="O273" s="20" t="str">
        <f>IF($J273=1, DATA_Johnstone_2023_50!N273, "")</f>
        <v/>
      </c>
      <c r="P273" s="49"/>
      <c r="Q273" s="20" t="str">
        <f>IF($J273=1, DATA_Johnstone_2023_50!P273, "")</f>
        <v/>
      </c>
      <c r="R273" s="22"/>
      <c r="T273" s="22"/>
      <c r="W273" s="47"/>
      <c r="AI273">
        <v>270</v>
      </c>
      <c r="AJ273">
        <v>2</v>
      </c>
    </row>
    <row r="274" spans="1:36" x14ac:dyDescent="0.35">
      <c r="A274">
        <v>1354</v>
      </c>
      <c r="B274">
        <v>1355</v>
      </c>
      <c r="C274">
        <v>146.04352929999999</v>
      </c>
      <c r="D274">
        <v>-17.526708429999999</v>
      </c>
      <c r="G274" s="1" t="str">
        <f t="shared" si="8"/>
        <v/>
      </c>
      <c r="H274">
        <v>3</v>
      </c>
      <c r="I274" t="str">
        <f t="shared" si="9"/>
        <v>X</v>
      </c>
      <c r="J274" s="53" t="str">
        <f>IFERROR(VLOOKUP(B274, DATA_Johnstone_2024_ALL!B:J, 8, FALSE), "")</f>
        <v>X</v>
      </c>
      <c r="K274" s="29"/>
      <c r="L274" s="30"/>
      <c r="M274" s="29"/>
      <c r="N274" s="20" t="str">
        <f>IF(J274=1, DATA_Johnstone_2023_50!M274, "")</f>
        <v/>
      </c>
      <c r="O274" s="20" t="str">
        <f>IF($J274=1, DATA_Johnstone_2023_50!N274, "")</f>
        <v/>
      </c>
      <c r="P274" s="49"/>
      <c r="Q274" s="20" t="str">
        <f>IF($J274=1, DATA_Johnstone_2023_50!P274, "")</f>
        <v/>
      </c>
      <c r="R274" s="22"/>
      <c r="T274" s="22"/>
      <c r="W274" s="47"/>
      <c r="AI274">
        <v>271</v>
      </c>
      <c r="AJ274">
        <v>2</v>
      </c>
    </row>
    <row r="275" spans="1:36" x14ac:dyDescent="0.35">
      <c r="A275">
        <v>1359</v>
      </c>
      <c r="B275">
        <v>1360</v>
      </c>
      <c r="C275">
        <v>146.04368059999999</v>
      </c>
      <c r="D275">
        <v>-17.527030180000001</v>
      </c>
      <c r="G275" s="1" t="str">
        <f t="shared" si="8"/>
        <v/>
      </c>
      <c r="H275">
        <v>3</v>
      </c>
      <c r="I275" t="str">
        <f t="shared" si="9"/>
        <v>X</v>
      </c>
      <c r="J275" s="53" t="str">
        <f>IFERROR(VLOOKUP(B275, DATA_Johnstone_2024_ALL!B:J, 8, FALSE), "")</f>
        <v>X</v>
      </c>
      <c r="K275" s="29"/>
      <c r="L275" s="30"/>
      <c r="M275" s="29"/>
      <c r="N275" s="20" t="str">
        <f>IF(J275=1, DATA_Johnstone_2023_50!M275, "")</f>
        <v/>
      </c>
      <c r="O275" s="20" t="str">
        <f>IF($J275=1, DATA_Johnstone_2023_50!N275, "")</f>
        <v/>
      </c>
      <c r="P275" s="49"/>
      <c r="Q275" s="20" t="str">
        <f>IF($J275=1, DATA_Johnstone_2023_50!P275, "")</f>
        <v/>
      </c>
      <c r="R275" s="22"/>
      <c r="T275" s="22"/>
      <c r="W275" s="47"/>
      <c r="AI275">
        <v>272</v>
      </c>
      <c r="AJ275">
        <v>2</v>
      </c>
    </row>
    <row r="276" spans="1:36" x14ac:dyDescent="0.35">
      <c r="A276">
        <v>1364</v>
      </c>
      <c r="B276">
        <v>1365</v>
      </c>
      <c r="C276">
        <v>146.044026</v>
      </c>
      <c r="D276">
        <v>-17.527343380000001</v>
      </c>
      <c r="G276" s="1" t="str">
        <f t="shared" si="8"/>
        <v/>
      </c>
      <c r="H276">
        <v>3</v>
      </c>
      <c r="I276" t="str">
        <f t="shared" si="9"/>
        <v>X</v>
      </c>
      <c r="J276" s="53" t="str">
        <f>IFERROR(VLOOKUP(B276, DATA_Johnstone_2024_ALL!B:J, 8, FALSE), "")</f>
        <v>X</v>
      </c>
      <c r="K276" s="29"/>
      <c r="L276" s="30"/>
      <c r="M276" s="29"/>
      <c r="N276" s="20" t="str">
        <f>IF(J276=1, DATA_Johnstone_2023_50!M276, "")</f>
        <v/>
      </c>
      <c r="O276" s="20" t="str">
        <f>IF($J276=1, DATA_Johnstone_2023_50!N276, "")</f>
        <v/>
      </c>
      <c r="P276" s="49"/>
      <c r="Q276" s="20" t="str">
        <f>IF($J276=1, DATA_Johnstone_2023_50!P276, "")</f>
        <v/>
      </c>
      <c r="R276" s="22"/>
      <c r="T276" s="22"/>
      <c r="W276" s="47"/>
      <c r="AI276">
        <v>273</v>
      </c>
      <c r="AJ276">
        <v>2</v>
      </c>
    </row>
    <row r="277" spans="1:36" x14ac:dyDescent="0.35">
      <c r="A277">
        <v>1369</v>
      </c>
      <c r="B277">
        <v>1370</v>
      </c>
      <c r="C277">
        <v>146.0444411</v>
      </c>
      <c r="D277">
        <v>-17.527538320000001</v>
      </c>
      <c r="G277" s="1" t="str">
        <f t="shared" si="8"/>
        <v/>
      </c>
      <c r="H277">
        <v>3</v>
      </c>
      <c r="I277" t="str">
        <f t="shared" si="9"/>
        <v>X</v>
      </c>
      <c r="J277" s="53" t="str">
        <f>IFERROR(VLOOKUP(B277, DATA_Johnstone_2024_ALL!B:J, 8, FALSE), "")</f>
        <v>X</v>
      </c>
      <c r="K277" s="29"/>
      <c r="L277" s="30"/>
      <c r="M277" s="29"/>
      <c r="N277" s="20" t="str">
        <f>IF(J277=1, DATA_Johnstone_2023_50!M277, "")</f>
        <v/>
      </c>
      <c r="O277" s="20" t="str">
        <f>IF($J277=1, DATA_Johnstone_2023_50!N277, "")</f>
        <v/>
      </c>
      <c r="P277" s="49"/>
      <c r="Q277" s="20" t="str">
        <f>IF($J277=1, DATA_Johnstone_2023_50!P277, "")</f>
        <v/>
      </c>
      <c r="R277" s="22"/>
      <c r="T277" s="22"/>
      <c r="W277" s="47"/>
      <c r="AI277">
        <v>274</v>
      </c>
      <c r="AJ277">
        <v>2</v>
      </c>
    </row>
    <row r="278" spans="1:36" x14ac:dyDescent="0.35">
      <c r="A278">
        <v>1374</v>
      </c>
      <c r="B278">
        <v>1375</v>
      </c>
      <c r="C278">
        <v>146.04486320000001</v>
      </c>
      <c r="D278">
        <v>-17.52771568</v>
      </c>
      <c r="G278" s="1" t="str">
        <f t="shared" si="8"/>
        <v/>
      </c>
      <c r="H278">
        <v>3</v>
      </c>
      <c r="I278" t="str">
        <f t="shared" si="9"/>
        <v>X</v>
      </c>
      <c r="J278" s="53" t="str">
        <f>IFERROR(VLOOKUP(B278, DATA_Johnstone_2024_ALL!B:J, 8, FALSE), "")</f>
        <v>X</v>
      </c>
      <c r="K278" s="29"/>
      <c r="L278" s="30"/>
      <c r="M278" s="29"/>
      <c r="N278" s="20" t="str">
        <f>IF(J278=1, DATA_Johnstone_2023_50!M278, "")</f>
        <v/>
      </c>
      <c r="O278" s="20" t="str">
        <f>IF($J278=1, DATA_Johnstone_2023_50!N278, "")</f>
        <v/>
      </c>
      <c r="P278" s="49"/>
      <c r="Q278" s="20" t="str">
        <f>IF($J278=1, DATA_Johnstone_2023_50!P278, "")</f>
        <v/>
      </c>
      <c r="R278" s="22"/>
      <c r="T278" s="22"/>
      <c r="W278" s="47"/>
      <c r="AI278">
        <v>275</v>
      </c>
      <c r="AJ278">
        <v>2</v>
      </c>
    </row>
    <row r="279" spans="1:36" x14ac:dyDescent="0.35">
      <c r="A279">
        <v>1379</v>
      </c>
      <c r="B279">
        <v>1380</v>
      </c>
      <c r="C279">
        <v>146.045332</v>
      </c>
      <c r="D279">
        <v>-17.527756910000001</v>
      </c>
      <c r="G279" s="1" t="str">
        <f t="shared" si="8"/>
        <v/>
      </c>
      <c r="H279">
        <v>3</v>
      </c>
      <c r="I279" t="str">
        <f t="shared" si="9"/>
        <v>X</v>
      </c>
      <c r="J279" s="53" t="str">
        <f>IFERROR(VLOOKUP(B279, DATA_Johnstone_2024_ALL!B:J, 8, FALSE), "")</f>
        <v>X</v>
      </c>
      <c r="K279" s="29"/>
      <c r="L279" s="30"/>
      <c r="M279" s="29"/>
      <c r="N279" s="20" t="str">
        <f>IF(J279=1, DATA_Johnstone_2023_50!M279, "")</f>
        <v/>
      </c>
      <c r="O279" s="20" t="str">
        <f>IF($J279=1, DATA_Johnstone_2023_50!N279, "")</f>
        <v/>
      </c>
      <c r="P279" s="49"/>
      <c r="Q279" s="20" t="str">
        <f>IF($J279=1, DATA_Johnstone_2023_50!P279, "")</f>
        <v/>
      </c>
      <c r="R279" s="22"/>
      <c r="T279" s="22"/>
      <c r="W279" s="47"/>
      <c r="AI279">
        <v>276</v>
      </c>
      <c r="AJ279">
        <v>2</v>
      </c>
    </row>
    <row r="280" spans="1:36" x14ac:dyDescent="0.35">
      <c r="A280">
        <v>1384</v>
      </c>
      <c r="B280">
        <v>1385</v>
      </c>
      <c r="C280">
        <v>146.04580240000001</v>
      </c>
      <c r="D280">
        <v>-17.527726269999999</v>
      </c>
      <c r="G280" s="1" t="str">
        <f t="shared" si="8"/>
        <v/>
      </c>
      <c r="H280">
        <v>3</v>
      </c>
      <c r="I280" t="str">
        <f t="shared" si="9"/>
        <v>X</v>
      </c>
      <c r="J280" s="53" t="str">
        <f>IFERROR(VLOOKUP(B280, DATA_Johnstone_2024_ALL!B:J, 8, FALSE), "")</f>
        <v>X</v>
      </c>
      <c r="K280" s="29"/>
      <c r="L280" s="30"/>
      <c r="M280" s="29"/>
      <c r="N280" s="20" t="str">
        <f>IF(J280=1, DATA_Johnstone_2023_50!M280, "")</f>
        <v/>
      </c>
      <c r="O280" s="20" t="str">
        <f>IF($J280=1, DATA_Johnstone_2023_50!N280, "")</f>
        <v/>
      </c>
      <c r="P280" s="49"/>
      <c r="Q280" s="20" t="str">
        <f>IF($J280=1, DATA_Johnstone_2023_50!P280, "")</f>
        <v/>
      </c>
      <c r="R280" s="22"/>
      <c r="T280" s="22"/>
      <c r="W280" s="47"/>
      <c r="AI280">
        <v>277</v>
      </c>
      <c r="AJ280">
        <v>2</v>
      </c>
    </row>
    <row r="281" spans="1:36" x14ac:dyDescent="0.35">
      <c r="A281">
        <v>1389</v>
      </c>
      <c r="B281">
        <v>1390</v>
      </c>
      <c r="C281">
        <v>146.04626329999999</v>
      </c>
      <c r="D281">
        <v>-17.527628010000001</v>
      </c>
      <c r="G281" s="1" t="str">
        <f t="shared" si="8"/>
        <v/>
      </c>
      <c r="H281">
        <v>3</v>
      </c>
      <c r="I281" t="str">
        <f t="shared" si="9"/>
        <v>X</v>
      </c>
      <c r="J281" s="53" t="str">
        <f>IFERROR(VLOOKUP(B281, DATA_Johnstone_2024_ALL!B:J, 8, FALSE), "")</f>
        <v>X</v>
      </c>
      <c r="K281" s="29"/>
      <c r="L281" s="30"/>
      <c r="M281" s="29"/>
      <c r="N281" s="20" t="str">
        <f>IF(J281=1, DATA_Johnstone_2023_50!M281, "")</f>
        <v/>
      </c>
      <c r="O281" s="20" t="str">
        <f>IF($J281=1, DATA_Johnstone_2023_50!N281, "")</f>
        <v/>
      </c>
      <c r="P281" s="49"/>
      <c r="Q281" s="20" t="str">
        <f>IF($J281=1, DATA_Johnstone_2023_50!P281, "")</f>
        <v/>
      </c>
      <c r="R281" s="22"/>
      <c r="T281" s="22"/>
      <c r="W281" s="47"/>
      <c r="AI281">
        <v>278</v>
      </c>
      <c r="AJ281">
        <v>2</v>
      </c>
    </row>
    <row r="282" spans="1:36" x14ac:dyDescent="0.35">
      <c r="A282">
        <v>1394</v>
      </c>
      <c r="B282">
        <v>1395</v>
      </c>
      <c r="C282">
        <v>146.04716880000001</v>
      </c>
      <c r="D282">
        <v>-17.528338860000002</v>
      </c>
      <c r="F282" t="s">
        <v>7048</v>
      </c>
      <c r="G282" s="1" t="str">
        <f t="shared" si="8"/>
        <v>1395_20240610_0003_L_0713.jpg</v>
      </c>
      <c r="H282">
        <v>3</v>
      </c>
      <c r="I282" t="str">
        <f t="shared" si="9"/>
        <v/>
      </c>
      <c r="J282" s="53">
        <f>IFERROR(VLOOKUP(B282, DATA_Johnstone_2024_ALL!B:J, 8, FALSE), "")</f>
        <v>0</v>
      </c>
      <c r="K282" s="29"/>
      <c r="L282" s="30"/>
      <c r="M282" s="29"/>
      <c r="N282" s="20" t="str">
        <f>IF(J282=1, DATA_Johnstone_2023_50!M282, "")</f>
        <v/>
      </c>
      <c r="O282" s="20" t="str">
        <f>IF($J282=1, DATA_Johnstone_2023_50!N282, "")</f>
        <v/>
      </c>
      <c r="P282" s="49"/>
      <c r="Q282" s="20" t="str">
        <f>IF($J282=1, DATA_Johnstone_2023_50!P282, "")</f>
        <v/>
      </c>
      <c r="R282" s="22"/>
      <c r="T282" s="22"/>
      <c r="W282" s="47"/>
      <c r="AI282">
        <v>279</v>
      </c>
      <c r="AJ282">
        <v>2</v>
      </c>
    </row>
    <row r="283" spans="1:36" x14ac:dyDescent="0.35">
      <c r="A283">
        <v>1399</v>
      </c>
      <c r="B283">
        <v>1400</v>
      </c>
      <c r="C283">
        <v>146.046761</v>
      </c>
      <c r="D283">
        <v>-17.52857556</v>
      </c>
      <c r="F283" t="s">
        <v>7049</v>
      </c>
      <c r="G283" s="1" t="str">
        <f t="shared" si="8"/>
        <v>1400_20240610_0003_L_0738.jpg</v>
      </c>
      <c r="H283">
        <v>3</v>
      </c>
      <c r="I283" t="str">
        <f t="shared" si="9"/>
        <v/>
      </c>
      <c r="J283" s="53">
        <f>IFERROR(VLOOKUP(B283, DATA_Johnstone_2024_ALL!B:J, 8, FALSE), "")</f>
        <v>0</v>
      </c>
      <c r="K283" s="29"/>
      <c r="L283" s="30"/>
      <c r="M283" s="29"/>
      <c r="N283" s="20" t="str">
        <f>IF(J283=1, DATA_Johnstone_2023_50!M283, "")</f>
        <v/>
      </c>
      <c r="O283" s="20" t="str">
        <f>IF($J283=1, DATA_Johnstone_2023_50!N283, "")</f>
        <v/>
      </c>
      <c r="P283" s="49"/>
      <c r="Q283" s="20" t="str">
        <f>IF($J283=1, DATA_Johnstone_2023_50!P283, "")</f>
        <v/>
      </c>
      <c r="R283" s="22"/>
      <c r="T283" s="22"/>
      <c r="W283" s="47"/>
      <c r="AI283">
        <v>280</v>
      </c>
      <c r="AJ283">
        <v>2</v>
      </c>
    </row>
    <row r="284" spans="1:36" x14ac:dyDescent="0.35">
      <c r="A284">
        <v>1404</v>
      </c>
      <c r="B284">
        <v>1405</v>
      </c>
      <c r="C284">
        <v>146.04635540000001</v>
      </c>
      <c r="D284">
        <v>-17.528816110000001</v>
      </c>
      <c r="F284" t="s">
        <v>7050</v>
      </c>
      <c r="G284" s="1" t="str">
        <f t="shared" si="8"/>
        <v>1405_20240610_0003_L_0756.jpg</v>
      </c>
      <c r="H284">
        <v>3</v>
      </c>
      <c r="I284" t="str">
        <f t="shared" si="9"/>
        <v/>
      </c>
      <c r="J284" s="53">
        <f>IFERROR(VLOOKUP(B284, DATA_Johnstone_2024_ALL!B:J, 8, FALSE), "")</f>
        <v>1</v>
      </c>
      <c r="K284" s="29"/>
      <c r="L284" s="30"/>
      <c r="M284" s="29"/>
      <c r="N284" s="20">
        <v>1</v>
      </c>
      <c r="O284" s="20">
        <v>1</v>
      </c>
      <c r="P284" s="49"/>
      <c r="Q284" s="20">
        <v>4</v>
      </c>
      <c r="R284" s="22"/>
      <c r="T284" s="22"/>
      <c r="W284" s="47"/>
      <c r="AI284">
        <v>281</v>
      </c>
      <c r="AJ284">
        <v>2</v>
      </c>
    </row>
    <row r="285" spans="1:36" x14ac:dyDescent="0.35">
      <c r="A285">
        <v>1409</v>
      </c>
      <c r="B285">
        <v>1410</v>
      </c>
      <c r="C285">
        <v>146.04590529999999</v>
      </c>
      <c r="D285">
        <v>-17.528905760000001</v>
      </c>
      <c r="F285" t="s">
        <v>7051</v>
      </c>
      <c r="G285" s="1" t="str">
        <f t="shared" si="8"/>
        <v>1410_20240610_0003_L_0783.jpg</v>
      </c>
      <c r="H285">
        <v>3</v>
      </c>
      <c r="I285" t="str">
        <f t="shared" si="9"/>
        <v/>
      </c>
      <c r="J285" s="53">
        <f>IFERROR(VLOOKUP(B285, DATA_Johnstone_2024_ALL!B:J, 8, FALSE), "")</f>
        <v>1</v>
      </c>
      <c r="K285" s="29"/>
      <c r="L285" s="30"/>
      <c r="M285" s="29"/>
      <c r="N285" s="20">
        <f>IF(J285=1, DATA_Johnstone_2023_50!M285, "")</f>
        <v>3</v>
      </c>
      <c r="O285" s="20">
        <v>4</v>
      </c>
      <c r="P285" s="49"/>
      <c r="Q285" s="20">
        <v>3</v>
      </c>
      <c r="R285" s="22"/>
      <c r="T285" s="22"/>
      <c r="W285" s="47"/>
      <c r="AI285" s="75">
        <v>282</v>
      </c>
      <c r="AJ285" s="75">
        <v>100</v>
      </c>
    </row>
    <row r="286" spans="1:36" x14ac:dyDescent="0.35">
      <c r="A286">
        <v>1414</v>
      </c>
      <c r="B286">
        <v>1415</v>
      </c>
      <c r="C286">
        <v>146.0454354</v>
      </c>
      <c r="D286">
        <v>-17.52890069</v>
      </c>
      <c r="F286" t="s">
        <v>7052</v>
      </c>
      <c r="G286" s="1" t="str">
        <f t="shared" si="8"/>
        <v>1415_20240610_0003_L_0803.jpg</v>
      </c>
      <c r="H286">
        <v>3</v>
      </c>
      <c r="I286" t="str">
        <f t="shared" si="9"/>
        <v/>
      </c>
      <c r="J286" s="53">
        <f>IFERROR(VLOOKUP(B286, DATA_Johnstone_2024_ALL!B:J, 8, FALSE), "")</f>
        <v>1</v>
      </c>
      <c r="K286" s="29"/>
      <c r="L286" s="30"/>
      <c r="M286" s="29"/>
      <c r="N286" s="20">
        <f>IF(J286=1, DATA_Johnstone_2023_50!M286, "")</f>
        <v>3</v>
      </c>
      <c r="O286" s="20">
        <f>IF($J286=1, DATA_Johnstone_2023_50!N286, "")</f>
        <v>2</v>
      </c>
      <c r="P286" s="49"/>
      <c r="Q286" s="20">
        <v>4</v>
      </c>
      <c r="R286" s="22"/>
      <c r="T286" s="22"/>
      <c r="W286" s="47"/>
      <c r="AI286" s="75">
        <v>283</v>
      </c>
      <c r="AJ286" s="75">
        <v>100</v>
      </c>
    </row>
    <row r="287" spans="1:36" x14ac:dyDescent="0.35">
      <c r="A287">
        <v>1419</v>
      </c>
      <c r="B287">
        <v>1420</v>
      </c>
      <c r="C287">
        <v>146.0449715</v>
      </c>
      <c r="D287">
        <v>-17.528818860000001</v>
      </c>
      <c r="F287" t="s">
        <v>7053</v>
      </c>
      <c r="G287" s="1" t="str">
        <f t="shared" si="8"/>
        <v>1420_20240610_0003_L_0826.jpg</v>
      </c>
      <c r="H287">
        <v>3</v>
      </c>
      <c r="I287" t="str">
        <f t="shared" si="9"/>
        <v/>
      </c>
      <c r="J287" s="53">
        <f>IFERROR(VLOOKUP(B287, DATA_Johnstone_2024_ALL!B:J, 8, FALSE), "")</f>
        <v>1</v>
      </c>
      <c r="K287" s="29"/>
      <c r="L287" s="30"/>
      <c r="M287" s="29"/>
      <c r="N287" s="20">
        <v>3</v>
      </c>
      <c r="O287" s="20">
        <v>2</v>
      </c>
      <c r="P287" s="49"/>
      <c r="Q287" s="20">
        <v>4</v>
      </c>
      <c r="R287" s="22"/>
      <c r="T287" s="22"/>
      <c r="W287" s="47"/>
      <c r="AI287" s="75">
        <v>284</v>
      </c>
      <c r="AJ287" s="75">
        <v>100</v>
      </c>
    </row>
    <row r="288" spans="1:36" x14ac:dyDescent="0.35">
      <c r="A288">
        <v>1424</v>
      </c>
      <c r="B288">
        <v>1425</v>
      </c>
      <c r="C288">
        <v>146.04450550000001</v>
      </c>
      <c r="D288">
        <v>-17.528790539999999</v>
      </c>
      <c r="F288" t="s">
        <v>7054</v>
      </c>
      <c r="G288" s="1" t="str">
        <f t="shared" si="8"/>
        <v>1425_20240610_0003_L_0851.jpg</v>
      </c>
      <c r="H288">
        <v>3</v>
      </c>
      <c r="I288" t="str">
        <f t="shared" si="9"/>
        <v/>
      </c>
      <c r="J288" s="53">
        <f>IFERROR(VLOOKUP(B288, DATA_Johnstone_2024_ALL!B:J, 8, FALSE), "")</f>
        <v>1</v>
      </c>
      <c r="K288" s="29"/>
      <c r="L288" s="30"/>
      <c r="M288" s="29"/>
      <c r="N288" s="20">
        <v>3</v>
      </c>
      <c r="O288" s="20">
        <v>3</v>
      </c>
      <c r="P288" s="49"/>
      <c r="Q288" s="20">
        <v>4</v>
      </c>
      <c r="R288" s="22"/>
      <c r="T288" s="22"/>
      <c r="W288" s="47"/>
      <c r="AI288" s="75">
        <v>285</v>
      </c>
      <c r="AJ288" s="75">
        <v>100</v>
      </c>
    </row>
    <row r="289" spans="1:36" x14ac:dyDescent="0.35">
      <c r="A289">
        <v>1429</v>
      </c>
      <c r="B289">
        <v>1430</v>
      </c>
      <c r="C289">
        <v>146.0440677</v>
      </c>
      <c r="D289">
        <v>-17.528638829999998</v>
      </c>
      <c r="F289" t="s">
        <v>7055</v>
      </c>
      <c r="G289" s="1" t="str">
        <f t="shared" si="8"/>
        <v>1430_20240610_0003_L_0878.jpg</v>
      </c>
      <c r="H289">
        <v>3</v>
      </c>
      <c r="I289" t="str">
        <f t="shared" si="9"/>
        <v/>
      </c>
      <c r="J289" s="53">
        <f>IFERROR(VLOOKUP(B289, DATA_Johnstone_2024_ALL!B:J, 8, FALSE), "")</f>
        <v>0</v>
      </c>
      <c r="K289" s="29"/>
      <c r="L289" s="30"/>
      <c r="M289" s="29"/>
      <c r="N289" s="20" t="str">
        <f>IF(J289=1, DATA_Johnstone_2023_50!M289, "")</f>
        <v/>
      </c>
      <c r="O289" s="20" t="str">
        <f>IF($J289=1, DATA_Johnstone_2023_50!N289, "")</f>
        <v/>
      </c>
      <c r="P289" s="49"/>
      <c r="Q289" s="20" t="str">
        <f>IF($J289=1, DATA_Johnstone_2023_50!P289, "")</f>
        <v/>
      </c>
      <c r="R289" s="22"/>
      <c r="T289" s="22"/>
      <c r="W289" s="47"/>
      <c r="AI289" s="75">
        <v>286</v>
      </c>
      <c r="AJ289" s="75">
        <v>100</v>
      </c>
    </row>
    <row r="290" spans="1:36" x14ac:dyDescent="0.35">
      <c r="A290">
        <v>1434</v>
      </c>
      <c r="B290">
        <v>1435</v>
      </c>
      <c r="C290">
        <v>146.04363050000001</v>
      </c>
      <c r="D290">
        <v>-17.528465749999999</v>
      </c>
      <c r="F290" t="s">
        <v>7056</v>
      </c>
      <c r="G290" s="1" t="str">
        <f t="shared" si="8"/>
        <v>1435_20240610_0003_L_0902.jpg</v>
      </c>
      <c r="H290">
        <v>3</v>
      </c>
      <c r="I290" t="str">
        <f t="shared" si="9"/>
        <v/>
      </c>
      <c r="J290" s="53">
        <f>IFERROR(VLOOKUP(B290, DATA_Johnstone_2024_ALL!B:J, 8, FALSE), "")</f>
        <v>1</v>
      </c>
      <c r="K290" s="29"/>
      <c r="L290" s="30"/>
      <c r="M290" s="29"/>
      <c r="N290" s="20">
        <v>1</v>
      </c>
      <c r="O290" s="20">
        <v>1</v>
      </c>
      <c r="P290" s="49"/>
      <c r="Q290" s="20">
        <v>4</v>
      </c>
      <c r="R290" s="22"/>
      <c r="T290" s="22"/>
      <c r="W290" s="47"/>
      <c r="AI290" s="75">
        <v>287</v>
      </c>
      <c r="AJ290" s="75">
        <v>100</v>
      </c>
    </row>
    <row r="291" spans="1:36" x14ac:dyDescent="0.35">
      <c r="A291">
        <v>1439</v>
      </c>
      <c r="B291">
        <v>1440</v>
      </c>
      <c r="C291">
        <v>146.04318359999999</v>
      </c>
      <c r="D291">
        <v>-17.528318120000002</v>
      </c>
      <c r="F291" t="s">
        <v>7057</v>
      </c>
      <c r="G291" s="1" t="str">
        <f t="shared" si="8"/>
        <v>1440_20240610_0003_L_0936.jpg</v>
      </c>
      <c r="H291">
        <v>3</v>
      </c>
      <c r="I291" t="str">
        <f t="shared" si="9"/>
        <v/>
      </c>
      <c r="J291" s="53">
        <f>IFERROR(VLOOKUP(B291, DATA_Johnstone_2024_ALL!B:J, 8, FALSE), "")</f>
        <v>0</v>
      </c>
      <c r="K291" s="29"/>
      <c r="L291" s="30"/>
      <c r="M291" s="29"/>
      <c r="N291" s="20" t="str">
        <f>IF(J291=1, DATA_Johnstone_2023_50!M291, "")</f>
        <v/>
      </c>
      <c r="O291" s="20" t="str">
        <f>IF($J291=1, DATA_Johnstone_2023_50!N291, "")</f>
        <v/>
      </c>
      <c r="P291" s="49"/>
      <c r="Q291" s="20" t="str">
        <f>IF($J291=1, DATA_Johnstone_2023_50!P291, "")</f>
        <v/>
      </c>
      <c r="R291" s="22"/>
      <c r="T291" s="22"/>
      <c r="W291" s="47"/>
      <c r="AI291" s="75">
        <v>288</v>
      </c>
      <c r="AJ291" s="75">
        <v>100</v>
      </c>
    </row>
    <row r="292" spans="1:36" x14ac:dyDescent="0.35">
      <c r="A292">
        <v>1444</v>
      </c>
      <c r="B292">
        <v>1445</v>
      </c>
      <c r="C292">
        <v>146.04274469999999</v>
      </c>
      <c r="D292">
        <v>-17.52814583</v>
      </c>
      <c r="F292" t="s">
        <v>7058</v>
      </c>
      <c r="G292" s="1" t="str">
        <f t="shared" si="8"/>
        <v>1445_20240610_0003_L_0966.jpg</v>
      </c>
      <c r="H292">
        <v>3</v>
      </c>
      <c r="I292" t="str">
        <f t="shared" si="9"/>
        <v/>
      </c>
      <c r="J292" s="53">
        <f>IFERROR(VLOOKUP(B292, DATA_Johnstone_2024_ALL!B:J, 8, FALSE), "")</f>
        <v>1</v>
      </c>
      <c r="K292" s="29"/>
      <c r="L292" s="30"/>
      <c r="M292" s="29"/>
      <c r="N292" s="20">
        <v>2</v>
      </c>
      <c r="O292" s="20">
        <v>3</v>
      </c>
      <c r="P292" s="49"/>
      <c r="Q292" s="20">
        <v>4</v>
      </c>
      <c r="R292" s="22"/>
      <c r="T292" s="22"/>
      <c r="W292" s="47"/>
      <c r="AI292" s="75">
        <v>289</v>
      </c>
      <c r="AJ292" s="75">
        <v>100</v>
      </c>
    </row>
    <row r="293" spans="1:36" x14ac:dyDescent="0.35">
      <c r="A293">
        <v>1449</v>
      </c>
      <c r="B293">
        <v>1450</v>
      </c>
      <c r="C293">
        <v>146.0422911</v>
      </c>
      <c r="D293">
        <v>-17.528040279999999</v>
      </c>
      <c r="F293" t="s">
        <v>7059</v>
      </c>
      <c r="G293" s="1" t="str">
        <f t="shared" si="8"/>
        <v>1450_20240610_0003_L_0987.jpg</v>
      </c>
      <c r="H293">
        <v>3</v>
      </c>
      <c r="I293" t="str">
        <f t="shared" si="9"/>
        <v/>
      </c>
      <c r="J293" s="53">
        <f>IFERROR(VLOOKUP(B293, DATA_Johnstone_2024_ALL!B:J, 8, FALSE), "")</f>
        <v>1</v>
      </c>
      <c r="K293" s="29"/>
      <c r="L293" s="30"/>
      <c r="M293" s="29"/>
      <c r="N293" s="20">
        <v>1</v>
      </c>
      <c r="O293" s="20">
        <v>1</v>
      </c>
      <c r="P293" s="49"/>
      <c r="Q293" s="20">
        <v>4</v>
      </c>
      <c r="R293" s="22"/>
      <c r="T293" s="22"/>
      <c r="W293" s="47"/>
      <c r="AI293" s="75">
        <v>290</v>
      </c>
      <c r="AJ293" s="75">
        <v>100</v>
      </c>
    </row>
    <row r="294" spans="1:36" x14ac:dyDescent="0.35">
      <c r="A294">
        <v>1454</v>
      </c>
      <c r="B294">
        <v>1455</v>
      </c>
      <c r="C294">
        <v>146.0418631</v>
      </c>
      <c r="D294">
        <v>-17.527842440000001</v>
      </c>
      <c r="F294" t="s">
        <v>7060</v>
      </c>
      <c r="G294" s="1" t="str">
        <f t="shared" si="8"/>
        <v>1455_20240610_0003_L_1010.jpg</v>
      </c>
      <c r="H294">
        <v>3</v>
      </c>
      <c r="I294" t="str">
        <f t="shared" si="9"/>
        <v/>
      </c>
      <c r="J294" s="53">
        <f>IFERROR(VLOOKUP(B294, DATA_Johnstone_2024_ALL!B:J, 8, FALSE), "")</f>
        <v>0</v>
      </c>
      <c r="K294" s="29"/>
      <c r="L294" s="30"/>
      <c r="M294" s="29"/>
      <c r="N294" s="20" t="str">
        <f>IF(J294=1, DATA_Johnstone_2023_50!M294, "")</f>
        <v/>
      </c>
      <c r="O294" s="20" t="str">
        <f>IF($J294=1, DATA_Johnstone_2023_50!N294, "")</f>
        <v/>
      </c>
      <c r="P294" s="49"/>
      <c r="Q294" s="20" t="str">
        <f>IF($J294=1, DATA_Johnstone_2023_50!P294, "")</f>
        <v/>
      </c>
      <c r="R294" s="22"/>
      <c r="T294" s="22"/>
      <c r="W294" s="47"/>
      <c r="AI294" s="75">
        <v>291</v>
      </c>
      <c r="AJ294" s="75">
        <v>100</v>
      </c>
    </row>
    <row r="295" spans="1:36" x14ac:dyDescent="0.35">
      <c r="A295">
        <v>1459</v>
      </c>
      <c r="B295">
        <v>1460</v>
      </c>
      <c r="C295">
        <v>146.04143529999999</v>
      </c>
      <c r="D295">
        <v>-17.527648450000001</v>
      </c>
      <c r="F295" t="s">
        <v>7061</v>
      </c>
      <c r="G295" s="1" t="str">
        <f t="shared" si="8"/>
        <v>1460_20240610_0003_L_1035.jpg</v>
      </c>
      <c r="H295">
        <v>3</v>
      </c>
      <c r="I295" t="str">
        <f t="shared" si="9"/>
        <v/>
      </c>
      <c r="J295" s="53">
        <f>IFERROR(VLOOKUP(B295, DATA_Johnstone_2024_ALL!B:J, 8, FALSE), "")</f>
        <v>1</v>
      </c>
      <c r="K295" s="29"/>
      <c r="L295" s="30"/>
      <c r="M295" s="29"/>
      <c r="N295" s="20">
        <v>2</v>
      </c>
      <c r="O295" s="20">
        <v>4</v>
      </c>
      <c r="P295" s="49"/>
      <c r="Q295" s="20">
        <f>IF($J295=1, DATA_Johnstone_2023_50!P295, "")</f>
        <v>4</v>
      </c>
      <c r="R295" s="22"/>
      <c r="T295" s="22"/>
      <c r="W295" s="47"/>
      <c r="AI295" s="75">
        <v>292</v>
      </c>
      <c r="AJ295" s="75">
        <v>100</v>
      </c>
    </row>
    <row r="296" spans="1:36" x14ac:dyDescent="0.35">
      <c r="A296">
        <v>1464</v>
      </c>
      <c r="B296">
        <v>1465</v>
      </c>
      <c r="C296">
        <v>146.04097580000001</v>
      </c>
      <c r="D296">
        <v>-17.527542709999999</v>
      </c>
      <c r="F296" t="s">
        <v>7062</v>
      </c>
      <c r="G296" s="1" t="str">
        <f t="shared" si="8"/>
        <v>1465_20240610_0003_L_1061.jpg</v>
      </c>
      <c r="H296">
        <v>3</v>
      </c>
      <c r="I296" t="str">
        <f t="shared" si="9"/>
        <v/>
      </c>
      <c r="J296" s="53">
        <f>IFERROR(VLOOKUP(B296, DATA_Johnstone_2024_ALL!B:J, 8, FALSE), "")</f>
        <v>0</v>
      </c>
      <c r="K296" s="29"/>
      <c r="L296" s="30"/>
      <c r="M296" s="29"/>
      <c r="N296" s="20" t="str">
        <f>IF(J296=1, DATA_Johnstone_2023_50!M296, "")</f>
        <v/>
      </c>
      <c r="O296" s="20" t="str">
        <f>IF($J296=1, DATA_Johnstone_2023_50!N296, "")</f>
        <v/>
      </c>
      <c r="P296" s="49"/>
      <c r="Q296" s="20" t="str">
        <f>IF($J296=1, DATA_Johnstone_2023_50!P296, "")</f>
        <v/>
      </c>
      <c r="R296" s="22"/>
      <c r="T296" s="22"/>
      <c r="W296" s="47"/>
      <c r="AI296" s="75">
        <v>293</v>
      </c>
      <c r="AJ296" s="75">
        <v>100</v>
      </c>
    </row>
    <row r="297" spans="1:36" x14ac:dyDescent="0.35">
      <c r="A297">
        <v>1469</v>
      </c>
      <c r="B297">
        <v>1470</v>
      </c>
      <c r="C297">
        <v>146.0405221</v>
      </c>
      <c r="D297">
        <v>-17.527414570000001</v>
      </c>
      <c r="F297" t="s">
        <v>7063</v>
      </c>
      <c r="G297" s="1" t="str">
        <f t="shared" si="8"/>
        <v>1470_20240610_0003_L_1087.jpg</v>
      </c>
      <c r="H297">
        <v>3</v>
      </c>
      <c r="I297" t="str">
        <f t="shared" si="9"/>
        <v/>
      </c>
      <c r="J297" s="53">
        <f>IFERROR(VLOOKUP(B297, DATA_Johnstone_2024_ALL!B:J, 8, FALSE), "")</f>
        <v>1</v>
      </c>
      <c r="K297" s="29"/>
      <c r="L297" s="30"/>
      <c r="M297" s="29"/>
      <c r="N297" s="20">
        <v>4</v>
      </c>
      <c r="O297" s="20">
        <v>3</v>
      </c>
      <c r="P297" s="49"/>
      <c r="Q297" s="20">
        <v>3</v>
      </c>
      <c r="R297" s="22"/>
      <c r="T297" s="22"/>
      <c r="W297" s="47"/>
      <c r="AI297" s="75">
        <v>294</v>
      </c>
      <c r="AJ297" s="75">
        <v>100</v>
      </c>
    </row>
    <row r="298" spans="1:36" x14ac:dyDescent="0.35">
      <c r="A298">
        <v>1474</v>
      </c>
      <c r="B298">
        <v>1475</v>
      </c>
      <c r="C298">
        <v>146.0400765</v>
      </c>
      <c r="D298">
        <v>-17.527261119999999</v>
      </c>
      <c r="F298" t="s">
        <v>7064</v>
      </c>
      <c r="G298" s="1" t="str">
        <f t="shared" si="8"/>
        <v>1475_20240610_0003_L_1117.jpg</v>
      </c>
      <c r="H298">
        <v>3</v>
      </c>
      <c r="I298" t="str">
        <f t="shared" si="9"/>
        <v/>
      </c>
      <c r="J298" s="53">
        <f>IFERROR(VLOOKUP(B298, DATA_Johnstone_2024_ALL!B:J, 8, FALSE), "")</f>
        <v>1</v>
      </c>
      <c r="K298" s="29"/>
      <c r="L298" s="30"/>
      <c r="M298" s="29"/>
      <c r="N298" s="20">
        <f>IF(J298=1, DATA_Johnstone_2023_50!M298, "")</f>
        <v>3</v>
      </c>
      <c r="O298" s="20">
        <v>4</v>
      </c>
      <c r="P298" s="49"/>
      <c r="Q298" s="20">
        <v>4</v>
      </c>
      <c r="R298" s="22"/>
      <c r="T298" s="22"/>
      <c r="W298" s="47"/>
      <c r="AI298" s="75">
        <v>295</v>
      </c>
      <c r="AJ298" s="75">
        <v>100</v>
      </c>
    </row>
    <row r="299" spans="1:36" x14ac:dyDescent="0.35">
      <c r="A299">
        <v>1479</v>
      </c>
      <c r="B299">
        <v>1480</v>
      </c>
      <c r="C299">
        <v>146.03965940000001</v>
      </c>
      <c r="D299">
        <v>-17.52704387</v>
      </c>
      <c r="F299" t="s">
        <v>7065</v>
      </c>
      <c r="G299" s="1" t="str">
        <f t="shared" si="8"/>
        <v>1480_20240610_0003_L_1144.jpg</v>
      </c>
      <c r="H299">
        <v>3</v>
      </c>
      <c r="I299" t="str">
        <f t="shared" si="9"/>
        <v/>
      </c>
      <c r="J299" s="53">
        <f>IFERROR(VLOOKUP(B299, DATA_Johnstone_2024_ALL!B:J, 8, FALSE), "")</f>
        <v>1</v>
      </c>
      <c r="K299" s="29"/>
      <c r="L299" s="30"/>
      <c r="M299" s="29"/>
      <c r="N299" s="20">
        <f>IF(J299=1, DATA_Johnstone_2023_50!M299, "")</f>
        <v>3</v>
      </c>
      <c r="O299" s="20">
        <f>IF($J299=1, DATA_Johnstone_2023_50!N299, "")</f>
        <v>3</v>
      </c>
      <c r="P299" s="49"/>
      <c r="Q299" s="20">
        <f>IF($J299=1, DATA_Johnstone_2023_50!P299, "")</f>
        <v>4</v>
      </c>
      <c r="R299" s="22"/>
      <c r="T299" s="22"/>
      <c r="W299" s="47"/>
      <c r="AI299" s="75">
        <v>296</v>
      </c>
      <c r="AJ299" s="75">
        <v>100</v>
      </c>
    </row>
    <row r="300" spans="1:36" x14ac:dyDescent="0.35">
      <c r="A300">
        <v>1484</v>
      </c>
      <c r="B300">
        <v>1485</v>
      </c>
      <c r="C300">
        <v>146.03925050000001</v>
      </c>
      <c r="D300">
        <v>-17.526809149999998</v>
      </c>
      <c r="F300" t="s">
        <v>7066</v>
      </c>
      <c r="G300" s="1" t="str">
        <f t="shared" si="8"/>
        <v>1485_20240610_0003_L_1172.jpg</v>
      </c>
      <c r="H300">
        <v>3</v>
      </c>
      <c r="I300" t="str">
        <f t="shared" si="9"/>
        <v/>
      </c>
      <c r="J300" s="53">
        <f>IFERROR(VLOOKUP(B300, DATA_Johnstone_2024_ALL!B:J, 8, FALSE), "")</f>
        <v>1</v>
      </c>
      <c r="K300" s="29"/>
      <c r="L300" s="30"/>
      <c r="M300" s="29"/>
      <c r="N300" s="20">
        <f>IF(J300=1, DATA_Johnstone_2023_50!M300, "")</f>
        <v>4</v>
      </c>
      <c r="O300" s="20">
        <f>IF($J300=1, DATA_Johnstone_2023_50!N300, "")</f>
        <v>4</v>
      </c>
      <c r="P300" s="49"/>
      <c r="Q300" s="20">
        <v>2</v>
      </c>
      <c r="R300" s="22"/>
      <c r="T300" s="22"/>
      <c r="W300" s="47"/>
      <c r="AI300" s="75">
        <v>297</v>
      </c>
      <c r="AJ300" s="75">
        <v>100</v>
      </c>
    </row>
    <row r="301" spans="1:36" x14ac:dyDescent="0.35">
      <c r="A301">
        <v>1489</v>
      </c>
      <c r="B301">
        <v>1490</v>
      </c>
      <c r="C301">
        <v>146.0388265</v>
      </c>
      <c r="D301">
        <v>-17.526602870000001</v>
      </c>
      <c r="F301" t="s">
        <v>7067</v>
      </c>
      <c r="G301" s="1" t="str">
        <f t="shared" si="8"/>
        <v>1490_20240610_0003_L_1200.jpg</v>
      </c>
      <c r="H301">
        <v>3</v>
      </c>
      <c r="I301" t="str">
        <f t="shared" si="9"/>
        <v/>
      </c>
      <c r="J301" s="53">
        <f>IFERROR(VLOOKUP(B301, DATA_Johnstone_2024_ALL!B:J, 8, FALSE), "")</f>
        <v>1</v>
      </c>
      <c r="K301" s="29"/>
      <c r="L301" s="30"/>
      <c r="M301" s="29"/>
      <c r="N301" s="20">
        <f>IF(J301=1, DATA_Johnstone_2023_50!M301, "")</f>
        <v>4</v>
      </c>
      <c r="O301" s="20">
        <v>4</v>
      </c>
      <c r="P301" s="49"/>
      <c r="Q301" s="20">
        <v>4</v>
      </c>
      <c r="R301" s="22"/>
      <c r="T301" s="22"/>
      <c r="W301" s="47"/>
      <c r="AI301" s="75">
        <v>298</v>
      </c>
      <c r="AJ301" s="75">
        <v>100</v>
      </c>
    </row>
    <row r="302" spans="1:36" x14ac:dyDescent="0.35">
      <c r="A302">
        <v>1494</v>
      </c>
      <c r="B302">
        <v>1495</v>
      </c>
      <c r="C302">
        <v>146.03840310000001</v>
      </c>
      <c r="D302">
        <v>-17.526395359999999</v>
      </c>
      <c r="F302" t="s">
        <v>7068</v>
      </c>
      <c r="G302" s="1" t="str">
        <f t="shared" si="8"/>
        <v>1495_20240610_0003_L_1228.jpg</v>
      </c>
      <c r="H302">
        <v>3</v>
      </c>
      <c r="I302" t="str">
        <f t="shared" si="9"/>
        <v/>
      </c>
      <c r="J302" s="53">
        <f>IFERROR(VLOOKUP(B302, DATA_Johnstone_2024_ALL!B:J, 8, FALSE), "")</f>
        <v>1</v>
      </c>
      <c r="K302" s="29"/>
      <c r="L302" s="30"/>
      <c r="M302" s="29"/>
      <c r="N302" s="20">
        <f>IF(J302=1, DATA_Johnstone_2023_50!M302, "")</f>
        <v>4</v>
      </c>
      <c r="O302" s="20">
        <v>3</v>
      </c>
      <c r="P302" s="49"/>
      <c r="Q302" s="20">
        <f>IF($J302=1, DATA_Johnstone_2023_50!P302, "")</f>
        <v>4</v>
      </c>
      <c r="R302" s="22"/>
      <c r="T302" s="22"/>
      <c r="W302" s="47"/>
      <c r="AI302" s="75">
        <v>299</v>
      </c>
      <c r="AJ302" s="75">
        <v>100</v>
      </c>
    </row>
    <row r="303" spans="1:36" x14ac:dyDescent="0.35">
      <c r="A303">
        <v>1499</v>
      </c>
      <c r="B303">
        <v>1500</v>
      </c>
      <c r="C303">
        <v>146.0379729</v>
      </c>
      <c r="D303">
        <v>-17.52620332</v>
      </c>
      <c r="F303" t="s">
        <v>7069</v>
      </c>
      <c r="G303" s="1" t="str">
        <f t="shared" si="8"/>
        <v>1500_20240610_0003_L_1251.jpg</v>
      </c>
      <c r="H303">
        <v>3</v>
      </c>
      <c r="I303" t="str">
        <f t="shared" si="9"/>
        <v/>
      </c>
      <c r="J303" s="53">
        <f>IFERROR(VLOOKUP(B303, DATA_Johnstone_2024_ALL!B:J, 8, FALSE), "")</f>
        <v>1</v>
      </c>
      <c r="K303" s="29"/>
      <c r="L303" s="30"/>
      <c r="M303" s="29"/>
      <c r="N303" s="20">
        <f>IF(J303=1, DATA_Johnstone_2023_50!M303, "")</f>
        <v>4</v>
      </c>
      <c r="O303" s="20">
        <f>IF($J303=1, DATA_Johnstone_2023_50!N303, "")</f>
        <v>4</v>
      </c>
      <c r="P303" s="49"/>
      <c r="Q303" s="20">
        <v>4</v>
      </c>
      <c r="R303" s="22"/>
      <c r="T303" s="22"/>
      <c r="W303" s="47"/>
      <c r="AI303" s="75">
        <v>300</v>
      </c>
      <c r="AJ303" s="75">
        <v>100</v>
      </c>
    </row>
    <row r="304" spans="1:36" x14ac:dyDescent="0.35">
      <c r="A304">
        <v>1504</v>
      </c>
      <c r="B304">
        <v>1505</v>
      </c>
      <c r="C304">
        <v>146.03753380000001</v>
      </c>
      <c r="D304">
        <v>-17.52603246</v>
      </c>
      <c r="F304" t="s">
        <v>7070</v>
      </c>
      <c r="G304" s="1" t="str">
        <f t="shared" si="8"/>
        <v>1505_20240610_0003_L_1272.jpg</v>
      </c>
      <c r="H304">
        <v>3</v>
      </c>
      <c r="I304" t="str">
        <f t="shared" si="9"/>
        <v/>
      </c>
      <c r="J304" s="53">
        <f>IFERROR(VLOOKUP(B304, DATA_Johnstone_2024_ALL!B:J, 8, FALSE), "")</f>
        <v>1</v>
      </c>
      <c r="K304" s="29"/>
      <c r="L304" s="30"/>
      <c r="M304" s="29"/>
      <c r="N304" s="20">
        <f>IF(J304=1, DATA_Johnstone_2023_50!M304, "")</f>
        <v>4</v>
      </c>
      <c r="O304" s="20">
        <f>IF($J304=1, DATA_Johnstone_2023_50!N304, "")</f>
        <v>4</v>
      </c>
      <c r="P304" s="49"/>
      <c r="Q304" s="20">
        <v>3</v>
      </c>
      <c r="R304" s="22"/>
      <c r="T304" s="22"/>
      <c r="W304" s="47"/>
      <c r="AI304" s="75">
        <v>301</v>
      </c>
      <c r="AJ304" s="75">
        <v>100</v>
      </c>
    </row>
    <row r="305" spans="1:36" x14ac:dyDescent="0.35">
      <c r="A305">
        <v>1509</v>
      </c>
      <c r="B305">
        <v>1510</v>
      </c>
      <c r="C305">
        <v>146.03709330000001</v>
      </c>
      <c r="D305">
        <v>-17.525864840000001</v>
      </c>
      <c r="F305" t="s">
        <v>7071</v>
      </c>
      <c r="G305" s="1" t="str">
        <f t="shared" si="8"/>
        <v>1510_20240610_0003_L_1295.jpg</v>
      </c>
      <c r="H305">
        <v>3</v>
      </c>
      <c r="I305" t="str">
        <f t="shared" si="9"/>
        <v/>
      </c>
      <c r="J305" s="53">
        <f>IFERROR(VLOOKUP(B305, DATA_Johnstone_2024_ALL!B:J, 8, FALSE), "")</f>
        <v>1</v>
      </c>
      <c r="K305" s="29"/>
      <c r="L305" s="30"/>
      <c r="M305" s="29"/>
      <c r="N305" s="20">
        <f>IF(J305=1, DATA_Johnstone_2023_50!M305, "")</f>
        <v>3</v>
      </c>
      <c r="O305" s="20">
        <v>3</v>
      </c>
      <c r="P305" s="49"/>
      <c r="Q305" s="20">
        <v>4</v>
      </c>
      <c r="R305" s="22"/>
      <c r="T305" s="22"/>
      <c r="W305" s="47"/>
      <c r="AI305" s="75">
        <v>302</v>
      </c>
      <c r="AJ305" s="75">
        <v>100</v>
      </c>
    </row>
    <row r="306" spans="1:36" x14ac:dyDescent="0.35">
      <c r="A306">
        <v>1514</v>
      </c>
      <c r="B306">
        <v>1515</v>
      </c>
      <c r="C306">
        <v>146.0366612</v>
      </c>
      <c r="D306">
        <v>-17.525676239999999</v>
      </c>
      <c r="F306" t="s">
        <v>7072</v>
      </c>
      <c r="G306" s="1" t="str">
        <f t="shared" si="8"/>
        <v>1515_20240610_0003_L_1315.jpg</v>
      </c>
      <c r="H306">
        <v>3</v>
      </c>
      <c r="I306" t="str">
        <f t="shared" si="9"/>
        <v/>
      </c>
      <c r="J306" s="53">
        <f>IFERROR(VLOOKUP(B306, DATA_Johnstone_2024_ALL!B:J, 8, FALSE), "")</f>
        <v>1</v>
      </c>
      <c r="K306" s="29"/>
      <c r="L306" s="30"/>
      <c r="M306" s="29"/>
      <c r="N306" s="20">
        <v>3</v>
      </c>
      <c r="O306" s="20">
        <f>IF($J306=1, DATA_Johnstone_2023_50!N306, "")</f>
        <v>4</v>
      </c>
      <c r="P306" s="49"/>
      <c r="Q306" s="20">
        <v>3</v>
      </c>
      <c r="R306" s="22"/>
      <c r="T306" s="22"/>
      <c r="W306" s="47"/>
      <c r="AI306" s="75">
        <v>303</v>
      </c>
      <c r="AJ306" s="75">
        <v>100</v>
      </c>
    </row>
    <row r="307" spans="1:36" x14ac:dyDescent="0.35">
      <c r="A307">
        <v>1519</v>
      </c>
      <c r="B307">
        <v>1520</v>
      </c>
      <c r="C307">
        <v>146.03623830000001</v>
      </c>
      <c r="D307">
        <v>-17.525468369999999</v>
      </c>
      <c r="F307" t="s">
        <v>7073</v>
      </c>
      <c r="G307" s="1" t="str">
        <f t="shared" si="8"/>
        <v>1520_20240610_0003_L_1337.jpg</v>
      </c>
      <c r="H307">
        <v>3</v>
      </c>
      <c r="I307" t="str">
        <f t="shared" si="9"/>
        <v/>
      </c>
      <c r="J307" s="53">
        <f>IFERROR(VLOOKUP(B307, DATA_Johnstone_2024_ALL!B:J, 8, FALSE), "")</f>
        <v>1</v>
      </c>
      <c r="K307" s="29"/>
      <c r="L307" s="30"/>
      <c r="M307" s="29"/>
      <c r="N307" s="20">
        <f>IF(J307=1, DATA_Johnstone_2023_50!M307, "")</f>
        <v>4</v>
      </c>
      <c r="O307" s="20">
        <f>IF($J307=1, DATA_Johnstone_2023_50!N307, "")</f>
        <v>4</v>
      </c>
      <c r="P307" s="49"/>
      <c r="Q307" s="20">
        <v>4</v>
      </c>
      <c r="R307" s="22"/>
      <c r="T307" s="22"/>
      <c r="W307" s="47"/>
      <c r="AI307" s="75">
        <v>304</v>
      </c>
      <c r="AJ307" s="75">
        <v>100</v>
      </c>
    </row>
    <row r="308" spans="1:36" x14ac:dyDescent="0.35">
      <c r="A308">
        <v>1524</v>
      </c>
      <c r="B308">
        <v>1525</v>
      </c>
      <c r="C308">
        <v>146.03582</v>
      </c>
      <c r="D308">
        <v>-17.525251069999999</v>
      </c>
      <c r="F308" t="s">
        <v>7074</v>
      </c>
      <c r="G308" s="1" t="str">
        <f t="shared" si="8"/>
        <v>1525_20240610_0003_L_1357.jpg</v>
      </c>
      <c r="H308">
        <v>3</v>
      </c>
      <c r="I308" t="str">
        <f t="shared" si="9"/>
        <v/>
      </c>
      <c r="J308" s="53">
        <f>IFERROR(VLOOKUP(B308, DATA_Johnstone_2024_ALL!B:J, 8, FALSE), "")</f>
        <v>1</v>
      </c>
      <c r="K308" s="29"/>
      <c r="L308" s="30"/>
      <c r="M308" s="29"/>
      <c r="N308" s="20">
        <f>IF(J308=1, DATA_Johnstone_2023_50!M308, "")</f>
        <v>4</v>
      </c>
      <c r="O308" s="20">
        <f>IF($J308=1, DATA_Johnstone_2023_50!N308, "")</f>
        <v>4</v>
      </c>
      <c r="P308" s="49"/>
      <c r="Q308" s="20">
        <f>IF($J308=1, DATA_Johnstone_2023_50!P308, "")</f>
        <v>4</v>
      </c>
      <c r="R308" s="22"/>
      <c r="T308" s="22"/>
      <c r="W308" s="47"/>
      <c r="AI308" s="75">
        <v>305</v>
      </c>
      <c r="AJ308" s="75">
        <v>100</v>
      </c>
    </row>
    <row r="309" spans="1:36" x14ac:dyDescent="0.35">
      <c r="A309">
        <v>1529</v>
      </c>
      <c r="B309">
        <v>1530</v>
      </c>
      <c r="C309">
        <v>146.03539129999999</v>
      </c>
      <c r="D309">
        <v>-17.525054730000001</v>
      </c>
      <c r="F309" t="s">
        <v>7075</v>
      </c>
      <c r="G309" s="1" t="str">
        <f t="shared" si="8"/>
        <v>1530_20240610_0003_L_1379.jpg</v>
      </c>
      <c r="H309">
        <v>3</v>
      </c>
      <c r="I309" t="str">
        <f t="shared" si="9"/>
        <v/>
      </c>
      <c r="J309" s="53">
        <f>IFERROR(VLOOKUP(B309, DATA_Johnstone_2024_ALL!B:J, 8, FALSE), "")</f>
        <v>1</v>
      </c>
      <c r="K309" s="29"/>
      <c r="L309" s="30"/>
      <c r="M309" s="29"/>
      <c r="N309" s="20">
        <v>3</v>
      </c>
      <c r="O309" s="20">
        <f>IF($J309=1, DATA_Johnstone_2023_50!N309, "")</f>
        <v>4</v>
      </c>
      <c r="P309" s="49"/>
      <c r="Q309" s="20">
        <f>IF($J309=1, DATA_Johnstone_2023_50!P309, "")</f>
        <v>4</v>
      </c>
      <c r="R309" s="22"/>
      <c r="T309" s="22"/>
      <c r="W309" s="47"/>
      <c r="AI309" s="75">
        <v>306</v>
      </c>
      <c r="AJ309" s="75">
        <v>100</v>
      </c>
    </row>
    <row r="310" spans="1:36" x14ac:dyDescent="0.35">
      <c r="A310">
        <v>1534</v>
      </c>
      <c r="B310">
        <v>1535</v>
      </c>
      <c r="C310">
        <v>146.03495509999999</v>
      </c>
      <c r="D310">
        <v>-17.524875890000001</v>
      </c>
      <c r="F310" t="s">
        <v>7076</v>
      </c>
      <c r="G310" s="1" t="str">
        <f t="shared" si="8"/>
        <v>1535_20240610_0003_L_1400.jpg</v>
      </c>
      <c r="H310">
        <v>3</v>
      </c>
      <c r="I310" t="str">
        <f t="shared" si="9"/>
        <v/>
      </c>
      <c r="J310" s="53">
        <f>IFERROR(VLOOKUP(B310, DATA_Johnstone_2024_ALL!B:J, 8, FALSE), "")</f>
        <v>1</v>
      </c>
      <c r="K310" s="29"/>
      <c r="L310" s="30"/>
      <c r="M310" s="29"/>
      <c r="N310" s="20">
        <f>IF(J310=1, DATA_Johnstone_2023_50!M310, "")</f>
        <v>4</v>
      </c>
      <c r="O310" s="20">
        <f>IF($J310=1, DATA_Johnstone_2023_50!N310, "")</f>
        <v>4</v>
      </c>
      <c r="P310" s="49"/>
      <c r="Q310" s="20">
        <f>IF($J310=1, DATA_Johnstone_2023_50!P310, "")</f>
        <v>4</v>
      </c>
      <c r="R310" s="22"/>
      <c r="T310" s="22"/>
      <c r="W310" s="47"/>
      <c r="AI310" s="75">
        <v>307</v>
      </c>
      <c r="AJ310" s="75">
        <v>100</v>
      </c>
    </row>
    <row r="311" spans="1:36" x14ac:dyDescent="0.35">
      <c r="A311">
        <v>1539</v>
      </c>
      <c r="B311">
        <v>1540</v>
      </c>
      <c r="C311">
        <v>146.0344983</v>
      </c>
      <c r="D311">
        <v>-17.524760690000001</v>
      </c>
      <c r="F311" t="s">
        <v>7077</v>
      </c>
      <c r="G311" s="1" t="str">
        <f t="shared" si="8"/>
        <v>1540_20240610_0003_L_1423.jpg</v>
      </c>
      <c r="H311">
        <v>4</v>
      </c>
      <c r="I311" t="str">
        <f t="shared" si="9"/>
        <v/>
      </c>
      <c r="J311" s="53">
        <f>IFERROR(VLOOKUP(B311, DATA_Johnstone_2024_ALL!B:J, 8, FALSE), "")</f>
        <v>1</v>
      </c>
      <c r="K311" s="29"/>
      <c r="L311" s="30"/>
      <c r="M311" s="29"/>
      <c r="N311" s="20">
        <v>3</v>
      </c>
      <c r="O311" s="20">
        <f>IF($J311=1, DATA_Johnstone_2023_50!N311, "")</f>
        <v>4</v>
      </c>
      <c r="P311" s="49"/>
      <c r="Q311" s="20">
        <v>4</v>
      </c>
      <c r="R311" s="22"/>
      <c r="T311" s="22"/>
      <c r="W311" s="47"/>
      <c r="AI311" s="75">
        <v>308</v>
      </c>
      <c r="AJ311" s="75">
        <v>100</v>
      </c>
    </row>
    <row r="312" spans="1:36" x14ac:dyDescent="0.35">
      <c r="A312">
        <v>1544</v>
      </c>
      <c r="B312">
        <v>1545</v>
      </c>
      <c r="C312">
        <v>146.03403710000001</v>
      </c>
      <c r="D312">
        <v>-17.52478485</v>
      </c>
      <c r="F312" t="s">
        <v>7078</v>
      </c>
      <c r="G312" s="1" t="str">
        <f t="shared" si="8"/>
        <v>1545_20240610_0003_L_1445.jpg</v>
      </c>
      <c r="H312">
        <v>4</v>
      </c>
      <c r="I312" t="str">
        <f t="shared" si="9"/>
        <v/>
      </c>
      <c r="J312" s="53">
        <f>IFERROR(VLOOKUP(B312, DATA_Johnstone_2024_ALL!B:J, 8, FALSE), "")</f>
        <v>1</v>
      </c>
      <c r="K312" s="29"/>
      <c r="L312" s="30"/>
      <c r="M312" s="29"/>
      <c r="N312" s="20">
        <v>3</v>
      </c>
      <c r="O312" s="20">
        <v>4</v>
      </c>
      <c r="P312" s="49"/>
      <c r="Q312" s="20">
        <v>4</v>
      </c>
      <c r="R312" s="22"/>
      <c r="T312" s="22"/>
      <c r="W312" s="47"/>
      <c r="AI312" s="75">
        <v>309</v>
      </c>
      <c r="AJ312" s="75">
        <v>100</v>
      </c>
    </row>
    <row r="313" spans="1:36" hidden="1" x14ac:dyDescent="0.35">
      <c r="A313">
        <v>1549</v>
      </c>
      <c r="B313">
        <v>1550</v>
      </c>
      <c r="C313">
        <v>146.03364619999999</v>
      </c>
      <c r="D313">
        <v>-17.525043029999999</v>
      </c>
      <c r="F313" t="s">
        <v>7079</v>
      </c>
      <c r="G313" s="1" t="str">
        <f t="shared" si="8"/>
        <v>1550_20240610_0003_L_1457.jpg</v>
      </c>
      <c r="H313">
        <v>101</v>
      </c>
      <c r="I313" t="str">
        <f t="shared" si="9"/>
        <v/>
      </c>
      <c r="J313" s="53">
        <f>IFERROR(VLOOKUP(B313, DATA_Johnstone_2024_ALL!B:J, 8, FALSE), "")</f>
        <v>1</v>
      </c>
      <c r="K313" s="29"/>
      <c r="L313" s="30"/>
      <c r="M313" s="29"/>
      <c r="N313" s="20">
        <f>IF(J313=1, DATA_Johnstone_2023_50!M313, "")</f>
        <v>0</v>
      </c>
      <c r="O313" s="20">
        <f>IF($J313=1, DATA_Johnstone_2023_50!N313, "")</f>
        <v>0</v>
      </c>
      <c r="P313" s="49"/>
      <c r="Q313" s="20">
        <f>IF($J313=1, DATA_Johnstone_2023_50!P313, "")</f>
        <v>0</v>
      </c>
      <c r="R313" s="22"/>
      <c r="T313" s="22"/>
      <c r="W313" s="47"/>
      <c r="AI313" s="75">
        <v>310</v>
      </c>
      <c r="AJ313" s="75">
        <v>100</v>
      </c>
    </row>
    <row r="314" spans="1:36" hidden="1" x14ac:dyDescent="0.35">
      <c r="A314">
        <v>1554</v>
      </c>
      <c r="B314">
        <v>1555</v>
      </c>
      <c r="C314">
        <v>146.03329120000001</v>
      </c>
      <c r="D314">
        <v>-17.52535336</v>
      </c>
      <c r="F314" t="s">
        <v>7080</v>
      </c>
      <c r="G314" s="1" t="str">
        <f t="shared" si="8"/>
        <v>1555_20240610_0003_L_1467.jpg</v>
      </c>
      <c r="H314">
        <v>101</v>
      </c>
      <c r="I314" t="str">
        <f t="shared" si="9"/>
        <v/>
      </c>
      <c r="J314" s="53" t="str">
        <f>IFERROR(VLOOKUP(B314, DATA_Johnstone_2024_ALL!B:J, 8, FALSE), "")</f>
        <v>X</v>
      </c>
      <c r="K314" s="29"/>
      <c r="L314" s="30"/>
      <c r="M314" s="29"/>
      <c r="N314" s="20" t="str">
        <f>IF(J314=1, DATA_Johnstone_2023_50!M314, "")</f>
        <v/>
      </c>
      <c r="O314" s="20" t="str">
        <f>IF($J314=1, DATA_Johnstone_2023_50!N314, "")</f>
        <v/>
      </c>
      <c r="P314" s="49"/>
      <c r="Q314" s="20" t="str">
        <f>IF($J314=1, DATA_Johnstone_2023_50!P314, "")</f>
        <v/>
      </c>
      <c r="R314" s="22"/>
      <c r="T314" s="22"/>
      <c r="W314" s="47"/>
      <c r="AI314" s="75">
        <v>311</v>
      </c>
      <c r="AJ314" s="75">
        <v>100</v>
      </c>
    </row>
    <row r="315" spans="1:36" hidden="1" x14ac:dyDescent="0.35">
      <c r="A315">
        <v>1559</v>
      </c>
      <c r="B315">
        <v>1560</v>
      </c>
      <c r="C315">
        <v>146.03291490000001</v>
      </c>
      <c r="D315">
        <v>-17.525635260000001</v>
      </c>
      <c r="G315" s="1" t="str">
        <f t="shared" si="8"/>
        <v/>
      </c>
      <c r="H315">
        <v>101</v>
      </c>
      <c r="I315" t="str">
        <f t="shared" si="9"/>
        <v>X</v>
      </c>
      <c r="J315" s="53" t="str">
        <f>IFERROR(VLOOKUP(B315, DATA_Johnstone_2024_ALL!B:J, 8, FALSE), "")</f>
        <v>X</v>
      </c>
      <c r="K315" s="29"/>
      <c r="L315" s="30"/>
      <c r="M315" s="29"/>
      <c r="N315" s="20" t="str">
        <f>IF(J315=1, DATA_Johnstone_2023_50!M315, "")</f>
        <v/>
      </c>
      <c r="O315" s="20" t="str">
        <f>IF($J315=1, DATA_Johnstone_2023_50!N315, "")</f>
        <v/>
      </c>
      <c r="P315" s="49"/>
      <c r="Q315" s="20" t="str">
        <f>IF($J315=1, DATA_Johnstone_2023_50!P315, "")</f>
        <v/>
      </c>
      <c r="R315" s="22"/>
      <c r="T315" s="22"/>
      <c r="W315" s="47"/>
      <c r="AI315" s="75">
        <v>312</v>
      </c>
      <c r="AJ315" s="75">
        <v>100</v>
      </c>
    </row>
    <row r="316" spans="1:36" hidden="1" x14ac:dyDescent="0.35">
      <c r="A316">
        <v>1564</v>
      </c>
      <c r="B316">
        <v>1565</v>
      </c>
      <c r="C316">
        <v>146.03255519999999</v>
      </c>
      <c r="D316">
        <v>-17.525938400000001</v>
      </c>
      <c r="G316" s="1" t="str">
        <f t="shared" si="8"/>
        <v/>
      </c>
      <c r="H316">
        <v>101</v>
      </c>
      <c r="I316" t="str">
        <f t="shared" si="9"/>
        <v>X</v>
      </c>
      <c r="J316" s="53" t="str">
        <f>IFERROR(VLOOKUP(B316, DATA_Johnstone_2024_ALL!B:J, 8, FALSE), "")</f>
        <v>X</v>
      </c>
      <c r="K316" s="29"/>
      <c r="L316" s="30"/>
      <c r="M316" s="29"/>
      <c r="N316" s="20" t="str">
        <f>IF(J316=1, DATA_Johnstone_2023_50!M316, "")</f>
        <v/>
      </c>
      <c r="O316" s="20" t="str">
        <f>IF($J316=1, DATA_Johnstone_2023_50!N316, "")</f>
        <v/>
      </c>
      <c r="P316" s="49"/>
      <c r="Q316" s="20" t="str">
        <f>IF($J316=1, DATA_Johnstone_2023_50!P316, "")</f>
        <v/>
      </c>
      <c r="R316" s="22"/>
      <c r="T316" s="22"/>
      <c r="W316" s="47"/>
      <c r="AI316" s="75">
        <v>313</v>
      </c>
      <c r="AJ316" s="75">
        <v>100</v>
      </c>
    </row>
    <row r="317" spans="1:36" hidden="1" x14ac:dyDescent="0.35">
      <c r="A317">
        <v>1569</v>
      </c>
      <c r="B317">
        <v>1570</v>
      </c>
      <c r="C317">
        <v>146.03223199999999</v>
      </c>
      <c r="D317">
        <v>-17.526275739999999</v>
      </c>
      <c r="G317" s="1" t="str">
        <f t="shared" si="8"/>
        <v/>
      </c>
      <c r="H317">
        <v>101</v>
      </c>
      <c r="I317" t="str">
        <f t="shared" si="9"/>
        <v>X</v>
      </c>
      <c r="J317" s="53" t="str">
        <f>IFERROR(VLOOKUP(B317, DATA_Johnstone_2024_ALL!B:J, 8, FALSE), "")</f>
        <v>X</v>
      </c>
      <c r="K317" s="29"/>
      <c r="L317" s="30"/>
      <c r="M317" s="29"/>
      <c r="N317" s="20" t="str">
        <f>IF(J317=1, DATA_Johnstone_2023_50!M317, "")</f>
        <v/>
      </c>
      <c r="O317" s="20" t="str">
        <f>IF($J317=1, DATA_Johnstone_2023_50!N317, "")</f>
        <v/>
      </c>
      <c r="P317" s="49"/>
      <c r="Q317" s="20" t="str">
        <f>IF($J317=1, DATA_Johnstone_2023_50!P317, "")</f>
        <v/>
      </c>
      <c r="R317" s="22"/>
      <c r="T317" s="22"/>
      <c r="W317" s="47"/>
      <c r="AI317" s="75">
        <v>314</v>
      </c>
      <c r="AJ317" s="75">
        <v>100</v>
      </c>
    </row>
    <row r="318" spans="1:36" hidden="1" x14ac:dyDescent="0.35">
      <c r="A318">
        <v>1574</v>
      </c>
      <c r="B318">
        <v>1575</v>
      </c>
      <c r="C318">
        <v>146.0320274</v>
      </c>
      <c r="D318">
        <v>-17.52669723</v>
      </c>
      <c r="G318" s="1" t="str">
        <f t="shared" si="8"/>
        <v/>
      </c>
      <c r="H318">
        <v>101</v>
      </c>
      <c r="I318" t="str">
        <f t="shared" si="9"/>
        <v>X</v>
      </c>
      <c r="J318" s="53" t="str">
        <f>IFERROR(VLOOKUP(B318, DATA_Johnstone_2024_ALL!B:J, 8, FALSE), "")</f>
        <v>X</v>
      </c>
      <c r="K318" s="29"/>
      <c r="L318" s="30"/>
      <c r="M318" s="29"/>
      <c r="N318" s="20" t="str">
        <f>IF(J318=1, DATA_Johnstone_2023_50!M318, "")</f>
        <v/>
      </c>
      <c r="O318" s="20" t="str">
        <f>IF($J318=1, DATA_Johnstone_2023_50!N318, "")</f>
        <v/>
      </c>
      <c r="P318" s="49"/>
      <c r="Q318" s="20" t="str">
        <f>IF($J318=1, DATA_Johnstone_2023_50!P318, "")</f>
        <v/>
      </c>
      <c r="R318" s="22"/>
      <c r="T318" s="22"/>
      <c r="W318" s="47"/>
      <c r="AI318" s="75">
        <v>315</v>
      </c>
      <c r="AJ318" s="75">
        <v>100</v>
      </c>
    </row>
    <row r="319" spans="1:36" hidden="1" x14ac:dyDescent="0.35">
      <c r="A319">
        <v>1579</v>
      </c>
      <c r="B319">
        <v>1580</v>
      </c>
      <c r="C319">
        <v>146.0318383</v>
      </c>
      <c r="D319">
        <v>-17.52712914</v>
      </c>
      <c r="G319" s="1" t="str">
        <f t="shared" si="8"/>
        <v/>
      </c>
      <c r="H319">
        <v>101</v>
      </c>
      <c r="I319" t="str">
        <f t="shared" si="9"/>
        <v>X</v>
      </c>
      <c r="J319" s="53" t="str">
        <f>IFERROR(VLOOKUP(B319, DATA_Johnstone_2024_ALL!B:J, 8, FALSE), "")</f>
        <v>X</v>
      </c>
      <c r="K319" s="29"/>
      <c r="L319" s="30"/>
      <c r="M319" s="29"/>
      <c r="N319" s="20" t="str">
        <f>IF(J319=1, DATA_Johnstone_2023_50!M319, "")</f>
        <v/>
      </c>
      <c r="O319" s="20" t="str">
        <f>IF($J319=1, DATA_Johnstone_2023_50!N319, "")</f>
        <v/>
      </c>
      <c r="P319" s="49"/>
      <c r="Q319" s="20" t="str">
        <f>IF($J319=1, DATA_Johnstone_2023_50!P319, "")</f>
        <v/>
      </c>
      <c r="R319" s="22"/>
      <c r="T319" s="22"/>
      <c r="W319" s="47"/>
      <c r="AI319" s="75">
        <v>316</v>
      </c>
      <c r="AJ319" s="75">
        <v>100</v>
      </c>
    </row>
    <row r="320" spans="1:36" hidden="1" x14ac:dyDescent="0.35">
      <c r="A320">
        <v>1584</v>
      </c>
      <c r="B320">
        <v>1585</v>
      </c>
      <c r="C320">
        <v>146.03169320000001</v>
      </c>
      <c r="D320">
        <v>-17.527562920000001</v>
      </c>
      <c r="G320" s="1" t="str">
        <f t="shared" si="8"/>
        <v/>
      </c>
      <c r="H320">
        <v>101</v>
      </c>
      <c r="I320" t="str">
        <f t="shared" si="9"/>
        <v>X</v>
      </c>
      <c r="J320" s="53" t="str">
        <f>IFERROR(VLOOKUP(B320, DATA_Johnstone_2024_ALL!B:J, 8, FALSE), "")</f>
        <v>X</v>
      </c>
      <c r="K320" s="29"/>
      <c r="L320" s="30"/>
      <c r="M320" s="29"/>
      <c r="N320" s="20" t="str">
        <f>IF(J320=1, DATA_Johnstone_2023_50!M320, "")</f>
        <v/>
      </c>
      <c r="O320" s="20" t="str">
        <f>IF($J320=1, DATA_Johnstone_2023_50!N320, "")</f>
        <v/>
      </c>
      <c r="P320" s="49"/>
      <c r="Q320" s="20" t="str">
        <f>IF($J320=1, DATA_Johnstone_2023_50!P320, "")</f>
        <v/>
      </c>
      <c r="R320" s="22"/>
      <c r="T320" s="22"/>
      <c r="W320" s="47"/>
      <c r="AI320" s="75">
        <v>317</v>
      </c>
      <c r="AJ320" s="75">
        <v>100</v>
      </c>
    </row>
    <row r="321" spans="1:36" hidden="1" x14ac:dyDescent="0.35">
      <c r="A321">
        <v>1589</v>
      </c>
      <c r="B321">
        <v>1590</v>
      </c>
      <c r="C321">
        <v>146.03167569999999</v>
      </c>
      <c r="D321">
        <v>-17.528033579999999</v>
      </c>
      <c r="G321" s="1" t="str">
        <f t="shared" si="8"/>
        <v/>
      </c>
      <c r="H321">
        <v>101</v>
      </c>
      <c r="I321" t="str">
        <f t="shared" si="9"/>
        <v>X</v>
      </c>
      <c r="J321" s="53" t="str">
        <f>IFERROR(VLOOKUP(B321, DATA_Johnstone_2024_ALL!B:J, 8, FALSE), "")</f>
        <v>X</v>
      </c>
      <c r="K321" s="29"/>
      <c r="L321" s="30"/>
      <c r="M321" s="29"/>
      <c r="N321" s="20" t="str">
        <f>IF(J321=1, DATA_Johnstone_2023_50!M321, "")</f>
        <v/>
      </c>
      <c r="O321" s="20" t="str">
        <f>IF($J321=1, DATA_Johnstone_2023_50!N321, "")</f>
        <v/>
      </c>
      <c r="P321" s="49"/>
      <c r="Q321" s="20" t="str">
        <f>IF($J321=1, DATA_Johnstone_2023_50!P321, "")</f>
        <v/>
      </c>
      <c r="R321" s="22"/>
      <c r="T321" s="22"/>
      <c r="W321" s="47"/>
      <c r="AI321" s="75">
        <v>318</v>
      </c>
      <c r="AJ321" s="75">
        <v>100</v>
      </c>
    </row>
    <row r="322" spans="1:36" hidden="1" x14ac:dyDescent="0.35">
      <c r="A322">
        <v>1594</v>
      </c>
      <c r="B322">
        <v>1595</v>
      </c>
      <c r="C322">
        <v>146.0317216</v>
      </c>
      <c r="D322">
        <v>-17.528494179999999</v>
      </c>
      <c r="G322" s="1" t="str">
        <f t="shared" si="8"/>
        <v/>
      </c>
      <c r="H322">
        <v>101</v>
      </c>
      <c r="I322" t="str">
        <f t="shared" si="9"/>
        <v>X</v>
      </c>
      <c r="J322" s="53" t="str">
        <f>IFERROR(VLOOKUP(B322, DATA_Johnstone_2024_ALL!B:J, 8, FALSE), "")</f>
        <v>X</v>
      </c>
      <c r="K322" s="29"/>
      <c r="L322" s="30"/>
      <c r="M322" s="29"/>
      <c r="N322" s="20" t="str">
        <f>IF(J322=1, DATA_Johnstone_2023_50!M322, "")</f>
        <v/>
      </c>
      <c r="O322" s="20" t="str">
        <f>IF($J322=1, DATA_Johnstone_2023_50!N322, "")</f>
        <v/>
      </c>
      <c r="P322" s="49"/>
      <c r="Q322" s="20" t="str">
        <f>IF($J322=1, DATA_Johnstone_2023_50!P322, "")</f>
        <v/>
      </c>
      <c r="R322" s="22"/>
      <c r="T322" s="22"/>
      <c r="W322" s="47"/>
      <c r="AI322" s="75">
        <v>319</v>
      </c>
      <c r="AJ322" s="75">
        <v>100</v>
      </c>
    </row>
    <row r="323" spans="1:36" hidden="1" x14ac:dyDescent="0.35">
      <c r="A323">
        <v>1599</v>
      </c>
      <c r="B323">
        <v>1600</v>
      </c>
      <c r="C323">
        <v>146.0318268</v>
      </c>
      <c r="D323">
        <v>-17.52895152</v>
      </c>
      <c r="G323" s="1" t="str">
        <f t="shared" si="8"/>
        <v/>
      </c>
      <c r="H323">
        <v>101</v>
      </c>
      <c r="I323" t="str">
        <f t="shared" si="9"/>
        <v>X</v>
      </c>
      <c r="J323" s="53" t="str">
        <f>IFERROR(VLOOKUP(B323, DATA_Johnstone_2024_ALL!B:J, 8, FALSE), "")</f>
        <v>X</v>
      </c>
      <c r="K323" s="29"/>
      <c r="L323" s="30"/>
      <c r="M323" s="29"/>
      <c r="N323" s="20" t="str">
        <f>IF(J323=1, DATA_Johnstone_2023_50!M323, "")</f>
        <v/>
      </c>
      <c r="O323" s="20" t="str">
        <f>IF($J323=1, DATA_Johnstone_2023_50!N323, "")</f>
        <v/>
      </c>
      <c r="P323" s="49"/>
      <c r="Q323" s="20" t="str">
        <f>IF($J323=1, DATA_Johnstone_2023_50!P323, "")</f>
        <v/>
      </c>
      <c r="R323" s="22"/>
      <c r="T323" s="22"/>
      <c r="W323" s="47"/>
      <c r="AI323" s="75">
        <v>320</v>
      </c>
      <c r="AJ323" s="75">
        <v>100</v>
      </c>
    </row>
    <row r="324" spans="1:36" hidden="1" x14ac:dyDescent="0.35">
      <c r="A324">
        <v>1604</v>
      </c>
      <c r="B324">
        <v>1605</v>
      </c>
      <c r="C324">
        <v>146.03183110000001</v>
      </c>
      <c r="D324">
        <v>-17.529423019999999</v>
      </c>
      <c r="G324" s="1" t="str">
        <f t="shared" si="8"/>
        <v/>
      </c>
      <c r="H324">
        <v>101</v>
      </c>
      <c r="I324" t="str">
        <f t="shared" si="9"/>
        <v>X</v>
      </c>
      <c r="J324" s="53" t="str">
        <f>IFERROR(VLOOKUP(B324, DATA_Johnstone_2024_ALL!B:J, 8, FALSE), "")</f>
        <v>X</v>
      </c>
      <c r="K324" s="29"/>
      <c r="L324" s="30"/>
      <c r="M324" s="29"/>
      <c r="N324" s="20" t="str">
        <f>IF(J324=1, DATA_Johnstone_2023_50!M324, "")</f>
        <v/>
      </c>
      <c r="O324" s="20" t="str">
        <f>IF($J324=1, DATA_Johnstone_2023_50!N324, "")</f>
        <v/>
      </c>
      <c r="P324" s="49"/>
      <c r="Q324" s="20" t="str">
        <f>IF($J324=1, DATA_Johnstone_2023_50!P324, "")</f>
        <v/>
      </c>
      <c r="R324" s="22"/>
      <c r="T324" s="22"/>
      <c r="W324" s="47"/>
      <c r="AI324" s="75">
        <v>321</v>
      </c>
      <c r="AJ324" s="75">
        <v>100</v>
      </c>
    </row>
    <row r="325" spans="1:36" hidden="1" x14ac:dyDescent="0.35">
      <c r="A325">
        <v>1609</v>
      </c>
      <c r="B325">
        <v>1610</v>
      </c>
      <c r="C325">
        <v>146.03182910000001</v>
      </c>
      <c r="D325">
        <v>-17.529894519999999</v>
      </c>
      <c r="G325" s="1" t="str">
        <f t="shared" ref="G325:G388" si="10">IF(F325="", "", HYPERLINK("E:\Data From Lucan\2024\Johnstone\Frames_for_Analysis_50\" &amp; F325, F325))</f>
        <v/>
      </c>
      <c r="H325">
        <v>101</v>
      </c>
      <c r="I325" t="str">
        <f t="shared" ref="I325:I388" si="11">IF(G325="","X","")</f>
        <v>X</v>
      </c>
      <c r="J325" s="53" t="str">
        <f>IFERROR(VLOOKUP(B325, DATA_Johnstone_2024_ALL!B:J, 8, FALSE), "")</f>
        <v>X</v>
      </c>
      <c r="K325" s="29"/>
      <c r="L325" s="30"/>
      <c r="M325" s="29"/>
      <c r="N325" s="20" t="str">
        <f>IF(J325=1, DATA_Johnstone_2023_50!M325, "")</f>
        <v/>
      </c>
      <c r="O325" s="20" t="str">
        <f>IF($J325=1, DATA_Johnstone_2023_50!N325, "")</f>
        <v/>
      </c>
      <c r="P325" s="49"/>
      <c r="Q325" s="20" t="str">
        <f>IF($J325=1, DATA_Johnstone_2023_50!P325, "")</f>
        <v/>
      </c>
      <c r="R325" s="22"/>
      <c r="T325" s="22"/>
      <c r="W325" s="47"/>
      <c r="AI325" s="75">
        <v>322</v>
      </c>
      <c r="AJ325" s="75">
        <v>100</v>
      </c>
    </row>
    <row r="326" spans="1:36" hidden="1" x14ac:dyDescent="0.35">
      <c r="A326">
        <v>1614</v>
      </c>
      <c r="B326">
        <v>1615</v>
      </c>
      <c r="C326">
        <v>146.03185070000001</v>
      </c>
      <c r="D326">
        <v>-17.530365190000001</v>
      </c>
      <c r="G326" s="1" t="str">
        <f t="shared" si="10"/>
        <v/>
      </c>
      <c r="H326">
        <v>101</v>
      </c>
      <c r="I326" t="str">
        <f t="shared" si="11"/>
        <v>X</v>
      </c>
      <c r="J326" s="53" t="str">
        <f>IFERROR(VLOOKUP(B326, DATA_Johnstone_2024_ALL!B:J, 8, FALSE), "")</f>
        <v>X</v>
      </c>
      <c r="K326" s="29"/>
      <c r="L326" s="30"/>
      <c r="M326" s="29"/>
      <c r="N326" s="20" t="str">
        <f>IF(J326=1, DATA_Johnstone_2023_50!M326, "")</f>
        <v/>
      </c>
      <c r="O326" s="20" t="str">
        <f>IF($J326=1, DATA_Johnstone_2023_50!N326, "")</f>
        <v/>
      </c>
      <c r="P326" s="49"/>
      <c r="Q326" s="20" t="str">
        <f>IF($J326=1, DATA_Johnstone_2023_50!P326, "")</f>
        <v/>
      </c>
      <c r="R326" s="22"/>
      <c r="T326" s="22"/>
      <c r="W326" s="47"/>
      <c r="AI326" s="75">
        <v>323</v>
      </c>
      <c r="AJ326" s="75">
        <v>100</v>
      </c>
    </row>
    <row r="327" spans="1:36" hidden="1" x14ac:dyDescent="0.35">
      <c r="A327">
        <v>1619</v>
      </c>
      <c r="B327">
        <v>1620</v>
      </c>
      <c r="C327">
        <v>146.03190649999999</v>
      </c>
      <c r="D327">
        <v>-17.530833210000001</v>
      </c>
      <c r="G327" s="1" t="str">
        <f t="shared" si="10"/>
        <v/>
      </c>
      <c r="H327">
        <v>101</v>
      </c>
      <c r="I327" t="str">
        <f t="shared" si="11"/>
        <v>X</v>
      </c>
      <c r="J327" s="53" t="str">
        <f>IFERROR(VLOOKUP(B327, DATA_Johnstone_2024_ALL!B:J, 8, FALSE), "")</f>
        <v>X</v>
      </c>
      <c r="K327" s="29"/>
      <c r="L327" s="30"/>
      <c r="M327" s="29"/>
      <c r="N327" s="20" t="str">
        <f>IF(J327=1, DATA_Johnstone_2023_50!M327, "")</f>
        <v/>
      </c>
      <c r="O327" s="20" t="str">
        <f>IF($J327=1, DATA_Johnstone_2023_50!N327, "")</f>
        <v/>
      </c>
      <c r="P327" s="49"/>
      <c r="Q327" s="20" t="str">
        <f>IF($J327=1, DATA_Johnstone_2023_50!P327, "")</f>
        <v/>
      </c>
      <c r="R327" s="22"/>
      <c r="T327" s="22"/>
      <c r="W327" s="47"/>
      <c r="AI327" s="75">
        <v>324</v>
      </c>
      <c r="AJ327" s="75">
        <v>100</v>
      </c>
    </row>
    <row r="328" spans="1:36" hidden="1" x14ac:dyDescent="0.35">
      <c r="A328">
        <v>1624</v>
      </c>
      <c r="B328">
        <v>1625</v>
      </c>
      <c r="C328">
        <v>146.03194920000001</v>
      </c>
      <c r="D328">
        <v>-17.531302549999999</v>
      </c>
      <c r="G328" s="1" t="str">
        <f t="shared" si="10"/>
        <v/>
      </c>
      <c r="H328">
        <v>101</v>
      </c>
      <c r="I328" t="str">
        <f t="shared" si="11"/>
        <v>X</v>
      </c>
      <c r="J328" s="53" t="str">
        <f>IFERROR(VLOOKUP(B328, DATA_Johnstone_2024_ALL!B:J, 8, FALSE), "")</f>
        <v>X</v>
      </c>
      <c r="K328" s="29"/>
      <c r="L328" s="30"/>
      <c r="M328" s="29"/>
      <c r="N328" s="20" t="str">
        <f>IF(J328=1, DATA_Johnstone_2023_50!M328, "")</f>
        <v/>
      </c>
      <c r="O328" s="20" t="str">
        <f>IF($J328=1, DATA_Johnstone_2023_50!N328, "")</f>
        <v/>
      </c>
      <c r="P328" s="49"/>
      <c r="Q328" s="20" t="str">
        <f>IF($J328=1, DATA_Johnstone_2023_50!P328, "")</f>
        <v/>
      </c>
      <c r="R328" s="22"/>
      <c r="T328" s="22"/>
      <c r="W328" s="47"/>
      <c r="AI328" s="75">
        <v>325</v>
      </c>
      <c r="AJ328" s="75">
        <v>100</v>
      </c>
    </row>
    <row r="329" spans="1:36" hidden="1" x14ac:dyDescent="0.35">
      <c r="A329">
        <v>1629</v>
      </c>
      <c r="B329">
        <v>1630</v>
      </c>
      <c r="C329">
        <v>146.03174050000001</v>
      </c>
      <c r="D329">
        <v>-17.531612930000001</v>
      </c>
      <c r="G329" s="1" t="str">
        <f t="shared" si="10"/>
        <v/>
      </c>
      <c r="H329">
        <v>101</v>
      </c>
      <c r="I329" t="str">
        <f t="shared" si="11"/>
        <v>X</v>
      </c>
      <c r="J329" s="53" t="str">
        <f>IFERROR(VLOOKUP(B329, DATA_Johnstone_2024_ALL!B:J, 8, FALSE), "")</f>
        <v>X</v>
      </c>
      <c r="K329" s="29"/>
      <c r="L329" s="30"/>
      <c r="M329" s="29"/>
      <c r="N329" s="20" t="str">
        <f>IF(J329=1, DATA_Johnstone_2023_50!M329, "")</f>
        <v/>
      </c>
      <c r="O329" s="20" t="str">
        <f>IF($J329=1, DATA_Johnstone_2023_50!N329, "")</f>
        <v/>
      </c>
      <c r="P329" s="49"/>
      <c r="Q329" s="20" t="str">
        <f>IF($J329=1, DATA_Johnstone_2023_50!P329, "")</f>
        <v/>
      </c>
      <c r="R329" s="22"/>
      <c r="T329" s="22"/>
      <c r="W329" s="47"/>
      <c r="AI329" s="75">
        <v>326</v>
      </c>
      <c r="AJ329" s="75">
        <v>100</v>
      </c>
    </row>
    <row r="330" spans="1:36" hidden="1" x14ac:dyDescent="0.35">
      <c r="A330">
        <v>1634</v>
      </c>
      <c r="B330">
        <v>1635</v>
      </c>
      <c r="C330">
        <v>146.03128580000001</v>
      </c>
      <c r="D330">
        <v>-17.531700399999998</v>
      </c>
      <c r="G330" s="1" t="str">
        <f t="shared" si="10"/>
        <v/>
      </c>
      <c r="H330">
        <v>101</v>
      </c>
      <c r="I330" t="str">
        <f t="shared" si="11"/>
        <v>X</v>
      </c>
      <c r="J330" s="53" t="str">
        <f>IFERROR(VLOOKUP(B330, DATA_Johnstone_2024_ALL!B:J, 8, FALSE), "")</f>
        <v>X</v>
      </c>
      <c r="K330" s="29"/>
      <c r="L330" s="30"/>
      <c r="M330" s="29"/>
      <c r="N330" s="20" t="str">
        <f>IF(J330=1, DATA_Johnstone_2023_50!M330, "")</f>
        <v/>
      </c>
      <c r="O330" s="20" t="str">
        <f>IF($J330=1, DATA_Johnstone_2023_50!N330, "")</f>
        <v/>
      </c>
      <c r="P330" s="49"/>
      <c r="Q330" s="20" t="str">
        <f>IF($J330=1, DATA_Johnstone_2023_50!P330, "")</f>
        <v/>
      </c>
      <c r="R330" s="22"/>
      <c r="T330" s="22"/>
      <c r="W330" s="47"/>
      <c r="AI330" s="75">
        <v>327</v>
      </c>
      <c r="AJ330" s="75">
        <v>100</v>
      </c>
    </row>
    <row r="331" spans="1:36" hidden="1" x14ac:dyDescent="0.35">
      <c r="A331">
        <v>1639</v>
      </c>
      <c r="B331">
        <v>1640</v>
      </c>
      <c r="C331">
        <v>146.0308191</v>
      </c>
      <c r="D331">
        <v>-17.531660939999998</v>
      </c>
      <c r="G331" s="1" t="str">
        <f t="shared" si="10"/>
        <v/>
      </c>
      <c r="H331">
        <v>101</v>
      </c>
      <c r="I331" t="str">
        <f t="shared" si="11"/>
        <v>X</v>
      </c>
      <c r="J331" s="53" t="str">
        <f>IFERROR(VLOOKUP(B331, DATA_Johnstone_2024_ALL!B:J, 8, FALSE), "")</f>
        <v>X</v>
      </c>
      <c r="K331" s="29"/>
      <c r="L331" s="30"/>
      <c r="M331" s="29"/>
      <c r="N331" s="20" t="str">
        <f>IF(J331=1, DATA_Johnstone_2023_50!M331, "")</f>
        <v/>
      </c>
      <c r="O331" s="20" t="str">
        <f>IF($J331=1, DATA_Johnstone_2023_50!N331, "")</f>
        <v/>
      </c>
      <c r="P331" s="49"/>
      <c r="Q331" s="20" t="str">
        <f>IF($J331=1, DATA_Johnstone_2023_50!P331, "")</f>
        <v/>
      </c>
      <c r="R331" s="22"/>
      <c r="T331" s="22"/>
      <c r="W331" s="47"/>
      <c r="AI331" s="75">
        <v>328</v>
      </c>
      <c r="AJ331" s="75">
        <v>100</v>
      </c>
    </row>
    <row r="332" spans="1:36" hidden="1" x14ac:dyDescent="0.35">
      <c r="A332">
        <v>1644</v>
      </c>
      <c r="B332">
        <v>1645</v>
      </c>
      <c r="C332">
        <v>146.0304567</v>
      </c>
      <c r="D332">
        <v>-17.531401169999999</v>
      </c>
      <c r="G332" s="1" t="str">
        <f t="shared" si="10"/>
        <v/>
      </c>
      <c r="H332">
        <v>101</v>
      </c>
      <c r="I332" t="str">
        <f t="shared" si="11"/>
        <v>X</v>
      </c>
      <c r="J332" s="53" t="str">
        <f>IFERROR(VLOOKUP(B332, DATA_Johnstone_2024_ALL!B:J, 8, FALSE), "")</f>
        <v>X</v>
      </c>
      <c r="K332" s="29"/>
      <c r="L332" s="30"/>
      <c r="M332" s="29"/>
      <c r="N332" s="20" t="str">
        <f>IF(J332=1, DATA_Johnstone_2023_50!M332, "")</f>
        <v/>
      </c>
      <c r="O332" s="20" t="str">
        <f>IF($J332=1, DATA_Johnstone_2023_50!N332, "")</f>
        <v/>
      </c>
      <c r="P332" s="49"/>
      <c r="Q332" s="20" t="str">
        <f>IF($J332=1, DATA_Johnstone_2023_50!P332, "")</f>
        <v/>
      </c>
      <c r="R332" s="22"/>
      <c r="T332" s="22"/>
      <c r="W332" s="47"/>
      <c r="AI332" s="75">
        <v>329</v>
      </c>
      <c r="AJ332" s="75">
        <v>100</v>
      </c>
    </row>
    <row r="333" spans="1:36" hidden="1" x14ac:dyDescent="0.35">
      <c r="A333">
        <v>1649</v>
      </c>
      <c r="B333">
        <v>1650</v>
      </c>
      <c r="C333">
        <v>146.03022379999999</v>
      </c>
      <c r="D333">
        <v>-17.530997790000001</v>
      </c>
      <c r="G333" s="1" t="str">
        <f t="shared" si="10"/>
        <v/>
      </c>
      <c r="H333">
        <v>101</v>
      </c>
      <c r="I333" t="str">
        <f t="shared" si="11"/>
        <v>X</v>
      </c>
      <c r="J333" s="53" t="str">
        <f>IFERROR(VLOOKUP(B333, DATA_Johnstone_2024_ALL!B:J, 8, FALSE), "")</f>
        <v>X</v>
      </c>
      <c r="K333" s="29"/>
      <c r="L333" s="30"/>
      <c r="M333" s="29"/>
      <c r="N333" s="20" t="str">
        <f>IF(J333=1, DATA_Johnstone_2023_50!M333, "")</f>
        <v/>
      </c>
      <c r="O333" s="20" t="str">
        <f>IF($J333=1, DATA_Johnstone_2023_50!N333, "")</f>
        <v/>
      </c>
      <c r="P333" s="49"/>
      <c r="Q333" s="20" t="str">
        <f>IF($J333=1, DATA_Johnstone_2023_50!P333, "")</f>
        <v/>
      </c>
      <c r="R333" s="22"/>
      <c r="T333" s="22"/>
      <c r="W333" s="47"/>
      <c r="AI333" s="75">
        <v>330</v>
      </c>
      <c r="AJ333" s="75">
        <v>100</v>
      </c>
    </row>
    <row r="334" spans="1:36" hidden="1" x14ac:dyDescent="0.35">
      <c r="A334">
        <v>1654</v>
      </c>
      <c r="B334">
        <v>1655</v>
      </c>
      <c r="C334">
        <v>146.0299339</v>
      </c>
      <c r="D334">
        <v>-17.530691040000001</v>
      </c>
      <c r="G334" s="1" t="str">
        <f t="shared" si="10"/>
        <v/>
      </c>
      <c r="H334">
        <v>101</v>
      </c>
      <c r="I334" t="str">
        <f t="shared" si="11"/>
        <v>X</v>
      </c>
      <c r="J334" s="53" t="str">
        <f>IFERROR(VLOOKUP(B334, DATA_Johnstone_2024_ALL!B:J, 8, FALSE), "")</f>
        <v>X</v>
      </c>
      <c r="K334" s="29"/>
      <c r="L334" s="30"/>
      <c r="M334" s="29"/>
      <c r="N334" s="20" t="str">
        <f>IF(J334=1, DATA_Johnstone_2023_50!M334, "")</f>
        <v/>
      </c>
      <c r="O334" s="20" t="str">
        <f>IF($J334=1, DATA_Johnstone_2023_50!N334, "")</f>
        <v/>
      </c>
      <c r="P334" s="49"/>
      <c r="Q334" s="20" t="str">
        <f>IF($J334=1, DATA_Johnstone_2023_50!P334, "")</f>
        <v/>
      </c>
      <c r="R334" s="22"/>
      <c r="T334" s="22"/>
      <c r="W334" s="47"/>
      <c r="AI334" s="75">
        <v>331</v>
      </c>
      <c r="AJ334" s="75">
        <v>100</v>
      </c>
    </row>
    <row r="335" spans="1:36" hidden="1" x14ac:dyDescent="0.35">
      <c r="A335">
        <v>1659</v>
      </c>
      <c r="B335">
        <v>1660</v>
      </c>
      <c r="C335">
        <v>146.02995759999999</v>
      </c>
      <c r="D335">
        <v>-17.5302866</v>
      </c>
      <c r="G335" s="1" t="str">
        <f t="shared" si="10"/>
        <v/>
      </c>
      <c r="H335">
        <v>101</v>
      </c>
      <c r="I335" t="str">
        <f t="shared" si="11"/>
        <v>X</v>
      </c>
      <c r="J335" s="53" t="str">
        <f>IFERROR(VLOOKUP(B335, DATA_Johnstone_2024_ALL!B:J, 8, FALSE), "")</f>
        <v>X</v>
      </c>
      <c r="K335" s="29"/>
      <c r="L335" s="30"/>
      <c r="M335" s="29"/>
      <c r="N335" s="20" t="str">
        <f>IF(J335=1, DATA_Johnstone_2023_50!M335, "")</f>
        <v/>
      </c>
      <c r="O335" s="20" t="str">
        <f>IF($J335=1, DATA_Johnstone_2023_50!N335, "")</f>
        <v/>
      </c>
      <c r="P335" s="49"/>
      <c r="Q335" s="20" t="str">
        <f>IF($J335=1, DATA_Johnstone_2023_50!P335, "")</f>
        <v/>
      </c>
      <c r="R335" s="22"/>
      <c r="T335" s="22"/>
      <c r="W335" s="47"/>
      <c r="AI335" s="75">
        <v>332</v>
      </c>
      <c r="AJ335" s="75">
        <v>100</v>
      </c>
    </row>
    <row r="336" spans="1:36" hidden="1" x14ac:dyDescent="0.35">
      <c r="A336">
        <v>1664</v>
      </c>
      <c r="B336">
        <v>1665</v>
      </c>
      <c r="C336">
        <v>146.030056</v>
      </c>
      <c r="D336">
        <v>-17.529828250000001</v>
      </c>
      <c r="G336" s="1" t="str">
        <f t="shared" si="10"/>
        <v/>
      </c>
      <c r="H336">
        <v>101</v>
      </c>
      <c r="I336" t="str">
        <f t="shared" si="11"/>
        <v>X</v>
      </c>
      <c r="J336" s="53" t="str">
        <f>IFERROR(VLOOKUP(B336, DATA_Johnstone_2024_ALL!B:J, 8, FALSE), "")</f>
        <v>X</v>
      </c>
      <c r="K336" s="29"/>
      <c r="L336" s="30"/>
      <c r="M336" s="29"/>
      <c r="N336" s="20" t="str">
        <f>IF(J336=1, DATA_Johnstone_2023_50!M336, "")</f>
        <v/>
      </c>
      <c r="O336" s="20" t="str">
        <f>IF($J336=1, DATA_Johnstone_2023_50!N336, "")</f>
        <v/>
      </c>
      <c r="P336" s="49"/>
      <c r="Q336" s="20" t="str">
        <f>IF($J336=1, DATA_Johnstone_2023_50!P336, "")</f>
        <v/>
      </c>
      <c r="R336" s="22"/>
      <c r="T336" s="22"/>
      <c r="W336" s="47"/>
      <c r="AI336" s="75">
        <v>333</v>
      </c>
      <c r="AJ336" s="75">
        <v>100</v>
      </c>
    </row>
    <row r="337" spans="1:36" hidden="1" x14ac:dyDescent="0.35">
      <c r="A337">
        <v>1669</v>
      </c>
      <c r="B337">
        <v>1670</v>
      </c>
      <c r="C337">
        <v>146.03017439999999</v>
      </c>
      <c r="D337">
        <v>-17.529371980000001</v>
      </c>
      <c r="G337" s="1" t="str">
        <f t="shared" si="10"/>
        <v/>
      </c>
      <c r="H337">
        <v>101</v>
      </c>
      <c r="I337" t="str">
        <f t="shared" si="11"/>
        <v>X</v>
      </c>
      <c r="J337" s="53" t="str">
        <f>IFERROR(VLOOKUP(B337, DATA_Johnstone_2024_ALL!B:J, 8, FALSE), "")</f>
        <v>X</v>
      </c>
      <c r="K337" s="29"/>
      <c r="L337" s="30"/>
      <c r="M337" s="29"/>
      <c r="N337" s="20" t="str">
        <f>IF(J337=1, DATA_Johnstone_2023_50!M337, "")</f>
        <v/>
      </c>
      <c r="O337" s="20" t="str">
        <f>IF($J337=1, DATA_Johnstone_2023_50!N337, "")</f>
        <v/>
      </c>
      <c r="P337" s="49"/>
      <c r="Q337" s="20" t="str">
        <f>IF($J337=1, DATA_Johnstone_2023_50!P337, "")</f>
        <v/>
      </c>
      <c r="R337" s="22"/>
      <c r="T337" s="22"/>
      <c r="W337" s="47"/>
      <c r="AI337" s="75">
        <v>334</v>
      </c>
      <c r="AJ337" s="75">
        <v>100</v>
      </c>
    </row>
    <row r="338" spans="1:36" hidden="1" x14ac:dyDescent="0.35">
      <c r="A338">
        <v>1674</v>
      </c>
      <c r="B338">
        <v>1675</v>
      </c>
      <c r="C338">
        <v>146.0302016</v>
      </c>
      <c r="D338">
        <v>-17.528905730000002</v>
      </c>
      <c r="G338" s="1" t="str">
        <f t="shared" si="10"/>
        <v/>
      </c>
      <c r="H338">
        <v>101</v>
      </c>
      <c r="I338" t="str">
        <f t="shared" si="11"/>
        <v>X</v>
      </c>
      <c r="J338" s="53" t="str">
        <f>IFERROR(VLOOKUP(B338, DATA_Johnstone_2024_ALL!B:J, 8, FALSE), "")</f>
        <v>X</v>
      </c>
      <c r="K338" s="29"/>
      <c r="L338" s="30"/>
      <c r="M338" s="29"/>
      <c r="N338" s="20" t="str">
        <f>IF(J338=1, DATA_Johnstone_2023_50!M338, "")</f>
        <v/>
      </c>
      <c r="O338" s="20" t="str">
        <f>IF($J338=1, DATA_Johnstone_2023_50!N338, "")</f>
        <v/>
      </c>
      <c r="P338" s="49"/>
      <c r="Q338" s="20" t="str">
        <f>IF($J338=1, DATA_Johnstone_2023_50!P338, "")</f>
        <v/>
      </c>
      <c r="R338" s="22"/>
      <c r="T338" s="22"/>
      <c r="W338" s="47"/>
      <c r="AI338" s="75">
        <v>335</v>
      </c>
      <c r="AJ338" s="75">
        <v>100</v>
      </c>
    </row>
    <row r="339" spans="1:36" hidden="1" x14ac:dyDescent="0.35">
      <c r="A339">
        <v>1679</v>
      </c>
      <c r="B339">
        <v>1680</v>
      </c>
      <c r="C339">
        <v>146.03017209999999</v>
      </c>
      <c r="D339">
        <v>-17.52843536</v>
      </c>
      <c r="G339" s="1" t="str">
        <f t="shared" si="10"/>
        <v/>
      </c>
      <c r="H339">
        <v>101</v>
      </c>
      <c r="I339" t="str">
        <f t="shared" si="11"/>
        <v>X</v>
      </c>
      <c r="J339" s="53" t="str">
        <f>IFERROR(VLOOKUP(B339, DATA_Johnstone_2024_ALL!B:J, 8, FALSE), "")</f>
        <v>X</v>
      </c>
      <c r="K339" s="29"/>
      <c r="L339" s="30"/>
      <c r="M339" s="29"/>
      <c r="N339" s="20" t="str">
        <f>IF(J339=1, DATA_Johnstone_2023_50!M339, "")</f>
        <v/>
      </c>
      <c r="O339" s="20" t="str">
        <f>IF($J339=1, DATA_Johnstone_2023_50!N339, "")</f>
        <v/>
      </c>
      <c r="P339" s="49"/>
      <c r="Q339" s="20" t="str">
        <f>IF($J339=1, DATA_Johnstone_2023_50!P339, "")</f>
        <v/>
      </c>
      <c r="R339" s="22"/>
      <c r="T339" s="22"/>
      <c r="W339" s="47"/>
      <c r="AI339" s="75">
        <v>336</v>
      </c>
      <c r="AJ339" s="75">
        <v>100</v>
      </c>
    </row>
    <row r="340" spans="1:36" hidden="1" x14ac:dyDescent="0.35">
      <c r="A340">
        <v>1684</v>
      </c>
      <c r="B340">
        <v>1685</v>
      </c>
      <c r="C340">
        <v>146.03017070000001</v>
      </c>
      <c r="D340">
        <v>-17.52796567</v>
      </c>
      <c r="G340" s="1" t="str">
        <f t="shared" si="10"/>
        <v/>
      </c>
      <c r="H340">
        <v>101</v>
      </c>
      <c r="I340" t="str">
        <f t="shared" si="11"/>
        <v>X</v>
      </c>
      <c r="J340" s="53" t="str">
        <f>IFERROR(VLOOKUP(B340, DATA_Johnstone_2024_ALL!B:J, 8, FALSE), "")</f>
        <v>X</v>
      </c>
      <c r="K340" s="29"/>
      <c r="L340" s="30"/>
      <c r="M340" s="29"/>
      <c r="N340" s="20" t="str">
        <f>IF(J340=1, DATA_Johnstone_2023_50!M340, "")</f>
        <v/>
      </c>
      <c r="O340" s="20" t="str">
        <f>IF($J340=1, DATA_Johnstone_2023_50!N340, "")</f>
        <v/>
      </c>
      <c r="P340" s="49"/>
      <c r="Q340" s="20" t="str">
        <f>IF($J340=1, DATA_Johnstone_2023_50!P340, "")</f>
        <v/>
      </c>
      <c r="R340" s="22"/>
      <c r="T340" s="22"/>
      <c r="W340" s="47"/>
      <c r="AI340" s="75">
        <v>337</v>
      </c>
      <c r="AJ340" s="75">
        <v>100</v>
      </c>
    </row>
    <row r="341" spans="1:36" hidden="1" x14ac:dyDescent="0.35">
      <c r="A341">
        <v>1689</v>
      </c>
      <c r="B341">
        <v>1690</v>
      </c>
      <c r="C341">
        <v>146.0302063</v>
      </c>
      <c r="D341">
        <v>-17.52749669</v>
      </c>
      <c r="G341" s="1" t="str">
        <f t="shared" si="10"/>
        <v/>
      </c>
      <c r="H341">
        <v>101</v>
      </c>
      <c r="I341" t="str">
        <f t="shared" si="11"/>
        <v>X</v>
      </c>
      <c r="J341" s="53" t="str">
        <f>IFERROR(VLOOKUP(B341, DATA_Johnstone_2024_ALL!B:J, 8, FALSE), "")</f>
        <v>X</v>
      </c>
      <c r="K341" s="29"/>
      <c r="L341" s="30"/>
      <c r="M341" s="29"/>
      <c r="N341" s="20" t="str">
        <f>IF(J341=1, DATA_Johnstone_2023_50!M341, "")</f>
        <v/>
      </c>
      <c r="O341" s="20" t="str">
        <f>IF($J341=1, DATA_Johnstone_2023_50!N341, "")</f>
        <v/>
      </c>
      <c r="P341" s="49"/>
      <c r="Q341" s="20" t="str">
        <f>IF($J341=1, DATA_Johnstone_2023_50!P341, "")</f>
        <v/>
      </c>
      <c r="R341" s="22"/>
      <c r="T341" s="22"/>
      <c r="W341" s="47"/>
      <c r="AI341" s="75">
        <v>338</v>
      </c>
      <c r="AJ341" s="75">
        <v>100</v>
      </c>
    </row>
    <row r="342" spans="1:36" hidden="1" x14ac:dyDescent="0.35">
      <c r="A342">
        <v>1694</v>
      </c>
      <c r="B342">
        <v>1695</v>
      </c>
      <c r="C342">
        <v>146.03034830000001</v>
      </c>
      <c r="D342">
        <v>-17.527064880000001</v>
      </c>
      <c r="G342" s="1" t="str">
        <f t="shared" si="10"/>
        <v/>
      </c>
      <c r="H342">
        <v>101</v>
      </c>
      <c r="I342" t="str">
        <f t="shared" si="11"/>
        <v>X</v>
      </c>
      <c r="J342" s="53" t="str">
        <f>IFERROR(VLOOKUP(B342, DATA_Johnstone_2024_ALL!B:J, 8, FALSE), "")</f>
        <v>X</v>
      </c>
      <c r="K342" s="29"/>
      <c r="L342" s="30"/>
      <c r="M342" s="29"/>
      <c r="N342" s="20" t="str">
        <f>IF(J342=1, DATA_Johnstone_2023_50!M342, "")</f>
        <v/>
      </c>
      <c r="O342" s="20" t="str">
        <f>IF($J342=1, DATA_Johnstone_2023_50!N342, "")</f>
        <v/>
      </c>
      <c r="P342" s="49"/>
      <c r="Q342" s="20" t="str">
        <f>IF($J342=1, DATA_Johnstone_2023_50!P342, "")</f>
        <v/>
      </c>
      <c r="R342" s="22"/>
      <c r="T342" s="22"/>
      <c r="W342" s="47"/>
      <c r="AI342" s="75">
        <v>339</v>
      </c>
      <c r="AJ342" s="75">
        <v>100</v>
      </c>
    </row>
    <row r="343" spans="1:36" hidden="1" x14ac:dyDescent="0.35">
      <c r="A343">
        <v>1699</v>
      </c>
      <c r="B343">
        <v>1700</v>
      </c>
      <c r="C343">
        <v>146.0306301</v>
      </c>
      <c r="D343">
        <v>-17.526687150000001</v>
      </c>
      <c r="G343" s="1" t="str">
        <f t="shared" si="10"/>
        <v/>
      </c>
      <c r="H343">
        <v>101</v>
      </c>
      <c r="I343" t="str">
        <f t="shared" si="11"/>
        <v>X</v>
      </c>
      <c r="J343" s="53" t="str">
        <f>IFERROR(VLOOKUP(B343, DATA_Johnstone_2024_ALL!B:J, 8, FALSE), "")</f>
        <v>X</v>
      </c>
      <c r="K343" s="29"/>
      <c r="L343" s="30"/>
      <c r="M343" s="29"/>
      <c r="N343" s="20" t="str">
        <f>IF(J343=1, DATA_Johnstone_2023_50!M343, "")</f>
        <v/>
      </c>
      <c r="O343" s="20" t="str">
        <f>IF($J343=1, DATA_Johnstone_2023_50!N343, "")</f>
        <v/>
      </c>
      <c r="P343" s="49"/>
      <c r="Q343" s="20" t="str">
        <f>IF($J343=1, DATA_Johnstone_2023_50!P343, "")</f>
        <v/>
      </c>
      <c r="R343" s="22"/>
      <c r="T343" s="22"/>
      <c r="W343" s="47"/>
      <c r="AI343" s="75">
        <v>340</v>
      </c>
      <c r="AJ343" s="75">
        <v>100</v>
      </c>
    </row>
    <row r="344" spans="1:36" hidden="1" x14ac:dyDescent="0.35">
      <c r="A344">
        <v>1704</v>
      </c>
      <c r="B344">
        <v>1705</v>
      </c>
      <c r="C344">
        <v>146.03088080000001</v>
      </c>
      <c r="D344">
        <v>-17.52628983</v>
      </c>
      <c r="G344" s="1" t="str">
        <f t="shared" si="10"/>
        <v/>
      </c>
      <c r="H344">
        <v>101</v>
      </c>
      <c r="I344" t="str">
        <f t="shared" si="11"/>
        <v>X</v>
      </c>
      <c r="J344" s="53" t="str">
        <f>IFERROR(VLOOKUP(B344, DATA_Johnstone_2024_ALL!B:J, 8, FALSE), "")</f>
        <v>X</v>
      </c>
      <c r="K344" s="29"/>
      <c r="L344" s="30"/>
      <c r="M344" s="29"/>
      <c r="N344" s="20" t="str">
        <f>IF(J344=1, DATA_Johnstone_2023_50!M344, "")</f>
        <v/>
      </c>
      <c r="O344" s="20" t="str">
        <f>IF($J344=1, DATA_Johnstone_2023_50!N344, "")</f>
        <v/>
      </c>
      <c r="P344" s="49"/>
      <c r="Q344" s="20" t="str">
        <f>IF($J344=1, DATA_Johnstone_2023_50!P344, "")</f>
        <v/>
      </c>
      <c r="R344" s="22"/>
      <c r="T344" s="22"/>
      <c r="W344" s="47"/>
      <c r="AI344" s="75">
        <v>341</v>
      </c>
      <c r="AJ344" s="75">
        <v>100</v>
      </c>
    </row>
    <row r="345" spans="1:36" hidden="1" x14ac:dyDescent="0.35">
      <c r="A345">
        <v>1709</v>
      </c>
      <c r="B345">
        <v>1710</v>
      </c>
      <c r="C345">
        <v>146.031228</v>
      </c>
      <c r="D345">
        <v>-17.525970789999999</v>
      </c>
      <c r="G345" s="1" t="str">
        <f t="shared" si="10"/>
        <v/>
      </c>
      <c r="H345">
        <v>101</v>
      </c>
      <c r="I345" t="str">
        <f t="shared" si="11"/>
        <v>X</v>
      </c>
      <c r="J345" s="53" t="str">
        <f>IFERROR(VLOOKUP(B345, DATA_Johnstone_2024_ALL!B:J, 8, FALSE), "")</f>
        <v>X</v>
      </c>
      <c r="K345" s="29"/>
      <c r="L345" s="30"/>
      <c r="M345" s="29"/>
      <c r="N345" s="20" t="str">
        <f>IF(J345=1, DATA_Johnstone_2023_50!M345, "")</f>
        <v/>
      </c>
      <c r="O345" s="20" t="str">
        <f>IF($J345=1, DATA_Johnstone_2023_50!N345, "")</f>
        <v/>
      </c>
      <c r="P345" s="49"/>
      <c r="Q345" s="20" t="str">
        <f>IF($J345=1, DATA_Johnstone_2023_50!P345, "")</f>
        <v/>
      </c>
      <c r="R345" s="22"/>
      <c r="T345" s="22"/>
      <c r="W345" s="47"/>
      <c r="AI345" s="75">
        <v>342</v>
      </c>
      <c r="AJ345" s="75">
        <v>100</v>
      </c>
    </row>
    <row r="346" spans="1:36" hidden="1" x14ac:dyDescent="0.35">
      <c r="A346">
        <v>1714</v>
      </c>
      <c r="B346">
        <v>1715</v>
      </c>
      <c r="C346">
        <v>146.03154839999999</v>
      </c>
      <c r="D346">
        <v>-17.525627069999999</v>
      </c>
      <c r="G346" s="1" t="str">
        <f t="shared" si="10"/>
        <v/>
      </c>
      <c r="H346">
        <v>101</v>
      </c>
      <c r="I346" t="str">
        <f t="shared" si="11"/>
        <v>X</v>
      </c>
      <c r="J346" s="53" t="str">
        <f>IFERROR(VLOOKUP(B346, DATA_Johnstone_2024_ALL!B:J, 8, FALSE), "")</f>
        <v>X</v>
      </c>
      <c r="K346" s="29"/>
      <c r="L346" s="30"/>
      <c r="M346" s="29"/>
      <c r="N346" s="20" t="str">
        <f>IF(J346=1, DATA_Johnstone_2023_50!M346, "")</f>
        <v/>
      </c>
      <c r="O346" s="20" t="str">
        <f>IF($J346=1, DATA_Johnstone_2023_50!N346, "")</f>
        <v/>
      </c>
      <c r="P346" s="49"/>
      <c r="Q346" s="20" t="str">
        <f>IF($J346=1, DATA_Johnstone_2023_50!P346, "")</f>
        <v/>
      </c>
      <c r="R346" s="22"/>
      <c r="T346" s="22"/>
      <c r="W346" s="47"/>
      <c r="AI346" s="75">
        <v>343</v>
      </c>
      <c r="AJ346" s="75">
        <v>100</v>
      </c>
    </row>
    <row r="347" spans="1:36" hidden="1" x14ac:dyDescent="0.35">
      <c r="A347">
        <v>1719</v>
      </c>
      <c r="B347">
        <v>1720</v>
      </c>
      <c r="C347">
        <v>146.03192970000001</v>
      </c>
      <c r="D347">
        <v>-17.525360410000001</v>
      </c>
      <c r="G347" s="1" t="str">
        <f t="shared" si="10"/>
        <v/>
      </c>
      <c r="H347">
        <v>101</v>
      </c>
      <c r="I347" t="str">
        <f t="shared" si="11"/>
        <v>X</v>
      </c>
      <c r="J347" s="53" t="str">
        <f>IFERROR(VLOOKUP(B347, DATA_Johnstone_2024_ALL!B:J, 8, FALSE), "")</f>
        <v>X</v>
      </c>
      <c r="K347" s="29"/>
      <c r="L347" s="30"/>
      <c r="M347" s="29"/>
      <c r="N347" s="20" t="str">
        <f>IF(J347=1, DATA_Johnstone_2023_50!M347, "")</f>
        <v/>
      </c>
      <c r="O347" s="20" t="str">
        <f>IF($J347=1, DATA_Johnstone_2023_50!N347, "")</f>
        <v/>
      </c>
      <c r="P347" s="49"/>
      <c r="Q347" s="20" t="str">
        <f>IF($J347=1, DATA_Johnstone_2023_50!P347, "")</f>
        <v/>
      </c>
      <c r="R347" s="22"/>
      <c r="T347" s="22"/>
      <c r="W347" s="47"/>
      <c r="AI347" s="75">
        <v>344</v>
      </c>
      <c r="AJ347" s="75">
        <v>100</v>
      </c>
    </row>
    <row r="348" spans="1:36" hidden="1" x14ac:dyDescent="0.35">
      <c r="A348">
        <v>1724</v>
      </c>
      <c r="B348">
        <v>1725</v>
      </c>
      <c r="C348">
        <v>146.03236380000001</v>
      </c>
      <c r="D348">
        <v>-17.525176699999999</v>
      </c>
      <c r="G348" s="1" t="str">
        <f t="shared" si="10"/>
        <v/>
      </c>
      <c r="H348">
        <v>101</v>
      </c>
      <c r="I348" t="str">
        <f t="shared" si="11"/>
        <v>X</v>
      </c>
      <c r="J348" s="53" t="str">
        <f>IFERROR(VLOOKUP(B348, DATA_Johnstone_2024_ALL!B:J, 8, FALSE), "")</f>
        <v>X</v>
      </c>
      <c r="K348" s="29"/>
      <c r="L348" s="30"/>
      <c r="M348" s="29"/>
      <c r="N348" s="20" t="str">
        <f>IF(J348=1, DATA_Johnstone_2023_50!M348, "")</f>
        <v/>
      </c>
      <c r="O348" s="20" t="str">
        <f>IF($J348=1, DATA_Johnstone_2023_50!N348, "")</f>
        <v/>
      </c>
      <c r="P348" s="49"/>
      <c r="Q348" s="20" t="str">
        <f>IF($J348=1, DATA_Johnstone_2023_50!P348, "")</f>
        <v/>
      </c>
      <c r="R348" s="22"/>
      <c r="T348" s="22"/>
      <c r="W348" s="47"/>
      <c r="AI348" s="75">
        <v>345</v>
      </c>
      <c r="AJ348" s="75">
        <v>100</v>
      </c>
    </row>
    <row r="349" spans="1:36" hidden="1" x14ac:dyDescent="0.35">
      <c r="A349">
        <v>1729</v>
      </c>
      <c r="B349">
        <v>1730</v>
      </c>
      <c r="C349">
        <v>146.03272269999999</v>
      </c>
      <c r="D349">
        <v>-17.52488293</v>
      </c>
      <c r="G349" s="1" t="str">
        <f t="shared" si="10"/>
        <v/>
      </c>
      <c r="H349">
        <v>101</v>
      </c>
      <c r="I349" t="str">
        <f t="shared" si="11"/>
        <v>X</v>
      </c>
      <c r="J349" s="53" t="str">
        <f>IFERROR(VLOOKUP(B349, DATA_Johnstone_2024_ALL!B:J, 8, FALSE), "")</f>
        <v>X</v>
      </c>
      <c r="K349" s="29"/>
      <c r="L349" s="30"/>
      <c r="M349" s="29"/>
      <c r="N349" s="20" t="str">
        <f>IF(J349=1, DATA_Johnstone_2023_50!M349, "")</f>
        <v/>
      </c>
      <c r="O349" s="20" t="str">
        <f>IF($J349=1, DATA_Johnstone_2023_50!N349, "")</f>
        <v/>
      </c>
      <c r="P349" s="49"/>
      <c r="Q349" s="20" t="str">
        <f>IF($J349=1, DATA_Johnstone_2023_50!P349, "")</f>
        <v/>
      </c>
      <c r="R349" s="22"/>
      <c r="T349" s="22"/>
      <c r="W349" s="47"/>
      <c r="AI349" s="75">
        <v>346</v>
      </c>
      <c r="AJ349" s="75">
        <v>100</v>
      </c>
    </row>
    <row r="350" spans="1:36" hidden="1" x14ac:dyDescent="0.35">
      <c r="A350">
        <v>1734</v>
      </c>
      <c r="B350">
        <v>1735</v>
      </c>
      <c r="C350">
        <v>146.0329868</v>
      </c>
      <c r="D350">
        <v>-17.524493209999999</v>
      </c>
      <c r="G350" s="1" t="str">
        <f t="shared" si="10"/>
        <v/>
      </c>
      <c r="H350">
        <v>101</v>
      </c>
      <c r="I350" t="str">
        <f t="shared" si="11"/>
        <v>X</v>
      </c>
      <c r="J350" s="53" t="str">
        <f>IFERROR(VLOOKUP(B350, DATA_Johnstone_2024_ALL!B:J, 8, FALSE), "")</f>
        <v>X</v>
      </c>
      <c r="K350" s="29"/>
      <c r="L350" s="30"/>
      <c r="M350" s="29"/>
      <c r="N350" s="20" t="str">
        <f>IF(J350=1, DATA_Johnstone_2023_50!M350, "")</f>
        <v/>
      </c>
      <c r="O350" s="20" t="str">
        <f>IF($J350=1, DATA_Johnstone_2023_50!N350, "")</f>
        <v/>
      </c>
      <c r="P350" s="49"/>
      <c r="Q350" s="20" t="str">
        <f>IF($J350=1, DATA_Johnstone_2023_50!P350, "")</f>
        <v/>
      </c>
      <c r="R350" s="22"/>
      <c r="T350" s="22"/>
      <c r="W350" s="47"/>
      <c r="AI350" s="75">
        <v>347</v>
      </c>
      <c r="AJ350" s="75">
        <v>100</v>
      </c>
    </row>
    <row r="351" spans="1:36" x14ac:dyDescent="0.35">
      <c r="A351">
        <v>1739</v>
      </c>
      <c r="B351">
        <v>1740</v>
      </c>
      <c r="C351">
        <v>146.0330586</v>
      </c>
      <c r="D351">
        <v>-17.52405126</v>
      </c>
      <c r="F351" t="s">
        <v>7081</v>
      </c>
      <c r="G351" s="1" t="str">
        <f t="shared" si="10"/>
        <v>1740_20240610_0003_L_1483.jpg</v>
      </c>
      <c r="H351">
        <v>4</v>
      </c>
      <c r="I351" t="str">
        <f t="shared" si="11"/>
        <v/>
      </c>
      <c r="J351" s="53">
        <f>IFERROR(VLOOKUP(B351, DATA_Johnstone_2024_ALL!B:J, 8, FALSE), "")</f>
        <v>1</v>
      </c>
      <c r="K351" s="29"/>
      <c r="L351" s="30"/>
      <c r="M351" s="29"/>
      <c r="N351" s="20">
        <f>IF(J351=1, DATA_Johnstone_2023_50!M351, "")</f>
        <v>4</v>
      </c>
      <c r="O351" s="20">
        <f>IF($J351=1, DATA_Johnstone_2023_50!N351, "")</f>
        <v>4</v>
      </c>
      <c r="P351" s="49"/>
      <c r="Q351" s="20">
        <f>IF($J351=1, DATA_Johnstone_2023_50!P351, "")</f>
        <v>4</v>
      </c>
      <c r="R351" s="22"/>
      <c r="T351" s="22"/>
      <c r="W351" s="47"/>
      <c r="AI351" s="75">
        <v>348</v>
      </c>
      <c r="AJ351" s="75">
        <v>100</v>
      </c>
    </row>
    <row r="352" spans="1:36" x14ac:dyDescent="0.35">
      <c r="A352">
        <v>1744</v>
      </c>
      <c r="B352">
        <v>1745</v>
      </c>
      <c r="C352">
        <v>146.03283160000001</v>
      </c>
      <c r="D352">
        <v>-17.523647489999998</v>
      </c>
      <c r="F352" t="s">
        <v>7082</v>
      </c>
      <c r="G352" s="1" t="str">
        <f t="shared" si="10"/>
        <v>1745_20240610_0003_L_1509.jpg</v>
      </c>
      <c r="H352">
        <v>4</v>
      </c>
      <c r="I352" t="str">
        <f t="shared" si="11"/>
        <v/>
      </c>
      <c r="J352" s="53">
        <f>IFERROR(VLOOKUP(B352, DATA_Johnstone_2024_ALL!B:J, 8, FALSE), "")</f>
        <v>0</v>
      </c>
      <c r="K352" s="29"/>
      <c r="L352" s="30"/>
      <c r="M352" s="29"/>
      <c r="N352" s="20" t="str">
        <f>IF(J352=1, DATA_Johnstone_2023_50!M352, "")</f>
        <v/>
      </c>
      <c r="O352" s="20" t="str">
        <f>IF($J352=1, DATA_Johnstone_2023_50!N352, "")</f>
        <v/>
      </c>
      <c r="P352" s="49"/>
      <c r="Q352" s="20" t="str">
        <f>IF($J352=1, DATA_Johnstone_2023_50!P352, "")</f>
        <v/>
      </c>
      <c r="R352" s="22"/>
      <c r="T352" s="22"/>
      <c r="W352" s="47"/>
      <c r="AI352" s="75">
        <v>349</v>
      </c>
      <c r="AJ352" s="75">
        <v>100</v>
      </c>
    </row>
    <row r="353" spans="1:36" x14ac:dyDescent="0.35">
      <c r="A353">
        <v>1749</v>
      </c>
      <c r="B353">
        <v>1750</v>
      </c>
      <c r="C353">
        <v>146.03257970000001</v>
      </c>
      <c r="D353">
        <v>-17.523248930000001</v>
      </c>
      <c r="F353" t="s">
        <v>7083</v>
      </c>
      <c r="G353" s="1" t="str">
        <f t="shared" si="10"/>
        <v>1750_20240610_0003_L_1537.jpg</v>
      </c>
      <c r="H353">
        <v>4</v>
      </c>
      <c r="I353" t="str">
        <f t="shared" si="11"/>
        <v/>
      </c>
      <c r="J353" s="53">
        <f>IFERROR(VLOOKUP(B353, DATA_Johnstone_2024_ALL!B:J, 8, FALSE), "")</f>
        <v>0</v>
      </c>
      <c r="K353" s="29"/>
      <c r="L353" s="30"/>
      <c r="M353" s="29"/>
      <c r="N353" s="20" t="str">
        <f>IF(J353=1, DATA_Johnstone_2023_50!M353, "")</f>
        <v/>
      </c>
      <c r="O353" s="20" t="str">
        <f>IF($J353=1, DATA_Johnstone_2023_50!N353, "")</f>
        <v/>
      </c>
      <c r="P353" s="49"/>
      <c r="Q353" s="20" t="str">
        <f>IF($J353=1, DATA_Johnstone_2023_50!P353, "")</f>
        <v/>
      </c>
      <c r="R353" s="22"/>
      <c r="T353" s="22"/>
      <c r="W353" s="47"/>
      <c r="AI353" s="75">
        <v>350</v>
      </c>
      <c r="AJ353" s="75">
        <v>100</v>
      </c>
    </row>
    <row r="354" spans="1:36" x14ac:dyDescent="0.35">
      <c r="A354">
        <v>1754</v>
      </c>
      <c r="B354">
        <v>1755</v>
      </c>
      <c r="C354">
        <v>146.0323535</v>
      </c>
      <c r="D354">
        <v>-17.52283589</v>
      </c>
      <c r="F354" t="s">
        <v>7084</v>
      </c>
      <c r="G354" s="1" t="str">
        <f t="shared" si="10"/>
        <v>1755_20240610_0003_L_1567.jpg</v>
      </c>
      <c r="H354">
        <v>4</v>
      </c>
      <c r="I354" t="str">
        <f t="shared" si="11"/>
        <v/>
      </c>
      <c r="J354" s="53">
        <f>IFERROR(VLOOKUP(B354, DATA_Johnstone_2024_ALL!B:J, 8, FALSE), "")</f>
        <v>0</v>
      </c>
      <c r="K354" s="29"/>
      <c r="L354" s="30"/>
      <c r="M354" s="29"/>
      <c r="N354" s="20" t="str">
        <f>IF(J354=1, DATA_Johnstone_2023_50!M354, "")</f>
        <v/>
      </c>
      <c r="O354" s="20" t="str">
        <f>IF($J354=1, DATA_Johnstone_2023_50!N354, "")</f>
        <v/>
      </c>
      <c r="P354" s="49"/>
      <c r="Q354" s="20" t="str">
        <f>IF($J354=1, DATA_Johnstone_2023_50!P354, "")</f>
        <v/>
      </c>
      <c r="R354" s="22"/>
      <c r="T354" s="22"/>
      <c r="W354" s="47"/>
      <c r="AI354" s="75">
        <v>351</v>
      </c>
      <c r="AJ354" s="75">
        <v>100</v>
      </c>
    </row>
    <row r="355" spans="1:36" x14ac:dyDescent="0.35">
      <c r="A355">
        <v>1759</v>
      </c>
      <c r="B355">
        <v>1760</v>
      </c>
      <c r="C355">
        <v>146.03214439999999</v>
      </c>
      <c r="D355">
        <v>-17.52241325</v>
      </c>
      <c r="F355" t="s">
        <v>7085</v>
      </c>
      <c r="G355" s="1" t="str">
        <f t="shared" si="10"/>
        <v>1760_20240610_0003_L_1587.jpg</v>
      </c>
      <c r="H355">
        <v>4</v>
      </c>
      <c r="I355" t="str">
        <f t="shared" si="11"/>
        <v/>
      </c>
      <c r="J355" s="53">
        <f>IFERROR(VLOOKUP(B355, DATA_Johnstone_2024_ALL!B:J, 8, FALSE), "")</f>
        <v>0</v>
      </c>
      <c r="K355" s="29"/>
      <c r="L355" s="30"/>
      <c r="M355" s="29"/>
      <c r="N355" s="20" t="str">
        <f>IF(J355=1, DATA_Johnstone_2023_50!M355, "")</f>
        <v/>
      </c>
      <c r="O355" s="20" t="str">
        <f>IF($J355=1, DATA_Johnstone_2023_50!N355, "")</f>
        <v/>
      </c>
      <c r="P355" s="49"/>
      <c r="Q355" s="20" t="str">
        <f>IF($J355=1, DATA_Johnstone_2023_50!P355, "")</f>
        <v/>
      </c>
      <c r="R355" s="22"/>
      <c r="T355" s="22"/>
      <c r="W355" s="47"/>
      <c r="AI355" s="75">
        <v>352</v>
      </c>
      <c r="AJ355" s="75">
        <v>100</v>
      </c>
    </row>
    <row r="356" spans="1:36" x14ac:dyDescent="0.35">
      <c r="A356">
        <v>1764</v>
      </c>
      <c r="B356">
        <v>1765</v>
      </c>
      <c r="C356">
        <v>146.03196260000001</v>
      </c>
      <c r="D356">
        <v>-17.521980660000001</v>
      </c>
      <c r="F356" t="s">
        <v>7086</v>
      </c>
      <c r="G356" s="1" t="str">
        <f t="shared" si="10"/>
        <v>1765_20240610_0003_L_1608.jpg</v>
      </c>
      <c r="H356">
        <v>4</v>
      </c>
      <c r="I356" t="str">
        <f t="shared" si="11"/>
        <v/>
      </c>
      <c r="J356" s="53">
        <f>IFERROR(VLOOKUP(B356, DATA_Johnstone_2024_ALL!B:J, 8, FALSE), "")</f>
        <v>0</v>
      </c>
      <c r="K356" s="29"/>
      <c r="L356" s="30"/>
      <c r="M356" s="29"/>
      <c r="N356" s="20" t="str">
        <f>IF(J356=1, DATA_Johnstone_2023_50!M356, "")</f>
        <v/>
      </c>
      <c r="O356" s="20" t="str">
        <f>IF($J356=1, DATA_Johnstone_2023_50!N356, "")</f>
        <v/>
      </c>
      <c r="P356" s="49"/>
      <c r="Q356" s="20" t="str">
        <f>IF($J356=1, DATA_Johnstone_2023_50!P356, "")</f>
        <v/>
      </c>
      <c r="R356" s="22"/>
      <c r="T356" s="22"/>
      <c r="W356" s="47"/>
      <c r="AI356" s="75">
        <v>353</v>
      </c>
      <c r="AJ356" s="75">
        <v>100</v>
      </c>
    </row>
    <row r="357" spans="1:36" x14ac:dyDescent="0.35">
      <c r="A357">
        <v>1769</v>
      </c>
      <c r="B357">
        <v>1770</v>
      </c>
      <c r="C357">
        <v>146.03184999999999</v>
      </c>
      <c r="D357">
        <v>-17.521522789999999</v>
      </c>
      <c r="F357" t="s">
        <v>7087</v>
      </c>
      <c r="G357" s="1" t="str">
        <f t="shared" si="10"/>
        <v>1770_20240610_0003_L_1633.jpg</v>
      </c>
      <c r="H357">
        <v>4</v>
      </c>
      <c r="I357" t="str">
        <f t="shared" si="11"/>
        <v/>
      </c>
      <c r="J357" s="53">
        <f>IFERROR(VLOOKUP(B357, DATA_Johnstone_2024_ALL!B:J, 8, FALSE), "")</f>
        <v>0</v>
      </c>
      <c r="K357" s="29"/>
      <c r="L357" s="30"/>
      <c r="M357" s="29"/>
      <c r="N357" s="20" t="str">
        <f>IF(J357=1, DATA_Johnstone_2023_50!M357, "")</f>
        <v/>
      </c>
      <c r="O357" s="20" t="str">
        <f>IF($J357=1, DATA_Johnstone_2023_50!N357, "")</f>
        <v/>
      </c>
      <c r="P357" s="49"/>
      <c r="Q357" s="20" t="str">
        <f>IF($J357=1, DATA_Johnstone_2023_50!P357, "")</f>
        <v/>
      </c>
      <c r="R357" s="22"/>
      <c r="T357" s="22"/>
      <c r="W357" s="47"/>
      <c r="AI357" s="75">
        <v>354</v>
      </c>
      <c r="AJ357" s="75">
        <v>100</v>
      </c>
    </row>
    <row r="358" spans="1:36" x14ac:dyDescent="0.35">
      <c r="A358">
        <v>1774</v>
      </c>
      <c r="B358">
        <v>1775</v>
      </c>
      <c r="C358">
        <v>146.03169600000001</v>
      </c>
      <c r="D358">
        <v>-17.521077309999999</v>
      </c>
      <c r="F358" t="s">
        <v>7088</v>
      </c>
      <c r="G358" s="1" t="str">
        <f t="shared" si="10"/>
        <v>1775_20240610_0003_L_1659.jpg</v>
      </c>
      <c r="H358">
        <v>4</v>
      </c>
      <c r="I358" t="str">
        <f t="shared" si="11"/>
        <v/>
      </c>
      <c r="J358" s="53">
        <f>IFERROR(VLOOKUP(B358, DATA_Johnstone_2024_ALL!B:J, 8, FALSE), "")</f>
        <v>0</v>
      </c>
      <c r="K358" s="29"/>
      <c r="L358" s="30"/>
      <c r="M358" s="29"/>
      <c r="N358" s="20" t="str">
        <f>IF(J358=1, DATA_Johnstone_2023_50!M358, "")</f>
        <v/>
      </c>
      <c r="O358" s="20" t="str">
        <f>IF($J358=1, DATA_Johnstone_2023_50!N358, "")</f>
        <v/>
      </c>
      <c r="P358" s="49"/>
      <c r="Q358" s="20" t="str">
        <f>IF($J358=1, DATA_Johnstone_2023_50!P358, "")</f>
        <v/>
      </c>
      <c r="R358" s="22"/>
      <c r="T358" s="22"/>
      <c r="W358" s="47"/>
      <c r="AI358" s="75">
        <v>355</v>
      </c>
      <c r="AJ358" s="75">
        <v>100</v>
      </c>
    </row>
    <row r="359" spans="1:36" x14ac:dyDescent="0.35">
      <c r="A359">
        <v>1779</v>
      </c>
      <c r="B359">
        <v>1780</v>
      </c>
      <c r="C359">
        <v>146.03152589999999</v>
      </c>
      <c r="D359">
        <v>-17.520637700000002</v>
      </c>
      <c r="F359" t="s">
        <v>7089</v>
      </c>
      <c r="G359" s="1" t="str">
        <f t="shared" si="10"/>
        <v>1780_20240610_0003_L_1680.jpg</v>
      </c>
      <c r="H359">
        <v>4</v>
      </c>
      <c r="I359" t="str">
        <f t="shared" si="11"/>
        <v/>
      </c>
      <c r="J359" s="53">
        <f>IFERROR(VLOOKUP(B359, DATA_Johnstone_2024_ALL!B:J, 8, FALSE), "")</f>
        <v>0</v>
      </c>
      <c r="K359" s="29"/>
      <c r="L359" s="30"/>
      <c r="M359" s="29"/>
      <c r="N359" s="20" t="str">
        <f>IF(J359=1, DATA_Johnstone_2023_50!M359, "")</f>
        <v/>
      </c>
      <c r="O359" s="20" t="str">
        <f>IF($J359=1, DATA_Johnstone_2023_50!N359, "")</f>
        <v/>
      </c>
      <c r="P359" s="49"/>
      <c r="Q359" s="20" t="str">
        <f>IF($J359=1, DATA_Johnstone_2023_50!P359, "")</f>
        <v/>
      </c>
      <c r="R359" s="22"/>
      <c r="T359" s="22"/>
      <c r="W359" s="47"/>
      <c r="AI359" s="75">
        <v>356</v>
      </c>
      <c r="AJ359" s="75">
        <v>100</v>
      </c>
    </row>
    <row r="360" spans="1:36" x14ac:dyDescent="0.35">
      <c r="A360">
        <v>1784</v>
      </c>
      <c r="B360">
        <v>1785</v>
      </c>
      <c r="C360">
        <v>146.0313668</v>
      </c>
      <c r="D360">
        <v>-17.520196030000001</v>
      </c>
      <c r="F360" t="s">
        <v>7090</v>
      </c>
      <c r="G360" s="1" t="str">
        <f t="shared" si="10"/>
        <v>1785_20240610_0003_L_1706.jpg</v>
      </c>
      <c r="H360">
        <v>4</v>
      </c>
      <c r="I360" t="str">
        <f t="shared" si="11"/>
        <v/>
      </c>
      <c r="J360" s="53">
        <f>IFERROR(VLOOKUP(B360, DATA_Johnstone_2024_ALL!B:J, 8, FALSE), "")</f>
        <v>1</v>
      </c>
      <c r="K360" s="29"/>
      <c r="L360" s="30"/>
      <c r="M360" s="29"/>
      <c r="N360" s="20">
        <f>IF(J360=1, DATA_Johnstone_2023_50!M360, "")</f>
        <v>4</v>
      </c>
      <c r="O360" s="20">
        <f>IF($J360=1, DATA_Johnstone_2023_50!N360, "")</f>
        <v>4</v>
      </c>
      <c r="P360" s="49"/>
      <c r="Q360" s="20">
        <f>IF($J360=1, DATA_Johnstone_2023_50!P360, "")</f>
        <v>4</v>
      </c>
      <c r="R360" s="22"/>
      <c r="T360" s="22"/>
      <c r="W360" s="47"/>
      <c r="AI360" s="75">
        <v>357</v>
      </c>
      <c r="AJ360" s="75">
        <v>100</v>
      </c>
    </row>
    <row r="361" spans="1:36" x14ac:dyDescent="0.35">
      <c r="A361">
        <v>1789</v>
      </c>
      <c r="B361">
        <v>1790</v>
      </c>
      <c r="C361">
        <v>146.03129680000001</v>
      </c>
      <c r="D361">
        <v>-17.519729760000001</v>
      </c>
      <c r="F361" t="s">
        <v>7091</v>
      </c>
      <c r="G361" s="1" t="str">
        <f t="shared" si="10"/>
        <v>1790_20240610_0003_L_1727.jpg</v>
      </c>
      <c r="H361">
        <v>4</v>
      </c>
      <c r="I361" t="str">
        <f t="shared" si="11"/>
        <v/>
      </c>
      <c r="J361" s="53">
        <f>IFERROR(VLOOKUP(B361, DATA_Johnstone_2024_ALL!B:J, 8, FALSE), "")</f>
        <v>1</v>
      </c>
      <c r="K361" s="29"/>
      <c r="L361" s="30"/>
      <c r="M361" s="29"/>
      <c r="N361" s="20">
        <v>3</v>
      </c>
      <c r="O361" s="20">
        <f>IF($J361=1, DATA_Johnstone_2023_50!N361, "")</f>
        <v>4</v>
      </c>
      <c r="P361" s="49"/>
      <c r="Q361" s="20">
        <v>3</v>
      </c>
      <c r="R361" s="22"/>
      <c r="T361" s="22"/>
      <c r="W361" s="47"/>
      <c r="AI361" s="75">
        <v>358</v>
      </c>
      <c r="AJ361" s="75">
        <v>100</v>
      </c>
    </row>
    <row r="362" spans="1:36" x14ac:dyDescent="0.35">
      <c r="A362">
        <v>1794</v>
      </c>
      <c r="B362">
        <v>1795</v>
      </c>
      <c r="C362">
        <v>146.03123489999999</v>
      </c>
      <c r="D362">
        <v>-17.519262319999999</v>
      </c>
      <c r="F362" t="s">
        <v>7092</v>
      </c>
      <c r="G362" s="1" t="str">
        <f t="shared" si="10"/>
        <v>1795_20240610_0003_L_1751.jpg</v>
      </c>
      <c r="H362">
        <v>4</v>
      </c>
      <c r="I362" t="str">
        <f t="shared" si="11"/>
        <v/>
      </c>
      <c r="J362" s="53">
        <f>IFERROR(VLOOKUP(B362, DATA_Johnstone_2024_ALL!B:J, 8, FALSE), "")</f>
        <v>1</v>
      </c>
      <c r="K362" s="29"/>
      <c r="L362" s="30"/>
      <c r="M362" s="29"/>
      <c r="N362" s="20">
        <v>1</v>
      </c>
      <c r="O362" s="20">
        <v>3</v>
      </c>
      <c r="P362" s="49"/>
      <c r="Q362" s="20">
        <v>3</v>
      </c>
      <c r="R362" s="22"/>
      <c r="T362" s="22"/>
      <c r="W362" s="47"/>
      <c r="AI362" s="75">
        <v>359</v>
      </c>
      <c r="AJ362" s="75">
        <v>100</v>
      </c>
    </row>
    <row r="363" spans="1:36" x14ac:dyDescent="0.35">
      <c r="A363">
        <v>1799</v>
      </c>
      <c r="B363">
        <v>1800</v>
      </c>
      <c r="C363">
        <v>146.0311202</v>
      </c>
      <c r="D363">
        <v>-17.518807110000001</v>
      </c>
      <c r="F363" t="s">
        <v>7093</v>
      </c>
      <c r="G363" s="1" t="str">
        <f t="shared" si="10"/>
        <v>1800_20240610_0003_L_1769.jpg</v>
      </c>
      <c r="H363">
        <v>4</v>
      </c>
      <c r="I363" t="str">
        <f t="shared" si="11"/>
        <v/>
      </c>
      <c r="J363" s="53">
        <f>IFERROR(VLOOKUP(B363, DATA_Johnstone_2024_ALL!B:J, 8, FALSE), "")</f>
        <v>0</v>
      </c>
      <c r="K363" s="29"/>
      <c r="L363" s="30"/>
      <c r="M363" s="29"/>
      <c r="N363" s="20" t="str">
        <f>IF(J363=1, DATA_Johnstone_2023_50!M363, "")</f>
        <v/>
      </c>
      <c r="O363" s="20" t="str">
        <f>IF($J363=1, DATA_Johnstone_2023_50!N363, "")</f>
        <v/>
      </c>
      <c r="P363" s="49"/>
      <c r="Q363" s="20" t="str">
        <f>IF($J363=1, DATA_Johnstone_2023_50!P363, "")</f>
        <v/>
      </c>
      <c r="R363" s="22"/>
      <c r="T363" s="22"/>
      <c r="W363" s="47"/>
      <c r="AI363" s="75">
        <v>360</v>
      </c>
      <c r="AJ363" s="75">
        <v>100</v>
      </c>
    </row>
    <row r="364" spans="1:36" x14ac:dyDescent="0.35">
      <c r="A364">
        <v>1804</v>
      </c>
      <c r="B364">
        <v>1805</v>
      </c>
      <c r="C364">
        <v>146.03093240000001</v>
      </c>
      <c r="D364">
        <v>-17.51837471</v>
      </c>
      <c r="F364" t="s">
        <v>7094</v>
      </c>
      <c r="G364" s="1" t="str">
        <f t="shared" si="10"/>
        <v>1805_20240610_0003_L_1786.jpg</v>
      </c>
      <c r="H364">
        <v>4</v>
      </c>
      <c r="I364" t="str">
        <f t="shared" si="11"/>
        <v/>
      </c>
      <c r="J364" s="53">
        <f>IFERROR(VLOOKUP(B364, DATA_Johnstone_2024_ALL!B:J, 8, FALSE), "")</f>
        <v>1</v>
      </c>
      <c r="K364" s="29"/>
      <c r="L364" s="30"/>
      <c r="M364" s="29"/>
      <c r="N364" s="20">
        <v>3</v>
      </c>
      <c r="O364" s="20">
        <v>3</v>
      </c>
      <c r="P364" s="49"/>
      <c r="Q364" s="20">
        <f>IF($J364=1, DATA_Johnstone_2023_50!P364, "")</f>
        <v>4</v>
      </c>
      <c r="R364" s="22"/>
      <c r="T364" s="22"/>
      <c r="W364" s="47"/>
      <c r="AI364" s="75">
        <v>361</v>
      </c>
      <c r="AJ364" s="75">
        <v>100</v>
      </c>
    </row>
    <row r="365" spans="1:36" x14ac:dyDescent="0.35">
      <c r="A365">
        <v>1809</v>
      </c>
      <c r="B365">
        <v>1810</v>
      </c>
      <c r="C365">
        <v>146.0306908</v>
      </c>
      <c r="D365">
        <v>-17.517977890000001</v>
      </c>
      <c r="F365" t="s">
        <v>7095</v>
      </c>
      <c r="G365" s="1" t="str">
        <f t="shared" si="10"/>
        <v>1810_20240610_0003_L_1802.jpg</v>
      </c>
      <c r="H365">
        <v>4</v>
      </c>
      <c r="I365" t="str">
        <f t="shared" si="11"/>
        <v/>
      </c>
      <c r="J365" s="53">
        <f>IFERROR(VLOOKUP(B365, DATA_Johnstone_2024_ALL!B:J, 8, FALSE), "")</f>
        <v>1</v>
      </c>
      <c r="K365" s="29"/>
      <c r="L365" s="30"/>
      <c r="M365" s="29"/>
      <c r="N365" s="20">
        <f>IF(J365=1, DATA_Johnstone_2023_50!M365, "")</f>
        <v>3</v>
      </c>
      <c r="O365" s="20">
        <v>3</v>
      </c>
      <c r="P365" s="49"/>
      <c r="Q365" s="20">
        <f>IF($J365=1, DATA_Johnstone_2023_50!P365, "")</f>
        <v>4</v>
      </c>
      <c r="R365" s="22"/>
      <c r="T365" s="22"/>
      <c r="W365" s="47"/>
      <c r="AI365" s="75">
        <v>362</v>
      </c>
      <c r="AJ365" s="75">
        <v>100</v>
      </c>
    </row>
    <row r="366" spans="1:36" x14ac:dyDescent="0.35">
      <c r="A366">
        <v>1814</v>
      </c>
      <c r="B366">
        <v>1815</v>
      </c>
      <c r="C366">
        <v>146.03028430000001</v>
      </c>
      <c r="D366">
        <v>-17.517742070000001</v>
      </c>
      <c r="F366" t="s">
        <v>7096</v>
      </c>
      <c r="G366" s="1" t="str">
        <f t="shared" si="10"/>
        <v>1815_20240610_0003_L_1816.jpg</v>
      </c>
      <c r="H366">
        <v>4</v>
      </c>
      <c r="I366" t="str">
        <f t="shared" si="11"/>
        <v/>
      </c>
      <c r="J366" s="53">
        <f>IFERROR(VLOOKUP(B366, DATA_Johnstone_2024_ALL!B:J, 8, FALSE), "")</f>
        <v>1</v>
      </c>
      <c r="K366" s="29"/>
      <c r="L366" s="30"/>
      <c r="M366" s="29"/>
      <c r="N366" s="20">
        <v>3</v>
      </c>
      <c r="O366" s="20">
        <f>IF($J366=1, DATA_Johnstone_2023_50!N366, "")</f>
        <v>4</v>
      </c>
      <c r="P366" s="49"/>
      <c r="Q366" s="20">
        <v>3</v>
      </c>
      <c r="R366" s="22"/>
      <c r="T366" s="22"/>
      <c r="W366" s="47"/>
      <c r="AI366" s="75">
        <v>363</v>
      </c>
      <c r="AJ366" s="75">
        <v>100</v>
      </c>
    </row>
    <row r="367" spans="1:36" x14ac:dyDescent="0.35">
      <c r="A367">
        <v>1819</v>
      </c>
      <c r="B367">
        <v>1820</v>
      </c>
      <c r="C367">
        <v>146.0300641</v>
      </c>
      <c r="D367">
        <v>-17.517336279999999</v>
      </c>
      <c r="F367" t="s">
        <v>7097</v>
      </c>
      <c r="G367" s="1" t="str">
        <f t="shared" si="10"/>
        <v>1820_20240610_0003_L_1832.jpg</v>
      </c>
      <c r="H367">
        <v>4</v>
      </c>
      <c r="I367" t="str">
        <f t="shared" si="11"/>
        <v/>
      </c>
      <c r="J367" s="53">
        <f>IFERROR(VLOOKUP(B367, DATA_Johnstone_2024_ALL!B:J, 8, FALSE), "")</f>
        <v>0</v>
      </c>
      <c r="K367" s="29"/>
      <c r="L367" s="30"/>
      <c r="M367" s="29"/>
      <c r="N367" s="20" t="str">
        <f>IF(J367=1, DATA_Johnstone_2023_50!M367, "")</f>
        <v/>
      </c>
      <c r="O367" s="20" t="str">
        <f>IF($J367=1, DATA_Johnstone_2023_50!N367, "")</f>
        <v/>
      </c>
      <c r="P367" s="49"/>
      <c r="Q367" s="20" t="str">
        <f>IF($J367=1, DATA_Johnstone_2023_50!P367, "")</f>
        <v/>
      </c>
      <c r="R367" s="22"/>
      <c r="T367" s="22"/>
      <c r="W367" s="47"/>
      <c r="AI367" s="75">
        <v>364</v>
      </c>
      <c r="AJ367" s="75">
        <v>100</v>
      </c>
    </row>
    <row r="368" spans="1:36" x14ac:dyDescent="0.35">
      <c r="A368">
        <v>1824</v>
      </c>
      <c r="B368">
        <v>1825</v>
      </c>
      <c r="C368">
        <v>146.03000750000001</v>
      </c>
      <c r="D368">
        <v>-17.51686861</v>
      </c>
      <c r="F368" t="s">
        <v>7098</v>
      </c>
      <c r="G368" s="1" t="str">
        <f t="shared" si="10"/>
        <v>1825_20240610_0003_L_1843.jpg</v>
      </c>
      <c r="H368">
        <v>4</v>
      </c>
      <c r="I368" t="str">
        <f t="shared" si="11"/>
        <v/>
      </c>
      <c r="J368" s="53">
        <f>IFERROR(VLOOKUP(B368, DATA_Johnstone_2024_ALL!B:J, 8, FALSE), "")</f>
        <v>0</v>
      </c>
      <c r="K368" s="29"/>
      <c r="L368" s="30"/>
      <c r="M368" s="29"/>
      <c r="N368" s="20" t="str">
        <f>IF(J368=1, DATA_Johnstone_2023_50!M368, "")</f>
        <v/>
      </c>
      <c r="O368" s="20" t="str">
        <f>IF($J368=1, DATA_Johnstone_2023_50!N368, "")</f>
        <v/>
      </c>
      <c r="P368" s="49"/>
      <c r="Q368" s="20" t="str">
        <f>IF($J368=1, DATA_Johnstone_2023_50!P368, "")</f>
        <v/>
      </c>
      <c r="R368" s="22"/>
      <c r="T368" s="22"/>
      <c r="W368" s="47"/>
      <c r="AI368" s="75">
        <v>365</v>
      </c>
      <c r="AJ368" s="75">
        <v>100</v>
      </c>
    </row>
    <row r="369" spans="1:36" x14ac:dyDescent="0.35">
      <c r="A369">
        <v>1829</v>
      </c>
      <c r="B369">
        <v>1830</v>
      </c>
      <c r="C369">
        <v>146.02998779999999</v>
      </c>
      <c r="D369">
        <v>-17.516400640000001</v>
      </c>
      <c r="F369" t="s">
        <v>7099</v>
      </c>
      <c r="G369" s="1" t="str">
        <f t="shared" si="10"/>
        <v>1830_20240610_0003_L_1853.jpg</v>
      </c>
      <c r="H369">
        <v>4</v>
      </c>
      <c r="I369" t="str">
        <f t="shared" si="11"/>
        <v/>
      </c>
      <c r="J369" s="53">
        <f>IFERROR(VLOOKUP(B369, DATA_Johnstone_2024_ALL!B:J, 8, FALSE), "")</f>
        <v>1</v>
      </c>
      <c r="K369" s="29"/>
      <c r="L369" s="30"/>
      <c r="M369" s="29"/>
      <c r="N369" s="20">
        <v>3</v>
      </c>
      <c r="O369" s="20">
        <f>IF($J369=1, DATA_Johnstone_2023_50!N369, "")</f>
        <v>4</v>
      </c>
      <c r="P369" s="49"/>
      <c r="Q369" s="20">
        <v>3</v>
      </c>
      <c r="R369" s="22"/>
      <c r="T369" s="22"/>
      <c r="W369" s="47"/>
      <c r="AI369" s="75">
        <v>366</v>
      </c>
      <c r="AJ369" s="75">
        <v>100</v>
      </c>
    </row>
    <row r="370" spans="1:36" x14ac:dyDescent="0.35">
      <c r="A370">
        <v>1834</v>
      </c>
      <c r="B370">
        <v>1835</v>
      </c>
      <c r="C370">
        <v>146.03007550000001</v>
      </c>
      <c r="D370">
        <v>-17.51593797</v>
      </c>
      <c r="F370" t="s">
        <v>7100</v>
      </c>
      <c r="G370" s="1" t="str">
        <f t="shared" si="10"/>
        <v>1835_20240610_0003_L_1867.jpg</v>
      </c>
      <c r="H370">
        <v>4</v>
      </c>
      <c r="I370" t="str">
        <f t="shared" si="11"/>
        <v/>
      </c>
      <c r="J370" s="53">
        <f>IFERROR(VLOOKUP(B370, DATA_Johnstone_2024_ALL!B:J, 8, FALSE), "")</f>
        <v>0</v>
      </c>
      <c r="K370" s="29"/>
      <c r="L370" s="30"/>
      <c r="M370" s="29"/>
      <c r="N370" s="20" t="str">
        <f>IF(J370=1, DATA_Johnstone_2023_50!M370, "")</f>
        <v/>
      </c>
      <c r="O370" s="20" t="str">
        <f>IF($J370=1, DATA_Johnstone_2023_50!N370, "")</f>
        <v/>
      </c>
      <c r="P370" s="49"/>
      <c r="Q370" s="20" t="str">
        <f>IF($J370=1, DATA_Johnstone_2023_50!P370, "")</f>
        <v/>
      </c>
      <c r="R370" s="22"/>
      <c r="T370" s="22"/>
      <c r="W370" s="47"/>
      <c r="AI370" s="75">
        <v>367</v>
      </c>
      <c r="AJ370" s="75">
        <v>100</v>
      </c>
    </row>
    <row r="371" spans="1:36" x14ac:dyDescent="0.35">
      <c r="A371">
        <v>1839</v>
      </c>
      <c r="B371">
        <v>1840</v>
      </c>
      <c r="C371">
        <v>146.0302259</v>
      </c>
      <c r="D371">
        <v>-17.51549159</v>
      </c>
      <c r="F371" t="s">
        <v>7101</v>
      </c>
      <c r="G371" s="1" t="str">
        <f t="shared" si="10"/>
        <v>1840_20240610_0003_L_1881.jpg</v>
      </c>
      <c r="H371">
        <v>4</v>
      </c>
      <c r="I371" t="str">
        <f t="shared" si="11"/>
        <v/>
      </c>
      <c r="J371" s="53">
        <f>IFERROR(VLOOKUP(B371, DATA_Johnstone_2024_ALL!B:J, 8, FALSE), "")</f>
        <v>0</v>
      </c>
      <c r="K371" s="29"/>
      <c r="L371" s="30"/>
      <c r="M371" s="29"/>
      <c r="N371" s="20" t="str">
        <f>IF(J371=1, DATA_Johnstone_2023_50!M371, "")</f>
        <v/>
      </c>
      <c r="O371" s="20" t="str">
        <f>IF($J371=1, DATA_Johnstone_2023_50!N371, "")</f>
        <v/>
      </c>
      <c r="P371" s="49"/>
      <c r="Q371" s="20" t="str">
        <f>IF($J371=1, DATA_Johnstone_2023_50!P371, "")</f>
        <v/>
      </c>
      <c r="R371" s="22"/>
      <c r="T371" s="22"/>
      <c r="W371" s="47"/>
      <c r="AI371" s="75">
        <v>368</v>
      </c>
      <c r="AJ371" s="75">
        <v>100</v>
      </c>
    </row>
    <row r="372" spans="1:36" x14ac:dyDescent="0.35">
      <c r="A372">
        <v>1844</v>
      </c>
      <c r="B372">
        <v>1845</v>
      </c>
      <c r="C372">
        <v>146.030439</v>
      </c>
      <c r="D372">
        <v>-17.515071720000002</v>
      </c>
      <c r="F372" t="s">
        <v>7102</v>
      </c>
      <c r="G372" s="1" t="str">
        <f t="shared" si="10"/>
        <v>1845_20240610_0003_L_1896.jpg</v>
      </c>
      <c r="H372">
        <v>4</v>
      </c>
      <c r="I372" t="str">
        <f t="shared" si="11"/>
        <v/>
      </c>
      <c r="J372" s="53">
        <f>IFERROR(VLOOKUP(B372, DATA_Johnstone_2024_ALL!B:J, 8, FALSE), "")</f>
        <v>1</v>
      </c>
      <c r="K372" s="29"/>
      <c r="L372" s="30"/>
      <c r="M372" s="29"/>
      <c r="N372" s="20">
        <v>3</v>
      </c>
      <c r="O372" s="20">
        <f>IF($J372=1, DATA_Johnstone_2023_50!N372, "")</f>
        <v>4</v>
      </c>
      <c r="P372" s="49"/>
      <c r="Q372" s="20">
        <f>IF($J372=1, DATA_Johnstone_2023_50!P372, "")</f>
        <v>4</v>
      </c>
      <c r="R372" s="22"/>
      <c r="T372" s="22"/>
      <c r="W372" s="47"/>
      <c r="AI372" s="75">
        <v>369</v>
      </c>
      <c r="AJ372" s="75">
        <v>100</v>
      </c>
    </row>
    <row r="373" spans="1:36" x14ac:dyDescent="0.35">
      <c r="A373">
        <v>1849</v>
      </c>
      <c r="B373">
        <v>1850</v>
      </c>
      <c r="C373">
        <v>146.03068500000001</v>
      </c>
      <c r="D373">
        <v>-17.514671209999999</v>
      </c>
      <c r="F373" t="s">
        <v>7103</v>
      </c>
      <c r="G373" s="1" t="str">
        <f t="shared" si="10"/>
        <v>1850_20240610_0003_L_1911.jpg</v>
      </c>
      <c r="H373">
        <v>4</v>
      </c>
      <c r="I373" t="str">
        <f t="shared" si="11"/>
        <v/>
      </c>
      <c r="J373" s="53">
        <f>IFERROR(VLOOKUP(B373, DATA_Johnstone_2024_ALL!B:J, 8, FALSE), "")</f>
        <v>0</v>
      </c>
      <c r="K373" s="29"/>
      <c r="L373" s="30"/>
      <c r="M373" s="29"/>
      <c r="N373" s="20" t="str">
        <f>IF(J373=1, DATA_Johnstone_2023_50!M373, "")</f>
        <v/>
      </c>
      <c r="O373" s="20" t="str">
        <f>IF($J373=1, DATA_Johnstone_2023_50!N373, "")</f>
        <v/>
      </c>
      <c r="P373" s="49"/>
      <c r="Q373" s="20" t="str">
        <f>IF($J373=1, DATA_Johnstone_2023_50!P373, "")</f>
        <v/>
      </c>
      <c r="R373" s="22"/>
      <c r="T373" s="22"/>
      <c r="W373" s="47"/>
      <c r="AI373" s="75">
        <v>370</v>
      </c>
      <c r="AJ373" s="75">
        <v>100</v>
      </c>
    </row>
    <row r="374" spans="1:36" x14ac:dyDescent="0.35">
      <c r="A374">
        <v>1854</v>
      </c>
      <c r="B374">
        <v>1855</v>
      </c>
      <c r="C374">
        <v>146.03095450000001</v>
      </c>
      <c r="D374">
        <v>-17.514287419999999</v>
      </c>
      <c r="F374" t="s">
        <v>7104</v>
      </c>
      <c r="G374" s="1" t="str">
        <f t="shared" si="10"/>
        <v>1855_20240610_0003_L_1925.jpg</v>
      </c>
      <c r="H374">
        <v>4</v>
      </c>
      <c r="I374" t="str">
        <f t="shared" si="11"/>
        <v/>
      </c>
      <c r="J374" s="53">
        <f>IFERROR(VLOOKUP(B374, DATA_Johnstone_2024_ALL!B:J, 8, FALSE), "")</f>
        <v>1</v>
      </c>
      <c r="K374" s="29"/>
      <c r="L374" s="30"/>
      <c r="M374" s="29"/>
      <c r="N374" s="20">
        <v>3</v>
      </c>
      <c r="O374" s="20">
        <f>IF($J374=1, DATA_Johnstone_2023_50!N374, "")</f>
        <v>4</v>
      </c>
      <c r="P374" s="49"/>
      <c r="Q374" s="20">
        <v>4</v>
      </c>
      <c r="R374" s="22"/>
      <c r="T374" s="22"/>
      <c r="W374" s="47"/>
      <c r="AI374" s="75">
        <v>371</v>
      </c>
      <c r="AJ374" s="75">
        <v>100</v>
      </c>
    </row>
    <row r="375" spans="1:36" x14ac:dyDescent="0.35">
      <c r="A375">
        <v>1859</v>
      </c>
      <c r="B375">
        <v>1860</v>
      </c>
      <c r="C375">
        <v>146.03119409999999</v>
      </c>
      <c r="D375">
        <v>-17.513883329999999</v>
      </c>
      <c r="F375" t="s">
        <v>7105</v>
      </c>
      <c r="G375" s="1" t="str">
        <f t="shared" si="10"/>
        <v>1860_20240610_0003_L_1940.jpg</v>
      </c>
      <c r="H375">
        <v>4</v>
      </c>
      <c r="I375" t="str">
        <f t="shared" si="11"/>
        <v/>
      </c>
      <c r="J375" s="53">
        <f>IFERROR(VLOOKUP(B375, DATA_Johnstone_2024_ALL!B:J, 8, FALSE), "")</f>
        <v>1</v>
      </c>
      <c r="K375" s="29"/>
      <c r="L375" s="30"/>
      <c r="M375" s="29"/>
      <c r="N375" s="20">
        <f>IF(J375=1, DATA_Johnstone_2023_50!M375, "")</f>
        <v>3</v>
      </c>
      <c r="O375" s="20">
        <f>IF($J375=1, DATA_Johnstone_2023_50!N375, "")</f>
        <v>4</v>
      </c>
      <c r="P375" s="49"/>
      <c r="Q375" s="20">
        <v>4</v>
      </c>
      <c r="R375" s="22"/>
      <c r="T375" s="22"/>
      <c r="W375" s="47"/>
      <c r="AI375" s="75">
        <v>372</v>
      </c>
      <c r="AJ375" s="75">
        <v>100</v>
      </c>
    </row>
    <row r="376" spans="1:36" x14ac:dyDescent="0.35">
      <c r="A376">
        <v>1864</v>
      </c>
      <c r="B376">
        <v>1865</v>
      </c>
      <c r="C376">
        <v>146.0314984</v>
      </c>
      <c r="D376">
        <v>-17.513523119999999</v>
      </c>
      <c r="F376" t="s">
        <v>7106</v>
      </c>
      <c r="G376" s="1" t="str">
        <f t="shared" si="10"/>
        <v>1865_20240610_0003_L_1955.jpg</v>
      </c>
      <c r="H376">
        <v>4</v>
      </c>
      <c r="I376" t="str">
        <f t="shared" si="11"/>
        <v/>
      </c>
      <c r="J376" s="53">
        <f>IFERROR(VLOOKUP(B376, DATA_Johnstone_2024_ALL!B:J, 8, FALSE), "")</f>
        <v>1</v>
      </c>
      <c r="K376" s="29"/>
      <c r="L376" s="30"/>
      <c r="M376" s="29"/>
      <c r="N376" s="20">
        <v>3</v>
      </c>
      <c r="O376" s="20">
        <f>IF($J376=1, DATA_Johnstone_2023_50!N376, "")</f>
        <v>4</v>
      </c>
      <c r="P376" s="49"/>
      <c r="Q376" s="20">
        <f>IF($J376=1, DATA_Johnstone_2023_50!P376, "")</f>
        <v>3</v>
      </c>
      <c r="R376" s="22"/>
      <c r="T376" s="22"/>
      <c r="W376" s="47"/>
      <c r="AI376" s="75">
        <v>373</v>
      </c>
      <c r="AJ376" s="75">
        <v>100</v>
      </c>
    </row>
    <row r="377" spans="1:36" x14ac:dyDescent="0.35">
      <c r="A377">
        <v>1869</v>
      </c>
      <c r="B377">
        <v>1870</v>
      </c>
      <c r="C377">
        <v>146.03179040000001</v>
      </c>
      <c r="D377">
        <v>-17.51315314</v>
      </c>
      <c r="F377" t="s">
        <v>7107</v>
      </c>
      <c r="G377" s="1" t="str">
        <f t="shared" si="10"/>
        <v>1870_20240610_0003_L_1970.jpg</v>
      </c>
      <c r="H377">
        <v>4</v>
      </c>
      <c r="I377" t="str">
        <f t="shared" si="11"/>
        <v/>
      </c>
      <c r="J377" s="53">
        <f>IFERROR(VLOOKUP(B377, DATA_Johnstone_2024_ALL!B:J, 8, FALSE), "")</f>
        <v>1</v>
      </c>
      <c r="K377" s="29"/>
      <c r="L377" s="30"/>
      <c r="M377" s="29"/>
      <c r="N377" s="20">
        <v>2</v>
      </c>
      <c r="O377" s="20">
        <f>IF($J377=1, DATA_Johnstone_2023_50!N377, "")</f>
        <v>4</v>
      </c>
      <c r="P377" s="49"/>
      <c r="Q377" s="20">
        <f>IF($J377=1, DATA_Johnstone_2023_50!P377, "")</f>
        <v>4</v>
      </c>
      <c r="R377" s="22"/>
      <c r="T377" s="22"/>
      <c r="W377" s="47"/>
      <c r="AI377" s="75">
        <v>374</v>
      </c>
      <c r="AJ377" s="75">
        <v>100</v>
      </c>
    </row>
    <row r="378" spans="1:36" x14ac:dyDescent="0.35">
      <c r="A378">
        <v>1874</v>
      </c>
      <c r="B378">
        <v>1875</v>
      </c>
      <c r="C378">
        <v>146.0320767</v>
      </c>
      <c r="D378">
        <v>-17.512778440000002</v>
      </c>
      <c r="F378" t="s">
        <v>7108</v>
      </c>
      <c r="G378" s="1" t="str">
        <f t="shared" si="10"/>
        <v>1875_20240610_0003_L_1986.jpg</v>
      </c>
      <c r="H378">
        <v>4</v>
      </c>
      <c r="I378" t="str">
        <f t="shared" si="11"/>
        <v/>
      </c>
      <c r="J378" s="53">
        <f>IFERROR(VLOOKUP(B378, DATA_Johnstone_2024_ALL!B:J, 8, FALSE), "")</f>
        <v>1</v>
      </c>
      <c r="K378" s="29"/>
      <c r="L378" s="30"/>
      <c r="M378" s="29"/>
      <c r="N378" s="20">
        <v>2</v>
      </c>
      <c r="O378" s="20">
        <v>4</v>
      </c>
      <c r="P378" s="49"/>
      <c r="Q378" s="20">
        <v>4</v>
      </c>
      <c r="R378" s="22"/>
      <c r="T378" s="22"/>
      <c r="W378" s="47"/>
      <c r="AI378" s="75">
        <v>375</v>
      </c>
      <c r="AJ378" s="75">
        <v>100</v>
      </c>
    </row>
    <row r="379" spans="1:36" x14ac:dyDescent="0.35">
      <c r="A379">
        <v>1879</v>
      </c>
      <c r="B379">
        <v>1880</v>
      </c>
      <c r="C379">
        <v>146.03236519999999</v>
      </c>
      <c r="D379">
        <v>-17.51240554</v>
      </c>
      <c r="F379" t="s">
        <v>7109</v>
      </c>
      <c r="G379" s="1" t="str">
        <f t="shared" si="10"/>
        <v>1880_20240610_0003_L_2003.jpg</v>
      </c>
      <c r="H379">
        <v>4</v>
      </c>
      <c r="I379" t="str">
        <f t="shared" si="11"/>
        <v/>
      </c>
      <c r="J379" s="53">
        <f>IFERROR(VLOOKUP(B379, DATA_Johnstone_2024_ALL!B:J, 8, FALSE), "")</f>
        <v>0</v>
      </c>
      <c r="K379" s="29"/>
      <c r="L379" s="30"/>
      <c r="M379" s="29"/>
      <c r="N379" s="20" t="str">
        <f>IF(J379=1, DATA_Johnstone_2023_50!M379, "")</f>
        <v/>
      </c>
      <c r="O379" s="20" t="str">
        <f>IF($J379=1, DATA_Johnstone_2023_50!N379, "")</f>
        <v/>
      </c>
      <c r="P379" s="49"/>
      <c r="Q379" s="20" t="str">
        <f>IF($J379=1, DATA_Johnstone_2023_50!P379, "")</f>
        <v/>
      </c>
      <c r="R379" s="22"/>
      <c r="T379" s="22"/>
      <c r="W379" s="47"/>
      <c r="AI379" s="75">
        <v>376</v>
      </c>
      <c r="AJ379" s="75">
        <v>100</v>
      </c>
    </row>
    <row r="380" spans="1:36" x14ac:dyDescent="0.35">
      <c r="A380">
        <v>1884</v>
      </c>
      <c r="B380">
        <v>1885</v>
      </c>
      <c r="C380">
        <v>146.03266450000001</v>
      </c>
      <c r="D380">
        <v>-17.512041199999999</v>
      </c>
      <c r="F380" t="s">
        <v>7110</v>
      </c>
      <c r="G380" s="1" t="str">
        <f t="shared" si="10"/>
        <v>1885_20240610_0003_L_2020.jpg</v>
      </c>
      <c r="H380">
        <v>4</v>
      </c>
      <c r="I380" t="str">
        <f t="shared" si="11"/>
        <v/>
      </c>
      <c r="J380" s="53">
        <f>IFERROR(VLOOKUP(B380, DATA_Johnstone_2024_ALL!B:J, 8, FALSE), "")</f>
        <v>1</v>
      </c>
      <c r="K380" s="29"/>
      <c r="L380" s="30"/>
      <c r="M380" s="29"/>
      <c r="N380" s="20">
        <v>3</v>
      </c>
      <c r="O380" s="20">
        <f>IF($J380=1, DATA_Johnstone_2023_50!N380, "")</f>
        <v>4</v>
      </c>
      <c r="P380" s="49"/>
      <c r="Q380" s="20">
        <v>2</v>
      </c>
      <c r="R380" s="22"/>
      <c r="T380" s="22"/>
      <c r="W380" s="47"/>
      <c r="AI380" s="75">
        <v>377</v>
      </c>
      <c r="AJ380" s="75">
        <v>100</v>
      </c>
    </row>
    <row r="381" spans="1:36" x14ac:dyDescent="0.35">
      <c r="A381">
        <v>1889</v>
      </c>
      <c r="B381">
        <v>1890</v>
      </c>
      <c r="C381">
        <v>146.0329653</v>
      </c>
      <c r="D381">
        <v>-17.511678119999999</v>
      </c>
      <c r="F381" t="s">
        <v>7111</v>
      </c>
      <c r="G381" s="1" t="str">
        <f t="shared" si="10"/>
        <v>1890_20240610_0003_L_2035.jpg</v>
      </c>
      <c r="H381">
        <v>4</v>
      </c>
      <c r="I381" t="str">
        <f t="shared" si="11"/>
        <v/>
      </c>
      <c r="J381" s="53">
        <f>IFERROR(VLOOKUP(B381, DATA_Johnstone_2024_ALL!B:J, 8, FALSE), "")</f>
        <v>1</v>
      </c>
      <c r="K381" s="29"/>
      <c r="L381" s="30"/>
      <c r="M381" s="29"/>
      <c r="N381" s="20">
        <f>IF(J381=1, DATA_Johnstone_2023_50!M381, "")</f>
        <v>3</v>
      </c>
      <c r="O381" s="20">
        <f>IF($J381=1, DATA_Johnstone_2023_50!N381, "")</f>
        <v>4</v>
      </c>
      <c r="P381" s="49"/>
      <c r="Q381" s="20">
        <f>IF($J381=1, DATA_Johnstone_2023_50!P381, "")</f>
        <v>4</v>
      </c>
      <c r="R381" s="22"/>
      <c r="T381" s="22"/>
      <c r="W381" s="47"/>
      <c r="AI381" s="75">
        <v>378</v>
      </c>
      <c r="AJ381" s="75">
        <v>100</v>
      </c>
    </row>
    <row r="382" spans="1:36" x14ac:dyDescent="0.35">
      <c r="A382">
        <v>1894</v>
      </c>
      <c r="B382">
        <v>1895</v>
      </c>
      <c r="C382">
        <v>146.0332703</v>
      </c>
      <c r="D382">
        <v>-17.511318469999999</v>
      </c>
      <c r="F382" t="s">
        <v>7112</v>
      </c>
      <c r="G382" s="1" t="str">
        <f t="shared" si="10"/>
        <v>1895_20240610_0003_L_2050.jpg</v>
      </c>
      <c r="H382">
        <v>4</v>
      </c>
      <c r="I382" t="str">
        <f t="shared" si="11"/>
        <v/>
      </c>
      <c r="J382" s="53">
        <f>IFERROR(VLOOKUP(B382, DATA_Johnstone_2024_ALL!B:J, 8, FALSE), "")</f>
        <v>1</v>
      </c>
      <c r="K382" s="29"/>
      <c r="L382" s="30"/>
      <c r="M382" s="29"/>
      <c r="N382" s="20">
        <f>IF(J382=1, DATA_Johnstone_2023_50!M382, "")</f>
        <v>3</v>
      </c>
      <c r="O382" s="20">
        <v>3</v>
      </c>
      <c r="P382" s="49"/>
      <c r="Q382" s="20">
        <v>4</v>
      </c>
      <c r="R382" s="22"/>
      <c r="T382" s="22"/>
      <c r="W382" s="47"/>
      <c r="AI382" s="75">
        <v>379</v>
      </c>
      <c r="AJ382" s="75">
        <v>100</v>
      </c>
    </row>
    <row r="383" spans="1:36" x14ac:dyDescent="0.35">
      <c r="A383">
        <v>1899</v>
      </c>
      <c r="B383">
        <v>1900</v>
      </c>
      <c r="C383">
        <v>146.03357579999999</v>
      </c>
      <c r="D383">
        <v>-17.51095931</v>
      </c>
      <c r="F383" t="s">
        <v>7113</v>
      </c>
      <c r="G383" s="1" t="str">
        <f t="shared" si="10"/>
        <v>1900_20240610_0003_L_2066.jpg</v>
      </c>
      <c r="H383">
        <v>4</v>
      </c>
      <c r="I383" t="str">
        <f t="shared" si="11"/>
        <v/>
      </c>
      <c r="J383" s="53">
        <f>IFERROR(VLOOKUP(B383, DATA_Johnstone_2024_ALL!B:J, 8, FALSE), "")</f>
        <v>1</v>
      </c>
      <c r="K383" s="29"/>
      <c r="L383" s="30"/>
      <c r="M383" s="29"/>
      <c r="N383" s="20">
        <v>3</v>
      </c>
      <c r="O383" s="20">
        <f>IF($J383=1, DATA_Johnstone_2023_50!N383, "")</f>
        <v>4</v>
      </c>
      <c r="P383" s="49"/>
      <c r="Q383" s="20">
        <f>IF($J383=1, DATA_Johnstone_2023_50!P383, "")</f>
        <v>4</v>
      </c>
      <c r="R383" s="22"/>
      <c r="T383" s="22"/>
      <c r="W383" s="47"/>
      <c r="AI383" s="75">
        <v>380</v>
      </c>
      <c r="AJ383" s="75">
        <v>100</v>
      </c>
    </row>
    <row r="384" spans="1:36" x14ac:dyDescent="0.35">
      <c r="A384">
        <v>1904</v>
      </c>
      <c r="B384">
        <v>1905</v>
      </c>
      <c r="C384">
        <v>146.03386209999999</v>
      </c>
      <c r="D384">
        <v>-17.51058531</v>
      </c>
      <c r="F384" t="s">
        <v>7114</v>
      </c>
      <c r="G384" s="1" t="str">
        <f t="shared" si="10"/>
        <v>1905_20240610_0003_L_2084.jpg</v>
      </c>
      <c r="H384">
        <v>4</v>
      </c>
      <c r="I384" t="str">
        <f t="shared" si="11"/>
        <v/>
      </c>
      <c r="J384" s="53">
        <f>IFERROR(VLOOKUP(B384, DATA_Johnstone_2024_ALL!B:J, 8, FALSE), "")</f>
        <v>0</v>
      </c>
      <c r="K384" s="29"/>
      <c r="L384" s="30"/>
      <c r="M384" s="29"/>
      <c r="N384" s="20" t="str">
        <f>IF(J384=1, DATA_Johnstone_2023_50!M384, "")</f>
        <v/>
      </c>
      <c r="O384" s="20" t="str">
        <f>IF($J384=1, DATA_Johnstone_2023_50!N384, "")</f>
        <v/>
      </c>
      <c r="P384" s="49"/>
      <c r="Q384" s="20" t="str">
        <f>IF($J384=1, DATA_Johnstone_2023_50!P384, "")</f>
        <v/>
      </c>
      <c r="R384" s="22"/>
      <c r="T384" s="22"/>
      <c r="W384" s="47"/>
      <c r="AI384" s="75">
        <v>381</v>
      </c>
      <c r="AJ384" s="75">
        <v>100</v>
      </c>
    </row>
    <row r="385" spans="1:36" hidden="1" x14ac:dyDescent="0.35">
      <c r="A385">
        <v>1909</v>
      </c>
      <c r="B385">
        <v>1910</v>
      </c>
      <c r="C385">
        <v>146.0341339</v>
      </c>
      <c r="D385">
        <v>-17.510200000000001</v>
      </c>
      <c r="F385" t="s">
        <v>7115</v>
      </c>
      <c r="G385" s="1" t="str">
        <f t="shared" si="10"/>
        <v>1910_20240610_0003_L_2102.jpg</v>
      </c>
      <c r="H385">
        <v>5</v>
      </c>
      <c r="I385" t="str">
        <f t="shared" si="11"/>
        <v/>
      </c>
      <c r="J385" s="53">
        <f>IFERROR(VLOOKUP(B385, DATA_Johnstone_2024_ALL!B:J, 8, FALSE), "")</f>
        <v>0</v>
      </c>
      <c r="K385" s="29"/>
      <c r="L385" s="30"/>
      <c r="M385" s="29"/>
      <c r="N385" s="20" t="str">
        <f>IF(J385=1, DATA_Johnstone_2023_50!M385, "")</f>
        <v/>
      </c>
      <c r="O385" s="20" t="str">
        <f>IF($J385=1, DATA_Johnstone_2023_50!N385, "")</f>
        <v/>
      </c>
      <c r="P385" s="49"/>
      <c r="Q385" s="20" t="str">
        <f>IF($J385=1, DATA_Johnstone_2023_50!P385, "")</f>
        <v/>
      </c>
      <c r="R385" s="22"/>
      <c r="T385" s="22"/>
      <c r="W385" s="47"/>
      <c r="AI385" s="75">
        <v>382</v>
      </c>
      <c r="AJ385" s="75">
        <v>100</v>
      </c>
    </row>
    <row r="386" spans="1:36" hidden="1" x14ac:dyDescent="0.35">
      <c r="A386">
        <v>1914</v>
      </c>
      <c r="B386">
        <v>1915</v>
      </c>
      <c r="C386">
        <v>146.03438019999999</v>
      </c>
      <c r="D386">
        <v>-17.509798069999999</v>
      </c>
      <c r="F386" t="s">
        <v>7116</v>
      </c>
      <c r="G386" s="1" t="str">
        <f t="shared" si="10"/>
        <v>1915_20240610_0003_L_2118.jpg</v>
      </c>
      <c r="H386">
        <v>5</v>
      </c>
      <c r="I386" t="str">
        <f t="shared" si="11"/>
        <v/>
      </c>
      <c r="J386" s="53">
        <f>IFERROR(VLOOKUP(B386, DATA_Johnstone_2024_ALL!B:J, 8, FALSE), "")</f>
        <v>1</v>
      </c>
      <c r="K386" s="29"/>
      <c r="L386" s="30"/>
      <c r="M386" s="29"/>
      <c r="N386" s="20">
        <f>IF(J386=1, DATA_Johnstone_2023_50!M386, "")</f>
        <v>3</v>
      </c>
      <c r="O386" s="20">
        <f>IF($J386=1, DATA_Johnstone_2023_50!N386, "")</f>
        <v>4</v>
      </c>
      <c r="P386" s="49"/>
      <c r="Q386" s="20">
        <f>IF($J386=1, DATA_Johnstone_2023_50!P386, "")</f>
        <v>3</v>
      </c>
      <c r="R386" s="22"/>
      <c r="T386" s="22"/>
      <c r="W386" s="47"/>
      <c r="AI386" s="75">
        <v>383</v>
      </c>
      <c r="AJ386" s="75">
        <v>100</v>
      </c>
    </row>
    <row r="387" spans="1:36" hidden="1" x14ac:dyDescent="0.35">
      <c r="A387">
        <v>1919</v>
      </c>
      <c r="B387">
        <v>1920</v>
      </c>
      <c r="C387">
        <v>146.03462759999999</v>
      </c>
      <c r="D387">
        <v>-17.509396679999998</v>
      </c>
      <c r="F387" t="s">
        <v>7117</v>
      </c>
      <c r="G387" s="1" t="str">
        <f t="shared" si="10"/>
        <v>1920_20240610_0003_L_2134.jpg</v>
      </c>
      <c r="H387">
        <v>5</v>
      </c>
      <c r="I387" t="str">
        <f t="shared" si="11"/>
        <v/>
      </c>
      <c r="J387" s="53">
        <f>IFERROR(VLOOKUP(B387, DATA_Johnstone_2024_ALL!B:J, 8, FALSE), "")</f>
        <v>0</v>
      </c>
      <c r="K387" s="29"/>
      <c r="L387" s="30"/>
      <c r="M387" s="29"/>
      <c r="N387" s="20" t="str">
        <f>IF(J387=1, DATA_Johnstone_2023_50!M387, "")</f>
        <v/>
      </c>
      <c r="O387" s="20" t="str">
        <f>IF($J387=1, DATA_Johnstone_2023_50!N387, "")</f>
        <v/>
      </c>
      <c r="P387" s="49"/>
      <c r="Q387" s="20" t="str">
        <f>IF($J387=1, DATA_Johnstone_2023_50!P387, "")</f>
        <v/>
      </c>
      <c r="R387" s="22"/>
      <c r="T387" s="22"/>
      <c r="W387" s="47"/>
      <c r="AI387" s="75">
        <v>384</v>
      </c>
      <c r="AJ387" s="75">
        <v>100</v>
      </c>
    </row>
    <row r="388" spans="1:36" hidden="1" x14ac:dyDescent="0.35">
      <c r="A388">
        <v>1924</v>
      </c>
      <c r="B388">
        <v>1925</v>
      </c>
      <c r="C388">
        <v>146.0348788</v>
      </c>
      <c r="D388">
        <v>-17.508997669999999</v>
      </c>
      <c r="F388" t="s">
        <v>7118</v>
      </c>
      <c r="G388" s="1" t="str">
        <f t="shared" si="10"/>
        <v>1925_20240610_0003_L_2150.jpg</v>
      </c>
      <c r="H388">
        <v>5</v>
      </c>
      <c r="I388" t="str">
        <f t="shared" si="11"/>
        <v/>
      </c>
      <c r="J388" s="53">
        <f>IFERROR(VLOOKUP(B388, DATA_Johnstone_2024_ALL!B:J, 8, FALSE), "")</f>
        <v>1</v>
      </c>
      <c r="K388" s="29"/>
      <c r="L388" s="30"/>
      <c r="M388" s="29"/>
      <c r="N388" s="20">
        <f>IF(J388=1, DATA_Johnstone_2023_50!M388, "")</f>
        <v>4</v>
      </c>
      <c r="O388" s="20">
        <f>IF($J388=1, DATA_Johnstone_2023_50!N388, "")</f>
        <v>4</v>
      </c>
      <c r="P388" s="49"/>
      <c r="Q388" s="20">
        <f>IF($J388=1, DATA_Johnstone_2023_50!P388, "")</f>
        <v>3</v>
      </c>
      <c r="R388" s="22"/>
      <c r="T388" s="22"/>
      <c r="W388" s="47"/>
      <c r="AI388" s="75">
        <v>385</v>
      </c>
      <c r="AJ388" s="75">
        <v>100</v>
      </c>
    </row>
    <row r="389" spans="1:36" hidden="1" x14ac:dyDescent="0.35">
      <c r="A389">
        <v>1929</v>
      </c>
      <c r="B389">
        <v>1930</v>
      </c>
      <c r="C389">
        <v>146.0351125</v>
      </c>
      <c r="D389">
        <v>-17.508588459999999</v>
      </c>
      <c r="F389" t="s">
        <v>7119</v>
      </c>
      <c r="G389" s="1" t="str">
        <f t="shared" ref="G389:G452" si="12">IF(F389="", "", HYPERLINK("E:\Data From Lucan\2024\Johnstone\Frames_for_Analysis_50\" &amp; F389, F389))</f>
        <v>1930_20240610_0003_L_2169.jpg</v>
      </c>
      <c r="H389">
        <v>5</v>
      </c>
      <c r="I389" t="str">
        <f t="shared" ref="I389:I452" si="13">IF(G389="","X","")</f>
        <v/>
      </c>
      <c r="J389" s="53">
        <f>IFERROR(VLOOKUP(B389, DATA_Johnstone_2024_ALL!B:J, 8, FALSE), "")</f>
        <v>1</v>
      </c>
      <c r="K389" s="29"/>
      <c r="L389" s="30"/>
      <c r="M389" s="29"/>
      <c r="N389" s="20">
        <f>IF(J389=1, DATA_Johnstone_2023_50!M389, "")</f>
        <v>0</v>
      </c>
      <c r="O389" s="20">
        <f>IF($J389=1, DATA_Johnstone_2023_50!N389, "")</f>
        <v>0</v>
      </c>
      <c r="P389" s="49"/>
      <c r="Q389" s="20">
        <f>IF($J389=1, DATA_Johnstone_2023_50!P389, "")</f>
        <v>0</v>
      </c>
      <c r="R389" s="22"/>
      <c r="T389" s="22"/>
      <c r="W389" s="47"/>
      <c r="AI389" s="75">
        <v>386</v>
      </c>
      <c r="AJ389" s="75">
        <v>100</v>
      </c>
    </row>
    <row r="390" spans="1:36" hidden="1" x14ac:dyDescent="0.35">
      <c r="A390">
        <v>1934</v>
      </c>
      <c r="B390">
        <v>1935</v>
      </c>
      <c r="C390">
        <v>146.03533379999999</v>
      </c>
      <c r="D390">
        <v>-17.508172129999998</v>
      </c>
      <c r="F390" t="s">
        <v>7120</v>
      </c>
      <c r="G390" s="1" t="str">
        <f t="shared" si="12"/>
        <v>1935_20240610_0003_L_2183.jpg</v>
      </c>
      <c r="H390">
        <v>5</v>
      </c>
      <c r="I390" t="str">
        <f t="shared" si="13"/>
        <v/>
      </c>
      <c r="J390" s="53">
        <f>IFERROR(VLOOKUP(B390, DATA_Johnstone_2024_ALL!B:J, 8, FALSE), "")</f>
        <v>0</v>
      </c>
      <c r="K390" s="29"/>
      <c r="L390" s="30"/>
      <c r="M390" s="29"/>
      <c r="N390" s="20" t="str">
        <f>IF(J390=1, DATA_Johnstone_2023_50!M390, "")</f>
        <v/>
      </c>
      <c r="O390" s="20" t="str">
        <f>IF($J390=1, DATA_Johnstone_2023_50!N390, "")</f>
        <v/>
      </c>
      <c r="P390" s="49"/>
      <c r="Q390" s="20" t="str">
        <f>IF($J390=1, DATA_Johnstone_2023_50!P390, "")</f>
        <v/>
      </c>
      <c r="R390" s="22"/>
      <c r="T390" s="22"/>
      <c r="W390" s="47"/>
      <c r="AI390" s="75">
        <v>387</v>
      </c>
      <c r="AJ390" s="75">
        <v>100</v>
      </c>
    </row>
    <row r="391" spans="1:36" hidden="1" x14ac:dyDescent="0.35">
      <c r="A391">
        <v>1939</v>
      </c>
      <c r="B391">
        <v>1940</v>
      </c>
      <c r="C391">
        <v>146.03557559999999</v>
      </c>
      <c r="D391">
        <v>-17.507767390000001</v>
      </c>
      <c r="F391" t="s">
        <v>7121</v>
      </c>
      <c r="G391" s="1" t="str">
        <f t="shared" si="12"/>
        <v>1940_20240610_0003_L_2200.jpg</v>
      </c>
      <c r="H391">
        <v>5</v>
      </c>
      <c r="I391" t="str">
        <f t="shared" si="13"/>
        <v/>
      </c>
      <c r="J391" s="53">
        <f>IFERROR(VLOOKUP(B391, DATA_Johnstone_2024_ALL!B:J, 8, FALSE), "")</f>
        <v>0</v>
      </c>
      <c r="K391" s="29"/>
      <c r="L391" s="30"/>
      <c r="M391" s="29"/>
      <c r="N391" s="20" t="str">
        <f>IF(J391=1, DATA_Johnstone_2023_50!M391, "")</f>
        <v/>
      </c>
      <c r="O391" s="20" t="str">
        <f>IF($J391=1, DATA_Johnstone_2023_50!N391, "")</f>
        <v/>
      </c>
      <c r="P391" s="49"/>
      <c r="Q391" s="20" t="str">
        <f>IF($J391=1, DATA_Johnstone_2023_50!P391, "")</f>
        <v/>
      </c>
      <c r="R391" s="22"/>
      <c r="T391" s="22"/>
      <c r="W391" s="47"/>
      <c r="AI391" s="75">
        <v>388</v>
      </c>
      <c r="AJ391" s="75">
        <v>100</v>
      </c>
    </row>
    <row r="392" spans="1:36" hidden="1" x14ac:dyDescent="0.35">
      <c r="A392">
        <v>1944</v>
      </c>
      <c r="B392">
        <v>1945</v>
      </c>
      <c r="C392">
        <v>146.035819</v>
      </c>
      <c r="D392">
        <v>-17.507363519999998</v>
      </c>
      <c r="F392" t="s">
        <v>7122</v>
      </c>
      <c r="G392" s="1" t="str">
        <f t="shared" si="12"/>
        <v>1945_20240610_0003_L_2217.jpg</v>
      </c>
      <c r="H392">
        <v>5</v>
      </c>
      <c r="I392" t="str">
        <f t="shared" si="13"/>
        <v/>
      </c>
      <c r="J392" s="53">
        <f>IFERROR(VLOOKUP(B392, DATA_Johnstone_2024_ALL!B:J, 8, FALSE), "")</f>
        <v>0</v>
      </c>
      <c r="K392" s="29"/>
      <c r="L392" s="30"/>
      <c r="M392" s="29"/>
      <c r="N392" s="20" t="str">
        <f>IF(J392=1, DATA_Johnstone_2023_50!M392, "")</f>
        <v/>
      </c>
      <c r="O392" s="20" t="str">
        <f>IF($J392=1, DATA_Johnstone_2023_50!N392, "")</f>
        <v/>
      </c>
      <c r="P392" s="49"/>
      <c r="Q392" s="20" t="str">
        <f>IF($J392=1, DATA_Johnstone_2023_50!P392, "")</f>
        <v/>
      </c>
      <c r="R392" s="22"/>
      <c r="T392" s="22"/>
      <c r="W392" s="47"/>
      <c r="AI392" s="75">
        <v>389</v>
      </c>
      <c r="AJ392" s="75">
        <v>100</v>
      </c>
    </row>
    <row r="393" spans="1:36" hidden="1" x14ac:dyDescent="0.35">
      <c r="A393">
        <v>1949</v>
      </c>
      <c r="B393">
        <v>1950</v>
      </c>
      <c r="C393">
        <v>146.03604580000001</v>
      </c>
      <c r="D393">
        <v>-17.50695095</v>
      </c>
      <c r="F393" t="s">
        <v>7123</v>
      </c>
      <c r="G393" s="1" t="str">
        <f t="shared" si="12"/>
        <v>1950_20240610_0003_L_2233.jpg</v>
      </c>
      <c r="H393">
        <v>5</v>
      </c>
      <c r="I393" t="str">
        <f t="shared" si="13"/>
        <v/>
      </c>
      <c r="J393" s="53">
        <f>IFERROR(VLOOKUP(B393, DATA_Johnstone_2024_ALL!B:J, 8, FALSE), "")</f>
        <v>1</v>
      </c>
      <c r="K393" s="29"/>
      <c r="L393" s="30"/>
      <c r="M393" s="29"/>
      <c r="N393" s="20">
        <f>IF(J393=1, DATA_Johnstone_2023_50!M393, "")</f>
        <v>1</v>
      </c>
      <c r="O393" s="20">
        <f>IF($J393=1, DATA_Johnstone_2023_50!N393, "")</f>
        <v>4</v>
      </c>
      <c r="P393" s="49"/>
      <c r="Q393" s="20">
        <f>IF($J393=1, DATA_Johnstone_2023_50!P393, "")</f>
        <v>4</v>
      </c>
      <c r="R393" s="22"/>
      <c r="T393" s="22"/>
      <c r="W393" s="47"/>
      <c r="AI393" s="75">
        <v>390</v>
      </c>
      <c r="AJ393" s="75">
        <v>100</v>
      </c>
    </row>
    <row r="394" spans="1:36" hidden="1" x14ac:dyDescent="0.35">
      <c r="A394">
        <v>1954</v>
      </c>
      <c r="B394">
        <v>1955</v>
      </c>
      <c r="C394">
        <v>146.03622809999999</v>
      </c>
      <c r="D394">
        <v>-17.506516609999998</v>
      </c>
      <c r="F394" t="s">
        <v>7124</v>
      </c>
      <c r="G394" s="1" t="str">
        <f t="shared" si="12"/>
        <v>1955_20240610_0003_L_2250.jpg</v>
      </c>
      <c r="H394">
        <v>5</v>
      </c>
      <c r="I394" t="str">
        <f t="shared" si="13"/>
        <v/>
      </c>
      <c r="J394" s="53">
        <f>IFERROR(VLOOKUP(B394, DATA_Johnstone_2024_ALL!B:J, 8, FALSE), "")</f>
        <v>0</v>
      </c>
      <c r="K394" s="29"/>
      <c r="L394" s="30"/>
      <c r="M394" s="29"/>
      <c r="N394" s="20" t="str">
        <f>IF(J394=1, DATA_Johnstone_2023_50!M394, "")</f>
        <v/>
      </c>
      <c r="O394" s="20" t="str">
        <f>IF($J394=1, DATA_Johnstone_2023_50!N394, "")</f>
        <v/>
      </c>
      <c r="P394" s="49"/>
      <c r="Q394" s="20" t="str">
        <f>IF($J394=1, DATA_Johnstone_2023_50!P394, "")</f>
        <v/>
      </c>
      <c r="R394" s="22"/>
      <c r="T394" s="22"/>
      <c r="W394" s="47"/>
      <c r="AI394" s="75">
        <v>391</v>
      </c>
      <c r="AJ394" s="75">
        <v>100</v>
      </c>
    </row>
    <row r="395" spans="1:36" hidden="1" x14ac:dyDescent="0.35">
      <c r="A395">
        <v>1959</v>
      </c>
      <c r="B395">
        <v>1960</v>
      </c>
      <c r="C395">
        <v>146.03642360000001</v>
      </c>
      <c r="D395">
        <v>-17.506087560000001</v>
      </c>
      <c r="F395" t="s">
        <v>7125</v>
      </c>
      <c r="G395" s="1" t="str">
        <f t="shared" si="12"/>
        <v>1960_20240610_0003_L_2265.jpg</v>
      </c>
      <c r="H395">
        <v>5</v>
      </c>
      <c r="I395" t="str">
        <f t="shared" si="13"/>
        <v/>
      </c>
      <c r="J395" s="53">
        <f>IFERROR(VLOOKUP(B395, DATA_Johnstone_2024_ALL!B:J, 8, FALSE), "")</f>
        <v>1</v>
      </c>
      <c r="K395" s="29"/>
      <c r="L395" s="30"/>
      <c r="M395" s="29"/>
      <c r="N395" s="20">
        <f>IF(J395=1, DATA_Johnstone_2023_50!M395, "")</f>
        <v>1</v>
      </c>
      <c r="O395" s="20">
        <f>IF($J395=1, DATA_Johnstone_2023_50!N395, "")</f>
        <v>4</v>
      </c>
      <c r="P395" s="49"/>
      <c r="Q395" s="20">
        <f>IF($J395=1, DATA_Johnstone_2023_50!P395, "")</f>
        <v>4</v>
      </c>
      <c r="R395" s="22"/>
      <c r="T395" s="22"/>
      <c r="W395" s="47"/>
      <c r="AI395" s="75">
        <v>392</v>
      </c>
      <c r="AJ395" s="75">
        <v>100</v>
      </c>
    </row>
    <row r="396" spans="1:36" hidden="1" x14ac:dyDescent="0.35">
      <c r="A396">
        <v>1964</v>
      </c>
      <c r="B396">
        <v>1965</v>
      </c>
      <c r="C396">
        <v>146.03655309999999</v>
      </c>
      <c r="D396">
        <v>-17.505634449999999</v>
      </c>
      <c r="F396" t="s">
        <v>7126</v>
      </c>
      <c r="G396" s="1" t="str">
        <f t="shared" si="12"/>
        <v>1965_20240610_0003_L_2287.jpg</v>
      </c>
      <c r="H396">
        <v>5</v>
      </c>
      <c r="I396" t="str">
        <f t="shared" si="13"/>
        <v/>
      </c>
      <c r="J396" s="53">
        <f>IFERROR(VLOOKUP(B396, DATA_Johnstone_2024_ALL!B:J, 8, FALSE), "")</f>
        <v>1</v>
      </c>
      <c r="K396" s="29"/>
      <c r="L396" s="30"/>
      <c r="M396" s="29"/>
      <c r="N396" s="20">
        <f>IF(J396=1, DATA_Johnstone_2023_50!M396, "")</f>
        <v>3</v>
      </c>
      <c r="O396" s="20">
        <f>IF($J396=1, DATA_Johnstone_2023_50!N396, "")</f>
        <v>4</v>
      </c>
      <c r="P396" s="49"/>
      <c r="Q396" s="20">
        <f>IF($J396=1, DATA_Johnstone_2023_50!P396, "")</f>
        <v>4</v>
      </c>
      <c r="R396" s="22"/>
      <c r="T396" s="22"/>
      <c r="W396" s="47"/>
      <c r="AI396" s="75">
        <v>393</v>
      </c>
      <c r="AJ396" s="75">
        <v>100</v>
      </c>
    </row>
    <row r="397" spans="1:36" hidden="1" x14ac:dyDescent="0.35">
      <c r="A397">
        <v>1969</v>
      </c>
      <c r="B397">
        <v>1970</v>
      </c>
      <c r="C397">
        <v>146.0366684</v>
      </c>
      <c r="D397">
        <v>-17.505177679999999</v>
      </c>
      <c r="F397" t="s">
        <v>7127</v>
      </c>
      <c r="G397" s="1" t="str">
        <f t="shared" si="12"/>
        <v>1970_20240610_0003_L_2304.jpg</v>
      </c>
      <c r="H397">
        <v>5</v>
      </c>
      <c r="I397" t="str">
        <f t="shared" si="13"/>
        <v/>
      </c>
      <c r="J397" s="53">
        <f>IFERROR(VLOOKUP(B397, DATA_Johnstone_2024_ALL!B:J, 8, FALSE), "")</f>
        <v>1</v>
      </c>
      <c r="K397" s="29"/>
      <c r="L397" s="30"/>
      <c r="M397" s="29"/>
      <c r="N397" s="20">
        <f>IF(J397=1, DATA_Johnstone_2023_50!M397, "")</f>
        <v>4</v>
      </c>
      <c r="O397" s="20">
        <f>IF($J397=1, DATA_Johnstone_2023_50!N397, "")</f>
        <v>4</v>
      </c>
      <c r="P397" s="49"/>
      <c r="Q397" s="20">
        <f>IF($J397=1, DATA_Johnstone_2023_50!P397, "")</f>
        <v>4</v>
      </c>
      <c r="R397" s="22"/>
      <c r="T397" s="22"/>
      <c r="W397" s="47"/>
      <c r="AI397" s="75">
        <v>394</v>
      </c>
      <c r="AJ397" s="75">
        <v>100</v>
      </c>
    </row>
    <row r="398" spans="1:36" hidden="1" x14ac:dyDescent="0.35">
      <c r="A398">
        <v>1974</v>
      </c>
      <c r="B398">
        <v>1975</v>
      </c>
      <c r="C398">
        <v>146.03674960000001</v>
      </c>
      <c r="D398">
        <v>-17.504713200000001</v>
      </c>
      <c r="F398" t="s">
        <v>7128</v>
      </c>
      <c r="G398" s="1" t="str">
        <f t="shared" si="12"/>
        <v>1975_20240610_0003_L_2323.jpg</v>
      </c>
      <c r="H398">
        <v>5</v>
      </c>
      <c r="I398" t="str">
        <f t="shared" si="13"/>
        <v/>
      </c>
      <c r="J398" s="53">
        <f>IFERROR(VLOOKUP(B398, DATA_Johnstone_2024_ALL!B:J, 8, FALSE), "")</f>
        <v>1</v>
      </c>
      <c r="K398" s="29"/>
      <c r="L398" s="30"/>
      <c r="M398" s="29"/>
      <c r="N398" s="20">
        <f>IF(J398=1, DATA_Johnstone_2023_50!M398, "")</f>
        <v>3</v>
      </c>
      <c r="O398" s="20">
        <f>IF($J398=1, DATA_Johnstone_2023_50!N398, "")</f>
        <v>4</v>
      </c>
      <c r="P398" s="49"/>
      <c r="Q398" s="20">
        <f>IF($J398=1, DATA_Johnstone_2023_50!P398, "")</f>
        <v>4</v>
      </c>
      <c r="R398" s="22"/>
      <c r="T398" s="22"/>
      <c r="W398" s="47"/>
      <c r="AI398" s="75">
        <v>395</v>
      </c>
      <c r="AJ398" s="75">
        <v>100</v>
      </c>
    </row>
    <row r="399" spans="1:36" hidden="1" x14ac:dyDescent="0.35">
      <c r="A399">
        <v>1979</v>
      </c>
      <c r="B399">
        <v>1980</v>
      </c>
      <c r="C399">
        <v>146.0367913</v>
      </c>
      <c r="D399">
        <v>-17.504246080000001</v>
      </c>
      <c r="F399" t="s">
        <v>7129</v>
      </c>
      <c r="G399" s="1" t="str">
        <f t="shared" si="12"/>
        <v>1980_20240610_0003_L_2343.jpg</v>
      </c>
      <c r="H399">
        <v>5</v>
      </c>
      <c r="I399" t="str">
        <f t="shared" si="13"/>
        <v/>
      </c>
      <c r="J399" s="53">
        <f>IFERROR(VLOOKUP(B399, DATA_Johnstone_2024_ALL!B:J, 8, FALSE), "")</f>
        <v>1</v>
      </c>
      <c r="K399" s="29"/>
      <c r="L399" s="30"/>
      <c r="M399" s="29"/>
      <c r="N399" s="20">
        <f>IF(J399=1, DATA_Johnstone_2023_50!M399, "")</f>
        <v>0</v>
      </c>
      <c r="O399" s="20">
        <f>IF($J399=1, DATA_Johnstone_2023_50!N399, "")</f>
        <v>0</v>
      </c>
      <c r="P399" s="49"/>
      <c r="Q399" s="20">
        <f>IF($J399=1, DATA_Johnstone_2023_50!P399, "")</f>
        <v>0</v>
      </c>
      <c r="R399" s="22"/>
      <c r="T399" s="22"/>
      <c r="W399" s="47"/>
      <c r="AI399" s="75">
        <v>396</v>
      </c>
      <c r="AJ399" s="75">
        <v>100</v>
      </c>
    </row>
    <row r="400" spans="1:36" hidden="1" x14ac:dyDescent="0.35">
      <c r="A400">
        <v>1984</v>
      </c>
      <c r="B400">
        <v>1985</v>
      </c>
      <c r="C400">
        <v>146.03677279999999</v>
      </c>
      <c r="D400">
        <v>-17.503774929999999</v>
      </c>
      <c r="F400" t="s">
        <v>7130</v>
      </c>
      <c r="G400" s="1" t="str">
        <f t="shared" si="12"/>
        <v>1985_20240610_0003_L_2361.jpg</v>
      </c>
      <c r="H400">
        <v>5</v>
      </c>
      <c r="I400" t="str">
        <f t="shared" si="13"/>
        <v/>
      </c>
      <c r="J400" s="53">
        <f>IFERROR(VLOOKUP(B400, DATA_Johnstone_2024_ALL!B:J, 8, FALSE), "")</f>
        <v>1</v>
      </c>
      <c r="K400" s="29"/>
      <c r="L400" s="30"/>
      <c r="M400" s="29"/>
      <c r="N400" s="20">
        <f>IF(J400=1, DATA_Johnstone_2023_50!M400, "")</f>
        <v>4</v>
      </c>
      <c r="O400" s="20">
        <f>IF($J400=1, DATA_Johnstone_2023_50!N400, "")</f>
        <v>4</v>
      </c>
      <c r="P400" s="49"/>
      <c r="Q400" s="20">
        <f>IF($J400=1, DATA_Johnstone_2023_50!P400, "")</f>
        <v>4</v>
      </c>
      <c r="R400" s="22"/>
      <c r="T400" s="22"/>
      <c r="W400" s="47"/>
      <c r="AI400" s="75">
        <v>397</v>
      </c>
      <c r="AJ400" s="75">
        <v>100</v>
      </c>
    </row>
    <row r="401" spans="1:36" hidden="1" x14ac:dyDescent="0.35">
      <c r="A401">
        <v>1989</v>
      </c>
      <c r="B401">
        <v>1990</v>
      </c>
      <c r="C401">
        <v>146.03670270000001</v>
      </c>
      <c r="D401">
        <v>-17.50330933</v>
      </c>
      <c r="F401" t="s">
        <v>7131</v>
      </c>
      <c r="G401" s="1" t="str">
        <f t="shared" si="12"/>
        <v>1990_20240610_0003_L_2378.jpg</v>
      </c>
      <c r="H401">
        <v>5</v>
      </c>
      <c r="I401" t="str">
        <f t="shared" si="13"/>
        <v/>
      </c>
      <c r="J401" s="53">
        <f>IFERROR(VLOOKUP(B401, DATA_Johnstone_2024_ALL!B:J, 8, FALSE), "")</f>
        <v>1</v>
      </c>
      <c r="K401" s="29"/>
      <c r="L401" s="30"/>
      <c r="M401" s="29"/>
      <c r="N401" s="20">
        <f>IF(J401=1, DATA_Johnstone_2023_50!M401, "")</f>
        <v>3</v>
      </c>
      <c r="O401" s="20">
        <f>IF($J401=1, DATA_Johnstone_2023_50!N401, "")</f>
        <v>4</v>
      </c>
      <c r="P401" s="49"/>
      <c r="Q401" s="20">
        <f>IF($J401=1, DATA_Johnstone_2023_50!P401, "")</f>
        <v>4</v>
      </c>
      <c r="R401" s="22"/>
      <c r="T401" s="22"/>
      <c r="W401" s="47"/>
      <c r="AI401" s="75">
        <v>398</v>
      </c>
      <c r="AJ401" s="75">
        <v>100</v>
      </c>
    </row>
    <row r="402" spans="1:36" hidden="1" x14ac:dyDescent="0.35">
      <c r="A402">
        <v>1994</v>
      </c>
      <c r="B402">
        <v>1995</v>
      </c>
      <c r="C402">
        <v>146.0366204</v>
      </c>
      <c r="D402">
        <v>-17.50284504</v>
      </c>
      <c r="F402" t="s">
        <v>7132</v>
      </c>
      <c r="G402" s="1" t="str">
        <f t="shared" si="12"/>
        <v>1995_20240610_0003_L_2394.jpg</v>
      </c>
      <c r="H402">
        <v>5</v>
      </c>
      <c r="I402" t="str">
        <f t="shared" si="13"/>
        <v/>
      </c>
      <c r="J402" s="53">
        <f>IFERROR(VLOOKUP(B402, DATA_Johnstone_2024_ALL!B:J, 8, FALSE), "")</f>
        <v>1</v>
      </c>
      <c r="K402" s="29"/>
      <c r="L402" s="30"/>
      <c r="M402" s="29"/>
      <c r="N402" s="20">
        <f>IF(J402=1, DATA_Johnstone_2023_50!M402, "")</f>
        <v>3</v>
      </c>
      <c r="O402" s="20">
        <f>IF($J402=1, DATA_Johnstone_2023_50!N402, "")</f>
        <v>4</v>
      </c>
      <c r="P402" s="49"/>
      <c r="Q402" s="20">
        <f>IF($J402=1, DATA_Johnstone_2023_50!P402, "")</f>
        <v>4</v>
      </c>
      <c r="R402" s="22"/>
      <c r="T402" s="22"/>
      <c r="W402" s="47"/>
      <c r="AI402" s="75">
        <v>399</v>
      </c>
      <c r="AJ402" s="75">
        <v>100</v>
      </c>
    </row>
    <row r="403" spans="1:36" hidden="1" x14ac:dyDescent="0.35">
      <c r="A403">
        <v>1999</v>
      </c>
      <c r="B403">
        <v>2000</v>
      </c>
      <c r="C403">
        <v>146.03654169999999</v>
      </c>
      <c r="D403">
        <v>-17.502380160000001</v>
      </c>
      <c r="F403" t="s">
        <v>7133</v>
      </c>
      <c r="G403" s="1" t="str">
        <f t="shared" si="12"/>
        <v>2000_20240610_0003_L_2413.jpg</v>
      </c>
      <c r="H403">
        <v>5</v>
      </c>
      <c r="I403" t="str">
        <f t="shared" si="13"/>
        <v/>
      </c>
      <c r="J403" s="53">
        <f>IFERROR(VLOOKUP(B403, DATA_Johnstone_2024_ALL!B:J, 8, FALSE), "")</f>
        <v>1</v>
      </c>
      <c r="K403" s="29"/>
      <c r="L403" s="30"/>
      <c r="M403" s="29"/>
      <c r="N403" s="20">
        <f>IF(J403=1, DATA_Johnstone_2023_50!M403, "")</f>
        <v>2</v>
      </c>
      <c r="O403" s="20">
        <f>IF($J403=1, DATA_Johnstone_2023_50!N403, "")</f>
        <v>4</v>
      </c>
      <c r="P403" s="49"/>
      <c r="Q403" s="20">
        <f>IF($J403=1, DATA_Johnstone_2023_50!P403, "")</f>
        <v>4</v>
      </c>
      <c r="R403" s="22"/>
      <c r="T403" s="22"/>
      <c r="W403" s="47"/>
      <c r="AI403" s="75">
        <v>400</v>
      </c>
      <c r="AJ403" s="75">
        <v>100</v>
      </c>
    </row>
    <row r="404" spans="1:36" hidden="1" x14ac:dyDescent="0.35">
      <c r="A404">
        <v>2004</v>
      </c>
      <c r="B404">
        <v>2005</v>
      </c>
      <c r="C404">
        <v>146.03646560000001</v>
      </c>
      <c r="D404">
        <v>-17.50191483</v>
      </c>
      <c r="F404" t="s">
        <v>7134</v>
      </c>
      <c r="G404" s="1" t="str">
        <f t="shared" si="12"/>
        <v>2005_20240610_0003_L_2428.jpg</v>
      </c>
      <c r="H404">
        <v>5</v>
      </c>
      <c r="I404" t="str">
        <f t="shared" si="13"/>
        <v/>
      </c>
      <c r="J404" s="53">
        <f>IFERROR(VLOOKUP(B404, DATA_Johnstone_2024_ALL!B:J, 8, FALSE), "")</f>
        <v>1</v>
      </c>
      <c r="K404" s="29"/>
      <c r="L404" s="30"/>
      <c r="M404" s="29"/>
      <c r="N404" s="20">
        <f>IF(J404=1, DATA_Johnstone_2023_50!M404, "")</f>
        <v>4</v>
      </c>
      <c r="O404" s="20">
        <f>IF($J404=1, DATA_Johnstone_2023_50!N404, "")</f>
        <v>4</v>
      </c>
      <c r="P404" s="49"/>
      <c r="Q404" s="20">
        <f>IF($J404=1, DATA_Johnstone_2023_50!P404, "")</f>
        <v>4</v>
      </c>
      <c r="R404" s="22"/>
      <c r="T404" s="22"/>
      <c r="W404" s="47"/>
      <c r="AI404" s="75">
        <v>401</v>
      </c>
      <c r="AJ404" s="75">
        <v>100</v>
      </c>
    </row>
    <row r="405" spans="1:36" hidden="1" x14ac:dyDescent="0.35">
      <c r="A405">
        <v>2009</v>
      </c>
      <c r="B405">
        <v>2010</v>
      </c>
      <c r="C405">
        <v>146.03638889999999</v>
      </c>
      <c r="D405">
        <v>-17.50144959</v>
      </c>
      <c r="F405" t="s">
        <v>7135</v>
      </c>
      <c r="G405" s="1" t="str">
        <f t="shared" si="12"/>
        <v>2010_20240610_0003_L_2446.jpg</v>
      </c>
      <c r="H405">
        <v>5</v>
      </c>
      <c r="I405" t="str">
        <f t="shared" si="13"/>
        <v/>
      </c>
      <c r="J405" s="53">
        <f>IFERROR(VLOOKUP(B405, DATA_Johnstone_2024_ALL!B:J, 8, FALSE), "")</f>
        <v>0</v>
      </c>
      <c r="K405" s="29"/>
      <c r="L405" s="30"/>
      <c r="M405" s="29"/>
      <c r="N405" s="20" t="str">
        <f>IF(J405=1, DATA_Johnstone_2023_50!M405, "")</f>
        <v/>
      </c>
      <c r="O405" s="20" t="str">
        <f>IF($J405=1, DATA_Johnstone_2023_50!N405, "")</f>
        <v/>
      </c>
      <c r="P405" s="49"/>
      <c r="Q405" s="20" t="str">
        <f>IF($J405=1, DATA_Johnstone_2023_50!P405, "")</f>
        <v/>
      </c>
      <c r="R405" s="22"/>
      <c r="T405" s="22"/>
      <c r="W405" s="47"/>
      <c r="AI405" s="75">
        <v>402</v>
      </c>
      <c r="AJ405" s="75">
        <v>100</v>
      </c>
    </row>
    <row r="406" spans="1:36" hidden="1" x14ac:dyDescent="0.35">
      <c r="A406">
        <v>2014</v>
      </c>
      <c r="B406">
        <v>2015</v>
      </c>
      <c r="C406">
        <v>146.0362911</v>
      </c>
      <c r="D406">
        <v>-17.500988329999998</v>
      </c>
      <c r="F406" t="s">
        <v>7136</v>
      </c>
      <c r="G406" s="1" t="str">
        <f t="shared" si="12"/>
        <v>2015_20240610_0003_L_2461.jpg</v>
      </c>
      <c r="H406">
        <v>5</v>
      </c>
      <c r="I406" t="str">
        <f t="shared" si="13"/>
        <v/>
      </c>
      <c r="J406" s="53">
        <f>IFERROR(VLOOKUP(B406, DATA_Johnstone_2024_ALL!B:J, 8, FALSE), "")</f>
        <v>1</v>
      </c>
      <c r="K406" s="29"/>
      <c r="L406" s="30"/>
      <c r="M406" s="29"/>
      <c r="N406" s="20">
        <f>IF(J406=1, DATA_Johnstone_2023_50!M406, "")</f>
        <v>4</v>
      </c>
      <c r="O406" s="20">
        <f>IF($J406=1, DATA_Johnstone_2023_50!N406, "")</f>
        <v>4</v>
      </c>
      <c r="P406" s="49"/>
      <c r="Q406" s="20">
        <f>IF($J406=1, DATA_Johnstone_2023_50!P406, "")</f>
        <v>4</v>
      </c>
      <c r="R406" s="22"/>
      <c r="T406" s="22"/>
      <c r="W406" s="47"/>
      <c r="AI406" s="75">
        <v>403</v>
      </c>
      <c r="AJ406" s="75">
        <v>100</v>
      </c>
    </row>
    <row r="407" spans="1:36" hidden="1" x14ac:dyDescent="0.35">
      <c r="A407">
        <v>2019</v>
      </c>
      <c r="B407">
        <v>2020</v>
      </c>
      <c r="C407">
        <v>146.03619330000001</v>
      </c>
      <c r="D407">
        <v>-17.50052707</v>
      </c>
      <c r="F407" t="s">
        <v>7137</v>
      </c>
      <c r="G407" s="1" t="str">
        <f t="shared" si="12"/>
        <v>2020_20240610_0003_L_2477.jpg</v>
      </c>
      <c r="H407">
        <v>5</v>
      </c>
      <c r="I407" t="str">
        <f t="shared" si="13"/>
        <v/>
      </c>
      <c r="J407" s="53">
        <f>IFERROR(VLOOKUP(B407, DATA_Johnstone_2024_ALL!B:J, 8, FALSE), "")</f>
        <v>1</v>
      </c>
      <c r="K407" s="29"/>
      <c r="L407" s="30"/>
      <c r="M407" s="29"/>
      <c r="N407" s="20">
        <f>IF(J407=1, DATA_Johnstone_2023_50!M407, "")</f>
        <v>4</v>
      </c>
      <c r="O407" s="20">
        <f>IF($J407=1, DATA_Johnstone_2023_50!N407, "")</f>
        <v>4</v>
      </c>
      <c r="P407" s="49"/>
      <c r="Q407" s="20">
        <f>IF($J407=1, DATA_Johnstone_2023_50!P407, "")</f>
        <v>3</v>
      </c>
      <c r="R407" s="22"/>
      <c r="T407" s="22"/>
      <c r="W407" s="47"/>
      <c r="AI407" s="75">
        <v>404</v>
      </c>
      <c r="AJ407" s="75">
        <v>100</v>
      </c>
    </row>
    <row r="408" spans="1:36" hidden="1" x14ac:dyDescent="0.35">
      <c r="A408">
        <v>2024</v>
      </c>
      <c r="B408">
        <v>2025</v>
      </c>
      <c r="C408">
        <v>146.03605229999999</v>
      </c>
      <c r="D408">
        <v>-17.50007733</v>
      </c>
      <c r="F408" t="s">
        <v>7138</v>
      </c>
      <c r="G408" s="1" t="str">
        <f t="shared" si="12"/>
        <v>2025_20240610_0003_L_2493.jpg</v>
      </c>
      <c r="H408">
        <v>5</v>
      </c>
      <c r="I408" t="str">
        <f t="shared" si="13"/>
        <v/>
      </c>
      <c r="J408" s="53">
        <f>IFERROR(VLOOKUP(B408, DATA_Johnstone_2024_ALL!B:J, 8, FALSE), "")</f>
        <v>1</v>
      </c>
      <c r="K408" s="29"/>
      <c r="L408" s="30"/>
      <c r="M408" s="29"/>
      <c r="N408" s="20">
        <f>IF(J408=1, DATA_Johnstone_2023_50!M408, "")</f>
        <v>4</v>
      </c>
      <c r="O408" s="20">
        <f>IF($J408=1, DATA_Johnstone_2023_50!N408, "")</f>
        <v>4</v>
      </c>
      <c r="P408" s="49"/>
      <c r="Q408" s="20">
        <f>IF($J408=1, DATA_Johnstone_2023_50!P408, "")</f>
        <v>4</v>
      </c>
      <c r="R408" s="22"/>
      <c r="T408" s="22"/>
      <c r="W408" s="47"/>
      <c r="AI408" s="75">
        <v>405</v>
      </c>
      <c r="AJ408" s="75">
        <v>100</v>
      </c>
    </row>
    <row r="409" spans="1:36" hidden="1" x14ac:dyDescent="0.35">
      <c r="A409">
        <v>2029</v>
      </c>
      <c r="B409">
        <v>2030</v>
      </c>
      <c r="C409">
        <v>146.03590689999999</v>
      </c>
      <c r="D409">
        <v>-17.499628789999999</v>
      </c>
      <c r="F409" t="s">
        <v>7139</v>
      </c>
      <c r="G409" s="1" t="str">
        <f t="shared" si="12"/>
        <v>2030_20240610_0003_L_2510.jpg</v>
      </c>
      <c r="H409">
        <v>5</v>
      </c>
      <c r="I409" t="str">
        <f t="shared" si="13"/>
        <v/>
      </c>
      <c r="J409" s="53">
        <f>IFERROR(VLOOKUP(B409, DATA_Johnstone_2024_ALL!B:J, 8, FALSE), "")</f>
        <v>1</v>
      </c>
      <c r="K409" s="29"/>
      <c r="L409" s="30"/>
      <c r="M409" s="29"/>
      <c r="N409" s="20">
        <f>IF(J409=1, DATA_Johnstone_2023_50!M409, "")</f>
        <v>4</v>
      </c>
      <c r="O409" s="20">
        <f>IF($J409=1, DATA_Johnstone_2023_50!N409, "")</f>
        <v>4</v>
      </c>
      <c r="P409" s="49"/>
      <c r="Q409" s="20">
        <f>IF($J409=1, DATA_Johnstone_2023_50!P409, "")</f>
        <v>4</v>
      </c>
      <c r="R409" s="22"/>
      <c r="T409" s="22"/>
      <c r="W409" s="47"/>
      <c r="AI409" s="75">
        <v>406</v>
      </c>
      <c r="AJ409" s="75">
        <v>100</v>
      </c>
    </row>
    <row r="410" spans="1:36" hidden="1" x14ac:dyDescent="0.35">
      <c r="A410">
        <v>2034</v>
      </c>
      <c r="B410">
        <v>2035</v>
      </c>
      <c r="C410">
        <v>146.0357583</v>
      </c>
      <c r="D410">
        <v>-17.499181320000002</v>
      </c>
      <c r="F410" t="s">
        <v>7140</v>
      </c>
      <c r="G410" s="1" t="str">
        <f t="shared" si="12"/>
        <v>2035_20240610_0003_L_2527.jpg</v>
      </c>
      <c r="H410">
        <v>5</v>
      </c>
      <c r="I410" t="str">
        <f t="shared" si="13"/>
        <v/>
      </c>
      <c r="J410" s="53">
        <f>IFERROR(VLOOKUP(B410, DATA_Johnstone_2024_ALL!B:J, 8, FALSE), "")</f>
        <v>1</v>
      </c>
      <c r="K410" s="29"/>
      <c r="L410" s="30"/>
      <c r="M410" s="29"/>
      <c r="N410" s="20">
        <f>IF(J410=1, DATA_Johnstone_2023_50!M410, "")</f>
        <v>3</v>
      </c>
      <c r="O410" s="20">
        <f>IF($J410=1, DATA_Johnstone_2023_50!N410, "")</f>
        <v>4</v>
      </c>
      <c r="P410" s="49"/>
      <c r="Q410" s="20">
        <f>IF($J410=1, DATA_Johnstone_2023_50!P410, "")</f>
        <v>4</v>
      </c>
      <c r="R410" s="22"/>
      <c r="T410" s="22"/>
      <c r="W410" s="47"/>
      <c r="AI410" s="75">
        <v>407</v>
      </c>
      <c r="AJ410" s="75">
        <v>100</v>
      </c>
    </row>
    <row r="411" spans="1:36" hidden="1" x14ac:dyDescent="0.35">
      <c r="A411">
        <v>2039</v>
      </c>
      <c r="B411">
        <v>2040</v>
      </c>
      <c r="C411">
        <v>146.03560400000001</v>
      </c>
      <c r="D411">
        <v>-17.498735830000001</v>
      </c>
      <c r="F411" t="s">
        <v>7141</v>
      </c>
      <c r="G411" s="1" t="str">
        <f t="shared" si="12"/>
        <v>2040_20240610_0003_L_2546.jpg</v>
      </c>
      <c r="H411">
        <v>5</v>
      </c>
      <c r="I411" t="str">
        <f t="shared" si="13"/>
        <v/>
      </c>
      <c r="J411" s="53">
        <f>IFERROR(VLOOKUP(B411, DATA_Johnstone_2024_ALL!B:J, 8, FALSE), "")</f>
        <v>1</v>
      </c>
      <c r="K411" s="29"/>
      <c r="L411" s="30"/>
      <c r="M411" s="29"/>
      <c r="N411" s="20">
        <f>IF(J411=1, DATA_Johnstone_2023_50!M411, "")</f>
        <v>3</v>
      </c>
      <c r="O411" s="20">
        <f>IF($J411=1, DATA_Johnstone_2023_50!N411, "")</f>
        <v>4</v>
      </c>
      <c r="P411" s="49"/>
      <c r="Q411" s="20">
        <f>IF($J411=1, DATA_Johnstone_2023_50!P411, "")</f>
        <v>4</v>
      </c>
      <c r="R411" s="22"/>
      <c r="T411" s="22"/>
      <c r="W411" s="47"/>
      <c r="AI411" s="75">
        <v>408</v>
      </c>
      <c r="AJ411" s="75">
        <v>100</v>
      </c>
    </row>
    <row r="412" spans="1:36" hidden="1" x14ac:dyDescent="0.35">
      <c r="A412">
        <v>2044</v>
      </c>
      <c r="B412">
        <v>2045</v>
      </c>
      <c r="C412">
        <v>146.03543830000001</v>
      </c>
      <c r="D412">
        <v>-17.498294380000001</v>
      </c>
      <c r="F412" t="s">
        <v>7142</v>
      </c>
      <c r="G412" s="1" t="str">
        <f t="shared" si="12"/>
        <v>2045_20240610_0003_L_2563.jpg</v>
      </c>
      <c r="H412">
        <v>5</v>
      </c>
      <c r="I412" t="str">
        <f t="shared" si="13"/>
        <v/>
      </c>
      <c r="J412" s="53">
        <f>IFERROR(VLOOKUP(B412, DATA_Johnstone_2024_ALL!B:J, 8, FALSE), "")</f>
        <v>1</v>
      </c>
      <c r="K412" s="29"/>
      <c r="L412" s="30"/>
      <c r="M412" s="29"/>
      <c r="N412" s="20">
        <f>IF(J412=1, DATA_Johnstone_2023_50!M412, "")</f>
        <v>4</v>
      </c>
      <c r="O412" s="20">
        <f>IF($J412=1, DATA_Johnstone_2023_50!N412, "")</f>
        <v>4</v>
      </c>
      <c r="P412" s="49"/>
      <c r="Q412" s="20">
        <f>IF($J412=1, DATA_Johnstone_2023_50!P412, "")</f>
        <v>4</v>
      </c>
      <c r="R412" s="22"/>
      <c r="T412" s="22"/>
      <c r="W412" s="47"/>
      <c r="AI412" s="75">
        <v>409</v>
      </c>
      <c r="AJ412" s="75">
        <v>100</v>
      </c>
    </row>
    <row r="413" spans="1:36" hidden="1" x14ac:dyDescent="0.35">
      <c r="A413">
        <v>2049</v>
      </c>
      <c r="B413">
        <v>2050</v>
      </c>
      <c r="C413">
        <v>146.0352536</v>
      </c>
      <c r="D413">
        <v>-17.497861539999999</v>
      </c>
      <c r="F413" t="s">
        <v>7143</v>
      </c>
      <c r="G413" s="1" t="str">
        <f t="shared" si="12"/>
        <v>2050_20240610_0003_L_2581.jpg</v>
      </c>
      <c r="H413">
        <v>5</v>
      </c>
      <c r="I413" t="str">
        <f t="shared" si="13"/>
        <v/>
      </c>
      <c r="J413" s="53">
        <f>IFERROR(VLOOKUP(B413, DATA_Johnstone_2024_ALL!B:J, 8, FALSE), "")</f>
        <v>1</v>
      </c>
      <c r="K413" s="29"/>
      <c r="L413" s="30"/>
      <c r="M413" s="29"/>
      <c r="N413" s="20">
        <f>IF(J413=1, DATA_Johnstone_2023_50!M413, "")</f>
        <v>4</v>
      </c>
      <c r="O413" s="20">
        <f>IF($J413=1, DATA_Johnstone_2023_50!N413, "")</f>
        <v>4</v>
      </c>
      <c r="P413" s="49"/>
      <c r="Q413" s="20">
        <f>IF($J413=1, DATA_Johnstone_2023_50!P413, "")</f>
        <v>4</v>
      </c>
      <c r="R413" s="22"/>
      <c r="T413" s="22"/>
      <c r="W413" s="47"/>
      <c r="AI413" s="75">
        <v>410</v>
      </c>
      <c r="AJ413" s="75">
        <v>100</v>
      </c>
    </row>
    <row r="414" spans="1:36" hidden="1" x14ac:dyDescent="0.35">
      <c r="A414">
        <v>2054</v>
      </c>
      <c r="B414">
        <v>2055</v>
      </c>
      <c r="C414">
        <v>146.03503219999999</v>
      </c>
      <c r="D414">
        <v>-17.497445219999999</v>
      </c>
      <c r="F414" t="s">
        <v>7144</v>
      </c>
      <c r="G414" s="1" t="str">
        <f t="shared" si="12"/>
        <v>2055_20240610_0003_L_2599.jpg</v>
      </c>
      <c r="H414">
        <v>5</v>
      </c>
      <c r="I414" t="str">
        <f t="shared" si="13"/>
        <v/>
      </c>
      <c r="J414" s="53">
        <f>IFERROR(VLOOKUP(B414, DATA_Johnstone_2024_ALL!B:J, 8, FALSE), "")</f>
        <v>1</v>
      </c>
      <c r="K414" s="29"/>
      <c r="L414" s="30"/>
      <c r="M414" s="29"/>
      <c r="N414" s="20">
        <f>IF(J414=1, DATA_Johnstone_2023_50!M414, "")</f>
        <v>4</v>
      </c>
      <c r="O414" s="20">
        <f>IF($J414=1, DATA_Johnstone_2023_50!N414, "")</f>
        <v>4</v>
      </c>
      <c r="P414" s="49"/>
      <c r="Q414" s="20">
        <f>IF($J414=1, DATA_Johnstone_2023_50!P414, "")</f>
        <v>4</v>
      </c>
      <c r="R414" s="22"/>
      <c r="T414" s="22"/>
      <c r="W414" s="47"/>
      <c r="AI414" s="75">
        <v>411</v>
      </c>
      <c r="AJ414" s="75">
        <v>100</v>
      </c>
    </row>
    <row r="415" spans="1:36" hidden="1" x14ac:dyDescent="0.35">
      <c r="A415">
        <v>2059</v>
      </c>
      <c r="B415">
        <v>2060</v>
      </c>
      <c r="C415">
        <v>146.03479110000001</v>
      </c>
      <c r="D415">
        <v>-17.49704015</v>
      </c>
      <c r="F415" t="s">
        <v>7145</v>
      </c>
      <c r="G415" s="1" t="str">
        <f t="shared" si="12"/>
        <v>2060_20240610_0003_L_2615.jpg</v>
      </c>
      <c r="H415">
        <v>5</v>
      </c>
      <c r="I415" t="str">
        <f t="shared" si="13"/>
        <v/>
      </c>
      <c r="J415" s="53">
        <f>IFERROR(VLOOKUP(B415, DATA_Johnstone_2024_ALL!B:J, 8, FALSE), "")</f>
        <v>1</v>
      </c>
      <c r="K415" s="29"/>
      <c r="L415" s="30"/>
      <c r="M415" s="29"/>
      <c r="N415" s="20">
        <f>IF(J415=1, DATA_Johnstone_2023_50!M415, "")</f>
        <v>3</v>
      </c>
      <c r="O415" s="20">
        <f>IF($J415=1, DATA_Johnstone_2023_50!N415, "")</f>
        <v>4</v>
      </c>
      <c r="P415" s="49"/>
      <c r="Q415" s="20">
        <f>IF($J415=1, DATA_Johnstone_2023_50!P415, "")</f>
        <v>3</v>
      </c>
      <c r="R415" s="22"/>
      <c r="T415" s="22"/>
      <c r="W415" s="47"/>
      <c r="AI415" s="75">
        <v>412</v>
      </c>
      <c r="AJ415" s="75">
        <v>100</v>
      </c>
    </row>
    <row r="416" spans="1:36" hidden="1" x14ac:dyDescent="0.35">
      <c r="A416">
        <v>2064</v>
      </c>
      <c r="B416">
        <v>2065</v>
      </c>
      <c r="C416">
        <v>146.03454410000001</v>
      </c>
      <c r="D416">
        <v>-17.496638520000001</v>
      </c>
      <c r="F416" t="s">
        <v>7146</v>
      </c>
      <c r="G416" s="1" t="str">
        <f t="shared" si="12"/>
        <v>2065_20240610_0003_L_2632.jpg</v>
      </c>
      <c r="H416">
        <v>6</v>
      </c>
      <c r="I416" t="str">
        <f t="shared" si="13"/>
        <v/>
      </c>
      <c r="J416" s="53">
        <f>IFERROR(VLOOKUP(B416, DATA_Johnstone_2024_ALL!B:J, 8, FALSE), "")</f>
        <v>1</v>
      </c>
      <c r="K416" s="29"/>
      <c r="L416" s="30"/>
      <c r="M416" s="29"/>
      <c r="N416" s="20">
        <f>IF(J416=1, DATA_Johnstone_2023_50!M416, "")</f>
        <v>4</v>
      </c>
      <c r="O416" s="20">
        <f>IF($J416=1, DATA_Johnstone_2023_50!N416, "")</f>
        <v>4</v>
      </c>
      <c r="P416" s="49"/>
      <c r="Q416" s="20">
        <f>IF($J416=1, DATA_Johnstone_2023_50!P416, "")</f>
        <v>4</v>
      </c>
      <c r="R416" s="22"/>
      <c r="T416" s="22"/>
      <c r="W416" s="47"/>
      <c r="AI416" s="75">
        <v>413</v>
      </c>
      <c r="AJ416" s="75">
        <v>100</v>
      </c>
    </row>
    <row r="417" spans="1:36" hidden="1" x14ac:dyDescent="0.35">
      <c r="A417">
        <v>2069</v>
      </c>
      <c r="B417">
        <v>2070</v>
      </c>
      <c r="C417">
        <v>146.0342876</v>
      </c>
      <c r="D417">
        <v>-17.496242890000001</v>
      </c>
      <c r="F417" t="s">
        <v>7147</v>
      </c>
      <c r="G417" s="1" t="str">
        <f t="shared" si="12"/>
        <v>2070_20240610_0003_L_2652.jpg</v>
      </c>
      <c r="H417">
        <v>6</v>
      </c>
      <c r="I417" t="str">
        <f t="shared" si="13"/>
        <v/>
      </c>
      <c r="J417" s="53">
        <f>IFERROR(VLOOKUP(B417, DATA_Johnstone_2024_ALL!B:J, 8, FALSE), "")</f>
        <v>1</v>
      </c>
      <c r="K417" s="29"/>
      <c r="L417" s="30"/>
      <c r="M417" s="29"/>
      <c r="N417" s="20">
        <f>IF(J417=1, DATA_Johnstone_2023_50!M417, "")</f>
        <v>0</v>
      </c>
      <c r="O417" s="20">
        <f>IF($J417=1, DATA_Johnstone_2023_50!N417, "")</f>
        <v>0</v>
      </c>
      <c r="P417" s="49"/>
      <c r="Q417" s="20">
        <f>IF($J417=1, DATA_Johnstone_2023_50!P417, "")</f>
        <v>0</v>
      </c>
      <c r="R417" s="22"/>
      <c r="T417" s="22"/>
      <c r="W417" s="47"/>
      <c r="AI417" s="75">
        <v>414</v>
      </c>
      <c r="AJ417" s="75">
        <v>100</v>
      </c>
    </row>
    <row r="418" spans="1:36" hidden="1" x14ac:dyDescent="0.35">
      <c r="A418">
        <v>2074</v>
      </c>
      <c r="B418">
        <v>2075</v>
      </c>
      <c r="C418">
        <v>146.03403109999999</v>
      </c>
      <c r="D418">
        <v>-17.495847250000001</v>
      </c>
      <c r="F418" t="s">
        <v>7148</v>
      </c>
      <c r="G418" s="1" t="str">
        <f t="shared" si="12"/>
        <v>2075_20240610_0003_L_2670.jpg</v>
      </c>
      <c r="H418">
        <v>6</v>
      </c>
      <c r="I418" t="str">
        <f t="shared" si="13"/>
        <v/>
      </c>
      <c r="J418" s="53">
        <f>IFERROR(VLOOKUP(B418, DATA_Johnstone_2024_ALL!B:J, 8, FALSE), "")</f>
        <v>1</v>
      </c>
      <c r="K418" s="29"/>
      <c r="L418" s="30"/>
      <c r="M418" s="29"/>
      <c r="N418" s="20">
        <f>IF(J418=1, DATA_Johnstone_2023_50!M418, "")</f>
        <v>1</v>
      </c>
      <c r="O418" s="20">
        <f>IF($J418=1, DATA_Johnstone_2023_50!N418, "")</f>
        <v>3</v>
      </c>
      <c r="P418" s="49"/>
      <c r="Q418" s="20">
        <f>IF($J418=1, DATA_Johnstone_2023_50!P418, "")</f>
        <v>4</v>
      </c>
      <c r="R418" s="22"/>
      <c r="T418" s="22"/>
      <c r="W418" s="47"/>
      <c r="AI418" s="75">
        <v>415</v>
      </c>
      <c r="AJ418" s="75">
        <v>100</v>
      </c>
    </row>
    <row r="419" spans="1:36" hidden="1" x14ac:dyDescent="0.35">
      <c r="A419">
        <v>2079</v>
      </c>
      <c r="B419">
        <v>2080</v>
      </c>
      <c r="C419">
        <v>146.03377029999999</v>
      </c>
      <c r="D419">
        <v>-17.495454420000002</v>
      </c>
      <c r="F419" t="s">
        <v>7149</v>
      </c>
      <c r="G419" s="1" t="str">
        <f t="shared" si="12"/>
        <v>2080_20240610_0003_L_2687.jpg</v>
      </c>
      <c r="H419">
        <v>6</v>
      </c>
      <c r="I419" t="str">
        <f t="shared" si="13"/>
        <v/>
      </c>
      <c r="J419" s="53">
        <f>IFERROR(VLOOKUP(B419, DATA_Johnstone_2024_ALL!B:J, 8, FALSE), "")</f>
        <v>1</v>
      </c>
      <c r="K419" s="29"/>
      <c r="L419" s="30"/>
      <c r="M419" s="29"/>
      <c r="N419" s="20">
        <f>IF(J419=1, DATA_Johnstone_2023_50!M419, "")</f>
        <v>0</v>
      </c>
      <c r="O419" s="20">
        <f>IF($J419=1, DATA_Johnstone_2023_50!N419, "")</f>
        <v>0</v>
      </c>
      <c r="P419" s="49"/>
      <c r="Q419" s="20">
        <f>IF($J419=1, DATA_Johnstone_2023_50!P419, "")</f>
        <v>0</v>
      </c>
      <c r="R419" s="22"/>
      <c r="T419" s="22"/>
      <c r="W419" s="47"/>
      <c r="AI419" s="75">
        <v>416</v>
      </c>
      <c r="AJ419" s="75">
        <v>100</v>
      </c>
    </row>
    <row r="420" spans="1:36" hidden="1" x14ac:dyDescent="0.35">
      <c r="A420">
        <v>2084</v>
      </c>
      <c r="B420">
        <v>2085</v>
      </c>
      <c r="C420">
        <v>146.03348639999999</v>
      </c>
      <c r="D420">
        <v>-17.49507882</v>
      </c>
      <c r="F420" t="s">
        <v>7150</v>
      </c>
      <c r="G420" s="1" t="str">
        <f t="shared" si="12"/>
        <v>2085_20240610_0003_L_2702.jpg</v>
      </c>
      <c r="H420">
        <v>6</v>
      </c>
      <c r="I420" t="str">
        <f t="shared" si="13"/>
        <v/>
      </c>
      <c r="J420" s="53">
        <f>IFERROR(VLOOKUP(B420, DATA_Johnstone_2024_ALL!B:J, 8, FALSE), "")</f>
        <v>0</v>
      </c>
      <c r="K420" s="29"/>
      <c r="L420" s="30"/>
      <c r="M420" s="29"/>
      <c r="N420" s="20" t="str">
        <f>IF(J420=1, DATA_Johnstone_2023_50!M420, "")</f>
        <v/>
      </c>
      <c r="O420" s="20" t="str">
        <f>IF($J420=1, DATA_Johnstone_2023_50!N420, "")</f>
        <v/>
      </c>
      <c r="P420" s="49"/>
      <c r="Q420" s="20" t="str">
        <f>IF($J420=1, DATA_Johnstone_2023_50!P420, "")</f>
        <v/>
      </c>
      <c r="R420" s="22"/>
      <c r="T420" s="22"/>
      <c r="W420" s="47"/>
      <c r="AI420" s="75">
        <v>417</v>
      </c>
      <c r="AJ420" s="75">
        <v>100</v>
      </c>
    </row>
    <row r="421" spans="1:36" hidden="1" x14ac:dyDescent="0.35">
      <c r="A421">
        <v>2089</v>
      </c>
      <c r="B421">
        <v>2090</v>
      </c>
      <c r="C421">
        <v>146.03318139999999</v>
      </c>
      <c r="D421">
        <v>-17.494719280000002</v>
      </c>
      <c r="F421" t="s">
        <v>7151</v>
      </c>
      <c r="G421" s="1" t="str">
        <f t="shared" si="12"/>
        <v>2090_20240610_0003_L_2719.jpg</v>
      </c>
      <c r="H421">
        <v>6</v>
      </c>
      <c r="I421" t="str">
        <f t="shared" si="13"/>
        <v/>
      </c>
      <c r="J421" s="53">
        <f>IFERROR(VLOOKUP(B421, DATA_Johnstone_2024_ALL!B:J, 8, FALSE), "")</f>
        <v>0</v>
      </c>
      <c r="K421" s="29"/>
      <c r="L421" s="30"/>
      <c r="M421" s="29"/>
      <c r="N421" s="20" t="str">
        <f>IF(J421=1, DATA_Johnstone_2023_50!M421, "")</f>
        <v/>
      </c>
      <c r="O421" s="20" t="str">
        <f>IF($J421=1, DATA_Johnstone_2023_50!N421, "")</f>
        <v/>
      </c>
      <c r="P421" s="49"/>
      <c r="Q421" s="20" t="str">
        <f>IF($J421=1, DATA_Johnstone_2023_50!P421, "")</f>
        <v/>
      </c>
      <c r="R421" s="22"/>
      <c r="T421" s="22"/>
      <c r="W421" s="47"/>
      <c r="AI421" s="75">
        <v>418</v>
      </c>
      <c r="AJ421" s="75">
        <v>100</v>
      </c>
    </row>
    <row r="422" spans="1:36" hidden="1" x14ac:dyDescent="0.35">
      <c r="A422">
        <v>2094</v>
      </c>
      <c r="B422">
        <v>2095</v>
      </c>
      <c r="C422">
        <v>146.03284289999999</v>
      </c>
      <c r="D422">
        <v>-17.494391090000001</v>
      </c>
      <c r="F422" t="s">
        <v>7152</v>
      </c>
      <c r="G422" s="1" t="str">
        <f t="shared" si="12"/>
        <v>2095_20240610_0003_L_2735.jpg</v>
      </c>
      <c r="H422">
        <v>6</v>
      </c>
      <c r="I422" t="str">
        <f t="shared" si="13"/>
        <v/>
      </c>
      <c r="J422" s="53">
        <f>IFERROR(VLOOKUP(B422, DATA_Johnstone_2024_ALL!B:J, 8, FALSE), "")</f>
        <v>1</v>
      </c>
      <c r="K422" s="29"/>
      <c r="L422" s="30"/>
      <c r="M422" s="29"/>
      <c r="N422" s="20">
        <f>IF(J422=1, DATA_Johnstone_2023_50!M422, "")</f>
        <v>0</v>
      </c>
      <c r="O422" s="20">
        <f>IF($J422=1, DATA_Johnstone_2023_50!N422, "")</f>
        <v>0</v>
      </c>
      <c r="P422" s="49"/>
      <c r="Q422" s="20">
        <f>IF($J422=1, DATA_Johnstone_2023_50!P422, "")</f>
        <v>0</v>
      </c>
      <c r="R422" s="22"/>
      <c r="T422" s="22"/>
      <c r="W422" s="47"/>
      <c r="AI422" s="75">
        <v>419</v>
      </c>
      <c r="AJ422" s="75">
        <v>100</v>
      </c>
    </row>
    <row r="423" spans="1:36" hidden="1" x14ac:dyDescent="0.35">
      <c r="A423">
        <v>2099</v>
      </c>
      <c r="B423">
        <v>2100</v>
      </c>
      <c r="C423">
        <v>146.03249819999999</v>
      </c>
      <c r="D423">
        <v>-17.494069419999999</v>
      </c>
      <c r="F423" t="s">
        <v>7153</v>
      </c>
      <c r="G423" s="1" t="str">
        <f t="shared" si="12"/>
        <v>2100_20240610_0003_L_2750.jpg</v>
      </c>
      <c r="H423">
        <v>6</v>
      </c>
      <c r="I423" t="str">
        <f t="shared" si="13"/>
        <v/>
      </c>
      <c r="J423" s="53">
        <f>IFERROR(VLOOKUP(B423, DATA_Johnstone_2024_ALL!B:J, 8, FALSE), "")</f>
        <v>0</v>
      </c>
      <c r="K423" s="29"/>
      <c r="L423" s="30"/>
      <c r="M423" s="29"/>
      <c r="N423" s="20" t="str">
        <f>IF(J423=1, DATA_Johnstone_2023_50!M423, "")</f>
        <v/>
      </c>
      <c r="O423" s="20" t="str">
        <f>IF($J423=1, DATA_Johnstone_2023_50!N423, "")</f>
        <v/>
      </c>
      <c r="P423" s="49"/>
      <c r="Q423" s="20" t="str">
        <f>IF($J423=1, DATA_Johnstone_2023_50!P423, "")</f>
        <v/>
      </c>
      <c r="R423" s="22"/>
      <c r="T423" s="22"/>
      <c r="W423" s="47"/>
      <c r="AI423" s="75">
        <v>420</v>
      </c>
      <c r="AJ423" s="75">
        <v>100</v>
      </c>
    </row>
    <row r="424" spans="1:36" hidden="1" x14ac:dyDescent="0.35">
      <c r="A424">
        <v>2104</v>
      </c>
      <c r="B424">
        <v>2105</v>
      </c>
      <c r="C424">
        <v>146.03215080000001</v>
      </c>
      <c r="D424">
        <v>-17.493750729999999</v>
      </c>
      <c r="F424" t="s">
        <v>7154</v>
      </c>
      <c r="G424" s="1" t="str">
        <f t="shared" si="12"/>
        <v>2105_20240610_0003_L_2765.jpg</v>
      </c>
      <c r="H424">
        <v>6</v>
      </c>
      <c r="I424" t="str">
        <f t="shared" si="13"/>
        <v/>
      </c>
      <c r="J424" s="53">
        <f>IFERROR(VLOOKUP(B424, DATA_Johnstone_2024_ALL!B:J, 8, FALSE), "")</f>
        <v>0</v>
      </c>
      <c r="K424" s="29"/>
      <c r="L424" s="30"/>
      <c r="M424" s="29"/>
      <c r="N424" s="20" t="str">
        <f>IF(J424=1, DATA_Johnstone_2023_50!M424, "")</f>
        <v/>
      </c>
      <c r="O424" s="20" t="str">
        <f>IF($J424=1, DATA_Johnstone_2023_50!N424, "")</f>
        <v/>
      </c>
      <c r="P424" s="49"/>
      <c r="Q424" s="20" t="str">
        <f>IF($J424=1, DATA_Johnstone_2023_50!P424, "")</f>
        <v/>
      </c>
      <c r="R424" s="22"/>
      <c r="T424" s="22"/>
      <c r="W424" s="47"/>
      <c r="AI424" s="75">
        <v>421</v>
      </c>
      <c r="AJ424" s="75">
        <v>100</v>
      </c>
    </row>
    <row r="425" spans="1:36" hidden="1" x14ac:dyDescent="0.35">
      <c r="A425">
        <v>2109</v>
      </c>
      <c r="B425">
        <v>2110</v>
      </c>
      <c r="C425">
        <v>146.03182229999999</v>
      </c>
      <c r="D425">
        <v>-17.493412429999999</v>
      </c>
      <c r="F425" t="s">
        <v>7155</v>
      </c>
      <c r="G425" s="1" t="str">
        <f t="shared" si="12"/>
        <v>2110_20240610_0003_L_2786.jpg</v>
      </c>
      <c r="H425">
        <v>6</v>
      </c>
      <c r="I425" t="str">
        <f t="shared" si="13"/>
        <v/>
      </c>
      <c r="J425" s="53">
        <f>IFERROR(VLOOKUP(B425, DATA_Johnstone_2024_ALL!B:J, 8, FALSE), "")</f>
        <v>0</v>
      </c>
      <c r="K425" s="29"/>
      <c r="L425" s="30"/>
      <c r="M425" s="29"/>
      <c r="N425" s="20" t="str">
        <f>IF(J425=1, DATA_Johnstone_2023_50!M425, "")</f>
        <v/>
      </c>
      <c r="O425" s="20" t="str">
        <f>IF($J425=1, DATA_Johnstone_2023_50!N425, "")</f>
        <v/>
      </c>
      <c r="P425" s="49"/>
      <c r="Q425" s="20" t="str">
        <f>IF($J425=1, DATA_Johnstone_2023_50!P425, "")</f>
        <v/>
      </c>
      <c r="R425" s="22"/>
      <c r="T425" s="22"/>
      <c r="W425" s="47"/>
      <c r="AI425" s="75">
        <v>422</v>
      </c>
      <c r="AJ425" s="75">
        <v>100</v>
      </c>
    </row>
    <row r="426" spans="1:36" hidden="1" x14ac:dyDescent="0.35">
      <c r="A426">
        <v>2114</v>
      </c>
      <c r="B426">
        <v>2115</v>
      </c>
      <c r="C426">
        <v>146.0315263</v>
      </c>
      <c r="D426">
        <v>-17.493048160000001</v>
      </c>
      <c r="F426" t="s">
        <v>7156</v>
      </c>
      <c r="G426" s="1" t="str">
        <f t="shared" si="12"/>
        <v>2115_20240610_0003_L_2801.jpg</v>
      </c>
      <c r="H426">
        <v>6</v>
      </c>
      <c r="I426" t="str">
        <f t="shared" si="13"/>
        <v/>
      </c>
      <c r="J426" s="53">
        <f>IFERROR(VLOOKUP(B426, DATA_Johnstone_2024_ALL!B:J, 8, FALSE), "")</f>
        <v>0</v>
      </c>
      <c r="K426" s="29"/>
      <c r="L426" s="30"/>
      <c r="M426" s="29"/>
      <c r="N426" s="20" t="str">
        <f>IF(J426=1, DATA_Johnstone_2023_50!M426, "")</f>
        <v/>
      </c>
      <c r="O426" s="20" t="str">
        <f>IF($J426=1, DATA_Johnstone_2023_50!N426, "")</f>
        <v/>
      </c>
      <c r="P426" s="49"/>
      <c r="Q426" s="20" t="str">
        <f>IF($J426=1, DATA_Johnstone_2023_50!P426, "")</f>
        <v/>
      </c>
      <c r="R426" s="22"/>
      <c r="T426" s="22"/>
      <c r="W426" s="47"/>
      <c r="AI426" s="75">
        <v>423</v>
      </c>
      <c r="AJ426" s="75">
        <v>100</v>
      </c>
    </row>
    <row r="427" spans="1:36" hidden="1" x14ac:dyDescent="0.35">
      <c r="A427">
        <v>2119</v>
      </c>
      <c r="B427">
        <v>2120</v>
      </c>
      <c r="C427">
        <v>146.0312672</v>
      </c>
      <c r="D427">
        <v>-17.49265415</v>
      </c>
      <c r="F427" t="s">
        <v>7157</v>
      </c>
      <c r="G427" s="1" t="str">
        <f t="shared" si="12"/>
        <v>2120_20240610_0003_L_2814.jpg</v>
      </c>
      <c r="H427">
        <v>6</v>
      </c>
      <c r="I427" t="str">
        <f t="shared" si="13"/>
        <v/>
      </c>
      <c r="J427" s="53">
        <f>IFERROR(VLOOKUP(B427, DATA_Johnstone_2024_ALL!B:J, 8, FALSE), "")</f>
        <v>0</v>
      </c>
      <c r="K427" s="29"/>
      <c r="L427" s="30"/>
      <c r="M427" s="29"/>
      <c r="N427" s="20" t="str">
        <f>IF(J427=1, DATA_Johnstone_2023_50!M427, "")</f>
        <v/>
      </c>
      <c r="O427" s="20" t="str">
        <f>IF($J427=1, DATA_Johnstone_2023_50!N427, "")</f>
        <v/>
      </c>
      <c r="P427" s="49"/>
      <c r="Q427" s="20" t="str">
        <f>IF($J427=1, DATA_Johnstone_2023_50!P427, "")</f>
        <v/>
      </c>
      <c r="R427" s="22"/>
      <c r="T427" s="22"/>
      <c r="W427" s="47"/>
      <c r="AI427" s="75">
        <v>424</v>
      </c>
      <c r="AJ427" s="75">
        <v>100</v>
      </c>
    </row>
    <row r="428" spans="1:36" hidden="1" x14ac:dyDescent="0.35">
      <c r="A428">
        <v>2124</v>
      </c>
      <c r="B428">
        <v>2125</v>
      </c>
      <c r="C428">
        <v>146.03103669999999</v>
      </c>
      <c r="D428">
        <v>-17.492242990000001</v>
      </c>
      <c r="F428" t="s">
        <v>7158</v>
      </c>
      <c r="G428" s="1" t="str">
        <f t="shared" si="12"/>
        <v>2125_20240610_0003_L_2829.jpg</v>
      </c>
      <c r="H428">
        <v>6</v>
      </c>
      <c r="I428" t="str">
        <f t="shared" si="13"/>
        <v/>
      </c>
      <c r="J428" s="53">
        <f>IFERROR(VLOOKUP(B428, DATA_Johnstone_2024_ALL!B:J, 8, FALSE), "")</f>
        <v>0</v>
      </c>
      <c r="K428" s="29"/>
      <c r="L428" s="30"/>
      <c r="M428" s="29"/>
      <c r="N428" s="20" t="str">
        <f>IF(J428=1, DATA_Johnstone_2023_50!M428, "")</f>
        <v/>
      </c>
      <c r="O428" s="20" t="str">
        <f>IF($J428=1, DATA_Johnstone_2023_50!N428, "")</f>
        <v/>
      </c>
      <c r="P428" s="49"/>
      <c r="Q428" s="20" t="str">
        <f>IF($J428=1, DATA_Johnstone_2023_50!P428, "")</f>
        <v/>
      </c>
      <c r="R428" s="22"/>
      <c r="T428" s="22"/>
      <c r="W428" s="47"/>
      <c r="AI428" s="75">
        <v>425</v>
      </c>
      <c r="AJ428" s="75">
        <v>100</v>
      </c>
    </row>
    <row r="429" spans="1:36" hidden="1" x14ac:dyDescent="0.35">
      <c r="A429">
        <v>2129</v>
      </c>
      <c r="B429">
        <v>2130</v>
      </c>
      <c r="C429">
        <v>146.03080979999999</v>
      </c>
      <c r="D429">
        <v>-17.491829660000001</v>
      </c>
      <c r="F429" t="s">
        <v>7159</v>
      </c>
      <c r="G429" s="1" t="str">
        <f t="shared" si="12"/>
        <v>2130_20240610_0003_L_2845.jpg</v>
      </c>
      <c r="H429">
        <v>6</v>
      </c>
      <c r="I429" t="str">
        <f t="shared" si="13"/>
        <v/>
      </c>
      <c r="J429" s="53">
        <f>IFERROR(VLOOKUP(B429, DATA_Johnstone_2024_ALL!B:J, 8, FALSE), "")</f>
        <v>0</v>
      </c>
      <c r="K429" s="29"/>
      <c r="L429" s="30"/>
      <c r="M429" s="29"/>
      <c r="N429" s="20" t="str">
        <f>IF(J429=1, DATA_Johnstone_2023_50!M429, "")</f>
        <v/>
      </c>
      <c r="O429" s="20" t="str">
        <f>IF($J429=1, DATA_Johnstone_2023_50!N429, "")</f>
        <v/>
      </c>
      <c r="P429" s="49"/>
      <c r="Q429" s="20" t="str">
        <f>IF($J429=1, DATA_Johnstone_2023_50!P429, "")</f>
        <v/>
      </c>
      <c r="R429" s="22"/>
      <c r="T429" s="22"/>
      <c r="W429" s="47"/>
      <c r="AI429" s="75">
        <v>426</v>
      </c>
      <c r="AJ429" s="75">
        <v>100</v>
      </c>
    </row>
    <row r="430" spans="1:36" hidden="1" x14ac:dyDescent="0.35">
      <c r="A430">
        <v>2134</v>
      </c>
      <c r="B430">
        <v>2135</v>
      </c>
      <c r="C430">
        <v>146.03057870000001</v>
      </c>
      <c r="D430">
        <v>-17.491418660000001</v>
      </c>
      <c r="F430" t="s">
        <v>7160</v>
      </c>
      <c r="G430" s="1" t="str">
        <f t="shared" si="12"/>
        <v>2135_20240610_0003_L_2860.jpg</v>
      </c>
      <c r="H430">
        <v>6</v>
      </c>
      <c r="I430" t="str">
        <f t="shared" si="13"/>
        <v/>
      </c>
      <c r="J430" s="53">
        <f>IFERROR(VLOOKUP(B430, DATA_Johnstone_2024_ALL!B:J, 8, FALSE), "")</f>
        <v>1</v>
      </c>
      <c r="K430" s="29"/>
      <c r="L430" s="30"/>
      <c r="M430" s="29"/>
      <c r="N430" s="20">
        <f>IF(J430=1, DATA_Johnstone_2023_50!M430, "")</f>
        <v>0</v>
      </c>
      <c r="O430" s="20">
        <f>IF($J430=1, DATA_Johnstone_2023_50!N430, "")</f>
        <v>0</v>
      </c>
      <c r="P430" s="49"/>
      <c r="Q430" s="20">
        <f>IF($J430=1, DATA_Johnstone_2023_50!P430, "")</f>
        <v>0</v>
      </c>
      <c r="R430" s="22"/>
      <c r="T430" s="22"/>
      <c r="W430" s="47"/>
      <c r="AI430" s="75">
        <v>427</v>
      </c>
      <c r="AJ430" s="75">
        <v>100</v>
      </c>
    </row>
    <row r="431" spans="1:36" hidden="1" x14ac:dyDescent="0.35">
      <c r="A431">
        <v>2139</v>
      </c>
      <c r="B431">
        <v>2140</v>
      </c>
      <c r="C431">
        <v>146.03035600000001</v>
      </c>
      <c r="D431">
        <v>-17.491003339999999</v>
      </c>
      <c r="F431" t="s">
        <v>7161</v>
      </c>
      <c r="G431" s="1" t="str">
        <f t="shared" si="12"/>
        <v>2140_20240610_0003_L_2875.jpg</v>
      </c>
      <c r="H431">
        <v>6</v>
      </c>
      <c r="I431" t="str">
        <f t="shared" si="13"/>
        <v/>
      </c>
      <c r="J431" s="53">
        <f>IFERROR(VLOOKUP(B431, DATA_Johnstone_2024_ALL!B:J, 8, FALSE), "")</f>
        <v>0</v>
      </c>
      <c r="K431" s="29"/>
      <c r="L431" s="30"/>
      <c r="M431" s="29"/>
      <c r="N431" s="20" t="str">
        <f>IF(J431=1, DATA_Johnstone_2023_50!M431, "")</f>
        <v/>
      </c>
      <c r="O431" s="20" t="str">
        <f>IF($J431=1, DATA_Johnstone_2023_50!N431, "")</f>
        <v/>
      </c>
      <c r="P431" s="49"/>
      <c r="Q431" s="20" t="str">
        <f>IF($J431=1, DATA_Johnstone_2023_50!P431, "")</f>
        <v/>
      </c>
      <c r="R431" s="22"/>
      <c r="T431" s="22"/>
      <c r="W431" s="47"/>
      <c r="AI431" s="75">
        <v>428</v>
      </c>
      <c r="AJ431" s="75">
        <v>100</v>
      </c>
    </row>
    <row r="432" spans="1:36" hidden="1" x14ac:dyDescent="0.35">
      <c r="A432">
        <v>2144</v>
      </c>
      <c r="B432">
        <v>2145</v>
      </c>
      <c r="C432">
        <v>146.0301561</v>
      </c>
      <c r="D432">
        <v>-17.49057633</v>
      </c>
      <c r="F432" t="s">
        <v>7162</v>
      </c>
      <c r="G432" s="1" t="str">
        <f t="shared" si="12"/>
        <v>2145_20240610_0003_L_2890.jpg</v>
      </c>
      <c r="H432">
        <v>6</v>
      </c>
      <c r="I432" t="str">
        <f t="shared" si="13"/>
        <v/>
      </c>
      <c r="J432" s="53">
        <f>IFERROR(VLOOKUP(B432, DATA_Johnstone_2024_ALL!B:J, 8, FALSE), "")</f>
        <v>0</v>
      </c>
      <c r="K432" s="29"/>
      <c r="L432" s="30"/>
      <c r="M432" s="29"/>
      <c r="N432" s="20" t="str">
        <f>IF(J432=1, DATA_Johnstone_2023_50!M432, "")</f>
        <v/>
      </c>
      <c r="O432" s="20" t="str">
        <f>IF($J432=1, DATA_Johnstone_2023_50!N432, "")</f>
        <v/>
      </c>
      <c r="P432" s="49"/>
      <c r="Q432" s="20" t="str">
        <f>IF($J432=1, DATA_Johnstone_2023_50!P432, "")</f>
        <v/>
      </c>
      <c r="R432" s="22"/>
      <c r="T432" s="22"/>
      <c r="W432" s="47"/>
      <c r="AI432" s="75">
        <v>429</v>
      </c>
      <c r="AJ432" s="75">
        <v>100</v>
      </c>
    </row>
    <row r="433" spans="1:36" hidden="1" x14ac:dyDescent="0.35">
      <c r="A433">
        <v>2149</v>
      </c>
      <c r="B433">
        <v>2150</v>
      </c>
      <c r="C433">
        <v>146.02995659999999</v>
      </c>
      <c r="D433">
        <v>-17.490149110000001</v>
      </c>
      <c r="F433" t="s">
        <v>7163</v>
      </c>
      <c r="G433" s="1" t="str">
        <f t="shared" si="12"/>
        <v>2150_20240610_0003_L_2906.jpg</v>
      </c>
      <c r="H433">
        <v>6</v>
      </c>
      <c r="I433" t="str">
        <f t="shared" si="13"/>
        <v/>
      </c>
      <c r="J433" s="53">
        <f>IFERROR(VLOOKUP(B433, DATA_Johnstone_2024_ALL!B:J, 8, FALSE), "")</f>
        <v>0</v>
      </c>
      <c r="K433" s="29"/>
      <c r="L433" s="30"/>
      <c r="M433" s="29"/>
      <c r="N433" s="20" t="str">
        <f>IF(J433=1, DATA_Johnstone_2023_50!M433, "")</f>
        <v/>
      </c>
      <c r="O433" s="20" t="str">
        <f>IF($J433=1, DATA_Johnstone_2023_50!N433, "")</f>
        <v/>
      </c>
      <c r="P433" s="49"/>
      <c r="Q433" s="20" t="str">
        <f>IF($J433=1, DATA_Johnstone_2023_50!P433, "")</f>
        <v/>
      </c>
      <c r="R433" s="22"/>
      <c r="T433" s="22"/>
      <c r="W433" s="47"/>
      <c r="AI433" s="75">
        <v>430</v>
      </c>
      <c r="AJ433" s="75">
        <v>100</v>
      </c>
    </row>
    <row r="434" spans="1:36" hidden="1" x14ac:dyDescent="0.35">
      <c r="A434">
        <v>2154</v>
      </c>
      <c r="B434">
        <v>2155</v>
      </c>
      <c r="C434">
        <v>146.02978440000001</v>
      </c>
      <c r="D434">
        <v>-17.489710169999999</v>
      </c>
      <c r="F434" t="s">
        <v>7164</v>
      </c>
      <c r="G434" s="1" t="str">
        <f t="shared" si="12"/>
        <v>2155_20240610_0003_L_2920.jpg</v>
      </c>
      <c r="H434">
        <v>6</v>
      </c>
      <c r="I434" t="str">
        <f t="shared" si="13"/>
        <v/>
      </c>
      <c r="J434" s="53">
        <f>IFERROR(VLOOKUP(B434, DATA_Johnstone_2024_ALL!B:J, 8, FALSE), "")</f>
        <v>1</v>
      </c>
      <c r="K434" s="29"/>
      <c r="L434" s="30"/>
      <c r="M434" s="29"/>
      <c r="N434" s="20">
        <f>IF(J434=1, DATA_Johnstone_2023_50!M434, "")</f>
        <v>0</v>
      </c>
      <c r="O434" s="20">
        <f>IF($J434=1, DATA_Johnstone_2023_50!N434, "")</f>
        <v>0</v>
      </c>
      <c r="P434" s="49"/>
      <c r="Q434" s="20">
        <f>IF($J434=1, DATA_Johnstone_2023_50!P434, "")</f>
        <v>0</v>
      </c>
      <c r="R434" s="22"/>
      <c r="T434" s="22"/>
      <c r="W434" s="47"/>
      <c r="AI434" s="75">
        <v>431</v>
      </c>
      <c r="AJ434" s="75">
        <v>100</v>
      </c>
    </row>
    <row r="435" spans="1:36" hidden="1" x14ac:dyDescent="0.35">
      <c r="A435">
        <v>2159</v>
      </c>
      <c r="B435">
        <v>2160</v>
      </c>
      <c r="C435">
        <v>146.02963220000001</v>
      </c>
      <c r="D435">
        <v>-17.489264760000001</v>
      </c>
      <c r="F435" t="s">
        <v>7165</v>
      </c>
      <c r="G435" s="1" t="str">
        <f t="shared" si="12"/>
        <v>2160_20240610_0003_L_2935.jpg</v>
      </c>
      <c r="H435">
        <v>6</v>
      </c>
      <c r="I435" t="str">
        <f t="shared" si="13"/>
        <v/>
      </c>
      <c r="J435" s="53">
        <f>IFERROR(VLOOKUP(B435, DATA_Johnstone_2024_ALL!B:J, 8, FALSE), "")</f>
        <v>0</v>
      </c>
      <c r="K435" s="29"/>
      <c r="L435" s="30"/>
      <c r="M435" s="29"/>
      <c r="N435" s="20" t="str">
        <f>IF(J435=1, DATA_Johnstone_2023_50!M435, "")</f>
        <v/>
      </c>
      <c r="O435" s="20" t="str">
        <f>IF($J435=1, DATA_Johnstone_2023_50!N435, "")</f>
        <v/>
      </c>
      <c r="P435" s="49"/>
      <c r="Q435" s="20" t="str">
        <f>IF($J435=1, DATA_Johnstone_2023_50!P435, "")</f>
        <v/>
      </c>
      <c r="R435" s="22"/>
      <c r="T435" s="22"/>
      <c r="W435" s="47"/>
      <c r="AI435" s="75">
        <v>432</v>
      </c>
      <c r="AJ435" s="75">
        <v>100</v>
      </c>
    </row>
    <row r="436" spans="1:36" hidden="1" x14ac:dyDescent="0.35">
      <c r="A436">
        <v>2164</v>
      </c>
      <c r="B436">
        <v>2165</v>
      </c>
      <c r="C436">
        <v>146.02951569999999</v>
      </c>
      <c r="D436">
        <v>-17.488807850000001</v>
      </c>
      <c r="F436" t="s">
        <v>7166</v>
      </c>
      <c r="G436" s="1" t="str">
        <f t="shared" si="12"/>
        <v>2165_20240610_0003_L_2952.jpg</v>
      </c>
      <c r="H436">
        <v>6</v>
      </c>
      <c r="I436" t="str">
        <f t="shared" si="13"/>
        <v/>
      </c>
      <c r="J436" s="53">
        <f>IFERROR(VLOOKUP(B436, DATA_Johnstone_2024_ALL!B:J, 8, FALSE), "")</f>
        <v>0</v>
      </c>
      <c r="K436" s="29"/>
      <c r="L436" s="30"/>
      <c r="M436" s="29"/>
      <c r="N436" s="20" t="str">
        <f>IF(J436=1, DATA_Johnstone_2023_50!M436, "")</f>
        <v/>
      </c>
      <c r="O436" s="20" t="str">
        <f>IF($J436=1, DATA_Johnstone_2023_50!N436, "")</f>
        <v/>
      </c>
      <c r="P436" s="49"/>
      <c r="Q436" s="20" t="str">
        <f>IF($J436=1, DATA_Johnstone_2023_50!P436, "")</f>
        <v/>
      </c>
      <c r="R436" s="22"/>
      <c r="T436" s="22"/>
      <c r="W436" s="47"/>
      <c r="AI436" s="75">
        <v>433</v>
      </c>
      <c r="AJ436" s="75">
        <v>100</v>
      </c>
    </row>
    <row r="437" spans="1:36" hidden="1" x14ac:dyDescent="0.35">
      <c r="A437">
        <v>2169</v>
      </c>
      <c r="B437">
        <v>2170</v>
      </c>
      <c r="C437">
        <v>146.0294188</v>
      </c>
      <c r="D437">
        <v>-17.488346719999999</v>
      </c>
      <c r="F437" t="s">
        <v>7167</v>
      </c>
      <c r="G437" s="1" t="str">
        <f t="shared" si="12"/>
        <v>2170_20240610_0003_L_2968.jpg</v>
      </c>
      <c r="H437">
        <v>6</v>
      </c>
      <c r="I437" t="str">
        <f t="shared" si="13"/>
        <v/>
      </c>
      <c r="J437" s="53">
        <f>IFERROR(VLOOKUP(B437, DATA_Johnstone_2024_ALL!B:J, 8, FALSE), "")</f>
        <v>1</v>
      </c>
      <c r="K437" s="29"/>
      <c r="L437" s="30"/>
      <c r="M437" s="29"/>
      <c r="N437" s="20">
        <f>IF(J437=1, DATA_Johnstone_2023_50!M437, "")</f>
        <v>0</v>
      </c>
      <c r="O437" s="20">
        <f>IF($J437=1, DATA_Johnstone_2023_50!N437, "")</f>
        <v>0</v>
      </c>
      <c r="P437" s="49"/>
      <c r="Q437" s="20">
        <f>IF($J437=1, DATA_Johnstone_2023_50!P437, "")</f>
        <v>0</v>
      </c>
      <c r="R437" s="22"/>
      <c r="T437" s="22"/>
      <c r="W437" s="47"/>
      <c r="AI437" s="75">
        <v>434</v>
      </c>
      <c r="AJ437" s="75">
        <v>100</v>
      </c>
    </row>
    <row r="438" spans="1:36" hidden="1" x14ac:dyDescent="0.35">
      <c r="A438">
        <v>2174</v>
      </c>
      <c r="B438">
        <v>2175</v>
      </c>
      <c r="C438">
        <v>146.029336</v>
      </c>
      <c r="D438">
        <v>-17.48788253</v>
      </c>
      <c r="F438" t="s">
        <v>7168</v>
      </c>
      <c r="G438" s="1" t="str">
        <f t="shared" si="12"/>
        <v>2175_20240610_0003_L_2982.jpg</v>
      </c>
      <c r="H438">
        <v>6</v>
      </c>
      <c r="I438" t="str">
        <f t="shared" si="13"/>
        <v/>
      </c>
      <c r="J438" s="53">
        <f>IFERROR(VLOOKUP(B438, DATA_Johnstone_2024_ALL!B:J, 8, FALSE), "")</f>
        <v>1</v>
      </c>
      <c r="K438" s="29"/>
      <c r="L438" s="30"/>
      <c r="M438" s="29"/>
      <c r="N438" s="20">
        <f>IF(J438=1, DATA_Johnstone_2023_50!M438, "")</f>
        <v>4</v>
      </c>
      <c r="O438" s="20">
        <f>IF($J438=1, DATA_Johnstone_2023_50!N438, "")</f>
        <v>4</v>
      </c>
      <c r="P438" s="49"/>
      <c r="Q438" s="20">
        <f>IF($J438=1, DATA_Johnstone_2023_50!P438, "")</f>
        <v>4</v>
      </c>
      <c r="R438" s="22"/>
      <c r="T438" s="22"/>
      <c r="W438" s="47"/>
      <c r="AI438" s="75">
        <v>435</v>
      </c>
      <c r="AJ438" s="75">
        <v>100</v>
      </c>
    </row>
    <row r="439" spans="1:36" hidden="1" x14ac:dyDescent="0.35">
      <c r="A439">
        <v>2179</v>
      </c>
      <c r="B439">
        <v>2180</v>
      </c>
      <c r="C439">
        <v>146.02927339999999</v>
      </c>
      <c r="D439">
        <v>-17.487415460000001</v>
      </c>
      <c r="F439" t="s">
        <v>7169</v>
      </c>
      <c r="G439" s="1" t="str">
        <f t="shared" si="12"/>
        <v>2180_20240610_0003_L_2999.jpg</v>
      </c>
      <c r="H439">
        <v>6</v>
      </c>
      <c r="I439" t="str">
        <f t="shared" si="13"/>
        <v/>
      </c>
      <c r="J439" s="53">
        <f>IFERROR(VLOOKUP(B439, DATA_Johnstone_2024_ALL!B:J, 8, FALSE), "")</f>
        <v>0</v>
      </c>
      <c r="K439" s="29"/>
      <c r="L439" s="30"/>
      <c r="M439" s="29"/>
      <c r="N439" s="20" t="str">
        <f>IF(J439=1, DATA_Johnstone_2023_50!M439, "")</f>
        <v/>
      </c>
      <c r="O439" s="20" t="str">
        <f>IF($J439=1, DATA_Johnstone_2023_50!N439, "")</f>
        <v/>
      </c>
      <c r="P439" s="49"/>
      <c r="Q439" s="20" t="str">
        <f>IF($J439=1, DATA_Johnstone_2023_50!P439, "")</f>
        <v/>
      </c>
      <c r="R439" s="22"/>
      <c r="T439" s="22"/>
      <c r="W439" s="47"/>
      <c r="AI439" s="75">
        <v>436</v>
      </c>
      <c r="AJ439" s="75">
        <v>100</v>
      </c>
    </row>
    <row r="440" spans="1:36" hidden="1" x14ac:dyDescent="0.35">
      <c r="A440">
        <v>2184</v>
      </c>
      <c r="B440">
        <v>2185</v>
      </c>
      <c r="C440">
        <v>146.0292231</v>
      </c>
      <c r="D440">
        <v>-17.486946629999998</v>
      </c>
      <c r="F440" t="s">
        <v>7170</v>
      </c>
      <c r="G440" s="1" t="str">
        <f t="shared" si="12"/>
        <v>2185_20240610_0003_L_3015.jpg</v>
      </c>
      <c r="H440">
        <v>6</v>
      </c>
      <c r="I440" t="str">
        <f t="shared" si="13"/>
        <v/>
      </c>
      <c r="J440" s="53">
        <f>IFERROR(VLOOKUP(B440, DATA_Johnstone_2024_ALL!B:J, 8, FALSE), "")</f>
        <v>1</v>
      </c>
      <c r="K440" s="29"/>
      <c r="L440" s="30"/>
      <c r="M440" s="29"/>
      <c r="N440" s="20">
        <f>IF(J440=1, DATA_Johnstone_2023_50!M440, "")</f>
        <v>3</v>
      </c>
      <c r="O440" s="20">
        <f>IF($J440=1, DATA_Johnstone_2023_50!N440, "")</f>
        <v>4</v>
      </c>
      <c r="P440" s="49"/>
      <c r="Q440" s="20">
        <f>IF($J440=1, DATA_Johnstone_2023_50!P440, "")</f>
        <v>4</v>
      </c>
      <c r="R440" s="22"/>
      <c r="T440" s="22"/>
      <c r="W440" s="47"/>
      <c r="AI440" s="75">
        <v>437</v>
      </c>
      <c r="AJ440" s="75">
        <v>100</v>
      </c>
    </row>
    <row r="441" spans="1:36" hidden="1" x14ac:dyDescent="0.35">
      <c r="A441">
        <v>2189</v>
      </c>
      <c r="B441">
        <v>2190</v>
      </c>
      <c r="C441">
        <v>146.02921420000001</v>
      </c>
      <c r="D441">
        <v>-17.48647532</v>
      </c>
      <c r="F441" t="s">
        <v>7171</v>
      </c>
      <c r="G441" s="1" t="str">
        <f t="shared" si="12"/>
        <v>2190_20240610_0003_L_3031.jpg</v>
      </c>
      <c r="H441">
        <v>6</v>
      </c>
      <c r="I441" t="str">
        <f t="shared" si="13"/>
        <v/>
      </c>
      <c r="J441" s="53">
        <f>IFERROR(VLOOKUP(B441, DATA_Johnstone_2024_ALL!B:J, 8, FALSE), "")</f>
        <v>1</v>
      </c>
      <c r="K441" s="29"/>
      <c r="L441" s="30"/>
      <c r="M441" s="29"/>
      <c r="N441" s="20">
        <f>IF(J441=1, DATA_Johnstone_2023_50!M441, "")</f>
        <v>0</v>
      </c>
      <c r="O441" s="20">
        <f>IF($J441=1, DATA_Johnstone_2023_50!N441, "")</f>
        <v>0</v>
      </c>
      <c r="P441" s="49"/>
      <c r="Q441" s="20">
        <f>IF($J441=1, DATA_Johnstone_2023_50!P441, "")</f>
        <v>0</v>
      </c>
      <c r="R441" s="22"/>
      <c r="T441" s="22"/>
      <c r="W441" s="47"/>
      <c r="AI441" s="75">
        <v>438</v>
      </c>
      <c r="AJ441" s="75">
        <v>100</v>
      </c>
    </row>
    <row r="442" spans="1:36" hidden="1" x14ac:dyDescent="0.35">
      <c r="A442">
        <v>2194</v>
      </c>
      <c r="B442">
        <v>2195</v>
      </c>
      <c r="C442">
        <v>146.02920810000001</v>
      </c>
      <c r="D442">
        <v>-17.486003839999999</v>
      </c>
      <c r="F442" t="s">
        <v>7172</v>
      </c>
      <c r="G442" s="1" t="str">
        <f t="shared" si="12"/>
        <v>2195_20240610_0003_L_3048.jpg</v>
      </c>
      <c r="H442">
        <v>6</v>
      </c>
      <c r="I442" t="str">
        <f t="shared" si="13"/>
        <v/>
      </c>
      <c r="J442" s="53">
        <f>IFERROR(VLOOKUP(B442, DATA_Johnstone_2024_ALL!B:J, 8, FALSE), "")</f>
        <v>0</v>
      </c>
      <c r="K442" s="29"/>
      <c r="L442" s="30"/>
      <c r="M442" s="29"/>
      <c r="N442" s="20" t="str">
        <f>IF(J442=1, DATA_Johnstone_2023_50!M442, "")</f>
        <v/>
      </c>
      <c r="O442" s="20" t="str">
        <f>IF($J442=1, DATA_Johnstone_2023_50!N442, "")</f>
        <v/>
      </c>
      <c r="P442" s="49"/>
      <c r="Q442" s="20" t="str">
        <f>IF($J442=1, DATA_Johnstone_2023_50!P442, "")</f>
        <v/>
      </c>
      <c r="R442" s="22"/>
      <c r="T442" s="22"/>
      <c r="W442" s="47"/>
      <c r="AI442" s="75">
        <v>439</v>
      </c>
      <c r="AJ442" s="75">
        <v>100</v>
      </c>
    </row>
    <row r="443" spans="1:36" hidden="1" x14ac:dyDescent="0.35">
      <c r="A443">
        <v>2199</v>
      </c>
      <c r="B443">
        <v>2200</v>
      </c>
      <c r="C443">
        <v>146.029202</v>
      </c>
      <c r="D443">
        <v>-17.485532360000001</v>
      </c>
      <c r="F443" t="s">
        <v>7173</v>
      </c>
      <c r="G443" s="1" t="str">
        <f t="shared" si="12"/>
        <v>2200_20240610_0003_L_3071.jpg</v>
      </c>
      <c r="H443">
        <v>6</v>
      </c>
      <c r="I443" t="str">
        <f t="shared" si="13"/>
        <v/>
      </c>
      <c r="J443" s="53">
        <f>IFERROR(VLOOKUP(B443, DATA_Johnstone_2024_ALL!B:J, 8, FALSE), "")</f>
        <v>0</v>
      </c>
      <c r="K443" s="29"/>
      <c r="L443" s="30"/>
      <c r="M443" s="29"/>
      <c r="N443" s="20" t="str">
        <f>IF(J443=1, DATA_Johnstone_2023_50!M443, "")</f>
        <v/>
      </c>
      <c r="O443" s="20" t="str">
        <f>IF($J443=1, DATA_Johnstone_2023_50!N443, "")</f>
        <v/>
      </c>
      <c r="P443" s="49"/>
      <c r="Q443" s="20" t="str">
        <f>IF($J443=1, DATA_Johnstone_2023_50!P443, "")</f>
        <v/>
      </c>
      <c r="R443" s="22"/>
      <c r="T443" s="22"/>
      <c r="W443" s="47"/>
      <c r="AI443" s="75">
        <v>440</v>
      </c>
      <c r="AJ443" s="75">
        <v>100</v>
      </c>
    </row>
    <row r="444" spans="1:36" hidden="1" x14ac:dyDescent="0.35">
      <c r="A444">
        <v>2204</v>
      </c>
      <c r="B444">
        <v>2205</v>
      </c>
      <c r="C444">
        <v>146.0291958</v>
      </c>
      <c r="D444">
        <v>-17.48506089</v>
      </c>
      <c r="F444" t="s">
        <v>7174</v>
      </c>
      <c r="G444" s="1" t="str">
        <f t="shared" si="12"/>
        <v>2205_20240610_0003_L_3090.jpg</v>
      </c>
      <c r="H444">
        <v>6</v>
      </c>
      <c r="I444" t="str">
        <f t="shared" si="13"/>
        <v/>
      </c>
      <c r="J444" s="53">
        <f>IFERROR(VLOOKUP(B444, DATA_Johnstone_2024_ALL!B:J, 8, FALSE), "")</f>
        <v>0</v>
      </c>
      <c r="K444" s="29"/>
      <c r="L444" s="30"/>
      <c r="M444" s="29"/>
      <c r="N444" s="20" t="str">
        <f>IF(J444=1, DATA_Johnstone_2023_50!M444, "")</f>
        <v/>
      </c>
      <c r="O444" s="20" t="str">
        <f>IF($J444=1, DATA_Johnstone_2023_50!N444, "")</f>
        <v/>
      </c>
      <c r="P444" s="49"/>
      <c r="Q444" s="20" t="str">
        <f>IF($J444=1, DATA_Johnstone_2023_50!P444, "")</f>
        <v/>
      </c>
      <c r="R444" s="22"/>
      <c r="T444" s="22"/>
      <c r="W444" s="47"/>
      <c r="AI444" s="75">
        <v>441</v>
      </c>
      <c r="AJ444" s="75">
        <v>100</v>
      </c>
    </row>
    <row r="445" spans="1:36" hidden="1" x14ac:dyDescent="0.35">
      <c r="A445">
        <v>2209</v>
      </c>
      <c r="B445">
        <v>2210</v>
      </c>
      <c r="C445">
        <v>146.02917969999999</v>
      </c>
      <c r="D445">
        <v>-17.484589929999999</v>
      </c>
      <c r="F445" t="s">
        <v>7175</v>
      </c>
      <c r="G445" s="1" t="str">
        <f t="shared" si="12"/>
        <v>2210_20240610_0003_L_3104.jpg</v>
      </c>
      <c r="H445">
        <v>6</v>
      </c>
      <c r="I445" t="str">
        <f t="shared" si="13"/>
        <v/>
      </c>
      <c r="J445" s="53">
        <f>IFERROR(VLOOKUP(B445, DATA_Johnstone_2024_ALL!B:J, 8, FALSE), "")</f>
        <v>0</v>
      </c>
      <c r="K445" s="29"/>
      <c r="L445" s="30"/>
      <c r="M445" s="29"/>
      <c r="N445" s="20" t="str">
        <f>IF(J445=1, DATA_Johnstone_2023_50!M445, "")</f>
        <v/>
      </c>
      <c r="O445" s="20" t="str">
        <f>IF($J445=1, DATA_Johnstone_2023_50!N445, "")</f>
        <v/>
      </c>
      <c r="P445" s="49"/>
      <c r="Q445" s="20" t="str">
        <f>IF($J445=1, DATA_Johnstone_2023_50!P445, "")</f>
        <v/>
      </c>
      <c r="R445" s="22"/>
      <c r="T445" s="22"/>
      <c r="W445" s="47"/>
      <c r="AI445" s="75">
        <v>442</v>
      </c>
      <c r="AJ445" s="75">
        <v>100</v>
      </c>
    </row>
    <row r="446" spans="1:36" hidden="1" x14ac:dyDescent="0.35">
      <c r="A446">
        <v>2214</v>
      </c>
      <c r="B446">
        <v>2215</v>
      </c>
      <c r="C446">
        <v>146.02910560000001</v>
      </c>
      <c r="D446">
        <v>-17.484124680000001</v>
      </c>
      <c r="F446" t="s">
        <v>7176</v>
      </c>
      <c r="G446" s="1" t="str">
        <f t="shared" si="12"/>
        <v>2215_20240610_0003_L_3121.jpg</v>
      </c>
      <c r="H446">
        <v>6</v>
      </c>
      <c r="I446" t="str">
        <f t="shared" si="13"/>
        <v/>
      </c>
      <c r="J446" s="53">
        <f>IFERROR(VLOOKUP(B446, DATA_Johnstone_2024_ALL!B:J, 8, FALSE), "")</f>
        <v>1</v>
      </c>
      <c r="K446" s="29"/>
      <c r="L446" s="30"/>
      <c r="M446" s="29"/>
      <c r="N446" s="20">
        <f>IF(J446=1, DATA_Johnstone_2023_50!M446, "")</f>
        <v>4</v>
      </c>
      <c r="O446" s="20">
        <f>IF($J446=1, DATA_Johnstone_2023_50!N446, "")</f>
        <v>4</v>
      </c>
      <c r="P446" s="49"/>
      <c r="Q446" s="20">
        <f>IF($J446=1, DATA_Johnstone_2023_50!P446, "")</f>
        <v>4</v>
      </c>
      <c r="R446" s="22"/>
      <c r="T446" s="22"/>
      <c r="W446" s="47"/>
      <c r="AI446" s="75">
        <v>443</v>
      </c>
      <c r="AJ446" s="75">
        <v>100</v>
      </c>
    </row>
    <row r="447" spans="1:36" hidden="1" x14ac:dyDescent="0.35">
      <c r="A447">
        <v>2219</v>
      </c>
      <c r="B447">
        <v>2220</v>
      </c>
      <c r="C447">
        <v>146.02885079999999</v>
      </c>
      <c r="D447">
        <v>-17.48373801</v>
      </c>
      <c r="F447" t="s">
        <v>7177</v>
      </c>
      <c r="G447" s="1" t="str">
        <f t="shared" si="12"/>
        <v>2220_20240610_0003_L_3152.jpg</v>
      </c>
      <c r="H447">
        <v>6</v>
      </c>
      <c r="I447" t="str">
        <f t="shared" si="13"/>
        <v/>
      </c>
      <c r="J447" s="53">
        <f>IFERROR(VLOOKUP(B447, DATA_Johnstone_2024_ALL!B:J, 8, FALSE), "")</f>
        <v>1</v>
      </c>
      <c r="K447" s="29"/>
      <c r="L447" s="30"/>
      <c r="M447" s="29"/>
      <c r="N447" s="20">
        <f>IF(J447=1, DATA_Johnstone_2023_50!M447, "")</f>
        <v>4</v>
      </c>
      <c r="O447" s="20">
        <f>IF($J447=1, DATA_Johnstone_2023_50!N447, "")</f>
        <v>4</v>
      </c>
      <c r="P447" s="49"/>
      <c r="Q447" s="20">
        <f>IF($J447=1, DATA_Johnstone_2023_50!P447, "")</f>
        <v>4</v>
      </c>
      <c r="R447" s="22"/>
      <c r="T447" s="22"/>
      <c r="W447" s="47"/>
      <c r="AI447" s="75">
        <v>444</v>
      </c>
      <c r="AJ447" s="75">
        <v>100</v>
      </c>
    </row>
    <row r="448" spans="1:36" hidden="1" x14ac:dyDescent="0.35">
      <c r="A448">
        <v>2224</v>
      </c>
      <c r="B448">
        <v>2225</v>
      </c>
      <c r="C448">
        <v>146.02841860000001</v>
      </c>
      <c r="D448">
        <v>-17.48355098</v>
      </c>
      <c r="F448" t="s">
        <v>7178</v>
      </c>
      <c r="G448" s="1" t="str">
        <f>IF(F448="", "", HYPERLINK("D:\Data From Lucan\2024\Johnstone\Frames_for_Analysis_50\" &amp; F448, F448))</f>
        <v>2225_20240610_0003_L_3171.jpg</v>
      </c>
      <c r="H448">
        <v>0</v>
      </c>
      <c r="I448" t="str">
        <f t="shared" si="13"/>
        <v/>
      </c>
      <c r="J448" s="53">
        <f>IFERROR(VLOOKUP(B448, DATA_Johnstone_2024_ALL!B:J, 8, FALSE), "")</f>
        <v>1</v>
      </c>
      <c r="K448" s="29"/>
      <c r="L448" s="30"/>
      <c r="M448" s="29"/>
      <c r="N448" s="20">
        <f>IF(J448=1, DATA_Johnstone_2023_50!M448, "")</f>
        <v>4</v>
      </c>
      <c r="O448" s="20">
        <f>IF($J448=1, DATA_Johnstone_2023_50!N448, "")</f>
        <v>4</v>
      </c>
      <c r="P448" s="49"/>
      <c r="Q448" s="20">
        <f>IF($J448=1, DATA_Johnstone_2023_50!P448, "")</f>
        <v>4</v>
      </c>
      <c r="R448" s="22"/>
      <c r="T448" s="22"/>
      <c r="W448" s="47"/>
      <c r="AI448" s="75">
        <v>445</v>
      </c>
      <c r="AJ448" s="75">
        <v>100</v>
      </c>
    </row>
    <row r="449" spans="1:36" hidden="1" x14ac:dyDescent="0.35">
      <c r="A449">
        <v>2229</v>
      </c>
      <c r="B449">
        <v>2230</v>
      </c>
      <c r="C449">
        <v>146.02795750000001</v>
      </c>
      <c r="D449">
        <v>-17.483459079999999</v>
      </c>
      <c r="F449" t="s">
        <v>7179</v>
      </c>
      <c r="G449" s="1" t="str">
        <f>IF(F449="", "", HYPERLINK("D:\Data From Lucan\2024\Johnstone\Frames_for_Analysis_50\" &amp; F449, F449))</f>
        <v>2230_20240610_0003_L_3190.jpg</v>
      </c>
      <c r="H449">
        <v>0</v>
      </c>
      <c r="I449" t="str">
        <f t="shared" si="13"/>
        <v/>
      </c>
      <c r="J449" s="53">
        <f>IFERROR(VLOOKUP(B449, DATA_Johnstone_2024_ALL!B:J, 8, FALSE), "")</f>
        <v>1</v>
      </c>
      <c r="K449" s="29"/>
      <c r="L449" s="30"/>
      <c r="M449" s="29"/>
      <c r="N449" s="20">
        <f>IF(J449=1, DATA_Johnstone_2023_50!M449, "")</f>
        <v>4</v>
      </c>
      <c r="O449" s="20">
        <f>IF($J449=1, DATA_Johnstone_2023_50!N449, "")</f>
        <v>4</v>
      </c>
      <c r="P449" s="49"/>
      <c r="Q449" s="20">
        <f>IF($J449=1, DATA_Johnstone_2023_50!P449, "")</f>
        <v>4</v>
      </c>
      <c r="R449" s="22"/>
      <c r="T449" s="22"/>
      <c r="W449" s="47"/>
      <c r="AI449" s="75">
        <v>446</v>
      </c>
      <c r="AJ449" s="75">
        <v>100</v>
      </c>
    </row>
    <row r="450" spans="1:36" hidden="1" x14ac:dyDescent="0.35">
      <c r="A450">
        <v>2234</v>
      </c>
      <c r="B450">
        <v>2235</v>
      </c>
      <c r="C450">
        <v>146.02748639999999</v>
      </c>
      <c r="D450">
        <v>-17.483463910000001</v>
      </c>
      <c r="F450" t="s">
        <v>7180</v>
      </c>
      <c r="G450" s="1" t="str">
        <f>IF(F450="", "", HYPERLINK("D:\Data From Lucan\2024\Johnstone\Frames_for_Analysis_50\" &amp; F450, F450))</f>
        <v>2235_20240610_0003_L_3215.jpg</v>
      </c>
      <c r="H450">
        <v>0</v>
      </c>
      <c r="I450" t="str">
        <f t="shared" si="13"/>
        <v/>
      </c>
      <c r="J450" s="53">
        <f>IFERROR(VLOOKUP(B450, DATA_Johnstone_2024_ALL!B:J, 8, FALSE), "")</f>
        <v>1</v>
      </c>
      <c r="K450" s="29"/>
      <c r="L450" s="30"/>
      <c r="M450" s="29"/>
      <c r="N450" s="20">
        <f>IF(J450=1, DATA_Johnstone_2023_50!M450, "")</f>
        <v>3</v>
      </c>
      <c r="O450" s="20">
        <f>IF($J450=1, DATA_Johnstone_2023_50!N450, "")</f>
        <v>4</v>
      </c>
      <c r="P450" s="49"/>
      <c r="Q450" s="20">
        <f>IF($J450=1, DATA_Johnstone_2023_50!P450, "")</f>
        <v>4</v>
      </c>
      <c r="R450" s="22"/>
      <c r="T450" s="22"/>
      <c r="W450" s="47"/>
      <c r="AI450" s="75">
        <v>447</v>
      </c>
      <c r="AJ450" s="75">
        <v>100</v>
      </c>
    </row>
    <row r="451" spans="1:36" hidden="1" x14ac:dyDescent="0.35">
      <c r="A451">
        <v>2239</v>
      </c>
      <c r="B451">
        <v>2240</v>
      </c>
      <c r="C451">
        <v>146.027018</v>
      </c>
      <c r="D451">
        <v>-17.483517769999999</v>
      </c>
      <c r="F451" t="s">
        <v>7181</v>
      </c>
      <c r="G451" s="1" t="str">
        <f>IF(F451="", "", HYPERLINK("D:\Data From Lucan\2024\Johnstone\Frames_for_Analysis_50\" &amp; F451, F451))</f>
        <v>2240_20240610_0003_L_3233.jpg</v>
      </c>
      <c r="H451">
        <v>0</v>
      </c>
      <c r="I451" t="str">
        <f t="shared" si="13"/>
        <v/>
      </c>
      <c r="J451" s="53">
        <f>IFERROR(VLOOKUP(B451, DATA_Johnstone_2024_ALL!B:J, 8, FALSE), "")</f>
        <v>1</v>
      </c>
      <c r="K451" s="29"/>
      <c r="L451" s="30"/>
      <c r="M451" s="29"/>
      <c r="N451" s="20">
        <f>IF(J451=1, DATA_Johnstone_2023_50!M451, "")</f>
        <v>1</v>
      </c>
      <c r="O451" s="20">
        <f>IF($J451=1, DATA_Johnstone_2023_50!N451, "")</f>
        <v>4</v>
      </c>
      <c r="P451" s="49"/>
      <c r="Q451" s="20">
        <f>IF($J451=1, DATA_Johnstone_2023_50!P451, "")</f>
        <v>4</v>
      </c>
      <c r="R451" s="22"/>
      <c r="T451" s="22"/>
      <c r="W451" s="47"/>
      <c r="AI451" s="75">
        <v>448</v>
      </c>
      <c r="AJ451" s="75">
        <v>100</v>
      </c>
    </row>
    <row r="452" spans="1:36" hidden="1" x14ac:dyDescent="0.35">
      <c r="A452">
        <v>2244</v>
      </c>
      <c r="B452">
        <v>2245</v>
      </c>
      <c r="C452">
        <v>146.0265521</v>
      </c>
      <c r="D452">
        <v>-17.483585659999999</v>
      </c>
      <c r="F452" t="s">
        <v>7182</v>
      </c>
      <c r="G452" s="1" t="str">
        <f>IF(F452="", "", HYPERLINK("D:\Data From Lucan\2024\Johnstone\Frames_for_Analysis_50\" &amp; F452, F452))</f>
        <v>2245_20240610_0003_L_3250.jpg</v>
      </c>
      <c r="H452">
        <v>0</v>
      </c>
      <c r="I452" t="str">
        <f t="shared" si="13"/>
        <v/>
      </c>
      <c r="J452" s="53">
        <f>IFERROR(VLOOKUP(B452, DATA_Johnstone_2024_ALL!B:J, 8, FALSE), "")</f>
        <v>0</v>
      </c>
      <c r="K452" s="29"/>
      <c r="L452" s="30"/>
      <c r="M452" s="29"/>
      <c r="N452" s="20" t="str">
        <f>IF(J452=1, DATA_Johnstone_2023_50!M452, "")</f>
        <v/>
      </c>
      <c r="O452" s="20" t="str">
        <f>IF($J452=1, DATA_Johnstone_2023_50!N452, "")</f>
        <v/>
      </c>
      <c r="P452" s="49"/>
      <c r="Q452" s="20" t="str">
        <f>IF($J452=1, DATA_Johnstone_2023_50!P452, "")</f>
        <v/>
      </c>
      <c r="R452" s="22"/>
      <c r="T452" s="22"/>
      <c r="W452" s="47"/>
      <c r="AI452" s="75">
        <v>449</v>
      </c>
      <c r="AJ452" s="75">
        <v>100</v>
      </c>
    </row>
    <row r="453" spans="1:36" hidden="1" x14ac:dyDescent="0.35">
      <c r="A453">
        <v>2249</v>
      </c>
      <c r="B453">
        <v>2250</v>
      </c>
      <c r="C453">
        <v>146.02609519999999</v>
      </c>
      <c r="D453">
        <v>-17.483702019999999</v>
      </c>
      <c r="F453" t="s">
        <v>7183</v>
      </c>
      <c r="G453" s="1" t="str">
        <f>IF(F453="", "", HYPERLINK("D:\Data From Lucan\2024\Johnstone\Frames_for_Analysis_50\" &amp; F453, F453))</f>
        <v>2250_20240610_0003_L_3266.jpg</v>
      </c>
      <c r="H453">
        <v>0</v>
      </c>
      <c r="I453" t="str">
        <f t="shared" ref="I453:I516" si="14">IF(G453="","X","")</f>
        <v/>
      </c>
      <c r="J453" s="53">
        <f>IFERROR(VLOOKUP(B453, DATA_Johnstone_2024_ALL!B:J, 8, FALSE), "")</f>
        <v>1</v>
      </c>
      <c r="K453" s="29"/>
      <c r="L453" s="30"/>
      <c r="M453" s="29"/>
      <c r="N453" s="20">
        <f>IF(J453=1, DATA_Johnstone_2023_50!M453, "")</f>
        <v>3</v>
      </c>
      <c r="O453" s="20">
        <f>IF($J453=1, DATA_Johnstone_2023_50!N453, "")</f>
        <v>4</v>
      </c>
      <c r="P453" s="49"/>
      <c r="Q453" s="20">
        <f>IF($J453=1, DATA_Johnstone_2023_50!P453, "")</f>
        <v>3</v>
      </c>
      <c r="R453" s="22"/>
      <c r="T453" s="22"/>
      <c r="W453" s="47"/>
      <c r="AI453" s="75">
        <v>450</v>
      </c>
      <c r="AJ453" s="75">
        <v>100</v>
      </c>
    </row>
    <row r="454" spans="1:36" hidden="1" x14ac:dyDescent="0.35">
      <c r="A454">
        <v>2254</v>
      </c>
      <c r="B454">
        <v>2255</v>
      </c>
      <c r="C454">
        <v>146.0256383</v>
      </c>
      <c r="D454">
        <v>-17.483818379999999</v>
      </c>
      <c r="F454" t="s">
        <v>7184</v>
      </c>
      <c r="G454" s="1" t="str">
        <f>IF(F454="", "", HYPERLINK("D:\Data From Lucan\2024\Johnstone\Frames_for_Analysis_50\" &amp; F454, F454))</f>
        <v>2255_20240610_0003_L_3283.jpg</v>
      </c>
      <c r="H454">
        <v>0</v>
      </c>
      <c r="I454" t="str">
        <f t="shared" si="14"/>
        <v/>
      </c>
      <c r="J454" s="53">
        <f>IFERROR(VLOOKUP(B454, DATA_Johnstone_2024_ALL!B:J, 8, FALSE), "")</f>
        <v>0</v>
      </c>
      <c r="K454" s="29"/>
      <c r="L454" s="30"/>
      <c r="M454" s="29"/>
      <c r="N454" s="20" t="str">
        <f>IF(J454=1, DATA_Johnstone_2023_50!M454, "")</f>
        <v/>
      </c>
      <c r="O454" s="20" t="str">
        <f>IF($J454=1, DATA_Johnstone_2023_50!N454, "")</f>
        <v/>
      </c>
      <c r="P454" s="49"/>
      <c r="Q454" s="20" t="str">
        <f>IF($J454=1, DATA_Johnstone_2023_50!P454, "")</f>
        <v/>
      </c>
      <c r="R454" s="22"/>
      <c r="T454" s="22"/>
      <c r="W454" s="47"/>
      <c r="AI454" s="75">
        <v>451</v>
      </c>
      <c r="AJ454" s="75">
        <v>100</v>
      </c>
    </row>
    <row r="455" spans="1:36" hidden="1" x14ac:dyDescent="0.35">
      <c r="A455">
        <v>2259</v>
      </c>
      <c r="B455">
        <v>2260</v>
      </c>
      <c r="C455">
        <v>146.02518620000001</v>
      </c>
      <c r="D455">
        <v>-17.483952380000002</v>
      </c>
      <c r="F455" t="s">
        <v>7185</v>
      </c>
      <c r="G455" s="1" t="str">
        <f>IF(F455="", "", HYPERLINK("D:\Data From Lucan\2024\Johnstone\Frames_for_Analysis_50\" &amp; F455, F455))</f>
        <v>2260_20240610_0003_L_3300.jpg</v>
      </c>
      <c r="H455">
        <v>0</v>
      </c>
      <c r="I455" t="str">
        <f t="shared" si="14"/>
        <v/>
      </c>
      <c r="J455" s="53">
        <f>IFERROR(VLOOKUP(B455, DATA_Johnstone_2024_ALL!B:J, 8, FALSE), "")</f>
        <v>1</v>
      </c>
      <c r="K455" s="29"/>
      <c r="L455" s="30"/>
      <c r="M455" s="29"/>
      <c r="N455" s="20">
        <f>IF(J455=1, DATA_Johnstone_2023_50!M455, "")</f>
        <v>3</v>
      </c>
      <c r="O455" s="20">
        <f>IF($J455=1, DATA_Johnstone_2023_50!N455, "")</f>
        <v>4</v>
      </c>
      <c r="P455" s="49"/>
      <c r="Q455" s="20">
        <f>IF($J455=1, DATA_Johnstone_2023_50!P455, "")</f>
        <v>3</v>
      </c>
      <c r="R455" s="22"/>
      <c r="T455" s="22"/>
      <c r="W455" s="47"/>
      <c r="AI455" s="75">
        <v>452</v>
      </c>
      <c r="AJ455" s="75">
        <v>100</v>
      </c>
    </row>
    <row r="456" spans="1:36" hidden="1" x14ac:dyDescent="0.35">
      <c r="A456">
        <v>2264</v>
      </c>
      <c r="B456">
        <v>2265</v>
      </c>
      <c r="C456">
        <v>146.0247349</v>
      </c>
      <c r="D456">
        <v>-17.484088750000002</v>
      </c>
      <c r="F456" t="s">
        <v>7186</v>
      </c>
      <c r="G456" s="1" t="str">
        <f>IF(F456="", "", HYPERLINK("D:\Data From Lucan\2024\Johnstone\Frames_for_Analysis_50\" &amp; F456, F456))</f>
        <v>2265_20240610_0003_L_3315.jpg</v>
      </c>
      <c r="H456">
        <v>0</v>
      </c>
      <c r="I456" t="str">
        <f t="shared" si="14"/>
        <v/>
      </c>
      <c r="J456" s="53">
        <f>IFERROR(VLOOKUP(B456, DATA_Johnstone_2024_ALL!B:J, 8, FALSE), "")</f>
        <v>1</v>
      </c>
      <c r="K456" s="29"/>
      <c r="L456" s="30"/>
      <c r="M456" s="29"/>
      <c r="N456" s="20">
        <f>IF(J456=1, DATA_Johnstone_2023_50!M456, "")</f>
        <v>3</v>
      </c>
      <c r="O456" s="20">
        <f>IF($J456=1, DATA_Johnstone_2023_50!N456, "")</f>
        <v>4</v>
      </c>
      <c r="P456" s="49"/>
      <c r="Q456" s="20">
        <f>IF($J456=1, DATA_Johnstone_2023_50!P456, "")</f>
        <v>4</v>
      </c>
      <c r="R456" s="22"/>
      <c r="T456" s="22"/>
      <c r="W456" s="47"/>
      <c r="AI456" s="75">
        <v>453</v>
      </c>
      <c r="AJ456" s="75">
        <v>100</v>
      </c>
    </row>
    <row r="457" spans="1:36" hidden="1" x14ac:dyDescent="0.35">
      <c r="A457">
        <v>2269</v>
      </c>
      <c r="B457">
        <v>2270</v>
      </c>
      <c r="C457">
        <v>146.0242835</v>
      </c>
      <c r="D457">
        <v>-17.484225110000001</v>
      </c>
      <c r="F457" t="s">
        <v>7187</v>
      </c>
      <c r="G457" s="1" t="str">
        <f>IF(F457="", "", HYPERLINK("D:\Data From Lucan\2024\Johnstone\Frames_for_Analysis_50\" &amp; F457, F457))</f>
        <v>2270_20240610_0003_L_3332.jpg</v>
      </c>
      <c r="H457">
        <v>0</v>
      </c>
      <c r="I457" t="str">
        <f t="shared" si="14"/>
        <v/>
      </c>
      <c r="J457" s="53">
        <f>IFERROR(VLOOKUP(B457, DATA_Johnstone_2024_ALL!B:J, 8, FALSE), "")</f>
        <v>0</v>
      </c>
      <c r="K457" s="29"/>
      <c r="L457" s="30"/>
      <c r="M457" s="29"/>
      <c r="N457" s="20" t="str">
        <f>IF(J457=1, DATA_Johnstone_2023_50!M457, "")</f>
        <v/>
      </c>
      <c r="O457" s="20" t="str">
        <f>IF($J457=1, DATA_Johnstone_2023_50!N457, "")</f>
        <v/>
      </c>
      <c r="P457" s="49"/>
      <c r="Q457" s="20" t="str">
        <f>IF($J457=1, DATA_Johnstone_2023_50!P457, "")</f>
        <v/>
      </c>
      <c r="R457" s="22"/>
      <c r="T457" s="22"/>
      <c r="W457" s="47"/>
      <c r="AI457" s="75">
        <v>454</v>
      </c>
      <c r="AJ457" s="75">
        <v>100</v>
      </c>
    </row>
    <row r="458" spans="1:36" hidden="1" x14ac:dyDescent="0.35">
      <c r="A458">
        <v>2274</v>
      </c>
      <c r="B458">
        <v>2275</v>
      </c>
      <c r="C458">
        <v>146.02383209999999</v>
      </c>
      <c r="D458">
        <v>-17.48436147</v>
      </c>
      <c r="F458" t="s">
        <v>7188</v>
      </c>
      <c r="G458" s="1" t="str">
        <f>IF(F458="", "", HYPERLINK("D:\Data From Lucan\2024\Johnstone\Frames_for_Analysis_50\" &amp; F458, F458))</f>
        <v>2275_20240610_0003_L_3350.jpg</v>
      </c>
      <c r="H458">
        <v>0</v>
      </c>
      <c r="I458" t="str">
        <f t="shared" si="14"/>
        <v/>
      </c>
      <c r="J458" s="53">
        <f>IFERROR(VLOOKUP(B458, DATA_Johnstone_2024_ALL!B:J, 8, FALSE), "")</f>
        <v>1</v>
      </c>
      <c r="K458" s="29"/>
      <c r="L458" s="30"/>
      <c r="M458" s="29"/>
      <c r="N458" s="20">
        <f>IF(J458=1, DATA_Johnstone_2023_50!M458, "")</f>
        <v>3</v>
      </c>
      <c r="O458" s="20">
        <f>IF($J458=1, DATA_Johnstone_2023_50!N458, "")</f>
        <v>4</v>
      </c>
      <c r="P458" s="49"/>
      <c r="Q458" s="20">
        <f>IF($J458=1, DATA_Johnstone_2023_50!P458, "")</f>
        <v>4</v>
      </c>
      <c r="R458" s="22"/>
      <c r="T458" s="22"/>
      <c r="W458" s="47"/>
      <c r="AI458" s="75">
        <v>455</v>
      </c>
      <c r="AJ458" s="75">
        <v>100</v>
      </c>
    </row>
    <row r="459" spans="1:36" hidden="1" x14ac:dyDescent="0.35">
      <c r="A459">
        <v>2279</v>
      </c>
      <c r="B459">
        <v>2280</v>
      </c>
      <c r="C459">
        <v>146.02337940000001</v>
      </c>
      <c r="D459">
        <v>-17.48449317</v>
      </c>
      <c r="F459" t="s">
        <v>7189</v>
      </c>
      <c r="G459" s="1" t="str">
        <f>IF(F459="", "", HYPERLINK("D:\Data From Lucan\2024\Johnstone\Frames_for_Analysis_50\" &amp; F459, F459))</f>
        <v>2280_20240610_0003_L_3365.jpg</v>
      </c>
      <c r="H459">
        <v>0</v>
      </c>
      <c r="I459" t="str">
        <f t="shared" si="14"/>
        <v/>
      </c>
      <c r="J459" s="53">
        <f>IFERROR(VLOOKUP(B459, DATA_Johnstone_2024_ALL!B:J, 8, FALSE), "")</f>
        <v>1</v>
      </c>
      <c r="K459" s="29"/>
      <c r="L459" s="30"/>
      <c r="M459" s="29"/>
      <c r="N459" s="20">
        <f>IF(J459=1, DATA_Johnstone_2023_50!M459, "")</f>
        <v>3</v>
      </c>
      <c r="O459" s="20">
        <f>IF($J459=1, DATA_Johnstone_2023_50!N459, "")</f>
        <v>4</v>
      </c>
      <c r="P459" s="49"/>
      <c r="Q459" s="20">
        <f>IF($J459=1, DATA_Johnstone_2023_50!P459, "")</f>
        <v>3</v>
      </c>
      <c r="R459" s="22"/>
      <c r="T459" s="22"/>
      <c r="W459" s="47"/>
      <c r="AI459" s="75">
        <v>456</v>
      </c>
      <c r="AJ459" s="75">
        <v>100</v>
      </c>
    </row>
    <row r="460" spans="1:36" hidden="1" x14ac:dyDescent="0.35">
      <c r="A460">
        <v>2284</v>
      </c>
      <c r="B460">
        <v>2285</v>
      </c>
      <c r="C460">
        <v>146.0229248</v>
      </c>
      <c r="D460">
        <v>-17.484618179999998</v>
      </c>
      <c r="F460" t="s">
        <v>7190</v>
      </c>
      <c r="G460" s="1" t="str">
        <f>IF(F460="", "", HYPERLINK("D:\Data From Lucan\2024\Johnstone\Frames_for_Analysis_50\" &amp; F460, F460))</f>
        <v>2285_20240610_0003_L_3379.jpg</v>
      </c>
      <c r="H460">
        <v>0</v>
      </c>
      <c r="I460" t="str">
        <f t="shared" si="14"/>
        <v/>
      </c>
      <c r="J460" s="53">
        <f>IFERROR(VLOOKUP(B460, DATA_Johnstone_2024_ALL!B:J, 8, FALSE), "")</f>
        <v>1</v>
      </c>
      <c r="K460" s="29"/>
      <c r="L460" s="30"/>
      <c r="M460" s="29"/>
      <c r="N460" s="20">
        <f>IF(J460=1, DATA_Johnstone_2023_50!M460, "")</f>
        <v>2</v>
      </c>
      <c r="O460" s="20">
        <f>IF($J460=1, DATA_Johnstone_2023_50!N460, "")</f>
        <v>4</v>
      </c>
      <c r="P460" s="49"/>
      <c r="Q460" s="20">
        <f>IF($J460=1, DATA_Johnstone_2023_50!P460, "")</f>
        <v>4</v>
      </c>
      <c r="R460" s="22"/>
      <c r="T460" s="22"/>
      <c r="W460" s="47"/>
      <c r="AI460" s="75">
        <v>457</v>
      </c>
      <c r="AJ460" s="75">
        <v>100</v>
      </c>
    </row>
    <row r="461" spans="1:36" hidden="1" x14ac:dyDescent="0.35">
      <c r="A461">
        <v>2289</v>
      </c>
      <c r="B461">
        <v>2290</v>
      </c>
      <c r="C461">
        <v>146.02247009999999</v>
      </c>
      <c r="D461">
        <v>-17.48474319</v>
      </c>
      <c r="F461" t="s">
        <v>7191</v>
      </c>
      <c r="G461" s="1" t="str">
        <f>IF(F461="", "", HYPERLINK("D:\Data From Lucan\2024\Johnstone\Frames_for_Analysis_50\" &amp; F461, F461))</f>
        <v>2290_20240610_0003_L_3400.jpg</v>
      </c>
      <c r="H461">
        <v>0</v>
      </c>
      <c r="I461" t="str">
        <f t="shared" si="14"/>
        <v/>
      </c>
      <c r="J461" s="53">
        <f>IFERROR(VLOOKUP(B461, DATA_Johnstone_2024_ALL!B:J, 8, FALSE), "")</f>
        <v>0</v>
      </c>
      <c r="K461" s="29"/>
      <c r="L461" s="30"/>
      <c r="M461" s="29"/>
      <c r="N461" s="20" t="str">
        <f>IF(J461=1, DATA_Johnstone_2023_50!M461, "")</f>
        <v/>
      </c>
      <c r="O461" s="20" t="str">
        <f>IF($J461=1, DATA_Johnstone_2023_50!N461, "")</f>
        <v/>
      </c>
      <c r="P461" s="49"/>
      <c r="Q461" s="20" t="str">
        <f>IF($J461=1, DATA_Johnstone_2023_50!P461, "")</f>
        <v/>
      </c>
      <c r="R461" s="22"/>
      <c r="T461" s="22"/>
      <c r="W461" s="47"/>
      <c r="AI461" s="75">
        <v>458</v>
      </c>
      <c r="AJ461" s="75">
        <v>100</v>
      </c>
    </row>
    <row r="462" spans="1:36" hidden="1" x14ac:dyDescent="0.35">
      <c r="A462">
        <v>2294</v>
      </c>
      <c r="B462">
        <v>2295</v>
      </c>
      <c r="C462">
        <v>146.02201550000001</v>
      </c>
      <c r="D462">
        <v>-17.484868200000001</v>
      </c>
      <c r="F462" t="s">
        <v>7192</v>
      </c>
      <c r="G462" s="1" t="str">
        <f>IF(F462="", "", HYPERLINK("D:\Data From Lucan\2024\Johnstone\Frames_for_Analysis_50\" &amp; F462, F462))</f>
        <v>2295_20240610_0003_L_3416.jpg</v>
      </c>
      <c r="H462">
        <v>0</v>
      </c>
      <c r="I462" t="str">
        <f t="shared" si="14"/>
        <v/>
      </c>
      <c r="J462" s="53">
        <f>IFERROR(VLOOKUP(B462, DATA_Johnstone_2024_ALL!B:J, 8, FALSE), "")</f>
        <v>1</v>
      </c>
      <c r="K462" s="29"/>
      <c r="L462" s="30"/>
      <c r="M462" s="29"/>
      <c r="N462" s="20">
        <f>IF(J462=1, DATA_Johnstone_2023_50!M462, "")</f>
        <v>3</v>
      </c>
      <c r="O462" s="20">
        <f>IF($J462=1, DATA_Johnstone_2023_50!N462, "")</f>
        <v>4</v>
      </c>
      <c r="P462" s="49"/>
      <c r="Q462" s="20">
        <f>IF($J462=1, DATA_Johnstone_2023_50!P462, "")</f>
        <v>4</v>
      </c>
      <c r="R462" s="22"/>
      <c r="T462" s="22"/>
      <c r="W462" s="47"/>
      <c r="AI462" s="75">
        <v>459</v>
      </c>
      <c r="AJ462" s="75">
        <v>100</v>
      </c>
    </row>
    <row r="463" spans="1:36" hidden="1" x14ac:dyDescent="0.35">
      <c r="A463">
        <v>2299</v>
      </c>
      <c r="B463">
        <v>2300</v>
      </c>
      <c r="C463">
        <v>146.0215608</v>
      </c>
      <c r="D463">
        <v>-17.484993209999999</v>
      </c>
      <c r="F463" t="s">
        <v>7193</v>
      </c>
      <c r="G463" s="1" t="str">
        <f>IF(F463="", "", HYPERLINK("D:\Data From Lucan\2024\Johnstone\Frames_for_Analysis_50\" &amp; F463, F463))</f>
        <v>2300_20240610_0003_L_3429.jpg</v>
      </c>
      <c r="H463">
        <v>0</v>
      </c>
      <c r="I463" t="str">
        <f t="shared" si="14"/>
        <v/>
      </c>
      <c r="J463" s="53">
        <f>IFERROR(VLOOKUP(B463, DATA_Johnstone_2024_ALL!B:J, 8, FALSE), "")</f>
        <v>0</v>
      </c>
      <c r="K463" s="29"/>
      <c r="L463" s="30"/>
      <c r="M463" s="29"/>
      <c r="N463" s="20" t="str">
        <f>IF(J463=1, DATA_Johnstone_2023_50!M463, "")</f>
        <v/>
      </c>
      <c r="O463" s="20" t="str">
        <f>IF($J463=1, DATA_Johnstone_2023_50!N463, "")</f>
        <v/>
      </c>
      <c r="P463" s="49"/>
      <c r="Q463" s="20" t="str">
        <f>IF($J463=1, DATA_Johnstone_2023_50!P463, "")</f>
        <v/>
      </c>
      <c r="R463" s="22"/>
      <c r="T463" s="22"/>
      <c r="W463" s="47"/>
      <c r="AI463" s="75">
        <v>460</v>
      </c>
      <c r="AJ463" s="75">
        <v>100</v>
      </c>
    </row>
    <row r="464" spans="1:36" hidden="1" x14ac:dyDescent="0.35">
      <c r="A464">
        <v>2304</v>
      </c>
      <c r="B464">
        <v>2305</v>
      </c>
      <c r="C464">
        <v>146.02111640000001</v>
      </c>
      <c r="D464">
        <v>-17.485147139999999</v>
      </c>
      <c r="F464" t="s">
        <v>7194</v>
      </c>
      <c r="G464" s="1" t="str">
        <f>IF(F464="", "", HYPERLINK("D:\Data From Lucan\2024\Johnstone\Frames_for_Analysis_50\" &amp; F464, F464))</f>
        <v>2305_20240610_0003_L_3443.jpg</v>
      </c>
      <c r="H464">
        <v>0</v>
      </c>
      <c r="I464" t="str">
        <f t="shared" si="14"/>
        <v/>
      </c>
      <c r="J464" s="53">
        <f>IFERROR(VLOOKUP(B464, DATA_Johnstone_2024_ALL!B:J, 8, FALSE), "")</f>
        <v>1</v>
      </c>
      <c r="K464" s="29"/>
      <c r="L464" s="30"/>
      <c r="M464" s="29"/>
      <c r="N464" s="20">
        <f>IF(J464=1, DATA_Johnstone_2023_50!M464, "")</f>
        <v>3</v>
      </c>
      <c r="O464" s="20">
        <f>IF($J464=1, DATA_Johnstone_2023_50!N464, "")</f>
        <v>4</v>
      </c>
      <c r="P464" s="49"/>
      <c r="Q464" s="20">
        <f>IF($J464=1, DATA_Johnstone_2023_50!P464, "")</f>
        <v>4</v>
      </c>
      <c r="R464" s="22"/>
      <c r="T464" s="22"/>
      <c r="W464" s="47"/>
      <c r="AI464" s="75">
        <v>461</v>
      </c>
      <c r="AJ464" s="75">
        <v>100</v>
      </c>
    </row>
    <row r="465" spans="1:36" hidden="1" x14ac:dyDescent="0.35">
      <c r="A465">
        <v>2309</v>
      </c>
      <c r="B465">
        <v>2310</v>
      </c>
      <c r="C465">
        <v>146.02068420000001</v>
      </c>
      <c r="D465">
        <v>-17.48533552</v>
      </c>
      <c r="F465" t="s">
        <v>7195</v>
      </c>
      <c r="G465" s="1" t="str">
        <f>IF(F465="", "", HYPERLINK("D:\Data From Lucan\2024\Johnstone\Frames_for_Analysis_50\" &amp; F465, F465))</f>
        <v>2310_20240610_0003_L_3462.jpg</v>
      </c>
      <c r="H465">
        <v>0</v>
      </c>
      <c r="I465" t="str">
        <f t="shared" si="14"/>
        <v/>
      </c>
      <c r="J465" s="53">
        <f>IFERROR(VLOOKUP(B465, DATA_Johnstone_2024_ALL!B:J, 8, FALSE), "")</f>
        <v>1</v>
      </c>
      <c r="K465" s="29"/>
      <c r="L465" s="30"/>
      <c r="M465" s="29"/>
      <c r="N465" s="20">
        <f>IF(J465=1, DATA_Johnstone_2023_50!M465, "")</f>
        <v>3</v>
      </c>
      <c r="O465" s="20">
        <f>IF($J465=1, DATA_Johnstone_2023_50!N465, "")</f>
        <v>4</v>
      </c>
      <c r="P465" s="49"/>
      <c r="Q465" s="20">
        <f>IF($J465=1, DATA_Johnstone_2023_50!P465, "")</f>
        <v>3</v>
      </c>
      <c r="R465" s="22"/>
      <c r="T465" s="22"/>
      <c r="W465" s="47"/>
      <c r="AI465" s="75">
        <v>462</v>
      </c>
      <c r="AJ465" s="75">
        <v>100</v>
      </c>
    </row>
    <row r="466" spans="1:36" hidden="1" x14ac:dyDescent="0.35">
      <c r="A466">
        <v>2314</v>
      </c>
      <c r="B466">
        <v>2315</v>
      </c>
      <c r="C466">
        <v>146.02027050000001</v>
      </c>
      <c r="D466">
        <v>-17.485561109999999</v>
      </c>
      <c r="F466" t="s">
        <v>7196</v>
      </c>
      <c r="G466" s="1" t="str">
        <f>IF(F466="", "", HYPERLINK("D:\Data From Lucan\2024\Johnstone\Frames_for_Analysis_50\" &amp; F466, F466))</f>
        <v>2315_20240610_0003_L_3482.jpg</v>
      </c>
      <c r="H466">
        <v>0</v>
      </c>
      <c r="I466" t="str">
        <f t="shared" si="14"/>
        <v/>
      </c>
      <c r="J466" s="53">
        <f>IFERROR(VLOOKUP(B466, DATA_Johnstone_2024_ALL!B:J, 8, FALSE), "")</f>
        <v>1</v>
      </c>
      <c r="K466" s="29"/>
      <c r="L466" s="30"/>
      <c r="M466" s="29"/>
      <c r="N466" s="20">
        <f>IF(J466=1, DATA_Johnstone_2023_50!M466, "")</f>
        <v>3</v>
      </c>
      <c r="O466" s="20">
        <f>IF($J466=1, DATA_Johnstone_2023_50!N466, "")</f>
        <v>4</v>
      </c>
      <c r="P466" s="49"/>
      <c r="Q466" s="20">
        <f>IF($J466=1, DATA_Johnstone_2023_50!P466, "")</f>
        <v>4</v>
      </c>
      <c r="R466" s="22"/>
      <c r="T466" s="22"/>
      <c r="W466" s="47"/>
      <c r="AI466" s="75">
        <v>463</v>
      </c>
      <c r="AJ466" s="75">
        <v>100</v>
      </c>
    </row>
    <row r="467" spans="1:36" hidden="1" x14ac:dyDescent="0.35">
      <c r="A467">
        <v>2319</v>
      </c>
      <c r="B467">
        <v>2320</v>
      </c>
      <c r="C467">
        <v>146.01991330000001</v>
      </c>
      <c r="D467">
        <v>-17.48586581</v>
      </c>
      <c r="F467" t="s">
        <v>7197</v>
      </c>
      <c r="G467" s="1" t="str">
        <f>IF(F467="", "", HYPERLINK("D:\Data From Lucan\2024\Johnstone\Frames_for_Analysis_50\" &amp; F467, F467))</f>
        <v>2320_20240610_0003_L_3500.jpg</v>
      </c>
      <c r="H467">
        <v>0</v>
      </c>
      <c r="I467" t="str">
        <f t="shared" si="14"/>
        <v/>
      </c>
      <c r="J467" s="53">
        <f>IFERROR(VLOOKUP(B467, DATA_Johnstone_2024_ALL!B:J, 8, FALSE), "")</f>
        <v>1</v>
      </c>
      <c r="K467" s="29"/>
      <c r="L467" s="30"/>
      <c r="M467" s="29"/>
      <c r="N467" s="20">
        <f>IF(J467=1, DATA_Johnstone_2023_50!M467, "")</f>
        <v>2</v>
      </c>
      <c r="O467" s="20">
        <f>IF($J467=1, DATA_Johnstone_2023_50!N467, "")</f>
        <v>4</v>
      </c>
      <c r="P467" s="49"/>
      <c r="Q467" s="20">
        <f>IF($J467=1, DATA_Johnstone_2023_50!P467, "")</f>
        <v>3</v>
      </c>
      <c r="R467" s="22"/>
      <c r="T467" s="22"/>
      <c r="W467" s="47"/>
      <c r="AI467" s="75">
        <v>464</v>
      </c>
      <c r="AJ467" s="75">
        <v>100</v>
      </c>
    </row>
    <row r="468" spans="1:36" hidden="1" x14ac:dyDescent="0.35">
      <c r="A468">
        <v>2324</v>
      </c>
      <c r="B468">
        <v>2325</v>
      </c>
      <c r="C468">
        <v>146.01957179999999</v>
      </c>
      <c r="D468">
        <v>-17.486190520000001</v>
      </c>
      <c r="F468" t="s">
        <v>7198</v>
      </c>
      <c r="G468" s="1" t="str">
        <f>IF(F468="", "", HYPERLINK("D:\Data From Lucan\2024\Johnstone\Frames_for_Analysis_50\" &amp; F468, F468))</f>
        <v>2325_20240610_0003_L_3519.jpg</v>
      </c>
      <c r="H468">
        <v>0</v>
      </c>
      <c r="I468" t="str">
        <f t="shared" si="14"/>
        <v/>
      </c>
      <c r="J468" s="53">
        <f>IFERROR(VLOOKUP(B468, DATA_Johnstone_2024_ALL!B:J, 8, FALSE), "")</f>
        <v>0</v>
      </c>
      <c r="K468" s="29"/>
      <c r="L468" s="30"/>
      <c r="M468" s="29"/>
      <c r="N468" s="20" t="str">
        <f>IF(J468=1, DATA_Johnstone_2023_50!M468, "")</f>
        <v/>
      </c>
      <c r="O468" s="20" t="str">
        <f>IF($J468=1, DATA_Johnstone_2023_50!N468, "")</f>
        <v/>
      </c>
      <c r="P468" s="49"/>
      <c r="Q468" s="20" t="str">
        <f>IF($J468=1, DATA_Johnstone_2023_50!P468, "")</f>
        <v/>
      </c>
      <c r="R468" s="22"/>
      <c r="T468" s="22"/>
      <c r="W468" s="47"/>
      <c r="AI468" s="75">
        <v>465</v>
      </c>
      <c r="AJ468" s="75">
        <v>100</v>
      </c>
    </row>
    <row r="469" spans="1:36" hidden="1" x14ac:dyDescent="0.35">
      <c r="A469">
        <v>2329</v>
      </c>
      <c r="B469">
        <v>2330</v>
      </c>
      <c r="C469">
        <v>146.01927620000001</v>
      </c>
      <c r="D469">
        <v>-17.486557869999999</v>
      </c>
      <c r="F469" t="s">
        <v>7199</v>
      </c>
      <c r="G469" s="1" t="str">
        <f>IF(F469="", "", HYPERLINK("D:\Data From Lucan\2024\Johnstone\Frames_for_Analysis_50\" &amp; F469, F469))</f>
        <v>2330_20240610_0003_L_3537.jpg</v>
      </c>
      <c r="H469">
        <v>0</v>
      </c>
      <c r="I469" t="str">
        <f t="shared" si="14"/>
        <v/>
      </c>
      <c r="J469" s="53">
        <f>IFERROR(VLOOKUP(B469, DATA_Johnstone_2024_ALL!B:J, 8, FALSE), "")</f>
        <v>0</v>
      </c>
      <c r="K469" s="29"/>
      <c r="L469" s="30"/>
      <c r="M469" s="29"/>
      <c r="N469" s="20" t="str">
        <f>IF(J469=1, DATA_Johnstone_2023_50!M469, "")</f>
        <v/>
      </c>
      <c r="O469" s="20" t="str">
        <f>IF($J469=1, DATA_Johnstone_2023_50!N469, "")</f>
        <v/>
      </c>
      <c r="P469" s="49"/>
      <c r="Q469" s="20" t="str">
        <f>IF($J469=1, DATA_Johnstone_2023_50!P469, "")</f>
        <v/>
      </c>
      <c r="R469" s="22"/>
      <c r="T469" s="22"/>
      <c r="W469" s="47"/>
      <c r="AI469" s="75">
        <v>466</v>
      </c>
      <c r="AJ469" s="75">
        <v>100</v>
      </c>
    </row>
    <row r="470" spans="1:36" hidden="1" x14ac:dyDescent="0.35">
      <c r="A470">
        <v>2334</v>
      </c>
      <c r="B470">
        <v>2335</v>
      </c>
      <c r="C470">
        <v>146.01898059999999</v>
      </c>
      <c r="D470">
        <v>-17.486925209999999</v>
      </c>
      <c r="F470" t="s">
        <v>7200</v>
      </c>
      <c r="G470" s="1" t="str">
        <f>IF(F470="", "", HYPERLINK("D:\Data From Lucan\2024\Johnstone\Frames_for_Analysis_50\" &amp; F470, F470))</f>
        <v>2335_20240610_0003_L_3555.jpg</v>
      </c>
      <c r="H470">
        <v>0</v>
      </c>
      <c r="I470" t="str">
        <f t="shared" si="14"/>
        <v/>
      </c>
      <c r="J470" s="53">
        <f>IFERROR(VLOOKUP(B470, DATA_Johnstone_2024_ALL!B:J, 8, FALSE), "")</f>
        <v>1</v>
      </c>
      <c r="K470" s="29"/>
      <c r="L470" s="30"/>
      <c r="M470" s="29"/>
      <c r="N470" s="20">
        <f>IF(J470=1, DATA_Johnstone_2023_50!M470, "")</f>
        <v>3</v>
      </c>
      <c r="O470" s="20">
        <f>IF($J470=1, DATA_Johnstone_2023_50!N470, "")</f>
        <v>4</v>
      </c>
      <c r="P470" s="49"/>
      <c r="Q470" s="20">
        <f>IF($J470=1, DATA_Johnstone_2023_50!P470, "")</f>
        <v>3</v>
      </c>
      <c r="R470" s="22"/>
      <c r="T470" s="22"/>
      <c r="W470" s="47"/>
      <c r="AI470" s="75">
        <v>467</v>
      </c>
      <c r="AJ470" s="75">
        <v>100</v>
      </c>
    </row>
    <row r="471" spans="1:36" hidden="1" x14ac:dyDescent="0.35">
      <c r="A471">
        <v>2339</v>
      </c>
      <c r="B471">
        <v>2340</v>
      </c>
      <c r="C471">
        <v>146.0186928</v>
      </c>
      <c r="D471">
        <v>-17.487298559999999</v>
      </c>
      <c r="F471" t="s">
        <v>7201</v>
      </c>
      <c r="G471" s="1" t="str">
        <f>IF(F471="", "", HYPERLINK("D:\Data From Lucan\2024\Johnstone\Frames_for_Analysis_50\" &amp; F471, F471))</f>
        <v>2340_20240610_0003_L_3572.jpg</v>
      </c>
      <c r="H471">
        <v>0</v>
      </c>
      <c r="I471" t="str">
        <f t="shared" si="14"/>
        <v/>
      </c>
      <c r="J471" s="53">
        <f>IFERROR(VLOOKUP(B471, DATA_Johnstone_2024_ALL!B:J, 8, FALSE), "")</f>
        <v>1</v>
      </c>
      <c r="K471" s="29"/>
      <c r="L471" s="30"/>
      <c r="M471" s="29"/>
      <c r="N471" s="20">
        <f>IF(J471=1, DATA_Johnstone_2023_50!M471, "")</f>
        <v>3</v>
      </c>
      <c r="O471" s="20">
        <f>IF($J471=1, DATA_Johnstone_2023_50!N471, "")</f>
        <v>4</v>
      </c>
      <c r="P471" s="49"/>
      <c r="Q471" s="20">
        <f>IF($J471=1, DATA_Johnstone_2023_50!P471, "")</f>
        <v>3</v>
      </c>
      <c r="R471" s="22"/>
      <c r="T471" s="22"/>
      <c r="W471" s="47"/>
      <c r="AI471" s="75">
        <v>468</v>
      </c>
      <c r="AJ471" s="75">
        <v>100</v>
      </c>
    </row>
    <row r="472" spans="1:36" hidden="1" x14ac:dyDescent="0.35">
      <c r="A472">
        <v>2344</v>
      </c>
      <c r="B472">
        <v>2345</v>
      </c>
      <c r="C472">
        <v>146.01841289999999</v>
      </c>
      <c r="D472">
        <v>-17.487678039999999</v>
      </c>
      <c r="F472" t="s">
        <v>7202</v>
      </c>
      <c r="G472" s="1" t="str">
        <f>IF(F472="", "", HYPERLINK("D:\Data From Lucan\2024\Johnstone\Frames_for_Analysis_50\" &amp; F472, F472))</f>
        <v>2345_20240610_0003_L_3589.jpg</v>
      </c>
      <c r="H472">
        <v>0</v>
      </c>
      <c r="I472" t="str">
        <f t="shared" si="14"/>
        <v/>
      </c>
      <c r="J472" s="53">
        <f>IFERROR(VLOOKUP(B472, DATA_Johnstone_2024_ALL!B:J, 8, FALSE), "")</f>
        <v>1</v>
      </c>
      <c r="K472" s="29"/>
      <c r="L472" s="30"/>
      <c r="M472" s="29"/>
      <c r="N472" s="20">
        <f>IF(J472=1, DATA_Johnstone_2023_50!M472, "")</f>
        <v>3</v>
      </c>
      <c r="O472" s="20">
        <f>IF($J472=1, DATA_Johnstone_2023_50!N472, "")</f>
        <v>4</v>
      </c>
      <c r="P472" s="49"/>
      <c r="Q472" s="20">
        <f>IF($J472=1, DATA_Johnstone_2023_50!P472, "")</f>
        <v>3</v>
      </c>
      <c r="R472" s="22"/>
      <c r="T472" s="22"/>
      <c r="W472" s="47"/>
      <c r="AI472" s="75">
        <v>469</v>
      </c>
      <c r="AJ472" s="75">
        <v>100</v>
      </c>
    </row>
    <row r="473" spans="1:36" hidden="1" x14ac:dyDescent="0.35">
      <c r="A473">
        <v>2349</v>
      </c>
      <c r="B473">
        <v>2350</v>
      </c>
      <c r="C473">
        <v>146.0181331</v>
      </c>
      <c r="D473">
        <v>-17.488057529999999</v>
      </c>
      <c r="F473" t="s">
        <v>7203</v>
      </c>
      <c r="G473" s="1" t="str">
        <f>IF(F473="", "", HYPERLINK("D:\Data From Lucan\2024\Johnstone\Frames_for_Analysis_50\" &amp; F473, F473))</f>
        <v>2350_20240610_0003_L_3605.jpg</v>
      </c>
      <c r="H473">
        <v>0</v>
      </c>
      <c r="I473" t="str">
        <f t="shared" si="14"/>
        <v/>
      </c>
      <c r="J473" s="53">
        <f>IFERROR(VLOOKUP(B473, DATA_Johnstone_2024_ALL!B:J, 8, FALSE), "")</f>
        <v>1</v>
      </c>
      <c r="K473" s="29"/>
      <c r="L473" s="30"/>
      <c r="M473" s="29"/>
      <c r="N473" s="20">
        <f>IF(J473=1, DATA_Johnstone_2023_50!M473, "")</f>
        <v>0</v>
      </c>
      <c r="O473" s="20">
        <f>IF($J473=1, DATA_Johnstone_2023_50!N473, "")</f>
        <v>0</v>
      </c>
      <c r="P473" s="49"/>
      <c r="Q473" s="20">
        <f>IF($J473=1, DATA_Johnstone_2023_50!P473, "")</f>
        <v>0</v>
      </c>
      <c r="R473" s="22"/>
      <c r="T473" s="22"/>
      <c r="W473" s="47"/>
      <c r="AI473" s="75">
        <v>470</v>
      </c>
      <c r="AJ473" s="75">
        <v>100</v>
      </c>
    </row>
    <row r="474" spans="1:36" hidden="1" x14ac:dyDescent="0.35">
      <c r="A474">
        <v>2354</v>
      </c>
      <c r="B474">
        <v>2355</v>
      </c>
      <c r="C474">
        <v>146.01783520000001</v>
      </c>
      <c r="D474">
        <v>-17.488422740000001</v>
      </c>
      <c r="F474" t="s">
        <v>7204</v>
      </c>
      <c r="G474" s="1" t="str">
        <f>IF(F474="", "", HYPERLINK("D:\Data From Lucan\2024\Johnstone\Frames_for_Analysis_50\" &amp; F474, F474))</f>
        <v>2355_20240610_0003_L_3621.jpg</v>
      </c>
      <c r="H474">
        <v>0</v>
      </c>
      <c r="I474" t="str">
        <f t="shared" si="14"/>
        <v/>
      </c>
      <c r="J474" s="53">
        <f>IFERROR(VLOOKUP(B474, DATA_Johnstone_2024_ALL!B:J, 8, FALSE), "")</f>
        <v>0</v>
      </c>
      <c r="K474" s="29"/>
      <c r="L474" s="30"/>
      <c r="M474" s="29"/>
      <c r="N474" s="20" t="str">
        <f>IF(J474=1, DATA_Johnstone_2023_50!M474, "")</f>
        <v/>
      </c>
      <c r="O474" s="20" t="str">
        <f>IF($J474=1, DATA_Johnstone_2023_50!N474, "")</f>
        <v/>
      </c>
      <c r="P474" s="49"/>
      <c r="Q474" s="20" t="str">
        <f>IF($J474=1, DATA_Johnstone_2023_50!P474, "")</f>
        <v/>
      </c>
      <c r="R474" s="22"/>
      <c r="T474" s="22"/>
      <c r="W474" s="47"/>
      <c r="AI474" s="75">
        <v>471</v>
      </c>
      <c r="AJ474" s="75">
        <v>100</v>
      </c>
    </row>
    <row r="475" spans="1:36" hidden="1" x14ac:dyDescent="0.35">
      <c r="A475">
        <v>2359</v>
      </c>
      <c r="B475">
        <v>2360</v>
      </c>
      <c r="C475">
        <v>146.01752920000001</v>
      </c>
      <c r="D475">
        <v>-17.488781509999999</v>
      </c>
      <c r="F475" t="s">
        <v>7205</v>
      </c>
      <c r="G475" s="1" t="str">
        <f>IF(F475="", "", HYPERLINK("D:\Data From Lucan\2024\Johnstone\Frames_for_Analysis_50\" &amp; F475, F475))</f>
        <v>2360_20240610_0003_L_3636.jpg</v>
      </c>
      <c r="H475">
        <v>0</v>
      </c>
      <c r="I475" t="str">
        <f t="shared" si="14"/>
        <v/>
      </c>
      <c r="J475" s="53">
        <f>IFERROR(VLOOKUP(B475, DATA_Johnstone_2024_ALL!B:J, 8, FALSE), "")</f>
        <v>0</v>
      </c>
      <c r="K475" s="29"/>
      <c r="L475" s="30"/>
      <c r="M475" s="29"/>
      <c r="N475" s="20" t="str">
        <f>IF(J475=1, DATA_Johnstone_2023_50!M475, "")</f>
        <v/>
      </c>
      <c r="O475" s="20" t="str">
        <f>IF($J475=1, DATA_Johnstone_2023_50!N475, "")</f>
        <v/>
      </c>
      <c r="P475" s="49"/>
      <c r="Q475" s="20" t="str">
        <f>IF($J475=1, DATA_Johnstone_2023_50!P475, "")</f>
        <v/>
      </c>
      <c r="R475" s="22"/>
      <c r="T475" s="22"/>
      <c r="W475" s="47"/>
      <c r="AI475" s="75">
        <v>472</v>
      </c>
      <c r="AJ475" s="75">
        <v>100</v>
      </c>
    </row>
    <row r="476" spans="1:36" hidden="1" x14ac:dyDescent="0.35">
      <c r="A476">
        <v>2364</v>
      </c>
      <c r="B476">
        <v>2365</v>
      </c>
      <c r="C476">
        <v>146.01722330000001</v>
      </c>
      <c r="D476">
        <v>-17.48914027</v>
      </c>
      <c r="F476" t="s">
        <v>7206</v>
      </c>
      <c r="G476" s="1" t="str">
        <f>IF(F476="", "", HYPERLINK("D:\Data From Lucan\2024\Johnstone\Frames_for_Analysis_50\" &amp; F476, F476))</f>
        <v>2365_20240610_0003_L_3653.jpg</v>
      </c>
      <c r="H476">
        <v>0</v>
      </c>
      <c r="I476" t="str">
        <f t="shared" si="14"/>
        <v/>
      </c>
      <c r="J476" s="53">
        <f>IFERROR(VLOOKUP(B476, DATA_Johnstone_2024_ALL!B:J, 8, FALSE), "")</f>
        <v>0</v>
      </c>
      <c r="K476" s="29"/>
      <c r="L476" s="30"/>
      <c r="M476" s="29"/>
      <c r="N476" s="20" t="str">
        <f>IF(J476=1, DATA_Johnstone_2023_50!M476, "")</f>
        <v/>
      </c>
      <c r="O476" s="20" t="str">
        <f>IF($J476=1, DATA_Johnstone_2023_50!N476, "")</f>
        <v/>
      </c>
      <c r="P476" s="49"/>
      <c r="Q476" s="20" t="str">
        <f>IF($J476=1, DATA_Johnstone_2023_50!P476, "")</f>
        <v/>
      </c>
      <c r="R476" s="22"/>
      <c r="T476" s="22"/>
      <c r="W476" s="47"/>
      <c r="AI476" s="75">
        <v>473</v>
      </c>
      <c r="AJ476" s="75">
        <v>100</v>
      </c>
    </row>
    <row r="477" spans="1:36" hidden="1" x14ac:dyDescent="0.35">
      <c r="A477">
        <v>2369</v>
      </c>
      <c r="B477">
        <v>2370</v>
      </c>
      <c r="C477">
        <v>146.01692009999999</v>
      </c>
      <c r="D477">
        <v>-17.489500899999999</v>
      </c>
      <c r="F477" t="s">
        <v>7207</v>
      </c>
      <c r="G477" s="1" t="str">
        <f>IF(F477="", "", HYPERLINK("D:\Data From Lucan\2024\Johnstone\Frames_for_Analysis_50\" &amp; F477, F477))</f>
        <v>2370_20240610_0003_L_3669.jpg</v>
      </c>
      <c r="H477">
        <v>0</v>
      </c>
      <c r="I477" t="str">
        <f t="shared" si="14"/>
        <v/>
      </c>
      <c r="J477" s="53">
        <f>IFERROR(VLOOKUP(B477, DATA_Johnstone_2024_ALL!B:J, 8, FALSE), "")</f>
        <v>1</v>
      </c>
      <c r="K477" s="29"/>
      <c r="L477" s="30"/>
      <c r="M477" s="29"/>
      <c r="N477" s="20">
        <f>IF(J477=1, DATA_Johnstone_2023_50!M477, "")</f>
        <v>0</v>
      </c>
      <c r="O477" s="20">
        <f>IF($J477=1, DATA_Johnstone_2023_50!N477, "")</f>
        <v>0</v>
      </c>
      <c r="P477" s="49"/>
      <c r="Q477" s="20">
        <f>IF($J477=1, DATA_Johnstone_2023_50!P477, "")</f>
        <v>0</v>
      </c>
      <c r="R477" s="22"/>
      <c r="T477" s="22"/>
      <c r="W477" s="47"/>
      <c r="AI477" s="75">
        <v>474</v>
      </c>
      <c r="AJ477" s="75">
        <v>100</v>
      </c>
    </row>
    <row r="478" spans="1:36" hidden="1" x14ac:dyDescent="0.35">
      <c r="A478">
        <v>2374</v>
      </c>
      <c r="B478">
        <v>2375</v>
      </c>
      <c r="C478">
        <v>146.0166749</v>
      </c>
      <c r="D478">
        <v>-17.489903129999998</v>
      </c>
      <c r="F478" t="s">
        <v>7208</v>
      </c>
      <c r="G478" s="1" t="str">
        <f>IF(F478="", "", HYPERLINK("D:\Data From Lucan\2024\Johnstone\Frames_for_Analysis_50\" &amp; F478, F478))</f>
        <v>2375_20240610_0003_L_3691.jpg</v>
      </c>
      <c r="H478">
        <v>0</v>
      </c>
      <c r="I478" t="str">
        <f t="shared" si="14"/>
        <v/>
      </c>
      <c r="J478" s="53">
        <f>IFERROR(VLOOKUP(B478, DATA_Johnstone_2024_ALL!B:J, 8, FALSE), "")</f>
        <v>1</v>
      </c>
      <c r="K478" s="29"/>
      <c r="L478" s="30"/>
      <c r="M478" s="29"/>
      <c r="N478" s="20">
        <f>IF(J478=1, DATA_Johnstone_2023_50!M478, "")</f>
        <v>0</v>
      </c>
      <c r="O478" s="20">
        <f>IF($J478=1, DATA_Johnstone_2023_50!N478, "")</f>
        <v>0</v>
      </c>
      <c r="P478" s="49"/>
      <c r="Q478" s="20">
        <f>IF($J478=1, DATA_Johnstone_2023_50!P478, "")</f>
        <v>0</v>
      </c>
      <c r="R478" s="22"/>
      <c r="T478" s="22"/>
      <c r="W478" s="47"/>
      <c r="AI478" s="75">
        <v>475</v>
      </c>
      <c r="AJ478" s="75">
        <v>100</v>
      </c>
    </row>
    <row r="479" spans="1:36" hidden="1" x14ac:dyDescent="0.35">
      <c r="A479">
        <v>2379</v>
      </c>
      <c r="B479">
        <v>2380</v>
      </c>
      <c r="C479">
        <v>146.01641939999999</v>
      </c>
      <c r="D479">
        <v>-17.490299390000001</v>
      </c>
      <c r="F479" t="s">
        <v>7209</v>
      </c>
      <c r="G479" s="1" t="str">
        <f t="shared" ref="G453:G516" si="15">IF(F479="", "", HYPERLINK("E:\Data From Lucan\2024\Johnstone\Frames_for_Analysis_50\" &amp; F479, F479))</f>
        <v>2380_20240610_0003_L_3703.jpg</v>
      </c>
      <c r="H479">
        <v>8</v>
      </c>
      <c r="I479" t="str">
        <f t="shared" si="14"/>
        <v/>
      </c>
      <c r="J479" s="53">
        <f>IFERROR(VLOOKUP(B479, DATA_Johnstone_2024_ALL!B:J, 8, FALSE), "")</f>
        <v>0</v>
      </c>
      <c r="K479" s="29"/>
      <c r="L479" s="30"/>
      <c r="M479" s="29"/>
      <c r="N479" s="20" t="str">
        <f>IF(J479=1, DATA_Johnstone_2023_50!M479, "")</f>
        <v/>
      </c>
      <c r="O479" s="20" t="str">
        <f>IF($J479=1, DATA_Johnstone_2023_50!N479, "")</f>
        <v/>
      </c>
      <c r="P479" s="49"/>
      <c r="Q479" s="20" t="str">
        <f>IF($J479=1, DATA_Johnstone_2023_50!P479, "")</f>
        <v/>
      </c>
      <c r="R479" s="22"/>
      <c r="T479" s="22"/>
      <c r="W479" s="47"/>
      <c r="AI479" s="75">
        <v>476</v>
      </c>
      <c r="AJ479" s="75">
        <v>100</v>
      </c>
    </row>
    <row r="480" spans="1:36" hidden="1" x14ac:dyDescent="0.35">
      <c r="A480">
        <v>2384</v>
      </c>
      <c r="B480">
        <v>2385</v>
      </c>
      <c r="C480">
        <v>146.0161746</v>
      </c>
      <c r="D480">
        <v>-17.490702339999999</v>
      </c>
      <c r="F480" t="s">
        <v>7210</v>
      </c>
      <c r="G480" s="1" t="str">
        <f t="shared" si="15"/>
        <v>2385_20240610_0003_L_3718.jpg</v>
      </c>
      <c r="H480">
        <v>8</v>
      </c>
      <c r="I480" t="str">
        <f t="shared" si="14"/>
        <v/>
      </c>
      <c r="J480" s="53">
        <f>IFERROR(VLOOKUP(B480, DATA_Johnstone_2024_ALL!B:J, 8, FALSE), "")</f>
        <v>0</v>
      </c>
      <c r="K480" s="29"/>
      <c r="L480" s="30"/>
      <c r="M480" s="29"/>
      <c r="N480" s="20" t="str">
        <f>IF(J480=1, DATA_Johnstone_2023_50!M480, "")</f>
        <v/>
      </c>
      <c r="O480" s="20" t="str">
        <f>IF($J480=1, DATA_Johnstone_2023_50!N480, "")</f>
        <v/>
      </c>
      <c r="P480" s="49"/>
      <c r="Q480" s="20" t="str">
        <f>IF($J480=1, DATA_Johnstone_2023_50!P480, "")</f>
        <v/>
      </c>
      <c r="R480" s="22"/>
      <c r="T480" s="22"/>
      <c r="W480" s="47"/>
      <c r="AI480" s="75">
        <v>477</v>
      </c>
      <c r="AJ480" s="75">
        <v>100</v>
      </c>
    </row>
    <row r="481" spans="1:36" hidden="1" x14ac:dyDescent="0.35">
      <c r="A481">
        <v>2389</v>
      </c>
      <c r="B481">
        <v>2390</v>
      </c>
      <c r="C481">
        <v>146.01590340000001</v>
      </c>
      <c r="D481">
        <v>-17.49108798</v>
      </c>
      <c r="F481" t="s">
        <v>7211</v>
      </c>
      <c r="G481" s="1" t="str">
        <f t="shared" si="15"/>
        <v>2390_20240610_0003_L_3734.jpg</v>
      </c>
      <c r="H481">
        <v>8</v>
      </c>
      <c r="I481" t="str">
        <f t="shared" si="14"/>
        <v/>
      </c>
      <c r="J481" s="53">
        <f>IFERROR(VLOOKUP(B481, DATA_Johnstone_2024_ALL!B:J, 8, FALSE), "")</f>
        <v>0</v>
      </c>
      <c r="K481" s="29"/>
      <c r="L481" s="30"/>
      <c r="M481" s="29"/>
      <c r="N481" s="20" t="str">
        <f>IF(J481=1, DATA_Johnstone_2023_50!M481, "")</f>
        <v/>
      </c>
      <c r="O481" s="20" t="str">
        <f>IF($J481=1, DATA_Johnstone_2023_50!N481, "")</f>
        <v/>
      </c>
      <c r="P481" s="49"/>
      <c r="Q481" s="20" t="str">
        <f>IF($J481=1, DATA_Johnstone_2023_50!P481, "")</f>
        <v/>
      </c>
      <c r="R481" s="22"/>
      <c r="T481" s="22"/>
      <c r="W481" s="47"/>
      <c r="AI481" s="75">
        <v>478</v>
      </c>
      <c r="AJ481" s="75">
        <v>100</v>
      </c>
    </row>
    <row r="482" spans="1:36" hidden="1" x14ac:dyDescent="0.35">
      <c r="A482">
        <v>2394</v>
      </c>
      <c r="B482">
        <v>2395</v>
      </c>
      <c r="C482">
        <v>146.0156192</v>
      </c>
      <c r="D482">
        <v>-17.491464100000002</v>
      </c>
      <c r="F482" t="s">
        <v>7212</v>
      </c>
      <c r="G482" s="1" t="str">
        <f t="shared" si="15"/>
        <v>2395_20240610_0003_L_3750.jpg</v>
      </c>
      <c r="H482">
        <v>8</v>
      </c>
      <c r="I482" t="str">
        <f t="shared" si="14"/>
        <v/>
      </c>
      <c r="J482" s="53">
        <f>IFERROR(VLOOKUP(B482, DATA_Johnstone_2024_ALL!B:J, 8, FALSE), "")</f>
        <v>0</v>
      </c>
      <c r="K482" s="29"/>
      <c r="L482" s="30"/>
      <c r="M482" s="29"/>
      <c r="N482" s="20" t="str">
        <f>IF(J482=1, DATA_Johnstone_2023_50!M482, "")</f>
        <v/>
      </c>
      <c r="O482" s="20" t="str">
        <f>IF($J482=1, DATA_Johnstone_2023_50!N482, "")</f>
        <v/>
      </c>
      <c r="P482" s="49"/>
      <c r="Q482" s="20" t="str">
        <f>IF($J482=1, DATA_Johnstone_2023_50!P482, "")</f>
        <v/>
      </c>
      <c r="R482" s="22"/>
      <c r="T482" s="22"/>
      <c r="W482" s="47"/>
      <c r="AI482" s="75">
        <v>479</v>
      </c>
      <c r="AJ482" s="75">
        <v>100</v>
      </c>
    </row>
    <row r="483" spans="1:36" hidden="1" x14ac:dyDescent="0.35">
      <c r="A483">
        <v>2399</v>
      </c>
      <c r="B483">
        <v>2400</v>
      </c>
      <c r="C483">
        <v>146.01532349999999</v>
      </c>
      <c r="D483">
        <v>-17.491830920000002</v>
      </c>
      <c r="F483" t="s">
        <v>7213</v>
      </c>
      <c r="G483" s="1" t="str">
        <f t="shared" si="15"/>
        <v>2400_20240610_0003_L_3764.jpg</v>
      </c>
      <c r="H483">
        <v>8</v>
      </c>
      <c r="I483" t="str">
        <f t="shared" si="14"/>
        <v/>
      </c>
      <c r="J483" s="53">
        <f>IFERROR(VLOOKUP(B483, DATA_Johnstone_2024_ALL!B:J, 8, FALSE), "")</f>
        <v>0</v>
      </c>
      <c r="K483" s="29"/>
      <c r="L483" s="30"/>
      <c r="M483" s="29"/>
      <c r="N483" s="20" t="str">
        <f>IF(J483=1, DATA_Johnstone_2023_50!M483, "")</f>
        <v/>
      </c>
      <c r="O483" s="20" t="str">
        <f>IF($J483=1, DATA_Johnstone_2023_50!N483, "")</f>
        <v/>
      </c>
      <c r="P483" s="49"/>
      <c r="Q483" s="20" t="str">
        <f>IF($J483=1, DATA_Johnstone_2023_50!P483, "")</f>
        <v/>
      </c>
      <c r="R483" s="22"/>
      <c r="T483" s="22"/>
      <c r="W483" s="47"/>
      <c r="AI483" s="75">
        <v>480</v>
      </c>
      <c r="AJ483" s="75">
        <v>100</v>
      </c>
    </row>
    <row r="484" spans="1:36" hidden="1" x14ac:dyDescent="0.35">
      <c r="A484">
        <v>2404</v>
      </c>
      <c r="B484">
        <v>2405</v>
      </c>
      <c r="C484">
        <v>146.01499279999999</v>
      </c>
      <c r="D484">
        <v>-17.492166959999999</v>
      </c>
      <c r="F484" t="s">
        <v>7214</v>
      </c>
      <c r="G484" s="1" t="str">
        <f t="shared" si="15"/>
        <v>2405_20240610_0003_L_3777.jpg</v>
      </c>
      <c r="H484">
        <v>8</v>
      </c>
      <c r="I484" t="str">
        <f t="shared" si="14"/>
        <v/>
      </c>
      <c r="J484" s="53">
        <f>IFERROR(VLOOKUP(B484, DATA_Johnstone_2024_ALL!B:J, 8, FALSE), "")</f>
        <v>1</v>
      </c>
      <c r="K484" s="29"/>
      <c r="L484" s="30"/>
      <c r="M484" s="29"/>
      <c r="N484" s="20">
        <f>IF(J484=1, DATA_Johnstone_2023_50!M484, "")</f>
        <v>3</v>
      </c>
      <c r="O484" s="20">
        <f>IF($J484=1, DATA_Johnstone_2023_50!N484, "")</f>
        <v>3</v>
      </c>
      <c r="P484" s="49"/>
      <c r="Q484" s="20">
        <f>IF($J484=1, DATA_Johnstone_2023_50!P484, "")</f>
        <v>4</v>
      </c>
      <c r="R484" s="22"/>
      <c r="T484" s="22"/>
      <c r="W484" s="47"/>
      <c r="AI484" s="75">
        <v>481</v>
      </c>
      <c r="AJ484" s="75">
        <v>100</v>
      </c>
    </row>
    <row r="485" spans="1:36" hidden="1" x14ac:dyDescent="0.35">
      <c r="A485">
        <v>2409</v>
      </c>
      <c r="B485">
        <v>2410</v>
      </c>
      <c r="C485">
        <v>146.01466189999999</v>
      </c>
      <c r="D485">
        <v>-17.492502900000002</v>
      </c>
      <c r="F485" t="s">
        <v>7215</v>
      </c>
      <c r="G485" s="1" t="str">
        <f t="shared" si="15"/>
        <v>2410_20240610_0003_L_3790.jpg</v>
      </c>
      <c r="H485">
        <v>8</v>
      </c>
      <c r="I485" t="str">
        <f t="shared" si="14"/>
        <v/>
      </c>
      <c r="J485" s="53">
        <f>IFERROR(VLOOKUP(B485, DATA_Johnstone_2024_ALL!B:J, 8, FALSE), "")</f>
        <v>0</v>
      </c>
      <c r="K485" s="29"/>
      <c r="L485" s="30"/>
      <c r="M485" s="29"/>
      <c r="N485" s="20" t="str">
        <f>IF(J485=1, DATA_Johnstone_2023_50!M485, "")</f>
        <v/>
      </c>
      <c r="O485" s="20" t="str">
        <f>IF($J485=1, DATA_Johnstone_2023_50!N485, "")</f>
        <v/>
      </c>
      <c r="P485" s="49"/>
      <c r="Q485" s="20" t="str">
        <f>IF($J485=1, DATA_Johnstone_2023_50!P485, "")</f>
        <v/>
      </c>
      <c r="R485" s="22"/>
      <c r="T485" s="22"/>
      <c r="W485" s="47"/>
      <c r="AI485" s="75">
        <v>482</v>
      </c>
      <c r="AJ485" s="75">
        <v>100</v>
      </c>
    </row>
    <row r="486" spans="1:36" hidden="1" x14ac:dyDescent="0.35">
      <c r="A486">
        <v>2414</v>
      </c>
      <c r="B486">
        <v>2415</v>
      </c>
      <c r="C486">
        <v>146.0143329</v>
      </c>
      <c r="D486">
        <v>-17.49283947</v>
      </c>
      <c r="F486" t="s">
        <v>7216</v>
      </c>
      <c r="G486" s="1" t="str">
        <f t="shared" si="15"/>
        <v>2415_20240610_0003_L_3811.jpg</v>
      </c>
      <c r="H486">
        <v>8</v>
      </c>
      <c r="I486" t="str">
        <f t="shared" si="14"/>
        <v/>
      </c>
      <c r="J486" s="53">
        <f>IFERROR(VLOOKUP(B486, DATA_Johnstone_2024_ALL!B:J, 8, FALSE), "")</f>
        <v>1</v>
      </c>
      <c r="K486" s="29"/>
      <c r="L486" s="30"/>
      <c r="M486" s="29"/>
      <c r="N486" s="20">
        <f>IF(J486=1, DATA_Johnstone_2023_50!M486, "")</f>
        <v>1</v>
      </c>
      <c r="O486" s="20">
        <f>IF($J486=1, DATA_Johnstone_2023_50!N486, "")</f>
        <v>4</v>
      </c>
      <c r="P486" s="49"/>
      <c r="Q486" s="20">
        <f>IF($J486=1, DATA_Johnstone_2023_50!P486, "")</f>
        <v>4</v>
      </c>
      <c r="R486" s="22"/>
      <c r="T486" s="22"/>
      <c r="W486" s="47"/>
      <c r="AI486" s="75">
        <v>483</v>
      </c>
      <c r="AJ486" s="75">
        <v>100</v>
      </c>
    </row>
    <row r="487" spans="1:36" hidden="1" x14ac:dyDescent="0.35">
      <c r="A487">
        <v>2419</v>
      </c>
      <c r="B487">
        <v>2420</v>
      </c>
      <c r="C487">
        <v>146.01398309999999</v>
      </c>
      <c r="D487">
        <v>-17.493155479999999</v>
      </c>
      <c r="F487" t="s">
        <v>7217</v>
      </c>
      <c r="G487" s="1" t="str">
        <f t="shared" si="15"/>
        <v>2420_20240610_0003_L_3825.jpg</v>
      </c>
      <c r="H487">
        <v>8</v>
      </c>
      <c r="I487" t="str">
        <f t="shared" si="14"/>
        <v/>
      </c>
      <c r="J487" s="53">
        <f>IFERROR(VLOOKUP(B487, DATA_Johnstone_2024_ALL!B:J, 8, FALSE), "")</f>
        <v>0</v>
      </c>
      <c r="K487" s="29"/>
      <c r="L487" s="30"/>
      <c r="M487" s="29"/>
      <c r="N487" s="20" t="str">
        <f>IF(J487=1, DATA_Johnstone_2023_50!M487, "")</f>
        <v/>
      </c>
      <c r="O487" s="20" t="str">
        <f>IF($J487=1, DATA_Johnstone_2023_50!N487, "")</f>
        <v/>
      </c>
      <c r="P487" s="49"/>
      <c r="Q487" s="20" t="str">
        <f>IF($J487=1, DATA_Johnstone_2023_50!P487, "")</f>
        <v/>
      </c>
      <c r="R487" s="22"/>
      <c r="T487" s="22"/>
      <c r="W487" s="47"/>
      <c r="AI487" s="75">
        <v>484</v>
      </c>
      <c r="AJ487" s="75">
        <v>100</v>
      </c>
    </row>
    <row r="488" spans="1:36" hidden="1" x14ac:dyDescent="0.35">
      <c r="A488">
        <v>2424</v>
      </c>
      <c r="B488">
        <v>2425</v>
      </c>
      <c r="C488">
        <v>146.01361399999999</v>
      </c>
      <c r="D488">
        <v>-17.493448730000001</v>
      </c>
      <c r="F488" t="s">
        <v>7218</v>
      </c>
      <c r="G488" s="1" t="str">
        <f t="shared" si="15"/>
        <v>2425_20240610_0003_L_3840.jpg</v>
      </c>
      <c r="H488">
        <v>8</v>
      </c>
      <c r="I488" t="str">
        <f t="shared" si="14"/>
        <v/>
      </c>
      <c r="J488" s="53">
        <f>IFERROR(VLOOKUP(B488, DATA_Johnstone_2024_ALL!B:J, 8, FALSE), "")</f>
        <v>1</v>
      </c>
      <c r="K488" s="29"/>
      <c r="L488" s="30"/>
      <c r="M488" s="29"/>
      <c r="N488" s="20">
        <f>IF(J488=1, DATA_Johnstone_2023_50!M488, "")</f>
        <v>4</v>
      </c>
      <c r="O488" s="20">
        <f>IF($J488=1, DATA_Johnstone_2023_50!N488, "")</f>
        <v>4</v>
      </c>
      <c r="P488" s="49"/>
      <c r="Q488" s="20">
        <f>IF($J488=1, DATA_Johnstone_2023_50!P488, "")</f>
        <v>4</v>
      </c>
      <c r="R488" s="22"/>
      <c r="T488" s="22"/>
      <c r="W488" s="47"/>
      <c r="AI488" s="75">
        <v>485</v>
      </c>
      <c r="AJ488" s="75">
        <v>100</v>
      </c>
    </row>
    <row r="489" spans="1:36" hidden="1" x14ac:dyDescent="0.35">
      <c r="A489">
        <v>2429</v>
      </c>
      <c r="B489">
        <v>2430</v>
      </c>
      <c r="C489">
        <v>146.0131829</v>
      </c>
      <c r="D489">
        <v>-17.493634159999999</v>
      </c>
      <c r="F489" t="s">
        <v>7219</v>
      </c>
      <c r="G489" s="1" t="str">
        <f t="shared" si="15"/>
        <v>2430_20240610_0003_L_3854.jpg</v>
      </c>
      <c r="H489">
        <v>8</v>
      </c>
      <c r="I489" t="str">
        <f t="shared" si="14"/>
        <v/>
      </c>
      <c r="J489" s="53">
        <f>IFERROR(VLOOKUP(B489, DATA_Johnstone_2024_ALL!B:J, 8, FALSE), "")</f>
        <v>1</v>
      </c>
      <c r="K489" s="29"/>
      <c r="L489" s="30"/>
      <c r="M489" s="29"/>
      <c r="N489" s="20">
        <f>IF(J489=1, DATA_Johnstone_2023_50!M489, "")</f>
        <v>2</v>
      </c>
      <c r="O489" s="20">
        <f>IF($J489=1, DATA_Johnstone_2023_50!N489, "")</f>
        <v>4</v>
      </c>
      <c r="P489" s="49"/>
      <c r="Q489" s="20">
        <f>IF($J489=1, DATA_Johnstone_2023_50!P489, "")</f>
        <v>4</v>
      </c>
      <c r="R489" s="22"/>
      <c r="T489" s="22"/>
      <c r="W489" s="47"/>
      <c r="AI489" s="75">
        <v>486</v>
      </c>
      <c r="AJ489" s="75">
        <v>100</v>
      </c>
    </row>
    <row r="490" spans="1:36" hidden="1" x14ac:dyDescent="0.35">
      <c r="A490">
        <v>2434</v>
      </c>
      <c r="B490">
        <v>2435</v>
      </c>
      <c r="C490">
        <v>146.0127335</v>
      </c>
      <c r="D490">
        <v>-17.49377694</v>
      </c>
      <c r="F490" t="s">
        <v>7220</v>
      </c>
      <c r="G490" s="1" t="str">
        <f t="shared" si="15"/>
        <v>2435_20240610_0003_L_3871.jpg</v>
      </c>
      <c r="H490">
        <v>8</v>
      </c>
      <c r="I490" t="str">
        <f t="shared" si="14"/>
        <v/>
      </c>
      <c r="J490" s="53">
        <f>IFERROR(VLOOKUP(B490, DATA_Johnstone_2024_ALL!B:J, 8, FALSE), "")</f>
        <v>1</v>
      </c>
      <c r="K490" s="29"/>
      <c r="L490" s="30"/>
      <c r="M490" s="29"/>
      <c r="N490" s="20">
        <f>IF(J490=1, DATA_Johnstone_2023_50!M490, "")</f>
        <v>2</v>
      </c>
      <c r="O490" s="20">
        <f>IF($J490=1, DATA_Johnstone_2023_50!N490, "")</f>
        <v>4</v>
      </c>
      <c r="P490" s="49"/>
      <c r="Q490" s="20">
        <f>IF($J490=1, DATA_Johnstone_2023_50!P490, "")</f>
        <v>4</v>
      </c>
      <c r="R490" s="22"/>
      <c r="T490" s="22"/>
      <c r="W490" s="47"/>
      <c r="AI490" s="75">
        <v>487</v>
      </c>
      <c r="AJ490" s="75">
        <v>100</v>
      </c>
    </row>
    <row r="491" spans="1:36" hidden="1" x14ac:dyDescent="0.35">
      <c r="A491">
        <v>2439</v>
      </c>
      <c r="B491">
        <v>2440</v>
      </c>
      <c r="C491">
        <v>146.01228639999999</v>
      </c>
      <c r="D491">
        <v>-17.493925619999999</v>
      </c>
      <c r="F491" t="s">
        <v>7221</v>
      </c>
      <c r="G491" s="1" t="str">
        <f t="shared" si="15"/>
        <v>2440_20240610_0003_L_3900.jpg</v>
      </c>
      <c r="H491">
        <v>8</v>
      </c>
      <c r="I491" t="str">
        <f t="shared" si="14"/>
        <v/>
      </c>
      <c r="J491" s="53">
        <f>IFERROR(VLOOKUP(B491, DATA_Johnstone_2024_ALL!B:J, 8, FALSE), "")</f>
        <v>0</v>
      </c>
      <c r="K491" s="29"/>
      <c r="L491" s="30"/>
      <c r="M491" s="29"/>
      <c r="N491" s="20" t="str">
        <f>IF(J491=1, DATA_Johnstone_2023_50!M491, "")</f>
        <v/>
      </c>
      <c r="O491" s="20" t="str">
        <f>IF($J491=1, DATA_Johnstone_2023_50!N491, "")</f>
        <v/>
      </c>
      <c r="P491" s="49"/>
      <c r="Q491" s="20" t="str">
        <f>IF($J491=1, DATA_Johnstone_2023_50!P491, "")</f>
        <v/>
      </c>
      <c r="R491" s="22"/>
      <c r="T491" s="22"/>
      <c r="W491" s="47"/>
      <c r="AI491" s="75">
        <v>488</v>
      </c>
      <c r="AJ491" s="75">
        <v>100</v>
      </c>
    </row>
    <row r="492" spans="1:36" hidden="1" x14ac:dyDescent="0.35">
      <c r="A492">
        <v>2444</v>
      </c>
      <c r="B492">
        <v>2445</v>
      </c>
      <c r="C492">
        <v>146.01184989999999</v>
      </c>
      <c r="D492">
        <v>-17.49410374</v>
      </c>
      <c r="F492" t="s">
        <v>7222</v>
      </c>
      <c r="G492" s="1" t="str">
        <f t="shared" si="15"/>
        <v>2445_20240610_0003_L_3924.jpg</v>
      </c>
      <c r="H492">
        <v>8</v>
      </c>
      <c r="I492" t="str">
        <f t="shared" si="14"/>
        <v/>
      </c>
      <c r="J492" s="53">
        <f>IFERROR(VLOOKUP(B492, DATA_Johnstone_2024_ALL!B:J, 8, FALSE), "")</f>
        <v>1</v>
      </c>
      <c r="K492" s="29"/>
      <c r="L492" s="30"/>
      <c r="M492" s="29"/>
      <c r="N492" s="20">
        <f>IF(J492=1, DATA_Johnstone_2023_50!M492, "")</f>
        <v>0</v>
      </c>
      <c r="O492" s="20">
        <f>IF($J492=1, DATA_Johnstone_2023_50!N492, "")</f>
        <v>0</v>
      </c>
      <c r="P492" s="49"/>
      <c r="Q492" s="20">
        <f>IF($J492=1, DATA_Johnstone_2023_50!P492, "")</f>
        <v>0</v>
      </c>
      <c r="R492" s="22"/>
      <c r="T492" s="22"/>
      <c r="W492" s="47"/>
      <c r="AI492" s="75">
        <v>489</v>
      </c>
      <c r="AJ492" s="75">
        <v>100</v>
      </c>
    </row>
    <row r="493" spans="1:36" hidden="1" x14ac:dyDescent="0.35">
      <c r="A493">
        <v>2449</v>
      </c>
      <c r="B493">
        <v>2450</v>
      </c>
      <c r="C493">
        <v>146.011405</v>
      </c>
      <c r="D493">
        <v>-17.494259759999998</v>
      </c>
      <c r="F493" t="s">
        <v>7223</v>
      </c>
      <c r="G493" s="1" t="str">
        <f t="shared" si="15"/>
        <v>2450_20240610_0003_L_3942.jpg</v>
      </c>
      <c r="H493">
        <v>8</v>
      </c>
      <c r="I493" t="str">
        <f t="shared" si="14"/>
        <v/>
      </c>
      <c r="J493" s="53">
        <f>IFERROR(VLOOKUP(B493, DATA_Johnstone_2024_ALL!B:J, 8, FALSE), "")</f>
        <v>0</v>
      </c>
      <c r="K493" s="29"/>
      <c r="L493" s="30"/>
      <c r="M493" s="29"/>
      <c r="N493" s="20" t="str">
        <f>IF(J493=1, DATA_Johnstone_2023_50!M493, "")</f>
        <v/>
      </c>
      <c r="O493" s="20" t="str">
        <f>IF($J493=1, DATA_Johnstone_2023_50!N493, "")</f>
        <v/>
      </c>
      <c r="P493" s="49"/>
      <c r="Q493" s="20" t="str">
        <f>IF($J493=1, DATA_Johnstone_2023_50!P493, "")</f>
        <v/>
      </c>
      <c r="R493" s="22"/>
      <c r="T493" s="22"/>
      <c r="W493" s="47"/>
      <c r="AI493" s="75">
        <v>490</v>
      </c>
      <c r="AJ493" s="75">
        <v>100</v>
      </c>
    </row>
    <row r="494" spans="1:36" hidden="1" x14ac:dyDescent="0.35">
      <c r="A494">
        <v>2454</v>
      </c>
      <c r="B494">
        <v>2455</v>
      </c>
      <c r="C494">
        <v>146.01095319999999</v>
      </c>
      <c r="D494">
        <v>-17.4943916</v>
      </c>
      <c r="F494" t="s">
        <v>7224</v>
      </c>
      <c r="G494" s="1" t="str">
        <f t="shared" si="15"/>
        <v>2455_20240610_0003_L_3959.jpg</v>
      </c>
      <c r="H494">
        <v>8</v>
      </c>
      <c r="I494" t="str">
        <f t="shared" si="14"/>
        <v/>
      </c>
      <c r="J494" s="53">
        <f>IFERROR(VLOOKUP(B494, DATA_Johnstone_2024_ALL!B:J, 8, FALSE), "")</f>
        <v>0</v>
      </c>
      <c r="K494" s="29"/>
      <c r="L494" s="30"/>
      <c r="M494" s="29"/>
      <c r="N494" s="20" t="str">
        <f>IF(J494=1, DATA_Johnstone_2023_50!M494, "")</f>
        <v/>
      </c>
      <c r="O494" s="20" t="str">
        <f>IF($J494=1, DATA_Johnstone_2023_50!N494, "")</f>
        <v/>
      </c>
      <c r="P494" s="49"/>
      <c r="Q494" s="20" t="str">
        <f>IF($J494=1, DATA_Johnstone_2023_50!P494, "")</f>
        <v/>
      </c>
      <c r="R494" s="22"/>
      <c r="T494" s="22"/>
      <c r="W494" s="47"/>
      <c r="AI494" s="75">
        <v>491</v>
      </c>
      <c r="AJ494" s="75">
        <v>100</v>
      </c>
    </row>
    <row r="495" spans="1:36" hidden="1" x14ac:dyDescent="0.35">
      <c r="A495">
        <v>2459</v>
      </c>
      <c r="B495">
        <v>2460</v>
      </c>
      <c r="C495">
        <v>146.01049219999999</v>
      </c>
      <c r="D495">
        <v>-17.4944904</v>
      </c>
      <c r="F495" t="s">
        <v>7225</v>
      </c>
      <c r="G495" s="1" t="str">
        <f t="shared" si="15"/>
        <v>2460_20240610_0003_L_3977.jpg</v>
      </c>
      <c r="H495">
        <v>8</v>
      </c>
      <c r="I495" t="str">
        <f t="shared" si="14"/>
        <v/>
      </c>
      <c r="J495" s="53">
        <f>IFERROR(VLOOKUP(B495, DATA_Johnstone_2024_ALL!B:J, 8, FALSE), "")</f>
        <v>0</v>
      </c>
      <c r="K495" s="29"/>
      <c r="L495" s="30"/>
      <c r="M495" s="29"/>
      <c r="N495" s="20" t="str">
        <f>IF(J495=1, DATA_Johnstone_2023_50!M495, "")</f>
        <v/>
      </c>
      <c r="O495" s="20" t="str">
        <f>IF($J495=1, DATA_Johnstone_2023_50!N495, "")</f>
        <v/>
      </c>
      <c r="P495" s="49"/>
      <c r="Q495" s="20" t="str">
        <f>IF($J495=1, DATA_Johnstone_2023_50!P495, "")</f>
        <v/>
      </c>
      <c r="R495" s="22"/>
      <c r="T495" s="22"/>
      <c r="W495" s="47"/>
      <c r="AI495" s="75">
        <v>492</v>
      </c>
      <c r="AJ495" s="75">
        <v>100</v>
      </c>
    </row>
    <row r="496" spans="1:36" hidden="1" x14ac:dyDescent="0.35">
      <c r="A496">
        <v>2464</v>
      </c>
      <c r="B496">
        <v>2465</v>
      </c>
      <c r="C496">
        <v>146.01006899999999</v>
      </c>
      <c r="D496">
        <v>-17.49456507</v>
      </c>
      <c r="F496" t="s">
        <v>7226</v>
      </c>
      <c r="G496" s="1" t="str">
        <f t="shared" si="15"/>
        <v>2465_20240610_0003_L_3994.jpg</v>
      </c>
      <c r="H496">
        <v>8</v>
      </c>
      <c r="I496" t="str">
        <f t="shared" si="14"/>
        <v/>
      </c>
      <c r="J496" s="53">
        <f>IFERROR(VLOOKUP(B496, DATA_Johnstone_2024_ALL!B:J, 8, FALSE), "")</f>
        <v>0</v>
      </c>
      <c r="K496" s="29"/>
      <c r="L496" s="30"/>
      <c r="M496" s="29"/>
      <c r="N496" s="20" t="str">
        <f>IF(J496=1, DATA_Johnstone_2023_50!M496, "")</f>
        <v/>
      </c>
      <c r="O496" s="20" t="str">
        <f>IF($J496=1, DATA_Johnstone_2023_50!N496, "")</f>
        <v/>
      </c>
      <c r="P496" s="49"/>
      <c r="Q496" s="20" t="str">
        <f>IF($J496=1, DATA_Johnstone_2023_50!P496, "")</f>
        <v/>
      </c>
      <c r="R496" s="22"/>
      <c r="T496" s="22"/>
      <c r="W496" s="47"/>
      <c r="AI496" s="75">
        <v>493</v>
      </c>
      <c r="AJ496" s="75">
        <v>100</v>
      </c>
    </row>
    <row r="497" spans="1:36" hidden="1" x14ac:dyDescent="0.35">
      <c r="A497">
        <v>2469</v>
      </c>
      <c r="B497">
        <v>2470</v>
      </c>
      <c r="C497">
        <v>146.00965980000001</v>
      </c>
      <c r="D497">
        <v>-17.49476967</v>
      </c>
      <c r="F497" t="s">
        <v>7227</v>
      </c>
      <c r="G497" s="1" t="str">
        <f t="shared" si="15"/>
        <v>2470_20240610_0003_L_4014.jpg</v>
      </c>
      <c r="H497">
        <v>8</v>
      </c>
      <c r="I497" t="str">
        <f t="shared" si="14"/>
        <v/>
      </c>
      <c r="J497" s="53">
        <f>IFERROR(VLOOKUP(B497, DATA_Johnstone_2024_ALL!B:J, 8, FALSE), "")</f>
        <v>1</v>
      </c>
      <c r="K497" s="29"/>
      <c r="L497" s="30"/>
      <c r="M497" s="29"/>
      <c r="N497" s="20">
        <f>IF(J497=1, DATA_Johnstone_2023_50!M497, "")</f>
        <v>0</v>
      </c>
      <c r="O497" s="20">
        <f>IF($J497=1, DATA_Johnstone_2023_50!N497, "")</f>
        <v>0</v>
      </c>
      <c r="P497" s="49"/>
      <c r="Q497" s="20">
        <f>IF($J497=1, DATA_Johnstone_2023_50!P497, "")</f>
        <v>0</v>
      </c>
      <c r="R497" s="22"/>
      <c r="T497" s="22"/>
      <c r="W497" s="47"/>
      <c r="AI497" s="75">
        <v>494</v>
      </c>
      <c r="AJ497" s="75">
        <v>100</v>
      </c>
    </row>
    <row r="498" spans="1:36" hidden="1" x14ac:dyDescent="0.35">
      <c r="A498">
        <v>2474</v>
      </c>
      <c r="B498">
        <v>2475</v>
      </c>
      <c r="C498">
        <v>146.009321</v>
      </c>
      <c r="D498">
        <v>-17.495081129999999</v>
      </c>
      <c r="F498" t="s">
        <v>7228</v>
      </c>
      <c r="G498" s="1" t="str">
        <f t="shared" si="15"/>
        <v>2475_20240610_0003_L_4032.jpg</v>
      </c>
      <c r="H498">
        <v>8</v>
      </c>
      <c r="I498" t="str">
        <f t="shared" si="14"/>
        <v/>
      </c>
      <c r="J498" s="53">
        <f>IFERROR(VLOOKUP(B498, DATA_Johnstone_2024_ALL!B:J, 8, FALSE), "")</f>
        <v>0</v>
      </c>
      <c r="K498" s="29"/>
      <c r="L498" s="30"/>
      <c r="M498" s="29"/>
      <c r="N498" s="20" t="str">
        <f>IF(J498=1, DATA_Johnstone_2023_50!M498, "")</f>
        <v/>
      </c>
      <c r="O498" s="20" t="str">
        <f>IF($J498=1, DATA_Johnstone_2023_50!N498, "")</f>
        <v/>
      </c>
      <c r="P498" s="49"/>
      <c r="Q498" s="20" t="str">
        <f>IF($J498=1, DATA_Johnstone_2023_50!P498, "")</f>
        <v/>
      </c>
      <c r="R498" s="22"/>
      <c r="T498" s="22"/>
      <c r="W498" s="47"/>
      <c r="AI498" s="75">
        <v>495</v>
      </c>
      <c r="AJ498" s="75">
        <v>100</v>
      </c>
    </row>
    <row r="499" spans="1:36" hidden="1" x14ac:dyDescent="0.35">
      <c r="A499">
        <v>2479</v>
      </c>
      <c r="B499">
        <v>2480</v>
      </c>
      <c r="C499">
        <v>146.00896510000001</v>
      </c>
      <c r="D499">
        <v>-17.495352499999999</v>
      </c>
      <c r="F499" t="s">
        <v>7229</v>
      </c>
      <c r="G499" s="1" t="str">
        <f t="shared" si="15"/>
        <v>2480_20240610_0003_L_4045.jpg</v>
      </c>
      <c r="H499">
        <v>8</v>
      </c>
      <c r="I499" t="str">
        <f t="shared" si="14"/>
        <v/>
      </c>
      <c r="J499" s="53">
        <f>IFERROR(VLOOKUP(B499, DATA_Johnstone_2024_ALL!B:J, 8, FALSE), "")</f>
        <v>0</v>
      </c>
      <c r="K499" s="29"/>
      <c r="L499" s="30"/>
      <c r="M499" s="29"/>
      <c r="N499" s="20" t="str">
        <f>IF(J499=1, DATA_Johnstone_2023_50!M499, "")</f>
        <v/>
      </c>
      <c r="O499" s="20" t="str">
        <f>IF($J499=1, DATA_Johnstone_2023_50!N499, "")</f>
        <v/>
      </c>
      <c r="P499" s="49"/>
      <c r="Q499" s="20" t="str">
        <f>IF($J499=1, DATA_Johnstone_2023_50!P499, "")</f>
        <v/>
      </c>
      <c r="R499" s="22"/>
      <c r="T499" s="22"/>
      <c r="W499" s="47"/>
      <c r="AI499" s="75">
        <v>496</v>
      </c>
      <c r="AJ499" s="75">
        <v>100</v>
      </c>
    </row>
    <row r="500" spans="1:36" hidden="1" x14ac:dyDescent="0.35">
      <c r="A500">
        <v>2484</v>
      </c>
      <c r="B500">
        <v>2485</v>
      </c>
      <c r="C500">
        <v>146.00850779999999</v>
      </c>
      <c r="D500">
        <v>-17.495387390000001</v>
      </c>
      <c r="F500" t="s">
        <v>7230</v>
      </c>
      <c r="G500" s="1" t="str">
        <f t="shared" si="15"/>
        <v>2485_20240610_0003_L_4053.jpg</v>
      </c>
      <c r="H500">
        <v>8</v>
      </c>
      <c r="I500" t="str">
        <f t="shared" si="14"/>
        <v/>
      </c>
      <c r="J500" s="53">
        <f>IFERROR(VLOOKUP(B500, DATA_Johnstone_2024_ALL!B:J, 8, FALSE), "")</f>
        <v>0</v>
      </c>
      <c r="K500" s="29"/>
      <c r="L500" s="30"/>
      <c r="M500" s="29"/>
      <c r="N500" s="20" t="str">
        <f>IF(J500=1, DATA_Johnstone_2023_50!M500, "")</f>
        <v/>
      </c>
      <c r="O500" s="20" t="str">
        <f>IF($J500=1, DATA_Johnstone_2023_50!N500, "")</f>
        <v/>
      </c>
      <c r="P500" s="49"/>
      <c r="Q500" s="20" t="str">
        <f>IF($J500=1, DATA_Johnstone_2023_50!P500, "")</f>
        <v/>
      </c>
      <c r="R500" s="22"/>
      <c r="T500" s="22"/>
      <c r="W500" s="47"/>
      <c r="AI500" s="75">
        <v>497</v>
      </c>
      <c r="AJ500" s="75">
        <v>100</v>
      </c>
    </row>
    <row r="501" spans="1:36" hidden="1" x14ac:dyDescent="0.35">
      <c r="A501">
        <v>2489</v>
      </c>
      <c r="B501">
        <v>2490</v>
      </c>
      <c r="C501">
        <v>146.0080825</v>
      </c>
      <c r="D501">
        <v>-17.495183900000001</v>
      </c>
      <c r="F501" t="s">
        <v>7231</v>
      </c>
      <c r="G501" s="1" t="str">
        <f t="shared" si="15"/>
        <v>2490_20240610_0003_L_4062.jpg</v>
      </c>
      <c r="H501">
        <v>8</v>
      </c>
      <c r="I501" t="str">
        <f t="shared" si="14"/>
        <v/>
      </c>
      <c r="J501" s="53">
        <f>IFERROR(VLOOKUP(B501, DATA_Johnstone_2024_ALL!B:J, 8, FALSE), "")</f>
        <v>0</v>
      </c>
      <c r="K501" s="29"/>
      <c r="L501" s="30"/>
      <c r="M501" s="29"/>
      <c r="N501" s="20" t="str">
        <f>IF(J501=1, DATA_Johnstone_2023_50!M501, "")</f>
        <v/>
      </c>
      <c r="O501" s="20" t="str">
        <f>IF($J501=1, DATA_Johnstone_2023_50!N501, "")</f>
        <v/>
      </c>
      <c r="P501" s="49"/>
      <c r="Q501" s="20" t="str">
        <f>IF($J501=1, DATA_Johnstone_2023_50!P501, "")</f>
        <v/>
      </c>
      <c r="R501" s="22"/>
      <c r="T501" s="22"/>
      <c r="W501" s="47"/>
      <c r="AI501" s="75">
        <v>498</v>
      </c>
      <c r="AJ501" s="75">
        <v>100</v>
      </c>
    </row>
    <row r="502" spans="1:36" hidden="1" x14ac:dyDescent="0.35">
      <c r="A502">
        <v>2494</v>
      </c>
      <c r="B502">
        <v>2495</v>
      </c>
      <c r="C502">
        <v>146.0076746</v>
      </c>
      <c r="D502">
        <v>-17.494950070000002</v>
      </c>
      <c r="F502" t="s">
        <v>7232</v>
      </c>
      <c r="G502" s="1" t="str">
        <f t="shared" si="15"/>
        <v>2495_20240610_0003_L_4077.jpg</v>
      </c>
      <c r="H502">
        <v>8</v>
      </c>
      <c r="I502" t="str">
        <f t="shared" si="14"/>
        <v/>
      </c>
      <c r="J502" s="53">
        <f>IFERROR(VLOOKUP(B502, DATA_Johnstone_2024_ALL!B:J, 8, FALSE), "")</f>
        <v>0</v>
      </c>
      <c r="K502" s="29"/>
      <c r="L502" s="30"/>
      <c r="M502" s="29"/>
      <c r="N502" s="20" t="str">
        <f>IF(J502=1, DATA_Johnstone_2023_50!M502, "")</f>
        <v/>
      </c>
      <c r="O502" s="20" t="str">
        <f>IF($J502=1, DATA_Johnstone_2023_50!N502, "")</f>
        <v/>
      </c>
      <c r="P502" s="49"/>
      <c r="Q502" s="20" t="str">
        <f>IF($J502=1, DATA_Johnstone_2023_50!P502, "")</f>
        <v/>
      </c>
      <c r="R502" s="22"/>
      <c r="T502" s="22"/>
      <c r="W502" s="47"/>
      <c r="AI502" s="75">
        <v>499</v>
      </c>
      <c r="AJ502" s="75">
        <v>100</v>
      </c>
    </row>
    <row r="503" spans="1:36" hidden="1" x14ac:dyDescent="0.35">
      <c r="A503">
        <v>2499</v>
      </c>
      <c r="B503">
        <v>2500</v>
      </c>
      <c r="C503">
        <v>146.00728480000001</v>
      </c>
      <c r="D503">
        <v>-17.494684769999999</v>
      </c>
      <c r="F503" t="s">
        <v>7233</v>
      </c>
      <c r="G503" s="1" t="str">
        <f t="shared" si="15"/>
        <v>2500_20240610_0003_L_4095.jpg</v>
      </c>
      <c r="H503">
        <v>8</v>
      </c>
      <c r="I503" t="str">
        <f t="shared" si="14"/>
        <v/>
      </c>
      <c r="J503" s="53">
        <f>IFERROR(VLOOKUP(B503, DATA_Johnstone_2024_ALL!B:J, 8, FALSE), "")</f>
        <v>1</v>
      </c>
      <c r="K503" s="29"/>
      <c r="L503" s="30"/>
      <c r="M503" s="29"/>
      <c r="N503" s="20">
        <f>IF(J503=1, DATA_Johnstone_2023_50!M503, "")</f>
        <v>1</v>
      </c>
      <c r="O503" s="20">
        <f>IF($J503=1, DATA_Johnstone_2023_50!N503, "")</f>
        <v>4</v>
      </c>
      <c r="P503" s="49"/>
      <c r="Q503" s="20">
        <f>IF($J503=1, DATA_Johnstone_2023_50!P503, "")</f>
        <v>4</v>
      </c>
      <c r="R503" s="22"/>
      <c r="T503" s="22"/>
      <c r="W503" s="47"/>
      <c r="AI503" s="75">
        <v>500</v>
      </c>
      <c r="AJ503" s="75">
        <v>100</v>
      </c>
    </row>
    <row r="504" spans="1:36" hidden="1" x14ac:dyDescent="0.35">
      <c r="A504">
        <v>2504</v>
      </c>
      <c r="B504">
        <v>2505</v>
      </c>
      <c r="C504">
        <v>146.00691699999999</v>
      </c>
      <c r="D504">
        <v>-17.494391199999999</v>
      </c>
      <c r="F504" t="s">
        <v>7234</v>
      </c>
      <c r="G504" s="1" t="str">
        <f t="shared" si="15"/>
        <v>2505_20240610_0003_L_4111.jpg</v>
      </c>
      <c r="H504">
        <v>8</v>
      </c>
      <c r="I504" t="str">
        <f t="shared" si="14"/>
        <v/>
      </c>
      <c r="J504" s="53">
        <f>IFERROR(VLOOKUP(B504, DATA_Johnstone_2024_ALL!B:J, 8, FALSE), "")</f>
        <v>0</v>
      </c>
      <c r="K504" s="29"/>
      <c r="L504" s="30"/>
      <c r="M504" s="29"/>
      <c r="N504" s="20" t="str">
        <f>IF(J504=1, DATA_Johnstone_2023_50!M504, "")</f>
        <v/>
      </c>
      <c r="O504" s="20" t="str">
        <f>IF($J504=1, DATA_Johnstone_2023_50!N504, "")</f>
        <v/>
      </c>
      <c r="P504" s="49"/>
      <c r="Q504" s="20" t="str">
        <f>IF($J504=1, DATA_Johnstone_2023_50!P504, "")</f>
        <v/>
      </c>
      <c r="R504" s="22"/>
      <c r="T504" s="22"/>
      <c r="W504" s="47"/>
      <c r="AI504" s="75">
        <v>501</v>
      </c>
      <c r="AJ504" s="75">
        <v>100</v>
      </c>
    </row>
    <row r="505" spans="1:36" hidden="1" x14ac:dyDescent="0.35">
      <c r="A505">
        <v>2509</v>
      </c>
      <c r="B505">
        <v>2510</v>
      </c>
      <c r="C505">
        <v>146.0065621</v>
      </c>
      <c r="D505">
        <v>-17.49408081</v>
      </c>
      <c r="F505" t="s">
        <v>7235</v>
      </c>
      <c r="G505" s="1" t="str">
        <f t="shared" si="15"/>
        <v>2510_20240610_0003_L_4128.jpg</v>
      </c>
      <c r="H505">
        <v>8</v>
      </c>
      <c r="I505" t="str">
        <f t="shared" si="14"/>
        <v/>
      </c>
      <c r="J505" s="53">
        <f>IFERROR(VLOOKUP(B505, DATA_Johnstone_2024_ALL!B:J, 8, FALSE), "")</f>
        <v>0</v>
      </c>
      <c r="K505" s="29"/>
      <c r="L505" s="30"/>
      <c r="M505" s="29"/>
      <c r="N505" s="20" t="str">
        <f>IF(J505=1, DATA_Johnstone_2023_50!M505, "")</f>
        <v/>
      </c>
      <c r="O505" s="20" t="str">
        <f>IF($J505=1, DATA_Johnstone_2023_50!N505, "")</f>
        <v/>
      </c>
      <c r="P505" s="49"/>
      <c r="Q505" s="20" t="str">
        <f>IF($J505=1, DATA_Johnstone_2023_50!P505, "")</f>
        <v/>
      </c>
      <c r="R505" s="22"/>
      <c r="T505" s="22"/>
      <c r="W505" s="47"/>
      <c r="AI505" s="75">
        <v>502</v>
      </c>
      <c r="AJ505" s="75">
        <v>100</v>
      </c>
    </row>
    <row r="506" spans="1:36" hidden="1" x14ac:dyDescent="0.35">
      <c r="A506">
        <v>2514</v>
      </c>
      <c r="B506">
        <v>2515</v>
      </c>
      <c r="C506">
        <v>146.00620319999999</v>
      </c>
      <c r="D506">
        <v>-17.493774980000001</v>
      </c>
      <c r="F506" t="s">
        <v>7236</v>
      </c>
      <c r="G506" s="1" t="str">
        <f t="shared" si="15"/>
        <v>2515_20240610_0003_L_4144.jpg</v>
      </c>
      <c r="H506">
        <v>8</v>
      </c>
      <c r="I506" t="str">
        <f t="shared" si="14"/>
        <v/>
      </c>
      <c r="J506" s="53">
        <f>IFERROR(VLOOKUP(B506, DATA_Johnstone_2024_ALL!B:J, 8, FALSE), "")</f>
        <v>1</v>
      </c>
      <c r="K506" s="29"/>
      <c r="L506" s="30"/>
      <c r="M506" s="29"/>
      <c r="N506" s="20">
        <f>IF(J506=1, DATA_Johnstone_2023_50!M506, "")</f>
        <v>0</v>
      </c>
      <c r="O506" s="20">
        <f>IF($J506=1, DATA_Johnstone_2023_50!N506, "")</f>
        <v>0</v>
      </c>
      <c r="P506" s="49"/>
      <c r="Q506" s="20">
        <f>IF($J506=1, DATA_Johnstone_2023_50!P506, "")</f>
        <v>0</v>
      </c>
      <c r="R506" s="22"/>
      <c r="T506" s="22"/>
      <c r="W506" s="47"/>
      <c r="AI506" s="75">
        <v>503</v>
      </c>
      <c r="AJ506" s="75">
        <v>100</v>
      </c>
    </row>
    <row r="507" spans="1:36" hidden="1" x14ac:dyDescent="0.35">
      <c r="A507">
        <v>2519</v>
      </c>
      <c r="B507">
        <v>2520</v>
      </c>
      <c r="C507">
        <v>146.0058707</v>
      </c>
      <c r="D507">
        <v>-17.49344396</v>
      </c>
      <c r="F507" t="s">
        <v>7237</v>
      </c>
      <c r="G507" s="1" t="str">
        <f t="shared" si="15"/>
        <v>2520_20240610_0003_L_4159.jpg</v>
      </c>
      <c r="H507">
        <v>8</v>
      </c>
      <c r="I507" t="str">
        <f t="shared" si="14"/>
        <v/>
      </c>
      <c r="J507" s="53">
        <f>IFERROR(VLOOKUP(B507, DATA_Johnstone_2024_ALL!B:J, 8, FALSE), "")</f>
        <v>0</v>
      </c>
      <c r="K507" s="29"/>
      <c r="L507" s="30"/>
      <c r="M507" s="29"/>
      <c r="N507" s="20" t="str">
        <f>IF(J507=1, DATA_Johnstone_2023_50!M507, "")</f>
        <v/>
      </c>
      <c r="O507" s="20" t="str">
        <f>IF($J507=1, DATA_Johnstone_2023_50!N507, "")</f>
        <v/>
      </c>
      <c r="P507" s="49"/>
      <c r="Q507" s="20" t="str">
        <f>IF($J507=1, DATA_Johnstone_2023_50!P507, "")</f>
        <v/>
      </c>
      <c r="R507" s="22"/>
      <c r="T507" s="22"/>
      <c r="W507" s="47"/>
      <c r="AI507" s="75">
        <v>504</v>
      </c>
      <c r="AJ507" s="75">
        <v>100</v>
      </c>
    </row>
    <row r="508" spans="1:36" hidden="1" x14ac:dyDescent="0.35">
      <c r="A508">
        <v>2524</v>
      </c>
      <c r="B508">
        <v>2525</v>
      </c>
      <c r="C508">
        <v>146.0055869</v>
      </c>
      <c r="D508">
        <v>-17.49306769</v>
      </c>
      <c r="F508" t="s">
        <v>7238</v>
      </c>
      <c r="G508" s="1" t="str">
        <f t="shared" si="15"/>
        <v>2525_20240610_0003_L_4174.jpg</v>
      </c>
      <c r="H508">
        <v>8</v>
      </c>
      <c r="I508" t="str">
        <f t="shared" si="14"/>
        <v/>
      </c>
      <c r="J508" s="53">
        <f>IFERROR(VLOOKUP(B508, DATA_Johnstone_2024_ALL!B:J, 8, FALSE), "")</f>
        <v>0</v>
      </c>
      <c r="K508" s="29"/>
      <c r="L508" s="30"/>
      <c r="M508" s="29"/>
      <c r="N508" s="20" t="str">
        <f>IF(J508=1, DATA_Johnstone_2023_50!M508, "")</f>
        <v/>
      </c>
      <c r="O508" s="20" t="str">
        <f>IF($J508=1, DATA_Johnstone_2023_50!N508, "")</f>
        <v/>
      </c>
      <c r="P508" s="49"/>
      <c r="Q508" s="20" t="str">
        <f>IF($J508=1, DATA_Johnstone_2023_50!P508, "")</f>
        <v/>
      </c>
      <c r="R508" s="22"/>
      <c r="T508" s="22"/>
      <c r="W508" s="47"/>
      <c r="AI508" s="75">
        <v>505</v>
      </c>
      <c r="AJ508" s="75">
        <v>100</v>
      </c>
    </row>
    <row r="509" spans="1:36" hidden="1" x14ac:dyDescent="0.35">
      <c r="A509">
        <v>2529</v>
      </c>
      <c r="B509">
        <v>2530</v>
      </c>
      <c r="C509">
        <v>146.00533870000001</v>
      </c>
      <c r="D509">
        <v>-17.492667520000001</v>
      </c>
      <c r="F509" t="s">
        <v>7239</v>
      </c>
      <c r="G509" s="1" t="str">
        <f t="shared" si="15"/>
        <v>2530_20240610_0003_L_4189.jpg</v>
      </c>
      <c r="H509">
        <v>8</v>
      </c>
      <c r="I509" t="str">
        <f t="shared" si="14"/>
        <v/>
      </c>
      <c r="J509" s="53">
        <f>IFERROR(VLOOKUP(B509, DATA_Johnstone_2024_ALL!B:J, 8, FALSE), "")</f>
        <v>0</v>
      </c>
      <c r="K509" s="29"/>
      <c r="L509" s="30"/>
      <c r="M509" s="29"/>
      <c r="N509" s="20" t="str">
        <f>IF(J509=1, DATA_Johnstone_2023_50!M509, "")</f>
        <v/>
      </c>
      <c r="O509" s="20" t="str">
        <f>IF($J509=1, DATA_Johnstone_2023_50!N509, "")</f>
        <v/>
      </c>
      <c r="P509" s="49"/>
      <c r="Q509" s="20" t="str">
        <f>IF($J509=1, DATA_Johnstone_2023_50!P509, "")</f>
        <v/>
      </c>
      <c r="R509" s="22"/>
      <c r="T509" s="22"/>
      <c r="W509" s="47"/>
      <c r="AI509" s="75">
        <v>506</v>
      </c>
      <c r="AJ509" s="75">
        <v>100</v>
      </c>
    </row>
    <row r="510" spans="1:36" hidden="1" x14ac:dyDescent="0.35">
      <c r="A510">
        <v>2534</v>
      </c>
      <c r="B510">
        <v>2535</v>
      </c>
      <c r="C510">
        <v>146.0051296</v>
      </c>
      <c r="D510">
        <v>-17.49224487</v>
      </c>
      <c r="F510" t="s">
        <v>7240</v>
      </c>
      <c r="G510" s="1" t="str">
        <f t="shared" si="15"/>
        <v>2535_20240610_0003_L_4205.jpg</v>
      </c>
      <c r="H510">
        <v>8</v>
      </c>
      <c r="I510" t="str">
        <f t="shared" si="14"/>
        <v/>
      </c>
      <c r="J510" s="53">
        <f>IFERROR(VLOOKUP(B510, DATA_Johnstone_2024_ALL!B:J, 8, FALSE), "")</f>
        <v>0</v>
      </c>
      <c r="K510" s="29"/>
      <c r="L510" s="30"/>
      <c r="M510" s="29"/>
      <c r="N510" s="20" t="str">
        <f>IF(J510=1, DATA_Johnstone_2023_50!M510, "")</f>
        <v/>
      </c>
      <c r="O510" s="20" t="str">
        <f>IF($J510=1, DATA_Johnstone_2023_50!N510, "")</f>
        <v/>
      </c>
      <c r="P510" s="49"/>
      <c r="Q510" s="20" t="str">
        <f>IF($J510=1, DATA_Johnstone_2023_50!P510, "")</f>
        <v/>
      </c>
      <c r="R510" s="22"/>
      <c r="T510" s="22"/>
      <c r="W510" s="47"/>
      <c r="AI510" s="75">
        <v>507</v>
      </c>
      <c r="AJ510" s="75">
        <v>100</v>
      </c>
    </row>
    <row r="511" spans="1:36" hidden="1" x14ac:dyDescent="0.35">
      <c r="A511">
        <v>2539</v>
      </c>
      <c r="B511">
        <v>2540</v>
      </c>
      <c r="C511">
        <v>146.00492249999999</v>
      </c>
      <c r="D511">
        <v>-17.491821309999999</v>
      </c>
      <c r="F511" t="s">
        <v>7241</v>
      </c>
      <c r="G511" s="1" t="str">
        <f t="shared" si="15"/>
        <v>2540_20240610_0003_L_4220.jpg</v>
      </c>
      <c r="H511">
        <v>8</v>
      </c>
      <c r="I511" t="str">
        <f t="shared" si="14"/>
        <v/>
      </c>
      <c r="J511" s="53">
        <f>IFERROR(VLOOKUP(B511, DATA_Johnstone_2024_ALL!B:J, 8, FALSE), "")</f>
        <v>0</v>
      </c>
      <c r="K511" s="29"/>
      <c r="L511" s="30"/>
      <c r="M511" s="29"/>
      <c r="N511" s="20" t="str">
        <f>IF(J511=1, DATA_Johnstone_2023_50!M511, "")</f>
        <v/>
      </c>
      <c r="O511" s="20" t="str">
        <f>IF($J511=1, DATA_Johnstone_2023_50!N511, "")</f>
        <v/>
      </c>
      <c r="P511" s="49"/>
      <c r="Q511" s="20" t="str">
        <f>IF($J511=1, DATA_Johnstone_2023_50!P511, "")</f>
        <v/>
      </c>
      <c r="R511" s="22"/>
      <c r="T511" s="22"/>
      <c r="W511" s="47"/>
      <c r="AI511" s="75">
        <v>508</v>
      </c>
      <c r="AJ511" s="75">
        <v>100</v>
      </c>
    </row>
    <row r="512" spans="1:36" hidden="1" x14ac:dyDescent="0.35">
      <c r="A512">
        <v>2544</v>
      </c>
      <c r="B512">
        <v>2545</v>
      </c>
      <c r="C512">
        <v>146.0047222</v>
      </c>
      <c r="D512">
        <v>-17.491394440000001</v>
      </c>
      <c r="F512" t="s">
        <v>7242</v>
      </c>
      <c r="G512" s="1" t="str">
        <f t="shared" si="15"/>
        <v>2545_20240610_0003_L_4236.jpg</v>
      </c>
      <c r="H512">
        <v>8</v>
      </c>
      <c r="I512" t="str">
        <f t="shared" si="14"/>
        <v/>
      </c>
      <c r="J512" s="53">
        <f>IFERROR(VLOOKUP(B512, DATA_Johnstone_2024_ALL!B:J, 8, FALSE), "")</f>
        <v>0</v>
      </c>
      <c r="K512" s="29"/>
      <c r="L512" s="30"/>
      <c r="M512" s="29"/>
      <c r="N512" s="20" t="str">
        <f>IF(J512=1, DATA_Johnstone_2023_50!M512, "")</f>
        <v/>
      </c>
      <c r="O512" s="20" t="str">
        <f>IF($J512=1, DATA_Johnstone_2023_50!N512, "")</f>
        <v/>
      </c>
      <c r="P512" s="49"/>
      <c r="Q512" s="20" t="str">
        <f>IF($J512=1, DATA_Johnstone_2023_50!P512, "")</f>
        <v/>
      </c>
      <c r="R512" s="22"/>
      <c r="T512" s="22"/>
      <c r="W512" s="47"/>
      <c r="AI512" s="75">
        <v>509</v>
      </c>
      <c r="AJ512" s="75">
        <v>100</v>
      </c>
    </row>
    <row r="513" spans="1:36" hidden="1" x14ac:dyDescent="0.35">
      <c r="A513">
        <v>2549</v>
      </c>
      <c r="B513">
        <v>2550</v>
      </c>
      <c r="C513">
        <v>146.00452189999999</v>
      </c>
      <c r="D513">
        <v>-17.490967560000001</v>
      </c>
      <c r="F513" t="s">
        <v>7243</v>
      </c>
      <c r="G513" s="1" t="str">
        <f t="shared" si="15"/>
        <v>2550_20240610_0003_L_4255.jpg</v>
      </c>
      <c r="H513">
        <v>8</v>
      </c>
      <c r="I513" t="str">
        <f t="shared" si="14"/>
        <v/>
      </c>
      <c r="J513" s="53">
        <f>IFERROR(VLOOKUP(B513, DATA_Johnstone_2024_ALL!B:J, 8, FALSE), "")</f>
        <v>0</v>
      </c>
      <c r="K513" s="29"/>
      <c r="L513" s="30"/>
      <c r="M513" s="29"/>
      <c r="N513" s="20" t="str">
        <f>IF(J513=1, DATA_Johnstone_2023_50!M513, "")</f>
        <v/>
      </c>
      <c r="O513" s="20" t="str">
        <f>IF($J513=1, DATA_Johnstone_2023_50!N513, "")</f>
        <v/>
      </c>
      <c r="P513" s="49"/>
      <c r="Q513" s="20" t="str">
        <f>IF($J513=1, DATA_Johnstone_2023_50!P513, "")</f>
        <v/>
      </c>
      <c r="R513" s="22"/>
      <c r="T513" s="22"/>
      <c r="W513" s="47"/>
      <c r="AI513" s="75">
        <v>510</v>
      </c>
      <c r="AJ513" s="75">
        <v>100</v>
      </c>
    </row>
    <row r="514" spans="1:36" hidden="1" x14ac:dyDescent="0.35">
      <c r="A514">
        <v>2554</v>
      </c>
      <c r="B514">
        <v>2555</v>
      </c>
      <c r="C514">
        <v>146.00426630000001</v>
      </c>
      <c r="D514">
        <v>-17.49057187</v>
      </c>
      <c r="F514" t="s">
        <v>7244</v>
      </c>
      <c r="G514" s="1" t="str">
        <f t="shared" si="15"/>
        <v>2555_20240610_0003_L_4272.jpg</v>
      </c>
      <c r="H514">
        <v>9</v>
      </c>
      <c r="I514" t="str">
        <f t="shared" si="14"/>
        <v/>
      </c>
      <c r="J514" s="53">
        <f>IFERROR(VLOOKUP(B514, DATA_Johnstone_2024_ALL!B:J, 8, FALSE), "")</f>
        <v>0</v>
      </c>
      <c r="K514" s="29"/>
      <c r="L514" s="30"/>
      <c r="M514" s="29"/>
      <c r="N514" s="20" t="str">
        <f>IF(J514=1, DATA_Johnstone_2023_50!M514, "")</f>
        <v/>
      </c>
      <c r="O514" s="20" t="str">
        <f>IF($J514=1, DATA_Johnstone_2023_50!N514, "")</f>
        <v/>
      </c>
      <c r="P514" s="49"/>
      <c r="Q514" s="20" t="str">
        <f>IF($J514=1, DATA_Johnstone_2023_50!P514, "")</f>
        <v/>
      </c>
      <c r="R514" s="22"/>
      <c r="T514" s="22"/>
      <c r="W514" s="47"/>
      <c r="AI514" s="75">
        <v>511</v>
      </c>
      <c r="AJ514" s="75">
        <v>100</v>
      </c>
    </row>
    <row r="515" spans="1:36" hidden="1" x14ac:dyDescent="0.35">
      <c r="A515">
        <v>2559</v>
      </c>
      <c r="B515">
        <v>2560</v>
      </c>
      <c r="C515">
        <v>146.00401830000001</v>
      </c>
      <c r="D515">
        <v>-17.490171019999998</v>
      </c>
      <c r="F515" t="s">
        <v>7245</v>
      </c>
      <c r="G515" s="1" t="str">
        <f t="shared" si="15"/>
        <v>2560_20240610_0003_L_4287.jpg</v>
      </c>
      <c r="H515">
        <v>9</v>
      </c>
      <c r="I515" t="str">
        <f t="shared" si="14"/>
        <v/>
      </c>
      <c r="J515" s="53">
        <f>IFERROR(VLOOKUP(B515, DATA_Johnstone_2024_ALL!B:J, 8, FALSE), "")</f>
        <v>0</v>
      </c>
      <c r="K515" s="29"/>
      <c r="L515" s="30"/>
      <c r="M515" s="29"/>
      <c r="N515" s="20" t="str">
        <f>IF(J515=1, DATA_Johnstone_2023_50!M515, "")</f>
        <v/>
      </c>
      <c r="O515" s="20" t="str">
        <f>IF($J515=1, DATA_Johnstone_2023_50!N515, "")</f>
        <v/>
      </c>
      <c r="P515" s="49"/>
      <c r="Q515" s="20" t="str">
        <f>IF($J515=1, DATA_Johnstone_2023_50!P515, "")</f>
        <v/>
      </c>
      <c r="R515" s="22"/>
      <c r="T515" s="22"/>
      <c r="W515" s="47"/>
      <c r="AI515" s="75">
        <v>512</v>
      </c>
      <c r="AJ515" s="75">
        <v>100</v>
      </c>
    </row>
    <row r="516" spans="1:36" hidden="1" x14ac:dyDescent="0.35">
      <c r="A516">
        <v>2564</v>
      </c>
      <c r="B516">
        <v>2565</v>
      </c>
      <c r="C516">
        <v>146.00378119999999</v>
      </c>
      <c r="D516">
        <v>-17.48976351</v>
      </c>
      <c r="F516" t="s">
        <v>7246</v>
      </c>
      <c r="G516" s="1" t="str">
        <f t="shared" si="15"/>
        <v>2565_20240610_0003_L_4308.jpg</v>
      </c>
      <c r="H516">
        <v>9</v>
      </c>
      <c r="I516" t="str">
        <f t="shared" si="14"/>
        <v/>
      </c>
      <c r="J516" s="53">
        <f>IFERROR(VLOOKUP(B516, DATA_Johnstone_2024_ALL!B:J, 8, FALSE), "")</f>
        <v>0</v>
      </c>
      <c r="K516" s="29"/>
      <c r="L516" s="30"/>
      <c r="M516" s="29"/>
      <c r="N516" s="20" t="str">
        <f>IF(J516=1, DATA_Johnstone_2023_50!M516, "")</f>
        <v/>
      </c>
      <c r="O516" s="20" t="str">
        <f>IF($J516=1, DATA_Johnstone_2023_50!N516, "")</f>
        <v/>
      </c>
      <c r="P516" s="49"/>
      <c r="Q516" s="20" t="str">
        <f>IF($J516=1, DATA_Johnstone_2023_50!P516, "")</f>
        <v/>
      </c>
      <c r="R516" s="22"/>
      <c r="T516" s="22"/>
      <c r="W516" s="47"/>
      <c r="AI516" s="75">
        <v>513</v>
      </c>
      <c r="AJ516" s="75">
        <v>100</v>
      </c>
    </row>
    <row r="517" spans="1:36" hidden="1" x14ac:dyDescent="0.35">
      <c r="A517">
        <v>2569</v>
      </c>
      <c r="B517">
        <v>2570</v>
      </c>
      <c r="C517">
        <v>146.00353820000001</v>
      </c>
      <c r="D517">
        <v>-17.489360789999999</v>
      </c>
      <c r="F517" t="s">
        <v>7247</v>
      </c>
      <c r="G517" s="1" t="str">
        <f t="shared" ref="G517:G580" si="16">IF(F517="", "", HYPERLINK("E:\Data From Lucan\2024\Johnstone\Frames_for_Analysis_50\" &amp; F517, F517))</f>
        <v>2570_20240610_0003_L_4327.jpg</v>
      </c>
      <c r="H517">
        <v>9</v>
      </c>
      <c r="I517" t="str">
        <f t="shared" ref="I517:I580" si="17">IF(G517="","X","")</f>
        <v/>
      </c>
      <c r="J517" s="53">
        <f>IFERROR(VLOOKUP(B517, DATA_Johnstone_2024_ALL!B:J, 8, FALSE), "")</f>
        <v>0</v>
      </c>
      <c r="K517" s="29"/>
      <c r="L517" s="30"/>
      <c r="M517" s="29"/>
      <c r="N517" s="20" t="str">
        <f>IF(J517=1, DATA_Johnstone_2023_50!M517, "")</f>
        <v/>
      </c>
      <c r="O517" s="20" t="str">
        <f>IF($J517=1, DATA_Johnstone_2023_50!N517, "")</f>
        <v/>
      </c>
      <c r="P517" s="49"/>
      <c r="Q517" s="20" t="str">
        <f>IF($J517=1, DATA_Johnstone_2023_50!P517, "")</f>
        <v/>
      </c>
      <c r="R517" s="22"/>
      <c r="T517" s="22"/>
      <c r="W517" s="47"/>
      <c r="AI517" s="75">
        <v>514</v>
      </c>
      <c r="AJ517" s="75">
        <v>100</v>
      </c>
    </row>
    <row r="518" spans="1:36" hidden="1" x14ac:dyDescent="0.35">
      <c r="A518">
        <v>2574</v>
      </c>
      <c r="B518">
        <v>2575</v>
      </c>
      <c r="C518">
        <v>146.00324789999999</v>
      </c>
      <c r="D518">
        <v>-17.489020610000001</v>
      </c>
      <c r="F518" t="s">
        <v>7248</v>
      </c>
      <c r="G518" s="1" t="str">
        <f t="shared" si="16"/>
        <v>2575_20240610_0003_L_4351.jpg</v>
      </c>
      <c r="H518">
        <v>9</v>
      </c>
      <c r="I518" t="str">
        <f t="shared" si="17"/>
        <v/>
      </c>
      <c r="J518" s="53">
        <f>IFERROR(VLOOKUP(B518, DATA_Johnstone_2024_ALL!B:J, 8, FALSE), "")</f>
        <v>0</v>
      </c>
      <c r="K518" s="29"/>
      <c r="L518" s="30"/>
      <c r="M518" s="29"/>
      <c r="N518" s="20" t="str">
        <f>IF(J518=1, DATA_Johnstone_2023_50!M518, "")</f>
        <v/>
      </c>
      <c r="O518" s="20" t="str">
        <f>IF($J518=1, DATA_Johnstone_2023_50!N518, "")</f>
        <v/>
      </c>
      <c r="P518" s="49"/>
      <c r="Q518" s="20" t="str">
        <f>IF($J518=1, DATA_Johnstone_2023_50!P518, "")</f>
        <v/>
      </c>
      <c r="R518" s="22"/>
      <c r="T518" s="22"/>
      <c r="W518" s="47"/>
      <c r="AI518" s="75">
        <v>515</v>
      </c>
      <c r="AJ518" s="75">
        <v>100</v>
      </c>
    </row>
    <row r="519" spans="1:36" hidden="1" x14ac:dyDescent="0.35">
      <c r="A519">
        <v>2579</v>
      </c>
      <c r="B519">
        <v>2580</v>
      </c>
      <c r="C519">
        <v>146.0028733</v>
      </c>
      <c r="D519">
        <v>-17.488931699999998</v>
      </c>
      <c r="F519" t="s">
        <v>7249</v>
      </c>
      <c r="G519" s="1" t="str">
        <f t="shared" si="16"/>
        <v>2580_20240610_0003_L_4400.jpg</v>
      </c>
      <c r="H519">
        <v>9</v>
      </c>
      <c r="I519" t="str">
        <f t="shared" si="17"/>
        <v/>
      </c>
      <c r="J519" s="53">
        <f>IFERROR(VLOOKUP(B519, DATA_Johnstone_2024_ALL!B:J, 8, FALSE), "")</f>
        <v>0</v>
      </c>
      <c r="K519" s="29"/>
      <c r="L519" s="30"/>
      <c r="M519" s="29"/>
      <c r="N519" s="20" t="str">
        <f>IF(J519=1, DATA_Johnstone_2023_50!M519, "")</f>
        <v/>
      </c>
      <c r="O519" s="20" t="str">
        <f>IF($J519=1, DATA_Johnstone_2023_50!N519, "")</f>
        <v/>
      </c>
      <c r="P519" s="49"/>
      <c r="Q519" s="20" t="str">
        <f>IF($J519=1, DATA_Johnstone_2023_50!P519, "")</f>
        <v/>
      </c>
      <c r="R519" s="22"/>
      <c r="T519" s="22"/>
      <c r="W519" s="47"/>
      <c r="AI519" s="75">
        <v>516</v>
      </c>
      <c r="AJ519" s="75">
        <v>100</v>
      </c>
    </row>
    <row r="520" spans="1:36" hidden="1" x14ac:dyDescent="0.35">
      <c r="A520">
        <v>2584</v>
      </c>
      <c r="B520">
        <v>2585</v>
      </c>
      <c r="C520">
        <v>146.0026641</v>
      </c>
      <c r="D520">
        <v>-17.489347989999999</v>
      </c>
      <c r="F520" t="s">
        <v>7250</v>
      </c>
      <c r="G520" s="1" t="str">
        <f t="shared" si="16"/>
        <v>2585_20240610_0003_L_4444.jpg</v>
      </c>
      <c r="H520">
        <v>9</v>
      </c>
      <c r="I520" t="str">
        <f t="shared" si="17"/>
        <v/>
      </c>
      <c r="J520" s="53">
        <f>IFERROR(VLOOKUP(B520, DATA_Johnstone_2024_ALL!B:J, 8, FALSE), "")</f>
        <v>0</v>
      </c>
      <c r="K520" s="29"/>
      <c r="L520" s="30"/>
      <c r="M520" s="29"/>
      <c r="N520" s="20" t="str">
        <f>IF(J520=1, DATA_Johnstone_2023_50!M520, "")</f>
        <v/>
      </c>
      <c r="O520" s="20" t="str">
        <f>IF($J520=1, DATA_Johnstone_2023_50!N520, "")</f>
        <v/>
      </c>
      <c r="P520" s="49"/>
      <c r="Q520" s="20" t="str">
        <f>IF($J520=1, DATA_Johnstone_2023_50!P520, "")</f>
        <v/>
      </c>
      <c r="R520" s="22"/>
      <c r="T520" s="22"/>
      <c r="W520" s="47"/>
      <c r="AI520" s="75">
        <v>517</v>
      </c>
      <c r="AJ520" s="75">
        <v>100</v>
      </c>
    </row>
    <row r="521" spans="1:36" hidden="1" x14ac:dyDescent="0.35">
      <c r="A521">
        <v>2589</v>
      </c>
      <c r="B521">
        <v>2590</v>
      </c>
      <c r="C521">
        <v>146.0025612</v>
      </c>
      <c r="D521">
        <v>-17.48980813</v>
      </c>
      <c r="F521" t="s">
        <v>7251</v>
      </c>
      <c r="G521" s="1" t="str">
        <f t="shared" si="16"/>
        <v>2590_20240610_0003_L_4470.jpg</v>
      </c>
      <c r="H521">
        <v>9</v>
      </c>
      <c r="I521" t="str">
        <f t="shared" si="17"/>
        <v/>
      </c>
      <c r="J521" s="53">
        <f>IFERROR(VLOOKUP(B521, DATA_Johnstone_2024_ALL!B:J, 8, FALSE), "")</f>
        <v>0</v>
      </c>
      <c r="K521" s="29"/>
      <c r="L521" s="30"/>
      <c r="M521" s="29"/>
      <c r="N521" s="20" t="str">
        <f>IF(J521=1, DATA_Johnstone_2023_50!M521, "")</f>
        <v/>
      </c>
      <c r="O521" s="20" t="str">
        <f>IF($J521=1, DATA_Johnstone_2023_50!N521, "")</f>
        <v/>
      </c>
      <c r="P521" s="49"/>
      <c r="Q521" s="20" t="str">
        <f>IF($J521=1, DATA_Johnstone_2023_50!P521, "")</f>
        <v/>
      </c>
      <c r="R521" s="22"/>
      <c r="T521" s="22"/>
      <c r="W521" s="47"/>
      <c r="AI521" s="75">
        <v>518</v>
      </c>
      <c r="AJ521" s="75">
        <v>100</v>
      </c>
    </row>
    <row r="522" spans="1:36" hidden="1" x14ac:dyDescent="0.35">
      <c r="A522">
        <v>2594</v>
      </c>
      <c r="B522">
        <v>2595</v>
      </c>
      <c r="C522">
        <v>146.00248759999999</v>
      </c>
      <c r="D522">
        <v>-17.490273380000001</v>
      </c>
      <c r="F522" t="s">
        <v>7252</v>
      </c>
      <c r="G522" s="1" t="str">
        <f t="shared" si="16"/>
        <v>2595_20240610_0003_L_4498.jpg</v>
      </c>
      <c r="H522">
        <v>9</v>
      </c>
      <c r="I522" t="str">
        <f t="shared" si="17"/>
        <v/>
      </c>
      <c r="J522" s="53">
        <f>IFERROR(VLOOKUP(B522, DATA_Johnstone_2024_ALL!B:J, 8, FALSE), "")</f>
        <v>0</v>
      </c>
      <c r="K522" s="29"/>
      <c r="L522" s="30"/>
      <c r="M522" s="29"/>
      <c r="N522" s="20" t="str">
        <f>IF(J522=1, DATA_Johnstone_2023_50!M522, "")</f>
        <v/>
      </c>
      <c r="O522" s="20" t="str">
        <f>IF($J522=1, DATA_Johnstone_2023_50!N522, "")</f>
        <v/>
      </c>
      <c r="P522" s="49"/>
      <c r="Q522" s="20" t="str">
        <f>IF($J522=1, DATA_Johnstone_2023_50!P522, "")</f>
        <v/>
      </c>
      <c r="R522" s="22"/>
      <c r="T522" s="22"/>
      <c r="W522" s="47"/>
      <c r="AI522" s="75">
        <v>519</v>
      </c>
      <c r="AJ522" s="75">
        <v>100</v>
      </c>
    </row>
    <row r="523" spans="1:36" hidden="1" x14ac:dyDescent="0.35">
      <c r="A523">
        <v>2599</v>
      </c>
      <c r="B523">
        <v>2600</v>
      </c>
      <c r="C523">
        <v>146.0024291</v>
      </c>
      <c r="D523">
        <v>-17.490741249999999</v>
      </c>
      <c r="F523" t="s">
        <v>7253</v>
      </c>
      <c r="G523" s="1" t="str">
        <f t="shared" si="16"/>
        <v>2600_20240610_0003_L_4528.jpg</v>
      </c>
      <c r="H523">
        <v>9</v>
      </c>
      <c r="I523" t="str">
        <f t="shared" si="17"/>
        <v/>
      </c>
      <c r="J523" s="53">
        <f>IFERROR(VLOOKUP(B523, DATA_Johnstone_2024_ALL!B:J, 8, FALSE), "")</f>
        <v>0</v>
      </c>
      <c r="K523" s="29"/>
      <c r="L523" s="30"/>
      <c r="M523" s="29"/>
      <c r="N523" s="20" t="str">
        <f>IF(J523=1, DATA_Johnstone_2023_50!M523, "")</f>
        <v/>
      </c>
      <c r="O523" s="20" t="str">
        <f>IF($J523=1, DATA_Johnstone_2023_50!N523, "")</f>
        <v/>
      </c>
      <c r="P523" s="49"/>
      <c r="Q523" s="20" t="str">
        <f>IF($J523=1, DATA_Johnstone_2023_50!P523, "")</f>
        <v/>
      </c>
      <c r="R523" s="22"/>
      <c r="T523" s="22"/>
      <c r="W523" s="47"/>
      <c r="AI523" s="75">
        <v>520</v>
      </c>
      <c r="AJ523" s="75">
        <v>100</v>
      </c>
    </row>
    <row r="524" spans="1:36" hidden="1" x14ac:dyDescent="0.35">
      <c r="A524">
        <v>2604</v>
      </c>
      <c r="B524">
        <v>2605</v>
      </c>
      <c r="C524">
        <v>146.00238400000001</v>
      </c>
      <c r="D524">
        <v>-17.491210160000001</v>
      </c>
      <c r="F524" t="s">
        <v>7254</v>
      </c>
      <c r="G524" s="1" t="str">
        <f t="shared" si="16"/>
        <v>2605_20240610_0003_L_4555.jpg</v>
      </c>
      <c r="H524">
        <v>9</v>
      </c>
      <c r="I524" t="str">
        <f t="shared" si="17"/>
        <v/>
      </c>
      <c r="J524" s="53">
        <f>IFERROR(VLOOKUP(B524, DATA_Johnstone_2024_ALL!B:J, 8, FALSE), "")</f>
        <v>0</v>
      </c>
      <c r="K524" s="29"/>
      <c r="L524" s="30"/>
      <c r="M524" s="29"/>
      <c r="N524" s="20" t="str">
        <f>IF(J524=1, DATA_Johnstone_2023_50!M524, "")</f>
        <v/>
      </c>
      <c r="O524" s="20" t="str">
        <f>IF($J524=1, DATA_Johnstone_2023_50!N524, "")</f>
        <v/>
      </c>
      <c r="P524" s="49"/>
      <c r="Q524" s="20" t="str">
        <f>IF($J524=1, DATA_Johnstone_2023_50!P524, "")</f>
        <v/>
      </c>
      <c r="R524" s="22"/>
      <c r="T524" s="22"/>
      <c r="W524" s="47"/>
      <c r="AI524" s="75">
        <v>521</v>
      </c>
      <c r="AJ524" s="75">
        <v>100</v>
      </c>
    </row>
    <row r="525" spans="1:36" hidden="1" x14ac:dyDescent="0.35">
      <c r="A525">
        <v>2609</v>
      </c>
      <c r="B525">
        <v>2610</v>
      </c>
      <c r="C525">
        <v>146.00237010000001</v>
      </c>
      <c r="D525">
        <v>-17.49168148</v>
      </c>
      <c r="F525" t="s">
        <v>7255</v>
      </c>
      <c r="G525" s="1" t="str">
        <f t="shared" si="16"/>
        <v>2610_20240610_0003_L_4580.jpg</v>
      </c>
      <c r="H525">
        <v>9</v>
      </c>
      <c r="I525" t="str">
        <f t="shared" si="17"/>
        <v/>
      </c>
      <c r="J525" s="53">
        <f>IFERROR(VLOOKUP(B525, DATA_Johnstone_2024_ALL!B:J, 8, FALSE), "")</f>
        <v>0</v>
      </c>
      <c r="K525" s="29"/>
      <c r="L525" s="30"/>
      <c r="M525" s="29"/>
      <c r="N525" s="20" t="str">
        <f>IF(J525=1, DATA_Johnstone_2023_50!M525, "")</f>
        <v/>
      </c>
      <c r="O525" s="20" t="str">
        <f>IF($J525=1, DATA_Johnstone_2023_50!N525, "")</f>
        <v/>
      </c>
      <c r="P525" s="49"/>
      <c r="Q525" s="20" t="str">
        <f>IF($J525=1, DATA_Johnstone_2023_50!P525, "")</f>
        <v/>
      </c>
      <c r="R525" s="22"/>
      <c r="T525" s="22"/>
      <c r="W525" s="47"/>
      <c r="AI525" s="75">
        <v>522</v>
      </c>
      <c r="AJ525" s="75">
        <v>100</v>
      </c>
    </row>
    <row r="526" spans="1:36" hidden="1" x14ac:dyDescent="0.35">
      <c r="A526">
        <v>2614</v>
      </c>
      <c r="B526">
        <v>2615</v>
      </c>
      <c r="C526">
        <v>146.00237490000001</v>
      </c>
      <c r="D526">
        <v>-17.492152919999999</v>
      </c>
      <c r="F526" t="s">
        <v>7256</v>
      </c>
      <c r="G526" s="1" t="str">
        <f t="shared" si="16"/>
        <v>2615_20240610_0003_L_4601.jpg</v>
      </c>
      <c r="H526">
        <v>9</v>
      </c>
      <c r="I526" t="str">
        <f t="shared" si="17"/>
        <v/>
      </c>
      <c r="J526" s="53">
        <f>IFERROR(VLOOKUP(B526, DATA_Johnstone_2024_ALL!B:J, 8, FALSE), "")</f>
        <v>0</v>
      </c>
      <c r="K526" s="29"/>
      <c r="L526" s="30"/>
      <c r="M526" s="29"/>
      <c r="N526" s="20" t="str">
        <f>IF(J526=1, DATA_Johnstone_2023_50!M526, "")</f>
        <v/>
      </c>
      <c r="O526" s="20" t="str">
        <f>IF($J526=1, DATA_Johnstone_2023_50!N526, "")</f>
        <v/>
      </c>
      <c r="P526" s="49"/>
      <c r="Q526" s="20" t="str">
        <f>IF($J526=1, DATA_Johnstone_2023_50!P526, "")</f>
        <v/>
      </c>
      <c r="R526" s="22"/>
      <c r="T526" s="22"/>
      <c r="W526" s="47"/>
      <c r="AI526" s="75">
        <v>523</v>
      </c>
      <c r="AJ526" s="75">
        <v>100</v>
      </c>
    </row>
    <row r="527" spans="1:36" hidden="1" x14ac:dyDescent="0.35">
      <c r="A527">
        <v>2619</v>
      </c>
      <c r="B527">
        <v>2620</v>
      </c>
      <c r="C527">
        <v>146.00239790000001</v>
      </c>
      <c r="D527">
        <v>-17.49262366</v>
      </c>
      <c r="F527" t="s">
        <v>7257</v>
      </c>
      <c r="G527" s="1" t="str">
        <f t="shared" si="16"/>
        <v>2620_20240610_0003_L_4626.jpg</v>
      </c>
      <c r="H527">
        <v>9</v>
      </c>
      <c r="I527" t="str">
        <f t="shared" si="17"/>
        <v/>
      </c>
      <c r="J527" s="53">
        <f>IFERROR(VLOOKUP(B527, DATA_Johnstone_2024_ALL!B:J, 8, FALSE), "")</f>
        <v>0</v>
      </c>
      <c r="K527" s="29"/>
      <c r="L527" s="30"/>
      <c r="M527" s="29"/>
      <c r="N527" s="20" t="str">
        <f>IF(J527=1, DATA_Johnstone_2023_50!M527, "")</f>
        <v/>
      </c>
      <c r="O527" s="20" t="str">
        <f>IF($J527=1, DATA_Johnstone_2023_50!N527, "")</f>
        <v/>
      </c>
      <c r="P527" s="49"/>
      <c r="Q527" s="20" t="str">
        <f>IF($J527=1, DATA_Johnstone_2023_50!P527, "")</f>
        <v/>
      </c>
      <c r="R527" s="22"/>
      <c r="T527" s="22"/>
      <c r="W527" s="47"/>
      <c r="AI527" s="75">
        <v>524</v>
      </c>
      <c r="AJ527" s="75">
        <v>100</v>
      </c>
    </row>
    <row r="528" spans="1:36" hidden="1" x14ac:dyDescent="0.35">
      <c r="A528">
        <v>2624</v>
      </c>
      <c r="B528">
        <v>2625</v>
      </c>
      <c r="C528">
        <v>146.00243409999999</v>
      </c>
      <c r="D528">
        <v>-17.49309379</v>
      </c>
      <c r="F528" t="s">
        <v>7258</v>
      </c>
      <c r="G528" s="1" t="str">
        <f t="shared" si="16"/>
        <v>2625_20240610_0003_L_4649.jpg</v>
      </c>
      <c r="H528">
        <v>9</v>
      </c>
      <c r="I528" t="str">
        <f t="shared" si="17"/>
        <v/>
      </c>
      <c r="J528" s="53">
        <f>IFERROR(VLOOKUP(B528, DATA_Johnstone_2024_ALL!B:J, 8, FALSE), "")</f>
        <v>0</v>
      </c>
      <c r="K528" s="29"/>
      <c r="L528" s="30"/>
      <c r="M528" s="29"/>
      <c r="N528" s="20" t="str">
        <f>IF(J528=1, DATA_Johnstone_2023_50!M528, "")</f>
        <v/>
      </c>
      <c r="O528" s="20" t="str">
        <f>IF($J528=1, DATA_Johnstone_2023_50!N528, "")</f>
        <v/>
      </c>
      <c r="P528" s="49"/>
      <c r="Q528" s="20" t="str">
        <f>IF($J528=1, DATA_Johnstone_2023_50!P528, "")</f>
        <v/>
      </c>
      <c r="R528" s="22"/>
      <c r="T528" s="22"/>
      <c r="W528" s="47"/>
      <c r="AI528" s="75">
        <v>525</v>
      </c>
      <c r="AJ528" s="75">
        <v>100</v>
      </c>
    </row>
    <row r="529" spans="1:36" hidden="1" x14ac:dyDescent="0.35">
      <c r="A529">
        <v>2629</v>
      </c>
      <c r="B529">
        <v>2630</v>
      </c>
      <c r="C529">
        <v>146.0024702</v>
      </c>
      <c r="D529">
        <v>-17.49356392</v>
      </c>
      <c r="F529" t="s">
        <v>7259</v>
      </c>
      <c r="G529" s="1" t="str">
        <f t="shared" si="16"/>
        <v>2630_20240610_0003_L_4692.jpg</v>
      </c>
      <c r="H529">
        <v>9</v>
      </c>
      <c r="I529" t="str">
        <f t="shared" si="17"/>
        <v/>
      </c>
      <c r="J529" s="53">
        <f>IFERROR(VLOOKUP(B529, DATA_Johnstone_2024_ALL!B:J, 8, FALSE), "")</f>
        <v>0</v>
      </c>
      <c r="K529" s="29"/>
      <c r="L529" s="30"/>
      <c r="M529" s="29"/>
      <c r="N529" s="20" t="str">
        <f>IF(J529=1, DATA_Johnstone_2023_50!M529, "")</f>
        <v/>
      </c>
      <c r="O529" s="20" t="str">
        <f>IF($J529=1, DATA_Johnstone_2023_50!N529, "")</f>
        <v/>
      </c>
      <c r="P529" s="49"/>
      <c r="Q529" s="20" t="str">
        <f>IF($J529=1, DATA_Johnstone_2023_50!P529, "")</f>
        <v/>
      </c>
      <c r="R529" s="22"/>
      <c r="T529" s="22"/>
      <c r="W529" s="47"/>
      <c r="AI529" s="75">
        <v>526</v>
      </c>
      <c r="AJ529" s="75">
        <v>100</v>
      </c>
    </row>
    <row r="530" spans="1:36" hidden="1" x14ac:dyDescent="0.35">
      <c r="A530">
        <v>2634</v>
      </c>
      <c r="B530">
        <v>2635</v>
      </c>
      <c r="C530">
        <v>146.00250639999999</v>
      </c>
      <c r="D530">
        <v>-17.49403405</v>
      </c>
      <c r="F530" t="s">
        <v>7260</v>
      </c>
      <c r="G530" s="1" t="str">
        <f t="shared" si="16"/>
        <v>2635_20240610_0003_L_4707.jpg</v>
      </c>
      <c r="H530">
        <v>9</v>
      </c>
      <c r="I530" t="str">
        <f t="shared" si="17"/>
        <v/>
      </c>
      <c r="J530" s="53">
        <f>IFERROR(VLOOKUP(B530, DATA_Johnstone_2024_ALL!B:J, 8, FALSE), "")</f>
        <v>0</v>
      </c>
      <c r="K530" s="29"/>
      <c r="L530" s="30"/>
      <c r="M530" s="29"/>
      <c r="N530" s="20" t="str">
        <f>IF(J530=1, DATA_Johnstone_2023_50!M530, "")</f>
        <v/>
      </c>
      <c r="O530" s="20" t="str">
        <f>IF($J530=1, DATA_Johnstone_2023_50!N530, "")</f>
        <v/>
      </c>
      <c r="P530" s="49"/>
      <c r="Q530" s="20" t="str">
        <f>IF($J530=1, DATA_Johnstone_2023_50!P530, "")</f>
        <v/>
      </c>
      <c r="R530" s="22"/>
      <c r="T530" s="22"/>
      <c r="W530" s="47"/>
      <c r="AI530" s="75">
        <v>527</v>
      </c>
      <c r="AJ530" s="75">
        <v>100</v>
      </c>
    </row>
    <row r="531" spans="1:36" hidden="1" x14ac:dyDescent="0.35">
      <c r="A531">
        <v>2639</v>
      </c>
      <c r="B531">
        <v>2640</v>
      </c>
      <c r="C531">
        <v>146.0025425</v>
      </c>
      <c r="D531">
        <v>-17.494504169999999</v>
      </c>
      <c r="F531" t="s">
        <v>7261</v>
      </c>
      <c r="G531" s="1" t="str">
        <f t="shared" si="16"/>
        <v>2640_20240610_0003_L_4721.jpg</v>
      </c>
      <c r="H531">
        <v>9</v>
      </c>
      <c r="I531" t="str">
        <f t="shared" si="17"/>
        <v/>
      </c>
      <c r="J531" s="53">
        <f>IFERROR(VLOOKUP(B531, DATA_Johnstone_2024_ALL!B:J, 8, FALSE), "")</f>
        <v>0</v>
      </c>
      <c r="K531" s="29"/>
      <c r="L531" s="30"/>
      <c r="M531" s="29"/>
      <c r="N531" s="20" t="str">
        <f>IF(J531=1, DATA_Johnstone_2023_50!M531, "")</f>
        <v/>
      </c>
      <c r="O531" s="20" t="str">
        <f>IF($J531=1, DATA_Johnstone_2023_50!N531, "")</f>
        <v/>
      </c>
      <c r="P531" s="49"/>
      <c r="Q531" s="20" t="str">
        <f>IF($J531=1, DATA_Johnstone_2023_50!P531, "")</f>
        <v/>
      </c>
      <c r="R531" s="22"/>
      <c r="T531" s="22"/>
      <c r="W531" s="47"/>
      <c r="AI531" s="75">
        <v>528</v>
      </c>
      <c r="AJ531" s="75">
        <v>100</v>
      </c>
    </row>
    <row r="532" spans="1:36" hidden="1" x14ac:dyDescent="0.35">
      <c r="A532">
        <v>2644</v>
      </c>
      <c r="B532">
        <v>2645</v>
      </c>
      <c r="C532">
        <v>146.00259969999999</v>
      </c>
      <c r="D532">
        <v>-17.49497195</v>
      </c>
      <c r="F532" t="s">
        <v>7262</v>
      </c>
      <c r="G532" s="1" t="str">
        <f t="shared" si="16"/>
        <v>2645_20240610_0003_L_4739.jpg</v>
      </c>
      <c r="H532">
        <v>9</v>
      </c>
      <c r="I532" t="str">
        <f t="shared" si="17"/>
        <v/>
      </c>
      <c r="J532" s="53">
        <f>IFERROR(VLOOKUP(B532, DATA_Johnstone_2024_ALL!B:J, 8, FALSE), "")</f>
        <v>0</v>
      </c>
      <c r="K532" s="29"/>
      <c r="L532" s="30"/>
      <c r="M532" s="29"/>
      <c r="N532" s="20" t="str">
        <f>IF(J532=1, DATA_Johnstone_2023_50!M532, "")</f>
        <v/>
      </c>
      <c r="O532" s="20" t="str">
        <f>IF($J532=1, DATA_Johnstone_2023_50!N532, "")</f>
        <v/>
      </c>
      <c r="P532" s="49"/>
      <c r="Q532" s="20" t="str">
        <f>IF($J532=1, DATA_Johnstone_2023_50!P532, "")</f>
        <v/>
      </c>
      <c r="R532" s="22"/>
      <c r="T532" s="22"/>
      <c r="W532" s="47"/>
      <c r="AI532" s="75">
        <v>529</v>
      </c>
      <c r="AJ532" s="75">
        <v>100</v>
      </c>
    </row>
    <row r="533" spans="1:36" hidden="1" x14ac:dyDescent="0.35">
      <c r="A533">
        <v>2649</v>
      </c>
      <c r="B533">
        <v>2650</v>
      </c>
      <c r="C533">
        <v>146.00266880000001</v>
      </c>
      <c r="D533">
        <v>-17.495438369999999</v>
      </c>
      <c r="F533" t="s">
        <v>7263</v>
      </c>
      <c r="G533" s="1" t="str">
        <f t="shared" si="16"/>
        <v>2650_20240610_0003_L_4756.jpg</v>
      </c>
      <c r="H533">
        <v>9</v>
      </c>
      <c r="I533" t="str">
        <f t="shared" si="17"/>
        <v/>
      </c>
      <c r="J533" s="53">
        <f>IFERROR(VLOOKUP(B533, DATA_Johnstone_2024_ALL!B:J, 8, FALSE), "")</f>
        <v>0</v>
      </c>
      <c r="K533" s="29"/>
      <c r="L533" s="30"/>
      <c r="M533" s="29"/>
      <c r="N533" s="20" t="str">
        <f>IF(J533=1, DATA_Johnstone_2023_50!M533, "")</f>
        <v/>
      </c>
      <c r="O533" s="20" t="str">
        <f>IF($J533=1, DATA_Johnstone_2023_50!N533, "")</f>
        <v/>
      </c>
      <c r="P533" s="49"/>
      <c r="Q533" s="20" t="str">
        <f>IF($J533=1, DATA_Johnstone_2023_50!P533, "")</f>
        <v/>
      </c>
      <c r="R533" s="22"/>
      <c r="T533" s="22"/>
      <c r="W533" s="47"/>
      <c r="AI533" s="75">
        <v>530</v>
      </c>
      <c r="AJ533" s="75">
        <v>100</v>
      </c>
    </row>
    <row r="534" spans="1:36" hidden="1" x14ac:dyDescent="0.35">
      <c r="A534">
        <v>2654</v>
      </c>
      <c r="B534">
        <v>2655</v>
      </c>
      <c r="C534">
        <v>146.0027379</v>
      </c>
      <c r="D534">
        <v>-17.495904800000002</v>
      </c>
      <c r="F534" t="s">
        <v>7264</v>
      </c>
      <c r="G534" s="1" t="str">
        <f t="shared" si="16"/>
        <v>2655_20240610_0003_L_4770.jpg</v>
      </c>
      <c r="H534">
        <v>9</v>
      </c>
      <c r="I534" t="str">
        <f t="shared" si="17"/>
        <v/>
      </c>
      <c r="J534" s="53">
        <f>IFERROR(VLOOKUP(B534, DATA_Johnstone_2024_ALL!B:J, 8, FALSE), "")</f>
        <v>0</v>
      </c>
      <c r="K534" s="29"/>
      <c r="L534" s="30"/>
      <c r="M534" s="29"/>
      <c r="N534" s="20" t="str">
        <f>IF(J534=1, DATA_Johnstone_2023_50!M534, "")</f>
        <v/>
      </c>
      <c r="O534" s="20" t="str">
        <f>IF($J534=1, DATA_Johnstone_2023_50!N534, "")</f>
        <v/>
      </c>
      <c r="P534" s="49"/>
      <c r="Q534" s="20" t="str">
        <f>IF($J534=1, DATA_Johnstone_2023_50!P534, "")</f>
        <v/>
      </c>
      <c r="R534" s="22"/>
      <c r="T534" s="22"/>
      <c r="W534" s="47"/>
      <c r="AI534" s="75">
        <v>531</v>
      </c>
      <c r="AJ534" s="75">
        <v>100</v>
      </c>
    </row>
    <row r="535" spans="1:36" hidden="1" x14ac:dyDescent="0.35">
      <c r="A535">
        <v>2659</v>
      </c>
      <c r="B535">
        <v>2660</v>
      </c>
      <c r="C535">
        <v>146.0027278</v>
      </c>
      <c r="D535">
        <v>-17.496374379999999</v>
      </c>
      <c r="F535" t="s">
        <v>7265</v>
      </c>
      <c r="G535" s="1" t="str">
        <f t="shared" si="16"/>
        <v>2660_20240610_0003_L_4787.jpg</v>
      </c>
      <c r="H535">
        <v>9</v>
      </c>
      <c r="I535" t="str">
        <f t="shared" si="17"/>
        <v/>
      </c>
      <c r="J535" s="53">
        <f>IFERROR(VLOOKUP(B535, DATA_Johnstone_2024_ALL!B:J, 8, FALSE), "")</f>
        <v>0</v>
      </c>
      <c r="K535" s="29"/>
      <c r="L535" s="30"/>
      <c r="M535" s="29"/>
      <c r="N535" s="20" t="str">
        <f>IF(J535=1, DATA_Johnstone_2023_50!M535, "")</f>
        <v/>
      </c>
      <c r="O535" s="20" t="str">
        <f>IF($J535=1, DATA_Johnstone_2023_50!N535, "")</f>
        <v/>
      </c>
      <c r="P535" s="49"/>
      <c r="Q535" s="20" t="str">
        <f>IF($J535=1, DATA_Johnstone_2023_50!P535, "")</f>
        <v/>
      </c>
      <c r="R535" s="22"/>
      <c r="T535" s="22"/>
      <c r="W535" s="47"/>
      <c r="AI535" s="75">
        <v>532</v>
      </c>
      <c r="AJ535" s="75">
        <v>100</v>
      </c>
    </row>
    <row r="536" spans="1:36" hidden="1" x14ac:dyDescent="0.35">
      <c r="A536">
        <v>2664</v>
      </c>
      <c r="B536">
        <v>2665</v>
      </c>
      <c r="C536">
        <v>146.0027006</v>
      </c>
      <c r="D536">
        <v>-17.49684504</v>
      </c>
      <c r="F536" t="s">
        <v>7266</v>
      </c>
      <c r="G536" s="1" t="str">
        <f t="shared" si="16"/>
        <v>2665_20240610_0003_L_4806.jpg</v>
      </c>
      <c r="H536">
        <v>9</v>
      </c>
      <c r="I536" t="str">
        <f t="shared" si="17"/>
        <v/>
      </c>
      <c r="J536" s="53">
        <f>IFERROR(VLOOKUP(B536, DATA_Johnstone_2024_ALL!B:J, 8, FALSE), "")</f>
        <v>0</v>
      </c>
      <c r="K536" s="29"/>
      <c r="L536" s="30"/>
      <c r="M536" s="29"/>
      <c r="N536" s="20" t="str">
        <f>IF(J536=1, DATA_Johnstone_2023_50!M536, "")</f>
        <v/>
      </c>
      <c r="O536" s="20" t="str">
        <f>IF($J536=1, DATA_Johnstone_2023_50!N536, "")</f>
        <v/>
      </c>
      <c r="P536" s="49"/>
      <c r="Q536" s="20" t="str">
        <f>IF($J536=1, DATA_Johnstone_2023_50!P536, "")</f>
        <v/>
      </c>
      <c r="R536" s="22"/>
      <c r="T536" s="22"/>
      <c r="W536" s="47"/>
      <c r="AI536" s="75">
        <v>533</v>
      </c>
      <c r="AJ536" s="75">
        <v>100</v>
      </c>
    </row>
    <row r="537" spans="1:36" hidden="1" x14ac:dyDescent="0.35">
      <c r="A537">
        <v>2669</v>
      </c>
      <c r="B537">
        <v>2670</v>
      </c>
      <c r="C537">
        <v>146.00268819999999</v>
      </c>
      <c r="D537">
        <v>-17.497316390000002</v>
      </c>
      <c r="F537" t="s">
        <v>7267</v>
      </c>
      <c r="G537" s="1" t="str">
        <f t="shared" si="16"/>
        <v>2670_20240610_0003_L_4822.jpg</v>
      </c>
      <c r="H537">
        <v>9</v>
      </c>
      <c r="I537" t="str">
        <f t="shared" si="17"/>
        <v/>
      </c>
      <c r="J537" s="53">
        <f>IFERROR(VLOOKUP(B537, DATA_Johnstone_2024_ALL!B:J, 8, FALSE), "")</f>
        <v>0</v>
      </c>
      <c r="K537" s="29"/>
      <c r="L537" s="30"/>
      <c r="M537" s="29"/>
      <c r="N537" s="20" t="str">
        <f>IF(J537=1, DATA_Johnstone_2023_50!M537, "")</f>
        <v/>
      </c>
      <c r="O537" s="20" t="str">
        <f>IF($J537=1, DATA_Johnstone_2023_50!N537, "")</f>
        <v/>
      </c>
      <c r="P537" s="49"/>
      <c r="Q537" s="20" t="str">
        <f>IF($J537=1, DATA_Johnstone_2023_50!P537, "")</f>
        <v/>
      </c>
      <c r="R537" s="22"/>
      <c r="T537" s="22"/>
      <c r="W537" s="47"/>
      <c r="AI537" s="75">
        <v>534</v>
      </c>
      <c r="AJ537" s="75">
        <v>100</v>
      </c>
    </row>
    <row r="538" spans="1:36" hidden="1" x14ac:dyDescent="0.35">
      <c r="A538">
        <v>2674</v>
      </c>
      <c r="B538">
        <v>2675</v>
      </c>
      <c r="C538">
        <v>146.00267579999999</v>
      </c>
      <c r="D538">
        <v>-17.497787750000001</v>
      </c>
      <c r="F538" t="s">
        <v>7268</v>
      </c>
      <c r="G538" s="1" t="str">
        <f t="shared" si="16"/>
        <v>2675_20240610_0003_L_4840.jpg</v>
      </c>
      <c r="H538">
        <v>9</v>
      </c>
      <c r="I538" t="str">
        <f t="shared" si="17"/>
        <v/>
      </c>
      <c r="J538" s="53">
        <f>IFERROR(VLOOKUP(B538, DATA_Johnstone_2024_ALL!B:J, 8, FALSE), "")</f>
        <v>0</v>
      </c>
      <c r="K538" s="29"/>
      <c r="L538" s="30"/>
      <c r="M538" s="29"/>
      <c r="N538" s="20" t="str">
        <f>IF(J538=1, DATA_Johnstone_2023_50!M538, "")</f>
        <v/>
      </c>
      <c r="O538" s="20" t="str">
        <f>IF($J538=1, DATA_Johnstone_2023_50!N538, "")</f>
        <v/>
      </c>
      <c r="P538" s="49"/>
      <c r="Q538" s="20" t="str">
        <f>IF($J538=1, DATA_Johnstone_2023_50!P538, "")</f>
        <v/>
      </c>
      <c r="R538" s="22"/>
      <c r="T538" s="22"/>
      <c r="W538" s="47"/>
      <c r="AI538" s="75">
        <v>535</v>
      </c>
      <c r="AJ538" s="75">
        <v>100</v>
      </c>
    </row>
    <row r="539" spans="1:36" hidden="1" x14ac:dyDescent="0.35">
      <c r="A539">
        <v>2679</v>
      </c>
      <c r="B539">
        <v>2680</v>
      </c>
      <c r="C539">
        <v>146.00266350000001</v>
      </c>
      <c r="D539">
        <v>-17.498259099999999</v>
      </c>
      <c r="F539" t="s">
        <v>7269</v>
      </c>
      <c r="G539" s="1" t="str">
        <f t="shared" si="16"/>
        <v>2680_20240610_0003_L_4855.jpg</v>
      </c>
      <c r="H539">
        <v>9</v>
      </c>
      <c r="I539" t="str">
        <f t="shared" si="17"/>
        <v/>
      </c>
      <c r="J539" s="53">
        <f>IFERROR(VLOOKUP(B539, DATA_Johnstone_2024_ALL!B:J, 8, FALSE), "")</f>
        <v>0</v>
      </c>
      <c r="K539" s="29"/>
      <c r="L539" s="30"/>
      <c r="M539" s="29"/>
      <c r="N539" s="20" t="str">
        <f>IF(J539=1, DATA_Johnstone_2023_50!M539, "")</f>
        <v/>
      </c>
      <c r="O539" s="20" t="str">
        <f>IF($J539=1, DATA_Johnstone_2023_50!N539, "")</f>
        <v/>
      </c>
      <c r="P539" s="49"/>
      <c r="Q539" s="20" t="str">
        <f>IF($J539=1, DATA_Johnstone_2023_50!P539, "")</f>
        <v/>
      </c>
      <c r="R539" s="22"/>
      <c r="T539" s="22"/>
      <c r="W539" s="47"/>
      <c r="AI539" s="75">
        <v>536</v>
      </c>
      <c r="AJ539" s="75">
        <v>100</v>
      </c>
    </row>
    <row r="540" spans="1:36" hidden="1" x14ac:dyDescent="0.35">
      <c r="A540">
        <v>2684</v>
      </c>
      <c r="B540">
        <v>2685</v>
      </c>
      <c r="C540">
        <v>146.00265110000001</v>
      </c>
      <c r="D540">
        <v>-17.498730460000001</v>
      </c>
      <c r="F540" t="s">
        <v>7270</v>
      </c>
      <c r="G540" s="1" t="str">
        <f t="shared" si="16"/>
        <v>2685_20240610_0003_L_4872.jpg</v>
      </c>
      <c r="H540">
        <v>9</v>
      </c>
      <c r="I540" t="str">
        <f t="shared" si="17"/>
        <v/>
      </c>
      <c r="J540" s="53">
        <f>IFERROR(VLOOKUP(B540, DATA_Johnstone_2024_ALL!B:J, 8, FALSE), "")</f>
        <v>0</v>
      </c>
      <c r="K540" s="29"/>
      <c r="L540" s="30"/>
      <c r="M540" s="29"/>
      <c r="N540" s="20" t="str">
        <f>IF(J540=1, DATA_Johnstone_2023_50!M540, "")</f>
        <v/>
      </c>
      <c r="O540" s="20" t="str">
        <f>IF($J540=1, DATA_Johnstone_2023_50!N540, "")</f>
        <v/>
      </c>
      <c r="P540" s="49"/>
      <c r="Q540" s="20" t="str">
        <f>IF($J540=1, DATA_Johnstone_2023_50!P540, "")</f>
        <v/>
      </c>
      <c r="R540" s="22"/>
      <c r="T540" s="22"/>
      <c r="W540" s="47"/>
      <c r="AI540" s="75">
        <v>537</v>
      </c>
      <c r="AJ540" s="75">
        <v>100</v>
      </c>
    </row>
    <row r="541" spans="1:36" hidden="1" x14ac:dyDescent="0.35">
      <c r="A541">
        <v>2689</v>
      </c>
      <c r="B541">
        <v>2690</v>
      </c>
      <c r="C541">
        <v>146.00263870000001</v>
      </c>
      <c r="D541">
        <v>-17.49920182</v>
      </c>
      <c r="F541" t="s">
        <v>7271</v>
      </c>
      <c r="G541" s="1" t="str">
        <f t="shared" si="16"/>
        <v>2690_20240610_0003_L_4888.jpg</v>
      </c>
      <c r="H541">
        <v>9</v>
      </c>
      <c r="I541" t="str">
        <f t="shared" si="17"/>
        <v/>
      </c>
      <c r="J541" s="53">
        <f>IFERROR(VLOOKUP(B541, DATA_Johnstone_2024_ALL!B:J, 8, FALSE), "")</f>
        <v>0</v>
      </c>
      <c r="K541" s="29"/>
      <c r="L541" s="30"/>
      <c r="M541" s="29"/>
      <c r="N541" s="20" t="str">
        <f>IF(J541=1, DATA_Johnstone_2023_50!M541, "")</f>
        <v/>
      </c>
      <c r="O541" s="20" t="str">
        <f>IF($J541=1, DATA_Johnstone_2023_50!N541, "")</f>
        <v/>
      </c>
      <c r="P541" s="49"/>
      <c r="Q541" s="20" t="str">
        <f>IF($J541=1, DATA_Johnstone_2023_50!P541, "")</f>
        <v/>
      </c>
      <c r="R541" s="22"/>
      <c r="T541" s="22"/>
      <c r="W541" s="47"/>
      <c r="AI541" s="75">
        <v>538</v>
      </c>
      <c r="AJ541" s="75">
        <v>100</v>
      </c>
    </row>
    <row r="542" spans="1:36" hidden="1" x14ac:dyDescent="0.35">
      <c r="A542">
        <v>2694</v>
      </c>
      <c r="B542">
        <v>2695</v>
      </c>
      <c r="C542">
        <v>146.0026263</v>
      </c>
      <c r="D542">
        <v>-17.499673170000001</v>
      </c>
      <c r="F542" t="s">
        <v>7272</v>
      </c>
      <c r="G542" s="1" t="str">
        <f t="shared" si="16"/>
        <v>2695_20240610_0003_L_4914.jpg</v>
      </c>
      <c r="H542">
        <v>9</v>
      </c>
      <c r="I542" t="str">
        <f t="shared" si="17"/>
        <v/>
      </c>
      <c r="J542" s="53">
        <f>IFERROR(VLOOKUP(B542, DATA_Johnstone_2024_ALL!B:J, 8, FALSE), "")</f>
        <v>0</v>
      </c>
      <c r="K542" s="29"/>
      <c r="L542" s="30"/>
      <c r="M542" s="29"/>
      <c r="N542" s="20" t="str">
        <f>IF(J542=1, DATA_Johnstone_2023_50!M542, "")</f>
        <v/>
      </c>
      <c r="O542" s="20" t="str">
        <f>IF($J542=1, DATA_Johnstone_2023_50!N542, "")</f>
        <v/>
      </c>
      <c r="P542" s="49"/>
      <c r="Q542" s="20" t="str">
        <f>IF($J542=1, DATA_Johnstone_2023_50!P542, "")</f>
        <v/>
      </c>
      <c r="R542" s="22"/>
      <c r="T542" s="22"/>
      <c r="W542" s="47"/>
      <c r="AI542" s="75">
        <v>539</v>
      </c>
      <c r="AJ542" s="75">
        <v>100</v>
      </c>
    </row>
    <row r="543" spans="1:36" hidden="1" x14ac:dyDescent="0.35">
      <c r="A543">
        <v>2699</v>
      </c>
      <c r="B543">
        <v>2700</v>
      </c>
      <c r="C543">
        <v>146.00261399999999</v>
      </c>
      <c r="D543">
        <v>-17.50014453</v>
      </c>
      <c r="F543" t="s">
        <v>7273</v>
      </c>
      <c r="G543" s="1" t="str">
        <f t="shared" si="16"/>
        <v>2700_20240610_0003_L_4929.jpg</v>
      </c>
      <c r="H543">
        <v>9</v>
      </c>
      <c r="I543" t="str">
        <f t="shared" si="17"/>
        <v/>
      </c>
      <c r="J543" s="53">
        <f>IFERROR(VLOOKUP(B543, DATA_Johnstone_2024_ALL!B:J, 8, FALSE), "")</f>
        <v>0</v>
      </c>
      <c r="K543" s="29"/>
      <c r="L543" s="30"/>
      <c r="M543" s="29"/>
      <c r="N543" s="20" t="str">
        <f>IF(J543=1, DATA_Johnstone_2023_50!M543, "")</f>
        <v/>
      </c>
      <c r="O543" s="20" t="str">
        <f>IF($J543=1, DATA_Johnstone_2023_50!N543, "")</f>
        <v/>
      </c>
      <c r="P543" s="49"/>
      <c r="Q543" s="20" t="str">
        <f>IF($J543=1, DATA_Johnstone_2023_50!P543, "")</f>
        <v/>
      </c>
      <c r="R543" s="22"/>
      <c r="T543" s="22"/>
      <c r="W543" s="47"/>
      <c r="AI543" s="75">
        <v>540</v>
      </c>
      <c r="AJ543" s="75">
        <v>100</v>
      </c>
    </row>
    <row r="544" spans="1:36" hidden="1" x14ac:dyDescent="0.35">
      <c r="A544">
        <v>2704</v>
      </c>
      <c r="B544">
        <v>2705</v>
      </c>
      <c r="C544">
        <v>146.00260159999999</v>
      </c>
      <c r="D544">
        <v>-17.500615880000002</v>
      </c>
      <c r="F544" t="s">
        <v>7274</v>
      </c>
      <c r="G544" s="1" t="str">
        <f t="shared" si="16"/>
        <v>2705_20240610_0003_L_4945.jpg</v>
      </c>
      <c r="H544">
        <v>9</v>
      </c>
      <c r="I544" t="str">
        <f t="shared" si="17"/>
        <v/>
      </c>
      <c r="J544" s="53">
        <f>IFERROR(VLOOKUP(B544, DATA_Johnstone_2024_ALL!B:J, 8, FALSE), "")</f>
        <v>0</v>
      </c>
      <c r="K544" s="29"/>
      <c r="L544" s="30"/>
      <c r="M544" s="29"/>
      <c r="N544" s="20" t="str">
        <f>IF(J544=1, DATA_Johnstone_2023_50!M544, "")</f>
        <v/>
      </c>
      <c r="O544" s="20" t="str">
        <f>IF($J544=1, DATA_Johnstone_2023_50!N544, "")</f>
        <v/>
      </c>
      <c r="P544" s="49"/>
      <c r="Q544" s="20" t="str">
        <f>IF($J544=1, DATA_Johnstone_2023_50!P544, "")</f>
        <v/>
      </c>
      <c r="R544" s="22"/>
      <c r="T544" s="22"/>
      <c r="W544" s="47"/>
      <c r="AI544" s="75">
        <v>541</v>
      </c>
      <c r="AJ544" s="75">
        <v>100</v>
      </c>
    </row>
    <row r="545" spans="1:36" hidden="1" x14ac:dyDescent="0.35">
      <c r="A545">
        <v>2709</v>
      </c>
      <c r="B545">
        <v>2710</v>
      </c>
      <c r="C545">
        <v>146.00261</v>
      </c>
      <c r="D545">
        <v>-17.501086820000001</v>
      </c>
      <c r="F545" t="s">
        <v>7275</v>
      </c>
      <c r="G545" s="1" t="str">
        <f t="shared" si="16"/>
        <v>2710_20240610_0003_L_4959.jpg</v>
      </c>
      <c r="H545">
        <v>10</v>
      </c>
      <c r="I545" t="str">
        <f t="shared" si="17"/>
        <v/>
      </c>
      <c r="J545" s="53">
        <f>IFERROR(VLOOKUP(B545, DATA_Johnstone_2024_ALL!B:J, 8, FALSE), "")</f>
        <v>0</v>
      </c>
      <c r="K545" s="29"/>
      <c r="L545" s="30"/>
      <c r="M545" s="29"/>
      <c r="N545" s="20" t="str">
        <f>IF(J545=1, DATA_Johnstone_2023_50!M545, "")</f>
        <v/>
      </c>
      <c r="O545" s="20" t="str">
        <f>IF($J545=1, DATA_Johnstone_2023_50!N545, "")</f>
        <v/>
      </c>
      <c r="P545" s="49"/>
      <c r="Q545" s="20" t="str">
        <f>IF($J545=1, DATA_Johnstone_2023_50!P545, "")</f>
        <v/>
      </c>
      <c r="R545" s="22"/>
      <c r="T545" s="22"/>
      <c r="W545" s="47"/>
      <c r="AI545" s="75">
        <v>542</v>
      </c>
      <c r="AJ545" s="75">
        <v>100</v>
      </c>
    </row>
    <row r="546" spans="1:36" hidden="1" x14ac:dyDescent="0.35">
      <c r="A546">
        <v>2714</v>
      </c>
      <c r="B546">
        <v>2715</v>
      </c>
      <c r="C546">
        <v>146.00263169999999</v>
      </c>
      <c r="D546">
        <v>-17.50155775</v>
      </c>
      <c r="F546" t="s">
        <v>7276</v>
      </c>
      <c r="G546" s="1" t="str">
        <f t="shared" si="16"/>
        <v>2715_20240610_0003_L_4974.jpg</v>
      </c>
      <c r="H546">
        <v>10</v>
      </c>
      <c r="I546" t="str">
        <f t="shared" si="17"/>
        <v/>
      </c>
      <c r="J546" s="53">
        <f>IFERROR(VLOOKUP(B546, DATA_Johnstone_2024_ALL!B:J, 8, FALSE), "")</f>
        <v>0</v>
      </c>
      <c r="K546" s="29"/>
      <c r="L546" s="30"/>
      <c r="M546" s="29"/>
      <c r="N546" s="20" t="str">
        <f>IF(J546=1, DATA_Johnstone_2023_50!M546, "")</f>
        <v/>
      </c>
      <c r="O546" s="20" t="str">
        <f>IF($J546=1, DATA_Johnstone_2023_50!N546, "")</f>
        <v/>
      </c>
      <c r="P546" s="49"/>
      <c r="Q546" s="20" t="str">
        <f>IF($J546=1, DATA_Johnstone_2023_50!P546, "")</f>
        <v/>
      </c>
      <c r="R546" s="22"/>
      <c r="T546" s="22"/>
      <c r="W546" s="47"/>
      <c r="AI546" s="75">
        <v>543</v>
      </c>
      <c r="AJ546" s="75">
        <v>100</v>
      </c>
    </row>
    <row r="547" spans="1:36" hidden="1" x14ac:dyDescent="0.35">
      <c r="A547">
        <v>2719</v>
      </c>
      <c r="B547">
        <v>2720</v>
      </c>
      <c r="C547">
        <v>146.00264490000001</v>
      </c>
      <c r="D547">
        <v>-17.50202908</v>
      </c>
      <c r="F547" t="s">
        <v>7277</v>
      </c>
      <c r="G547" s="1" t="str">
        <f t="shared" si="16"/>
        <v>2720_20240610_0003_L_5003.jpg</v>
      </c>
      <c r="H547">
        <v>10</v>
      </c>
      <c r="I547" t="str">
        <f t="shared" si="17"/>
        <v/>
      </c>
      <c r="J547" s="53">
        <f>IFERROR(VLOOKUP(B547, DATA_Johnstone_2024_ALL!B:J, 8, FALSE), "")</f>
        <v>0</v>
      </c>
      <c r="K547" s="29"/>
      <c r="L547" s="30"/>
      <c r="M547" s="29"/>
      <c r="N547" s="20" t="str">
        <f>IF(J547=1, DATA_Johnstone_2023_50!M547, "")</f>
        <v/>
      </c>
      <c r="O547" s="20" t="str">
        <f>IF($J547=1, DATA_Johnstone_2023_50!N547, "")</f>
        <v/>
      </c>
      <c r="P547" s="49"/>
      <c r="Q547" s="20" t="str">
        <f>IF($J547=1, DATA_Johnstone_2023_50!P547, "")</f>
        <v/>
      </c>
      <c r="R547" s="22"/>
      <c r="T547" s="22"/>
      <c r="W547" s="47"/>
      <c r="AI547" s="75">
        <v>544</v>
      </c>
      <c r="AJ547" s="75">
        <v>100</v>
      </c>
    </row>
    <row r="548" spans="1:36" hidden="1" x14ac:dyDescent="0.35">
      <c r="A548">
        <v>2724</v>
      </c>
      <c r="B548">
        <v>2725</v>
      </c>
      <c r="C548">
        <v>146.002658</v>
      </c>
      <c r="D548">
        <v>-17.502500420000001</v>
      </c>
      <c r="F548" t="s">
        <v>7278</v>
      </c>
      <c r="G548" s="1" t="str">
        <f t="shared" si="16"/>
        <v>2725_20240610_0003_L_5021.jpg</v>
      </c>
      <c r="H548">
        <v>10</v>
      </c>
      <c r="I548" t="str">
        <f t="shared" si="17"/>
        <v/>
      </c>
      <c r="J548" s="53">
        <f>IFERROR(VLOOKUP(B548, DATA_Johnstone_2024_ALL!B:J, 8, FALSE), "")</f>
        <v>0</v>
      </c>
      <c r="K548" s="29"/>
      <c r="L548" s="30"/>
      <c r="M548" s="29"/>
      <c r="N548" s="20" t="str">
        <f>IF(J548=1, DATA_Johnstone_2023_50!M548, "")</f>
        <v/>
      </c>
      <c r="O548" s="20" t="str">
        <f>IF($J548=1, DATA_Johnstone_2023_50!N548, "")</f>
        <v/>
      </c>
      <c r="P548" s="49"/>
      <c r="Q548" s="20" t="str">
        <f>IF($J548=1, DATA_Johnstone_2023_50!P548, "")</f>
        <v/>
      </c>
      <c r="R548" s="22"/>
      <c r="T548" s="22"/>
      <c r="W548" s="47"/>
      <c r="AI548" s="75">
        <v>545</v>
      </c>
      <c r="AJ548" s="75">
        <v>100</v>
      </c>
    </row>
    <row r="549" spans="1:36" hidden="1" x14ac:dyDescent="0.35">
      <c r="A549">
        <v>2729</v>
      </c>
      <c r="B549">
        <v>2730</v>
      </c>
      <c r="C549">
        <v>146.00267120000001</v>
      </c>
      <c r="D549">
        <v>-17.50297175</v>
      </c>
      <c r="F549" t="s">
        <v>7279</v>
      </c>
      <c r="G549" s="1" t="str">
        <f t="shared" si="16"/>
        <v>2730_20240610_0003_L_5040.jpg</v>
      </c>
      <c r="H549">
        <v>10</v>
      </c>
      <c r="I549" t="str">
        <f t="shared" si="17"/>
        <v/>
      </c>
      <c r="J549" s="53">
        <f>IFERROR(VLOOKUP(B549, DATA_Johnstone_2024_ALL!B:J, 8, FALSE), "")</f>
        <v>0</v>
      </c>
      <c r="K549" s="29"/>
      <c r="L549" s="30"/>
      <c r="M549" s="29"/>
      <c r="N549" s="20" t="str">
        <f>IF(J549=1, DATA_Johnstone_2023_50!M549, "")</f>
        <v/>
      </c>
      <c r="O549" s="20" t="str">
        <f>IF($J549=1, DATA_Johnstone_2023_50!N549, "")</f>
        <v/>
      </c>
      <c r="P549" s="49"/>
      <c r="Q549" s="20" t="str">
        <f>IF($J549=1, DATA_Johnstone_2023_50!P549, "")</f>
        <v/>
      </c>
      <c r="R549" s="22"/>
      <c r="T549" s="22"/>
      <c r="W549" s="47"/>
      <c r="AI549" s="75">
        <v>546</v>
      </c>
      <c r="AJ549" s="75">
        <v>100</v>
      </c>
    </row>
    <row r="550" spans="1:36" hidden="1" x14ac:dyDescent="0.35">
      <c r="A550">
        <v>2734</v>
      </c>
      <c r="B550">
        <v>2735</v>
      </c>
      <c r="C550">
        <v>146.00268439999999</v>
      </c>
      <c r="D550">
        <v>-17.503443090000001</v>
      </c>
      <c r="F550" t="s">
        <v>7280</v>
      </c>
      <c r="G550" s="1" t="str">
        <f t="shared" si="16"/>
        <v>2735_20240610_0003_L_5057.jpg</v>
      </c>
      <c r="H550">
        <v>10</v>
      </c>
      <c r="I550" t="str">
        <f t="shared" si="17"/>
        <v/>
      </c>
      <c r="J550" s="53">
        <f>IFERROR(VLOOKUP(B550, DATA_Johnstone_2024_ALL!B:J, 8, FALSE), "")</f>
        <v>0</v>
      </c>
      <c r="K550" s="29"/>
      <c r="L550" s="30"/>
      <c r="M550" s="29"/>
      <c r="N550" s="20" t="str">
        <f>IF(J550=1, DATA_Johnstone_2023_50!M550, "")</f>
        <v/>
      </c>
      <c r="O550" s="20" t="str">
        <f>IF($J550=1, DATA_Johnstone_2023_50!N550, "")</f>
        <v/>
      </c>
      <c r="P550" s="49"/>
      <c r="Q550" s="20" t="str">
        <f>IF($J550=1, DATA_Johnstone_2023_50!P550, "")</f>
        <v/>
      </c>
      <c r="R550" s="22"/>
      <c r="T550" s="22"/>
      <c r="W550" s="47"/>
      <c r="AI550" s="75">
        <v>547</v>
      </c>
      <c r="AJ550" s="75">
        <v>100</v>
      </c>
    </row>
    <row r="551" spans="1:36" hidden="1" x14ac:dyDescent="0.35">
      <c r="A551">
        <v>2739</v>
      </c>
      <c r="B551">
        <v>2740</v>
      </c>
      <c r="C551">
        <v>146.0026976</v>
      </c>
      <c r="D551">
        <v>-17.503914420000001</v>
      </c>
      <c r="G551" s="1" t="str">
        <f t="shared" si="16"/>
        <v/>
      </c>
      <c r="H551">
        <v>10</v>
      </c>
      <c r="I551" t="str">
        <f t="shared" si="17"/>
        <v>X</v>
      </c>
      <c r="J551" s="53" t="str">
        <f>IFERROR(VLOOKUP(B551, DATA_Johnstone_2024_ALL!B:J, 8, FALSE), "")</f>
        <v>X</v>
      </c>
      <c r="K551" s="29"/>
      <c r="L551" s="30"/>
      <c r="M551" s="29"/>
      <c r="N551" s="20" t="str">
        <f>IF(J551=1, DATA_Johnstone_2023_50!M551, "")</f>
        <v/>
      </c>
      <c r="O551" s="20" t="str">
        <f>IF($J551=1, DATA_Johnstone_2023_50!N551, "")</f>
        <v/>
      </c>
      <c r="P551" s="49"/>
      <c r="Q551" s="20" t="str">
        <f>IF($J551=1, DATA_Johnstone_2023_50!P551, "")</f>
        <v/>
      </c>
      <c r="R551" s="22"/>
      <c r="T551" s="22"/>
      <c r="W551" s="47"/>
      <c r="AI551" s="75">
        <v>548</v>
      </c>
      <c r="AJ551" s="75">
        <v>100</v>
      </c>
    </row>
    <row r="552" spans="1:36" hidden="1" x14ac:dyDescent="0.35">
      <c r="A552">
        <v>2744</v>
      </c>
      <c r="B552">
        <v>2745</v>
      </c>
      <c r="C552">
        <v>146.00271069999999</v>
      </c>
      <c r="D552">
        <v>-17.504385750000001</v>
      </c>
      <c r="G552" s="1" t="str">
        <f t="shared" si="16"/>
        <v/>
      </c>
      <c r="H552">
        <v>10</v>
      </c>
      <c r="I552" t="str">
        <f t="shared" si="17"/>
        <v>X</v>
      </c>
      <c r="J552" s="53" t="str">
        <f>IFERROR(VLOOKUP(B552, DATA_Johnstone_2024_ALL!B:J, 8, FALSE), "")</f>
        <v>X</v>
      </c>
      <c r="K552" s="29"/>
      <c r="L552" s="30"/>
      <c r="M552" s="29"/>
      <c r="N552" s="20" t="str">
        <f>IF(J552=1, DATA_Johnstone_2023_50!M552, "")</f>
        <v/>
      </c>
      <c r="O552" s="20" t="str">
        <f>IF($J552=1, DATA_Johnstone_2023_50!N552, "")</f>
        <v/>
      </c>
      <c r="P552" s="49"/>
      <c r="Q552" s="20" t="str">
        <f>IF($J552=1, DATA_Johnstone_2023_50!P552, "")</f>
        <v/>
      </c>
      <c r="R552" s="22"/>
      <c r="T552" s="22"/>
      <c r="W552" s="47"/>
      <c r="AI552" s="75">
        <v>549</v>
      </c>
      <c r="AJ552" s="75">
        <v>100</v>
      </c>
    </row>
    <row r="553" spans="1:36" hidden="1" x14ac:dyDescent="0.35">
      <c r="A553">
        <v>2749</v>
      </c>
      <c r="B553">
        <v>2750</v>
      </c>
      <c r="C553">
        <v>146.0027451</v>
      </c>
      <c r="D553">
        <v>-17.504855899999999</v>
      </c>
      <c r="G553" s="1" t="str">
        <f t="shared" si="16"/>
        <v/>
      </c>
      <c r="H553">
        <v>10</v>
      </c>
      <c r="I553" t="str">
        <f t="shared" si="17"/>
        <v>X</v>
      </c>
      <c r="J553" s="53" t="str">
        <f>IFERROR(VLOOKUP(B553, DATA_Johnstone_2024_ALL!B:J, 8, FALSE), "")</f>
        <v>X</v>
      </c>
      <c r="K553" s="29"/>
      <c r="L553" s="30"/>
      <c r="M553" s="29"/>
      <c r="N553" s="20" t="str">
        <f>IF(J553=1, DATA_Johnstone_2023_50!M553, "")</f>
        <v/>
      </c>
      <c r="O553" s="20" t="str">
        <f>IF($J553=1, DATA_Johnstone_2023_50!N553, "")</f>
        <v/>
      </c>
      <c r="P553" s="49"/>
      <c r="Q553" s="20" t="str">
        <f>IF($J553=1, DATA_Johnstone_2023_50!P553, "")</f>
        <v/>
      </c>
      <c r="R553" s="22"/>
      <c r="T553" s="22"/>
      <c r="W553" s="47"/>
      <c r="AI553" s="75">
        <v>550</v>
      </c>
      <c r="AJ553" s="75">
        <v>100</v>
      </c>
    </row>
    <row r="554" spans="1:36" hidden="1" x14ac:dyDescent="0.35">
      <c r="A554">
        <v>2754</v>
      </c>
      <c r="B554">
        <v>2755</v>
      </c>
      <c r="C554">
        <v>146.00277800000001</v>
      </c>
      <c r="D554">
        <v>-17.50532553</v>
      </c>
      <c r="G554" s="1" t="str">
        <f t="shared" si="16"/>
        <v/>
      </c>
      <c r="H554">
        <v>10</v>
      </c>
      <c r="I554" t="str">
        <f t="shared" si="17"/>
        <v>X</v>
      </c>
      <c r="J554" s="53" t="str">
        <f>IFERROR(VLOOKUP(B554, DATA_Johnstone_2024_ALL!B:J, 8, FALSE), "")</f>
        <v>X</v>
      </c>
      <c r="K554" s="29"/>
      <c r="L554" s="30"/>
      <c r="M554" s="29"/>
      <c r="N554" s="20" t="str">
        <f>IF(J554=1, DATA_Johnstone_2023_50!M554, "")</f>
        <v/>
      </c>
      <c r="O554" s="20" t="str">
        <f>IF($J554=1, DATA_Johnstone_2023_50!N554, "")</f>
        <v/>
      </c>
      <c r="P554" s="49"/>
      <c r="Q554" s="20" t="str">
        <f>IF($J554=1, DATA_Johnstone_2023_50!P554, "")</f>
        <v/>
      </c>
      <c r="R554" s="22"/>
      <c r="T554" s="22"/>
      <c r="W554" s="47"/>
      <c r="AI554" s="75">
        <v>551</v>
      </c>
      <c r="AJ554" s="75">
        <v>100</v>
      </c>
    </row>
    <row r="555" spans="1:36" hidden="1" x14ac:dyDescent="0.35">
      <c r="A555">
        <v>2759</v>
      </c>
      <c r="B555">
        <v>2760</v>
      </c>
      <c r="C555">
        <v>146.00271599999999</v>
      </c>
      <c r="D555">
        <v>-17.505792809999999</v>
      </c>
      <c r="G555" s="1" t="str">
        <f t="shared" si="16"/>
        <v/>
      </c>
      <c r="H555">
        <v>10</v>
      </c>
      <c r="I555" t="str">
        <f t="shared" si="17"/>
        <v>X</v>
      </c>
      <c r="J555" s="53" t="str">
        <f>IFERROR(VLOOKUP(B555, DATA_Johnstone_2024_ALL!B:J, 8, FALSE), "")</f>
        <v>X</v>
      </c>
      <c r="K555" s="29"/>
      <c r="L555" s="30"/>
      <c r="M555" s="29"/>
      <c r="N555" s="20" t="str">
        <f>IF(J555=1, DATA_Johnstone_2023_50!M555, "")</f>
        <v/>
      </c>
      <c r="O555" s="20" t="str">
        <f>IF($J555=1, DATA_Johnstone_2023_50!N555, "")</f>
        <v/>
      </c>
      <c r="P555" s="49"/>
      <c r="Q555" s="20" t="str">
        <f>IF($J555=1, DATA_Johnstone_2023_50!P555, "")</f>
        <v/>
      </c>
      <c r="R555" s="22"/>
      <c r="T555" s="22"/>
      <c r="W555" s="47"/>
      <c r="AI555" s="75">
        <v>552</v>
      </c>
      <c r="AJ555" s="75">
        <v>100</v>
      </c>
    </row>
    <row r="556" spans="1:36" hidden="1" x14ac:dyDescent="0.35">
      <c r="A556">
        <v>2764</v>
      </c>
      <c r="B556">
        <v>2765</v>
      </c>
      <c r="C556">
        <v>146.0026838</v>
      </c>
      <c r="D556">
        <v>-17.506262719999999</v>
      </c>
      <c r="G556" s="1" t="str">
        <f t="shared" si="16"/>
        <v/>
      </c>
      <c r="H556">
        <v>10</v>
      </c>
      <c r="I556" t="str">
        <f t="shared" si="17"/>
        <v>X</v>
      </c>
      <c r="J556" s="53" t="str">
        <f>IFERROR(VLOOKUP(B556, DATA_Johnstone_2024_ALL!B:J, 8, FALSE), "")</f>
        <v>X</v>
      </c>
      <c r="K556" s="29"/>
      <c r="L556" s="30"/>
      <c r="M556" s="29"/>
      <c r="N556" s="20" t="str">
        <f>IF(J556=1, DATA_Johnstone_2023_50!M556, "")</f>
        <v/>
      </c>
      <c r="O556" s="20" t="str">
        <f>IF($J556=1, DATA_Johnstone_2023_50!N556, "")</f>
        <v/>
      </c>
      <c r="P556" s="49"/>
      <c r="Q556" s="20" t="str">
        <f>IF($J556=1, DATA_Johnstone_2023_50!P556, "")</f>
        <v/>
      </c>
      <c r="R556" s="22"/>
      <c r="T556" s="22"/>
      <c r="W556" s="47"/>
      <c r="AI556" s="75">
        <v>553</v>
      </c>
      <c r="AJ556" s="75">
        <v>100</v>
      </c>
    </row>
    <row r="557" spans="1:36" hidden="1" x14ac:dyDescent="0.35">
      <c r="A557">
        <v>2769</v>
      </c>
      <c r="B557">
        <v>2770</v>
      </c>
      <c r="C557">
        <v>146.0024507</v>
      </c>
      <c r="D557">
        <v>-17.506638599999999</v>
      </c>
      <c r="G557" s="1" t="str">
        <f t="shared" si="16"/>
        <v/>
      </c>
      <c r="H557">
        <v>10</v>
      </c>
      <c r="I557" t="str">
        <f t="shared" si="17"/>
        <v>X</v>
      </c>
      <c r="J557" s="53" t="str">
        <f>IFERROR(VLOOKUP(B557, DATA_Johnstone_2024_ALL!B:J, 8, FALSE), "")</f>
        <v>X</v>
      </c>
      <c r="K557" s="29"/>
      <c r="L557" s="30"/>
      <c r="M557" s="29"/>
      <c r="N557" s="20" t="str">
        <f>IF(J557=1, DATA_Johnstone_2023_50!M557, "")</f>
        <v/>
      </c>
      <c r="O557" s="20" t="str">
        <f>IF($J557=1, DATA_Johnstone_2023_50!N557, "")</f>
        <v/>
      </c>
      <c r="P557" s="49"/>
      <c r="Q557" s="20" t="str">
        <f>IF($J557=1, DATA_Johnstone_2023_50!P557, "")</f>
        <v/>
      </c>
      <c r="R557" s="22"/>
      <c r="T557" s="22"/>
      <c r="W557" s="47"/>
      <c r="AI557" s="75">
        <v>554</v>
      </c>
      <c r="AJ557" s="75">
        <v>100</v>
      </c>
    </row>
    <row r="558" spans="1:36" hidden="1" x14ac:dyDescent="0.35">
      <c r="A558">
        <v>2774</v>
      </c>
      <c r="B558">
        <v>2775</v>
      </c>
      <c r="C558">
        <v>146.002274</v>
      </c>
      <c r="D558">
        <v>-17.507069680000001</v>
      </c>
      <c r="G558" s="1" t="str">
        <f t="shared" si="16"/>
        <v/>
      </c>
      <c r="H558">
        <v>10</v>
      </c>
      <c r="I558" t="str">
        <f t="shared" si="17"/>
        <v>X</v>
      </c>
      <c r="J558" s="53" t="str">
        <f>IFERROR(VLOOKUP(B558, DATA_Johnstone_2024_ALL!B:J, 8, FALSE), "")</f>
        <v>X</v>
      </c>
      <c r="K558" s="29"/>
      <c r="L558" s="30"/>
      <c r="M558" s="29"/>
      <c r="N558" s="20" t="str">
        <f>IF(J558=1, DATA_Johnstone_2023_50!M558, "")</f>
        <v/>
      </c>
      <c r="O558" s="20" t="str">
        <f>IF($J558=1, DATA_Johnstone_2023_50!N558, "")</f>
        <v/>
      </c>
      <c r="P558" s="49"/>
      <c r="Q558" s="20" t="str">
        <f>IF($J558=1, DATA_Johnstone_2023_50!P558, "")</f>
        <v/>
      </c>
      <c r="R558" s="22"/>
      <c r="T558" s="22"/>
      <c r="W558" s="47"/>
      <c r="AI558" s="75">
        <v>555</v>
      </c>
      <c r="AJ558" s="75">
        <v>100</v>
      </c>
    </row>
    <row r="559" spans="1:36" hidden="1" x14ac:dyDescent="0.35">
      <c r="A559">
        <v>2779</v>
      </c>
      <c r="B559">
        <v>2780</v>
      </c>
      <c r="C559">
        <v>146.00219899999999</v>
      </c>
      <c r="D559">
        <v>-17.507532749999999</v>
      </c>
      <c r="G559" s="1" t="str">
        <f t="shared" si="16"/>
        <v/>
      </c>
      <c r="H559">
        <v>10</v>
      </c>
      <c r="I559" t="str">
        <f t="shared" si="17"/>
        <v>X</v>
      </c>
      <c r="J559" s="53" t="str">
        <f>IFERROR(VLOOKUP(B559, DATA_Johnstone_2024_ALL!B:J, 8, FALSE), "")</f>
        <v>X</v>
      </c>
      <c r="K559" s="29"/>
      <c r="L559" s="30"/>
      <c r="M559" s="29"/>
      <c r="N559" s="20" t="str">
        <f>IF(J559=1, DATA_Johnstone_2023_50!M559, "")</f>
        <v/>
      </c>
      <c r="O559" s="20" t="str">
        <f>IF($J559=1, DATA_Johnstone_2023_50!N559, "")</f>
        <v/>
      </c>
      <c r="P559" s="49"/>
      <c r="Q559" s="20" t="str">
        <f>IF($J559=1, DATA_Johnstone_2023_50!P559, "")</f>
        <v/>
      </c>
      <c r="R559" s="22"/>
      <c r="T559" s="22"/>
      <c r="W559" s="47"/>
      <c r="AI559" s="75">
        <v>556</v>
      </c>
      <c r="AJ559" s="75">
        <v>100</v>
      </c>
    </row>
    <row r="560" spans="1:36" hidden="1" x14ac:dyDescent="0.35">
      <c r="A560">
        <v>2784</v>
      </c>
      <c r="B560">
        <v>2785</v>
      </c>
      <c r="C560">
        <v>146.00185769999999</v>
      </c>
      <c r="D560">
        <v>-17.50785788</v>
      </c>
      <c r="G560" s="1" t="str">
        <f t="shared" si="16"/>
        <v/>
      </c>
      <c r="H560">
        <v>10</v>
      </c>
      <c r="I560" t="str">
        <f t="shared" si="17"/>
        <v>X</v>
      </c>
      <c r="J560" s="53" t="str">
        <f>IFERROR(VLOOKUP(B560, DATA_Johnstone_2024_ALL!B:J, 8, FALSE), "")</f>
        <v>X</v>
      </c>
      <c r="K560" s="29"/>
      <c r="L560" s="30"/>
      <c r="M560" s="29"/>
      <c r="N560" s="20" t="str">
        <f>IF(J560=1, DATA_Johnstone_2023_50!M560, "")</f>
        <v/>
      </c>
      <c r="O560" s="20" t="str">
        <f>IF($J560=1, DATA_Johnstone_2023_50!N560, "")</f>
        <v/>
      </c>
      <c r="P560" s="49"/>
      <c r="Q560" s="20" t="str">
        <f>IF($J560=1, DATA_Johnstone_2023_50!P560, "")</f>
        <v/>
      </c>
      <c r="R560" s="22"/>
      <c r="T560" s="22"/>
      <c r="W560" s="47"/>
      <c r="AI560" s="75">
        <v>557</v>
      </c>
      <c r="AJ560" s="75">
        <v>100</v>
      </c>
    </row>
    <row r="561" spans="1:36" hidden="1" x14ac:dyDescent="0.35">
      <c r="A561">
        <v>2789</v>
      </c>
      <c r="B561">
        <v>2790</v>
      </c>
      <c r="C561">
        <v>146.00145130000001</v>
      </c>
      <c r="D561">
        <v>-17.50808889</v>
      </c>
      <c r="G561" s="1" t="str">
        <f t="shared" si="16"/>
        <v/>
      </c>
      <c r="H561">
        <v>10</v>
      </c>
      <c r="I561" t="str">
        <f t="shared" si="17"/>
        <v>X</v>
      </c>
      <c r="J561" s="53" t="str">
        <f>IFERROR(VLOOKUP(B561, DATA_Johnstone_2024_ALL!B:J, 8, FALSE), "")</f>
        <v>X</v>
      </c>
      <c r="K561" s="29"/>
      <c r="L561" s="30"/>
      <c r="M561" s="29"/>
      <c r="N561" s="20" t="str">
        <f>IF(J561=1, DATA_Johnstone_2023_50!M561, "")</f>
        <v/>
      </c>
      <c r="O561" s="20" t="str">
        <f>IF($J561=1, DATA_Johnstone_2023_50!N561, "")</f>
        <v/>
      </c>
      <c r="P561" s="49"/>
      <c r="Q561" s="20" t="str">
        <f>IF($J561=1, DATA_Johnstone_2023_50!P561, "")</f>
        <v/>
      </c>
      <c r="R561" s="22"/>
      <c r="T561" s="22"/>
      <c r="W561" s="47"/>
      <c r="AI561" s="75">
        <v>558</v>
      </c>
      <c r="AJ561" s="75">
        <v>100</v>
      </c>
    </row>
    <row r="562" spans="1:36" hidden="1" x14ac:dyDescent="0.35">
      <c r="A562">
        <v>2794</v>
      </c>
      <c r="B562">
        <v>2795</v>
      </c>
      <c r="C562">
        <v>146.0009939</v>
      </c>
      <c r="D562">
        <v>-17.50820319</v>
      </c>
      <c r="G562" s="1" t="str">
        <f t="shared" si="16"/>
        <v/>
      </c>
      <c r="H562">
        <v>10</v>
      </c>
      <c r="I562" t="str">
        <f t="shared" si="17"/>
        <v>X</v>
      </c>
      <c r="J562" s="53" t="str">
        <f>IFERROR(VLOOKUP(B562, DATA_Johnstone_2024_ALL!B:J, 8, FALSE), "")</f>
        <v>X</v>
      </c>
      <c r="K562" s="29"/>
      <c r="L562" s="30"/>
      <c r="M562" s="29"/>
      <c r="N562" s="20" t="str">
        <f>IF(J562=1, DATA_Johnstone_2023_50!M562, "")</f>
        <v/>
      </c>
      <c r="O562" s="20" t="str">
        <f>IF($J562=1, DATA_Johnstone_2023_50!N562, "")</f>
        <v/>
      </c>
      <c r="P562" s="49"/>
      <c r="Q562" s="20" t="str">
        <f>IF($J562=1, DATA_Johnstone_2023_50!P562, "")</f>
        <v/>
      </c>
      <c r="R562" s="22"/>
      <c r="T562" s="22"/>
      <c r="W562" s="47"/>
      <c r="AI562" s="75">
        <v>559</v>
      </c>
      <c r="AJ562" s="75">
        <v>100</v>
      </c>
    </row>
    <row r="563" spans="1:36" hidden="1" x14ac:dyDescent="0.35">
      <c r="A563">
        <v>2799</v>
      </c>
      <c r="B563">
        <v>2800</v>
      </c>
      <c r="C563">
        <v>146.0005511</v>
      </c>
      <c r="D563">
        <v>-17.508364350000001</v>
      </c>
      <c r="G563" s="1" t="str">
        <f t="shared" si="16"/>
        <v/>
      </c>
      <c r="H563">
        <v>10</v>
      </c>
      <c r="I563" t="str">
        <f t="shared" si="17"/>
        <v>X</v>
      </c>
      <c r="J563" s="53" t="str">
        <f>IFERROR(VLOOKUP(B563, DATA_Johnstone_2024_ALL!B:J, 8, FALSE), "")</f>
        <v>X</v>
      </c>
      <c r="K563" s="29"/>
      <c r="L563" s="30"/>
      <c r="M563" s="29"/>
      <c r="N563" s="20" t="str">
        <f>IF(J563=1, DATA_Johnstone_2023_50!M563, "")</f>
        <v/>
      </c>
      <c r="O563" s="20" t="str">
        <f>IF($J563=1, DATA_Johnstone_2023_50!N563, "")</f>
        <v/>
      </c>
      <c r="P563" s="49"/>
      <c r="Q563" s="20" t="str">
        <f>IF($J563=1, DATA_Johnstone_2023_50!P563, "")</f>
        <v/>
      </c>
      <c r="R563" s="22"/>
      <c r="T563" s="22"/>
      <c r="W563" s="47"/>
      <c r="AI563" s="75">
        <v>560</v>
      </c>
      <c r="AJ563" s="75">
        <v>100</v>
      </c>
    </row>
    <row r="564" spans="1:36" hidden="1" x14ac:dyDescent="0.35">
      <c r="A564">
        <v>2804</v>
      </c>
      <c r="B564">
        <v>2805</v>
      </c>
      <c r="C564">
        <v>146.00008080000001</v>
      </c>
      <c r="D564">
        <v>-17.508394849999998</v>
      </c>
      <c r="G564" s="1" t="str">
        <f t="shared" si="16"/>
        <v/>
      </c>
      <c r="H564">
        <v>10</v>
      </c>
      <c r="I564" t="str">
        <f t="shared" si="17"/>
        <v>X</v>
      </c>
      <c r="J564" s="53" t="str">
        <f>IFERROR(VLOOKUP(B564, DATA_Johnstone_2024_ALL!B:J, 8, FALSE), "")</f>
        <v>X</v>
      </c>
      <c r="K564" s="29"/>
      <c r="L564" s="30"/>
      <c r="M564" s="29"/>
      <c r="N564" s="20" t="str">
        <f>IF(J564=1, DATA_Johnstone_2023_50!M564, "")</f>
        <v/>
      </c>
      <c r="O564" s="20" t="str">
        <f>IF($J564=1, DATA_Johnstone_2023_50!N564, "")</f>
        <v/>
      </c>
      <c r="P564" s="49"/>
      <c r="Q564" s="20" t="str">
        <f>IF($J564=1, DATA_Johnstone_2023_50!P564, "")</f>
        <v/>
      </c>
      <c r="R564" s="22"/>
      <c r="T564" s="22"/>
      <c r="W564" s="47"/>
      <c r="AI564" s="75">
        <v>561</v>
      </c>
      <c r="AJ564" s="75">
        <v>100</v>
      </c>
    </row>
    <row r="565" spans="1:36" hidden="1" x14ac:dyDescent="0.35">
      <c r="A565">
        <v>2809</v>
      </c>
      <c r="B565">
        <v>2810</v>
      </c>
      <c r="C565">
        <v>145.99961020000001</v>
      </c>
      <c r="D565">
        <v>-17.50842347</v>
      </c>
      <c r="G565" s="1" t="str">
        <f t="shared" si="16"/>
        <v/>
      </c>
      <c r="H565">
        <v>10</v>
      </c>
      <c r="I565" t="str">
        <f t="shared" si="17"/>
        <v>X</v>
      </c>
      <c r="J565" s="53" t="str">
        <f>IFERROR(VLOOKUP(B565, DATA_Johnstone_2024_ALL!B:J, 8, FALSE), "")</f>
        <v>X</v>
      </c>
      <c r="K565" s="29"/>
      <c r="L565" s="30"/>
      <c r="M565" s="29"/>
      <c r="N565" s="20" t="str">
        <f>IF(J565=1, DATA_Johnstone_2023_50!M565, "")</f>
        <v/>
      </c>
      <c r="O565" s="20" t="str">
        <f>IF($J565=1, DATA_Johnstone_2023_50!N565, "")</f>
        <v/>
      </c>
      <c r="P565" s="49"/>
      <c r="Q565" s="20" t="str">
        <f>IF($J565=1, DATA_Johnstone_2023_50!P565, "")</f>
        <v/>
      </c>
      <c r="R565" s="22"/>
      <c r="T565" s="22"/>
      <c r="W565" s="47"/>
      <c r="AI565" s="75">
        <v>562</v>
      </c>
      <c r="AJ565" s="75">
        <v>100</v>
      </c>
    </row>
    <row r="566" spans="1:36" hidden="1" x14ac:dyDescent="0.35">
      <c r="A566">
        <v>2814</v>
      </c>
      <c r="B566">
        <v>2815</v>
      </c>
      <c r="C566">
        <v>145.99913910000001</v>
      </c>
      <c r="D566">
        <v>-17.508430100000002</v>
      </c>
      <c r="G566" s="1" t="str">
        <f t="shared" si="16"/>
        <v/>
      </c>
      <c r="H566">
        <v>10</v>
      </c>
      <c r="I566" t="str">
        <f t="shared" si="17"/>
        <v>X</v>
      </c>
      <c r="J566" s="53" t="str">
        <f>IFERROR(VLOOKUP(B566, DATA_Johnstone_2024_ALL!B:J, 8, FALSE), "")</f>
        <v>X</v>
      </c>
      <c r="K566" s="29"/>
      <c r="L566" s="30"/>
      <c r="M566" s="29"/>
      <c r="N566" s="20" t="str">
        <f>IF(J566=1, DATA_Johnstone_2023_50!M566, "")</f>
        <v/>
      </c>
      <c r="O566" s="20" t="str">
        <f>IF($J566=1, DATA_Johnstone_2023_50!N566, "")</f>
        <v/>
      </c>
      <c r="P566" s="49"/>
      <c r="Q566" s="20" t="str">
        <f>IF($J566=1, DATA_Johnstone_2023_50!P566, "")</f>
        <v/>
      </c>
      <c r="R566" s="22"/>
      <c r="T566" s="22"/>
      <c r="W566" s="47"/>
      <c r="AI566" s="75">
        <v>563</v>
      </c>
      <c r="AJ566" s="75">
        <v>100</v>
      </c>
    </row>
    <row r="567" spans="1:36" hidden="1" x14ac:dyDescent="0.35">
      <c r="A567">
        <v>2819</v>
      </c>
      <c r="B567">
        <v>2820</v>
      </c>
      <c r="C567">
        <v>145.99866969999999</v>
      </c>
      <c r="D567">
        <v>-17.50840586</v>
      </c>
      <c r="G567" s="1" t="str">
        <f t="shared" si="16"/>
        <v/>
      </c>
      <c r="H567">
        <v>10</v>
      </c>
      <c r="I567" t="str">
        <f t="shared" si="17"/>
        <v>X</v>
      </c>
      <c r="J567" s="53" t="str">
        <f>IFERROR(VLOOKUP(B567, DATA_Johnstone_2024_ALL!B:J, 8, FALSE), "")</f>
        <v>X</v>
      </c>
      <c r="K567" s="29"/>
      <c r="L567" s="30"/>
      <c r="M567" s="29"/>
      <c r="N567" s="20" t="str">
        <f>IF(J567=1, DATA_Johnstone_2023_50!M567, "")</f>
        <v/>
      </c>
      <c r="O567" s="20" t="str">
        <f>IF($J567=1, DATA_Johnstone_2023_50!N567, "")</f>
        <v/>
      </c>
      <c r="P567" s="49"/>
      <c r="Q567" s="20" t="str">
        <f>IF($J567=1, DATA_Johnstone_2023_50!P567, "")</f>
        <v/>
      </c>
      <c r="R567" s="22"/>
      <c r="T567" s="22"/>
      <c r="W567" s="47"/>
      <c r="AI567" s="75">
        <v>564</v>
      </c>
      <c r="AJ567" s="75">
        <v>100</v>
      </c>
    </row>
    <row r="568" spans="1:36" hidden="1" x14ac:dyDescent="0.35">
      <c r="A568">
        <v>2824</v>
      </c>
      <c r="B568">
        <v>2825</v>
      </c>
      <c r="C568">
        <v>145.99821209999999</v>
      </c>
      <c r="D568">
        <v>-17.50829517</v>
      </c>
      <c r="G568" s="1" t="str">
        <f t="shared" si="16"/>
        <v/>
      </c>
      <c r="H568">
        <v>10</v>
      </c>
      <c r="I568" t="str">
        <f t="shared" si="17"/>
        <v>X</v>
      </c>
      <c r="J568" s="53" t="str">
        <f>IFERROR(VLOOKUP(B568, DATA_Johnstone_2024_ALL!B:J, 8, FALSE), "")</f>
        <v>X</v>
      </c>
      <c r="K568" s="29"/>
      <c r="L568" s="30"/>
      <c r="M568" s="29"/>
      <c r="N568" s="20" t="str">
        <f>IF(J568=1, DATA_Johnstone_2023_50!M568, "")</f>
        <v/>
      </c>
      <c r="O568" s="20" t="str">
        <f>IF($J568=1, DATA_Johnstone_2023_50!N568, "")</f>
        <v/>
      </c>
      <c r="P568" s="49"/>
      <c r="Q568" s="20" t="str">
        <f>IF($J568=1, DATA_Johnstone_2023_50!P568, "")</f>
        <v/>
      </c>
      <c r="R568" s="22"/>
      <c r="T568" s="22"/>
      <c r="W568" s="47"/>
      <c r="AI568" s="75">
        <v>565</v>
      </c>
      <c r="AJ568" s="75">
        <v>100</v>
      </c>
    </row>
    <row r="569" spans="1:36" hidden="1" x14ac:dyDescent="0.35">
      <c r="A569">
        <v>2829</v>
      </c>
      <c r="B569">
        <v>2830</v>
      </c>
      <c r="C569">
        <v>145.99774840000001</v>
      </c>
      <c r="D569">
        <v>-17.508226229999998</v>
      </c>
      <c r="G569" s="1" t="str">
        <f t="shared" si="16"/>
        <v/>
      </c>
      <c r="H569">
        <v>10</v>
      </c>
      <c r="I569" t="str">
        <f t="shared" si="17"/>
        <v>X</v>
      </c>
      <c r="J569" s="53" t="str">
        <f>IFERROR(VLOOKUP(B569, DATA_Johnstone_2024_ALL!B:J, 8, FALSE), "")</f>
        <v>X</v>
      </c>
      <c r="K569" s="29"/>
      <c r="L569" s="30"/>
      <c r="M569" s="29"/>
      <c r="N569" s="20" t="str">
        <f>IF(J569=1, DATA_Johnstone_2023_50!M569, "")</f>
        <v/>
      </c>
      <c r="O569" s="20" t="str">
        <f>IF($J569=1, DATA_Johnstone_2023_50!N569, "")</f>
        <v/>
      </c>
      <c r="P569" s="49"/>
      <c r="Q569" s="20" t="str">
        <f>IF($J569=1, DATA_Johnstone_2023_50!P569, "")</f>
        <v/>
      </c>
      <c r="R569" s="22"/>
      <c r="T569" s="22"/>
      <c r="W569" s="47"/>
      <c r="AI569" s="75">
        <v>566</v>
      </c>
      <c r="AJ569" s="75">
        <v>100</v>
      </c>
    </row>
    <row r="570" spans="1:36" hidden="1" x14ac:dyDescent="0.35">
      <c r="A570">
        <v>2834</v>
      </c>
      <c r="B570">
        <v>2835</v>
      </c>
      <c r="C570">
        <v>145.99730059999999</v>
      </c>
      <c r="D570">
        <v>-17.50807884</v>
      </c>
      <c r="G570" s="1" t="str">
        <f t="shared" si="16"/>
        <v/>
      </c>
      <c r="H570">
        <v>10</v>
      </c>
      <c r="I570" t="str">
        <f t="shared" si="17"/>
        <v>X</v>
      </c>
      <c r="J570" s="53" t="str">
        <f>IFERROR(VLOOKUP(B570, DATA_Johnstone_2024_ALL!B:J, 8, FALSE), "")</f>
        <v>X</v>
      </c>
      <c r="K570" s="29"/>
      <c r="L570" s="30"/>
      <c r="M570" s="29"/>
      <c r="N570" s="20" t="str">
        <f>IF(J570=1, DATA_Johnstone_2023_50!M570, "")</f>
        <v/>
      </c>
      <c r="O570" s="20" t="str">
        <f>IF($J570=1, DATA_Johnstone_2023_50!N570, "")</f>
        <v/>
      </c>
      <c r="P570" s="49"/>
      <c r="Q570" s="20" t="str">
        <f>IF($J570=1, DATA_Johnstone_2023_50!P570, "")</f>
        <v/>
      </c>
      <c r="R570" s="22"/>
      <c r="T570" s="22"/>
      <c r="W570" s="47"/>
      <c r="AI570" s="75">
        <v>567</v>
      </c>
      <c r="AJ570" s="75">
        <v>100</v>
      </c>
    </row>
    <row r="571" spans="1:36" hidden="1" x14ac:dyDescent="0.35">
      <c r="A571">
        <v>2839</v>
      </c>
      <c r="B571">
        <v>2840</v>
      </c>
      <c r="C571">
        <v>145.9968523</v>
      </c>
      <c r="D571">
        <v>-17.507932660000002</v>
      </c>
      <c r="G571" s="1" t="str">
        <f t="shared" si="16"/>
        <v/>
      </c>
      <c r="H571">
        <v>10</v>
      </c>
      <c r="I571" t="str">
        <f t="shared" si="17"/>
        <v>X</v>
      </c>
      <c r="J571" s="53" t="str">
        <f>IFERROR(VLOOKUP(B571, DATA_Johnstone_2024_ALL!B:J, 8, FALSE), "")</f>
        <v>X</v>
      </c>
      <c r="K571" s="29"/>
      <c r="L571" s="30"/>
      <c r="M571" s="29"/>
      <c r="N571" s="20" t="str">
        <f>IF(J571=1, DATA_Johnstone_2023_50!M571, "")</f>
        <v/>
      </c>
      <c r="O571" s="20" t="str">
        <f>IF($J571=1, DATA_Johnstone_2023_50!N571, "")</f>
        <v/>
      </c>
      <c r="P571" s="49"/>
      <c r="Q571" s="20" t="str">
        <f>IF($J571=1, DATA_Johnstone_2023_50!P571, "")</f>
        <v/>
      </c>
      <c r="R571" s="22"/>
      <c r="T571" s="22"/>
      <c r="W571" s="47"/>
      <c r="AI571" s="75">
        <v>568</v>
      </c>
      <c r="AJ571" s="75">
        <v>100</v>
      </c>
    </row>
    <row r="572" spans="1:36" hidden="1" x14ac:dyDescent="0.35">
      <c r="A572">
        <v>2844</v>
      </c>
      <c r="B572">
        <v>2845</v>
      </c>
      <c r="C572">
        <v>145.99639980000001</v>
      </c>
      <c r="D572">
        <v>-17.50779992</v>
      </c>
      <c r="G572" s="1" t="str">
        <f t="shared" si="16"/>
        <v/>
      </c>
      <c r="H572">
        <v>10</v>
      </c>
      <c r="I572" t="str">
        <f t="shared" si="17"/>
        <v>X</v>
      </c>
      <c r="J572" s="53" t="str">
        <f>IFERROR(VLOOKUP(B572, DATA_Johnstone_2024_ALL!B:J, 8, FALSE), "")</f>
        <v>X</v>
      </c>
      <c r="K572" s="29"/>
      <c r="L572" s="30"/>
      <c r="M572" s="29"/>
      <c r="N572" s="20" t="str">
        <f>IF(J572=1, DATA_Johnstone_2023_50!M572, "")</f>
        <v/>
      </c>
      <c r="O572" s="20" t="str">
        <f>IF($J572=1, DATA_Johnstone_2023_50!N572, "")</f>
        <v/>
      </c>
      <c r="P572" s="49"/>
      <c r="Q572" s="20" t="str">
        <f>IF($J572=1, DATA_Johnstone_2023_50!P572, "")</f>
        <v/>
      </c>
      <c r="R572" s="22"/>
      <c r="T572" s="22"/>
      <c r="W572" s="47"/>
      <c r="AI572" s="75">
        <v>569</v>
      </c>
      <c r="AJ572" s="75">
        <v>100</v>
      </c>
    </row>
    <row r="573" spans="1:36" hidden="1" x14ac:dyDescent="0.35">
      <c r="A573">
        <v>2849</v>
      </c>
      <c r="B573">
        <v>2850</v>
      </c>
      <c r="C573">
        <v>145.99594740000001</v>
      </c>
      <c r="D573">
        <v>-17.507667179999999</v>
      </c>
      <c r="G573" s="1" t="str">
        <f t="shared" si="16"/>
        <v/>
      </c>
      <c r="H573">
        <v>10</v>
      </c>
      <c r="I573" t="str">
        <f t="shared" si="17"/>
        <v>X</v>
      </c>
      <c r="J573" s="53" t="str">
        <f>IFERROR(VLOOKUP(B573, DATA_Johnstone_2024_ALL!B:J, 8, FALSE), "")</f>
        <v>X</v>
      </c>
      <c r="K573" s="29"/>
      <c r="L573" s="30"/>
      <c r="M573" s="29"/>
      <c r="N573" s="20" t="str">
        <f>IF(J573=1, DATA_Johnstone_2023_50!M573, "")</f>
        <v/>
      </c>
      <c r="O573" s="20" t="str">
        <f>IF($J573=1, DATA_Johnstone_2023_50!N573, "")</f>
        <v/>
      </c>
      <c r="P573" s="49"/>
      <c r="Q573" s="20" t="str">
        <f>IF($J573=1, DATA_Johnstone_2023_50!P573, "")</f>
        <v/>
      </c>
      <c r="R573" s="22"/>
      <c r="T573" s="22"/>
      <c r="W573" s="47"/>
      <c r="AI573" s="75">
        <v>570</v>
      </c>
      <c r="AJ573" s="75">
        <v>100</v>
      </c>
    </row>
    <row r="574" spans="1:36" hidden="1" x14ac:dyDescent="0.35">
      <c r="A574">
        <v>2854</v>
      </c>
      <c r="B574">
        <v>2855</v>
      </c>
      <c r="C574">
        <v>145.99549490000001</v>
      </c>
      <c r="D574">
        <v>-17.507534440000001</v>
      </c>
      <c r="G574" s="1" t="str">
        <f t="shared" si="16"/>
        <v/>
      </c>
      <c r="H574">
        <v>10</v>
      </c>
      <c r="I574" t="str">
        <f t="shared" si="17"/>
        <v>X</v>
      </c>
      <c r="J574" s="53" t="str">
        <f>IFERROR(VLOOKUP(B574, DATA_Johnstone_2024_ALL!B:J, 8, FALSE), "")</f>
        <v>X</v>
      </c>
      <c r="K574" s="29"/>
      <c r="L574" s="30"/>
      <c r="M574" s="29"/>
      <c r="N574" s="20" t="str">
        <f>IF(J574=1, DATA_Johnstone_2023_50!M574, "")</f>
        <v/>
      </c>
      <c r="O574" s="20" t="str">
        <f>IF($J574=1, DATA_Johnstone_2023_50!N574, "")</f>
        <v/>
      </c>
      <c r="P574" s="49"/>
      <c r="Q574" s="20" t="str">
        <f>IF($J574=1, DATA_Johnstone_2023_50!P574, "")</f>
        <v/>
      </c>
      <c r="R574" s="22"/>
      <c r="T574" s="22"/>
      <c r="W574" s="47"/>
      <c r="AI574" s="75">
        <v>571</v>
      </c>
      <c r="AJ574" s="75">
        <v>100</v>
      </c>
    </row>
    <row r="575" spans="1:36" hidden="1" x14ac:dyDescent="0.35">
      <c r="A575">
        <v>2859</v>
      </c>
      <c r="B575">
        <v>2860</v>
      </c>
      <c r="C575">
        <v>145.99504450000001</v>
      </c>
      <c r="D575">
        <v>-17.507394990000002</v>
      </c>
      <c r="G575" s="1" t="str">
        <f t="shared" si="16"/>
        <v/>
      </c>
      <c r="H575">
        <v>10</v>
      </c>
      <c r="I575" t="str">
        <f t="shared" si="17"/>
        <v>X</v>
      </c>
      <c r="J575" s="53" t="str">
        <f>IFERROR(VLOOKUP(B575, DATA_Johnstone_2024_ALL!B:J, 8, FALSE), "")</f>
        <v>X</v>
      </c>
      <c r="K575" s="29"/>
      <c r="L575" s="30"/>
      <c r="M575" s="29"/>
      <c r="N575" s="20" t="str">
        <f>IF(J575=1, DATA_Johnstone_2023_50!M575, "")</f>
        <v/>
      </c>
      <c r="O575" s="20" t="str">
        <f>IF($J575=1, DATA_Johnstone_2023_50!N575, "")</f>
        <v/>
      </c>
      <c r="P575" s="49"/>
      <c r="Q575" s="20" t="str">
        <f>IF($J575=1, DATA_Johnstone_2023_50!P575, "")</f>
        <v/>
      </c>
      <c r="R575" s="22"/>
      <c r="T575" s="22"/>
      <c r="W575" s="47"/>
      <c r="AI575" s="75">
        <v>572</v>
      </c>
      <c r="AJ575" s="75">
        <v>100</v>
      </c>
    </row>
    <row r="576" spans="1:36" hidden="1" x14ac:dyDescent="0.35">
      <c r="A576">
        <v>2864</v>
      </c>
      <c r="B576">
        <v>2865</v>
      </c>
      <c r="C576">
        <v>145.99459529999999</v>
      </c>
      <c r="D576">
        <v>-17.50725181</v>
      </c>
      <c r="G576" s="1" t="str">
        <f t="shared" si="16"/>
        <v/>
      </c>
      <c r="H576">
        <v>10</v>
      </c>
      <c r="I576" t="str">
        <f t="shared" si="17"/>
        <v>X</v>
      </c>
      <c r="J576" s="53" t="str">
        <f>IFERROR(VLOOKUP(B576, DATA_Johnstone_2024_ALL!B:J, 8, FALSE), "")</f>
        <v>X</v>
      </c>
      <c r="K576" s="29"/>
      <c r="L576" s="30"/>
      <c r="M576" s="29"/>
      <c r="N576" s="20" t="str">
        <f>IF(J576=1, DATA_Johnstone_2023_50!M576, "")</f>
        <v/>
      </c>
      <c r="O576" s="20" t="str">
        <f>IF($J576=1, DATA_Johnstone_2023_50!N576, "")</f>
        <v/>
      </c>
      <c r="P576" s="49"/>
      <c r="Q576" s="20" t="str">
        <f>IF($J576=1, DATA_Johnstone_2023_50!P576, "")</f>
        <v/>
      </c>
      <c r="R576" s="22"/>
      <c r="T576" s="22"/>
      <c r="W576" s="47"/>
      <c r="AI576" s="75">
        <v>573</v>
      </c>
      <c r="AJ576" s="75">
        <v>100</v>
      </c>
    </row>
    <row r="577" spans="1:36" hidden="1" x14ac:dyDescent="0.35">
      <c r="A577">
        <v>2869</v>
      </c>
      <c r="B577">
        <v>2870</v>
      </c>
      <c r="C577">
        <v>145.99414300000001</v>
      </c>
      <c r="D577">
        <v>-17.507119889999998</v>
      </c>
      <c r="G577" s="1" t="str">
        <f t="shared" si="16"/>
        <v/>
      </c>
      <c r="H577">
        <v>10</v>
      </c>
      <c r="I577" t="str">
        <f t="shared" si="17"/>
        <v>X</v>
      </c>
      <c r="J577" s="53" t="str">
        <f>IFERROR(VLOOKUP(B577, DATA_Johnstone_2024_ALL!B:J, 8, FALSE), "")</f>
        <v>X</v>
      </c>
      <c r="K577" s="29"/>
      <c r="L577" s="30"/>
      <c r="M577" s="29"/>
      <c r="N577" s="20" t="str">
        <f>IF(J577=1, DATA_Johnstone_2023_50!M577, "")</f>
        <v/>
      </c>
      <c r="O577" s="20" t="str">
        <f>IF($J577=1, DATA_Johnstone_2023_50!N577, "")</f>
        <v/>
      </c>
      <c r="P577" s="49"/>
      <c r="Q577" s="20" t="str">
        <f>IF($J577=1, DATA_Johnstone_2023_50!P577, "")</f>
        <v/>
      </c>
      <c r="R577" s="22"/>
      <c r="T577" s="22"/>
      <c r="W577" s="47"/>
      <c r="AI577" s="75">
        <v>574</v>
      </c>
      <c r="AJ577" s="75">
        <v>100</v>
      </c>
    </row>
    <row r="578" spans="1:36" hidden="1" x14ac:dyDescent="0.35">
      <c r="A578">
        <v>2874</v>
      </c>
      <c r="B578">
        <v>2875</v>
      </c>
      <c r="C578">
        <v>145.99368319999999</v>
      </c>
      <c r="D578">
        <v>-17.50701531</v>
      </c>
      <c r="G578" s="1" t="str">
        <f t="shared" si="16"/>
        <v/>
      </c>
      <c r="H578">
        <v>10</v>
      </c>
      <c r="I578" t="str">
        <f t="shared" si="17"/>
        <v>X</v>
      </c>
      <c r="J578" s="53" t="str">
        <f>IFERROR(VLOOKUP(B578, DATA_Johnstone_2024_ALL!B:J, 8, FALSE), "")</f>
        <v>X</v>
      </c>
      <c r="K578" s="29"/>
      <c r="L578" s="30"/>
      <c r="M578" s="29"/>
      <c r="N578" s="20" t="str">
        <f>IF(J578=1, DATA_Johnstone_2023_50!M578, "")</f>
        <v/>
      </c>
      <c r="O578" s="20" t="str">
        <f>IF($J578=1, DATA_Johnstone_2023_50!N578, "")</f>
        <v/>
      </c>
      <c r="P578" s="49"/>
      <c r="Q578" s="20" t="str">
        <f>IF($J578=1, DATA_Johnstone_2023_50!P578, "")</f>
        <v/>
      </c>
      <c r="R578" s="22"/>
      <c r="T578" s="22"/>
      <c r="W578" s="47"/>
      <c r="AI578" s="75">
        <v>575</v>
      </c>
      <c r="AJ578" s="75">
        <v>100</v>
      </c>
    </row>
    <row r="579" spans="1:36" hidden="1" x14ac:dyDescent="0.35">
      <c r="A579">
        <v>2879</v>
      </c>
      <c r="B579">
        <v>2880</v>
      </c>
      <c r="C579">
        <v>145.99322340000001</v>
      </c>
      <c r="D579">
        <v>-17.506910730000001</v>
      </c>
      <c r="G579" s="1" t="str">
        <f t="shared" si="16"/>
        <v/>
      </c>
      <c r="H579">
        <v>10</v>
      </c>
      <c r="I579" t="str">
        <f t="shared" si="17"/>
        <v>X</v>
      </c>
      <c r="J579" s="53" t="str">
        <f>IFERROR(VLOOKUP(B579, DATA_Johnstone_2024_ALL!B:J, 8, FALSE), "")</f>
        <v>X</v>
      </c>
      <c r="K579" s="29"/>
      <c r="L579" s="30"/>
      <c r="M579" s="29"/>
      <c r="N579" s="20" t="str">
        <f>IF(J579=1, DATA_Johnstone_2023_50!M579, "")</f>
        <v/>
      </c>
      <c r="O579" s="20" t="str">
        <f>IF($J579=1, DATA_Johnstone_2023_50!N579, "")</f>
        <v/>
      </c>
      <c r="P579" s="49"/>
      <c r="Q579" s="20" t="str">
        <f>IF($J579=1, DATA_Johnstone_2023_50!P579, "")</f>
        <v/>
      </c>
      <c r="R579" s="22"/>
      <c r="T579" s="22"/>
      <c r="W579" s="47"/>
      <c r="AI579" s="75">
        <v>576</v>
      </c>
      <c r="AJ579" s="75">
        <v>100</v>
      </c>
    </row>
    <row r="580" spans="1:36" hidden="1" x14ac:dyDescent="0.35">
      <c r="A580">
        <v>2884</v>
      </c>
      <c r="B580">
        <v>2885</v>
      </c>
      <c r="C580">
        <v>145.99278580000001</v>
      </c>
      <c r="D580">
        <v>-17.506764310000001</v>
      </c>
      <c r="G580" s="1" t="str">
        <f>IF(F580="", "", HYPERLINK("D:\Data From Lucan\2024\Johnstone\Frames_for_Analysis_50\" &amp; F580, F580))</f>
        <v/>
      </c>
      <c r="H580">
        <v>0</v>
      </c>
      <c r="I580" t="str">
        <f t="shared" si="17"/>
        <v>X</v>
      </c>
      <c r="J580" s="53" t="str">
        <f>IFERROR(VLOOKUP(B580, DATA_Johnstone_2024_ALL!B:J, 8, FALSE), "")</f>
        <v>X</v>
      </c>
      <c r="K580" s="29"/>
      <c r="L580" s="30"/>
      <c r="M580" s="29"/>
      <c r="N580" s="20" t="str">
        <f>IF(J580=1, DATA_Johnstone_2023_50!M580, "")</f>
        <v/>
      </c>
      <c r="O580" s="20" t="str">
        <f>IF($J580=1, DATA_Johnstone_2023_50!N580, "")</f>
        <v/>
      </c>
      <c r="P580" s="49"/>
      <c r="Q580" s="20" t="str">
        <f>IF($J580=1, DATA_Johnstone_2023_50!P580, "")</f>
        <v/>
      </c>
      <c r="R580" s="22"/>
      <c r="T580" s="22"/>
      <c r="W580" s="47"/>
      <c r="AI580" s="75">
        <v>577</v>
      </c>
      <c r="AJ580" s="75">
        <v>100</v>
      </c>
    </row>
    <row r="581" spans="1:36" hidden="1" x14ac:dyDescent="0.35">
      <c r="A581">
        <v>2889</v>
      </c>
      <c r="B581">
        <v>2890</v>
      </c>
      <c r="C581">
        <v>145.9931449</v>
      </c>
      <c r="D581">
        <v>-17.505861209999999</v>
      </c>
      <c r="G581" s="1" t="str">
        <f t="shared" ref="G581:G644" si="18">IF(F581="", "", HYPERLINK("E:\Data From Lucan\2024\Johnstone\Frames_for_Analysis_50\" &amp; F581, F581))</f>
        <v/>
      </c>
      <c r="H581">
        <v>10</v>
      </c>
      <c r="I581" t="str">
        <f t="shared" ref="I581:I644" si="19">IF(G581="","X","")</f>
        <v>X</v>
      </c>
      <c r="J581" s="53" t="str">
        <f>IFERROR(VLOOKUP(B581, DATA_Johnstone_2024_ALL!B:J, 8, FALSE), "")</f>
        <v>X</v>
      </c>
      <c r="K581" s="29"/>
      <c r="L581" s="30"/>
      <c r="M581" s="29"/>
      <c r="N581" s="20" t="str">
        <f>IF(J581=1, DATA_Johnstone_2023_50!M581, "")</f>
        <v/>
      </c>
      <c r="O581" s="20" t="str">
        <f>IF($J581=1, DATA_Johnstone_2023_50!N581, "")</f>
        <v/>
      </c>
      <c r="P581" s="49"/>
      <c r="Q581" s="20" t="str">
        <f>IF($J581=1, DATA_Johnstone_2023_50!P581, "")</f>
        <v/>
      </c>
      <c r="R581" s="22"/>
      <c r="T581" s="22"/>
      <c r="W581" s="47"/>
      <c r="AI581" s="75">
        <v>578</v>
      </c>
      <c r="AJ581" s="75">
        <v>100</v>
      </c>
    </row>
    <row r="582" spans="1:36" hidden="1" x14ac:dyDescent="0.35">
      <c r="A582">
        <v>2894</v>
      </c>
      <c r="B582">
        <v>2895</v>
      </c>
      <c r="C582">
        <v>145.9935888</v>
      </c>
      <c r="D582">
        <v>-17.506019599999998</v>
      </c>
      <c r="G582" s="1" t="str">
        <f t="shared" si="18"/>
        <v/>
      </c>
      <c r="H582">
        <v>10</v>
      </c>
      <c r="I582" t="str">
        <f t="shared" si="19"/>
        <v>X</v>
      </c>
      <c r="J582" s="53" t="str">
        <f>IFERROR(VLOOKUP(B582, DATA_Johnstone_2024_ALL!B:J, 8, FALSE), "")</f>
        <v>X</v>
      </c>
      <c r="K582" s="29"/>
      <c r="L582" s="30"/>
      <c r="M582" s="29"/>
      <c r="N582" s="20" t="str">
        <f>IF(J582=1, DATA_Johnstone_2023_50!M582, "")</f>
        <v/>
      </c>
      <c r="O582" s="20" t="str">
        <f>IF($J582=1, DATA_Johnstone_2023_50!N582, "")</f>
        <v/>
      </c>
      <c r="P582" s="49"/>
      <c r="Q582" s="20" t="str">
        <f>IF($J582=1, DATA_Johnstone_2023_50!P582, "")</f>
        <v/>
      </c>
      <c r="R582" s="22"/>
      <c r="T582" s="22"/>
      <c r="W582" s="47"/>
      <c r="AI582" s="75">
        <v>579</v>
      </c>
      <c r="AJ582" s="75">
        <v>100</v>
      </c>
    </row>
    <row r="583" spans="1:36" hidden="1" x14ac:dyDescent="0.35">
      <c r="A583">
        <v>2899</v>
      </c>
      <c r="B583">
        <v>2900</v>
      </c>
      <c r="C583">
        <v>145.99403760000001</v>
      </c>
      <c r="D583">
        <v>-17.506164429999998</v>
      </c>
      <c r="G583" s="1" t="str">
        <f t="shared" si="18"/>
        <v/>
      </c>
      <c r="H583">
        <v>10</v>
      </c>
      <c r="I583" t="str">
        <f t="shared" si="19"/>
        <v>X</v>
      </c>
      <c r="J583" s="53" t="str">
        <f>IFERROR(VLOOKUP(B583, DATA_Johnstone_2024_ALL!B:J, 8, FALSE), "")</f>
        <v>X</v>
      </c>
      <c r="K583" s="29"/>
      <c r="L583" s="30"/>
      <c r="M583" s="29"/>
      <c r="N583" s="20" t="str">
        <f>IF(J583=1, DATA_Johnstone_2023_50!M583, "")</f>
        <v/>
      </c>
      <c r="O583" s="20" t="str">
        <f>IF($J583=1, DATA_Johnstone_2023_50!N583, "")</f>
        <v/>
      </c>
      <c r="P583" s="49"/>
      <c r="Q583" s="20" t="str">
        <f>IF($J583=1, DATA_Johnstone_2023_50!P583, "")</f>
        <v/>
      </c>
      <c r="R583" s="22"/>
      <c r="T583" s="22"/>
      <c r="W583" s="47"/>
      <c r="AI583" s="75">
        <v>580</v>
      </c>
      <c r="AJ583" s="75">
        <v>100</v>
      </c>
    </row>
    <row r="584" spans="1:36" hidden="1" x14ac:dyDescent="0.35">
      <c r="A584">
        <v>2904</v>
      </c>
      <c r="B584">
        <v>2905</v>
      </c>
      <c r="C584">
        <v>145.99448630000001</v>
      </c>
      <c r="D584">
        <v>-17.506309259999998</v>
      </c>
      <c r="G584" s="1" t="str">
        <f t="shared" si="18"/>
        <v/>
      </c>
      <c r="H584">
        <v>10</v>
      </c>
      <c r="I584" t="str">
        <f t="shared" si="19"/>
        <v>X</v>
      </c>
      <c r="J584" s="53" t="str">
        <f>IFERROR(VLOOKUP(B584, DATA_Johnstone_2024_ALL!B:J, 8, FALSE), "")</f>
        <v>X</v>
      </c>
      <c r="K584" s="29"/>
      <c r="L584" s="30"/>
      <c r="M584" s="29"/>
      <c r="N584" s="20" t="str">
        <f>IF(J584=1, DATA_Johnstone_2023_50!M584, "")</f>
        <v/>
      </c>
      <c r="O584" s="20" t="str">
        <f>IF($J584=1, DATA_Johnstone_2023_50!N584, "")</f>
        <v/>
      </c>
      <c r="P584" s="49"/>
      <c r="Q584" s="20" t="str">
        <f>IF($J584=1, DATA_Johnstone_2023_50!P584, "")</f>
        <v/>
      </c>
      <c r="R584" s="22"/>
      <c r="T584" s="22"/>
      <c r="W584" s="47"/>
      <c r="AI584" s="75">
        <v>581</v>
      </c>
      <c r="AJ584" s="75">
        <v>100</v>
      </c>
    </row>
    <row r="585" spans="1:36" hidden="1" x14ac:dyDescent="0.35">
      <c r="A585">
        <v>2909</v>
      </c>
      <c r="B585">
        <v>2910</v>
      </c>
      <c r="C585">
        <v>145.9949345</v>
      </c>
      <c r="D585">
        <v>-17.50645149</v>
      </c>
      <c r="G585" s="1" t="str">
        <f t="shared" si="18"/>
        <v/>
      </c>
      <c r="H585">
        <v>10</v>
      </c>
      <c r="I585" t="str">
        <f t="shared" si="19"/>
        <v>X</v>
      </c>
      <c r="J585" s="53" t="str">
        <f>IFERROR(VLOOKUP(B585, DATA_Johnstone_2024_ALL!B:J, 8, FALSE), "")</f>
        <v>X</v>
      </c>
      <c r="K585" s="29"/>
      <c r="L585" s="30"/>
      <c r="M585" s="29"/>
      <c r="N585" s="20" t="str">
        <f>IF(J585=1, DATA_Johnstone_2023_50!M585, "")</f>
        <v/>
      </c>
      <c r="O585" s="20" t="str">
        <f>IF($J585=1, DATA_Johnstone_2023_50!N585, "")</f>
        <v/>
      </c>
      <c r="P585" s="49"/>
      <c r="Q585" s="20" t="str">
        <f>IF($J585=1, DATA_Johnstone_2023_50!P585, "")</f>
        <v/>
      </c>
      <c r="R585" s="22"/>
      <c r="T585" s="22"/>
      <c r="W585" s="47"/>
      <c r="AI585" s="75">
        <v>582</v>
      </c>
      <c r="AJ585" s="75">
        <v>100</v>
      </c>
    </row>
    <row r="586" spans="1:36" hidden="1" x14ac:dyDescent="0.35">
      <c r="A586">
        <v>2914</v>
      </c>
      <c r="B586">
        <v>2915</v>
      </c>
      <c r="C586">
        <v>145.9953726</v>
      </c>
      <c r="D586">
        <v>-17.50662522</v>
      </c>
      <c r="G586" s="1" t="str">
        <f t="shared" si="18"/>
        <v/>
      </c>
      <c r="H586">
        <v>10</v>
      </c>
      <c r="I586" t="str">
        <f t="shared" si="19"/>
        <v>X</v>
      </c>
      <c r="J586" s="53" t="str">
        <f>IFERROR(VLOOKUP(B586, DATA_Johnstone_2024_ALL!B:J, 8, FALSE), "")</f>
        <v>X</v>
      </c>
      <c r="K586" s="29"/>
      <c r="L586" s="30"/>
      <c r="M586" s="29"/>
      <c r="N586" s="20" t="str">
        <f>IF(J586=1, DATA_Johnstone_2023_50!M586, "")</f>
        <v/>
      </c>
      <c r="O586" s="20" t="str">
        <f>IF($J586=1, DATA_Johnstone_2023_50!N586, "")</f>
        <v/>
      </c>
      <c r="P586" s="49"/>
      <c r="Q586" s="20" t="str">
        <f>IF($J586=1, DATA_Johnstone_2023_50!P586, "")</f>
        <v/>
      </c>
      <c r="R586" s="22"/>
      <c r="T586" s="22"/>
      <c r="W586" s="47"/>
      <c r="AI586" s="75">
        <v>583</v>
      </c>
      <c r="AJ586" s="75">
        <v>100</v>
      </c>
    </row>
    <row r="587" spans="1:36" hidden="1" x14ac:dyDescent="0.35">
      <c r="A587">
        <v>2919</v>
      </c>
      <c r="B587">
        <v>2920</v>
      </c>
      <c r="C587">
        <v>145.99582950000001</v>
      </c>
      <c r="D587">
        <v>-17.506741810000001</v>
      </c>
      <c r="G587" s="1" t="str">
        <f t="shared" si="18"/>
        <v/>
      </c>
      <c r="H587">
        <v>10</v>
      </c>
      <c r="I587" t="str">
        <f t="shared" si="19"/>
        <v>X</v>
      </c>
      <c r="J587" s="53" t="str">
        <f>IFERROR(VLOOKUP(B587, DATA_Johnstone_2024_ALL!B:J, 8, FALSE), "")</f>
        <v>X</v>
      </c>
      <c r="K587" s="29"/>
      <c r="L587" s="30"/>
      <c r="M587" s="29"/>
      <c r="N587" s="20" t="str">
        <f>IF(J587=1, DATA_Johnstone_2023_50!M587, "")</f>
        <v/>
      </c>
      <c r="O587" s="20" t="str">
        <f>IF($J587=1, DATA_Johnstone_2023_50!N587, "")</f>
        <v/>
      </c>
      <c r="P587" s="49"/>
      <c r="Q587" s="20" t="str">
        <f>IF($J587=1, DATA_Johnstone_2023_50!P587, "")</f>
        <v/>
      </c>
      <c r="R587" s="22"/>
      <c r="T587" s="22"/>
      <c r="W587" s="47"/>
      <c r="AI587" s="75">
        <v>584</v>
      </c>
      <c r="AJ587" s="75">
        <v>100</v>
      </c>
    </row>
    <row r="588" spans="1:36" hidden="1" x14ac:dyDescent="0.35">
      <c r="A588">
        <v>2924</v>
      </c>
      <c r="B588">
        <v>2925</v>
      </c>
      <c r="C588">
        <v>145.99628630000001</v>
      </c>
      <c r="D588">
        <v>-17.50685841</v>
      </c>
      <c r="G588" s="1" t="str">
        <f t="shared" si="18"/>
        <v/>
      </c>
      <c r="H588">
        <v>10</v>
      </c>
      <c r="I588" t="str">
        <f t="shared" si="19"/>
        <v>X</v>
      </c>
      <c r="J588" s="53" t="str">
        <f>IFERROR(VLOOKUP(B588, DATA_Johnstone_2024_ALL!B:J, 8, FALSE), "")</f>
        <v>X</v>
      </c>
      <c r="K588" s="29"/>
      <c r="L588" s="30"/>
      <c r="M588" s="29"/>
      <c r="N588" s="20" t="str">
        <f>IF(J588=1, DATA_Johnstone_2023_50!M588, "")</f>
        <v/>
      </c>
      <c r="O588" s="20" t="str">
        <f>IF($J588=1, DATA_Johnstone_2023_50!N588, "")</f>
        <v/>
      </c>
      <c r="P588" s="49"/>
      <c r="Q588" s="20" t="str">
        <f>IF($J588=1, DATA_Johnstone_2023_50!P588, "")</f>
        <v/>
      </c>
      <c r="R588" s="22"/>
      <c r="T588" s="22"/>
      <c r="W588" s="47"/>
      <c r="AI588" s="75">
        <v>585</v>
      </c>
      <c r="AJ588" s="75">
        <v>100</v>
      </c>
    </row>
    <row r="589" spans="1:36" hidden="1" x14ac:dyDescent="0.35">
      <c r="A589">
        <v>2929</v>
      </c>
      <c r="B589">
        <v>2930</v>
      </c>
      <c r="C589">
        <v>145.9967432</v>
      </c>
      <c r="D589">
        <v>-17.506975010000001</v>
      </c>
      <c r="G589" s="1" t="str">
        <f t="shared" si="18"/>
        <v/>
      </c>
      <c r="H589">
        <v>10</v>
      </c>
      <c r="I589" t="str">
        <f t="shared" si="19"/>
        <v>X</v>
      </c>
      <c r="J589" s="53" t="str">
        <f>IFERROR(VLOOKUP(B589, DATA_Johnstone_2024_ALL!B:J, 8, FALSE), "")</f>
        <v>X</v>
      </c>
      <c r="K589" s="29"/>
      <c r="L589" s="30"/>
      <c r="M589" s="29"/>
      <c r="N589" s="20" t="str">
        <f>IF(J589=1, DATA_Johnstone_2023_50!M589, "")</f>
        <v/>
      </c>
      <c r="O589" s="20" t="str">
        <f>IF($J589=1, DATA_Johnstone_2023_50!N589, "")</f>
        <v/>
      </c>
      <c r="P589" s="49"/>
      <c r="Q589" s="20" t="str">
        <f>IF($J589=1, DATA_Johnstone_2023_50!P589, "")</f>
        <v/>
      </c>
      <c r="R589" s="22"/>
      <c r="T589" s="22"/>
      <c r="W589" s="47"/>
      <c r="AI589" s="75">
        <v>586</v>
      </c>
      <c r="AJ589" s="75">
        <v>100</v>
      </c>
    </row>
    <row r="590" spans="1:36" hidden="1" x14ac:dyDescent="0.35">
      <c r="A590">
        <v>2934</v>
      </c>
      <c r="B590">
        <v>2935</v>
      </c>
      <c r="C590">
        <v>145.99720009999999</v>
      </c>
      <c r="D590">
        <v>-17.50709161</v>
      </c>
      <c r="G590" s="1" t="str">
        <f t="shared" si="18"/>
        <v/>
      </c>
      <c r="H590">
        <v>10</v>
      </c>
      <c r="I590" t="str">
        <f t="shared" si="19"/>
        <v>X</v>
      </c>
      <c r="J590" s="53" t="str">
        <f>IFERROR(VLOOKUP(B590, DATA_Johnstone_2024_ALL!B:J, 8, FALSE), "")</f>
        <v>X</v>
      </c>
      <c r="K590" s="29"/>
      <c r="L590" s="30"/>
      <c r="M590" s="29"/>
      <c r="N590" s="20" t="str">
        <f>IF(J590=1, DATA_Johnstone_2023_50!M590, "")</f>
        <v/>
      </c>
      <c r="O590" s="20" t="str">
        <f>IF($J590=1, DATA_Johnstone_2023_50!N590, "")</f>
        <v/>
      </c>
      <c r="P590" s="49"/>
      <c r="Q590" s="20" t="str">
        <f>IF($J590=1, DATA_Johnstone_2023_50!P590, "")</f>
        <v/>
      </c>
      <c r="R590" s="22"/>
      <c r="T590" s="22"/>
      <c r="W590" s="47"/>
      <c r="AI590" s="75">
        <v>587</v>
      </c>
      <c r="AJ590" s="75">
        <v>100</v>
      </c>
    </row>
    <row r="591" spans="1:36" hidden="1" x14ac:dyDescent="0.35">
      <c r="A591">
        <v>2939</v>
      </c>
      <c r="B591">
        <v>2940</v>
      </c>
      <c r="C591">
        <v>145.99765769999999</v>
      </c>
      <c r="D591">
        <v>-17.507205389999999</v>
      </c>
      <c r="G591" s="1" t="str">
        <f t="shared" si="18"/>
        <v/>
      </c>
      <c r="H591">
        <v>10</v>
      </c>
      <c r="I591" t="str">
        <f t="shared" si="19"/>
        <v>X</v>
      </c>
      <c r="J591" s="53" t="str">
        <f>IFERROR(VLOOKUP(B591, DATA_Johnstone_2024_ALL!B:J, 8, FALSE), "")</f>
        <v>X</v>
      </c>
      <c r="K591" s="29"/>
      <c r="L591" s="30"/>
      <c r="M591" s="29"/>
      <c r="N591" s="20" t="str">
        <f>IF(J591=1, DATA_Johnstone_2023_50!M591, "")</f>
        <v/>
      </c>
      <c r="O591" s="20" t="str">
        <f>IF($J591=1, DATA_Johnstone_2023_50!N591, "")</f>
        <v/>
      </c>
      <c r="P591" s="49"/>
      <c r="Q591" s="20" t="str">
        <f>IF($J591=1, DATA_Johnstone_2023_50!P591, "")</f>
        <v/>
      </c>
      <c r="R591" s="22"/>
      <c r="T591" s="22"/>
      <c r="W591" s="47"/>
      <c r="AI591" s="75">
        <v>588</v>
      </c>
      <c r="AJ591" s="75">
        <v>100</v>
      </c>
    </row>
    <row r="592" spans="1:36" hidden="1" x14ac:dyDescent="0.35">
      <c r="A592">
        <v>2944</v>
      </c>
      <c r="B592">
        <v>2945</v>
      </c>
      <c r="C592">
        <v>145.99811529999999</v>
      </c>
      <c r="D592">
        <v>-17.507318940000001</v>
      </c>
      <c r="G592" s="1" t="str">
        <f t="shared" si="18"/>
        <v/>
      </c>
      <c r="H592">
        <v>10</v>
      </c>
      <c r="I592" t="str">
        <f t="shared" si="19"/>
        <v>X</v>
      </c>
      <c r="J592" s="53" t="str">
        <f>IFERROR(VLOOKUP(B592, DATA_Johnstone_2024_ALL!B:J, 8, FALSE), "")</f>
        <v>X</v>
      </c>
      <c r="K592" s="29"/>
      <c r="L592" s="30"/>
      <c r="M592" s="29"/>
      <c r="N592" s="20" t="str">
        <f>IF(J592=1, DATA_Johnstone_2023_50!M592, "")</f>
        <v/>
      </c>
      <c r="O592" s="20" t="str">
        <f>IF($J592=1, DATA_Johnstone_2023_50!N592, "")</f>
        <v/>
      </c>
      <c r="P592" s="49"/>
      <c r="Q592" s="20" t="str">
        <f>IF($J592=1, DATA_Johnstone_2023_50!P592, "")</f>
        <v/>
      </c>
      <c r="R592" s="22"/>
      <c r="T592" s="22"/>
      <c r="W592" s="47"/>
      <c r="AI592" s="75">
        <v>589</v>
      </c>
      <c r="AJ592" s="75">
        <v>100</v>
      </c>
    </row>
    <row r="593" spans="1:36" hidden="1" x14ac:dyDescent="0.35">
      <c r="A593">
        <v>2949</v>
      </c>
      <c r="B593">
        <v>2950</v>
      </c>
      <c r="C593">
        <v>145.99857370000001</v>
      </c>
      <c r="D593">
        <v>-17.50742799</v>
      </c>
      <c r="G593" s="1" t="str">
        <f t="shared" si="18"/>
        <v/>
      </c>
      <c r="H593">
        <v>10</v>
      </c>
      <c r="I593" t="str">
        <f t="shared" si="19"/>
        <v>X</v>
      </c>
      <c r="J593" s="53" t="str">
        <f>IFERROR(VLOOKUP(B593, DATA_Johnstone_2024_ALL!B:J, 8, FALSE), "")</f>
        <v>X</v>
      </c>
      <c r="K593" s="29"/>
      <c r="L593" s="30"/>
      <c r="M593" s="29"/>
      <c r="N593" s="20" t="str">
        <f>IF(J593=1, DATA_Johnstone_2023_50!M593, "")</f>
        <v/>
      </c>
      <c r="O593" s="20" t="str">
        <f>IF($J593=1, DATA_Johnstone_2023_50!N593, "")</f>
        <v/>
      </c>
      <c r="P593" s="49"/>
      <c r="Q593" s="20" t="str">
        <f>IF($J593=1, DATA_Johnstone_2023_50!P593, "")</f>
        <v/>
      </c>
      <c r="R593" s="22"/>
      <c r="T593" s="22"/>
      <c r="W593" s="47"/>
      <c r="AI593" s="75">
        <v>590</v>
      </c>
      <c r="AJ593" s="75">
        <v>100</v>
      </c>
    </row>
    <row r="594" spans="1:36" hidden="1" x14ac:dyDescent="0.35">
      <c r="A594">
        <v>2954</v>
      </c>
      <c r="B594">
        <v>2955</v>
      </c>
      <c r="C594">
        <v>145.99904359999999</v>
      </c>
      <c r="D594">
        <v>-17.50746715</v>
      </c>
      <c r="G594" s="1" t="str">
        <f t="shared" si="18"/>
        <v/>
      </c>
      <c r="H594">
        <v>10</v>
      </c>
      <c r="I594" t="str">
        <f t="shared" si="19"/>
        <v>X</v>
      </c>
      <c r="J594" s="53" t="str">
        <f>IFERROR(VLOOKUP(B594, DATA_Johnstone_2024_ALL!B:J, 8, FALSE), "")</f>
        <v>X</v>
      </c>
      <c r="K594" s="29"/>
      <c r="L594" s="30"/>
      <c r="M594" s="29"/>
      <c r="N594" s="20" t="str">
        <f>IF(J594=1, DATA_Johnstone_2023_50!M594, "")</f>
        <v/>
      </c>
      <c r="O594" s="20" t="str">
        <f>IF($J594=1, DATA_Johnstone_2023_50!N594, "")</f>
        <v/>
      </c>
      <c r="P594" s="49"/>
      <c r="Q594" s="20" t="str">
        <f>IF($J594=1, DATA_Johnstone_2023_50!P594, "")</f>
        <v/>
      </c>
      <c r="R594" s="22"/>
      <c r="T594" s="22"/>
      <c r="W594" s="47"/>
      <c r="AI594" s="75">
        <v>591</v>
      </c>
      <c r="AJ594" s="75">
        <v>100</v>
      </c>
    </row>
    <row r="595" spans="1:36" hidden="1" x14ac:dyDescent="0.35">
      <c r="A595">
        <v>2959</v>
      </c>
      <c r="B595">
        <v>2960</v>
      </c>
      <c r="C595">
        <v>145.99951350000001</v>
      </c>
      <c r="D595">
        <v>-17.507506299999999</v>
      </c>
      <c r="G595" s="1" t="str">
        <f t="shared" si="18"/>
        <v/>
      </c>
      <c r="H595">
        <v>10</v>
      </c>
      <c r="I595" t="str">
        <f t="shared" si="19"/>
        <v>X</v>
      </c>
      <c r="J595" s="53" t="str">
        <f>IFERROR(VLOOKUP(B595, DATA_Johnstone_2024_ALL!B:J, 8, FALSE), "")</f>
        <v>X</v>
      </c>
      <c r="K595" s="29"/>
      <c r="L595" s="30"/>
      <c r="M595" s="29"/>
      <c r="N595" s="20" t="str">
        <f>IF(J595=1, DATA_Johnstone_2023_50!M595, "")</f>
        <v/>
      </c>
      <c r="O595" s="20" t="str">
        <f>IF($J595=1, DATA_Johnstone_2023_50!N595, "")</f>
        <v/>
      </c>
      <c r="P595" s="49"/>
      <c r="Q595" s="20" t="str">
        <f>IF($J595=1, DATA_Johnstone_2023_50!P595, "")</f>
        <v/>
      </c>
      <c r="R595" s="22"/>
      <c r="T595" s="22"/>
      <c r="W595" s="47"/>
      <c r="AI595" s="75">
        <v>592</v>
      </c>
      <c r="AJ595" s="75">
        <v>100</v>
      </c>
    </row>
    <row r="596" spans="1:36" hidden="1" x14ac:dyDescent="0.35">
      <c r="A596">
        <v>2964</v>
      </c>
      <c r="B596">
        <v>2965</v>
      </c>
      <c r="C596">
        <v>145.99997970000001</v>
      </c>
      <c r="D596">
        <v>-17.507475800000002</v>
      </c>
      <c r="G596" s="1" t="str">
        <f t="shared" si="18"/>
        <v/>
      </c>
      <c r="H596">
        <v>10</v>
      </c>
      <c r="I596" t="str">
        <f t="shared" si="19"/>
        <v>X</v>
      </c>
      <c r="J596" s="53" t="str">
        <f>IFERROR(VLOOKUP(B596, DATA_Johnstone_2024_ALL!B:J, 8, FALSE), "")</f>
        <v>X</v>
      </c>
      <c r="K596" s="29"/>
      <c r="L596" s="30"/>
      <c r="M596" s="29"/>
      <c r="N596" s="20" t="str">
        <f>IF(J596=1, DATA_Johnstone_2023_50!M596, "")</f>
        <v/>
      </c>
      <c r="O596" s="20" t="str">
        <f>IF($J596=1, DATA_Johnstone_2023_50!N596, "")</f>
        <v/>
      </c>
      <c r="P596" s="49"/>
      <c r="Q596" s="20" t="str">
        <f>IF($J596=1, DATA_Johnstone_2023_50!P596, "")</f>
        <v/>
      </c>
      <c r="R596" s="22"/>
      <c r="T596" s="22"/>
      <c r="W596" s="47"/>
      <c r="AI596" s="75">
        <v>593</v>
      </c>
      <c r="AJ596" s="75">
        <v>100</v>
      </c>
    </row>
    <row r="597" spans="1:36" hidden="1" x14ac:dyDescent="0.35">
      <c r="A597">
        <v>2969</v>
      </c>
      <c r="B597">
        <v>2970</v>
      </c>
      <c r="C597">
        <v>146.00044270000001</v>
      </c>
      <c r="D597">
        <v>-17.507386919999998</v>
      </c>
      <c r="G597" s="1" t="str">
        <f t="shared" si="18"/>
        <v/>
      </c>
      <c r="H597">
        <v>10</v>
      </c>
      <c r="I597" t="str">
        <f t="shared" si="19"/>
        <v>X</v>
      </c>
      <c r="J597" s="53" t="str">
        <f>IFERROR(VLOOKUP(B597, DATA_Johnstone_2024_ALL!B:J, 8, FALSE), "")</f>
        <v>X</v>
      </c>
      <c r="K597" s="29"/>
      <c r="L597" s="30"/>
      <c r="M597" s="29"/>
      <c r="N597" s="20" t="str">
        <f>IF(J597=1, DATA_Johnstone_2023_50!M597, "")</f>
        <v/>
      </c>
      <c r="O597" s="20" t="str">
        <f>IF($J597=1, DATA_Johnstone_2023_50!N597, "")</f>
        <v/>
      </c>
      <c r="P597" s="49"/>
      <c r="Q597" s="20" t="str">
        <f>IF($J597=1, DATA_Johnstone_2023_50!P597, "")</f>
        <v/>
      </c>
      <c r="R597" s="22"/>
      <c r="T597" s="22"/>
      <c r="W597" s="47"/>
      <c r="AI597" s="75">
        <v>594</v>
      </c>
      <c r="AJ597" s="75">
        <v>100</v>
      </c>
    </row>
    <row r="598" spans="1:36" hidden="1" x14ac:dyDescent="0.35">
      <c r="A598">
        <v>2974</v>
      </c>
      <c r="B598">
        <v>2975</v>
      </c>
      <c r="C598">
        <v>146.00089019999999</v>
      </c>
      <c r="D598">
        <v>-17.50724984</v>
      </c>
      <c r="G598" s="1" t="str">
        <f t="shared" si="18"/>
        <v/>
      </c>
      <c r="H598">
        <v>10</v>
      </c>
      <c r="I598" t="str">
        <f t="shared" si="19"/>
        <v>X</v>
      </c>
      <c r="J598" s="53" t="str">
        <f>IFERROR(VLOOKUP(B598, DATA_Johnstone_2024_ALL!B:J, 8, FALSE), "")</f>
        <v>X</v>
      </c>
      <c r="K598" s="29"/>
      <c r="L598" s="30"/>
      <c r="M598" s="29"/>
      <c r="N598" s="20" t="str">
        <f>IF(J598=1, DATA_Johnstone_2023_50!M598, "")</f>
        <v/>
      </c>
      <c r="O598" s="20" t="str">
        <f>IF($J598=1, DATA_Johnstone_2023_50!N598, "")</f>
        <v/>
      </c>
      <c r="P598" s="49"/>
      <c r="Q598" s="20" t="str">
        <f>IF($J598=1, DATA_Johnstone_2023_50!P598, "")</f>
        <v/>
      </c>
      <c r="R598" s="22"/>
      <c r="T598" s="22"/>
      <c r="W598" s="47"/>
      <c r="AI598" s="75">
        <v>595</v>
      </c>
      <c r="AJ598" s="75">
        <v>100</v>
      </c>
    </row>
    <row r="599" spans="1:36" hidden="1" x14ac:dyDescent="0.35">
      <c r="A599">
        <v>2979</v>
      </c>
      <c r="B599">
        <v>2980</v>
      </c>
      <c r="C599">
        <v>146.00131759999999</v>
      </c>
      <c r="D599">
        <v>-17.507050759999998</v>
      </c>
      <c r="G599" s="1" t="str">
        <f t="shared" si="18"/>
        <v/>
      </c>
      <c r="H599">
        <v>10</v>
      </c>
      <c r="I599" t="str">
        <f t="shared" si="19"/>
        <v>X</v>
      </c>
      <c r="J599" s="53" t="str">
        <f>IFERROR(VLOOKUP(B599, DATA_Johnstone_2024_ALL!B:J, 8, FALSE), "")</f>
        <v>X</v>
      </c>
      <c r="K599" s="29"/>
      <c r="L599" s="30"/>
      <c r="M599" s="29"/>
      <c r="N599" s="20" t="str">
        <f>IF(J599=1, DATA_Johnstone_2023_50!M599, "")</f>
        <v/>
      </c>
      <c r="O599" s="20" t="str">
        <f>IF($J599=1, DATA_Johnstone_2023_50!N599, "")</f>
        <v/>
      </c>
      <c r="P599" s="49"/>
      <c r="Q599" s="20" t="str">
        <f>IF($J599=1, DATA_Johnstone_2023_50!P599, "")</f>
        <v/>
      </c>
      <c r="R599" s="22"/>
      <c r="T599" s="22"/>
      <c r="W599" s="47"/>
      <c r="AI599" s="75">
        <v>596</v>
      </c>
      <c r="AJ599" s="75">
        <v>100</v>
      </c>
    </row>
    <row r="600" spans="1:36" hidden="1" x14ac:dyDescent="0.35">
      <c r="A600">
        <v>2984</v>
      </c>
      <c r="B600">
        <v>2985</v>
      </c>
      <c r="C600">
        <v>146.00160919999999</v>
      </c>
      <c r="D600">
        <v>-17.506699000000001</v>
      </c>
      <c r="G600" s="1" t="str">
        <f t="shared" si="18"/>
        <v/>
      </c>
      <c r="H600">
        <v>10</v>
      </c>
      <c r="I600" t="str">
        <f t="shared" si="19"/>
        <v>X</v>
      </c>
      <c r="J600" s="53" t="str">
        <f>IFERROR(VLOOKUP(B600, DATA_Johnstone_2024_ALL!B:J, 8, FALSE), "")</f>
        <v>X</v>
      </c>
      <c r="K600" s="29"/>
      <c r="L600" s="30"/>
      <c r="M600" s="29"/>
      <c r="N600" s="20" t="str">
        <f>IF(J600=1, DATA_Johnstone_2023_50!M600, "")</f>
        <v/>
      </c>
      <c r="O600" s="20" t="str">
        <f>IF($J600=1, DATA_Johnstone_2023_50!N600, "")</f>
        <v/>
      </c>
      <c r="P600" s="49"/>
      <c r="Q600" s="20" t="str">
        <f>IF($J600=1, DATA_Johnstone_2023_50!P600, "")</f>
        <v/>
      </c>
      <c r="R600" s="22"/>
      <c r="T600" s="22"/>
      <c r="W600" s="47"/>
      <c r="AI600" s="75">
        <v>597</v>
      </c>
      <c r="AJ600" s="75">
        <v>100</v>
      </c>
    </row>
    <row r="601" spans="1:36" hidden="1" x14ac:dyDescent="0.35">
      <c r="A601">
        <v>2989</v>
      </c>
      <c r="B601">
        <v>2990</v>
      </c>
      <c r="C601">
        <v>146.0018566</v>
      </c>
      <c r="D601">
        <v>-17.506297589999999</v>
      </c>
      <c r="G601" s="1" t="str">
        <f t="shared" si="18"/>
        <v/>
      </c>
      <c r="H601">
        <v>10</v>
      </c>
      <c r="I601" t="str">
        <f t="shared" si="19"/>
        <v>X</v>
      </c>
      <c r="J601" s="53" t="str">
        <f>IFERROR(VLOOKUP(B601, DATA_Johnstone_2024_ALL!B:J, 8, FALSE), "")</f>
        <v>X</v>
      </c>
      <c r="K601" s="29"/>
      <c r="L601" s="30"/>
      <c r="M601" s="29"/>
      <c r="N601" s="20" t="str">
        <f>IF(J601=1, DATA_Johnstone_2023_50!M601, "")</f>
        <v/>
      </c>
      <c r="O601" s="20" t="str">
        <f>IF($J601=1, DATA_Johnstone_2023_50!N601, "")</f>
        <v/>
      </c>
      <c r="P601" s="49"/>
      <c r="Q601" s="20" t="str">
        <f>IF($J601=1, DATA_Johnstone_2023_50!P601, "")</f>
        <v/>
      </c>
      <c r="R601" s="22"/>
      <c r="T601" s="22"/>
      <c r="W601" s="47"/>
      <c r="AI601" s="75">
        <v>598</v>
      </c>
      <c r="AJ601" s="75">
        <v>100</v>
      </c>
    </row>
    <row r="602" spans="1:36" hidden="1" x14ac:dyDescent="0.35">
      <c r="A602">
        <v>2994</v>
      </c>
      <c r="B602">
        <v>2995</v>
      </c>
      <c r="C602">
        <v>146.00194479999999</v>
      </c>
      <c r="D602">
        <v>-17.505851060000001</v>
      </c>
      <c r="G602" s="1" t="str">
        <f t="shared" si="18"/>
        <v/>
      </c>
      <c r="H602">
        <v>10</v>
      </c>
      <c r="I602" t="str">
        <f t="shared" si="19"/>
        <v>X</v>
      </c>
      <c r="J602" s="53" t="str">
        <f>IFERROR(VLOOKUP(B602, DATA_Johnstone_2024_ALL!B:J, 8, FALSE), "")</f>
        <v>X</v>
      </c>
      <c r="K602" s="29"/>
      <c r="L602" s="30"/>
      <c r="M602" s="29"/>
      <c r="N602" s="20" t="str">
        <f>IF(J602=1, DATA_Johnstone_2023_50!M602, "")</f>
        <v/>
      </c>
      <c r="O602" s="20" t="str">
        <f>IF($J602=1, DATA_Johnstone_2023_50!N602, "")</f>
        <v/>
      </c>
      <c r="P602" s="49"/>
      <c r="Q602" s="20" t="str">
        <f>IF($J602=1, DATA_Johnstone_2023_50!P602, "")</f>
        <v/>
      </c>
      <c r="R602" s="22"/>
      <c r="T602" s="22"/>
      <c r="W602" s="47"/>
      <c r="AI602" s="75">
        <v>599</v>
      </c>
      <c r="AJ602" s="75">
        <v>100</v>
      </c>
    </row>
    <row r="603" spans="1:36" hidden="1" x14ac:dyDescent="0.35">
      <c r="A603">
        <v>2999</v>
      </c>
      <c r="B603">
        <v>3000</v>
      </c>
      <c r="C603">
        <v>146.0019279</v>
      </c>
      <c r="D603">
        <v>-17.505380250000002</v>
      </c>
      <c r="G603" s="1" t="str">
        <f t="shared" si="18"/>
        <v/>
      </c>
      <c r="H603">
        <v>10</v>
      </c>
      <c r="I603" t="str">
        <f t="shared" si="19"/>
        <v>X</v>
      </c>
      <c r="J603" s="53" t="str">
        <f>IFERROR(VLOOKUP(B603, DATA_Johnstone_2024_ALL!B:J, 8, FALSE), "")</f>
        <v>X</v>
      </c>
      <c r="K603" s="29"/>
      <c r="L603" s="30"/>
      <c r="M603" s="29"/>
      <c r="N603" s="20" t="str">
        <f>IF(J603=1, DATA_Johnstone_2023_50!M603, "")</f>
        <v/>
      </c>
      <c r="O603" s="20" t="str">
        <f>IF($J603=1, DATA_Johnstone_2023_50!N603, "")</f>
        <v/>
      </c>
      <c r="P603" s="49"/>
      <c r="Q603" s="20" t="str">
        <f>IF($J603=1, DATA_Johnstone_2023_50!P603, "")</f>
        <v/>
      </c>
      <c r="R603" s="22"/>
      <c r="T603" s="22"/>
      <c r="W603" s="47"/>
      <c r="AI603" s="75">
        <v>600</v>
      </c>
      <c r="AJ603" s="75">
        <v>100</v>
      </c>
    </row>
    <row r="604" spans="1:36" hidden="1" x14ac:dyDescent="0.35">
      <c r="A604">
        <v>3004</v>
      </c>
      <c r="B604">
        <v>3005</v>
      </c>
      <c r="C604">
        <v>146.00182179999999</v>
      </c>
      <c r="D604">
        <v>-17.504927930000001</v>
      </c>
      <c r="G604" s="1" t="str">
        <f t="shared" si="18"/>
        <v/>
      </c>
      <c r="H604">
        <v>10</v>
      </c>
      <c r="I604" t="str">
        <f t="shared" si="19"/>
        <v>X</v>
      </c>
      <c r="J604" s="53" t="str">
        <f>IFERROR(VLOOKUP(B604, DATA_Johnstone_2024_ALL!B:J, 8, FALSE), "")</f>
        <v>X</v>
      </c>
      <c r="K604" s="29"/>
      <c r="L604" s="30"/>
      <c r="M604" s="29"/>
      <c r="N604" s="20" t="str">
        <f>IF(J604=1, DATA_Johnstone_2023_50!M604, "")</f>
        <v/>
      </c>
      <c r="O604" s="20" t="str">
        <f>IF($J604=1, DATA_Johnstone_2023_50!N604, "")</f>
        <v/>
      </c>
      <c r="P604" s="49"/>
      <c r="Q604" s="20" t="str">
        <f>IF($J604=1, DATA_Johnstone_2023_50!P604, "")</f>
        <v/>
      </c>
      <c r="R604" s="22"/>
      <c r="T604" s="22"/>
      <c r="W604" s="47"/>
      <c r="AI604" s="75">
        <v>601</v>
      </c>
      <c r="AJ604" s="75">
        <v>100</v>
      </c>
    </row>
    <row r="605" spans="1:36" hidden="1" x14ac:dyDescent="0.35">
      <c r="A605">
        <v>3009</v>
      </c>
      <c r="B605">
        <v>3010</v>
      </c>
      <c r="C605">
        <v>146.00176110000001</v>
      </c>
      <c r="D605">
        <v>-17.50446152</v>
      </c>
      <c r="G605" s="1" t="str">
        <f t="shared" si="18"/>
        <v/>
      </c>
      <c r="H605">
        <v>10</v>
      </c>
      <c r="I605" t="str">
        <f t="shared" si="19"/>
        <v>X</v>
      </c>
      <c r="J605" s="53" t="str">
        <f>IFERROR(VLOOKUP(B605, DATA_Johnstone_2024_ALL!B:J, 8, FALSE), "")</f>
        <v>X</v>
      </c>
      <c r="K605" s="29"/>
      <c r="L605" s="30"/>
      <c r="M605" s="29"/>
      <c r="N605" s="20" t="str">
        <f>IF(J605=1, DATA_Johnstone_2023_50!M605, "")</f>
        <v/>
      </c>
      <c r="O605" s="20" t="str">
        <f>IF($J605=1, DATA_Johnstone_2023_50!N605, "")</f>
        <v/>
      </c>
      <c r="P605" s="49"/>
      <c r="Q605" s="20" t="str">
        <f>IF($J605=1, DATA_Johnstone_2023_50!P605, "")</f>
        <v/>
      </c>
      <c r="R605" s="22"/>
      <c r="T605" s="22"/>
      <c r="W605" s="47"/>
      <c r="AI605" s="75">
        <v>602</v>
      </c>
      <c r="AJ605" s="75">
        <v>100</v>
      </c>
    </row>
    <row r="606" spans="1:36" hidden="1" x14ac:dyDescent="0.35">
      <c r="A606">
        <v>3014</v>
      </c>
      <c r="B606">
        <v>3015</v>
      </c>
      <c r="C606">
        <v>146.00168629999999</v>
      </c>
      <c r="D606">
        <v>-17.503995969999998</v>
      </c>
      <c r="G606" s="1" t="str">
        <f t="shared" si="18"/>
        <v/>
      </c>
      <c r="H606">
        <v>10</v>
      </c>
      <c r="I606" t="str">
        <f t="shared" si="19"/>
        <v>X</v>
      </c>
      <c r="J606" s="53" t="str">
        <f>IFERROR(VLOOKUP(B606, DATA_Johnstone_2024_ALL!B:J, 8, FALSE), "")</f>
        <v>X</v>
      </c>
      <c r="K606" s="29"/>
      <c r="L606" s="30"/>
      <c r="M606" s="29"/>
      <c r="N606" s="20" t="str">
        <f>IF(J606=1, DATA_Johnstone_2023_50!M606, "")</f>
        <v/>
      </c>
      <c r="O606" s="20" t="str">
        <f>IF($J606=1, DATA_Johnstone_2023_50!N606, "")</f>
        <v/>
      </c>
      <c r="P606" s="49"/>
      <c r="Q606" s="20" t="str">
        <f>IF($J606=1, DATA_Johnstone_2023_50!P606, "")</f>
        <v/>
      </c>
      <c r="R606" s="22"/>
      <c r="T606" s="22"/>
      <c r="W606" s="47"/>
      <c r="AI606" s="75">
        <v>603</v>
      </c>
      <c r="AJ606" s="75">
        <v>100</v>
      </c>
    </row>
    <row r="607" spans="1:36" hidden="1" x14ac:dyDescent="0.35">
      <c r="A607">
        <v>3019</v>
      </c>
      <c r="B607">
        <v>3020</v>
      </c>
      <c r="C607">
        <v>146.0016171</v>
      </c>
      <c r="D607">
        <v>-17.503529579999999</v>
      </c>
      <c r="F607" t="s">
        <v>7281</v>
      </c>
      <c r="G607" s="1" t="str">
        <f t="shared" si="18"/>
        <v>3020_20240610_0004_L_0008.jpg</v>
      </c>
      <c r="H607">
        <v>10</v>
      </c>
      <c r="I607" t="str">
        <f t="shared" si="19"/>
        <v/>
      </c>
      <c r="J607" s="53">
        <f>IFERROR(VLOOKUP(B607, DATA_Johnstone_2024_ALL!B:J, 8, FALSE), "")</f>
        <v>0</v>
      </c>
      <c r="K607" s="29"/>
      <c r="L607" s="30"/>
      <c r="M607" s="29"/>
      <c r="N607" s="20" t="str">
        <f>IF(J607=1, DATA_Johnstone_2023_50!M607, "")</f>
        <v/>
      </c>
      <c r="O607" s="20" t="str">
        <f>IF($J607=1, DATA_Johnstone_2023_50!N607, "")</f>
        <v/>
      </c>
      <c r="P607" s="49"/>
      <c r="Q607" s="20" t="str">
        <f>IF($J607=1, DATA_Johnstone_2023_50!P607, "")</f>
        <v/>
      </c>
      <c r="R607" s="22"/>
      <c r="T607" s="22"/>
      <c r="W607" s="47"/>
      <c r="AI607" s="75">
        <v>604</v>
      </c>
      <c r="AJ607" s="75">
        <v>100</v>
      </c>
    </row>
    <row r="608" spans="1:36" hidden="1" x14ac:dyDescent="0.35">
      <c r="A608">
        <v>3024</v>
      </c>
      <c r="B608">
        <v>3025</v>
      </c>
      <c r="C608">
        <v>146.00155190000001</v>
      </c>
      <c r="D608">
        <v>-17.503062589999999</v>
      </c>
      <c r="F608" t="s">
        <v>7282</v>
      </c>
      <c r="G608" s="1" t="str">
        <f t="shared" si="18"/>
        <v>3025_20240610_0004_L_0031.jpg</v>
      </c>
      <c r="H608">
        <v>10</v>
      </c>
      <c r="I608" t="str">
        <f t="shared" si="19"/>
        <v/>
      </c>
      <c r="J608" s="53">
        <f>IFERROR(VLOOKUP(B608, DATA_Johnstone_2024_ALL!B:J, 8, FALSE), "")</f>
        <v>0</v>
      </c>
      <c r="K608" s="29"/>
      <c r="L608" s="30"/>
      <c r="M608" s="29"/>
      <c r="N608" s="20" t="str">
        <f>IF(J608=1, DATA_Johnstone_2023_50!M608, "")</f>
        <v/>
      </c>
      <c r="O608" s="20" t="str">
        <f>IF($J608=1, DATA_Johnstone_2023_50!N608, "")</f>
        <v/>
      </c>
      <c r="P608" s="49"/>
      <c r="Q608" s="20" t="str">
        <f>IF($J608=1, DATA_Johnstone_2023_50!P608, "")</f>
        <v/>
      </c>
      <c r="R608" s="22"/>
      <c r="T608" s="22"/>
      <c r="W608" s="47"/>
      <c r="AI608" s="75">
        <v>605</v>
      </c>
      <c r="AJ608" s="75">
        <v>100</v>
      </c>
    </row>
    <row r="609" spans="1:36" hidden="1" x14ac:dyDescent="0.35">
      <c r="A609">
        <v>3029</v>
      </c>
      <c r="B609">
        <v>3030</v>
      </c>
      <c r="C609">
        <v>146.00148669999999</v>
      </c>
      <c r="D609">
        <v>-17.50259561</v>
      </c>
      <c r="F609" t="s">
        <v>7283</v>
      </c>
      <c r="G609" s="1" t="str">
        <f t="shared" si="18"/>
        <v>3030_20240610_0004_L_0048.jpg</v>
      </c>
      <c r="H609">
        <v>10</v>
      </c>
      <c r="I609" t="str">
        <f t="shared" si="19"/>
        <v/>
      </c>
      <c r="J609" s="53">
        <f>IFERROR(VLOOKUP(B609, DATA_Johnstone_2024_ALL!B:J, 8, FALSE), "")</f>
        <v>0</v>
      </c>
      <c r="K609" s="29"/>
      <c r="L609" s="30"/>
      <c r="M609" s="29"/>
      <c r="N609" s="20" t="str">
        <f>IF(J609=1, DATA_Johnstone_2023_50!M609, "")</f>
        <v/>
      </c>
      <c r="O609" s="20" t="str">
        <f>IF($J609=1, DATA_Johnstone_2023_50!N609, "")</f>
        <v/>
      </c>
      <c r="P609" s="49"/>
      <c r="Q609" s="20" t="str">
        <f>IF($J609=1, DATA_Johnstone_2023_50!P609, "")</f>
        <v/>
      </c>
      <c r="R609" s="22"/>
      <c r="T609" s="22"/>
      <c r="W609" s="47"/>
      <c r="AI609" s="75">
        <v>606</v>
      </c>
      <c r="AJ609" s="75">
        <v>100</v>
      </c>
    </row>
    <row r="610" spans="1:36" hidden="1" x14ac:dyDescent="0.35">
      <c r="A610">
        <v>3034</v>
      </c>
      <c r="B610">
        <v>3035</v>
      </c>
      <c r="C610">
        <v>146.00146100000001</v>
      </c>
      <c r="D610">
        <v>-17.50212522</v>
      </c>
      <c r="F610" t="s">
        <v>7284</v>
      </c>
      <c r="G610" s="1" t="str">
        <f t="shared" si="18"/>
        <v>3035_20240610_0004_L_0062.jpg</v>
      </c>
      <c r="H610">
        <v>10</v>
      </c>
      <c r="I610" t="str">
        <f t="shared" si="19"/>
        <v/>
      </c>
      <c r="J610" s="53">
        <f>IFERROR(VLOOKUP(B610, DATA_Johnstone_2024_ALL!B:J, 8, FALSE), "")</f>
        <v>0</v>
      </c>
      <c r="K610" s="29"/>
      <c r="L610" s="30"/>
      <c r="M610" s="29"/>
      <c r="N610" s="20" t="str">
        <f>IF(J610=1, DATA_Johnstone_2023_50!M610, "")</f>
        <v/>
      </c>
      <c r="O610" s="20" t="str">
        <f>IF($J610=1, DATA_Johnstone_2023_50!N610, "")</f>
        <v/>
      </c>
      <c r="P610" s="49"/>
      <c r="Q610" s="20" t="str">
        <f>IF($J610=1, DATA_Johnstone_2023_50!P610, "")</f>
        <v/>
      </c>
      <c r="R610" s="22"/>
      <c r="T610" s="22"/>
      <c r="W610" s="47"/>
      <c r="AI610" s="75">
        <v>607</v>
      </c>
      <c r="AJ610" s="75">
        <v>100</v>
      </c>
    </row>
    <row r="611" spans="1:36" hidden="1" x14ac:dyDescent="0.35">
      <c r="A611">
        <v>3039</v>
      </c>
      <c r="B611">
        <v>3040</v>
      </c>
      <c r="C611">
        <v>146.0014453</v>
      </c>
      <c r="D611">
        <v>-17.501653959999999</v>
      </c>
      <c r="F611" t="s">
        <v>7285</v>
      </c>
      <c r="G611" s="1" t="str">
        <f t="shared" si="18"/>
        <v>3040_20240610_0004_L_0078.jpg</v>
      </c>
      <c r="H611">
        <v>10</v>
      </c>
      <c r="I611" t="str">
        <f t="shared" si="19"/>
        <v/>
      </c>
      <c r="J611" s="53">
        <f>IFERROR(VLOOKUP(B611, DATA_Johnstone_2024_ALL!B:J, 8, FALSE), "")</f>
        <v>0</v>
      </c>
      <c r="K611" s="29"/>
      <c r="L611" s="30"/>
      <c r="M611" s="29"/>
      <c r="N611" s="20" t="str">
        <f>IF(J611=1, DATA_Johnstone_2023_50!M611, "")</f>
        <v/>
      </c>
      <c r="O611" s="20" t="str">
        <f>IF($J611=1, DATA_Johnstone_2023_50!N611, "")</f>
        <v/>
      </c>
      <c r="P611" s="49"/>
      <c r="Q611" s="20" t="str">
        <f>IF($J611=1, DATA_Johnstone_2023_50!P611, "")</f>
        <v/>
      </c>
      <c r="R611" s="22"/>
      <c r="T611" s="22"/>
      <c r="W611" s="47"/>
      <c r="AI611" s="75">
        <v>608</v>
      </c>
      <c r="AJ611" s="75">
        <v>100</v>
      </c>
    </row>
    <row r="612" spans="1:36" hidden="1" x14ac:dyDescent="0.35">
      <c r="A612">
        <v>3044</v>
      </c>
      <c r="B612">
        <v>3045</v>
      </c>
      <c r="C612">
        <v>146.00142969999999</v>
      </c>
      <c r="D612">
        <v>-17.501182700000001</v>
      </c>
      <c r="F612" t="s">
        <v>7286</v>
      </c>
      <c r="G612" s="1" t="str">
        <f t="shared" si="18"/>
        <v>3045_20240610_0004_L_0096.jpg</v>
      </c>
      <c r="H612">
        <v>10</v>
      </c>
      <c r="I612" t="str">
        <f t="shared" si="19"/>
        <v/>
      </c>
      <c r="J612" s="53">
        <f>IFERROR(VLOOKUP(B612, DATA_Johnstone_2024_ALL!B:J, 8, FALSE), "")</f>
        <v>0</v>
      </c>
      <c r="K612" s="29"/>
      <c r="L612" s="30"/>
      <c r="M612" s="29"/>
      <c r="N612" s="20" t="str">
        <f>IF(J612=1, DATA_Johnstone_2023_50!M612, "")</f>
        <v/>
      </c>
      <c r="O612" s="20" t="str">
        <f>IF($J612=1, DATA_Johnstone_2023_50!N612, "")</f>
        <v/>
      </c>
      <c r="P612" s="49"/>
      <c r="Q612" s="20" t="str">
        <f>IF($J612=1, DATA_Johnstone_2023_50!P612, "")</f>
        <v/>
      </c>
      <c r="R612" s="22"/>
      <c r="T612" s="22"/>
      <c r="W612" s="47"/>
      <c r="AI612" s="75">
        <v>609</v>
      </c>
      <c r="AJ612" s="75">
        <v>100</v>
      </c>
    </row>
    <row r="613" spans="1:36" hidden="1" x14ac:dyDescent="0.35">
      <c r="A613">
        <v>3049</v>
      </c>
      <c r="B613">
        <v>3050</v>
      </c>
      <c r="C613">
        <v>146.00143739999999</v>
      </c>
      <c r="D613">
        <v>-17.500711450000001</v>
      </c>
      <c r="F613" t="s">
        <v>7287</v>
      </c>
      <c r="G613" s="1" t="str">
        <f t="shared" si="18"/>
        <v>3050_20240610_0004_L_0112.jpg</v>
      </c>
      <c r="H613">
        <v>9</v>
      </c>
      <c r="I613" t="str">
        <f t="shared" si="19"/>
        <v/>
      </c>
      <c r="J613" s="53">
        <f>IFERROR(VLOOKUP(B613, DATA_Johnstone_2024_ALL!B:J, 8, FALSE), "")</f>
        <v>0</v>
      </c>
      <c r="K613" s="29"/>
      <c r="L613" s="30"/>
      <c r="M613" s="29"/>
      <c r="N613" s="20" t="str">
        <f>IF(J613=1, DATA_Johnstone_2023_50!M613, "")</f>
        <v/>
      </c>
      <c r="O613" s="20" t="str">
        <f>IF($J613=1, DATA_Johnstone_2023_50!N613, "")</f>
        <v/>
      </c>
      <c r="P613" s="49"/>
      <c r="Q613" s="20" t="str">
        <f>IF($J613=1, DATA_Johnstone_2023_50!P613, "")</f>
        <v/>
      </c>
      <c r="R613" s="22"/>
      <c r="T613" s="22"/>
      <c r="W613" s="47"/>
      <c r="AI613" s="75">
        <v>610</v>
      </c>
      <c r="AJ613" s="75">
        <v>100</v>
      </c>
    </row>
    <row r="614" spans="1:36" hidden="1" x14ac:dyDescent="0.35">
      <c r="A614">
        <v>3054</v>
      </c>
      <c r="B614">
        <v>3055</v>
      </c>
      <c r="C614">
        <v>146.00145359999999</v>
      </c>
      <c r="D614">
        <v>-17.500240210000001</v>
      </c>
      <c r="F614" t="s">
        <v>7288</v>
      </c>
      <c r="G614" s="1" t="str">
        <f t="shared" si="18"/>
        <v>3055_20240610_0004_L_0128.jpg</v>
      </c>
      <c r="H614">
        <v>9</v>
      </c>
      <c r="I614" t="str">
        <f t="shared" si="19"/>
        <v/>
      </c>
      <c r="J614" s="53">
        <f>IFERROR(VLOOKUP(B614, DATA_Johnstone_2024_ALL!B:J, 8, FALSE), "")</f>
        <v>0</v>
      </c>
      <c r="K614" s="29"/>
      <c r="L614" s="30"/>
      <c r="M614" s="29"/>
      <c r="N614" s="20" t="str">
        <f>IF(J614=1, DATA_Johnstone_2023_50!M614, "")</f>
        <v/>
      </c>
      <c r="O614" s="20" t="str">
        <f>IF($J614=1, DATA_Johnstone_2023_50!N614, "")</f>
        <v/>
      </c>
      <c r="P614" s="49"/>
      <c r="Q614" s="20" t="str">
        <f>IF($J614=1, DATA_Johnstone_2023_50!P614, "")</f>
        <v/>
      </c>
      <c r="R614" s="22"/>
      <c r="T614" s="22"/>
      <c r="W614" s="47"/>
      <c r="AI614" s="75">
        <v>611</v>
      </c>
      <c r="AJ614" s="75">
        <v>100</v>
      </c>
    </row>
    <row r="615" spans="1:36" hidden="1" x14ac:dyDescent="0.35">
      <c r="A615">
        <v>3059</v>
      </c>
      <c r="B615">
        <v>3060</v>
      </c>
      <c r="C615">
        <v>146.0014697</v>
      </c>
      <c r="D615">
        <v>-17.499768970000002</v>
      </c>
      <c r="F615" t="s">
        <v>7289</v>
      </c>
      <c r="G615" s="1" t="str">
        <f t="shared" si="18"/>
        <v>3060_20240610_0004_L_0143.jpg</v>
      </c>
      <c r="H615">
        <v>9</v>
      </c>
      <c r="I615" t="str">
        <f t="shared" si="19"/>
        <v/>
      </c>
      <c r="J615" s="53">
        <f>IFERROR(VLOOKUP(B615, DATA_Johnstone_2024_ALL!B:J, 8, FALSE), "")</f>
        <v>0</v>
      </c>
      <c r="K615" s="29"/>
      <c r="L615" s="30"/>
      <c r="M615" s="29"/>
      <c r="N615" s="20" t="str">
        <f>IF(J615=1, DATA_Johnstone_2023_50!M615, "")</f>
        <v/>
      </c>
      <c r="O615" s="20" t="str">
        <f>IF($J615=1, DATA_Johnstone_2023_50!N615, "")</f>
        <v/>
      </c>
      <c r="P615" s="49"/>
      <c r="Q615" s="20" t="str">
        <f>IF($J615=1, DATA_Johnstone_2023_50!P615, "")</f>
        <v/>
      </c>
      <c r="R615" s="22"/>
      <c r="T615" s="22"/>
      <c r="W615" s="47"/>
      <c r="AI615" s="75">
        <v>612</v>
      </c>
      <c r="AJ615" s="75">
        <v>100</v>
      </c>
    </row>
    <row r="616" spans="1:36" hidden="1" x14ac:dyDescent="0.35">
      <c r="A616">
        <v>3064</v>
      </c>
      <c r="B616">
        <v>3065</v>
      </c>
      <c r="C616">
        <v>146.00147329999999</v>
      </c>
      <c r="D616">
        <v>-17.499297670000001</v>
      </c>
      <c r="F616" t="s">
        <v>7290</v>
      </c>
      <c r="G616" s="1" t="str">
        <f t="shared" si="18"/>
        <v>3065_20240610_0004_L_0157.jpg</v>
      </c>
      <c r="H616">
        <v>9</v>
      </c>
      <c r="I616" t="str">
        <f t="shared" si="19"/>
        <v/>
      </c>
      <c r="J616" s="53">
        <f>IFERROR(VLOOKUP(B616, DATA_Johnstone_2024_ALL!B:J, 8, FALSE), "")</f>
        <v>0</v>
      </c>
      <c r="K616" s="29"/>
      <c r="L616" s="30"/>
      <c r="M616" s="29"/>
      <c r="N616" s="20" t="str">
        <f>IF(J616=1, DATA_Johnstone_2023_50!M616, "")</f>
        <v/>
      </c>
      <c r="O616" s="20" t="str">
        <f>IF($J616=1, DATA_Johnstone_2023_50!N616, "")</f>
        <v/>
      </c>
      <c r="P616" s="49"/>
      <c r="Q616" s="20" t="str">
        <f>IF($J616=1, DATA_Johnstone_2023_50!P616, "")</f>
        <v/>
      </c>
      <c r="R616" s="22"/>
      <c r="T616" s="22"/>
      <c r="W616" s="47"/>
      <c r="AI616" s="75">
        <v>613</v>
      </c>
      <c r="AJ616" s="75">
        <v>100</v>
      </c>
    </row>
    <row r="617" spans="1:36" hidden="1" x14ac:dyDescent="0.35">
      <c r="A617">
        <v>3069</v>
      </c>
      <c r="B617">
        <v>3070</v>
      </c>
      <c r="C617">
        <v>146.00146140000001</v>
      </c>
      <c r="D617">
        <v>-17.498826300000001</v>
      </c>
      <c r="F617" t="s">
        <v>7291</v>
      </c>
      <c r="G617" s="1" t="str">
        <f t="shared" si="18"/>
        <v>3070_20240610_0004_L_0173.jpg</v>
      </c>
      <c r="H617">
        <v>9</v>
      </c>
      <c r="I617" t="str">
        <f t="shared" si="19"/>
        <v/>
      </c>
      <c r="J617" s="53">
        <f>IFERROR(VLOOKUP(B617, DATA_Johnstone_2024_ALL!B:J, 8, FALSE), "")</f>
        <v>0</v>
      </c>
      <c r="K617" s="29"/>
      <c r="L617" s="30"/>
      <c r="M617" s="29"/>
      <c r="N617" s="20" t="str">
        <f>IF(J617=1, DATA_Johnstone_2023_50!M617, "")</f>
        <v/>
      </c>
      <c r="O617" s="20" t="str">
        <f>IF($J617=1, DATA_Johnstone_2023_50!N617, "")</f>
        <v/>
      </c>
      <c r="P617" s="49"/>
      <c r="Q617" s="20" t="str">
        <f>IF($J617=1, DATA_Johnstone_2023_50!P617, "")</f>
        <v/>
      </c>
      <c r="R617" s="22"/>
      <c r="T617" s="22"/>
      <c r="W617" s="47"/>
      <c r="AI617" s="75">
        <v>614</v>
      </c>
      <c r="AJ617" s="75">
        <v>100</v>
      </c>
    </row>
    <row r="618" spans="1:36" hidden="1" x14ac:dyDescent="0.35">
      <c r="A618">
        <v>3074</v>
      </c>
      <c r="B618">
        <v>3075</v>
      </c>
      <c r="C618">
        <v>146.00144950000001</v>
      </c>
      <c r="D618">
        <v>-17.498354939999999</v>
      </c>
      <c r="F618" t="s">
        <v>7292</v>
      </c>
      <c r="G618" s="1" t="str">
        <f t="shared" si="18"/>
        <v>3075_20240610_0004_L_0190.jpg</v>
      </c>
      <c r="H618">
        <v>9</v>
      </c>
      <c r="I618" t="str">
        <f t="shared" si="19"/>
        <v/>
      </c>
      <c r="J618" s="53">
        <f>IFERROR(VLOOKUP(B618, DATA_Johnstone_2024_ALL!B:J, 8, FALSE), "")</f>
        <v>0</v>
      </c>
      <c r="K618" s="29"/>
      <c r="L618" s="30"/>
      <c r="M618" s="29"/>
      <c r="N618" s="20" t="str">
        <f>IF(J618=1, DATA_Johnstone_2023_50!M618, "")</f>
        <v/>
      </c>
      <c r="O618" s="20" t="str">
        <f>IF($J618=1, DATA_Johnstone_2023_50!N618, "")</f>
        <v/>
      </c>
      <c r="P618" s="49"/>
      <c r="Q618" s="20" t="str">
        <f>IF($J618=1, DATA_Johnstone_2023_50!P618, "")</f>
        <v/>
      </c>
      <c r="R618" s="22"/>
      <c r="T618" s="22"/>
      <c r="W618" s="47"/>
      <c r="AI618" s="75">
        <v>615</v>
      </c>
      <c r="AJ618" s="75">
        <v>100</v>
      </c>
    </row>
    <row r="619" spans="1:36" hidden="1" x14ac:dyDescent="0.35">
      <c r="A619">
        <v>3079</v>
      </c>
      <c r="B619">
        <v>3080</v>
      </c>
      <c r="C619">
        <v>146.0014376</v>
      </c>
      <c r="D619">
        <v>-17.497883569999999</v>
      </c>
      <c r="F619" t="s">
        <v>7293</v>
      </c>
      <c r="G619" s="1" t="str">
        <f t="shared" si="18"/>
        <v>3080_20240610_0004_L_0206.jpg</v>
      </c>
      <c r="H619">
        <v>9</v>
      </c>
      <c r="I619" t="str">
        <f t="shared" si="19"/>
        <v/>
      </c>
      <c r="J619" s="53">
        <f>IFERROR(VLOOKUP(B619, DATA_Johnstone_2024_ALL!B:J, 8, FALSE), "")</f>
        <v>0</v>
      </c>
      <c r="K619" s="29"/>
      <c r="L619" s="30"/>
      <c r="M619" s="29"/>
      <c r="N619" s="20" t="str">
        <f>IF(J619=1, DATA_Johnstone_2023_50!M619, "")</f>
        <v/>
      </c>
      <c r="O619" s="20" t="str">
        <f>IF($J619=1, DATA_Johnstone_2023_50!N619, "")</f>
        <v/>
      </c>
      <c r="P619" s="49"/>
      <c r="Q619" s="20" t="str">
        <f>IF($J619=1, DATA_Johnstone_2023_50!P619, "")</f>
        <v/>
      </c>
      <c r="R619" s="22"/>
      <c r="T619" s="22"/>
      <c r="W619" s="47"/>
      <c r="AI619" s="75">
        <v>616</v>
      </c>
      <c r="AJ619" s="75">
        <v>100</v>
      </c>
    </row>
    <row r="620" spans="1:36" hidden="1" x14ac:dyDescent="0.35">
      <c r="A620">
        <v>3084</v>
      </c>
      <c r="B620">
        <v>3085</v>
      </c>
      <c r="C620">
        <v>146.0014256</v>
      </c>
      <c r="D620">
        <v>-17.497412199999999</v>
      </c>
      <c r="F620" t="s">
        <v>7294</v>
      </c>
      <c r="G620" s="1" t="str">
        <f t="shared" si="18"/>
        <v>3085_20240610_0004_L_0222.jpg</v>
      </c>
      <c r="H620">
        <v>9</v>
      </c>
      <c r="I620" t="str">
        <f t="shared" si="19"/>
        <v/>
      </c>
      <c r="J620" s="53">
        <f>IFERROR(VLOOKUP(B620, DATA_Johnstone_2024_ALL!B:J, 8, FALSE), "")</f>
        <v>0</v>
      </c>
      <c r="K620" s="29"/>
      <c r="L620" s="30"/>
      <c r="M620" s="29"/>
      <c r="N620" s="20" t="str">
        <f>IF(J620=1, DATA_Johnstone_2023_50!M620, "")</f>
        <v/>
      </c>
      <c r="O620" s="20" t="str">
        <f>IF($J620=1, DATA_Johnstone_2023_50!N620, "")</f>
        <v/>
      </c>
      <c r="P620" s="49"/>
      <c r="Q620" s="20" t="str">
        <f>IF($J620=1, DATA_Johnstone_2023_50!P620, "")</f>
        <v/>
      </c>
      <c r="R620" s="22"/>
      <c r="T620" s="22"/>
      <c r="W620" s="47"/>
      <c r="AI620" s="75">
        <v>617</v>
      </c>
      <c r="AJ620" s="75">
        <v>100</v>
      </c>
    </row>
    <row r="621" spans="1:36" hidden="1" x14ac:dyDescent="0.35">
      <c r="A621">
        <v>3089</v>
      </c>
      <c r="B621">
        <v>3090</v>
      </c>
      <c r="C621">
        <v>146.0014137</v>
      </c>
      <c r="D621">
        <v>-17.496940840000001</v>
      </c>
      <c r="F621" t="s">
        <v>7295</v>
      </c>
      <c r="G621" s="1" t="str">
        <f t="shared" si="18"/>
        <v>3090_20240610_0004_L_0236.jpg</v>
      </c>
      <c r="H621">
        <v>9</v>
      </c>
      <c r="I621" t="str">
        <f t="shared" si="19"/>
        <v/>
      </c>
      <c r="J621" s="53">
        <f>IFERROR(VLOOKUP(B621, DATA_Johnstone_2024_ALL!B:J, 8, FALSE), "")</f>
        <v>0</v>
      </c>
      <c r="K621" s="29"/>
      <c r="L621" s="30"/>
      <c r="M621" s="29"/>
      <c r="N621" s="20" t="str">
        <f>IF(J621=1, DATA_Johnstone_2023_50!M621, "")</f>
        <v/>
      </c>
      <c r="O621" s="20" t="str">
        <f>IF($J621=1, DATA_Johnstone_2023_50!N621, "")</f>
        <v/>
      </c>
      <c r="P621" s="49"/>
      <c r="Q621" s="20" t="str">
        <f>IF($J621=1, DATA_Johnstone_2023_50!P621, "")</f>
        <v/>
      </c>
      <c r="R621" s="22"/>
      <c r="T621" s="22"/>
      <c r="W621" s="47"/>
      <c r="AI621" s="75">
        <v>618</v>
      </c>
      <c r="AJ621" s="75">
        <v>100</v>
      </c>
    </row>
    <row r="622" spans="1:36" hidden="1" x14ac:dyDescent="0.35">
      <c r="A622">
        <v>3094</v>
      </c>
      <c r="B622">
        <v>3095</v>
      </c>
      <c r="C622">
        <v>146.00139849999999</v>
      </c>
      <c r="D622">
        <v>-17.49646959</v>
      </c>
      <c r="F622" t="s">
        <v>7296</v>
      </c>
      <c r="G622" s="1" t="str">
        <f t="shared" si="18"/>
        <v>3095_20240610_0004_L_0254.jpg</v>
      </c>
      <c r="H622">
        <v>9</v>
      </c>
      <c r="I622" t="str">
        <f t="shared" si="19"/>
        <v/>
      </c>
      <c r="J622" s="53">
        <f>IFERROR(VLOOKUP(B622, DATA_Johnstone_2024_ALL!B:J, 8, FALSE), "")</f>
        <v>0</v>
      </c>
      <c r="K622" s="29"/>
      <c r="L622" s="30"/>
      <c r="M622" s="29"/>
      <c r="N622" s="20" t="str">
        <f>IF(J622=1, DATA_Johnstone_2023_50!M622, "")</f>
        <v/>
      </c>
      <c r="O622" s="20" t="str">
        <f>IF($J622=1, DATA_Johnstone_2023_50!N622, "")</f>
        <v/>
      </c>
      <c r="P622" s="49"/>
      <c r="Q622" s="20" t="str">
        <f>IF($J622=1, DATA_Johnstone_2023_50!P622, "")</f>
        <v/>
      </c>
      <c r="R622" s="22"/>
      <c r="T622" s="22"/>
      <c r="W622" s="47"/>
      <c r="AI622" s="75">
        <v>619</v>
      </c>
      <c r="AJ622" s="75">
        <v>100</v>
      </c>
    </row>
    <row r="623" spans="1:36" hidden="1" x14ac:dyDescent="0.35">
      <c r="A623">
        <v>3099</v>
      </c>
      <c r="B623">
        <v>3100</v>
      </c>
      <c r="C623">
        <v>146.00137599999999</v>
      </c>
      <c r="D623">
        <v>-17.495998610000001</v>
      </c>
      <c r="F623" t="s">
        <v>7297</v>
      </c>
      <c r="G623" s="1" t="str">
        <f t="shared" si="18"/>
        <v>3100_20240610_0004_L_0270.jpg</v>
      </c>
      <c r="H623">
        <v>9</v>
      </c>
      <c r="I623" t="str">
        <f t="shared" si="19"/>
        <v/>
      </c>
      <c r="J623" s="53">
        <f>IFERROR(VLOOKUP(B623, DATA_Johnstone_2024_ALL!B:J, 8, FALSE), "")</f>
        <v>0</v>
      </c>
      <c r="K623" s="29"/>
      <c r="L623" s="30"/>
      <c r="M623" s="29"/>
      <c r="N623" s="20" t="str">
        <f>IF(J623=1, DATA_Johnstone_2023_50!M623, "")</f>
        <v/>
      </c>
      <c r="O623" s="20" t="str">
        <f>IF($J623=1, DATA_Johnstone_2023_50!N623, "")</f>
        <v/>
      </c>
      <c r="P623" s="49"/>
      <c r="Q623" s="20" t="str">
        <f>IF($J623=1, DATA_Johnstone_2023_50!P623, "")</f>
        <v/>
      </c>
      <c r="R623" s="22"/>
      <c r="T623" s="22"/>
      <c r="W623" s="47"/>
      <c r="AI623" s="75">
        <v>620</v>
      </c>
      <c r="AJ623" s="75">
        <v>100</v>
      </c>
    </row>
    <row r="624" spans="1:36" hidden="1" x14ac:dyDescent="0.35">
      <c r="A624">
        <v>3104</v>
      </c>
      <c r="B624">
        <v>3105</v>
      </c>
      <c r="C624">
        <v>146.00135349999999</v>
      </c>
      <c r="D624">
        <v>-17.495527630000002</v>
      </c>
      <c r="F624" t="s">
        <v>7298</v>
      </c>
      <c r="G624" s="1" t="str">
        <f t="shared" si="18"/>
        <v>3105_20240610_0004_L_0285.jpg</v>
      </c>
      <c r="H624">
        <v>9</v>
      </c>
      <c r="I624" t="str">
        <f t="shared" si="19"/>
        <v/>
      </c>
      <c r="J624" s="53">
        <f>IFERROR(VLOOKUP(B624, DATA_Johnstone_2024_ALL!B:J, 8, FALSE), "")</f>
        <v>0</v>
      </c>
      <c r="K624" s="29"/>
      <c r="L624" s="30"/>
      <c r="M624" s="29"/>
      <c r="N624" s="20" t="str">
        <f>IF(J624=1, DATA_Johnstone_2023_50!M624, "")</f>
        <v/>
      </c>
      <c r="O624" s="20" t="str">
        <f>IF($J624=1, DATA_Johnstone_2023_50!N624, "")</f>
        <v/>
      </c>
      <c r="P624" s="49"/>
      <c r="Q624" s="20" t="str">
        <f>IF($J624=1, DATA_Johnstone_2023_50!P624, "")</f>
        <v/>
      </c>
      <c r="R624" s="22"/>
      <c r="T624" s="22"/>
      <c r="W624" s="47"/>
      <c r="AI624" s="75">
        <v>621</v>
      </c>
      <c r="AJ624" s="75">
        <v>100</v>
      </c>
    </row>
    <row r="625" spans="1:36" hidden="1" x14ac:dyDescent="0.35">
      <c r="A625">
        <v>3109</v>
      </c>
      <c r="B625">
        <v>3110</v>
      </c>
      <c r="C625">
        <v>146.00133030000001</v>
      </c>
      <c r="D625">
        <v>-17.495056680000001</v>
      </c>
      <c r="F625" t="s">
        <v>7299</v>
      </c>
      <c r="G625" s="1" t="str">
        <f t="shared" si="18"/>
        <v>3110_20240610_0004_L_0301.jpg</v>
      </c>
      <c r="H625">
        <v>9</v>
      </c>
      <c r="I625" t="str">
        <f t="shared" si="19"/>
        <v/>
      </c>
      <c r="J625" s="53">
        <f>IFERROR(VLOOKUP(B625, DATA_Johnstone_2024_ALL!B:J, 8, FALSE), "")</f>
        <v>0</v>
      </c>
      <c r="K625" s="29"/>
      <c r="L625" s="30"/>
      <c r="M625" s="29"/>
      <c r="N625" s="20" t="str">
        <f>IF(J625=1, DATA_Johnstone_2023_50!M625, "")</f>
        <v/>
      </c>
      <c r="O625" s="20" t="str">
        <f>IF($J625=1, DATA_Johnstone_2023_50!N625, "")</f>
        <v/>
      </c>
      <c r="P625" s="49"/>
      <c r="Q625" s="20" t="str">
        <f>IF($J625=1, DATA_Johnstone_2023_50!P625, "")</f>
        <v/>
      </c>
      <c r="R625" s="22"/>
      <c r="T625" s="22"/>
      <c r="W625" s="47"/>
      <c r="AI625" s="75">
        <v>622</v>
      </c>
      <c r="AJ625" s="75">
        <v>100</v>
      </c>
    </row>
    <row r="626" spans="1:36" hidden="1" x14ac:dyDescent="0.35">
      <c r="A626">
        <v>3114</v>
      </c>
      <c r="B626">
        <v>3115</v>
      </c>
      <c r="C626">
        <v>146.00130419999999</v>
      </c>
      <c r="D626">
        <v>-17.494585879999999</v>
      </c>
      <c r="F626" t="s">
        <v>7300</v>
      </c>
      <c r="G626" s="1" t="str">
        <f t="shared" si="18"/>
        <v>3115_20240610_0004_L_0316.jpg</v>
      </c>
      <c r="H626">
        <v>9</v>
      </c>
      <c r="I626" t="str">
        <f t="shared" si="19"/>
        <v/>
      </c>
      <c r="J626" s="53">
        <f>IFERROR(VLOOKUP(B626, DATA_Johnstone_2024_ALL!B:J, 8, FALSE), "")</f>
        <v>0</v>
      </c>
      <c r="K626" s="29"/>
      <c r="L626" s="30"/>
      <c r="M626" s="29"/>
      <c r="N626" s="20" t="str">
        <f>IF(J626=1, DATA_Johnstone_2023_50!M626, "")</f>
        <v/>
      </c>
      <c r="O626" s="20" t="str">
        <f>IF($J626=1, DATA_Johnstone_2023_50!N626, "")</f>
        <v/>
      </c>
      <c r="P626" s="49"/>
      <c r="Q626" s="20" t="str">
        <f>IF($J626=1, DATA_Johnstone_2023_50!P626, "")</f>
        <v/>
      </c>
      <c r="R626" s="22"/>
      <c r="T626" s="22"/>
      <c r="W626" s="47"/>
      <c r="AI626" s="75">
        <v>623</v>
      </c>
      <c r="AJ626" s="75">
        <v>100</v>
      </c>
    </row>
    <row r="627" spans="1:36" hidden="1" x14ac:dyDescent="0.35">
      <c r="A627">
        <v>3119</v>
      </c>
      <c r="B627">
        <v>3120</v>
      </c>
      <c r="C627">
        <v>146.00127810000001</v>
      </c>
      <c r="D627">
        <v>-17.494115090000001</v>
      </c>
      <c r="F627" t="s">
        <v>7301</v>
      </c>
      <c r="G627" s="1" t="str">
        <f t="shared" si="18"/>
        <v>3120_20240610_0004_L_0335.jpg</v>
      </c>
      <c r="H627">
        <v>9</v>
      </c>
      <c r="I627" t="str">
        <f t="shared" si="19"/>
        <v/>
      </c>
      <c r="J627" s="53">
        <f>IFERROR(VLOOKUP(B627, DATA_Johnstone_2024_ALL!B:J, 8, FALSE), "")</f>
        <v>0</v>
      </c>
      <c r="K627" s="29"/>
      <c r="L627" s="30"/>
      <c r="M627" s="29"/>
      <c r="N627" s="20" t="str">
        <f>IF(J627=1, DATA_Johnstone_2023_50!M627, "")</f>
        <v/>
      </c>
      <c r="O627" s="20" t="str">
        <f>IF($J627=1, DATA_Johnstone_2023_50!N627, "")</f>
        <v/>
      </c>
      <c r="P627" s="49"/>
      <c r="Q627" s="20" t="str">
        <f>IF($J627=1, DATA_Johnstone_2023_50!P627, "")</f>
        <v/>
      </c>
      <c r="R627" s="22"/>
      <c r="T627" s="22"/>
      <c r="W627" s="47"/>
      <c r="AI627" s="75">
        <v>624</v>
      </c>
      <c r="AJ627" s="75">
        <v>100</v>
      </c>
    </row>
    <row r="628" spans="1:36" hidden="1" x14ac:dyDescent="0.35">
      <c r="A628">
        <v>3124</v>
      </c>
      <c r="B628">
        <v>3125</v>
      </c>
      <c r="C628">
        <v>146.0012523</v>
      </c>
      <c r="D628">
        <v>-17.493644280000002</v>
      </c>
      <c r="F628" t="s">
        <v>7302</v>
      </c>
      <c r="G628" s="1" t="str">
        <f t="shared" si="18"/>
        <v>3125_20240610_0004_L_0354.jpg</v>
      </c>
      <c r="H628">
        <v>9</v>
      </c>
      <c r="I628" t="str">
        <f t="shared" si="19"/>
        <v/>
      </c>
      <c r="J628" s="53">
        <f>IFERROR(VLOOKUP(B628, DATA_Johnstone_2024_ALL!B:J, 8, FALSE), "")</f>
        <v>0</v>
      </c>
      <c r="K628" s="29"/>
      <c r="L628" s="30"/>
      <c r="M628" s="29"/>
      <c r="N628" s="20" t="str">
        <f>IF(J628=1, DATA_Johnstone_2023_50!M628, "")</f>
        <v/>
      </c>
      <c r="O628" s="20" t="str">
        <f>IF($J628=1, DATA_Johnstone_2023_50!N628, "")</f>
        <v/>
      </c>
      <c r="P628" s="49"/>
      <c r="Q628" s="20" t="str">
        <f>IF($J628=1, DATA_Johnstone_2023_50!P628, "")</f>
        <v/>
      </c>
      <c r="R628" s="22"/>
      <c r="T628" s="22"/>
      <c r="W628" s="47"/>
      <c r="AI628" s="75">
        <v>625</v>
      </c>
      <c r="AJ628" s="75">
        <v>100</v>
      </c>
    </row>
    <row r="629" spans="1:36" hidden="1" x14ac:dyDescent="0.35">
      <c r="A629">
        <v>3129</v>
      </c>
      <c r="B629">
        <v>3130</v>
      </c>
      <c r="C629">
        <v>146.00122959999999</v>
      </c>
      <c r="D629">
        <v>-17.49317331</v>
      </c>
      <c r="F629" t="s">
        <v>7303</v>
      </c>
      <c r="G629" s="1" t="str">
        <f t="shared" si="18"/>
        <v>3130_20240610_0004_L_0372.jpg</v>
      </c>
      <c r="H629">
        <v>9</v>
      </c>
      <c r="I629" t="str">
        <f t="shared" si="19"/>
        <v/>
      </c>
      <c r="J629" s="53">
        <f>IFERROR(VLOOKUP(B629, DATA_Johnstone_2024_ALL!B:J, 8, FALSE), "")</f>
        <v>0</v>
      </c>
      <c r="K629" s="29"/>
      <c r="L629" s="30"/>
      <c r="M629" s="29"/>
      <c r="N629" s="20" t="str">
        <f>IF(J629=1, DATA_Johnstone_2023_50!M629, "")</f>
        <v/>
      </c>
      <c r="O629" s="20" t="str">
        <f>IF($J629=1, DATA_Johnstone_2023_50!N629, "")</f>
        <v/>
      </c>
      <c r="P629" s="49"/>
      <c r="Q629" s="20" t="str">
        <f>IF($J629=1, DATA_Johnstone_2023_50!P629, "")</f>
        <v/>
      </c>
      <c r="R629" s="22"/>
      <c r="T629" s="22"/>
      <c r="W629" s="47"/>
      <c r="AI629" s="75">
        <v>626</v>
      </c>
      <c r="AJ629" s="75">
        <v>100</v>
      </c>
    </row>
    <row r="630" spans="1:36" hidden="1" x14ac:dyDescent="0.35">
      <c r="A630">
        <v>3134</v>
      </c>
      <c r="B630">
        <v>3135</v>
      </c>
      <c r="C630">
        <v>146.00120680000001</v>
      </c>
      <c r="D630">
        <v>-17.492702340000001</v>
      </c>
      <c r="F630" t="s">
        <v>7304</v>
      </c>
      <c r="G630" s="1" t="str">
        <f t="shared" si="18"/>
        <v>3135_20240610_0005_L_0023.jpg</v>
      </c>
      <c r="H630">
        <v>9</v>
      </c>
      <c r="I630" t="str">
        <f t="shared" si="19"/>
        <v/>
      </c>
      <c r="J630" s="53">
        <f>IFERROR(VLOOKUP(B630, DATA_Johnstone_2024_ALL!B:J, 8, FALSE), "")</f>
        <v>0</v>
      </c>
      <c r="K630" s="29"/>
      <c r="L630" s="30"/>
      <c r="M630" s="29"/>
      <c r="N630" s="20" t="str">
        <f>IF(J630=1, DATA_Johnstone_2023_50!M630, "")</f>
        <v/>
      </c>
      <c r="O630" s="20" t="str">
        <f>IF($J630=1, DATA_Johnstone_2023_50!N630, "")</f>
        <v/>
      </c>
      <c r="P630" s="49"/>
      <c r="Q630" s="20" t="str">
        <f>IF($J630=1, DATA_Johnstone_2023_50!P630, "")</f>
        <v/>
      </c>
      <c r="R630" s="22"/>
      <c r="T630" s="22"/>
      <c r="W630" s="47"/>
      <c r="AI630" s="75">
        <v>627</v>
      </c>
      <c r="AJ630" s="75">
        <v>100</v>
      </c>
    </row>
    <row r="631" spans="1:36" hidden="1" x14ac:dyDescent="0.35">
      <c r="A631">
        <v>3139</v>
      </c>
      <c r="B631">
        <v>3140</v>
      </c>
      <c r="C631">
        <v>146.00118409999999</v>
      </c>
      <c r="D631">
        <v>-17.492231369999999</v>
      </c>
      <c r="F631" t="s">
        <v>7305</v>
      </c>
      <c r="G631" s="1" t="str">
        <f t="shared" si="18"/>
        <v>3140_20240610_0005_L_0040.jpg</v>
      </c>
      <c r="H631">
        <v>9</v>
      </c>
      <c r="I631" t="str">
        <f t="shared" si="19"/>
        <v/>
      </c>
      <c r="J631" s="53">
        <f>IFERROR(VLOOKUP(B631, DATA_Johnstone_2024_ALL!B:J, 8, FALSE), "")</f>
        <v>0</v>
      </c>
      <c r="K631" s="29"/>
      <c r="L631" s="30"/>
      <c r="M631" s="29"/>
      <c r="N631" s="20" t="str">
        <f>IF(J631=1, DATA_Johnstone_2023_50!M631, "")</f>
        <v/>
      </c>
      <c r="O631" s="20" t="str">
        <f>IF($J631=1, DATA_Johnstone_2023_50!N631, "")</f>
        <v/>
      </c>
      <c r="P631" s="49"/>
      <c r="Q631" s="20" t="str">
        <f>IF($J631=1, DATA_Johnstone_2023_50!P631, "")</f>
        <v/>
      </c>
      <c r="R631" s="22"/>
      <c r="T631" s="22"/>
      <c r="W631" s="47"/>
      <c r="AI631" s="75">
        <v>628</v>
      </c>
      <c r="AJ631" s="75">
        <v>100</v>
      </c>
    </row>
    <row r="632" spans="1:36" hidden="1" x14ac:dyDescent="0.35">
      <c r="A632">
        <v>3144</v>
      </c>
      <c r="B632">
        <v>3145</v>
      </c>
      <c r="C632">
        <v>146.00114350000001</v>
      </c>
      <c r="D632">
        <v>-17.491761870000001</v>
      </c>
      <c r="F632" t="s">
        <v>7306</v>
      </c>
      <c r="G632" s="1" t="str">
        <f t="shared" si="18"/>
        <v>3145_20240610_0003_L_4377.jpg</v>
      </c>
      <c r="H632">
        <v>9</v>
      </c>
      <c r="I632" t="str">
        <f t="shared" si="19"/>
        <v/>
      </c>
      <c r="J632" s="53">
        <f>IFERROR(VLOOKUP(B632, DATA_Johnstone_2024_ALL!B:J, 8, FALSE), "")</f>
        <v>0</v>
      </c>
      <c r="K632" s="29"/>
      <c r="L632" s="30"/>
      <c r="M632" s="29"/>
      <c r="N632" s="20" t="str">
        <f>IF(J632=1, DATA_Johnstone_2023_50!M632, "")</f>
        <v/>
      </c>
      <c r="O632" s="20" t="str">
        <f>IF($J632=1, DATA_Johnstone_2023_50!N632, "")</f>
        <v/>
      </c>
      <c r="P632" s="49"/>
      <c r="Q632" s="20" t="str">
        <f>IF($J632=1, DATA_Johnstone_2023_50!P632, "")</f>
        <v/>
      </c>
      <c r="R632" s="22"/>
      <c r="T632" s="22"/>
      <c r="W632" s="47"/>
      <c r="AI632" s="75">
        <v>629</v>
      </c>
      <c r="AJ632" s="75">
        <v>100</v>
      </c>
    </row>
    <row r="633" spans="1:36" hidden="1" x14ac:dyDescent="0.35">
      <c r="A633">
        <v>3149</v>
      </c>
      <c r="B633">
        <v>3150</v>
      </c>
      <c r="C633">
        <v>146.00108929999999</v>
      </c>
      <c r="D633">
        <v>-17.491293469999999</v>
      </c>
      <c r="F633" t="s">
        <v>7307</v>
      </c>
      <c r="G633" s="1" t="str">
        <f t="shared" si="18"/>
        <v>3150_20240610_0005_L_0068.jpg</v>
      </c>
      <c r="H633">
        <v>9</v>
      </c>
      <c r="I633" t="str">
        <f t="shared" si="19"/>
        <v/>
      </c>
      <c r="J633" s="53">
        <f>IFERROR(VLOOKUP(B633, DATA_Johnstone_2024_ALL!B:J, 8, FALSE), "")</f>
        <v>0</v>
      </c>
      <c r="K633" s="29"/>
      <c r="L633" s="30"/>
      <c r="M633" s="29"/>
      <c r="N633" s="20" t="str">
        <f>IF(J633=1, DATA_Johnstone_2023_50!M633, "")</f>
        <v/>
      </c>
      <c r="O633" s="20" t="str">
        <f>IF($J633=1, DATA_Johnstone_2023_50!N633, "")</f>
        <v/>
      </c>
      <c r="P633" s="49"/>
      <c r="Q633" s="20" t="str">
        <f>IF($J633=1, DATA_Johnstone_2023_50!P633, "")</f>
        <v/>
      </c>
      <c r="R633" s="22"/>
      <c r="T633" s="22"/>
      <c r="W633" s="47"/>
      <c r="AI633" s="75">
        <v>630</v>
      </c>
      <c r="AJ633" s="75">
        <v>100</v>
      </c>
    </row>
    <row r="634" spans="1:36" hidden="1" x14ac:dyDescent="0.35">
      <c r="A634">
        <v>3154</v>
      </c>
      <c r="B634">
        <v>3155</v>
      </c>
      <c r="C634">
        <v>146.0010795</v>
      </c>
      <c r="D634">
        <v>-17.490823410000001</v>
      </c>
      <c r="F634" t="s">
        <v>7308</v>
      </c>
      <c r="G634" s="1" t="str">
        <f t="shared" si="18"/>
        <v>3155_20240610_0005_L_0084.jpg</v>
      </c>
      <c r="H634">
        <v>9</v>
      </c>
      <c r="I634" t="str">
        <f t="shared" si="19"/>
        <v/>
      </c>
      <c r="J634" s="53">
        <f>IFERROR(VLOOKUP(B634, DATA_Johnstone_2024_ALL!B:J, 8, FALSE), "")</f>
        <v>0</v>
      </c>
      <c r="K634" s="29"/>
      <c r="L634" s="30"/>
      <c r="M634" s="29"/>
      <c r="N634" s="20" t="str">
        <f>IF(J634=1, DATA_Johnstone_2023_50!M634, "")</f>
        <v/>
      </c>
      <c r="O634" s="20" t="str">
        <f>IF($J634=1, DATA_Johnstone_2023_50!N634, "")</f>
        <v/>
      </c>
      <c r="P634" s="49"/>
      <c r="Q634" s="20" t="str">
        <f>IF($J634=1, DATA_Johnstone_2023_50!P634, "")</f>
        <v/>
      </c>
      <c r="R634" s="22"/>
      <c r="T634" s="22"/>
      <c r="W634" s="47"/>
      <c r="AI634" s="75">
        <v>631</v>
      </c>
      <c r="AJ634" s="75">
        <v>100</v>
      </c>
    </row>
    <row r="635" spans="1:36" hidden="1" x14ac:dyDescent="0.35">
      <c r="A635">
        <v>3159</v>
      </c>
      <c r="B635">
        <v>3160</v>
      </c>
      <c r="C635">
        <v>146.00109839999999</v>
      </c>
      <c r="D635">
        <v>-17.49035228</v>
      </c>
      <c r="F635" t="s">
        <v>7309</v>
      </c>
      <c r="G635" s="1" t="str">
        <f t="shared" si="18"/>
        <v>3160_20240610_0005_L_0100.jpg</v>
      </c>
      <c r="H635">
        <v>9</v>
      </c>
      <c r="I635" t="str">
        <f t="shared" si="19"/>
        <v/>
      </c>
      <c r="J635" s="53">
        <f>IFERROR(VLOOKUP(B635, DATA_Johnstone_2024_ALL!B:J, 8, FALSE), "")</f>
        <v>0</v>
      </c>
      <c r="K635" s="29"/>
      <c r="L635" s="30"/>
      <c r="M635" s="29"/>
      <c r="N635" s="20" t="str">
        <f>IF(J635=1, DATA_Johnstone_2023_50!M635, "")</f>
        <v/>
      </c>
      <c r="O635" s="20" t="str">
        <f>IF($J635=1, DATA_Johnstone_2023_50!N635, "")</f>
        <v/>
      </c>
      <c r="P635" s="49"/>
      <c r="Q635" s="20" t="str">
        <f>IF($J635=1, DATA_Johnstone_2023_50!P635, "")</f>
        <v/>
      </c>
      <c r="R635" s="22"/>
      <c r="T635" s="22"/>
      <c r="W635" s="47"/>
      <c r="AI635" s="75">
        <v>632</v>
      </c>
      <c r="AJ635" s="75">
        <v>100</v>
      </c>
    </row>
    <row r="636" spans="1:36" hidden="1" x14ac:dyDescent="0.35">
      <c r="A636">
        <v>3164</v>
      </c>
      <c r="B636">
        <v>3165</v>
      </c>
      <c r="C636">
        <v>146.0011585</v>
      </c>
      <c r="D636">
        <v>-17.48988602</v>
      </c>
      <c r="F636" t="s">
        <v>7310</v>
      </c>
      <c r="G636" s="1" t="str">
        <f t="shared" si="18"/>
        <v>3165_20240610_0005_L_0115.jpg</v>
      </c>
      <c r="H636">
        <v>9</v>
      </c>
      <c r="I636" t="str">
        <f t="shared" si="19"/>
        <v/>
      </c>
      <c r="J636" s="53">
        <f>IFERROR(VLOOKUP(B636, DATA_Johnstone_2024_ALL!B:J, 8, FALSE), "")</f>
        <v>0</v>
      </c>
      <c r="K636" s="29"/>
      <c r="L636" s="30"/>
      <c r="M636" s="29"/>
      <c r="N636" s="20" t="str">
        <f>IF(J636=1, DATA_Johnstone_2023_50!M636, "")</f>
        <v/>
      </c>
      <c r="O636" s="20" t="str">
        <f>IF($J636=1, DATA_Johnstone_2023_50!N636, "")</f>
        <v/>
      </c>
      <c r="P636" s="49"/>
      <c r="Q636" s="20" t="str">
        <f>IF($J636=1, DATA_Johnstone_2023_50!P636, "")</f>
        <v/>
      </c>
      <c r="R636" s="22"/>
      <c r="T636" s="22"/>
      <c r="W636" s="47"/>
      <c r="AI636" s="75">
        <v>633</v>
      </c>
      <c r="AJ636" s="75">
        <v>100</v>
      </c>
    </row>
    <row r="637" spans="1:36" hidden="1" x14ac:dyDescent="0.35">
      <c r="A637">
        <v>3169</v>
      </c>
      <c r="B637">
        <v>3170</v>
      </c>
      <c r="C637">
        <v>146.00125019999999</v>
      </c>
      <c r="D637">
        <v>-17.489423510000002</v>
      </c>
      <c r="F637" t="s">
        <v>7311</v>
      </c>
      <c r="G637" s="1" t="str">
        <f t="shared" si="18"/>
        <v>3170_20240610_0005_L_0127.jpg</v>
      </c>
      <c r="H637">
        <v>9</v>
      </c>
      <c r="I637" t="str">
        <f t="shared" si="19"/>
        <v/>
      </c>
      <c r="J637" s="53">
        <f>IFERROR(VLOOKUP(B637, DATA_Johnstone_2024_ALL!B:J, 8, FALSE), "")</f>
        <v>0</v>
      </c>
      <c r="K637" s="29"/>
      <c r="L637" s="30"/>
      <c r="M637" s="29"/>
      <c r="N637" s="20" t="str">
        <f>IF(J637=1, DATA_Johnstone_2023_50!M637, "")</f>
        <v/>
      </c>
      <c r="O637" s="20" t="str">
        <f>IF($J637=1, DATA_Johnstone_2023_50!N637, "")</f>
        <v/>
      </c>
      <c r="P637" s="49"/>
      <c r="Q637" s="20" t="str">
        <f>IF($J637=1, DATA_Johnstone_2023_50!P637, "")</f>
        <v/>
      </c>
      <c r="R637" s="22"/>
      <c r="T637" s="22"/>
      <c r="W637" s="47"/>
      <c r="AI637" s="75">
        <v>634</v>
      </c>
      <c r="AJ637" s="75">
        <v>100</v>
      </c>
    </row>
    <row r="638" spans="1:36" hidden="1" x14ac:dyDescent="0.35">
      <c r="A638">
        <v>3174</v>
      </c>
      <c r="B638">
        <v>3175</v>
      </c>
      <c r="C638">
        <v>146.0013419</v>
      </c>
      <c r="D638">
        <v>-17.488961</v>
      </c>
      <c r="F638" t="s">
        <v>7312</v>
      </c>
      <c r="G638" s="1" t="str">
        <f t="shared" si="18"/>
        <v>3175_20240610_0005_L_0139.jpg</v>
      </c>
      <c r="H638">
        <v>9</v>
      </c>
      <c r="I638" t="str">
        <f t="shared" si="19"/>
        <v/>
      </c>
      <c r="J638" s="53">
        <f>IFERROR(VLOOKUP(B638, DATA_Johnstone_2024_ALL!B:J, 8, FALSE), "")</f>
        <v>0</v>
      </c>
      <c r="K638" s="29"/>
      <c r="L638" s="30"/>
      <c r="M638" s="29"/>
      <c r="N638" s="20" t="str">
        <f>IF(J638=1, DATA_Johnstone_2023_50!M638, "")</f>
        <v/>
      </c>
      <c r="O638" s="20" t="str">
        <f>IF($J638=1, DATA_Johnstone_2023_50!N638, "")</f>
        <v/>
      </c>
      <c r="P638" s="49"/>
      <c r="Q638" s="20" t="str">
        <f>IF($J638=1, DATA_Johnstone_2023_50!P638, "")</f>
        <v/>
      </c>
      <c r="R638" s="22"/>
      <c r="T638" s="22"/>
      <c r="W638" s="47"/>
      <c r="AI638" s="75">
        <v>635</v>
      </c>
      <c r="AJ638" s="75">
        <v>100</v>
      </c>
    </row>
    <row r="639" spans="1:36" hidden="1" x14ac:dyDescent="0.35">
      <c r="A639">
        <v>3179</v>
      </c>
      <c r="B639">
        <v>3180</v>
      </c>
      <c r="C639">
        <v>146.00161840000001</v>
      </c>
      <c r="D639">
        <v>-17.488591580000001</v>
      </c>
      <c r="F639" t="s">
        <v>7313</v>
      </c>
      <c r="G639" s="1" t="str">
        <f t="shared" si="18"/>
        <v>3180_20240610_0005_L_0150.jpg</v>
      </c>
      <c r="H639">
        <v>9</v>
      </c>
      <c r="I639" t="str">
        <f t="shared" si="19"/>
        <v/>
      </c>
      <c r="J639" s="53">
        <f>IFERROR(VLOOKUP(B639, DATA_Johnstone_2024_ALL!B:J, 8, FALSE), "")</f>
        <v>0</v>
      </c>
      <c r="K639" s="29"/>
      <c r="L639" s="30"/>
      <c r="M639" s="29"/>
      <c r="N639" s="20" t="str">
        <f>IF(J639=1, DATA_Johnstone_2023_50!M639, "")</f>
        <v/>
      </c>
      <c r="O639" s="20" t="str">
        <f>IF($J639=1, DATA_Johnstone_2023_50!N639, "")</f>
        <v/>
      </c>
      <c r="P639" s="49"/>
      <c r="Q639" s="20" t="str">
        <f>IF($J639=1, DATA_Johnstone_2023_50!P639, "")</f>
        <v/>
      </c>
      <c r="R639" s="22"/>
      <c r="T639" s="22"/>
      <c r="W639" s="47"/>
      <c r="AI639" s="75">
        <v>636</v>
      </c>
      <c r="AJ639" s="75">
        <v>100</v>
      </c>
    </row>
    <row r="640" spans="1:36" hidden="1" x14ac:dyDescent="0.35">
      <c r="A640">
        <v>3184</v>
      </c>
      <c r="B640">
        <v>3185</v>
      </c>
      <c r="C640">
        <v>146.0019356</v>
      </c>
      <c r="D640">
        <v>-17.48824265</v>
      </c>
      <c r="F640" t="s">
        <v>7314</v>
      </c>
      <c r="G640" s="1" t="str">
        <f t="shared" si="18"/>
        <v>3185_20240610_0005_L_0160.jpg</v>
      </c>
      <c r="H640">
        <v>9</v>
      </c>
      <c r="I640" t="str">
        <f t="shared" si="19"/>
        <v/>
      </c>
      <c r="J640" s="53">
        <f>IFERROR(VLOOKUP(B640, DATA_Johnstone_2024_ALL!B:J, 8, FALSE), "")</f>
        <v>0</v>
      </c>
      <c r="K640" s="29"/>
      <c r="L640" s="30"/>
      <c r="M640" s="29"/>
      <c r="N640" s="20" t="str">
        <f>IF(J640=1, DATA_Johnstone_2023_50!M640, "")</f>
        <v/>
      </c>
      <c r="O640" s="20" t="str">
        <f>IF($J640=1, DATA_Johnstone_2023_50!N640, "")</f>
        <v/>
      </c>
      <c r="P640" s="49"/>
      <c r="Q640" s="20" t="str">
        <f>IF($J640=1, DATA_Johnstone_2023_50!P640, "")</f>
        <v/>
      </c>
      <c r="R640" s="22"/>
      <c r="T640" s="22"/>
      <c r="W640" s="47"/>
      <c r="AI640" s="75">
        <v>637</v>
      </c>
      <c r="AJ640" s="75">
        <v>100</v>
      </c>
    </row>
    <row r="641" spans="1:36" hidden="1" x14ac:dyDescent="0.35">
      <c r="A641">
        <v>3189</v>
      </c>
      <c r="B641">
        <v>3190</v>
      </c>
      <c r="C641">
        <v>146.00228369999999</v>
      </c>
      <c r="D641">
        <v>-17.48792684</v>
      </c>
      <c r="F641" t="s">
        <v>7315</v>
      </c>
      <c r="G641" s="1" t="str">
        <f t="shared" si="18"/>
        <v>3190_20240610_0005_L_0168.jpg</v>
      </c>
      <c r="H641">
        <v>9</v>
      </c>
      <c r="I641" t="str">
        <f t="shared" si="19"/>
        <v/>
      </c>
      <c r="J641" s="53">
        <f>IFERROR(VLOOKUP(B641, DATA_Johnstone_2024_ALL!B:J, 8, FALSE), "")</f>
        <v>0</v>
      </c>
      <c r="K641" s="29"/>
      <c r="L641" s="30"/>
      <c r="M641" s="29"/>
      <c r="N641" s="20" t="str">
        <f>IF(J641=1, DATA_Johnstone_2023_50!M641, "")</f>
        <v/>
      </c>
      <c r="O641" s="20" t="str">
        <f>IF($J641=1, DATA_Johnstone_2023_50!N641, "")</f>
        <v/>
      </c>
      <c r="P641" s="49"/>
      <c r="Q641" s="20" t="str">
        <f>IF($J641=1, DATA_Johnstone_2023_50!P641, "")</f>
        <v/>
      </c>
      <c r="R641" s="22"/>
      <c r="T641" s="22"/>
      <c r="W641" s="47"/>
      <c r="AI641" s="75">
        <v>638</v>
      </c>
      <c r="AJ641" s="75">
        <v>100</v>
      </c>
    </row>
    <row r="642" spans="1:36" hidden="1" x14ac:dyDescent="0.35">
      <c r="A642">
        <v>3194</v>
      </c>
      <c r="B642">
        <v>3195</v>
      </c>
      <c r="C642">
        <v>146.0026972</v>
      </c>
      <c r="D642">
        <v>-17.487705099999999</v>
      </c>
      <c r="F642" t="s">
        <v>7316</v>
      </c>
      <c r="G642" s="1" t="str">
        <f t="shared" si="18"/>
        <v>3195_20240610_0005_L_0175.jpg</v>
      </c>
      <c r="H642">
        <v>9</v>
      </c>
      <c r="I642" t="str">
        <f t="shared" si="19"/>
        <v/>
      </c>
      <c r="J642" s="53">
        <f>IFERROR(VLOOKUP(B642, DATA_Johnstone_2024_ALL!B:J, 8, FALSE), "")</f>
        <v>0</v>
      </c>
      <c r="K642" s="29"/>
      <c r="L642" s="30"/>
      <c r="M642" s="29"/>
      <c r="N642" s="20" t="str">
        <f>IF(J642=1, DATA_Johnstone_2023_50!M642, "")</f>
        <v/>
      </c>
      <c r="O642" s="20" t="str">
        <f>IF($J642=1, DATA_Johnstone_2023_50!N642, "")</f>
        <v/>
      </c>
      <c r="P642" s="49"/>
      <c r="Q642" s="20" t="str">
        <f>IF($J642=1, DATA_Johnstone_2023_50!P642, "")</f>
        <v/>
      </c>
      <c r="R642" s="22"/>
      <c r="T642" s="22"/>
      <c r="W642" s="47"/>
      <c r="AI642" s="75">
        <v>639</v>
      </c>
      <c r="AJ642" s="75">
        <v>100</v>
      </c>
    </row>
    <row r="643" spans="1:36" hidden="1" x14ac:dyDescent="0.35">
      <c r="A643">
        <v>3199</v>
      </c>
      <c r="B643">
        <v>3200</v>
      </c>
      <c r="C643">
        <v>146.00314460000001</v>
      </c>
      <c r="D643">
        <v>-17.487558320000002</v>
      </c>
      <c r="F643" t="s">
        <v>7317</v>
      </c>
      <c r="G643" s="1" t="str">
        <f t="shared" si="18"/>
        <v>3200_20240610_0005_L_0182.jpg</v>
      </c>
      <c r="H643">
        <v>9</v>
      </c>
      <c r="I643" t="str">
        <f t="shared" si="19"/>
        <v/>
      </c>
      <c r="J643" s="53">
        <f>IFERROR(VLOOKUP(B643, DATA_Johnstone_2024_ALL!B:J, 8, FALSE), "")</f>
        <v>0</v>
      </c>
      <c r="K643" s="29"/>
      <c r="L643" s="30"/>
      <c r="M643" s="29"/>
      <c r="N643" s="20" t="str">
        <f>IF(J643=1, DATA_Johnstone_2023_50!M643, "")</f>
        <v/>
      </c>
      <c r="O643" s="20" t="str">
        <f>IF($J643=1, DATA_Johnstone_2023_50!N643, "")</f>
        <v/>
      </c>
      <c r="P643" s="49"/>
      <c r="Q643" s="20" t="str">
        <f>IF($J643=1, DATA_Johnstone_2023_50!P643, "")</f>
        <v/>
      </c>
      <c r="R643" s="22"/>
      <c r="T643" s="22"/>
      <c r="W643" s="47"/>
      <c r="AI643" s="75">
        <v>640</v>
      </c>
      <c r="AJ643" s="75">
        <v>100</v>
      </c>
    </row>
    <row r="644" spans="1:36" hidden="1" x14ac:dyDescent="0.35">
      <c r="A644">
        <v>3204</v>
      </c>
      <c r="B644">
        <v>3205</v>
      </c>
      <c r="C644">
        <v>146.00313360000001</v>
      </c>
      <c r="D644">
        <v>-17.48730733</v>
      </c>
      <c r="G644" s="1" t="str">
        <f t="shared" si="18"/>
        <v/>
      </c>
      <c r="H644">
        <v>9</v>
      </c>
      <c r="I644" t="str">
        <f t="shared" si="19"/>
        <v>X</v>
      </c>
      <c r="J644" s="53" t="str">
        <f>IFERROR(VLOOKUP(B644, DATA_Johnstone_2024_ALL!B:J, 8, FALSE), "")</f>
        <v>X</v>
      </c>
      <c r="K644" s="29"/>
      <c r="L644" s="30"/>
      <c r="M644" s="29"/>
      <c r="N644" s="20" t="str">
        <f>IF(J644=1, DATA_Johnstone_2023_50!M644, "")</f>
        <v/>
      </c>
      <c r="O644" s="20" t="str">
        <f>IF($J644=1, DATA_Johnstone_2023_50!N644, "")</f>
        <v/>
      </c>
      <c r="P644" s="49"/>
      <c r="Q644" s="20" t="str">
        <f>IF($J644=1, DATA_Johnstone_2023_50!P644, "")</f>
        <v/>
      </c>
      <c r="R644" s="22"/>
      <c r="T644" s="22"/>
      <c r="W644" s="47"/>
      <c r="AI644" s="75">
        <v>641</v>
      </c>
      <c r="AJ644" s="75">
        <v>100</v>
      </c>
    </row>
    <row r="645" spans="1:36" hidden="1" x14ac:dyDescent="0.35">
      <c r="A645">
        <v>3209</v>
      </c>
      <c r="B645">
        <v>3210</v>
      </c>
      <c r="C645">
        <v>146.00269230000001</v>
      </c>
      <c r="D645">
        <v>-17.487144000000001</v>
      </c>
      <c r="G645" s="1" t="str">
        <f t="shared" ref="G645:G708" si="20">IF(F645="", "", HYPERLINK("E:\Data From Lucan\2024\Johnstone\Frames_for_Analysis_50\" &amp; F645, F645))</f>
        <v/>
      </c>
      <c r="H645">
        <v>9</v>
      </c>
      <c r="I645" t="str">
        <f t="shared" ref="I645:I708" si="21">IF(G645="","X","")</f>
        <v>X</v>
      </c>
      <c r="J645" s="53" t="str">
        <f>IFERROR(VLOOKUP(B645, DATA_Johnstone_2024_ALL!B:J, 8, FALSE), "")</f>
        <v>X</v>
      </c>
      <c r="K645" s="29"/>
      <c r="L645" s="30"/>
      <c r="M645" s="29"/>
      <c r="N645" s="20" t="str">
        <f>IF(J645=1, DATA_Johnstone_2023_50!M645, "")</f>
        <v/>
      </c>
      <c r="O645" s="20" t="str">
        <f>IF($J645=1, DATA_Johnstone_2023_50!N645, "")</f>
        <v/>
      </c>
      <c r="P645" s="49"/>
      <c r="Q645" s="20" t="str">
        <f>IF($J645=1, DATA_Johnstone_2023_50!P645, "")</f>
        <v/>
      </c>
      <c r="R645" s="22"/>
      <c r="T645" s="22"/>
      <c r="W645" s="47"/>
      <c r="AI645" s="75">
        <v>642</v>
      </c>
      <c r="AJ645" s="75">
        <v>100</v>
      </c>
    </row>
    <row r="646" spans="1:36" hidden="1" x14ac:dyDescent="0.35">
      <c r="A646">
        <v>3214</v>
      </c>
      <c r="B646">
        <v>3215</v>
      </c>
      <c r="C646">
        <v>146.00222529999999</v>
      </c>
      <c r="D646">
        <v>-17.487111609999999</v>
      </c>
      <c r="G646" s="1" t="str">
        <f t="shared" si="20"/>
        <v/>
      </c>
      <c r="H646">
        <v>9</v>
      </c>
      <c r="I646" t="str">
        <f t="shared" si="21"/>
        <v>X</v>
      </c>
      <c r="J646" s="53" t="str">
        <f>IFERROR(VLOOKUP(B646, DATA_Johnstone_2024_ALL!B:J, 8, FALSE), "")</f>
        <v>X</v>
      </c>
      <c r="K646" s="29"/>
      <c r="L646" s="30"/>
      <c r="M646" s="29"/>
      <c r="N646" s="20" t="str">
        <f>IF(J646=1, DATA_Johnstone_2023_50!M646, "")</f>
        <v/>
      </c>
      <c r="O646" s="20" t="str">
        <f>IF($J646=1, DATA_Johnstone_2023_50!N646, "")</f>
        <v/>
      </c>
      <c r="P646" s="49"/>
      <c r="Q646" s="20" t="str">
        <f>IF($J646=1, DATA_Johnstone_2023_50!P646, "")</f>
        <v/>
      </c>
      <c r="R646" s="22"/>
      <c r="T646" s="22"/>
      <c r="W646" s="47"/>
      <c r="AI646" s="75">
        <v>643</v>
      </c>
      <c r="AJ646" s="75">
        <v>100</v>
      </c>
    </row>
    <row r="647" spans="1:36" hidden="1" x14ac:dyDescent="0.35">
      <c r="A647">
        <v>3219</v>
      </c>
      <c r="B647">
        <v>3220</v>
      </c>
      <c r="C647">
        <v>146.0018029</v>
      </c>
      <c r="D647">
        <v>-17.48701792</v>
      </c>
      <c r="G647" s="1" t="str">
        <f t="shared" si="20"/>
        <v/>
      </c>
      <c r="H647">
        <v>9</v>
      </c>
      <c r="I647" t="str">
        <f t="shared" si="21"/>
        <v>X</v>
      </c>
      <c r="J647" s="53" t="str">
        <f>IFERROR(VLOOKUP(B647, DATA_Johnstone_2024_ALL!B:J, 8, FALSE), "")</f>
        <v>X</v>
      </c>
      <c r="K647" s="29"/>
      <c r="L647" s="30"/>
      <c r="M647" s="29"/>
      <c r="N647" s="20" t="str">
        <f>IF(J647=1, DATA_Johnstone_2023_50!M647, "")</f>
        <v/>
      </c>
      <c r="O647" s="20" t="str">
        <f>IF($J647=1, DATA_Johnstone_2023_50!N647, "")</f>
        <v/>
      </c>
      <c r="P647" s="49"/>
      <c r="Q647" s="20" t="str">
        <f>IF($J647=1, DATA_Johnstone_2023_50!P647, "")</f>
        <v/>
      </c>
      <c r="R647" s="22"/>
      <c r="T647" s="22"/>
      <c r="W647" s="47"/>
      <c r="AI647" s="75">
        <v>644</v>
      </c>
      <c r="AJ647" s="75">
        <v>100</v>
      </c>
    </row>
    <row r="648" spans="1:36" hidden="1" x14ac:dyDescent="0.35">
      <c r="A648">
        <v>3224</v>
      </c>
      <c r="B648">
        <v>3225</v>
      </c>
      <c r="C648">
        <v>146.0022333</v>
      </c>
      <c r="D648">
        <v>-17.486902000000001</v>
      </c>
      <c r="G648" s="1" t="str">
        <f t="shared" si="20"/>
        <v/>
      </c>
      <c r="H648">
        <v>9</v>
      </c>
      <c r="I648" t="str">
        <f t="shared" si="21"/>
        <v>X</v>
      </c>
      <c r="J648" s="53" t="str">
        <f>IFERROR(VLOOKUP(B648, DATA_Johnstone_2024_ALL!B:J, 8, FALSE), "")</f>
        <v>X</v>
      </c>
      <c r="K648" s="29"/>
      <c r="L648" s="30"/>
      <c r="M648" s="29"/>
      <c r="N648" s="20" t="str">
        <f>IF(J648=1, DATA_Johnstone_2023_50!M648, "")</f>
        <v/>
      </c>
      <c r="O648" s="20" t="str">
        <f>IF($J648=1, DATA_Johnstone_2023_50!N648, "")</f>
        <v/>
      </c>
      <c r="P648" s="49"/>
      <c r="Q648" s="20" t="str">
        <f>IF($J648=1, DATA_Johnstone_2023_50!P648, "")</f>
        <v/>
      </c>
      <c r="R648" s="22"/>
      <c r="T648" s="22"/>
      <c r="W648" s="47"/>
      <c r="AI648" s="75">
        <v>645</v>
      </c>
      <c r="AJ648" s="75">
        <v>100</v>
      </c>
    </row>
    <row r="649" spans="1:36" hidden="1" x14ac:dyDescent="0.35">
      <c r="A649">
        <v>3229</v>
      </c>
      <c r="B649">
        <v>3230</v>
      </c>
      <c r="C649">
        <v>146.00270370000001</v>
      </c>
      <c r="D649">
        <v>-17.48691986</v>
      </c>
      <c r="G649" s="1" t="str">
        <f t="shared" si="20"/>
        <v/>
      </c>
      <c r="H649">
        <v>9</v>
      </c>
      <c r="I649" t="str">
        <f t="shared" si="21"/>
        <v>X</v>
      </c>
      <c r="J649" s="53" t="str">
        <f>IFERROR(VLOOKUP(B649, DATA_Johnstone_2024_ALL!B:J, 8, FALSE), "")</f>
        <v>X</v>
      </c>
      <c r="K649" s="29"/>
      <c r="L649" s="30"/>
      <c r="M649" s="29"/>
      <c r="N649" s="20" t="str">
        <f>IF(J649=1, DATA_Johnstone_2023_50!M649, "")</f>
        <v/>
      </c>
      <c r="O649" s="20" t="str">
        <f>IF($J649=1, DATA_Johnstone_2023_50!N649, "")</f>
        <v/>
      </c>
      <c r="P649" s="49"/>
      <c r="Q649" s="20" t="str">
        <f>IF($J649=1, DATA_Johnstone_2023_50!P649, "")</f>
        <v/>
      </c>
      <c r="R649" s="22"/>
      <c r="T649" s="22"/>
      <c r="W649" s="47"/>
      <c r="AI649" s="75">
        <v>646</v>
      </c>
      <c r="AJ649" s="75">
        <v>100</v>
      </c>
    </row>
    <row r="650" spans="1:36" hidden="1" x14ac:dyDescent="0.35">
      <c r="A650">
        <v>3234</v>
      </c>
      <c r="B650">
        <v>3235</v>
      </c>
      <c r="C650">
        <v>146.0031439</v>
      </c>
      <c r="D650">
        <v>-17.48708452</v>
      </c>
      <c r="G650" s="1" t="str">
        <f t="shared" si="20"/>
        <v/>
      </c>
      <c r="H650">
        <v>9</v>
      </c>
      <c r="I650" t="str">
        <f t="shared" si="21"/>
        <v>X</v>
      </c>
      <c r="J650" s="53" t="str">
        <f>IFERROR(VLOOKUP(B650, DATA_Johnstone_2024_ALL!B:J, 8, FALSE), "")</f>
        <v>X</v>
      </c>
      <c r="K650" s="29"/>
      <c r="L650" s="30"/>
      <c r="M650" s="29"/>
      <c r="N650" s="20" t="str">
        <f>IF(J650=1, DATA_Johnstone_2023_50!M650, "")</f>
        <v/>
      </c>
      <c r="O650" s="20" t="str">
        <f>IF($J650=1, DATA_Johnstone_2023_50!N650, "")</f>
        <v/>
      </c>
      <c r="P650" s="49"/>
      <c r="Q650" s="20" t="str">
        <f>IF($J650=1, DATA_Johnstone_2023_50!P650, "")</f>
        <v/>
      </c>
      <c r="R650" s="22"/>
      <c r="T650" s="22"/>
      <c r="W650" s="47"/>
      <c r="AI650" s="75">
        <v>647</v>
      </c>
      <c r="AJ650" s="75">
        <v>100</v>
      </c>
    </row>
    <row r="651" spans="1:36" hidden="1" x14ac:dyDescent="0.35">
      <c r="A651">
        <v>3239</v>
      </c>
      <c r="B651">
        <v>3240</v>
      </c>
      <c r="C651">
        <v>146.00355339999999</v>
      </c>
      <c r="D651">
        <v>-17.487314569999999</v>
      </c>
      <c r="F651" t="s">
        <v>7318</v>
      </c>
      <c r="G651" s="1" t="str">
        <f t="shared" si="20"/>
        <v>3240_20240610_0005_L_0186.jpg</v>
      </c>
      <c r="H651">
        <v>9</v>
      </c>
      <c r="I651" t="str">
        <f t="shared" si="21"/>
        <v/>
      </c>
      <c r="J651" s="53">
        <f>IFERROR(VLOOKUP(B651, DATA_Johnstone_2024_ALL!B:J, 8, FALSE), "")</f>
        <v>0</v>
      </c>
      <c r="K651" s="29"/>
      <c r="L651" s="30"/>
      <c r="M651" s="29"/>
      <c r="N651" s="20" t="str">
        <f>IF(J651=1, DATA_Johnstone_2023_50!M651, "")</f>
        <v/>
      </c>
      <c r="O651" s="20" t="str">
        <f>IF($J651=1, DATA_Johnstone_2023_50!N651, "")</f>
        <v/>
      </c>
      <c r="P651" s="49"/>
      <c r="Q651" s="20" t="str">
        <f>IF($J651=1, DATA_Johnstone_2023_50!P651, "")</f>
        <v/>
      </c>
      <c r="R651" s="22"/>
      <c r="T651" s="22"/>
      <c r="W651" s="47"/>
      <c r="AI651" s="75">
        <v>648</v>
      </c>
      <c r="AJ651" s="75">
        <v>100</v>
      </c>
    </row>
    <row r="652" spans="1:36" hidden="1" x14ac:dyDescent="0.35">
      <c r="A652">
        <v>3244</v>
      </c>
      <c r="B652">
        <v>3245</v>
      </c>
      <c r="C652">
        <v>146.00354350000001</v>
      </c>
      <c r="D652">
        <v>-17.487738069999999</v>
      </c>
      <c r="G652" s="1" t="str">
        <f t="shared" si="20"/>
        <v/>
      </c>
      <c r="H652">
        <v>9</v>
      </c>
      <c r="I652" t="str">
        <f t="shared" si="21"/>
        <v>X</v>
      </c>
      <c r="J652" s="53" t="str">
        <f>IFERROR(VLOOKUP(B652, DATA_Johnstone_2024_ALL!B:J, 8, FALSE), "")</f>
        <v>X</v>
      </c>
      <c r="K652" s="29"/>
      <c r="L652" s="30"/>
      <c r="M652" s="29"/>
      <c r="N652" s="20" t="str">
        <f>IF(J652=1, DATA_Johnstone_2023_50!M652, "")</f>
        <v/>
      </c>
      <c r="O652" s="20" t="str">
        <f>IF($J652=1, DATA_Johnstone_2023_50!N652, "")</f>
        <v/>
      </c>
      <c r="P652" s="49"/>
      <c r="Q652" s="20" t="str">
        <f>IF($J652=1, DATA_Johnstone_2023_50!P652, "")</f>
        <v/>
      </c>
      <c r="R652" s="22"/>
      <c r="T652" s="22"/>
      <c r="W652" s="47"/>
      <c r="AI652" s="75">
        <v>649</v>
      </c>
      <c r="AJ652" s="75">
        <v>100</v>
      </c>
    </row>
    <row r="653" spans="1:36" hidden="1" x14ac:dyDescent="0.35">
      <c r="A653">
        <v>3249</v>
      </c>
      <c r="B653">
        <v>3250</v>
      </c>
      <c r="C653">
        <v>146.00369130000001</v>
      </c>
      <c r="D653">
        <v>-17.48801009</v>
      </c>
      <c r="F653" t="s">
        <v>7319</v>
      </c>
      <c r="G653" s="1" t="str">
        <f t="shared" si="20"/>
        <v>3250_20240610_0005_L_0192.jpg</v>
      </c>
      <c r="H653">
        <v>9</v>
      </c>
      <c r="I653" t="str">
        <f t="shared" si="21"/>
        <v/>
      </c>
      <c r="J653" s="53">
        <f>IFERROR(VLOOKUP(B653, DATA_Johnstone_2024_ALL!B:J, 8, FALSE), "")</f>
        <v>0</v>
      </c>
      <c r="K653" s="29"/>
      <c r="L653" s="30"/>
      <c r="M653" s="29"/>
      <c r="N653" s="20" t="str">
        <f>IF(J653=1, DATA_Johnstone_2023_50!M653, "")</f>
        <v/>
      </c>
      <c r="O653" s="20" t="str">
        <f>IF($J653=1, DATA_Johnstone_2023_50!N653, "")</f>
        <v/>
      </c>
      <c r="P653" s="49"/>
      <c r="Q653" s="20" t="str">
        <f>IF($J653=1, DATA_Johnstone_2023_50!P653, "")</f>
        <v/>
      </c>
      <c r="R653" s="22"/>
      <c r="T653" s="22"/>
      <c r="W653" s="47"/>
      <c r="AI653" s="75">
        <v>650</v>
      </c>
      <c r="AJ653" s="75">
        <v>100</v>
      </c>
    </row>
    <row r="654" spans="1:36" hidden="1" x14ac:dyDescent="0.35">
      <c r="A654">
        <v>3254</v>
      </c>
      <c r="B654">
        <v>3255</v>
      </c>
      <c r="C654">
        <v>146.00398730000001</v>
      </c>
      <c r="D654">
        <v>-17.488305709999999</v>
      </c>
      <c r="F654" t="s">
        <v>7320</v>
      </c>
      <c r="G654" s="1" t="str">
        <f t="shared" si="20"/>
        <v>3255_20240610_0005_L_0201.jpg</v>
      </c>
      <c r="H654">
        <v>9</v>
      </c>
      <c r="I654" t="str">
        <f t="shared" si="21"/>
        <v/>
      </c>
      <c r="J654" s="53">
        <f>IFERROR(VLOOKUP(B654, DATA_Johnstone_2024_ALL!B:J, 8, FALSE), "")</f>
        <v>0</v>
      </c>
      <c r="K654" s="29"/>
      <c r="L654" s="30"/>
      <c r="M654" s="29"/>
      <c r="N654" s="20" t="str">
        <f>IF(J654=1, DATA_Johnstone_2023_50!M654, "")</f>
        <v/>
      </c>
      <c r="O654" s="20" t="str">
        <f>IF($J654=1, DATA_Johnstone_2023_50!N654, "")</f>
        <v/>
      </c>
      <c r="P654" s="49"/>
      <c r="Q654" s="20" t="str">
        <f>IF($J654=1, DATA_Johnstone_2023_50!P654, "")</f>
        <v/>
      </c>
      <c r="R654" s="22"/>
      <c r="T654" s="22"/>
      <c r="W654" s="47"/>
      <c r="AI654" s="75">
        <v>651</v>
      </c>
      <c r="AJ654" s="75">
        <v>100</v>
      </c>
    </row>
    <row r="655" spans="1:36" hidden="1" x14ac:dyDescent="0.35">
      <c r="A655">
        <v>3259</v>
      </c>
      <c r="B655">
        <v>3260</v>
      </c>
      <c r="C655">
        <v>146.0044035</v>
      </c>
      <c r="D655">
        <v>-17.488500219999999</v>
      </c>
      <c r="F655" t="s">
        <v>7321</v>
      </c>
      <c r="G655" s="1" t="str">
        <f t="shared" si="20"/>
        <v>3260_20240610_0005_L_0213.jpg</v>
      </c>
      <c r="H655">
        <v>9</v>
      </c>
      <c r="I655" t="str">
        <f t="shared" si="21"/>
        <v/>
      </c>
      <c r="J655" s="53">
        <f>IFERROR(VLOOKUP(B655, DATA_Johnstone_2024_ALL!B:J, 8, FALSE), "")</f>
        <v>0</v>
      </c>
      <c r="K655" s="29"/>
      <c r="L655" s="30"/>
      <c r="M655" s="29"/>
      <c r="N655" s="20" t="str">
        <f>IF(J655=1, DATA_Johnstone_2023_50!M655, "")</f>
        <v/>
      </c>
      <c r="O655" s="20" t="str">
        <f>IF($J655=1, DATA_Johnstone_2023_50!N655, "")</f>
        <v/>
      </c>
      <c r="P655" s="49"/>
      <c r="Q655" s="20" t="str">
        <f>IF($J655=1, DATA_Johnstone_2023_50!P655, "")</f>
        <v/>
      </c>
      <c r="R655" s="22"/>
      <c r="T655" s="22"/>
      <c r="W655" s="47"/>
      <c r="AI655" s="75">
        <v>652</v>
      </c>
      <c r="AJ655" s="75">
        <v>100</v>
      </c>
    </row>
    <row r="656" spans="1:36" hidden="1" x14ac:dyDescent="0.35">
      <c r="A656">
        <v>3264</v>
      </c>
      <c r="B656">
        <v>3265</v>
      </c>
      <c r="C656">
        <v>146.00480450000001</v>
      </c>
      <c r="D656">
        <v>-17.488731980000001</v>
      </c>
      <c r="F656" t="s">
        <v>7322</v>
      </c>
      <c r="G656" s="1" t="str">
        <f t="shared" si="20"/>
        <v>3265_20240610_0005_L_0225.jpg</v>
      </c>
      <c r="H656">
        <v>9</v>
      </c>
      <c r="I656" t="str">
        <f t="shared" si="21"/>
        <v/>
      </c>
      <c r="J656" s="53">
        <f>IFERROR(VLOOKUP(B656, DATA_Johnstone_2024_ALL!B:J, 8, FALSE), "")</f>
        <v>0</v>
      </c>
      <c r="K656" s="29"/>
      <c r="L656" s="30"/>
      <c r="M656" s="29"/>
      <c r="N656" s="20" t="str">
        <f>IF(J656=1, DATA_Johnstone_2023_50!M656, "")</f>
        <v/>
      </c>
      <c r="O656" s="20" t="str">
        <f>IF($J656=1, DATA_Johnstone_2023_50!N656, "")</f>
        <v/>
      </c>
      <c r="P656" s="49"/>
      <c r="Q656" s="20" t="str">
        <f>IF($J656=1, DATA_Johnstone_2023_50!P656, "")</f>
        <v/>
      </c>
      <c r="R656" s="22"/>
      <c r="T656" s="22"/>
      <c r="W656" s="47"/>
      <c r="AI656" s="75">
        <v>653</v>
      </c>
      <c r="AJ656" s="75">
        <v>100</v>
      </c>
    </row>
    <row r="657" spans="1:36" hidden="1" x14ac:dyDescent="0.35">
      <c r="A657">
        <v>3269</v>
      </c>
      <c r="B657">
        <v>3270</v>
      </c>
      <c r="C657">
        <v>146.00484320000001</v>
      </c>
      <c r="D657">
        <v>-17.489144840000002</v>
      </c>
      <c r="F657" t="s">
        <v>7323</v>
      </c>
      <c r="G657" s="1" t="str">
        <f t="shared" si="20"/>
        <v>3270_20240610_0005_L_0236.jpg</v>
      </c>
      <c r="H657">
        <v>9</v>
      </c>
      <c r="I657" t="str">
        <f t="shared" si="21"/>
        <v/>
      </c>
      <c r="J657" s="53">
        <f>IFERROR(VLOOKUP(B657, DATA_Johnstone_2024_ALL!B:J, 8, FALSE), "")</f>
        <v>0</v>
      </c>
      <c r="K657" s="29"/>
      <c r="L657" s="30"/>
      <c r="M657" s="29"/>
      <c r="N657" s="20" t="str">
        <f>IF(J657=1, DATA_Johnstone_2023_50!M657, "")</f>
        <v/>
      </c>
      <c r="O657" s="20" t="str">
        <f>IF($J657=1, DATA_Johnstone_2023_50!N657, "")</f>
        <v/>
      </c>
      <c r="P657" s="49"/>
      <c r="Q657" s="20" t="str">
        <f>IF($J657=1, DATA_Johnstone_2023_50!P657, "")</f>
        <v/>
      </c>
      <c r="R657" s="22"/>
      <c r="T657" s="22"/>
      <c r="W657" s="47"/>
      <c r="AI657" s="75">
        <v>654</v>
      </c>
      <c r="AJ657" s="75">
        <v>100</v>
      </c>
    </row>
    <row r="658" spans="1:36" hidden="1" x14ac:dyDescent="0.35">
      <c r="A658">
        <v>3274</v>
      </c>
      <c r="B658">
        <v>3275</v>
      </c>
      <c r="C658">
        <v>146.00482220000001</v>
      </c>
      <c r="D658">
        <v>-17.489594199999999</v>
      </c>
      <c r="F658" t="s">
        <v>7324</v>
      </c>
      <c r="G658" s="1" t="str">
        <f t="shared" si="20"/>
        <v>3275_20240610_0005_L_0247.jpg</v>
      </c>
      <c r="H658">
        <v>9</v>
      </c>
      <c r="I658" t="str">
        <f t="shared" si="21"/>
        <v/>
      </c>
      <c r="J658" s="53">
        <f>IFERROR(VLOOKUP(B658, DATA_Johnstone_2024_ALL!B:J, 8, FALSE), "")</f>
        <v>0</v>
      </c>
      <c r="K658" s="29"/>
      <c r="L658" s="30"/>
      <c r="M658" s="29"/>
      <c r="N658" s="20" t="str">
        <f>IF(J658=1, DATA_Johnstone_2023_50!M658, "")</f>
        <v/>
      </c>
      <c r="O658" s="20" t="str">
        <f>IF($J658=1, DATA_Johnstone_2023_50!N658, "")</f>
        <v/>
      </c>
      <c r="P658" s="49"/>
      <c r="Q658" s="20" t="str">
        <f>IF($J658=1, DATA_Johnstone_2023_50!P658, "")</f>
        <v/>
      </c>
      <c r="R658" s="22"/>
      <c r="T658" s="22"/>
      <c r="W658" s="47"/>
      <c r="AI658" s="75">
        <v>655</v>
      </c>
      <c r="AJ658" s="75">
        <v>100</v>
      </c>
    </row>
    <row r="659" spans="1:36" hidden="1" x14ac:dyDescent="0.35">
      <c r="A659">
        <v>3279</v>
      </c>
      <c r="B659">
        <v>3280</v>
      </c>
      <c r="C659">
        <v>146.00510320000001</v>
      </c>
      <c r="D659">
        <v>-17.48996769</v>
      </c>
      <c r="F659" t="s">
        <v>7325</v>
      </c>
      <c r="G659" s="1" t="str">
        <f t="shared" si="20"/>
        <v>3280_20240610_0005_L_0260.jpg</v>
      </c>
      <c r="H659">
        <v>9</v>
      </c>
      <c r="I659" t="str">
        <f t="shared" si="21"/>
        <v/>
      </c>
      <c r="J659" s="53">
        <f>IFERROR(VLOOKUP(B659, DATA_Johnstone_2024_ALL!B:J, 8, FALSE), "")</f>
        <v>0</v>
      </c>
      <c r="K659" s="29"/>
      <c r="L659" s="30"/>
      <c r="M659" s="29"/>
      <c r="N659" s="20" t="str">
        <f>IF(J659=1, DATA_Johnstone_2023_50!M659, "")</f>
        <v/>
      </c>
      <c r="O659" s="20" t="str">
        <f>IF($J659=1, DATA_Johnstone_2023_50!N659, "")</f>
        <v/>
      </c>
      <c r="P659" s="49"/>
      <c r="Q659" s="20" t="str">
        <f>IF($J659=1, DATA_Johnstone_2023_50!P659, "")</f>
        <v/>
      </c>
      <c r="R659" s="22"/>
      <c r="T659" s="22"/>
      <c r="W659" s="47"/>
      <c r="AI659" s="75">
        <v>656</v>
      </c>
      <c r="AJ659" s="75">
        <v>100</v>
      </c>
    </row>
    <row r="660" spans="1:36" hidden="1" x14ac:dyDescent="0.35">
      <c r="A660">
        <v>3284</v>
      </c>
      <c r="B660">
        <v>3285</v>
      </c>
      <c r="C660">
        <v>146.00540190000001</v>
      </c>
      <c r="D660">
        <v>-17.490329819999999</v>
      </c>
      <c r="F660" t="s">
        <v>7326</v>
      </c>
      <c r="G660" s="1" t="str">
        <f t="shared" si="20"/>
        <v>3285_20240610_0005_L_0272.jpg</v>
      </c>
      <c r="H660">
        <v>8</v>
      </c>
      <c r="I660" t="str">
        <f t="shared" si="21"/>
        <v/>
      </c>
      <c r="J660" s="53">
        <f>IFERROR(VLOOKUP(B660, DATA_Johnstone_2024_ALL!B:J, 8, FALSE), "")</f>
        <v>0</v>
      </c>
      <c r="K660" s="29"/>
      <c r="L660" s="30"/>
      <c r="M660" s="29"/>
      <c r="N660" s="20" t="str">
        <f>IF(J660=1, DATA_Johnstone_2023_50!M660, "")</f>
        <v/>
      </c>
      <c r="O660" s="20" t="str">
        <f>IF($J660=1, DATA_Johnstone_2023_50!N660, "")</f>
        <v/>
      </c>
      <c r="P660" s="49"/>
      <c r="Q660" s="20" t="str">
        <f>IF($J660=1, DATA_Johnstone_2023_50!P660, "")</f>
        <v/>
      </c>
      <c r="R660" s="22"/>
      <c r="T660" s="22"/>
      <c r="W660" s="47"/>
      <c r="AI660" s="75">
        <v>657</v>
      </c>
      <c r="AJ660" s="75">
        <v>100</v>
      </c>
    </row>
    <row r="661" spans="1:36" hidden="1" x14ac:dyDescent="0.35">
      <c r="A661">
        <v>3289</v>
      </c>
      <c r="B661">
        <v>3290</v>
      </c>
      <c r="C661">
        <v>146.00558229999999</v>
      </c>
      <c r="D661">
        <v>-17.490765469999999</v>
      </c>
      <c r="F661" t="s">
        <v>7327</v>
      </c>
      <c r="G661" s="1" t="str">
        <f t="shared" si="20"/>
        <v>3290_20240610_0005_L_0286.jpg</v>
      </c>
      <c r="H661">
        <v>8</v>
      </c>
      <c r="I661" t="str">
        <f t="shared" si="21"/>
        <v/>
      </c>
      <c r="J661" s="53">
        <f>IFERROR(VLOOKUP(B661, DATA_Johnstone_2024_ALL!B:J, 8, FALSE), "")</f>
        <v>0</v>
      </c>
      <c r="K661" s="29"/>
      <c r="L661" s="30"/>
      <c r="M661" s="29"/>
      <c r="N661" s="20" t="str">
        <f>IF(J661=1, DATA_Johnstone_2023_50!M661, "")</f>
        <v/>
      </c>
      <c r="O661" s="20" t="str">
        <f>IF($J661=1, DATA_Johnstone_2023_50!N661, "")</f>
        <v/>
      </c>
      <c r="P661" s="49"/>
      <c r="Q661" s="20" t="str">
        <f>IF($J661=1, DATA_Johnstone_2023_50!P661, "")</f>
        <v/>
      </c>
      <c r="R661" s="22"/>
      <c r="T661" s="22"/>
      <c r="W661" s="47"/>
      <c r="AI661" s="75">
        <v>658</v>
      </c>
      <c r="AJ661" s="75">
        <v>100</v>
      </c>
    </row>
    <row r="662" spans="1:36" hidden="1" x14ac:dyDescent="0.35">
      <c r="A662">
        <v>3294</v>
      </c>
      <c r="B662">
        <v>3295</v>
      </c>
      <c r="C662">
        <v>146.0057626</v>
      </c>
      <c r="D662">
        <v>-17.491201119999999</v>
      </c>
      <c r="F662" t="s">
        <v>7328</v>
      </c>
      <c r="G662" s="1" t="str">
        <f t="shared" si="20"/>
        <v>3295_20240610_0005_L_0300.jpg</v>
      </c>
      <c r="H662">
        <v>8</v>
      </c>
      <c r="I662" t="str">
        <f t="shared" si="21"/>
        <v/>
      </c>
      <c r="J662" s="53">
        <f>IFERROR(VLOOKUP(B662, DATA_Johnstone_2024_ALL!B:J, 8, FALSE), "")</f>
        <v>0</v>
      </c>
      <c r="K662" s="29"/>
      <c r="L662" s="30"/>
      <c r="M662" s="29"/>
      <c r="N662" s="20" t="str">
        <f>IF(J662=1, DATA_Johnstone_2023_50!M662, "")</f>
        <v/>
      </c>
      <c r="O662" s="20" t="str">
        <f>IF($J662=1, DATA_Johnstone_2023_50!N662, "")</f>
        <v/>
      </c>
      <c r="P662" s="49"/>
      <c r="Q662" s="20" t="str">
        <f>IF($J662=1, DATA_Johnstone_2023_50!P662, "")</f>
        <v/>
      </c>
      <c r="R662" s="22"/>
      <c r="T662" s="22"/>
      <c r="W662" s="47"/>
      <c r="AI662" s="75">
        <v>659</v>
      </c>
      <c r="AJ662" s="75">
        <v>100</v>
      </c>
    </row>
    <row r="663" spans="1:36" hidden="1" x14ac:dyDescent="0.35">
      <c r="A663">
        <v>3299</v>
      </c>
      <c r="B663">
        <v>3300</v>
      </c>
      <c r="C663">
        <v>146.0059962</v>
      </c>
      <c r="D663">
        <v>-17.491609669999999</v>
      </c>
      <c r="F663" t="s">
        <v>7329</v>
      </c>
      <c r="G663" s="1" t="str">
        <f t="shared" si="20"/>
        <v>3300_20240610_0005_L_0315.jpg</v>
      </c>
      <c r="H663">
        <v>8</v>
      </c>
      <c r="I663" t="str">
        <f t="shared" si="21"/>
        <v/>
      </c>
      <c r="J663" s="53">
        <f>IFERROR(VLOOKUP(B663, DATA_Johnstone_2024_ALL!B:J, 8, FALSE), "")</f>
        <v>0</v>
      </c>
      <c r="K663" s="29"/>
      <c r="L663" s="30"/>
      <c r="M663" s="29"/>
      <c r="N663" s="20" t="str">
        <f>IF(J663=1, DATA_Johnstone_2023_50!M663, "")</f>
        <v/>
      </c>
      <c r="O663" s="20" t="str">
        <f>IF($J663=1, DATA_Johnstone_2023_50!N663, "")</f>
        <v/>
      </c>
      <c r="P663" s="49"/>
      <c r="Q663" s="20" t="str">
        <f>IF($J663=1, DATA_Johnstone_2023_50!P663, "")</f>
        <v/>
      </c>
      <c r="R663" s="22"/>
      <c r="T663" s="22"/>
      <c r="W663" s="47"/>
      <c r="AI663" s="75">
        <v>660</v>
      </c>
      <c r="AJ663" s="75">
        <v>100</v>
      </c>
    </row>
    <row r="664" spans="1:36" hidden="1" x14ac:dyDescent="0.35">
      <c r="A664">
        <v>3304</v>
      </c>
      <c r="B664">
        <v>3305</v>
      </c>
      <c r="C664">
        <v>146.00624260000001</v>
      </c>
      <c r="D664">
        <v>-17.492011730000002</v>
      </c>
      <c r="F664" t="s">
        <v>7330</v>
      </c>
      <c r="G664" s="1" t="str">
        <f t="shared" si="20"/>
        <v>3305_20240610_0005_L_0330.jpg</v>
      </c>
      <c r="H664">
        <v>8</v>
      </c>
      <c r="I664" t="str">
        <f t="shared" si="21"/>
        <v/>
      </c>
      <c r="J664" s="53">
        <f>IFERROR(VLOOKUP(B664, DATA_Johnstone_2024_ALL!B:J, 8, FALSE), "")</f>
        <v>0</v>
      </c>
      <c r="K664" s="29"/>
      <c r="L664" s="30"/>
      <c r="M664" s="29"/>
      <c r="N664" s="20" t="str">
        <f>IF(J664=1, DATA_Johnstone_2023_50!M664, "")</f>
        <v/>
      </c>
      <c r="O664" s="20" t="str">
        <f>IF($J664=1, DATA_Johnstone_2023_50!N664, "")</f>
        <v/>
      </c>
      <c r="P664" s="49"/>
      <c r="Q664" s="20" t="str">
        <f>IF($J664=1, DATA_Johnstone_2023_50!P664, "")</f>
        <v/>
      </c>
      <c r="R664" s="22"/>
      <c r="T664" s="22"/>
      <c r="W664" s="47"/>
      <c r="AI664" s="75">
        <v>661</v>
      </c>
      <c r="AJ664" s="75">
        <v>100</v>
      </c>
    </row>
    <row r="665" spans="1:36" hidden="1" x14ac:dyDescent="0.35">
      <c r="A665">
        <v>3309</v>
      </c>
      <c r="B665">
        <v>3310</v>
      </c>
      <c r="C665">
        <v>146.00648889999999</v>
      </c>
      <c r="D665">
        <v>-17.49241378</v>
      </c>
      <c r="F665" t="s">
        <v>7331</v>
      </c>
      <c r="G665" s="1" t="str">
        <f t="shared" si="20"/>
        <v>3310_20240610_0005_L_0345.jpg</v>
      </c>
      <c r="H665">
        <v>8</v>
      </c>
      <c r="I665" t="str">
        <f t="shared" si="21"/>
        <v/>
      </c>
      <c r="J665" s="53">
        <f>IFERROR(VLOOKUP(B665, DATA_Johnstone_2024_ALL!B:J, 8, FALSE), "")</f>
        <v>0</v>
      </c>
      <c r="K665" s="29"/>
      <c r="L665" s="30"/>
      <c r="M665" s="29"/>
      <c r="N665" s="20" t="str">
        <f>IF(J665=1, DATA_Johnstone_2023_50!M665, "")</f>
        <v/>
      </c>
      <c r="O665" s="20" t="str">
        <f>IF($J665=1, DATA_Johnstone_2023_50!N665, "")</f>
        <v/>
      </c>
      <c r="P665" s="49"/>
      <c r="Q665" s="20" t="str">
        <f>IF($J665=1, DATA_Johnstone_2023_50!P665, "")</f>
        <v/>
      </c>
      <c r="R665" s="22"/>
      <c r="T665" s="22"/>
      <c r="W665" s="47"/>
      <c r="AI665" s="75">
        <v>662</v>
      </c>
      <c r="AJ665" s="75">
        <v>100</v>
      </c>
    </row>
    <row r="666" spans="1:36" hidden="1" x14ac:dyDescent="0.35">
      <c r="A666">
        <v>3314</v>
      </c>
      <c r="B666">
        <v>3315</v>
      </c>
      <c r="C666">
        <v>146.0067512</v>
      </c>
      <c r="D666">
        <v>-17.492804629999998</v>
      </c>
      <c r="F666" t="s">
        <v>7332</v>
      </c>
      <c r="G666" s="1" t="str">
        <f t="shared" si="20"/>
        <v>3315_20240610_0005_L_0361.jpg</v>
      </c>
      <c r="H666">
        <v>8</v>
      </c>
      <c r="I666" t="str">
        <f t="shared" si="21"/>
        <v/>
      </c>
      <c r="J666" s="53">
        <f>IFERROR(VLOOKUP(B666, DATA_Johnstone_2024_ALL!B:J, 8, FALSE), "")</f>
        <v>0</v>
      </c>
      <c r="K666" s="29"/>
      <c r="L666" s="30"/>
      <c r="M666" s="29"/>
      <c r="N666" s="20" t="str">
        <f>IF(J666=1, DATA_Johnstone_2023_50!M666, "")</f>
        <v/>
      </c>
      <c r="O666" s="20" t="str">
        <f>IF($J666=1, DATA_Johnstone_2023_50!N666, "")</f>
        <v/>
      </c>
      <c r="P666" s="49"/>
      <c r="Q666" s="20" t="str">
        <f>IF($J666=1, DATA_Johnstone_2023_50!P666, "")</f>
        <v/>
      </c>
      <c r="R666" s="22"/>
      <c r="T666" s="22"/>
      <c r="W666" s="47"/>
      <c r="AI666" s="75">
        <v>663</v>
      </c>
      <c r="AJ666" s="75">
        <v>100</v>
      </c>
    </row>
    <row r="667" spans="1:36" hidden="1" x14ac:dyDescent="0.35">
      <c r="A667">
        <v>3319</v>
      </c>
      <c r="B667">
        <v>3320</v>
      </c>
      <c r="C667">
        <v>146.00704630000001</v>
      </c>
      <c r="D667">
        <v>-17.493172349999998</v>
      </c>
      <c r="F667" t="s">
        <v>7333</v>
      </c>
      <c r="G667" s="1" t="str">
        <f t="shared" si="20"/>
        <v>3320_20240610_0005_L_0375.jpg</v>
      </c>
      <c r="H667">
        <v>8</v>
      </c>
      <c r="I667" t="str">
        <f t="shared" si="21"/>
        <v/>
      </c>
      <c r="J667" s="53">
        <f>IFERROR(VLOOKUP(B667, DATA_Johnstone_2024_ALL!B:J, 8, FALSE), "")</f>
        <v>0</v>
      </c>
      <c r="K667" s="29"/>
      <c r="L667" s="30"/>
      <c r="M667" s="29"/>
      <c r="N667" s="20" t="str">
        <f>IF(J667=1, DATA_Johnstone_2023_50!M667, "")</f>
        <v/>
      </c>
      <c r="O667" s="20" t="str">
        <f>IF($J667=1, DATA_Johnstone_2023_50!N667, "")</f>
        <v/>
      </c>
      <c r="P667" s="49"/>
      <c r="Q667" s="20" t="str">
        <f>IF($J667=1, DATA_Johnstone_2023_50!P667, "")</f>
        <v/>
      </c>
      <c r="R667" s="22"/>
      <c r="T667" s="22"/>
      <c r="W667" s="47"/>
      <c r="AI667" s="75">
        <v>664</v>
      </c>
      <c r="AJ667" s="75">
        <v>100</v>
      </c>
    </row>
    <row r="668" spans="1:36" hidden="1" x14ac:dyDescent="0.35">
      <c r="A668">
        <v>3324</v>
      </c>
      <c r="B668">
        <v>3325</v>
      </c>
      <c r="C668">
        <v>146.00736879999999</v>
      </c>
      <c r="D668">
        <v>-17.493510560000001</v>
      </c>
      <c r="F668" t="s">
        <v>7334</v>
      </c>
      <c r="G668" s="1" t="str">
        <f t="shared" si="20"/>
        <v>3325_20240610_0005_L_0388.jpg</v>
      </c>
      <c r="H668">
        <v>8</v>
      </c>
      <c r="I668" t="str">
        <f t="shared" si="21"/>
        <v/>
      </c>
      <c r="J668" s="53">
        <f>IFERROR(VLOOKUP(B668, DATA_Johnstone_2024_ALL!B:J, 8, FALSE), "")</f>
        <v>0</v>
      </c>
      <c r="K668" s="29"/>
      <c r="L668" s="30"/>
      <c r="M668" s="29"/>
      <c r="N668" s="20" t="str">
        <f>IF(J668=1, DATA_Johnstone_2023_50!M668, "")</f>
        <v/>
      </c>
      <c r="O668" s="20" t="str">
        <f>IF($J668=1, DATA_Johnstone_2023_50!N668, "")</f>
        <v/>
      </c>
      <c r="P668" s="49"/>
      <c r="Q668" s="20" t="str">
        <f>IF($J668=1, DATA_Johnstone_2023_50!P668, "")</f>
        <v/>
      </c>
      <c r="R668" s="22"/>
      <c r="T668" s="22"/>
      <c r="W668" s="47"/>
      <c r="AI668" s="75">
        <v>665</v>
      </c>
      <c r="AJ668" s="75">
        <v>100</v>
      </c>
    </row>
    <row r="669" spans="1:36" hidden="1" x14ac:dyDescent="0.35">
      <c r="A669">
        <v>3329</v>
      </c>
      <c r="B669">
        <v>3330</v>
      </c>
      <c r="C669">
        <v>146.00775809999999</v>
      </c>
      <c r="D669">
        <v>-17.49377647</v>
      </c>
      <c r="F669" t="s">
        <v>7335</v>
      </c>
      <c r="G669" s="1" t="str">
        <f t="shared" si="20"/>
        <v>3330_20240610_0005_L_0405.jpg</v>
      </c>
      <c r="H669">
        <v>8</v>
      </c>
      <c r="I669" t="str">
        <f t="shared" si="21"/>
        <v/>
      </c>
      <c r="J669" s="53">
        <f>IFERROR(VLOOKUP(B669, DATA_Johnstone_2024_ALL!B:J, 8, FALSE), "")</f>
        <v>0</v>
      </c>
      <c r="K669" s="29"/>
      <c r="L669" s="30"/>
      <c r="M669" s="29"/>
      <c r="N669" s="20" t="str">
        <f>IF(J669=1, DATA_Johnstone_2023_50!M669, "")</f>
        <v/>
      </c>
      <c r="O669" s="20" t="str">
        <f>IF($J669=1, DATA_Johnstone_2023_50!N669, "")</f>
        <v/>
      </c>
      <c r="P669" s="49"/>
      <c r="Q669" s="20" t="str">
        <f>IF($J669=1, DATA_Johnstone_2023_50!P669, "")</f>
        <v/>
      </c>
      <c r="R669" s="22"/>
      <c r="T669" s="22"/>
      <c r="W669" s="47"/>
      <c r="AI669" s="75">
        <v>666</v>
      </c>
      <c r="AJ669" s="75">
        <v>100</v>
      </c>
    </row>
    <row r="670" spans="1:36" hidden="1" x14ac:dyDescent="0.35">
      <c r="A670">
        <v>3334</v>
      </c>
      <c r="B670">
        <v>3335</v>
      </c>
      <c r="C670">
        <v>146.0081634</v>
      </c>
      <c r="D670">
        <v>-17.494004390000001</v>
      </c>
      <c r="F670" t="s">
        <v>7336</v>
      </c>
      <c r="G670" s="1" t="str">
        <f t="shared" si="20"/>
        <v>3335_20240610_0005_L_0423.jpg</v>
      </c>
      <c r="H670">
        <v>8</v>
      </c>
      <c r="I670" t="str">
        <f t="shared" si="21"/>
        <v/>
      </c>
      <c r="J670" s="53">
        <f>IFERROR(VLOOKUP(B670, DATA_Johnstone_2024_ALL!B:J, 8, FALSE), "")</f>
        <v>0</v>
      </c>
      <c r="K670" s="29"/>
      <c r="L670" s="30"/>
      <c r="M670" s="29"/>
      <c r="N670" s="20" t="str">
        <f>IF(J670=1, DATA_Johnstone_2023_50!M670, "")</f>
        <v/>
      </c>
      <c r="O670" s="20" t="str">
        <f>IF($J670=1, DATA_Johnstone_2023_50!N670, "")</f>
        <v/>
      </c>
      <c r="P670" s="49"/>
      <c r="Q670" s="20" t="str">
        <f>IF($J670=1, DATA_Johnstone_2023_50!P670, "")</f>
        <v/>
      </c>
      <c r="R670" s="22"/>
      <c r="T670" s="22"/>
      <c r="W670" s="47"/>
      <c r="AI670" s="75">
        <v>667</v>
      </c>
      <c r="AJ670" s="75">
        <v>100</v>
      </c>
    </row>
    <row r="671" spans="1:36" hidden="1" x14ac:dyDescent="0.35">
      <c r="A671">
        <v>3339</v>
      </c>
      <c r="B671">
        <v>3340</v>
      </c>
      <c r="C671">
        <v>146.0086264</v>
      </c>
      <c r="D671">
        <v>-17.49409344</v>
      </c>
      <c r="F671" t="s">
        <v>7337</v>
      </c>
      <c r="G671" s="1" t="str">
        <f t="shared" si="20"/>
        <v>3340_20240610_0005_L_0440.jpg</v>
      </c>
      <c r="H671">
        <v>8</v>
      </c>
      <c r="I671" t="str">
        <f t="shared" si="21"/>
        <v/>
      </c>
      <c r="J671" s="53">
        <f>IFERROR(VLOOKUP(B671, DATA_Johnstone_2024_ALL!B:J, 8, FALSE), "")</f>
        <v>0</v>
      </c>
      <c r="K671" s="29"/>
      <c r="L671" s="30"/>
      <c r="M671" s="29"/>
      <c r="N671" s="20" t="str">
        <f>IF(J671=1, DATA_Johnstone_2023_50!M671, "")</f>
        <v/>
      </c>
      <c r="O671" s="20" t="str">
        <f>IF($J671=1, DATA_Johnstone_2023_50!N671, "")</f>
        <v/>
      </c>
      <c r="P671" s="49"/>
      <c r="Q671" s="20" t="str">
        <f>IF($J671=1, DATA_Johnstone_2023_50!P671, "")</f>
        <v/>
      </c>
      <c r="R671" s="22"/>
      <c r="T671" s="22"/>
      <c r="W671" s="47"/>
      <c r="AI671" s="75">
        <v>668</v>
      </c>
      <c r="AJ671" s="75">
        <v>100</v>
      </c>
    </row>
    <row r="672" spans="1:36" hidden="1" x14ac:dyDescent="0.35">
      <c r="A672">
        <v>3344</v>
      </c>
      <c r="B672">
        <v>3345</v>
      </c>
      <c r="C672">
        <v>146.00907319999999</v>
      </c>
      <c r="D672">
        <v>-17.494030460000001</v>
      </c>
      <c r="F672" t="s">
        <v>7338</v>
      </c>
      <c r="G672" s="1" t="str">
        <f t="shared" si="20"/>
        <v>3345_20240610_0005_L_0460.jpg</v>
      </c>
      <c r="H672">
        <v>8</v>
      </c>
      <c r="I672" t="str">
        <f t="shared" si="21"/>
        <v/>
      </c>
      <c r="J672" s="53">
        <f>IFERROR(VLOOKUP(B672, DATA_Johnstone_2024_ALL!B:J, 8, FALSE), "")</f>
        <v>0</v>
      </c>
      <c r="K672" s="29"/>
      <c r="L672" s="30"/>
      <c r="M672" s="29"/>
      <c r="N672" s="20" t="str">
        <f>IF(J672=1, DATA_Johnstone_2023_50!M672, "")</f>
        <v/>
      </c>
      <c r="O672" s="20" t="str">
        <f>IF($J672=1, DATA_Johnstone_2023_50!N672, "")</f>
        <v/>
      </c>
      <c r="P672" s="49"/>
      <c r="Q672" s="20" t="str">
        <f>IF($J672=1, DATA_Johnstone_2023_50!P672, "")</f>
        <v/>
      </c>
      <c r="R672" s="22"/>
      <c r="T672" s="22"/>
      <c r="W672" s="47"/>
      <c r="AI672" s="75">
        <v>669</v>
      </c>
      <c r="AJ672" s="75">
        <v>100</v>
      </c>
    </row>
    <row r="673" spans="1:36" hidden="1" x14ac:dyDescent="0.35">
      <c r="A673">
        <v>3349</v>
      </c>
      <c r="B673">
        <v>3350</v>
      </c>
      <c r="C673">
        <v>146.00950810000001</v>
      </c>
      <c r="D673">
        <v>-17.493848570000001</v>
      </c>
      <c r="F673" t="s">
        <v>7339</v>
      </c>
      <c r="G673" s="1" t="str">
        <f t="shared" si="20"/>
        <v>3350_20240610_0005_L_0473.jpg</v>
      </c>
      <c r="H673">
        <v>8</v>
      </c>
      <c r="I673" t="str">
        <f t="shared" si="21"/>
        <v/>
      </c>
      <c r="J673" s="53">
        <f>IFERROR(VLOOKUP(B673, DATA_Johnstone_2024_ALL!B:J, 8, FALSE), "")</f>
        <v>0</v>
      </c>
      <c r="K673" s="29"/>
      <c r="L673" s="30"/>
      <c r="M673" s="29"/>
      <c r="N673" s="20" t="str">
        <f>IF(J673=1, DATA_Johnstone_2023_50!M673, "")</f>
        <v/>
      </c>
      <c r="O673" s="20" t="str">
        <f>IF($J673=1, DATA_Johnstone_2023_50!N673, "")</f>
        <v/>
      </c>
      <c r="P673" s="49"/>
      <c r="Q673" s="20" t="str">
        <f>IF($J673=1, DATA_Johnstone_2023_50!P673, "")</f>
        <v/>
      </c>
      <c r="R673" s="22"/>
      <c r="T673" s="22"/>
      <c r="W673" s="47"/>
      <c r="AI673" s="75">
        <v>670</v>
      </c>
      <c r="AJ673" s="75">
        <v>100</v>
      </c>
    </row>
    <row r="674" spans="1:36" hidden="1" x14ac:dyDescent="0.35">
      <c r="A674">
        <v>3354</v>
      </c>
      <c r="B674">
        <v>3355</v>
      </c>
      <c r="C674">
        <v>146.00994900000001</v>
      </c>
      <c r="D674">
        <v>-17.493681339999998</v>
      </c>
      <c r="F674" t="s">
        <v>7340</v>
      </c>
      <c r="G674" s="1" t="str">
        <f t="shared" si="20"/>
        <v>3355_20240610_0005_L_0487.jpg</v>
      </c>
      <c r="H674">
        <v>8</v>
      </c>
      <c r="I674" t="str">
        <f t="shared" si="21"/>
        <v/>
      </c>
      <c r="J674" s="53">
        <f>IFERROR(VLOOKUP(B674, DATA_Johnstone_2024_ALL!B:J, 8, FALSE), "")</f>
        <v>0</v>
      </c>
      <c r="K674" s="29"/>
      <c r="L674" s="30"/>
      <c r="M674" s="29"/>
      <c r="N674" s="20" t="str">
        <f>IF(J674=1, DATA_Johnstone_2023_50!M674, "")</f>
        <v/>
      </c>
      <c r="O674" s="20" t="str">
        <f>IF($J674=1, DATA_Johnstone_2023_50!N674, "")</f>
        <v/>
      </c>
      <c r="P674" s="49"/>
      <c r="Q674" s="20" t="str">
        <f>IF($J674=1, DATA_Johnstone_2023_50!P674, "")</f>
        <v/>
      </c>
      <c r="R674" s="22"/>
      <c r="T674" s="22"/>
      <c r="W674" s="47"/>
      <c r="AI674" s="75">
        <v>671</v>
      </c>
      <c r="AJ674" s="75">
        <v>100</v>
      </c>
    </row>
    <row r="675" spans="1:36" hidden="1" x14ac:dyDescent="0.35">
      <c r="A675">
        <v>3359</v>
      </c>
      <c r="B675">
        <v>3360</v>
      </c>
      <c r="C675">
        <v>146.01038339999999</v>
      </c>
      <c r="D675">
        <v>-17.493500239999999</v>
      </c>
      <c r="F675" t="s">
        <v>7341</v>
      </c>
      <c r="G675" s="1" t="str">
        <f t="shared" si="20"/>
        <v>3360_20240610_0005_L_0498.jpg</v>
      </c>
      <c r="H675">
        <v>8</v>
      </c>
      <c r="I675" t="str">
        <f t="shared" si="21"/>
        <v/>
      </c>
      <c r="J675" s="53">
        <f>IFERROR(VLOOKUP(B675, DATA_Johnstone_2024_ALL!B:J, 8, FALSE), "")</f>
        <v>0</v>
      </c>
      <c r="K675" s="29"/>
      <c r="L675" s="30"/>
      <c r="M675" s="29"/>
      <c r="N675" s="20" t="str">
        <f>IF(J675=1, DATA_Johnstone_2023_50!M675, "")</f>
        <v/>
      </c>
      <c r="O675" s="20" t="str">
        <f>IF($J675=1, DATA_Johnstone_2023_50!N675, "")</f>
        <v/>
      </c>
      <c r="P675" s="49"/>
      <c r="Q675" s="20" t="str">
        <f>IF($J675=1, DATA_Johnstone_2023_50!P675, "")</f>
        <v/>
      </c>
      <c r="R675" s="22"/>
      <c r="T675" s="22"/>
      <c r="W675" s="47"/>
      <c r="AI675" s="75">
        <v>672</v>
      </c>
      <c r="AJ675" s="75">
        <v>100</v>
      </c>
    </row>
    <row r="676" spans="1:36" hidden="1" x14ac:dyDescent="0.35">
      <c r="A676">
        <v>3364</v>
      </c>
      <c r="B676">
        <v>3365</v>
      </c>
      <c r="C676">
        <v>146.010794</v>
      </c>
      <c r="D676">
        <v>-17.49326842</v>
      </c>
      <c r="F676" t="s">
        <v>7342</v>
      </c>
      <c r="G676" s="1" t="str">
        <f t="shared" si="20"/>
        <v>3365_20240610_0005_L_0515.jpg</v>
      </c>
      <c r="H676">
        <v>8</v>
      </c>
      <c r="I676" t="str">
        <f t="shared" si="21"/>
        <v/>
      </c>
      <c r="J676" s="53">
        <f>IFERROR(VLOOKUP(B676, DATA_Johnstone_2024_ALL!B:J, 8, FALSE), "")</f>
        <v>0</v>
      </c>
      <c r="K676" s="29"/>
      <c r="L676" s="30"/>
      <c r="M676" s="29"/>
      <c r="N676" s="20" t="str">
        <f>IF(J676=1, DATA_Johnstone_2023_50!M676, "")</f>
        <v/>
      </c>
      <c r="O676" s="20" t="str">
        <f>IF($J676=1, DATA_Johnstone_2023_50!N676, "")</f>
        <v/>
      </c>
      <c r="P676" s="49"/>
      <c r="Q676" s="20" t="str">
        <f>IF($J676=1, DATA_Johnstone_2023_50!P676, "")</f>
        <v/>
      </c>
      <c r="R676" s="22"/>
      <c r="T676" s="22"/>
      <c r="W676" s="47"/>
      <c r="AI676" s="75">
        <v>673</v>
      </c>
      <c r="AJ676" s="75">
        <v>100</v>
      </c>
    </row>
    <row r="677" spans="1:36" hidden="1" x14ac:dyDescent="0.35">
      <c r="A677">
        <v>3369</v>
      </c>
      <c r="B677">
        <v>3370</v>
      </c>
      <c r="C677">
        <v>146.01119499999999</v>
      </c>
      <c r="D677">
        <v>-17.493020489999999</v>
      </c>
      <c r="F677" t="s">
        <v>7343</v>
      </c>
      <c r="G677" s="1" t="str">
        <f t="shared" si="20"/>
        <v>3370_20240610_0005_L_0533.jpg</v>
      </c>
      <c r="H677">
        <v>8</v>
      </c>
      <c r="I677" t="str">
        <f t="shared" si="21"/>
        <v/>
      </c>
      <c r="J677" s="53">
        <f>IFERROR(VLOOKUP(B677, DATA_Johnstone_2024_ALL!B:J, 8, FALSE), "")</f>
        <v>0</v>
      </c>
      <c r="K677" s="29"/>
      <c r="L677" s="30"/>
      <c r="M677" s="29"/>
      <c r="N677" s="20" t="str">
        <f>IF(J677=1, DATA_Johnstone_2023_50!M677, "")</f>
        <v/>
      </c>
      <c r="O677" s="20" t="str">
        <f>IF($J677=1, DATA_Johnstone_2023_50!N677, "")</f>
        <v/>
      </c>
      <c r="P677" s="49"/>
      <c r="Q677" s="20" t="str">
        <f>IF($J677=1, DATA_Johnstone_2023_50!P677, "")</f>
        <v/>
      </c>
      <c r="R677" s="22"/>
      <c r="T677" s="22"/>
      <c r="W677" s="47"/>
      <c r="AI677" s="75">
        <v>674</v>
      </c>
      <c r="AJ677" s="75">
        <v>100</v>
      </c>
    </row>
    <row r="678" spans="1:36" hidden="1" x14ac:dyDescent="0.35">
      <c r="A678">
        <v>3374</v>
      </c>
      <c r="B678">
        <v>3375</v>
      </c>
      <c r="C678">
        <v>146.0115734</v>
      </c>
      <c r="D678">
        <v>-17.492750239999999</v>
      </c>
      <c r="F678" t="s">
        <v>7344</v>
      </c>
      <c r="G678" s="1" t="str">
        <f t="shared" si="20"/>
        <v>3375_20240610_0005_L_0547.jpg</v>
      </c>
      <c r="H678">
        <v>8</v>
      </c>
      <c r="I678" t="str">
        <f t="shared" si="21"/>
        <v/>
      </c>
      <c r="J678" s="53">
        <f>IFERROR(VLOOKUP(B678, DATA_Johnstone_2024_ALL!B:J, 8, FALSE), "")</f>
        <v>0</v>
      </c>
      <c r="K678" s="29"/>
      <c r="L678" s="30"/>
      <c r="M678" s="29"/>
      <c r="N678" s="20" t="str">
        <f>IF(J678=1, DATA_Johnstone_2023_50!M678, "")</f>
        <v/>
      </c>
      <c r="O678" s="20" t="str">
        <f>IF($J678=1, DATA_Johnstone_2023_50!N678, "")</f>
        <v/>
      </c>
      <c r="P678" s="49"/>
      <c r="Q678" s="20" t="str">
        <f>IF($J678=1, DATA_Johnstone_2023_50!P678, "")</f>
        <v/>
      </c>
      <c r="R678" s="22"/>
      <c r="T678" s="22"/>
      <c r="W678" s="47"/>
      <c r="AI678" s="75">
        <v>675</v>
      </c>
      <c r="AJ678" s="75">
        <v>100</v>
      </c>
    </row>
    <row r="679" spans="1:36" hidden="1" x14ac:dyDescent="0.35">
      <c r="A679">
        <v>3379</v>
      </c>
      <c r="B679">
        <v>3380</v>
      </c>
      <c r="C679">
        <v>146.0119832</v>
      </c>
      <c r="D679">
        <v>-17.49251705</v>
      </c>
      <c r="F679" t="s">
        <v>7345</v>
      </c>
      <c r="G679" s="1" t="str">
        <f t="shared" si="20"/>
        <v>3380_20240610_0005_L_0560.jpg</v>
      </c>
      <c r="H679">
        <v>8</v>
      </c>
      <c r="I679" t="str">
        <f t="shared" si="21"/>
        <v/>
      </c>
      <c r="J679" s="53">
        <f>IFERROR(VLOOKUP(B679, DATA_Johnstone_2024_ALL!B:J, 8, FALSE), "")</f>
        <v>0</v>
      </c>
      <c r="K679" s="29"/>
      <c r="L679" s="30"/>
      <c r="M679" s="29"/>
      <c r="N679" s="20" t="str">
        <f>IF(J679=1, DATA_Johnstone_2023_50!M679, "")</f>
        <v/>
      </c>
      <c r="O679" s="20" t="str">
        <f>IF($J679=1, DATA_Johnstone_2023_50!N679, "")</f>
        <v/>
      </c>
      <c r="P679" s="49"/>
      <c r="Q679" s="20" t="str">
        <f>IF($J679=1, DATA_Johnstone_2023_50!P679, "")</f>
        <v/>
      </c>
      <c r="R679" s="22"/>
      <c r="T679" s="22"/>
      <c r="W679" s="47"/>
      <c r="AI679" s="75">
        <v>676</v>
      </c>
      <c r="AJ679" s="75">
        <v>100</v>
      </c>
    </row>
    <row r="680" spans="1:36" hidden="1" x14ac:dyDescent="0.35">
      <c r="A680">
        <v>3384</v>
      </c>
      <c r="B680">
        <v>3385</v>
      </c>
      <c r="C680">
        <v>146.012381</v>
      </c>
      <c r="D680">
        <v>-17.492264339999998</v>
      </c>
      <c r="F680" t="s">
        <v>7346</v>
      </c>
      <c r="G680" s="1" t="str">
        <f t="shared" si="20"/>
        <v>3385_20240610_0005_L_0575.jpg</v>
      </c>
      <c r="H680">
        <v>8</v>
      </c>
      <c r="I680" t="str">
        <f t="shared" si="21"/>
        <v/>
      </c>
      <c r="J680" s="53">
        <f>IFERROR(VLOOKUP(B680, DATA_Johnstone_2024_ALL!B:J, 8, FALSE), "")</f>
        <v>0</v>
      </c>
      <c r="K680" s="29"/>
      <c r="L680" s="30"/>
      <c r="M680" s="29"/>
      <c r="N680" s="20" t="str">
        <f>IF(J680=1, DATA_Johnstone_2023_50!M680, "")</f>
        <v/>
      </c>
      <c r="O680" s="20" t="str">
        <f>IF($J680=1, DATA_Johnstone_2023_50!N680, "")</f>
        <v/>
      </c>
      <c r="P680" s="49"/>
      <c r="Q680" s="20" t="str">
        <f>IF($J680=1, DATA_Johnstone_2023_50!P680, "")</f>
        <v/>
      </c>
      <c r="R680" s="22"/>
      <c r="T680" s="22"/>
      <c r="W680" s="47"/>
      <c r="AI680" s="75">
        <v>677</v>
      </c>
      <c r="AJ680" s="75">
        <v>100</v>
      </c>
    </row>
    <row r="681" spans="1:36" hidden="1" x14ac:dyDescent="0.35">
      <c r="A681">
        <v>3389</v>
      </c>
      <c r="B681">
        <v>3390</v>
      </c>
      <c r="C681">
        <v>146.01277469999999</v>
      </c>
      <c r="D681">
        <v>-17.492004869999999</v>
      </c>
      <c r="F681" t="s">
        <v>7347</v>
      </c>
      <c r="G681" s="1" t="str">
        <f t="shared" si="20"/>
        <v>3390_20240610_0005_L_0588.jpg</v>
      </c>
      <c r="H681">
        <v>8</v>
      </c>
      <c r="I681" t="str">
        <f t="shared" si="21"/>
        <v/>
      </c>
      <c r="J681" s="53">
        <f>IFERROR(VLOOKUP(B681, DATA_Johnstone_2024_ALL!B:J, 8, FALSE), "")</f>
        <v>0</v>
      </c>
      <c r="K681" s="29"/>
      <c r="L681" s="30"/>
      <c r="M681" s="29"/>
      <c r="N681" s="20" t="str">
        <f>IF(J681=1, DATA_Johnstone_2023_50!M681, "")</f>
        <v/>
      </c>
      <c r="O681" s="20" t="str">
        <f>IF($J681=1, DATA_Johnstone_2023_50!N681, "")</f>
        <v/>
      </c>
      <c r="P681" s="49"/>
      <c r="Q681" s="20" t="str">
        <f>IF($J681=1, DATA_Johnstone_2023_50!P681, "")</f>
        <v/>
      </c>
      <c r="R681" s="22"/>
      <c r="T681" s="22"/>
      <c r="W681" s="47"/>
      <c r="AI681" s="75">
        <v>678</v>
      </c>
      <c r="AJ681" s="75">
        <v>100</v>
      </c>
    </row>
    <row r="682" spans="1:36" hidden="1" x14ac:dyDescent="0.35">
      <c r="A682">
        <v>3394</v>
      </c>
      <c r="B682">
        <v>3395</v>
      </c>
      <c r="C682">
        <v>146.01316850000001</v>
      </c>
      <c r="D682">
        <v>-17.491745399999999</v>
      </c>
      <c r="F682" t="s">
        <v>7348</v>
      </c>
      <c r="G682" s="1" t="str">
        <f t="shared" si="20"/>
        <v>3395_20240610_0005_L_0602.jpg</v>
      </c>
      <c r="H682">
        <v>8</v>
      </c>
      <c r="I682" t="str">
        <f t="shared" si="21"/>
        <v/>
      </c>
      <c r="J682" s="53">
        <f>IFERROR(VLOOKUP(B682, DATA_Johnstone_2024_ALL!B:J, 8, FALSE), "")</f>
        <v>0</v>
      </c>
      <c r="K682" s="29"/>
      <c r="L682" s="30"/>
      <c r="M682" s="29"/>
      <c r="N682" s="20" t="str">
        <f>IF(J682=1, DATA_Johnstone_2023_50!M682, "")</f>
        <v/>
      </c>
      <c r="O682" s="20" t="str">
        <f>IF($J682=1, DATA_Johnstone_2023_50!N682, "")</f>
        <v/>
      </c>
      <c r="P682" s="49"/>
      <c r="Q682" s="20" t="str">
        <f>IF($J682=1, DATA_Johnstone_2023_50!P682, "")</f>
        <v/>
      </c>
      <c r="R682" s="22"/>
      <c r="T682" s="22"/>
      <c r="W682" s="47"/>
      <c r="AI682" s="75">
        <v>679</v>
      </c>
      <c r="AJ682" s="75">
        <v>100</v>
      </c>
    </row>
    <row r="683" spans="1:36" hidden="1" x14ac:dyDescent="0.35">
      <c r="A683">
        <v>3399</v>
      </c>
      <c r="B683">
        <v>3400</v>
      </c>
      <c r="C683">
        <v>146.0135526</v>
      </c>
      <c r="D683">
        <v>-17.49147219</v>
      </c>
      <c r="F683" t="s">
        <v>7349</v>
      </c>
      <c r="G683" s="1" t="str">
        <f t="shared" si="20"/>
        <v>3400_20240610_0005_L_0616.jpg</v>
      </c>
      <c r="H683">
        <v>8</v>
      </c>
      <c r="I683" t="str">
        <f t="shared" si="21"/>
        <v/>
      </c>
      <c r="J683" s="53">
        <f>IFERROR(VLOOKUP(B683, DATA_Johnstone_2024_ALL!B:J, 8, FALSE), "")</f>
        <v>0</v>
      </c>
      <c r="K683" s="29"/>
      <c r="L683" s="30"/>
      <c r="M683" s="29"/>
      <c r="N683" s="20" t="str">
        <f>IF(J683=1, DATA_Johnstone_2023_50!M683, "")</f>
        <v/>
      </c>
      <c r="O683" s="20" t="str">
        <f>IF($J683=1, DATA_Johnstone_2023_50!N683, "")</f>
        <v/>
      </c>
      <c r="P683" s="49"/>
      <c r="Q683" s="20" t="str">
        <f>IF($J683=1, DATA_Johnstone_2023_50!P683, "")</f>
        <v/>
      </c>
      <c r="R683" s="22"/>
      <c r="T683" s="22"/>
      <c r="W683" s="47"/>
      <c r="AI683" s="75">
        <v>680</v>
      </c>
      <c r="AJ683" s="75">
        <v>100</v>
      </c>
    </row>
    <row r="684" spans="1:36" hidden="1" x14ac:dyDescent="0.35">
      <c r="A684">
        <v>3404</v>
      </c>
      <c r="B684">
        <v>3405</v>
      </c>
      <c r="C684">
        <v>146.01393210000001</v>
      </c>
      <c r="D684">
        <v>-17.491192439999999</v>
      </c>
      <c r="F684" t="s">
        <v>7350</v>
      </c>
      <c r="G684" s="1" t="str">
        <f t="shared" si="20"/>
        <v>3405_20240610_0005_L_0631.jpg</v>
      </c>
      <c r="H684">
        <v>8</v>
      </c>
      <c r="I684" t="str">
        <f t="shared" si="21"/>
        <v/>
      </c>
      <c r="J684" s="53">
        <f>IFERROR(VLOOKUP(B684, DATA_Johnstone_2024_ALL!B:J, 8, FALSE), "")</f>
        <v>0</v>
      </c>
      <c r="K684" s="29"/>
      <c r="L684" s="30"/>
      <c r="M684" s="29"/>
      <c r="N684" s="20" t="str">
        <f>IF(J684=1, DATA_Johnstone_2023_50!M684, "")</f>
        <v/>
      </c>
      <c r="O684" s="20" t="str">
        <f>IF($J684=1, DATA_Johnstone_2023_50!N684, "")</f>
        <v/>
      </c>
      <c r="P684" s="49"/>
      <c r="Q684" s="20" t="str">
        <f>IF($J684=1, DATA_Johnstone_2023_50!P684, "")</f>
        <v/>
      </c>
      <c r="R684" s="22"/>
      <c r="T684" s="22"/>
      <c r="W684" s="47"/>
      <c r="AI684" s="75">
        <v>681</v>
      </c>
      <c r="AJ684" s="75">
        <v>100</v>
      </c>
    </row>
    <row r="685" spans="1:36" hidden="1" x14ac:dyDescent="0.35">
      <c r="A685">
        <v>3409</v>
      </c>
      <c r="B685">
        <v>3410</v>
      </c>
      <c r="C685">
        <v>146.0143065</v>
      </c>
      <c r="D685">
        <v>-17.49090597</v>
      </c>
      <c r="F685" t="s">
        <v>7351</v>
      </c>
      <c r="G685" s="1" t="str">
        <f t="shared" si="20"/>
        <v>3410_20240610_0005_L_0638.jpg</v>
      </c>
      <c r="H685">
        <v>8</v>
      </c>
      <c r="I685" t="str">
        <f t="shared" si="21"/>
        <v/>
      </c>
      <c r="J685" s="53">
        <f>IFERROR(VLOOKUP(B685, DATA_Johnstone_2024_ALL!B:J, 8, FALSE), "")</f>
        <v>0</v>
      </c>
      <c r="K685" s="29"/>
      <c r="L685" s="30"/>
      <c r="M685" s="29"/>
      <c r="N685" s="20" t="str">
        <f>IF(J685=1, DATA_Johnstone_2023_50!M685, "")</f>
        <v/>
      </c>
      <c r="O685" s="20" t="str">
        <f>IF($J685=1, DATA_Johnstone_2023_50!N685, "")</f>
        <v/>
      </c>
      <c r="P685" s="49"/>
      <c r="Q685" s="20" t="str">
        <f>IF($J685=1, DATA_Johnstone_2023_50!P685, "")</f>
        <v/>
      </c>
      <c r="R685" s="22"/>
      <c r="T685" s="22"/>
      <c r="W685" s="47"/>
      <c r="AI685" s="75">
        <v>682</v>
      </c>
      <c r="AJ685" s="75">
        <v>100</v>
      </c>
    </row>
    <row r="686" spans="1:36" hidden="1" x14ac:dyDescent="0.35">
      <c r="A686">
        <v>3414</v>
      </c>
      <c r="B686">
        <v>3415</v>
      </c>
      <c r="C686">
        <v>146.0146743</v>
      </c>
      <c r="D686">
        <v>-17.490610910000001</v>
      </c>
      <c r="F686" t="s">
        <v>7352</v>
      </c>
      <c r="G686" s="1" t="str">
        <f t="shared" si="20"/>
        <v>3415_20240610_0005_L_0644.jpg</v>
      </c>
      <c r="H686">
        <v>8</v>
      </c>
      <c r="I686" t="str">
        <f t="shared" si="21"/>
        <v/>
      </c>
      <c r="J686" s="53">
        <f>IFERROR(VLOOKUP(B686, DATA_Johnstone_2024_ALL!B:J, 8, FALSE), "")</f>
        <v>0</v>
      </c>
      <c r="K686" s="29"/>
      <c r="L686" s="30"/>
      <c r="M686" s="29"/>
      <c r="N686" s="20" t="str">
        <f>IF(J686=1, DATA_Johnstone_2023_50!M686, "")</f>
        <v/>
      </c>
      <c r="O686" s="20" t="str">
        <f>IF($J686=1, DATA_Johnstone_2023_50!N686, "")</f>
        <v/>
      </c>
      <c r="P686" s="49"/>
      <c r="Q686" s="20" t="str">
        <f>IF($J686=1, DATA_Johnstone_2023_50!P686, "")</f>
        <v/>
      </c>
      <c r="R686" s="22"/>
      <c r="T686" s="22"/>
      <c r="W686" s="47"/>
      <c r="AI686" s="75">
        <v>683</v>
      </c>
      <c r="AJ686" s="75">
        <v>100</v>
      </c>
    </row>
    <row r="687" spans="1:36" hidden="1" x14ac:dyDescent="0.35">
      <c r="A687">
        <v>3419</v>
      </c>
      <c r="B687">
        <v>3420</v>
      </c>
      <c r="C687">
        <v>146.01497760000001</v>
      </c>
      <c r="D687">
        <v>-17.490255130000001</v>
      </c>
      <c r="F687" t="s">
        <v>7353</v>
      </c>
      <c r="G687" s="1" t="str">
        <f t="shared" si="20"/>
        <v>3420_20240610_0005_L_0659.jpg</v>
      </c>
      <c r="H687">
        <v>8</v>
      </c>
      <c r="I687" t="str">
        <f t="shared" si="21"/>
        <v/>
      </c>
      <c r="J687" s="53">
        <f>IFERROR(VLOOKUP(B687, DATA_Johnstone_2024_ALL!B:J, 8, FALSE), "")</f>
        <v>0</v>
      </c>
      <c r="K687" s="29"/>
      <c r="L687" s="30"/>
      <c r="M687" s="29"/>
      <c r="N687" s="20" t="str">
        <f>IF(J687=1, DATA_Johnstone_2023_50!M687, "")</f>
        <v/>
      </c>
      <c r="O687" s="20" t="str">
        <f>IF($J687=1, DATA_Johnstone_2023_50!N687, "")</f>
        <v/>
      </c>
      <c r="P687" s="49"/>
      <c r="Q687" s="20" t="str">
        <f>IF($J687=1, DATA_Johnstone_2023_50!P687, "")</f>
        <v/>
      </c>
      <c r="R687" s="22"/>
      <c r="T687" s="22"/>
      <c r="W687" s="47"/>
      <c r="AI687" s="75">
        <v>684</v>
      </c>
      <c r="AJ687" s="75">
        <v>100</v>
      </c>
    </row>
    <row r="688" spans="1:36" hidden="1" x14ac:dyDescent="0.35">
      <c r="A688">
        <v>3424</v>
      </c>
      <c r="B688">
        <v>3425</v>
      </c>
      <c r="C688">
        <v>146.01525000000001</v>
      </c>
      <c r="D688">
        <v>-17.48987022</v>
      </c>
      <c r="F688" t="s">
        <v>7354</v>
      </c>
      <c r="G688" s="1" t="str">
        <f t="shared" si="20"/>
        <v>3425_20240610_0005_L_0673.jpg</v>
      </c>
      <c r="H688">
        <v>8</v>
      </c>
      <c r="I688" t="str">
        <f t="shared" si="21"/>
        <v/>
      </c>
      <c r="J688" s="53">
        <f>IFERROR(VLOOKUP(B688, DATA_Johnstone_2024_ALL!B:J, 8, FALSE), "")</f>
        <v>0</v>
      </c>
      <c r="K688" s="29"/>
      <c r="L688" s="30"/>
      <c r="M688" s="29"/>
      <c r="N688" s="20" t="str">
        <f>IF(J688=1, DATA_Johnstone_2023_50!M688, "")</f>
        <v/>
      </c>
      <c r="O688" s="20" t="str">
        <f>IF($J688=1, DATA_Johnstone_2023_50!N688, "")</f>
        <v/>
      </c>
      <c r="P688" s="49"/>
      <c r="Q688" s="20" t="str">
        <f>IF($J688=1, DATA_Johnstone_2023_50!P688, "")</f>
        <v/>
      </c>
      <c r="R688" s="22"/>
      <c r="T688" s="22"/>
      <c r="W688" s="47"/>
      <c r="AI688" s="75">
        <v>685</v>
      </c>
      <c r="AJ688" s="75">
        <v>100</v>
      </c>
    </row>
    <row r="689" spans="1:36" hidden="1" x14ac:dyDescent="0.35">
      <c r="A689">
        <v>3429</v>
      </c>
      <c r="B689">
        <v>3430</v>
      </c>
      <c r="C689">
        <v>146.01550940000001</v>
      </c>
      <c r="D689">
        <v>-17.489476629999999</v>
      </c>
      <c r="F689" t="s">
        <v>7355</v>
      </c>
      <c r="G689" s="1" t="str">
        <f>IF(F689="", "", HYPERLINK("D:\Data From Lucan\2024\Johnstone\Frames_for_Analysis_50\" &amp; F689, F689))</f>
        <v>3430_20240610_0005_L_0685.jpg</v>
      </c>
      <c r="H689">
        <v>0</v>
      </c>
      <c r="I689" t="str">
        <f t="shared" si="21"/>
        <v/>
      </c>
      <c r="J689" s="53">
        <f>IFERROR(VLOOKUP(B689, DATA_Johnstone_2024_ALL!B:J, 8, FALSE), "")</f>
        <v>0</v>
      </c>
      <c r="K689" s="29"/>
      <c r="L689" s="30"/>
      <c r="M689" s="29"/>
      <c r="N689" s="20" t="str">
        <f>IF(J689=1, DATA_Johnstone_2023_50!M689, "")</f>
        <v/>
      </c>
      <c r="O689" s="20" t="str">
        <f>IF($J689=1, DATA_Johnstone_2023_50!N689, "")</f>
        <v/>
      </c>
      <c r="P689" s="49"/>
      <c r="Q689" s="20" t="str">
        <f>IF($J689=1, DATA_Johnstone_2023_50!P689, "")</f>
        <v/>
      </c>
      <c r="R689" s="22"/>
      <c r="T689" s="22"/>
      <c r="W689" s="47"/>
      <c r="AI689" s="75">
        <v>686</v>
      </c>
      <c r="AJ689" s="75">
        <v>100</v>
      </c>
    </row>
    <row r="690" spans="1:36" hidden="1" x14ac:dyDescent="0.35">
      <c r="A690">
        <v>3434</v>
      </c>
      <c r="B690">
        <v>3435</v>
      </c>
      <c r="C690">
        <v>146.01576439999999</v>
      </c>
      <c r="D690">
        <v>-17.48907999</v>
      </c>
      <c r="F690" t="s">
        <v>7356</v>
      </c>
      <c r="G690" s="1" t="str">
        <f>IF(F690="", "", HYPERLINK("D:\Data From Lucan\2024\Johnstone\Frames_for_Analysis_50\" &amp; F690, F690))</f>
        <v>3435_20240610_0005_L_0698.jpg</v>
      </c>
      <c r="H690">
        <v>0</v>
      </c>
      <c r="I690" t="str">
        <f t="shared" si="21"/>
        <v/>
      </c>
      <c r="J690" s="53">
        <f>IFERROR(VLOOKUP(B690, DATA_Johnstone_2024_ALL!B:J, 8, FALSE), "")</f>
        <v>0</v>
      </c>
      <c r="K690" s="29"/>
      <c r="L690" s="30"/>
      <c r="M690" s="29"/>
      <c r="N690" s="20" t="str">
        <f>IF(J690=1, DATA_Johnstone_2023_50!M690, "")</f>
        <v/>
      </c>
      <c r="O690" s="20" t="str">
        <f>IF($J690=1, DATA_Johnstone_2023_50!N690, "")</f>
        <v/>
      </c>
      <c r="P690" s="49"/>
      <c r="Q690" s="20" t="str">
        <f>IF($J690=1, DATA_Johnstone_2023_50!P690, "")</f>
        <v/>
      </c>
      <c r="R690" s="22"/>
      <c r="T690" s="22"/>
      <c r="W690" s="47"/>
      <c r="AI690" s="75">
        <v>687</v>
      </c>
      <c r="AJ690" s="75">
        <v>100</v>
      </c>
    </row>
    <row r="691" spans="1:36" hidden="1" x14ac:dyDescent="0.35">
      <c r="A691">
        <v>3439</v>
      </c>
      <c r="B691">
        <v>3440</v>
      </c>
      <c r="C691">
        <v>146.0160194</v>
      </c>
      <c r="D691">
        <v>-17.48868336</v>
      </c>
      <c r="F691" t="s">
        <v>7357</v>
      </c>
      <c r="G691" s="1" t="str">
        <f>IF(F691="", "", HYPERLINK("D:\Data From Lucan\2024\Johnstone\Frames_for_Analysis_50\" &amp; F691, F691))</f>
        <v>3440_20240610_0005_L_0711.jpg</v>
      </c>
      <c r="H691">
        <v>0</v>
      </c>
      <c r="I691" t="str">
        <f t="shared" si="21"/>
        <v/>
      </c>
      <c r="J691" s="53">
        <f>IFERROR(VLOOKUP(B691, DATA_Johnstone_2024_ALL!B:J, 8, FALSE), "")</f>
        <v>0</v>
      </c>
      <c r="K691" s="29"/>
      <c r="L691" s="30"/>
      <c r="M691" s="29"/>
      <c r="N691" s="20" t="str">
        <f>IF(J691=1, DATA_Johnstone_2023_50!M691, "")</f>
        <v/>
      </c>
      <c r="O691" s="20" t="str">
        <f>IF($J691=1, DATA_Johnstone_2023_50!N691, "")</f>
        <v/>
      </c>
      <c r="P691" s="49"/>
      <c r="Q691" s="20" t="str">
        <f>IF($J691=1, DATA_Johnstone_2023_50!P691, "")</f>
        <v/>
      </c>
      <c r="AI691" s="75">
        <v>688</v>
      </c>
      <c r="AJ691" s="75">
        <v>100</v>
      </c>
    </row>
    <row r="692" spans="1:36" hidden="1" x14ac:dyDescent="0.35">
      <c r="A692">
        <v>3444</v>
      </c>
      <c r="B692">
        <v>3445</v>
      </c>
      <c r="C692">
        <v>146.01627429999999</v>
      </c>
      <c r="D692">
        <v>-17.488286720000001</v>
      </c>
      <c r="F692" t="s">
        <v>7358</v>
      </c>
      <c r="G692" s="1" t="str">
        <f>IF(F692="", "", HYPERLINK("D:\Data From Lucan\2024\Johnstone\Frames_for_Analysis_50\" &amp; F692, F692))</f>
        <v>3445_20240610_0005_L_0726.jpg</v>
      </c>
      <c r="H692">
        <v>0</v>
      </c>
      <c r="I692" t="str">
        <f t="shared" si="21"/>
        <v/>
      </c>
      <c r="J692" s="53">
        <f>IFERROR(VLOOKUP(B692, DATA_Johnstone_2024_ALL!B:J, 8, FALSE), "")</f>
        <v>0</v>
      </c>
      <c r="K692" s="29"/>
      <c r="L692" s="30"/>
      <c r="M692" s="29"/>
      <c r="N692" s="20" t="str">
        <f>IF(J692=1, DATA_Johnstone_2023_50!M692, "")</f>
        <v/>
      </c>
      <c r="O692" s="20" t="str">
        <f>IF($J692=1, DATA_Johnstone_2023_50!N692, "")</f>
        <v/>
      </c>
      <c r="P692" s="49"/>
      <c r="Q692" s="20" t="str">
        <f>IF($J692=1, DATA_Johnstone_2023_50!P692, "")</f>
        <v/>
      </c>
      <c r="AI692" s="75">
        <v>689</v>
      </c>
      <c r="AJ692" s="75">
        <v>100</v>
      </c>
    </row>
    <row r="693" spans="1:36" hidden="1" x14ac:dyDescent="0.35">
      <c r="A693">
        <v>3449</v>
      </c>
      <c r="B693">
        <v>3450</v>
      </c>
      <c r="C693">
        <v>146.0165356</v>
      </c>
      <c r="D693">
        <v>-17.48789434</v>
      </c>
      <c r="F693" t="s">
        <v>7359</v>
      </c>
      <c r="G693" s="1" t="str">
        <f>IF(F693="", "", HYPERLINK("D:\Data From Lucan\2024\Johnstone\Frames_for_Analysis_50\" &amp; F693, F693))</f>
        <v>3450_20240610_0005_L_0738.jpg</v>
      </c>
      <c r="H693">
        <v>0</v>
      </c>
      <c r="I693" t="str">
        <f t="shared" si="21"/>
        <v/>
      </c>
      <c r="J693" s="53">
        <f>IFERROR(VLOOKUP(B693, DATA_Johnstone_2024_ALL!B:J, 8, FALSE), "")</f>
        <v>0</v>
      </c>
      <c r="K693" s="29"/>
      <c r="L693" s="30"/>
      <c r="M693" s="29"/>
      <c r="N693" s="20" t="str">
        <f>IF(J693=1, DATA_Johnstone_2023_50!M693, "")</f>
        <v/>
      </c>
      <c r="O693" s="20" t="str">
        <f>IF($J693=1, DATA_Johnstone_2023_50!N693, "")</f>
        <v/>
      </c>
      <c r="P693" s="49"/>
      <c r="Q693" s="20" t="str">
        <f>IF($J693=1, DATA_Johnstone_2023_50!P693, "")</f>
        <v/>
      </c>
      <c r="AI693" s="75">
        <v>690</v>
      </c>
      <c r="AJ693" s="75">
        <v>100</v>
      </c>
    </row>
    <row r="694" spans="1:36" hidden="1" x14ac:dyDescent="0.35">
      <c r="A694">
        <v>3454</v>
      </c>
      <c r="B694">
        <v>3455</v>
      </c>
      <c r="C694">
        <v>146.01680930000001</v>
      </c>
      <c r="D694">
        <v>-17.487510369999999</v>
      </c>
      <c r="F694" t="s">
        <v>7360</v>
      </c>
      <c r="G694" s="1" t="str">
        <f>IF(F694="", "", HYPERLINK("D:\Data From Lucan\2024\Johnstone\Frames_for_Analysis_50\" &amp; F694, F694))</f>
        <v>3455_20240610_0005_L_0752.jpg</v>
      </c>
      <c r="H694">
        <v>0</v>
      </c>
      <c r="I694" t="str">
        <f t="shared" si="21"/>
        <v/>
      </c>
      <c r="J694" s="53">
        <f>IFERROR(VLOOKUP(B694, DATA_Johnstone_2024_ALL!B:J, 8, FALSE), "")</f>
        <v>0</v>
      </c>
      <c r="K694" s="29"/>
      <c r="L694" s="30"/>
      <c r="M694" s="29"/>
      <c r="N694" s="20" t="str">
        <f>IF(J694=1, DATA_Johnstone_2023_50!M694, "")</f>
        <v/>
      </c>
      <c r="O694" s="20" t="str">
        <f>IF($J694=1, DATA_Johnstone_2023_50!N694, "")</f>
        <v/>
      </c>
      <c r="P694" s="49"/>
      <c r="Q694" s="20" t="str">
        <f>IF($J694=1, DATA_Johnstone_2023_50!P694, "")</f>
        <v/>
      </c>
      <c r="AI694" s="75">
        <v>691</v>
      </c>
      <c r="AJ694" s="75">
        <v>100</v>
      </c>
    </row>
    <row r="695" spans="1:36" hidden="1" x14ac:dyDescent="0.35">
      <c r="A695">
        <v>3459</v>
      </c>
      <c r="B695">
        <v>3460</v>
      </c>
      <c r="C695">
        <v>146.01708300000001</v>
      </c>
      <c r="D695">
        <v>-17.487126409999998</v>
      </c>
      <c r="F695" t="s">
        <v>7361</v>
      </c>
      <c r="G695" s="1" t="str">
        <f>IF(F695="", "", HYPERLINK("D:\Data From Lucan\2024\Johnstone\Frames_for_Analysis_50\" &amp; F695, F695))</f>
        <v>3460_20240610_0005_L_0766.jpg</v>
      </c>
      <c r="H695">
        <v>0</v>
      </c>
      <c r="I695" t="str">
        <f t="shared" si="21"/>
        <v/>
      </c>
      <c r="J695" s="53">
        <f>IFERROR(VLOOKUP(B695, DATA_Johnstone_2024_ALL!B:J, 8, FALSE), "")</f>
        <v>0</v>
      </c>
      <c r="K695" s="29"/>
      <c r="L695" s="30"/>
      <c r="M695" s="29"/>
      <c r="N695" s="20" t="str">
        <f>IF(J695=1, DATA_Johnstone_2023_50!M695, "")</f>
        <v/>
      </c>
      <c r="O695" s="20" t="str">
        <f>IF($J695=1, DATA_Johnstone_2023_50!N695, "")</f>
        <v/>
      </c>
      <c r="P695" s="49"/>
      <c r="Q695" s="20" t="str">
        <f>IF($J695=1, DATA_Johnstone_2023_50!P695, "")</f>
        <v/>
      </c>
      <c r="AI695" s="75">
        <v>692</v>
      </c>
      <c r="AJ695" s="75">
        <v>100</v>
      </c>
    </row>
    <row r="696" spans="1:36" hidden="1" x14ac:dyDescent="0.35">
      <c r="A696">
        <v>3464</v>
      </c>
      <c r="B696">
        <v>3465</v>
      </c>
      <c r="C696">
        <v>146.01735590000001</v>
      </c>
      <c r="D696">
        <v>-17.486741899999998</v>
      </c>
      <c r="F696" t="s">
        <v>7362</v>
      </c>
      <c r="G696" s="1" t="str">
        <f>IF(F696="", "", HYPERLINK("D:\Data From Lucan\2024\Johnstone\Frames_for_Analysis_50\" &amp; F696, F696))</f>
        <v>3465_20240610_0005_L_0779.jpg</v>
      </c>
      <c r="H696">
        <v>0</v>
      </c>
      <c r="I696" t="str">
        <f t="shared" si="21"/>
        <v/>
      </c>
      <c r="J696" s="53">
        <f>IFERROR(VLOOKUP(B696, DATA_Johnstone_2024_ALL!B:J, 8, FALSE), "")</f>
        <v>0</v>
      </c>
      <c r="K696" s="29"/>
      <c r="L696" s="30"/>
      <c r="M696" s="29"/>
      <c r="N696" s="20" t="str">
        <f>IF(J696=1, DATA_Johnstone_2023_50!M696, "")</f>
        <v/>
      </c>
      <c r="O696" s="20" t="str">
        <f>IF($J696=1, DATA_Johnstone_2023_50!N696, "")</f>
        <v/>
      </c>
      <c r="P696" s="49"/>
      <c r="Q696" s="20" t="str">
        <f>IF($J696=1, DATA_Johnstone_2023_50!P696, "")</f>
        <v/>
      </c>
      <c r="AI696" s="75">
        <v>693</v>
      </c>
      <c r="AJ696" s="75">
        <v>100</v>
      </c>
    </row>
    <row r="697" spans="1:36" hidden="1" x14ac:dyDescent="0.35">
      <c r="A697">
        <v>3469</v>
      </c>
      <c r="B697">
        <v>3470</v>
      </c>
      <c r="C697">
        <v>146.017628</v>
      </c>
      <c r="D697">
        <v>-17.486356839999999</v>
      </c>
      <c r="F697" t="s">
        <v>7363</v>
      </c>
      <c r="G697" s="1" t="str">
        <f>IF(F697="", "", HYPERLINK("D:\Data From Lucan\2024\Johnstone\Frames_for_Analysis_50\" &amp; F697, F697))</f>
        <v>3470_20240610_0005_L_0791.jpg</v>
      </c>
      <c r="H697">
        <v>0</v>
      </c>
      <c r="I697" t="str">
        <f t="shared" si="21"/>
        <v/>
      </c>
      <c r="J697" s="53">
        <f>IFERROR(VLOOKUP(B697, DATA_Johnstone_2024_ALL!B:J, 8, FALSE), "")</f>
        <v>0</v>
      </c>
      <c r="K697" s="29"/>
      <c r="L697" s="30"/>
      <c r="M697" s="29"/>
      <c r="N697" s="20" t="str">
        <f>IF(J697=1, DATA_Johnstone_2023_50!M697, "")</f>
        <v/>
      </c>
      <c r="O697" s="20" t="str">
        <f>IF($J697=1, DATA_Johnstone_2023_50!N697, "")</f>
        <v/>
      </c>
      <c r="P697" s="49"/>
      <c r="Q697" s="20" t="str">
        <f>IF($J697=1, DATA_Johnstone_2023_50!P697, "")</f>
        <v/>
      </c>
      <c r="AI697" s="75">
        <v>694</v>
      </c>
      <c r="AJ697" s="75">
        <v>100</v>
      </c>
    </row>
    <row r="698" spans="1:36" hidden="1" x14ac:dyDescent="0.35">
      <c r="A698">
        <v>3474</v>
      </c>
      <c r="B698">
        <v>3475</v>
      </c>
      <c r="C698">
        <v>146.01791549999999</v>
      </c>
      <c r="D698">
        <v>-17.485984800000001</v>
      </c>
      <c r="F698" t="s">
        <v>7364</v>
      </c>
      <c r="G698" s="1" t="str">
        <f>IF(F698="", "", HYPERLINK("D:\Data From Lucan\2024\Johnstone\Frames_for_Analysis_50\" &amp; F698, F698))</f>
        <v>3475_20240610_0005_L_0803.jpg</v>
      </c>
      <c r="H698">
        <v>0</v>
      </c>
      <c r="I698" t="str">
        <f t="shared" si="21"/>
        <v/>
      </c>
      <c r="J698" s="53">
        <f>IFERROR(VLOOKUP(B698, DATA_Johnstone_2024_ALL!B:J, 8, FALSE), "")</f>
        <v>0</v>
      </c>
      <c r="K698" s="29"/>
      <c r="L698" s="30"/>
      <c r="M698" s="29"/>
      <c r="N698" s="20" t="str">
        <f>IF(J698=1, DATA_Johnstone_2023_50!M698, "")</f>
        <v/>
      </c>
      <c r="O698" s="20" t="str">
        <f>IF($J698=1, DATA_Johnstone_2023_50!N698, "")</f>
        <v/>
      </c>
      <c r="P698" s="49"/>
      <c r="Q698" s="20" t="str">
        <f>IF($J698=1, DATA_Johnstone_2023_50!P698, "")</f>
        <v/>
      </c>
      <c r="AI698" s="75">
        <v>695</v>
      </c>
      <c r="AJ698" s="75">
        <v>100</v>
      </c>
    </row>
    <row r="699" spans="1:36" hidden="1" x14ac:dyDescent="0.35">
      <c r="A699">
        <v>3479</v>
      </c>
      <c r="B699">
        <v>3480</v>
      </c>
      <c r="C699">
        <v>146.01822179999999</v>
      </c>
      <c r="D699">
        <v>-17.485630230000002</v>
      </c>
      <c r="F699" t="s">
        <v>7365</v>
      </c>
      <c r="G699" s="1" t="str">
        <f>IF(F699="", "", HYPERLINK("D:\Data From Lucan\2024\Johnstone\Frames_for_Analysis_50\" &amp; F699, F699))</f>
        <v>3480_20240610_0005_L_0817.jpg</v>
      </c>
      <c r="H699">
        <v>0</v>
      </c>
      <c r="I699" t="str">
        <f t="shared" si="21"/>
        <v/>
      </c>
      <c r="J699" s="53">
        <f>IFERROR(VLOOKUP(B699, DATA_Johnstone_2024_ALL!B:J, 8, FALSE), "")</f>
        <v>0</v>
      </c>
      <c r="K699" s="29"/>
      <c r="L699" s="30"/>
      <c r="M699" s="29"/>
      <c r="N699" s="20" t="str">
        <f>IF(J699=1, DATA_Johnstone_2023_50!M699, "")</f>
        <v/>
      </c>
      <c r="O699" s="20" t="str">
        <f>IF($J699=1, DATA_Johnstone_2023_50!N699, "")</f>
        <v/>
      </c>
      <c r="P699" s="49"/>
      <c r="Q699" s="20" t="str">
        <f>IF($J699=1, DATA_Johnstone_2023_50!P699, "")</f>
        <v/>
      </c>
      <c r="AI699" s="75">
        <v>696</v>
      </c>
      <c r="AJ699" s="75">
        <v>100</v>
      </c>
    </row>
    <row r="700" spans="1:36" hidden="1" x14ac:dyDescent="0.35">
      <c r="A700">
        <v>3484</v>
      </c>
      <c r="B700">
        <v>3485</v>
      </c>
      <c r="C700">
        <v>146.0184884</v>
      </c>
      <c r="D700">
        <v>-17.485242719999999</v>
      </c>
      <c r="F700" t="s">
        <v>7366</v>
      </c>
      <c r="G700" s="1" t="str">
        <f>IF(F700="", "", HYPERLINK("D:\Data From Lucan\2024\Johnstone\Frames_for_Analysis_50\" &amp; F700, F700))</f>
        <v>3485_20240610_0005_L_0829.jpg</v>
      </c>
      <c r="H700">
        <v>0</v>
      </c>
      <c r="I700" t="str">
        <f t="shared" si="21"/>
        <v/>
      </c>
      <c r="J700" s="53">
        <f>IFERROR(VLOOKUP(B700, DATA_Johnstone_2024_ALL!B:J, 8, FALSE), "")</f>
        <v>0</v>
      </c>
      <c r="K700" s="29"/>
      <c r="L700" s="30"/>
      <c r="M700" s="29"/>
      <c r="N700" s="20" t="str">
        <f>IF(J700=1, DATA_Johnstone_2023_50!M700, "")</f>
        <v/>
      </c>
      <c r="O700" s="20" t="str">
        <f>IF($J700=1, DATA_Johnstone_2023_50!N700, "")</f>
        <v/>
      </c>
      <c r="P700" s="49"/>
      <c r="Q700" s="20" t="str">
        <f>IF($J700=1, DATA_Johnstone_2023_50!P700, "")</f>
        <v/>
      </c>
      <c r="AI700" s="75">
        <v>697</v>
      </c>
      <c r="AJ700" s="75">
        <v>100</v>
      </c>
    </row>
    <row r="701" spans="1:36" hidden="1" x14ac:dyDescent="0.35">
      <c r="A701">
        <v>3489</v>
      </c>
      <c r="B701">
        <v>3490</v>
      </c>
      <c r="C701">
        <v>146.0188086</v>
      </c>
      <c r="D701">
        <v>-17.484897119999999</v>
      </c>
      <c r="F701" t="s">
        <v>7367</v>
      </c>
      <c r="G701" s="1" t="str">
        <f>IF(F701="", "", HYPERLINK("D:\Data From Lucan\2024\Johnstone\Frames_for_Analysis_50\" &amp; F701, F701))</f>
        <v>3490_20240610_0005_L_0840.jpg</v>
      </c>
      <c r="H701">
        <v>0</v>
      </c>
      <c r="I701" t="str">
        <f t="shared" si="21"/>
        <v/>
      </c>
      <c r="J701" s="53">
        <f>IFERROR(VLOOKUP(B701, DATA_Johnstone_2024_ALL!B:J, 8, FALSE), "")</f>
        <v>0</v>
      </c>
      <c r="K701" s="29"/>
      <c r="L701" s="30"/>
      <c r="M701" s="29"/>
      <c r="N701" s="20" t="str">
        <f>IF(J701=1, DATA_Johnstone_2023_50!M701, "")</f>
        <v/>
      </c>
      <c r="O701" s="20" t="str">
        <f>IF($J701=1, DATA_Johnstone_2023_50!N701, "")</f>
        <v/>
      </c>
      <c r="P701" s="49"/>
      <c r="Q701" s="20" t="str">
        <f>IF($J701=1, DATA_Johnstone_2023_50!P701, "")</f>
        <v/>
      </c>
      <c r="AI701" s="75">
        <v>698</v>
      </c>
      <c r="AJ701" s="75">
        <v>100</v>
      </c>
    </row>
    <row r="702" spans="1:36" hidden="1" x14ac:dyDescent="0.35">
      <c r="A702">
        <v>3494</v>
      </c>
      <c r="B702">
        <v>3495</v>
      </c>
      <c r="C702">
        <v>146.01919720000001</v>
      </c>
      <c r="D702">
        <v>-17.484635690000001</v>
      </c>
      <c r="F702" t="s">
        <v>7368</v>
      </c>
      <c r="G702" s="1" t="str">
        <f>IF(F702="", "", HYPERLINK("D:\Data From Lucan\2024\Johnstone\Frames_for_Analysis_50\" &amp; F702, F702))</f>
        <v>3495_20240610_0005_L_0850.jpg</v>
      </c>
      <c r="H702">
        <v>0</v>
      </c>
      <c r="I702" t="str">
        <f t="shared" si="21"/>
        <v/>
      </c>
      <c r="J702" s="53">
        <f>IFERROR(VLOOKUP(B702, DATA_Johnstone_2024_ALL!B:J, 8, FALSE), "")</f>
        <v>0</v>
      </c>
      <c r="K702" s="29"/>
      <c r="L702" s="30"/>
      <c r="M702" s="29"/>
      <c r="N702" s="20" t="str">
        <f>IF(J702=1, DATA_Johnstone_2023_50!M702, "")</f>
        <v/>
      </c>
      <c r="O702" s="20" t="str">
        <f>IF($J702=1, DATA_Johnstone_2023_50!N702, "")</f>
        <v/>
      </c>
      <c r="P702" s="49"/>
      <c r="Q702" s="20" t="str">
        <f>IF($J702=1, DATA_Johnstone_2023_50!P702, "")</f>
        <v/>
      </c>
      <c r="AI702" s="75">
        <v>699</v>
      </c>
      <c r="AJ702" s="75">
        <v>100</v>
      </c>
    </row>
    <row r="703" spans="1:36" hidden="1" x14ac:dyDescent="0.35">
      <c r="A703">
        <v>3499</v>
      </c>
      <c r="B703">
        <v>3500</v>
      </c>
      <c r="C703">
        <v>146.01965319999999</v>
      </c>
      <c r="D703">
        <v>-17.484534650000001</v>
      </c>
      <c r="F703" t="s">
        <v>7369</v>
      </c>
      <c r="G703" s="1" t="str">
        <f>IF(F703="", "", HYPERLINK("D:\Data From Lucan\2024\Johnstone\Frames_for_Analysis_50\" &amp; F703, F703))</f>
        <v>3500_20240610_0005_L_0860.jpg</v>
      </c>
      <c r="H703">
        <v>0</v>
      </c>
      <c r="I703" t="str">
        <f t="shared" si="21"/>
        <v/>
      </c>
      <c r="J703" s="53">
        <f>IFERROR(VLOOKUP(B703, DATA_Johnstone_2024_ALL!B:J, 8, FALSE), "")</f>
        <v>0</v>
      </c>
      <c r="K703" s="29"/>
      <c r="L703" s="30"/>
      <c r="M703" s="29"/>
      <c r="N703" s="20" t="str">
        <f>IF(J703=1, DATA_Johnstone_2023_50!M703, "")</f>
        <v/>
      </c>
      <c r="O703" s="20" t="str">
        <f>IF($J703=1, DATA_Johnstone_2023_50!N703, "")</f>
        <v/>
      </c>
      <c r="P703" s="49"/>
      <c r="Q703" s="20" t="str">
        <f>IF($J703=1, DATA_Johnstone_2023_50!P703, "")</f>
        <v/>
      </c>
      <c r="AI703" s="75">
        <v>700</v>
      </c>
      <c r="AJ703" s="75">
        <v>100</v>
      </c>
    </row>
    <row r="704" spans="1:36" hidden="1" x14ac:dyDescent="0.35">
      <c r="A704">
        <v>3504</v>
      </c>
      <c r="B704">
        <v>3505</v>
      </c>
      <c r="C704">
        <v>146.02012199999999</v>
      </c>
      <c r="D704">
        <v>-17.484484070000001</v>
      </c>
      <c r="F704" t="s">
        <v>7370</v>
      </c>
      <c r="G704" s="1" t="str">
        <f>IF(F704="", "", HYPERLINK("D:\Data From Lucan\2024\Johnstone\Frames_for_Analysis_50\" &amp; F704, F704))</f>
        <v>3505_20240610_0005_L_0873.jpg</v>
      </c>
      <c r="H704">
        <v>0</v>
      </c>
      <c r="I704" t="str">
        <f t="shared" si="21"/>
        <v/>
      </c>
      <c r="J704" s="53">
        <f>IFERROR(VLOOKUP(B704, DATA_Johnstone_2024_ALL!B:J, 8, FALSE), "")</f>
        <v>0</v>
      </c>
      <c r="K704" s="29"/>
      <c r="L704" s="30"/>
      <c r="M704" s="29"/>
      <c r="N704" s="20" t="str">
        <f>IF(J704=1, DATA_Johnstone_2023_50!M704, "")</f>
        <v/>
      </c>
      <c r="O704" s="20" t="str">
        <f>IF($J704=1, DATA_Johnstone_2023_50!N704, "")</f>
        <v/>
      </c>
      <c r="P704" s="49"/>
      <c r="Q704" s="20" t="str">
        <f>IF($J704=1, DATA_Johnstone_2023_50!P704, "")</f>
        <v/>
      </c>
      <c r="AI704" s="75">
        <v>701</v>
      </c>
      <c r="AJ704" s="75">
        <v>100</v>
      </c>
    </row>
    <row r="705" spans="1:36" hidden="1" x14ac:dyDescent="0.35">
      <c r="A705">
        <v>3509</v>
      </c>
      <c r="B705">
        <v>3510</v>
      </c>
      <c r="C705">
        <v>146.02058719999999</v>
      </c>
      <c r="D705">
        <v>-17.484407269999998</v>
      </c>
      <c r="F705" t="s">
        <v>7371</v>
      </c>
      <c r="G705" s="1" t="str">
        <f>IF(F705="", "", HYPERLINK("D:\Data From Lucan\2024\Johnstone\Frames_for_Analysis_50\" &amp; F705, F705))</f>
        <v>3510_20240610_0005_L_0885.jpg</v>
      </c>
      <c r="H705">
        <v>0</v>
      </c>
      <c r="I705" t="str">
        <f t="shared" si="21"/>
        <v/>
      </c>
      <c r="J705" s="53">
        <f>IFERROR(VLOOKUP(B705, DATA_Johnstone_2024_ALL!B:J, 8, FALSE), "")</f>
        <v>0</v>
      </c>
      <c r="K705" s="29"/>
      <c r="L705" s="30"/>
      <c r="M705" s="29"/>
      <c r="N705" s="20" t="str">
        <f>IF(J705=1, DATA_Johnstone_2023_50!M705, "")</f>
        <v/>
      </c>
      <c r="O705" s="20" t="str">
        <f>IF($J705=1, DATA_Johnstone_2023_50!N705, "")</f>
        <v/>
      </c>
      <c r="P705" s="49"/>
      <c r="Q705" s="20" t="str">
        <f>IF($J705=1, DATA_Johnstone_2023_50!P705, "")</f>
        <v/>
      </c>
      <c r="AI705" s="75">
        <v>702</v>
      </c>
      <c r="AJ705" s="75">
        <v>100</v>
      </c>
    </row>
    <row r="706" spans="1:36" hidden="1" x14ac:dyDescent="0.35">
      <c r="A706">
        <v>3514</v>
      </c>
      <c r="B706">
        <v>3515</v>
      </c>
      <c r="C706">
        <v>146.0210223</v>
      </c>
      <c r="D706">
        <v>-17.484228529999999</v>
      </c>
      <c r="F706" t="s">
        <v>7372</v>
      </c>
      <c r="G706" s="1" t="str">
        <f>IF(F706="", "", HYPERLINK("D:\Data From Lucan\2024\Johnstone\Frames_for_Analysis_50\" &amp; F706, F706))</f>
        <v>3515_20240610_0005_L_0900.jpg</v>
      </c>
      <c r="H706">
        <v>0</v>
      </c>
      <c r="I706" t="str">
        <f t="shared" si="21"/>
        <v/>
      </c>
      <c r="J706" s="53">
        <f>IFERROR(VLOOKUP(B706, DATA_Johnstone_2024_ALL!B:J, 8, FALSE), "")</f>
        <v>0</v>
      </c>
      <c r="K706" s="29"/>
      <c r="L706" s="30"/>
      <c r="M706" s="29"/>
      <c r="N706" s="20" t="str">
        <f>IF(J706=1, DATA_Johnstone_2023_50!M706, "")</f>
        <v/>
      </c>
      <c r="O706" s="20" t="str">
        <f>IF($J706=1, DATA_Johnstone_2023_50!N706, "")</f>
        <v/>
      </c>
      <c r="P706" s="49"/>
      <c r="Q706" s="20" t="str">
        <f>IF($J706=1, DATA_Johnstone_2023_50!P706, "")</f>
        <v/>
      </c>
      <c r="AI706" s="75">
        <v>703</v>
      </c>
      <c r="AJ706" s="75">
        <v>100</v>
      </c>
    </row>
    <row r="707" spans="1:36" hidden="1" x14ac:dyDescent="0.35">
      <c r="A707">
        <v>3519</v>
      </c>
      <c r="B707">
        <v>3520</v>
      </c>
      <c r="C707">
        <v>146.02144100000001</v>
      </c>
      <c r="D707">
        <v>-17.484012929999999</v>
      </c>
      <c r="F707" t="s">
        <v>7373</v>
      </c>
      <c r="G707" s="1" t="str">
        <f>IF(F707="", "", HYPERLINK("D:\Data From Lucan\2024\Johnstone\Frames_for_Analysis_50\" &amp; F707, F707))</f>
        <v>3520_20240610_0005_L_0914.jpg</v>
      </c>
      <c r="H707">
        <v>0</v>
      </c>
      <c r="I707" t="str">
        <f t="shared" si="21"/>
        <v/>
      </c>
      <c r="J707" s="53">
        <f>IFERROR(VLOOKUP(B707, DATA_Johnstone_2024_ALL!B:J, 8, FALSE), "")</f>
        <v>0</v>
      </c>
      <c r="K707" s="29"/>
      <c r="L707" s="30"/>
      <c r="M707" s="29"/>
      <c r="N707" s="20" t="str">
        <f>IF(J707=1, DATA_Johnstone_2023_50!M707, "")</f>
        <v/>
      </c>
      <c r="O707" s="20" t="str">
        <f>IF($J707=1, DATA_Johnstone_2023_50!N707, "")</f>
        <v/>
      </c>
      <c r="P707" s="49"/>
      <c r="Q707" s="20" t="str">
        <f>IF($J707=1, DATA_Johnstone_2023_50!P707, "")</f>
        <v/>
      </c>
      <c r="AI707" s="75">
        <v>704</v>
      </c>
      <c r="AJ707" s="75">
        <v>100</v>
      </c>
    </row>
    <row r="708" spans="1:36" hidden="1" x14ac:dyDescent="0.35">
      <c r="A708">
        <v>3524</v>
      </c>
      <c r="B708">
        <v>3525</v>
      </c>
      <c r="C708">
        <v>146.02185560000001</v>
      </c>
      <c r="D708">
        <v>-17.483788969999999</v>
      </c>
      <c r="F708" t="s">
        <v>7374</v>
      </c>
      <c r="G708" s="1" t="str">
        <f>IF(F708="", "", HYPERLINK("D:\Data From Lucan\2024\Johnstone\Frames_for_Analysis_50\" &amp; F708, F708))</f>
        <v>3525_20240610_0005_L_0927.jpg</v>
      </c>
      <c r="H708">
        <v>0</v>
      </c>
      <c r="I708" t="str">
        <f t="shared" si="21"/>
        <v/>
      </c>
      <c r="J708" s="53">
        <f>IFERROR(VLOOKUP(B708, DATA_Johnstone_2024_ALL!B:J, 8, FALSE), "")</f>
        <v>0</v>
      </c>
      <c r="K708" s="29"/>
      <c r="L708" s="30"/>
      <c r="M708" s="29"/>
      <c r="N708" s="20" t="str">
        <f>IF(J708=1, DATA_Johnstone_2023_50!M708, "")</f>
        <v/>
      </c>
      <c r="O708" s="20" t="str">
        <f>IF($J708=1, DATA_Johnstone_2023_50!N708, "")</f>
        <v/>
      </c>
      <c r="P708" s="49"/>
      <c r="Q708" s="20" t="str">
        <f>IF($J708=1, DATA_Johnstone_2023_50!P708, "")</f>
        <v/>
      </c>
      <c r="AI708" s="75">
        <v>705</v>
      </c>
      <c r="AJ708" s="75">
        <v>100</v>
      </c>
    </row>
    <row r="709" spans="1:36" hidden="1" x14ac:dyDescent="0.35">
      <c r="A709">
        <v>3529</v>
      </c>
      <c r="B709">
        <v>3530</v>
      </c>
      <c r="C709">
        <v>146.0222857</v>
      </c>
      <c r="D709">
        <v>-17.48359576</v>
      </c>
      <c r="F709" t="s">
        <v>7375</v>
      </c>
      <c r="G709" s="1" t="str">
        <f>IF(F709="", "", HYPERLINK("D:\Data From Lucan\2024\Johnstone\Frames_for_Analysis_50\" &amp; F709, F709))</f>
        <v>3530_20240610_0005_L_0940.jpg</v>
      </c>
      <c r="H709">
        <v>0</v>
      </c>
      <c r="I709" t="str">
        <f t="shared" ref="I709:I772" si="22">IF(G709="","X","")</f>
        <v/>
      </c>
      <c r="J709" s="53">
        <f>IFERROR(VLOOKUP(B709, DATA_Johnstone_2024_ALL!B:J, 8, FALSE), "")</f>
        <v>0</v>
      </c>
      <c r="K709" s="29"/>
      <c r="L709" s="30"/>
      <c r="M709" s="29"/>
      <c r="N709" s="20" t="str">
        <f>IF(J709=1, DATA_Johnstone_2023_50!M709, "")</f>
        <v/>
      </c>
      <c r="O709" s="20" t="str">
        <f>IF($J709=1, DATA_Johnstone_2023_50!N709, "")</f>
        <v/>
      </c>
      <c r="P709" s="49"/>
      <c r="Q709" s="20" t="str">
        <f>IF($J709=1, DATA_Johnstone_2023_50!P709, "")</f>
        <v/>
      </c>
      <c r="AI709" s="75">
        <v>706</v>
      </c>
      <c r="AJ709" s="75">
        <v>100</v>
      </c>
    </row>
    <row r="710" spans="1:36" hidden="1" x14ac:dyDescent="0.35">
      <c r="A710">
        <v>3534</v>
      </c>
      <c r="B710">
        <v>3535</v>
      </c>
      <c r="C710">
        <v>146.0227127</v>
      </c>
      <c r="D710">
        <v>-17.48339631</v>
      </c>
      <c r="F710" t="s">
        <v>7376</v>
      </c>
      <c r="G710" s="1" t="str">
        <f>IF(F710="", "", HYPERLINK("D:\Data From Lucan\2024\Johnstone\Frames_for_Analysis_50\" &amp; F710, F710))</f>
        <v>3535_20240610_0005_L_0953.jpg</v>
      </c>
      <c r="H710">
        <v>0</v>
      </c>
      <c r="I710" t="str">
        <f t="shared" si="22"/>
        <v/>
      </c>
      <c r="J710" s="53">
        <f>IFERROR(VLOOKUP(B710, DATA_Johnstone_2024_ALL!B:J, 8, FALSE), "")</f>
        <v>0</v>
      </c>
      <c r="K710" s="29"/>
      <c r="L710" s="30"/>
      <c r="M710" s="29"/>
      <c r="N710" s="20" t="str">
        <f>IF(J710=1, DATA_Johnstone_2023_50!M710, "")</f>
        <v/>
      </c>
      <c r="O710" s="20" t="str">
        <f>IF($J710=1, DATA_Johnstone_2023_50!N710, "")</f>
        <v/>
      </c>
      <c r="P710" s="49"/>
      <c r="Q710" s="20" t="str">
        <f>IF($J710=1, DATA_Johnstone_2023_50!P710, "")</f>
        <v/>
      </c>
      <c r="AI710" s="75">
        <v>707</v>
      </c>
      <c r="AJ710" s="75">
        <v>100</v>
      </c>
    </row>
    <row r="711" spans="1:36" hidden="1" x14ac:dyDescent="0.35">
      <c r="A711">
        <v>3539</v>
      </c>
      <c r="B711">
        <v>3540</v>
      </c>
      <c r="C711">
        <v>146.0230617</v>
      </c>
      <c r="D711">
        <v>-17.483128270000002</v>
      </c>
      <c r="F711" t="s">
        <v>7377</v>
      </c>
      <c r="G711" s="1" t="str">
        <f>IF(F711="", "", HYPERLINK("D:\Data From Lucan\2024\Johnstone\Frames_for_Analysis_50\" &amp; F711, F711))</f>
        <v>3540_20240610_0005_L_0965.jpg</v>
      </c>
      <c r="H711">
        <v>0</v>
      </c>
      <c r="I711" t="str">
        <f t="shared" si="22"/>
        <v/>
      </c>
      <c r="J711" s="53">
        <f>IFERROR(VLOOKUP(B711, DATA_Johnstone_2024_ALL!B:J, 8, FALSE), "")</f>
        <v>0</v>
      </c>
      <c r="K711" s="29"/>
      <c r="L711" s="30"/>
      <c r="M711" s="29"/>
      <c r="N711" s="20" t="str">
        <f>IF(J711=1, DATA_Johnstone_2023_50!M711, "")</f>
        <v/>
      </c>
      <c r="O711" s="20" t="str">
        <f>IF($J711=1, DATA_Johnstone_2023_50!N711, "")</f>
        <v/>
      </c>
      <c r="P711" s="49"/>
      <c r="Q711" s="20" t="str">
        <f>IF($J711=1, DATA_Johnstone_2023_50!P711, "")</f>
        <v/>
      </c>
      <c r="AI711" s="75">
        <v>708</v>
      </c>
      <c r="AJ711" s="75">
        <v>100</v>
      </c>
    </row>
    <row r="712" spans="1:36" hidden="1" x14ac:dyDescent="0.35">
      <c r="A712">
        <v>3544</v>
      </c>
      <c r="B712">
        <v>3545</v>
      </c>
      <c r="C712">
        <v>146.02352519999999</v>
      </c>
      <c r="D712">
        <v>-17.483041679999999</v>
      </c>
      <c r="F712" t="s">
        <v>7378</v>
      </c>
      <c r="G712" s="1" t="str">
        <f>IF(F712="", "", HYPERLINK("D:\Data From Lucan\2024\Johnstone\Frames_for_Analysis_50\" &amp; F712, F712))</f>
        <v>3545_20240610_0005_L_0977.jpg</v>
      </c>
      <c r="H712">
        <v>0</v>
      </c>
      <c r="I712" t="str">
        <f t="shared" si="22"/>
        <v/>
      </c>
      <c r="J712" s="53">
        <f>IFERROR(VLOOKUP(B712, DATA_Johnstone_2024_ALL!B:J, 8, FALSE), "")</f>
        <v>0</v>
      </c>
      <c r="K712" s="29"/>
      <c r="L712" s="30"/>
      <c r="M712" s="29"/>
      <c r="N712" s="20" t="str">
        <f>IF(J712=1, DATA_Johnstone_2023_50!M712, "")</f>
        <v/>
      </c>
      <c r="O712" s="20" t="str">
        <f>IF($J712=1, DATA_Johnstone_2023_50!N712, "")</f>
        <v/>
      </c>
      <c r="P712" s="49"/>
      <c r="Q712" s="20" t="str">
        <f>IF($J712=1, DATA_Johnstone_2023_50!P712, "")</f>
        <v/>
      </c>
      <c r="AI712" s="75">
        <v>709</v>
      </c>
      <c r="AJ712" s="75">
        <v>100</v>
      </c>
    </row>
    <row r="713" spans="1:36" hidden="1" x14ac:dyDescent="0.35">
      <c r="A713">
        <v>3549</v>
      </c>
      <c r="B713">
        <v>3550</v>
      </c>
      <c r="C713">
        <v>146.0239651</v>
      </c>
      <c r="D713">
        <v>-17.48287625</v>
      </c>
      <c r="F713" t="s">
        <v>7379</v>
      </c>
      <c r="G713" s="1" t="str">
        <f>IF(F713="", "", HYPERLINK("D:\Data From Lucan\2024\Johnstone\Frames_for_Analysis_50\" &amp; F713, F713))</f>
        <v>3550_20240610_0005_L_0990.jpg</v>
      </c>
      <c r="H713">
        <v>0</v>
      </c>
      <c r="I713" t="str">
        <f t="shared" si="22"/>
        <v/>
      </c>
      <c r="J713" s="53">
        <f>IFERROR(VLOOKUP(B713, DATA_Johnstone_2024_ALL!B:J, 8, FALSE), "")</f>
        <v>0</v>
      </c>
      <c r="K713" s="29"/>
      <c r="L713" s="30"/>
      <c r="M713" s="29"/>
      <c r="N713" s="20" t="str">
        <f>IF(J713=1, DATA_Johnstone_2023_50!M713, "")</f>
        <v/>
      </c>
      <c r="O713" s="20" t="str">
        <f>IF($J713=1, DATA_Johnstone_2023_50!N713, "")</f>
        <v/>
      </c>
      <c r="P713" s="49"/>
      <c r="Q713" s="20" t="str">
        <f>IF($J713=1, DATA_Johnstone_2023_50!P713, "")</f>
        <v/>
      </c>
      <c r="AI713" s="75">
        <v>710</v>
      </c>
      <c r="AJ713" s="75">
        <v>100</v>
      </c>
    </row>
    <row r="714" spans="1:36" hidden="1" x14ac:dyDescent="0.35">
      <c r="A714">
        <v>3554</v>
      </c>
      <c r="B714">
        <v>3555</v>
      </c>
      <c r="C714">
        <v>146.02440000000001</v>
      </c>
      <c r="D714">
        <v>-17.482693919999999</v>
      </c>
      <c r="F714" t="s">
        <v>7380</v>
      </c>
      <c r="G714" s="1" t="str">
        <f>IF(F714="", "", HYPERLINK("D:\Data From Lucan\2024\Johnstone\Frames_for_Analysis_50\" &amp; F714, F714))</f>
        <v>3555_20240610_0005_L_1002.jpg</v>
      </c>
      <c r="H714">
        <v>0</v>
      </c>
      <c r="I714" t="str">
        <f t="shared" si="22"/>
        <v/>
      </c>
      <c r="J714" s="53">
        <f>IFERROR(VLOOKUP(B714, DATA_Johnstone_2024_ALL!B:J, 8, FALSE), "")</f>
        <v>0</v>
      </c>
      <c r="K714" s="29"/>
      <c r="L714" s="30"/>
      <c r="M714" s="29"/>
      <c r="N714" s="20" t="str">
        <f>IF(J714=1, DATA_Johnstone_2023_50!M714, "")</f>
        <v/>
      </c>
      <c r="O714" s="20" t="str">
        <f>IF($J714=1, DATA_Johnstone_2023_50!N714, "")</f>
        <v/>
      </c>
      <c r="P714" s="49"/>
      <c r="Q714" s="20" t="str">
        <f>IF($J714=1, DATA_Johnstone_2023_50!P714, "")</f>
        <v/>
      </c>
      <c r="AI714" s="75">
        <v>711</v>
      </c>
      <c r="AJ714" s="75">
        <v>100</v>
      </c>
    </row>
    <row r="715" spans="1:36" hidden="1" x14ac:dyDescent="0.35">
      <c r="A715">
        <v>3559</v>
      </c>
      <c r="B715">
        <v>3560</v>
      </c>
      <c r="C715">
        <v>146.0248508</v>
      </c>
      <c r="D715">
        <v>-17.482558170000001</v>
      </c>
      <c r="F715" t="s">
        <v>7381</v>
      </c>
      <c r="G715" s="1" t="str">
        <f>IF(F715="", "", HYPERLINK("D:\Data From Lucan\2024\Johnstone\Frames_for_Analysis_50\" &amp; F715, F715))</f>
        <v>3560_20240610_0005_L_1014.jpg</v>
      </c>
      <c r="H715">
        <v>0</v>
      </c>
      <c r="I715" t="str">
        <f t="shared" si="22"/>
        <v/>
      </c>
      <c r="J715" s="53">
        <f>IFERROR(VLOOKUP(B715, DATA_Johnstone_2024_ALL!B:J, 8, FALSE), "")</f>
        <v>0</v>
      </c>
      <c r="K715" s="29"/>
      <c r="L715" s="30"/>
      <c r="M715" s="29"/>
      <c r="N715" s="20" t="str">
        <f>IF(J715=1, DATA_Johnstone_2023_50!M715, "")</f>
        <v/>
      </c>
      <c r="O715" s="20" t="str">
        <f>IF($J715=1, DATA_Johnstone_2023_50!N715, "")</f>
        <v/>
      </c>
      <c r="P715" s="49"/>
      <c r="Q715" s="20" t="str">
        <f>IF($J715=1, DATA_Johnstone_2023_50!P715, "")</f>
        <v/>
      </c>
      <c r="AI715" s="75">
        <v>712</v>
      </c>
      <c r="AJ715" s="75">
        <v>100</v>
      </c>
    </row>
    <row r="716" spans="1:36" hidden="1" x14ac:dyDescent="0.35">
      <c r="A716">
        <v>3564</v>
      </c>
      <c r="B716">
        <v>3565</v>
      </c>
      <c r="C716">
        <v>146.02530580000001</v>
      </c>
      <c r="D716">
        <v>-17.482434340000001</v>
      </c>
      <c r="F716" t="s">
        <v>7382</v>
      </c>
      <c r="G716" s="1" t="str">
        <f>IF(F716="", "", HYPERLINK("D:\Data From Lucan\2024\Johnstone\Frames_for_Analysis_50\" &amp; F716, F716))</f>
        <v>3565_20240610_0005_L_1027.jpg</v>
      </c>
      <c r="H716">
        <v>0</v>
      </c>
      <c r="I716" t="str">
        <f t="shared" si="22"/>
        <v/>
      </c>
      <c r="J716" s="53">
        <f>IFERROR(VLOOKUP(B716, DATA_Johnstone_2024_ALL!B:J, 8, FALSE), "")</f>
        <v>0</v>
      </c>
      <c r="K716" s="29"/>
      <c r="L716" s="30"/>
      <c r="M716" s="29"/>
      <c r="N716" s="20" t="str">
        <f>IF(J716=1, DATA_Johnstone_2023_50!M716, "")</f>
        <v/>
      </c>
      <c r="O716" s="20" t="str">
        <f>IF($J716=1, DATA_Johnstone_2023_50!N716, "")</f>
        <v/>
      </c>
      <c r="P716" s="49"/>
      <c r="Q716" s="20" t="str">
        <f>IF($J716=1, DATA_Johnstone_2023_50!P716, "")</f>
        <v/>
      </c>
      <c r="AI716" s="75">
        <v>713</v>
      </c>
      <c r="AJ716" s="75">
        <v>100</v>
      </c>
    </row>
    <row r="717" spans="1:36" hidden="1" x14ac:dyDescent="0.35">
      <c r="A717">
        <v>3569</v>
      </c>
      <c r="B717">
        <v>3570</v>
      </c>
      <c r="C717">
        <v>146.02576400000001</v>
      </c>
      <c r="D717">
        <v>-17.48232359</v>
      </c>
      <c r="F717" t="s">
        <v>7383</v>
      </c>
      <c r="G717" s="1" t="str">
        <f>IF(F717="", "", HYPERLINK("D:\Data From Lucan\2024\Johnstone\Frames_for_Analysis_50\" &amp; F717, F717))</f>
        <v>3570_20240610_0005_L_1040.jpg</v>
      </c>
      <c r="H717">
        <v>0</v>
      </c>
      <c r="I717" t="str">
        <f t="shared" si="22"/>
        <v/>
      </c>
      <c r="J717" s="53">
        <f>IFERROR(VLOOKUP(B717, DATA_Johnstone_2024_ALL!B:J, 8, FALSE), "")</f>
        <v>0</v>
      </c>
      <c r="K717" s="29"/>
      <c r="L717" s="30"/>
      <c r="M717" s="29"/>
      <c r="N717" s="20" t="str">
        <f>IF(J717=1, DATA_Johnstone_2023_50!M717, "")</f>
        <v/>
      </c>
      <c r="O717" s="20" t="str">
        <f>IF($J717=1, DATA_Johnstone_2023_50!N717, "")</f>
        <v/>
      </c>
      <c r="P717" s="49"/>
      <c r="Q717" s="20" t="str">
        <f>IF($J717=1, DATA_Johnstone_2023_50!P717, "")</f>
        <v/>
      </c>
      <c r="AI717" s="75">
        <v>714</v>
      </c>
      <c r="AJ717" s="75">
        <v>100</v>
      </c>
    </row>
    <row r="718" spans="1:36" hidden="1" x14ac:dyDescent="0.35">
      <c r="A718">
        <v>3574</v>
      </c>
      <c r="B718">
        <v>3575</v>
      </c>
      <c r="C718">
        <v>146.0262233</v>
      </c>
      <c r="D718">
        <v>-17.482216919999999</v>
      </c>
      <c r="F718" t="s">
        <v>7384</v>
      </c>
      <c r="G718" s="1" t="str">
        <f>IF(F718="", "", HYPERLINK("D:\Data From Lucan\2024\Johnstone\Frames_for_Analysis_50\" &amp; F718, F718))</f>
        <v>3575_20240610_0005_L_1053.jpg</v>
      </c>
      <c r="H718">
        <v>0</v>
      </c>
      <c r="I718" t="str">
        <f t="shared" si="22"/>
        <v/>
      </c>
      <c r="J718" s="53">
        <f>IFERROR(VLOOKUP(B718, DATA_Johnstone_2024_ALL!B:J, 8, FALSE), "")</f>
        <v>0</v>
      </c>
      <c r="K718" s="29"/>
      <c r="L718" s="30"/>
      <c r="M718" s="29"/>
      <c r="N718" s="20" t="str">
        <f>IF(J718=1, DATA_Johnstone_2023_50!M718, "")</f>
        <v/>
      </c>
      <c r="O718" s="20" t="str">
        <f>IF($J718=1, DATA_Johnstone_2023_50!N718, "")</f>
        <v/>
      </c>
      <c r="P718" s="49"/>
      <c r="Q718" s="20" t="str">
        <f>IF($J718=1, DATA_Johnstone_2023_50!P718, "")</f>
        <v/>
      </c>
      <c r="AI718" s="75">
        <v>715</v>
      </c>
      <c r="AJ718" s="75">
        <v>100</v>
      </c>
    </row>
    <row r="719" spans="1:36" hidden="1" x14ac:dyDescent="0.35">
      <c r="A719">
        <v>3579</v>
      </c>
      <c r="B719">
        <v>3580</v>
      </c>
      <c r="C719">
        <v>146.02668610000001</v>
      </c>
      <c r="D719">
        <v>-17.48212959</v>
      </c>
      <c r="F719" t="s">
        <v>7385</v>
      </c>
      <c r="G719" s="1" t="str">
        <f>IF(F719="", "", HYPERLINK("D:\Data From Lucan\2024\Johnstone\Frames_for_Analysis_50\" &amp; F719, F719))</f>
        <v>3580_20240610_0005_L_1064.jpg</v>
      </c>
      <c r="H719">
        <v>0</v>
      </c>
      <c r="I719" t="str">
        <f t="shared" si="22"/>
        <v/>
      </c>
      <c r="J719" s="53">
        <f>IFERROR(VLOOKUP(B719, DATA_Johnstone_2024_ALL!B:J, 8, FALSE), "")</f>
        <v>0</v>
      </c>
      <c r="K719" s="29"/>
      <c r="L719" s="30"/>
      <c r="M719" s="29"/>
      <c r="N719" s="20" t="str">
        <f>IF(J719=1, DATA_Johnstone_2023_50!M719, "")</f>
        <v/>
      </c>
      <c r="O719" s="20" t="str">
        <f>IF($J719=1, DATA_Johnstone_2023_50!N719, "")</f>
        <v/>
      </c>
      <c r="P719" s="49"/>
      <c r="Q719" s="20" t="str">
        <f>IF($J719=1, DATA_Johnstone_2023_50!P719, "")</f>
        <v/>
      </c>
      <c r="AI719" s="75">
        <v>716</v>
      </c>
      <c r="AJ719" s="75">
        <v>100</v>
      </c>
    </row>
    <row r="720" spans="1:36" hidden="1" x14ac:dyDescent="0.35">
      <c r="A720">
        <v>3584</v>
      </c>
      <c r="B720">
        <v>3585</v>
      </c>
      <c r="C720">
        <v>146.02715430000001</v>
      </c>
      <c r="D720">
        <v>-17.482074799999999</v>
      </c>
      <c r="F720" t="s">
        <v>7386</v>
      </c>
      <c r="G720" s="1" t="str">
        <f>IF(F720="", "", HYPERLINK("D:\Data From Lucan\2024\Johnstone\Frames_for_Analysis_50\" &amp; F720, F720))</f>
        <v>3585_20240610_0005_L_1076.jpg</v>
      </c>
      <c r="H720">
        <v>0</v>
      </c>
      <c r="I720" t="str">
        <f t="shared" si="22"/>
        <v/>
      </c>
      <c r="J720" s="53">
        <f>IFERROR(VLOOKUP(B720, DATA_Johnstone_2024_ALL!B:J, 8, FALSE), "")</f>
        <v>0</v>
      </c>
      <c r="K720" s="29"/>
      <c r="L720" s="30"/>
      <c r="M720" s="29"/>
      <c r="N720" s="20" t="str">
        <f>IF(J720=1, DATA_Johnstone_2023_50!M720, "")</f>
        <v/>
      </c>
      <c r="O720" s="20" t="str">
        <f>IF($J720=1, DATA_Johnstone_2023_50!N720, "")</f>
        <v/>
      </c>
      <c r="P720" s="49"/>
      <c r="Q720" s="20" t="str">
        <f>IF($J720=1, DATA_Johnstone_2023_50!P720, "")</f>
        <v/>
      </c>
      <c r="AI720" s="75">
        <v>717</v>
      </c>
      <c r="AJ720" s="75">
        <v>100</v>
      </c>
    </row>
    <row r="721" spans="1:36" hidden="1" x14ac:dyDescent="0.35">
      <c r="A721">
        <v>3589</v>
      </c>
      <c r="B721">
        <v>3590</v>
      </c>
      <c r="C721">
        <v>146.02762430000001</v>
      </c>
      <c r="D721">
        <v>-17.48204647</v>
      </c>
      <c r="F721" t="s">
        <v>7387</v>
      </c>
      <c r="G721" s="1" t="str">
        <f>IF(F721="", "", HYPERLINK("D:\Data From Lucan\2024\Johnstone\Frames_for_Analysis_50\" &amp; F721, F721))</f>
        <v>3590_20240610_0005_L_1087.jpg</v>
      </c>
      <c r="H721">
        <v>0</v>
      </c>
      <c r="I721" t="str">
        <f t="shared" si="22"/>
        <v/>
      </c>
      <c r="J721" s="53">
        <f>IFERROR(VLOOKUP(B721, DATA_Johnstone_2024_ALL!B:J, 8, FALSE), "")</f>
        <v>0</v>
      </c>
      <c r="K721" s="29"/>
      <c r="L721" s="30"/>
      <c r="M721" s="29"/>
      <c r="N721" s="20" t="str">
        <f>IF(J721=1, DATA_Johnstone_2023_50!M721, "")</f>
        <v/>
      </c>
      <c r="O721" s="20" t="str">
        <f>IF($J721=1, DATA_Johnstone_2023_50!N721, "")</f>
        <v/>
      </c>
      <c r="P721" s="49"/>
      <c r="Q721" s="20" t="str">
        <f>IF($J721=1, DATA_Johnstone_2023_50!P721, "")</f>
        <v/>
      </c>
      <c r="AI721" s="75">
        <v>718</v>
      </c>
      <c r="AJ721" s="75">
        <v>100</v>
      </c>
    </row>
    <row r="722" spans="1:36" hidden="1" x14ac:dyDescent="0.35">
      <c r="A722">
        <v>3594</v>
      </c>
      <c r="B722">
        <v>3595</v>
      </c>
      <c r="C722">
        <v>146.0280727</v>
      </c>
      <c r="D722">
        <v>-17.482176079999999</v>
      </c>
      <c r="F722" t="s">
        <v>7388</v>
      </c>
      <c r="G722" s="1" t="str">
        <f>IF(F722="", "", HYPERLINK("D:\Data From Lucan\2024\Johnstone\Frames_for_Analysis_50\" &amp; F722, F722))</f>
        <v>3595_20240610_0005_L_1098.jpg</v>
      </c>
      <c r="H722">
        <v>0</v>
      </c>
      <c r="I722" t="str">
        <f t="shared" si="22"/>
        <v/>
      </c>
      <c r="J722" s="53">
        <f>IFERROR(VLOOKUP(B722, DATA_Johnstone_2024_ALL!B:J, 8, FALSE), "")</f>
        <v>0</v>
      </c>
      <c r="K722" s="29"/>
      <c r="L722" s="30"/>
      <c r="M722" s="29"/>
      <c r="N722" s="20" t="str">
        <f>IF(J722=1, DATA_Johnstone_2023_50!M722, "")</f>
        <v/>
      </c>
      <c r="O722" s="20" t="str">
        <f>IF($J722=1, DATA_Johnstone_2023_50!N722, "")</f>
        <v/>
      </c>
      <c r="P722" s="49"/>
      <c r="Q722" s="20" t="str">
        <f>IF($J722=1, DATA_Johnstone_2023_50!P722, "")</f>
        <v/>
      </c>
      <c r="AI722" s="75">
        <v>719</v>
      </c>
      <c r="AJ722" s="75">
        <v>100</v>
      </c>
    </row>
    <row r="723" spans="1:36" hidden="1" x14ac:dyDescent="0.35">
      <c r="A723">
        <v>3599</v>
      </c>
      <c r="B723">
        <v>3600</v>
      </c>
      <c r="C723">
        <v>146.0285049</v>
      </c>
      <c r="D723">
        <v>-17.482364539999999</v>
      </c>
      <c r="F723" t="s">
        <v>7389</v>
      </c>
      <c r="G723" s="1" t="str">
        <f>IF(F723="", "", HYPERLINK("D:\Data From Lucan\2024\Johnstone\Frames_for_Analysis_50\" &amp; F723, F723))</f>
        <v>3600_20240610_0005_L_1109.jpg</v>
      </c>
      <c r="H723">
        <v>0</v>
      </c>
      <c r="I723" t="str">
        <f t="shared" si="22"/>
        <v/>
      </c>
      <c r="J723" s="53">
        <f>IFERROR(VLOOKUP(B723, DATA_Johnstone_2024_ALL!B:J, 8, FALSE), "")</f>
        <v>0</v>
      </c>
      <c r="K723" s="29"/>
      <c r="L723" s="30"/>
      <c r="M723" s="29"/>
      <c r="N723" s="20" t="str">
        <f>IF(J723=1, DATA_Johnstone_2023_50!M723, "")</f>
        <v/>
      </c>
      <c r="O723" s="20" t="str">
        <f>IF($J723=1, DATA_Johnstone_2023_50!N723, "")</f>
        <v/>
      </c>
      <c r="P723" s="49"/>
      <c r="Q723" s="20" t="str">
        <f>IF($J723=1, DATA_Johnstone_2023_50!P723, "")</f>
        <v/>
      </c>
      <c r="AI723" s="75">
        <v>720</v>
      </c>
      <c r="AJ723" s="75">
        <v>100</v>
      </c>
    </row>
    <row r="724" spans="1:36" hidden="1" x14ac:dyDescent="0.35">
      <c r="A724">
        <v>3604</v>
      </c>
      <c r="B724">
        <v>3605</v>
      </c>
      <c r="C724">
        <v>146.02894610000001</v>
      </c>
      <c r="D724">
        <v>-17.48251904</v>
      </c>
      <c r="F724" t="s">
        <v>7390</v>
      </c>
      <c r="G724" s="1" t="str">
        <f>IF(F724="", "", HYPERLINK("D:\Data From Lucan\2024\Johnstone\Frames_for_Analysis_50\" &amp; F724, F724))</f>
        <v>3605_20240610_0005_L_1121.jpg</v>
      </c>
      <c r="H724">
        <v>0</v>
      </c>
      <c r="I724" t="str">
        <f t="shared" si="22"/>
        <v/>
      </c>
      <c r="J724" s="53">
        <f>IFERROR(VLOOKUP(B724, DATA_Johnstone_2024_ALL!B:J, 8, FALSE), "")</f>
        <v>0</v>
      </c>
      <c r="K724" s="29"/>
      <c r="L724" s="30"/>
      <c r="M724" s="29"/>
      <c r="N724" s="20" t="str">
        <f>IF(J724=1, DATA_Johnstone_2023_50!M724, "")</f>
        <v/>
      </c>
      <c r="O724" s="20" t="str">
        <f>IF($J724=1, DATA_Johnstone_2023_50!N724, "")</f>
        <v/>
      </c>
      <c r="P724" s="49"/>
      <c r="Q724" s="20" t="str">
        <f>IF($J724=1, DATA_Johnstone_2023_50!P724, "")</f>
        <v/>
      </c>
      <c r="AI724" s="75">
        <v>721</v>
      </c>
      <c r="AJ724" s="75">
        <v>100</v>
      </c>
    </row>
    <row r="725" spans="1:36" hidden="1" x14ac:dyDescent="0.35">
      <c r="A725">
        <v>3609</v>
      </c>
      <c r="B725">
        <v>3610</v>
      </c>
      <c r="C725">
        <v>146.0293916</v>
      </c>
      <c r="D725">
        <v>-17.48265408</v>
      </c>
      <c r="F725" t="s">
        <v>7391</v>
      </c>
      <c r="G725" s="1" t="str">
        <f t="shared" ref="G709:G772" si="23">IF(F725="", "", HYPERLINK("E:\Data From Lucan\2024\Johnstone\Frames_for_Analysis_50\" &amp; F725, F725))</f>
        <v>3610_20240610_0005_L_1131.jpg</v>
      </c>
      <c r="H725">
        <v>6</v>
      </c>
      <c r="I725" t="str">
        <f t="shared" si="22"/>
        <v/>
      </c>
      <c r="J725" s="53">
        <f>IFERROR(VLOOKUP(B725, DATA_Johnstone_2024_ALL!B:J, 8, FALSE), "")</f>
        <v>0</v>
      </c>
      <c r="K725" s="29"/>
      <c r="L725" s="30"/>
      <c r="M725" s="29"/>
      <c r="N725" s="20" t="str">
        <f>IF(J725=1, DATA_Johnstone_2023_50!M725, "")</f>
        <v/>
      </c>
      <c r="O725" s="20" t="str">
        <f>IF($J725=1, DATA_Johnstone_2023_50!N725, "")</f>
        <v/>
      </c>
      <c r="P725" s="49"/>
      <c r="Q725" s="20" t="str">
        <f>IF($J725=1, DATA_Johnstone_2023_50!P725, "")</f>
        <v/>
      </c>
      <c r="AI725" s="75">
        <v>722</v>
      </c>
      <c r="AJ725" s="75">
        <v>100</v>
      </c>
    </row>
    <row r="726" spans="1:36" hidden="1" x14ac:dyDescent="0.35">
      <c r="A726">
        <v>3614</v>
      </c>
      <c r="B726">
        <v>3615</v>
      </c>
      <c r="C726">
        <v>146.0298176</v>
      </c>
      <c r="D726">
        <v>-17.48282167</v>
      </c>
      <c r="F726" t="s">
        <v>7392</v>
      </c>
      <c r="G726" s="1" t="str">
        <f t="shared" si="23"/>
        <v>3615_20240610_0005_L_1139.jpg</v>
      </c>
      <c r="H726">
        <v>6</v>
      </c>
      <c r="I726" t="str">
        <f t="shared" si="22"/>
        <v/>
      </c>
      <c r="J726" s="53">
        <f>IFERROR(VLOOKUP(B726, DATA_Johnstone_2024_ALL!B:J, 8, FALSE), "")</f>
        <v>0</v>
      </c>
      <c r="K726" s="29"/>
      <c r="L726" s="30"/>
      <c r="M726" s="29"/>
      <c r="N726" s="20" t="str">
        <f>IF(J726=1, DATA_Johnstone_2023_50!M726, "")</f>
        <v/>
      </c>
      <c r="O726" s="20" t="str">
        <f>IF($J726=1, DATA_Johnstone_2023_50!N726, "")</f>
        <v/>
      </c>
      <c r="P726" s="49"/>
      <c r="Q726" s="20" t="str">
        <f>IF($J726=1, DATA_Johnstone_2023_50!P726, "")</f>
        <v/>
      </c>
      <c r="AI726" s="75">
        <v>723</v>
      </c>
      <c r="AJ726" s="75">
        <v>100</v>
      </c>
    </row>
    <row r="727" spans="1:36" hidden="1" x14ac:dyDescent="0.35">
      <c r="A727">
        <v>3619</v>
      </c>
      <c r="B727">
        <v>3620</v>
      </c>
      <c r="C727">
        <v>146.02997329999999</v>
      </c>
      <c r="D727">
        <v>-17.483205909999999</v>
      </c>
      <c r="F727" t="s">
        <v>7393</v>
      </c>
      <c r="G727" s="1" t="str">
        <f t="shared" si="23"/>
        <v>3620_20240610_0005_L_1145.jpg</v>
      </c>
      <c r="H727">
        <v>6</v>
      </c>
      <c r="I727" t="str">
        <f t="shared" si="22"/>
        <v/>
      </c>
      <c r="J727" s="53">
        <f>IFERROR(VLOOKUP(B727, DATA_Johnstone_2024_ALL!B:J, 8, FALSE), "")</f>
        <v>0</v>
      </c>
      <c r="K727" s="29"/>
      <c r="L727" s="30"/>
      <c r="M727" s="29"/>
      <c r="N727" s="20" t="str">
        <f>IF(J727=1, DATA_Johnstone_2023_50!M727, "")</f>
        <v/>
      </c>
      <c r="O727" s="20" t="str">
        <f>IF($J727=1, DATA_Johnstone_2023_50!N727, "")</f>
        <v/>
      </c>
      <c r="P727" s="49"/>
      <c r="Q727" s="20" t="str">
        <f>IF($J727=1, DATA_Johnstone_2023_50!P727, "")</f>
        <v/>
      </c>
      <c r="AI727" s="75">
        <v>724</v>
      </c>
      <c r="AJ727" s="75">
        <v>100</v>
      </c>
    </row>
    <row r="728" spans="1:36" hidden="1" x14ac:dyDescent="0.35">
      <c r="A728">
        <v>3624</v>
      </c>
      <c r="B728">
        <v>3625</v>
      </c>
      <c r="C728">
        <v>146.02996859999999</v>
      </c>
      <c r="D728">
        <v>-17.48366927</v>
      </c>
      <c r="F728" t="s">
        <v>7394</v>
      </c>
      <c r="G728" s="1" t="str">
        <f t="shared" si="23"/>
        <v>3625_20240610_0005_L_1155.jpg</v>
      </c>
      <c r="H728">
        <v>6</v>
      </c>
      <c r="I728" t="str">
        <f t="shared" si="22"/>
        <v/>
      </c>
      <c r="J728" s="53">
        <f>IFERROR(VLOOKUP(B728, DATA_Johnstone_2024_ALL!B:J, 8, FALSE), "")</f>
        <v>0</v>
      </c>
      <c r="K728" s="29"/>
      <c r="L728" s="30"/>
      <c r="M728" s="29"/>
      <c r="N728" s="20" t="str">
        <f>IF(J728=1, DATA_Johnstone_2023_50!M728, "")</f>
        <v/>
      </c>
      <c r="O728" s="20" t="str">
        <f>IF($J728=1, DATA_Johnstone_2023_50!N728, "")</f>
        <v/>
      </c>
      <c r="P728" s="49"/>
      <c r="Q728" s="20" t="str">
        <f>IF($J728=1, DATA_Johnstone_2023_50!P728, "")</f>
        <v/>
      </c>
      <c r="AI728" s="75">
        <v>725</v>
      </c>
      <c r="AJ728" s="75">
        <v>100</v>
      </c>
    </row>
    <row r="729" spans="1:36" hidden="1" x14ac:dyDescent="0.35">
      <c r="A729">
        <v>3629</v>
      </c>
      <c r="B729">
        <v>3630</v>
      </c>
      <c r="C729">
        <v>146.03000789999999</v>
      </c>
      <c r="D729">
        <v>-17.484138089999998</v>
      </c>
      <c r="F729" t="s">
        <v>7395</v>
      </c>
      <c r="G729" s="1" t="str">
        <f t="shared" si="23"/>
        <v>3630_20240610_0005_L_1169.jpg</v>
      </c>
      <c r="H729">
        <v>6</v>
      </c>
      <c r="I729" t="str">
        <f t="shared" si="22"/>
        <v/>
      </c>
      <c r="J729" s="53">
        <f>IFERROR(VLOOKUP(B729, DATA_Johnstone_2024_ALL!B:J, 8, FALSE), "")</f>
        <v>0</v>
      </c>
      <c r="K729" s="29"/>
      <c r="L729" s="30"/>
      <c r="M729" s="29"/>
      <c r="N729" s="20" t="str">
        <f>IF(J729=1, DATA_Johnstone_2023_50!M729, "")</f>
        <v/>
      </c>
      <c r="O729" s="20" t="str">
        <f>IF($J729=1, DATA_Johnstone_2023_50!N729, "")</f>
        <v/>
      </c>
      <c r="P729" s="49"/>
      <c r="Q729" s="20" t="str">
        <f>IF($J729=1, DATA_Johnstone_2023_50!P729, "")</f>
        <v/>
      </c>
      <c r="AI729" s="75">
        <v>726</v>
      </c>
      <c r="AJ729" s="75">
        <v>100</v>
      </c>
    </row>
    <row r="730" spans="1:36" hidden="1" x14ac:dyDescent="0.35">
      <c r="A730">
        <v>3634</v>
      </c>
      <c r="B730">
        <v>3635</v>
      </c>
      <c r="C730">
        <v>146.03000789999999</v>
      </c>
      <c r="D730">
        <v>-17.48460961</v>
      </c>
      <c r="F730" t="s">
        <v>7396</v>
      </c>
      <c r="G730" s="1" t="str">
        <f t="shared" si="23"/>
        <v>3635_20240610_0005_L_1181.jpg</v>
      </c>
      <c r="H730">
        <v>6</v>
      </c>
      <c r="I730" t="str">
        <f t="shared" si="22"/>
        <v/>
      </c>
      <c r="J730" s="53">
        <f>IFERROR(VLOOKUP(B730, DATA_Johnstone_2024_ALL!B:J, 8, FALSE), "")</f>
        <v>0</v>
      </c>
      <c r="K730" s="29"/>
      <c r="L730" s="30"/>
      <c r="M730" s="29"/>
      <c r="N730" s="20" t="str">
        <f>IF(J730=1, DATA_Johnstone_2023_50!M730, "")</f>
        <v/>
      </c>
      <c r="O730" s="20" t="str">
        <f>IF($J730=1, DATA_Johnstone_2023_50!N730, "")</f>
        <v/>
      </c>
      <c r="P730" s="49"/>
      <c r="Q730" s="20" t="str">
        <f>IF($J730=1, DATA_Johnstone_2023_50!P730, "")</f>
        <v/>
      </c>
      <c r="AI730" s="75">
        <v>727</v>
      </c>
      <c r="AJ730" s="75">
        <v>100</v>
      </c>
    </row>
    <row r="731" spans="1:36" hidden="1" x14ac:dyDescent="0.35">
      <c r="A731">
        <v>3639</v>
      </c>
      <c r="B731">
        <v>3640</v>
      </c>
      <c r="C731">
        <v>146.0303462</v>
      </c>
      <c r="D731">
        <v>-17.48488364</v>
      </c>
      <c r="F731" t="s">
        <v>7397</v>
      </c>
      <c r="G731" s="1" t="str">
        <f t="shared" si="23"/>
        <v>3640_20240610_0005_L_1191.jpg</v>
      </c>
      <c r="H731">
        <v>6</v>
      </c>
      <c r="I731" t="str">
        <f t="shared" si="22"/>
        <v/>
      </c>
      <c r="J731" s="53">
        <f>IFERROR(VLOOKUP(B731, DATA_Johnstone_2024_ALL!B:J, 8, FALSE), "")</f>
        <v>0</v>
      </c>
      <c r="K731" s="29"/>
      <c r="L731" s="30"/>
      <c r="M731" s="29"/>
      <c r="N731" s="20" t="str">
        <f>IF(J731=1, DATA_Johnstone_2023_50!M731, "")</f>
        <v/>
      </c>
      <c r="O731" s="20" t="str">
        <f>IF($J731=1, DATA_Johnstone_2023_50!N731, "")</f>
        <v/>
      </c>
      <c r="P731" s="49"/>
      <c r="Q731" s="20" t="str">
        <f>IF($J731=1, DATA_Johnstone_2023_50!P731, "")</f>
        <v/>
      </c>
      <c r="AI731" s="75">
        <v>728</v>
      </c>
      <c r="AJ731" s="75">
        <v>100</v>
      </c>
    </row>
    <row r="732" spans="1:36" hidden="1" x14ac:dyDescent="0.35">
      <c r="A732">
        <v>3644</v>
      </c>
      <c r="B732">
        <v>3645</v>
      </c>
      <c r="C732">
        <v>146.030473</v>
      </c>
      <c r="D732">
        <v>-17.48533106</v>
      </c>
      <c r="F732" t="s">
        <v>7398</v>
      </c>
      <c r="G732" s="1" t="str">
        <f t="shared" si="23"/>
        <v>3645_20240610_0005_L_1208.jpg</v>
      </c>
      <c r="H732">
        <v>6</v>
      </c>
      <c r="I732" t="str">
        <f t="shared" si="22"/>
        <v/>
      </c>
      <c r="J732" s="53">
        <f>IFERROR(VLOOKUP(B732, DATA_Johnstone_2024_ALL!B:J, 8, FALSE), "")</f>
        <v>0</v>
      </c>
      <c r="K732" s="29"/>
      <c r="L732" s="30"/>
      <c r="M732" s="29"/>
      <c r="N732" s="20" t="str">
        <f>IF(J732=1, DATA_Johnstone_2023_50!M732, "")</f>
        <v/>
      </c>
      <c r="O732" s="20" t="str">
        <f>IF($J732=1, DATA_Johnstone_2023_50!N732, "")</f>
        <v/>
      </c>
      <c r="P732" s="49"/>
      <c r="Q732" s="20" t="str">
        <f>IF($J732=1, DATA_Johnstone_2023_50!P732, "")</f>
        <v/>
      </c>
      <c r="AI732" s="75">
        <v>729</v>
      </c>
      <c r="AJ732" s="75">
        <v>100</v>
      </c>
    </row>
    <row r="733" spans="1:36" hidden="1" x14ac:dyDescent="0.35">
      <c r="A733">
        <v>3649</v>
      </c>
      <c r="B733">
        <v>3650</v>
      </c>
      <c r="C733">
        <v>146.0305347</v>
      </c>
      <c r="D733">
        <v>-17.485767710000001</v>
      </c>
      <c r="F733" t="s">
        <v>7399</v>
      </c>
      <c r="G733" s="1" t="str">
        <f t="shared" si="23"/>
        <v>3650_20240610_0005_L_1221.jpg</v>
      </c>
      <c r="H733">
        <v>6</v>
      </c>
      <c r="I733" t="str">
        <f t="shared" si="22"/>
        <v/>
      </c>
      <c r="J733" s="53">
        <f>IFERROR(VLOOKUP(B733, DATA_Johnstone_2024_ALL!B:J, 8, FALSE), "")</f>
        <v>0</v>
      </c>
      <c r="K733" s="29"/>
      <c r="L733" s="30"/>
      <c r="M733" s="29"/>
      <c r="N733" s="20" t="str">
        <f>IF(J733=1, DATA_Johnstone_2023_50!M733, "")</f>
        <v/>
      </c>
      <c r="O733" s="20" t="str">
        <f>IF($J733=1, DATA_Johnstone_2023_50!N733, "")</f>
        <v/>
      </c>
      <c r="P733" s="49"/>
      <c r="Q733" s="20" t="str">
        <f>IF($J733=1, DATA_Johnstone_2023_50!P733, "")</f>
        <v/>
      </c>
      <c r="AI733" s="75">
        <v>730</v>
      </c>
      <c r="AJ733" s="75">
        <v>100</v>
      </c>
    </row>
    <row r="734" spans="1:36" hidden="1" x14ac:dyDescent="0.35">
      <c r="A734">
        <v>3654</v>
      </c>
      <c r="B734">
        <v>3655</v>
      </c>
      <c r="C734">
        <v>146.03063130000001</v>
      </c>
      <c r="D734">
        <v>-17.486228019999999</v>
      </c>
      <c r="F734" t="s">
        <v>7400</v>
      </c>
      <c r="G734" s="1" t="str">
        <f t="shared" si="23"/>
        <v>3655_20240610_0005_L_1233.jpg</v>
      </c>
      <c r="H734">
        <v>6</v>
      </c>
      <c r="I734" t="str">
        <f t="shared" si="22"/>
        <v/>
      </c>
      <c r="J734" s="53">
        <f>IFERROR(VLOOKUP(B734, DATA_Johnstone_2024_ALL!B:J, 8, FALSE), "")</f>
        <v>0</v>
      </c>
      <c r="K734" s="29"/>
      <c r="L734" s="30"/>
      <c r="M734" s="29"/>
      <c r="N734" s="20" t="str">
        <f>IF(J734=1, DATA_Johnstone_2023_50!M734, "")</f>
        <v/>
      </c>
      <c r="O734" s="20" t="str">
        <f>IF($J734=1, DATA_Johnstone_2023_50!N734, "")</f>
        <v/>
      </c>
      <c r="P734" s="49"/>
      <c r="Q734" s="20" t="str">
        <f>IF($J734=1, DATA_Johnstone_2023_50!P734, "")</f>
        <v/>
      </c>
      <c r="AI734" s="75">
        <v>731</v>
      </c>
      <c r="AJ734" s="75">
        <v>100</v>
      </c>
    </row>
    <row r="735" spans="1:36" hidden="1" x14ac:dyDescent="0.35">
      <c r="A735">
        <v>3659</v>
      </c>
      <c r="B735">
        <v>3660</v>
      </c>
      <c r="C735">
        <v>146.03079450000001</v>
      </c>
      <c r="D735">
        <v>-17.486653560000001</v>
      </c>
      <c r="F735" t="s">
        <v>7401</v>
      </c>
      <c r="G735" s="1" t="str">
        <f t="shared" si="23"/>
        <v>3660_20240610_0005_L_1243.jpg</v>
      </c>
      <c r="H735">
        <v>6</v>
      </c>
      <c r="I735" t="str">
        <f t="shared" si="22"/>
        <v/>
      </c>
      <c r="J735" s="53">
        <f>IFERROR(VLOOKUP(B735, DATA_Johnstone_2024_ALL!B:J, 8, FALSE), "")</f>
        <v>0</v>
      </c>
      <c r="K735" s="29"/>
      <c r="L735" s="30"/>
      <c r="M735" s="29"/>
      <c r="N735" s="20" t="str">
        <f>IF(J735=1, DATA_Johnstone_2023_50!M735, "")</f>
        <v/>
      </c>
      <c r="O735" s="20" t="str">
        <f>IF($J735=1, DATA_Johnstone_2023_50!N735, "")</f>
        <v/>
      </c>
      <c r="P735" s="49"/>
      <c r="Q735" s="20" t="str">
        <f>IF($J735=1, DATA_Johnstone_2023_50!P735, "")</f>
        <v/>
      </c>
      <c r="AI735" s="75">
        <v>732</v>
      </c>
      <c r="AJ735" s="75">
        <v>100</v>
      </c>
    </row>
    <row r="736" spans="1:36" hidden="1" x14ac:dyDescent="0.35">
      <c r="A736">
        <v>3664</v>
      </c>
      <c r="B736">
        <v>3665</v>
      </c>
      <c r="C736">
        <v>146.03079690000001</v>
      </c>
      <c r="D736">
        <v>-17.487121439999999</v>
      </c>
      <c r="F736" t="s">
        <v>7402</v>
      </c>
      <c r="G736" s="1" t="str">
        <f t="shared" si="23"/>
        <v>3665_20240610_0005_L_1256.jpg</v>
      </c>
      <c r="H736">
        <v>6</v>
      </c>
      <c r="I736" t="str">
        <f t="shared" si="22"/>
        <v/>
      </c>
      <c r="J736" s="53">
        <f>IFERROR(VLOOKUP(B736, DATA_Johnstone_2024_ALL!B:J, 8, FALSE), "")</f>
        <v>0</v>
      </c>
      <c r="K736" s="29"/>
      <c r="L736" s="30"/>
      <c r="M736" s="29"/>
      <c r="N736" s="20" t="str">
        <f>IF(J736=1, DATA_Johnstone_2023_50!M736, "")</f>
        <v/>
      </c>
      <c r="O736" s="20" t="str">
        <f>IF($J736=1, DATA_Johnstone_2023_50!N736, "")</f>
        <v/>
      </c>
      <c r="P736" s="49"/>
      <c r="Q736" s="20" t="str">
        <f>IF($J736=1, DATA_Johnstone_2023_50!P736, "")</f>
        <v/>
      </c>
      <c r="AI736" s="75">
        <v>733</v>
      </c>
      <c r="AJ736" s="75">
        <v>100</v>
      </c>
    </row>
    <row r="737" spans="1:36" hidden="1" x14ac:dyDescent="0.35">
      <c r="A737">
        <v>3669</v>
      </c>
      <c r="B737">
        <v>3670</v>
      </c>
      <c r="C737">
        <v>146.03076519999999</v>
      </c>
      <c r="D737">
        <v>-17.48759149</v>
      </c>
      <c r="F737" t="s">
        <v>7403</v>
      </c>
      <c r="G737" s="1" t="str">
        <f t="shared" si="23"/>
        <v>3670_20240610_0005_L_1270.jpg</v>
      </c>
      <c r="H737">
        <v>6</v>
      </c>
      <c r="I737" t="str">
        <f t="shared" si="22"/>
        <v/>
      </c>
      <c r="J737" s="53">
        <f>IFERROR(VLOOKUP(B737, DATA_Johnstone_2024_ALL!B:J, 8, FALSE), "")</f>
        <v>0</v>
      </c>
      <c r="K737" s="29"/>
      <c r="L737" s="30"/>
      <c r="M737" s="29"/>
      <c r="N737" s="20" t="str">
        <f>IF(J737=1, DATA_Johnstone_2023_50!M737, "")</f>
        <v/>
      </c>
      <c r="O737" s="20" t="str">
        <f>IF($J737=1, DATA_Johnstone_2023_50!N737, "")</f>
        <v/>
      </c>
      <c r="P737" s="49"/>
      <c r="Q737" s="20" t="str">
        <f>IF($J737=1, DATA_Johnstone_2023_50!P737, "")</f>
        <v/>
      </c>
      <c r="AI737" s="75">
        <v>734</v>
      </c>
      <c r="AJ737" s="75">
        <v>100</v>
      </c>
    </row>
    <row r="738" spans="1:36" hidden="1" x14ac:dyDescent="0.35">
      <c r="A738">
        <v>3674</v>
      </c>
      <c r="B738">
        <v>3675</v>
      </c>
      <c r="C738">
        <v>146.0307608</v>
      </c>
      <c r="D738">
        <v>-17.48806299</v>
      </c>
      <c r="F738" t="s">
        <v>7404</v>
      </c>
      <c r="G738" s="1" t="str">
        <f t="shared" si="23"/>
        <v>3675_20240610_0005_L_1284.jpg</v>
      </c>
      <c r="H738">
        <v>6</v>
      </c>
      <c r="I738" t="str">
        <f t="shared" si="22"/>
        <v/>
      </c>
      <c r="J738" s="53">
        <f>IFERROR(VLOOKUP(B738, DATA_Johnstone_2024_ALL!B:J, 8, FALSE), "")</f>
        <v>0</v>
      </c>
      <c r="K738" s="29"/>
      <c r="L738" s="30"/>
      <c r="M738" s="29"/>
      <c r="N738" s="20" t="str">
        <f>IF(J738=1, DATA_Johnstone_2023_50!M738, "")</f>
        <v/>
      </c>
      <c r="O738" s="20" t="str">
        <f>IF($J738=1, DATA_Johnstone_2023_50!N738, "")</f>
        <v/>
      </c>
      <c r="P738" s="49"/>
      <c r="Q738" s="20" t="str">
        <f>IF($J738=1, DATA_Johnstone_2023_50!P738, "")</f>
        <v/>
      </c>
      <c r="AI738" s="75">
        <v>735</v>
      </c>
      <c r="AJ738" s="75">
        <v>100</v>
      </c>
    </row>
    <row r="739" spans="1:36" hidden="1" x14ac:dyDescent="0.35">
      <c r="A739">
        <v>3679</v>
      </c>
      <c r="B739">
        <v>3680</v>
      </c>
      <c r="C739">
        <v>146.0307674</v>
      </c>
      <c r="D739">
        <v>-17.488532970000001</v>
      </c>
      <c r="F739" t="s">
        <v>7405</v>
      </c>
      <c r="G739" s="1" t="str">
        <f t="shared" si="23"/>
        <v>3680_20240610_0005_L_1297.jpg</v>
      </c>
      <c r="H739">
        <v>6</v>
      </c>
      <c r="I739" t="str">
        <f t="shared" si="22"/>
        <v/>
      </c>
      <c r="J739" s="53">
        <f>IFERROR(VLOOKUP(B739, DATA_Johnstone_2024_ALL!B:J, 8, FALSE), "")</f>
        <v>0</v>
      </c>
      <c r="K739" s="29"/>
      <c r="L739" s="30"/>
      <c r="M739" s="29"/>
      <c r="N739" s="20" t="str">
        <f>IF(J739=1, DATA_Johnstone_2023_50!M739, "")</f>
        <v/>
      </c>
      <c r="O739" s="20" t="str">
        <f>IF($J739=1, DATA_Johnstone_2023_50!N739, "")</f>
        <v/>
      </c>
      <c r="P739" s="49"/>
      <c r="Q739" s="20" t="str">
        <f>IF($J739=1, DATA_Johnstone_2023_50!P739, "")</f>
        <v/>
      </c>
      <c r="AI739" s="75">
        <v>736</v>
      </c>
      <c r="AJ739" s="75">
        <v>100</v>
      </c>
    </row>
    <row r="740" spans="1:36" hidden="1" x14ac:dyDescent="0.35">
      <c r="A740">
        <v>3684</v>
      </c>
      <c r="B740">
        <v>3685</v>
      </c>
      <c r="C740">
        <v>146.03083419999999</v>
      </c>
      <c r="D740">
        <v>-17.488991769999998</v>
      </c>
      <c r="F740" t="s">
        <v>7406</v>
      </c>
      <c r="G740" s="1" t="str">
        <f t="shared" si="23"/>
        <v>3685_20240610_0005_L_1310.jpg</v>
      </c>
      <c r="H740">
        <v>6</v>
      </c>
      <c r="I740" t="str">
        <f t="shared" si="22"/>
        <v/>
      </c>
      <c r="J740" s="53">
        <f>IFERROR(VLOOKUP(B740, DATA_Johnstone_2024_ALL!B:J, 8, FALSE), "")</f>
        <v>0</v>
      </c>
      <c r="K740" s="29"/>
      <c r="L740" s="30"/>
      <c r="M740" s="29"/>
      <c r="N740" s="20" t="str">
        <f>IF(J740=1, DATA_Johnstone_2023_50!M740, "")</f>
        <v/>
      </c>
      <c r="O740" s="20" t="str">
        <f>IF($J740=1, DATA_Johnstone_2023_50!N740, "")</f>
        <v/>
      </c>
      <c r="P740" s="49"/>
      <c r="Q740" s="20" t="str">
        <f>IF($J740=1, DATA_Johnstone_2023_50!P740, "")</f>
        <v/>
      </c>
      <c r="AI740" s="75">
        <v>737</v>
      </c>
      <c r="AJ740" s="75">
        <v>100</v>
      </c>
    </row>
    <row r="741" spans="1:36" hidden="1" x14ac:dyDescent="0.35">
      <c r="A741">
        <v>3689</v>
      </c>
      <c r="B741">
        <v>3690</v>
      </c>
      <c r="C741">
        <v>146.03093749999999</v>
      </c>
      <c r="D741">
        <v>-17.489451339999999</v>
      </c>
      <c r="F741" t="s">
        <v>7407</v>
      </c>
      <c r="G741" s="1" t="str">
        <f t="shared" si="23"/>
        <v>3690_20240610_0005_L_1324.jpg</v>
      </c>
      <c r="H741">
        <v>6</v>
      </c>
      <c r="I741" t="str">
        <f t="shared" si="22"/>
        <v/>
      </c>
      <c r="J741" s="53">
        <f>IFERROR(VLOOKUP(B741, DATA_Johnstone_2024_ALL!B:J, 8, FALSE), "")</f>
        <v>0</v>
      </c>
      <c r="K741" s="29"/>
      <c r="L741" s="30"/>
      <c r="M741" s="29"/>
      <c r="N741" s="20" t="str">
        <f>IF(J741=1, DATA_Johnstone_2023_50!M741, "")</f>
        <v/>
      </c>
      <c r="O741" s="20" t="str">
        <f>IF($J741=1, DATA_Johnstone_2023_50!N741, "")</f>
        <v/>
      </c>
      <c r="P741" s="49"/>
      <c r="Q741" s="20" t="str">
        <f>IF($J741=1, DATA_Johnstone_2023_50!P741, "")</f>
        <v/>
      </c>
      <c r="AI741" s="75">
        <v>738</v>
      </c>
      <c r="AJ741" s="75">
        <v>100</v>
      </c>
    </row>
    <row r="742" spans="1:36" hidden="1" x14ac:dyDescent="0.35">
      <c r="A742">
        <v>3694</v>
      </c>
      <c r="B742">
        <v>3695</v>
      </c>
      <c r="C742">
        <v>146.0310771</v>
      </c>
      <c r="D742">
        <v>-17.489900370000001</v>
      </c>
      <c r="F742" t="s">
        <v>7408</v>
      </c>
      <c r="G742" s="1" t="str">
        <f t="shared" si="23"/>
        <v>3695_20240610_0005_L_1338.jpg</v>
      </c>
      <c r="H742">
        <v>6</v>
      </c>
      <c r="I742" t="str">
        <f t="shared" si="22"/>
        <v/>
      </c>
      <c r="J742" s="53">
        <f>IFERROR(VLOOKUP(B742, DATA_Johnstone_2024_ALL!B:J, 8, FALSE), "")</f>
        <v>0</v>
      </c>
      <c r="K742" s="29"/>
      <c r="L742" s="30"/>
      <c r="M742" s="29"/>
      <c r="N742" s="20" t="str">
        <f>IF(J742=1, DATA_Johnstone_2023_50!M742, "")</f>
        <v/>
      </c>
      <c r="O742" s="20" t="str">
        <f>IF($J742=1, DATA_Johnstone_2023_50!N742, "")</f>
        <v/>
      </c>
      <c r="P742" s="49"/>
      <c r="Q742" s="20" t="str">
        <f>IF($J742=1, DATA_Johnstone_2023_50!P742, "")</f>
        <v/>
      </c>
      <c r="AI742" s="75">
        <v>739</v>
      </c>
      <c r="AJ742" s="75">
        <v>100</v>
      </c>
    </row>
    <row r="743" spans="1:36" hidden="1" x14ac:dyDescent="0.35">
      <c r="A743">
        <v>3699</v>
      </c>
      <c r="B743">
        <v>3700</v>
      </c>
      <c r="C743">
        <v>146.03131550000001</v>
      </c>
      <c r="D743">
        <v>-17.490297649999999</v>
      </c>
      <c r="F743" t="s">
        <v>7409</v>
      </c>
      <c r="G743" s="1" t="str">
        <f t="shared" si="23"/>
        <v>3700_20240610_0005_L_1353.jpg</v>
      </c>
      <c r="H743">
        <v>6</v>
      </c>
      <c r="I743" t="str">
        <f t="shared" si="22"/>
        <v/>
      </c>
      <c r="J743" s="53">
        <f>IFERROR(VLOOKUP(B743, DATA_Johnstone_2024_ALL!B:J, 8, FALSE), "")</f>
        <v>0</v>
      </c>
      <c r="K743" s="29"/>
      <c r="L743" s="30"/>
      <c r="M743" s="29"/>
      <c r="N743" s="20" t="str">
        <f>IF(J743=1, DATA_Johnstone_2023_50!M743, "")</f>
        <v/>
      </c>
      <c r="O743" s="20" t="str">
        <f>IF($J743=1, DATA_Johnstone_2023_50!N743, "")</f>
        <v/>
      </c>
      <c r="P743" s="49"/>
      <c r="Q743" s="20" t="str">
        <f>IF($J743=1, DATA_Johnstone_2023_50!P743, "")</f>
        <v/>
      </c>
      <c r="AI743" s="75">
        <v>740</v>
      </c>
      <c r="AJ743" s="75">
        <v>100</v>
      </c>
    </row>
    <row r="744" spans="1:36" hidden="1" x14ac:dyDescent="0.35">
      <c r="A744">
        <v>3704</v>
      </c>
      <c r="B744">
        <v>3705</v>
      </c>
      <c r="C744">
        <v>146.03157089999999</v>
      </c>
      <c r="D744">
        <v>-17.490691009999999</v>
      </c>
      <c r="F744" t="s">
        <v>7410</v>
      </c>
      <c r="G744" s="1" t="str">
        <f t="shared" si="23"/>
        <v>3705_20240610_0005_L_1367.jpg</v>
      </c>
      <c r="H744">
        <v>6</v>
      </c>
      <c r="I744" t="str">
        <f t="shared" si="22"/>
        <v/>
      </c>
      <c r="J744" s="53">
        <f>IFERROR(VLOOKUP(B744, DATA_Johnstone_2024_ALL!B:J, 8, FALSE), "")</f>
        <v>0</v>
      </c>
      <c r="K744" s="29"/>
      <c r="L744" s="30"/>
      <c r="M744" s="29"/>
      <c r="N744" s="20" t="str">
        <f>IF(J744=1, DATA_Johnstone_2023_50!M744, "")</f>
        <v/>
      </c>
      <c r="O744" s="20" t="str">
        <f>IF($J744=1, DATA_Johnstone_2023_50!N744, "")</f>
        <v/>
      </c>
      <c r="P744" s="49"/>
      <c r="Q744" s="20" t="str">
        <f>IF($J744=1, DATA_Johnstone_2023_50!P744, "")</f>
        <v/>
      </c>
      <c r="AI744" s="75">
        <v>741</v>
      </c>
      <c r="AJ744" s="75">
        <v>100</v>
      </c>
    </row>
    <row r="745" spans="1:36" hidden="1" x14ac:dyDescent="0.35">
      <c r="A745">
        <v>3709</v>
      </c>
      <c r="B745">
        <v>3710</v>
      </c>
      <c r="C745">
        <v>146.03181979999999</v>
      </c>
      <c r="D745">
        <v>-17.49108871</v>
      </c>
      <c r="F745" t="s">
        <v>7411</v>
      </c>
      <c r="G745" s="1" t="str">
        <f t="shared" si="23"/>
        <v>3710_20240610_0005_L_1381.jpg</v>
      </c>
      <c r="H745">
        <v>6</v>
      </c>
      <c r="I745" t="str">
        <f t="shared" si="22"/>
        <v/>
      </c>
      <c r="J745" s="53">
        <f>IFERROR(VLOOKUP(B745, DATA_Johnstone_2024_ALL!B:J, 8, FALSE), "")</f>
        <v>0</v>
      </c>
      <c r="K745" s="29"/>
      <c r="L745" s="30"/>
      <c r="M745" s="29"/>
      <c r="N745" s="20" t="str">
        <f>IF(J745=1, DATA_Johnstone_2023_50!M745, "")</f>
        <v/>
      </c>
      <c r="O745" s="20" t="str">
        <f>IF($J745=1, DATA_Johnstone_2023_50!N745, "")</f>
        <v/>
      </c>
      <c r="P745" s="49"/>
      <c r="Q745" s="20" t="str">
        <f>IF($J745=1, DATA_Johnstone_2023_50!P745, "")</f>
        <v/>
      </c>
      <c r="AI745" s="75">
        <v>742</v>
      </c>
      <c r="AJ745" s="75">
        <v>100</v>
      </c>
    </row>
    <row r="746" spans="1:36" hidden="1" x14ac:dyDescent="0.35">
      <c r="A746">
        <v>3714</v>
      </c>
      <c r="B746">
        <v>3715</v>
      </c>
      <c r="C746">
        <v>146.0320782</v>
      </c>
      <c r="D746">
        <v>-17.49147859</v>
      </c>
      <c r="F746" t="s">
        <v>7412</v>
      </c>
      <c r="G746" s="1" t="str">
        <f t="shared" si="23"/>
        <v>3715_20240610_0005_L_1395.jpg</v>
      </c>
      <c r="H746">
        <v>6</v>
      </c>
      <c r="I746" t="str">
        <f t="shared" si="22"/>
        <v/>
      </c>
      <c r="J746" s="53">
        <f>IFERROR(VLOOKUP(B746, DATA_Johnstone_2024_ALL!B:J, 8, FALSE), "")</f>
        <v>0</v>
      </c>
      <c r="K746" s="29"/>
      <c r="L746" s="30"/>
      <c r="M746" s="29"/>
      <c r="N746" s="20" t="str">
        <f>IF(J746=1, DATA_Johnstone_2023_50!M746, "")</f>
        <v/>
      </c>
      <c r="O746" s="20" t="str">
        <f>IF($J746=1, DATA_Johnstone_2023_50!N746, "")</f>
        <v/>
      </c>
      <c r="P746" s="49"/>
      <c r="Q746" s="20" t="str">
        <f>IF($J746=1, DATA_Johnstone_2023_50!P746, "")</f>
        <v/>
      </c>
      <c r="AI746" s="75">
        <v>743</v>
      </c>
      <c r="AJ746" s="75">
        <v>100</v>
      </c>
    </row>
    <row r="747" spans="1:36" hidden="1" x14ac:dyDescent="0.35">
      <c r="A747">
        <v>3719</v>
      </c>
      <c r="B747">
        <v>3720</v>
      </c>
      <c r="C747">
        <v>146.03232410000001</v>
      </c>
      <c r="D747">
        <v>-17.491873290000001</v>
      </c>
      <c r="F747" t="s">
        <v>7413</v>
      </c>
      <c r="G747" s="1" t="str">
        <f t="shared" si="23"/>
        <v>3720_20240610_0005_L_1411.jpg</v>
      </c>
      <c r="H747">
        <v>6</v>
      </c>
      <c r="I747" t="str">
        <f t="shared" si="22"/>
        <v/>
      </c>
      <c r="J747" s="53">
        <f>IFERROR(VLOOKUP(B747, DATA_Johnstone_2024_ALL!B:J, 8, FALSE), "")</f>
        <v>0</v>
      </c>
      <c r="K747" s="29"/>
      <c r="L747" s="30"/>
      <c r="M747" s="29"/>
      <c r="N747" s="20" t="str">
        <f>IF(J747=1, DATA_Johnstone_2023_50!M747, "")</f>
        <v/>
      </c>
      <c r="O747" s="20" t="str">
        <f>IF($J747=1, DATA_Johnstone_2023_50!N747, "")</f>
        <v/>
      </c>
      <c r="P747" s="49"/>
      <c r="Q747" s="20" t="str">
        <f>IF($J747=1, DATA_Johnstone_2023_50!P747, "")</f>
        <v/>
      </c>
      <c r="AI747" s="75">
        <v>744</v>
      </c>
      <c r="AJ747" s="75">
        <v>100</v>
      </c>
    </row>
    <row r="748" spans="1:36" hidden="1" x14ac:dyDescent="0.35">
      <c r="A748">
        <v>3724</v>
      </c>
      <c r="B748">
        <v>3725</v>
      </c>
      <c r="C748">
        <v>146.0325761</v>
      </c>
      <c r="D748">
        <v>-17.492267689999998</v>
      </c>
      <c r="F748" t="s">
        <v>7414</v>
      </c>
      <c r="G748" s="1" t="str">
        <f t="shared" si="23"/>
        <v>3725_20240610_0005_L_1424.jpg</v>
      </c>
      <c r="H748">
        <v>6</v>
      </c>
      <c r="I748" t="str">
        <f t="shared" si="22"/>
        <v/>
      </c>
      <c r="J748" s="53">
        <f>IFERROR(VLOOKUP(B748, DATA_Johnstone_2024_ALL!B:J, 8, FALSE), "")</f>
        <v>0</v>
      </c>
      <c r="K748" s="29"/>
      <c r="L748" s="30"/>
      <c r="M748" s="29"/>
      <c r="N748" s="20" t="str">
        <f>IF(J748=1, DATA_Johnstone_2023_50!M748, "")</f>
        <v/>
      </c>
      <c r="O748" s="20" t="str">
        <f>IF($J748=1, DATA_Johnstone_2023_50!N748, "")</f>
        <v/>
      </c>
      <c r="P748" s="49"/>
      <c r="Q748" s="20" t="str">
        <f>IF($J748=1, DATA_Johnstone_2023_50!P748, "")</f>
        <v/>
      </c>
      <c r="AI748" s="75">
        <v>745</v>
      </c>
      <c r="AJ748" s="75">
        <v>100</v>
      </c>
    </row>
    <row r="749" spans="1:36" hidden="1" x14ac:dyDescent="0.35">
      <c r="A749">
        <v>3729</v>
      </c>
      <c r="B749">
        <v>3730</v>
      </c>
      <c r="C749">
        <v>146.03290860000001</v>
      </c>
      <c r="D749">
        <v>-17.492602000000002</v>
      </c>
      <c r="F749" t="s">
        <v>7415</v>
      </c>
      <c r="G749" s="1" t="str">
        <f t="shared" si="23"/>
        <v>3730_20240610_0005_L_1437.jpg</v>
      </c>
      <c r="H749">
        <v>6</v>
      </c>
      <c r="I749" t="str">
        <f t="shared" si="22"/>
        <v/>
      </c>
      <c r="J749" s="53">
        <f>IFERROR(VLOOKUP(B749, DATA_Johnstone_2024_ALL!B:J, 8, FALSE), "")</f>
        <v>0</v>
      </c>
      <c r="K749" s="29"/>
      <c r="L749" s="30"/>
      <c r="M749" s="29"/>
      <c r="N749" s="20" t="str">
        <f>IF(J749=1, DATA_Johnstone_2023_50!M749, "")</f>
        <v/>
      </c>
      <c r="O749" s="20" t="str">
        <f>IF($J749=1, DATA_Johnstone_2023_50!N749, "")</f>
        <v/>
      </c>
      <c r="P749" s="49"/>
      <c r="Q749" s="20" t="str">
        <f>IF($J749=1, DATA_Johnstone_2023_50!P749, "")</f>
        <v/>
      </c>
      <c r="AI749" s="75">
        <v>746</v>
      </c>
      <c r="AJ749" s="75">
        <v>100</v>
      </c>
    </row>
    <row r="750" spans="1:36" hidden="1" x14ac:dyDescent="0.35">
      <c r="A750">
        <v>3734</v>
      </c>
      <c r="B750">
        <v>3735</v>
      </c>
      <c r="C750">
        <v>146.03328819999999</v>
      </c>
      <c r="D750">
        <v>-17.492874619999998</v>
      </c>
      <c r="F750" t="s">
        <v>7416</v>
      </c>
      <c r="G750" s="1" t="str">
        <f t="shared" si="23"/>
        <v>3735_20240610_0005_L_1451.jpg</v>
      </c>
      <c r="H750">
        <v>6</v>
      </c>
      <c r="I750" t="str">
        <f t="shared" si="22"/>
        <v/>
      </c>
      <c r="J750" s="53">
        <f>IFERROR(VLOOKUP(B750, DATA_Johnstone_2024_ALL!B:J, 8, FALSE), "")</f>
        <v>0</v>
      </c>
      <c r="K750" s="29"/>
      <c r="L750" s="30"/>
      <c r="M750" s="29"/>
      <c r="N750" s="20" t="str">
        <f>IF(J750=1, DATA_Johnstone_2023_50!M750, "")</f>
        <v/>
      </c>
      <c r="O750" s="20" t="str">
        <f>IF($J750=1, DATA_Johnstone_2023_50!N750, "")</f>
        <v/>
      </c>
      <c r="P750" s="49"/>
      <c r="Q750" s="20" t="str">
        <f>IF($J750=1, DATA_Johnstone_2023_50!P750, "")</f>
        <v/>
      </c>
      <c r="AI750" s="75">
        <v>747</v>
      </c>
      <c r="AJ750" s="75">
        <v>100</v>
      </c>
    </row>
    <row r="751" spans="1:36" hidden="1" x14ac:dyDescent="0.35">
      <c r="A751">
        <v>3739</v>
      </c>
      <c r="B751">
        <v>3740</v>
      </c>
      <c r="C751">
        <v>146.0336471</v>
      </c>
      <c r="D751">
        <v>-17.493158470000001</v>
      </c>
      <c r="F751" t="s">
        <v>7417</v>
      </c>
      <c r="G751" s="1" t="str">
        <f t="shared" si="23"/>
        <v>3740_20240610_0005_L_1464.jpg</v>
      </c>
      <c r="H751">
        <v>6</v>
      </c>
      <c r="I751" t="str">
        <f t="shared" si="22"/>
        <v/>
      </c>
      <c r="J751" s="53">
        <f>IFERROR(VLOOKUP(B751, DATA_Johnstone_2024_ALL!B:J, 8, FALSE), "")</f>
        <v>0</v>
      </c>
      <c r="K751" s="29"/>
      <c r="L751" s="30"/>
      <c r="M751" s="29"/>
      <c r="N751" s="20" t="str">
        <f>IF(J751=1, DATA_Johnstone_2023_50!M751, "")</f>
        <v/>
      </c>
      <c r="O751" s="20" t="str">
        <f>IF($J751=1, DATA_Johnstone_2023_50!N751, "")</f>
        <v/>
      </c>
      <c r="P751" s="49"/>
      <c r="Q751" s="20" t="str">
        <f>IF($J751=1, DATA_Johnstone_2023_50!P751, "")</f>
        <v/>
      </c>
      <c r="AI751" s="75">
        <v>748</v>
      </c>
      <c r="AJ751" s="75">
        <v>100</v>
      </c>
    </row>
    <row r="752" spans="1:36" hidden="1" x14ac:dyDescent="0.35">
      <c r="A752">
        <v>3744</v>
      </c>
      <c r="B752">
        <v>3745</v>
      </c>
      <c r="C752">
        <v>146.03401299999999</v>
      </c>
      <c r="D752">
        <v>-17.493453150000001</v>
      </c>
      <c r="F752" t="s">
        <v>7418</v>
      </c>
      <c r="G752" s="1" t="str">
        <f t="shared" si="23"/>
        <v>3745_20240610_0005_L_1477.jpg</v>
      </c>
      <c r="H752">
        <v>6</v>
      </c>
      <c r="I752" t="str">
        <f t="shared" si="22"/>
        <v/>
      </c>
      <c r="J752" s="53">
        <f>IFERROR(VLOOKUP(B752, DATA_Johnstone_2024_ALL!B:J, 8, FALSE), "")</f>
        <v>0</v>
      </c>
      <c r="K752" s="29"/>
      <c r="L752" s="30"/>
      <c r="M752" s="29"/>
      <c r="N752" s="20" t="str">
        <f>IF(J752=1, DATA_Johnstone_2023_50!M752, "")</f>
        <v/>
      </c>
      <c r="O752" s="20" t="str">
        <f>IF($J752=1, DATA_Johnstone_2023_50!N752, "")</f>
        <v/>
      </c>
      <c r="P752" s="49"/>
      <c r="Q752" s="20" t="str">
        <f>IF($J752=1, DATA_Johnstone_2023_50!P752, "")</f>
        <v/>
      </c>
      <c r="AI752" s="75">
        <v>749</v>
      </c>
      <c r="AJ752" s="75">
        <v>100</v>
      </c>
    </row>
    <row r="753" spans="1:36" hidden="1" x14ac:dyDescent="0.35">
      <c r="A753">
        <v>3749</v>
      </c>
      <c r="B753">
        <v>3750</v>
      </c>
      <c r="C753">
        <v>146.03433920000001</v>
      </c>
      <c r="D753">
        <v>-17.493793579999998</v>
      </c>
      <c r="F753" t="s">
        <v>7419</v>
      </c>
      <c r="G753" s="1" t="str">
        <f t="shared" si="23"/>
        <v>3750_20240610_0005_L_1490.jpg</v>
      </c>
      <c r="H753">
        <v>6</v>
      </c>
      <c r="I753" t="str">
        <f t="shared" si="22"/>
        <v/>
      </c>
      <c r="J753" s="53">
        <f>IFERROR(VLOOKUP(B753, DATA_Johnstone_2024_ALL!B:J, 8, FALSE), "")</f>
        <v>0</v>
      </c>
      <c r="K753" s="29"/>
      <c r="L753" s="30"/>
      <c r="M753" s="29"/>
      <c r="N753" s="20" t="str">
        <f>IF(J753=1, DATA_Johnstone_2023_50!M753, "")</f>
        <v/>
      </c>
      <c r="O753" s="20" t="str">
        <f>IF($J753=1, DATA_Johnstone_2023_50!N753, "")</f>
        <v/>
      </c>
      <c r="P753" s="49"/>
      <c r="Q753" s="20" t="str">
        <f>IF($J753=1, DATA_Johnstone_2023_50!P753, "")</f>
        <v/>
      </c>
      <c r="AI753" s="75">
        <v>750</v>
      </c>
      <c r="AJ753" s="75">
        <v>100</v>
      </c>
    </row>
    <row r="754" spans="1:36" hidden="1" x14ac:dyDescent="0.35">
      <c r="A754">
        <v>3754</v>
      </c>
      <c r="B754">
        <v>3755</v>
      </c>
      <c r="C754">
        <v>146.03469000000001</v>
      </c>
      <c r="D754">
        <v>-17.49410687</v>
      </c>
      <c r="F754" t="s">
        <v>7420</v>
      </c>
      <c r="G754" s="1" t="str">
        <f t="shared" si="23"/>
        <v>3755_20240610_0005_L_1502.jpg</v>
      </c>
      <c r="H754">
        <v>6</v>
      </c>
      <c r="I754" t="str">
        <f t="shared" si="22"/>
        <v/>
      </c>
      <c r="J754" s="53">
        <f>IFERROR(VLOOKUP(B754, DATA_Johnstone_2024_ALL!B:J, 8, FALSE), "")</f>
        <v>0</v>
      </c>
      <c r="K754" s="29"/>
      <c r="L754" s="30"/>
      <c r="M754" s="29"/>
      <c r="N754" s="20" t="str">
        <f>IF(J754=1, DATA_Johnstone_2023_50!M754, "")</f>
        <v/>
      </c>
      <c r="O754" s="20" t="str">
        <f>IF($J754=1, DATA_Johnstone_2023_50!N754, "")</f>
        <v/>
      </c>
      <c r="P754" s="49"/>
      <c r="Q754" s="20" t="str">
        <f>IF($J754=1, DATA_Johnstone_2023_50!P754, "")</f>
        <v/>
      </c>
      <c r="AI754" s="75">
        <v>751</v>
      </c>
      <c r="AJ754" s="75">
        <v>100</v>
      </c>
    </row>
    <row r="755" spans="1:36" hidden="1" x14ac:dyDescent="0.35">
      <c r="A755">
        <v>3759</v>
      </c>
      <c r="B755">
        <v>3760</v>
      </c>
      <c r="C755">
        <v>146.0350018</v>
      </c>
      <c r="D755">
        <v>-17.49446021</v>
      </c>
      <c r="F755" t="s">
        <v>7421</v>
      </c>
      <c r="G755" s="1" t="str">
        <f t="shared" si="23"/>
        <v>3760_20240610_0005_L_1514.jpg</v>
      </c>
      <c r="H755">
        <v>6</v>
      </c>
      <c r="I755" t="str">
        <f t="shared" si="22"/>
        <v/>
      </c>
      <c r="J755" s="53">
        <f>IFERROR(VLOOKUP(B755, DATA_Johnstone_2024_ALL!B:J, 8, FALSE), "")</f>
        <v>0</v>
      </c>
      <c r="K755" s="29"/>
      <c r="L755" s="30"/>
      <c r="M755" s="29"/>
      <c r="N755" s="20" t="str">
        <f>IF(J755=1, DATA_Johnstone_2023_50!M755, "")</f>
        <v/>
      </c>
      <c r="O755" s="20" t="str">
        <f>IF($J755=1, DATA_Johnstone_2023_50!N755, "")</f>
        <v/>
      </c>
      <c r="P755" s="49"/>
      <c r="Q755" s="20" t="str">
        <f>IF($J755=1, DATA_Johnstone_2023_50!P755, "")</f>
        <v/>
      </c>
      <c r="AI755" s="75">
        <v>752</v>
      </c>
      <c r="AJ755" s="75">
        <v>100</v>
      </c>
    </row>
    <row r="756" spans="1:36" hidden="1" x14ac:dyDescent="0.35">
      <c r="A756">
        <v>3764</v>
      </c>
      <c r="B756">
        <v>3765</v>
      </c>
      <c r="C756">
        <v>146.03532870000001</v>
      </c>
      <c r="D756">
        <v>-17.494800000000001</v>
      </c>
      <c r="F756" t="s">
        <v>7422</v>
      </c>
      <c r="G756" s="1" t="str">
        <f t="shared" si="23"/>
        <v>3765_20240610_0005_L_1527.jpg</v>
      </c>
      <c r="H756">
        <v>6</v>
      </c>
      <c r="I756" t="str">
        <f t="shared" si="22"/>
        <v/>
      </c>
      <c r="J756" s="53">
        <f>IFERROR(VLOOKUP(B756, DATA_Johnstone_2024_ALL!B:J, 8, FALSE), "")</f>
        <v>0</v>
      </c>
      <c r="K756" s="29"/>
      <c r="L756" s="30"/>
      <c r="M756" s="29"/>
      <c r="N756" s="20" t="str">
        <f>IF(J756=1, DATA_Johnstone_2023_50!M756, "")</f>
        <v/>
      </c>
      <c r="O756" s="20" t="str">
        <f>IF($J756=1, DATA_Johnstone_2023_50!N756, "")</f>
        <v/>
      </c>
      <c r="P756" s="49"/>
      <c r="Q756" s="20" t="str">
        <f>IF($J756=1, DATA_Johnstone_2023_50!P756, "")</f>
        <v/>
      </c>
      <c r="AI756" s="75">
        <v>753</v>
      </c>
      <c r="AJ756" s="75">
        <v>100</v>
      </c>
    </row>
    <row r="757" spans="1:36" hidden="1" x14ac:dyDescent="0.35">
      <c r="A757">
        <v>3769</v>
      </c>
      <c r="B757">
        <v>3770</v>
      </c>
      <c r="C757">
        <v>146.0356554</v>
      </c>
      <c r="D757">
        <v>-17.495139980000001</v>
      </c>
      <c r="F757" t="s">
        <v>7423</v>
      </c>
      <c r="G757" s="1" t="str">
        <f t="shared" si="23"/>
        <v>3770_20240610_0005_L_1543.jpg</v>
      </c>
      <c r="H757">
        <v>6</v>
      </c>
      <c r="I757" t="str">
        <f t="shared" si="22"/>
        <v/>
      </c>
      <c r="J757" s="53">
        <f>IFERROR(VLOOKUP(B757, DATA_Johnstone_2024_ALL!B:J, 8, FALSE), "")</f>
        <v>0</v>
      </c>
      <c r="K757" s="29"/>
      <c r="L757" s="30"/>
      <c r="M757" s="29"/>
      <c r="N757" s="20" t="str">
        <f>IF(J757=1, DATA_Johnstone_2023_50!M757, "")</f>
        <v/>
      </c>
      <c r="O757" s="20" t="str">
        <f>IF($J757=1, DATA_Johnstone_2023_50!N757, "")</f>
        <v/>
      </c>
      <c r="P757" s="49"/>
      <c r="Q757" s="20" t="str">
        <f>IF($J757=1, DATA_Johnstone_2023_50!P757, "")</f>
        <v/>
      </c>
      <c r="AI757" s="75">
        <v>754</v>
      </c>
      <c r="AJ757" s="75">
        <v>100</v>
      </c>
    </row>
    <row r="758" spans="1:36" hidden="1" x14ac:dyDescent="0.35">
      <c r="A758">
        <v>3774</v>
      </c>
      <c r="B758">
        <v>3775</v>
      </c>
      <c r="C758">
        <v>146.03597980000001</v>
      </c>
      <c r="D758">
        <v>-17.495482190000001</v>
      </c>
      <c r="F758" t="s">
        <v>7424</v>
      </c>
      <c r="G758" s="1" t="str">
        <f t="shared" si="23"/>
        <v>3775_20240610_0005_L_1555.jpg</v>
      </c>
      <c r="H758">
        <v>6</v>
      </c>
      <c r="I758" t="str">
        <f t="shared" si="22"/>
        <v/>
      </c>
      <c r="J758" s="53">
        <f>IFERROR(VLOOKUP(B758, DATA_Johnstone_2024_ALL!B:J, 8, FALSE), "")</f>
        <v>0</v>
      </c>
      <c r="K758" s="29"/>
      <c r="L758" s="30"/>
      <c r="M758" s="29"/>
      <c r="N758" s="20" t="str">
        <f>IF(J758=1, DATA_Johnstone_2023_50!M758, "")</f>
        <v/>
      </c>
      <c r="O758" s="20" t="str">
        <f>IF($J758=1, DATA_Johnstone_2023_50!N758, "")</f>
        <v/>
      </c>
      <c r="P758" s="49"/>
      <c r="Q758" s="20" t="str">
        <f>IF($J758=1, DATA_Johnstone_2023_50!P758, "")</f>
        <v/>
      </c>
      <c r="AI758" s="75">
        <v>755</v>
      </c>
      <c r="AJ758" s="75">
        <v>100</v>
      </c>
    </row>
    <row r="759" spans="1:36" hidden="1" x14ac:dyDescent="0.35">
      <c r="A759">
        <v>3779</v>
      </c>
      <c r="B759">
        <v>3780</v>
      </c>
      <c r="C759">
        <v>146.03627399999999</v>
      </c>
      <c r="D759">
        <v>-17.495849759999999</v>
      </c>
      <c r="F759" t="s">
        <v>7425</v>
      </c>
      <c r="G759" s="1" t="str">
        <f t="shared" si="23"/>
        <v>3780_20240610_0005_L_1567.jpg</v>
      </c>
      <c r="H759">
        <v>6</v>
      </c>
      <c r="I759" t="str">
        <f t="shared" si="22"/>
        <v/>
      </c>
      <c r="J759" s="53">
        <f>IFERROR(VLOOKUP(B759, DATA_Johnstone_2024_ALL!B:J, 8, FALSE), "")</f>
        <v>0</v>
      </c>
      <c r="K759" s="29"/>
      <c r="L759" s="30"/>
      <c r="M759" s="29"/>
      <c r="N759" s="20" t="str">
        <f>IF(J759=1, DATA_Johnstone_2023_50!M759, "")</f>
        <v/>
      </c>
      <c r="O759" s="20" t="str">
        <f>IF($J759=1, DATA_Johnstone_2023_50!N759, "")</f>
        <v/>
      </c>
      <c r="P759" s="49"/>
      <c r="Q759" s="20" t="str">
        <f>IF($J759=1, DATA_Johnstone_2023_50!P759, "")</f>
        <v/>
      </c>
      <c r="AI759" s="75">
        <v>756</v>
      </c>
      <c r="AJ759" s="75">
        <v>100</v>
      </c>
    </row>
    <row r="760" spans="1:36" hidden="1" x14ac:dyDescent="0.35">
      <c r="A760">
        <v>3784</v>
      </c>
      <c r="B760">
        <v>3785</v>
      </c>
      <c r="C760">
        <v>146.0365549</v>
      </c>
      <c r="D760">
        <v>-17.49622845</v>
      </c>
      <c r="F760" t="s">
        <v>7426</v>
      </c>
      <c r="G760" s="1" t="str">
        <f t="shared" si="23"/>
        <v>3785_20240610_0005_L_1579.jpg</v>
      </c>
      <c r="H760">
        <v>5</v>
      </c>
      <c r="I760" t="str">
        <f t="shared" si="22"/>
        <v/>
      </c>
      <c r="J760" s="53">
        <f>IFERROR(VLOOKUP(B760, DATA_Johnstone_2024_ALL!B:J, 8, FALSE), "")</f>
        <v>0</v>
      </c>
      <c r="K760" s="29"/>
      <c r="L760" s="30"/>
      <c r="M760" s="29"/>
      <c r="N760" s="20" t="str">
        <f>IF(J760=1, DATA_Johnstone_2023_50!M760, "")</f>
        <v/>
      </c>
      <c r="O760" s="20" t="str">
        <f>IF($J760=1, DATA_Johnstone_2023_50!N760, "")</f>
        <v/>
      </c>
      <c r="P760" s="49"/>
      <c r="Q760" s="20" t="str">
        <f>IF($J760=1, DATA_Johnstone_2023_50!P760, "")</f>
        <v/>
      </c>
      <c r="AI760" s="75">
        <v>757</v>
      </c>
      <c r="AJ760" s="75">
        <v>100</v>
      </c>
    </row>
    <row r="761" spans="1:36" hidden="1" x14ac:dyDescent="0.35">
      <c r="A761">
        <v>3789</v>
      </c>
      <c r="B761">
        <v>3790</v>
      </c>
      <c r="C761">
        <v>146.03678099999999</v>
      </c>
      <c r="D761">
        <v>-17.496640750000001</v>
      </c>
      <c r="F761" t="s">
        <v>7427</v>
      </c>
      <c r="G761" s="1" t="str">
        <f t="shared" si="23"/>
        <v>3790_20240610_0005_L_1590.jpg</v>
      </c>
      <c r="H761">
        <v>5</v>
      </c>
      <c r="I761" t="str">
        <f t="shared" si="22"/>
        <v/>
      </c>
      <c r="J761" s="53">
        <f>IFERROR(VLOOKUP(B761, DATA_Johnstone_2024_ALL!B:J, 8, FALSE), "")</f>
        <v>0</v>
      </c>
      <c r="K761" s="29"/>
      <c r="L761" s="30"/>
      <c r="M761" s="29"/>
      <c r="N761" s="20" t="str">
        <f>IF(J761=1, DATA_Johnstone_2023_50!M761, "")</f>
        <v/>
      </c>
      <c r="O761" s="20" t="str">
        <f>IF($J761=1, DATA_Johnstone_2023_50!N761, "")</f>
        <v/>
      </c>
      <c r="P761" s="49"/>
      <c r="Q761" s="20" t="str">
        <f>IF($J761=1, DATA_Johnstone_2023_50!P761, "")</f>
        <v/>
      </c>
      <c r="AI761" s="75">
        <v>758</v>
      </c>
      <c r="AJ761" s="75">
        <v>100</v>
      </c>
    </row>
    <row r="762" spans="1:36" hidden="1" x14ac:dyDescent="0.35">
      <c r="A762">
        <v>3794</v>
      </c>
      <c r="B762">
        <v>3795</v>
      </c>
      <c r="C762">
        <v>146.03699069999999</v>
      </c>
      <c r="D762">
        <v>-17.497063069999999</v>
      </c>
      <c r="F762" t="s">
        <v>7428</v>
      </c>
      <c r="G762" s="1" t="str">
        <f t="shared" si="23"/>
        <v>3795_20240610_0005_L_1603.jpg</v>
      </c>
      <c r="H762">
        <v>5</v>
      </c>
      <c r="I762" t="str">
        <f t="shared" si="22"/>
        <v/>
      </c>
      <c r="J762" s="53">
        <f>IFERROR(VLOOKUP(B762, DATA_Johnstone_2024_ALL!B:J, 8, FALSE), "")</f>
        <v>0</v>
      </c>
      <c r="K762" s="29"/>
      <c r="L762" s="30"/>
      <c r="M762" s="29"/>
      <c r="N762" s="20" t="str">
        <f>IF(J762=1, DATA_Johnstone_2023_50!M762, "")</f>
        <v/>
      </c>
      <c r="O762" s="20" t="str">
        <f>IF($J762=1, DATA_Johnstone_2023_50!N762, "")</f>
        <v/>
      </c>
      <c r="P762" s="49"/>
      <c r="Q762" s="20" t="str">
        <f>IF($J762=1, DATA_Johnstone_2023_50!P762, "")</f>
        <v/>
      </c>
      <c r="AI762" s="75">
        <v>759</v>
      </c>
      <c r="AJ762" s="75">
        <v>100</v>
      </c>
    </row>
    <row r="763" spans="1:36" hidden="1" x14ac:dyDescent="0.35">
      <c r="A763">
        <v>3799</v>
      </c>
      <c r="B763">
        <v>3800</v>
      </c>
      <c r="C763">
        <v>146.03711190000001</v>
      </c>
      <c r="D763">
        <v>-17.497507370000001</v>
      </c>
      <c r="F763" t="s">
        <v>7429</v>
      </c>
      <c r="G763" s="1" t="str">
        <f t="shared" si="23"/>
        <v>3800_20240610_0005_L_1613.jpg</v>
      </c>
      <c r="H763">
        <v>5</v>
      </c>
      <c r="I763" t="str">
        <f t="shared" si="22"/>
        <v/>
      </c>
      <c r="J763" s="53">
        <f>IFERROR(VLOOKUP(B763, DATA_Johnstone_2024_ALL!B:J, 8, FALSE), "")</f>
        <v>0</v>
      </c>
      <c r="K763" s="29"/>
      <c r="L763" s="30"/>
      <c r="M763" s="29"/>
      <c r="N763" s="20" t="str">
        <f>IF(J763=1, DATA_Johnstone_2023_50!M763, "")</f>
        <v/>
      </c>
      <c r="O763" s="20" t="str">
        <f>IF($J763=1, DATA_Johnstone_2023_50!N763, "")</f>
        <v/>
      </c>
      <c r="P763" s="49"/>
      <c r="Q763" s="20" t="str">
        <f>IF($J763=1, DATA_Johnstone_2023_50!P763, "")</f>
        <v/>
      </c>
      <c r="AI763" s="75">
        <v>760</v>
      </c>
      <c r="AJ763" s="75">
        <v>100</v>
      </c>
    </row>
    <row r="764" spans="1:36" hidden="1" x14ac:dyDescent="0.35">
      <c r="A764">
        <v>3804</v>
      </c>
      <c r="B764">
        <v>3805</v>
      </c>
      <c r="C764">
        <v>146.03712150000001</v>
      </c>
      <c r="D764">
        <v>-17.497978759999999</v>
      </c>
      <c r="G764" s="1" t="str">
        <f t="shared" si="23"/>
        <v/>
      </c>
      <c r="H764">
        <v>5</v>
      </c>
      <c r="I764" t="str">
        <f t="shared" si="22"/>
        <v>X</v>
      </c>
      <c r="J764" s="53" t="str">
        <f>IFERROR(VLOOKUP(B764, DATA_Johnstone_2024_ALL!B:J, 8, FALSE), "")</f>
        <v>X</v>
      </c>
      <c r="K764" s="29"/>
      <c r="L764" s="30"/>
      <c r="M764" s="29"/>
      <c r="N764" s="20" t="str">
        <f>IF(J764=1, DATA_Johnstone_2023_50!M764, "")</f>
        <v/>
      </c>
      <c r="O764" s="20" t="str">
        <f>IF($J764=1, DATA_Johnstone_2023_50!N764, "")</f>
        <v/>
      </c>
      <c r="P764" s="49"/>
      <c r="Q764" s="20" t="str">
        <f>IF($J764=1, DATA_Johnstone_2023_50!P764, "")</f>
        <v/>
      </c>
      <c r="AI764" s="75">
        <v>761</v>
      </c>
      <c r="AJ764" s="75">
        <v>100</v>
      </c>
    </row>
    <row r="765" spans="1:36" hidden="1" x14ac:dyDescent="0.35">
      <c r="A765">
        <v>3809</v>
      </c>
      <c r="B765">
        <v>3810</v>
      </c>
      <c r="C765">
        <v>146.03711989999999</v>
      </c>
      <c r="D765">
        <v>-17.49845028</v>
      </c>
      <c r="F765" t="s">
        <v>7430</v>
      </c>
      <c r="G765" s="1" t="str">
        <f t="shared" si="23"/>
        <v>3810_20240610_0005_L_1636.jpg</v>
      </c>
      <c r="H765">
        <v>5</v>
      </c>
      <c r="I765" t="str">
        <f t="shared" si="22"/>
        <v/>
      </c>
      <c r="J765" s="53">
        <f>IFERROR(VLOOKUP(B765, DATA_Johnstone_2024_ALL!B:J, 8, FALSE), "")</f>
        <v>0</v>
      </c>
      <c r="K765" s="29"/>
      <c r="L765" s="30"/>
      <c r="M765" s="29"/>
      <c r="N765" s="20" t="str">
        <f>IF(J765=1, DATA_Johnstone_2023_50!M765, "")</f>
        <v/>
      </c>
      <c r="O765" s="20" t="str">
        <f>IF($J765=1, DATA_Johnstone_2023_50!N765, "")</f>
        <v/>
      </c>
      <c r="P765" s="49"/>
      <c r="Q765" s="20" t="str">
        <f>IF($J765=1, DATA_Johnstone_2023_50!P765, "")</f>
        <v/>
      </c>
      <c r="AI765" s="75">
        <v>762</v>
      </c>
      <c r="AJ765" s="75">
        <v>100</v>
      </c>
    </row>
    <row r="766" spans="1:36" hidden="1" x14ac:dyDescent="0.35">
      <c r="A766">
        <v>3814</v>
      </c>
      <c r="B766">
        <v>3815</v>
      </c>
      <c r="C766">
        <v>146.03713160000001</v>
      </c>
      <c r="D766">
        <v>-17.498918239999998</v>
      </c>
      <c r="F766" t="s">
        <v>7431</v>
      </c>
      <c r="G766" s="1" t="str">
        <f t="shared" si="23"/>
        <v>3815_20240610_0005_L_1652.jpg</v>
      </c>
      <c r="H766">
        <v>5</v>
      </c>
      <c r="I766" t="str">
        <f t="shared" si="22"/>
        <v/>
      </c>
      <c r="J766" s="53">
        <f>IFERROR(VLOOKUP(B766, DATA_Johnstone_2024_ALL!B:J, 8, FALSE), "")</f>
        <v>0</v>
      </c>
      <c r="K766" s="29"/>
      <c r="L766" s="30"/>
      <c r="M766" s="29"/>
      <c r="N766" s="20" t="str">
        <f>IF(J766=1, DATA_Johnstone_2023_50!M766, "")</f>
        <v/>
      </c>
      <c r="O766" s="20" t="str">
        <f>IF($J766=1, DATA_Johnstone_2023_50!N766, "")</f>
        <v/>
      </c>
      <c r="P766" s="49"/>
      <c r="Q766" s="20" t="str">
        <f>IF($J766=1, DATA_Johnstone_2023_50!P766, "")</f>
        <v/>
      </c>
      <c r="AI766" s="75">
        <v>763</v>
      </c>
      <c r="AJ766" s="75">
        <v>100</v>
      </c>
    </row>
    <row r="767" spans="1:36" hidden="1" x14ac:dyDescent="0.35">
      <c r="A767">
        <v>3819</v>
      </c>
      <c r="B767">
        <v>3820</v>
      </c>
      <c r="C767">
        <v>146.03724550000001</v>
      </c>
      <c r="D767">
        <v>-17.49937465</v>
      </c>
      <c r="F767" t="s">
        <v>7432</v>
      </c>
      <c r="G767" s="1" t="str">
        <f t="shared" si="23"/>
        <v>3820_20240610_0005_L_1668.jpg</v>
      </c>
      <c r="H767">
        <v>5</v>
      </c>
      <c r="I767" t="str">
        <f t="shared" si="22"/>
        <v/>
      </c>
      <c r="J767" s="53">
        <f>IFERROR(VLOOKUP(B767, DATA_Johnstone_2024_ALL!B:J, 8, FALSE), "")</f>
        <v>0</v>
      </c>
      <c r="K767" s="29"/>
      <c r="L767" s="30"/>
      <c r="M767" s="29"/>
      <c r="N767" s="20" t="str">
        <f>IF(J767=1, DATA_Johnstone_2023_50!M767, "")</f>
        <v/>
      </c>
      <c r="O767" s="20" t="str">
        <f>IF($J767=1, DATA_Johnstone_2023_50!N767, "")</f>
        <v/>
      </c>
      <c r="P767" s="49"/>
      <c r="Q767" s="20" t="str">
        <f>IF($J767=1, DATA_Johnstone_2023_50!P767, "")</f>
        <v/>
      </c>
      <c r="AI767" s="75">
        <v>764</v>
      </c>
      <c r="AJ767" s="75">
        <v>100</v>
      </c>
    </row>
    <row r="768" spans="1:36" hidden="1" x14ac:dyDescent="0.35">
      <c r="A768">
        <v>3824</v>
      </c>
      <c r="B768">
        <v>3825</v>
      </c>
      <c r="C768">
        <v>146.03745180000001</v>
      </c>
      <c r="D768">
        <v>-17.499797139999998</v>
      </c>
      <c r="F768" t="s">
        <v>7433</v>
      </c>
      <c r="G768" s="1" t="str">
        <f t="shared" si="23"/>
        <v>3825_20240610_0005_L_1682.jpg</v>
      </c>
      <c r="H768">
        <v>5</v>
      </c>
      <c r="I768" t="str">
        <f t="shared" si="22"/>
        <v/>
      </c>
      <c r="J768" s="53">
        <f>IFERROR(VLOOKUP(B768, DATA_Johnstone_2024_ALL!B:J, 8, FALSE), "")</f>
        <v>0</v>
      </c>
      <c r="K768" s="29"/>
      <c r="L768" s="30"/>
      <c r="M768" s="29"/>
      <c r="N768" s="20" t="str">
        <f>IF(J768=1, DATA_Johnstone_2023_50!M768, "")</f>
        <v/>
      </c>
      <c r="O768" s="20" t="str">
        <f>IF($J768=1, DATA_Johnstone_2023_50!N768, "")</f>
        <v/>
      </c>
      <c r="P768" s="49"/>
      <c r="Q768" s="20" t="str">
        <f>IF($J768=1, DATA_Johnstone_2023_50!P768, "")</f>
        <v/>
      </c>
      <c r="AI768" s="75">
        <v>765</v>
      </c>
      <c r="AJ768" s="75">
        <v>100</v>
      </c>
    </row>
    <row r="769" spans="1:36" hidden="1" x14ac:dyDescent="0.35">
      <c r="A769">
        <v>3829</v>
      </c>
      <c r="B769">
        <v>3830</v>
      </c>
      <c r="C769">
        <v>146.03765089999999</v>
      </c>
      <c r="D769">
        <v>-17.500219439999999</v>
      </c>
      <c r="F769" t="s">
        <v>7434</v>
      </c>
      <c r="G769" s="1" t="str">
        <f t="shared" si="23"/>
        <v>3830_20240610_0005_L_1695.jpg</v>
      </c>
      <c r="H769">
        <v>5</v>
      </c>
      <c r="I769" t="str">
        <f t="shared" si="22"/>
        <v/>
      </c>
      <c r="J769" s="53">
        <f>IFERROR(VLOOKUP(B769, DATA_Johnstone_2024_ALL!B:J, 8, FALSE), "")</f>
        <v>0</v>
      </c>
      <c r="K769" s="29"/>
      <c r="L769" s="30"/>
      <c r="M769" s="29"/>
      <c r="N769" s="20" t="str">
        <f>IF(J769=1, DATA_Johnstone_2023_50!M769, "")</f>
        <v/>
      </c>
      <c r="O769" s="20" t="str">
        <f>IF($J769=1, DATA_Johnstone_2023_50!N769, "")</f>
        <v/>
      </c>
      <c r="P769" s="49"/>
      <c r="Q769" s="20" t="str">
        <f>IF($J769=1, DATA_Johnstone_2023_50!P769, "")</f>
        <v/>
      </c>
      <c r="AI769" s="75">
        <v>766</v>
      </c>
      <c r="AJ769" s="75">
        <v>100</v>
      </c>
    </row>
    <row r="770" spans="1:36" hidden="1" x14ac:dyDescent="0.35">
      <c r="A770">
        <v>3834</v>
      </c>
      <c r="B770">
        <v>3835</v>
      </c>
      <c r="C770">
        <v>146.03782380000001</v>
      </c>
      <c r="D770">
        <v>-17.50065661</v>
      </c>
      <c r="F770" t="s">
        <v>7435</v>
      </c>
      <c r="G770" s="1" t="str">
        <f t="shared" si="23"/>
        <v>3835_20240610_0005_L_1706.jpg</v>
      </c>
      <c r="H770">
        <v>5</v>
      </c>
      <c r="I770" t="str">
        <f t="shared" si="22"/>
        <v/>
      </c>
      <c r="J770" s="53">
        <f>IFERROR(VLOOKUP(B770, DATA_Johnstone_2024_ALL!B:J, 8, FALSE), "")</f>
        <v>0</v>
      </c>
      <c r="K770" s="29"/>
      <c r="L770" s="30"/>
      <c r="M770" s="29"/>
      <c r="N770" s="20" t="str">
        <f>IF(J770=1, DATA_Johnstone_2023_50!M770, "")</f>
        <v/>
      </c>
      <c r="O770" s="20" t="str">
        <f>IF($J770=1, DATA_Johnstone_2023_50!N770, "")</f>
        <v/>
      </c>
      <c r="P770" s="49"/>
      <c r="Q770" s="20" t="str">
        <f>IF($J770=1, DATA_Johnstone_2023_50!P770, "")</f>
        <v/>
      </c>
      <c r="AI770" s="75">
        <v>767</v>
      </c>
      <c r="AJ770" s="75">
        <v>100</v>
      </c>
    </row>
    <row r="771" spans="1:36" hidden="1" x14ac:dyDescent="0.35">
      <c r="A771">
        <v>3839</v>
      </c>
      <c r="B771">
        <v>3840</v>
      </c>
      <c r="C771">
        <v>146.0380289</v>
      </c>
      <c r="D771">
        <v>-17.501079359999999</v>
      </c>
      <c r="F771" t="s">
        <v>7436</v>
      </c>
      <c r="G771" s="1" t="str">
        <f t="shared" si="23"/>
        <v>3840_20240610_0005_L_1719.jpg</v>
      </c>
      <c r="H771">
        <v>5</v>
      </c>
      <c r="I771" t="str">
        <f t="shared" si="22"/>
        <v/>
      </c>
      <c r="J771" s="53">
        <f>IFERROR(VLOOKUP(B771, DATA_Johnstone_2024_ALL!B:J, 8, FALSE), "")</f>
        <v>0</v>
      </c>
      <c r="K771" s="29"/>
      <c r="L771" s="30"/>
      <c r="M771" s="29"/>
      <c r="N771" s="20" t="str">
        <f>IF(J771=1, DATA_Johnstone_2023_50!M771, "")</f>
        <v/>
      </c>
      <c r="O771" s="20" t="str">
        <f>IF($J771=1, DATA_Johnstone_2023_50!N771, "")</f>
        <v/>
      </c>
      <c r="P771" s="49"/>
      <c r="Q771" s="20" t="str">
        <f>IF($J771=1, DATA_Johnstone_2023_50!P771, "")</f>
        <v/>
      </c>
      <c r="AI771" s="75">
        <v>768</v>
      </c>
      <c r="AJ771" s="75">
        <v>100</v>
      </c>
    </row>
    <row r="772" spans="1:36" hidden="1" x14ac:dyDescent="0.35">
      <c r="A772">
        <v>3844</v>
      </c>
      <c r="B772">
        <v>3845</v>
      </c>
      <c r="C772">
        <v>146.03813099999999</v>
      </c>
      <c r="D772">
        <v>-17.50153688</v>
      </c>
      <c r="F772" t="s">
        <v>7437</v>
      </c>
      <c r="G772" s="1" t="str">
        <f t="shared" si="23"/>
        <v>3845_20240610_0005_L_1731.jpg</v>
      </c>
      <c r="H772">
        <v>5</v>
      </c>
      <c r="I772" t="str">
        <f t="shared" si="22"/>
        <v/>
      </c>
      <c r="J772" s="53">
        <f>IFERROR(VLOOKUP(B772, DATA_Johnstone_2024_ALL!B:J, 8, FALSE), "")</f>
        <v>0</v>
      </c>
      <c r="K772" s="29"/>
      <c r="L772" s="30"/>
      <c r="M772" s="29"/>
      <c r="N772" s="20" t="str">
        <f>IF(J772=1, DATA_Johnstone_2023_50!M772, "")</f>
        <v/>
      </c>
      <c r="O772" s="20" t="str">
        <f>IF($J772=1, DATA_Johnstone_2023_50!N772, "")</f>
        <v/>
      </c>
      <c r="P772" s="49"/>
      <c r="Q772" s="20" t="str">
        <f>IF($J772=1, DATA_Johnstone_2023_50!P772, "")</f>
        <v/>
      </c>
      <c r="AI772" s="75">
        <v>769</v>
      </c>
      <c r="AJ772" s="75">
        <v>100</v>
      </c>
    </row>
    <row r="773" spans="1:36" hidden="1" x14ac:dyDescent="0.35">
      <c r="A773">
        <v>3849</v>
      </c>
      <c r="B773">
        <v>3850</v>
      </c>
      <c r="C773">
        <v>146.03818709999999</v>
      </c>
      <c r="D773">
        <v>-17.502004840000001</v>
      </c>
      <c r="F773" t="s">
        <v>7438</v>
      </c>
      <c r="G773" s="1" t="str">
        <f t="shared" ref="G773:G836" si="24">IF(F773="", "", HYPERLINK("E:\Data From Lucan\2024\Johnstone\Frames_for_Analysis_50\" &amp; F773, F773))</f>
        <v>3850_20240610_0005_L_1744.jpg</v>
      </c>
      <c r="H773">
        <v>5</v>
      </c>
      <c r="I773" t="str">
        <f t="shared" ref="I773:I836" si="25">IF(G773="","X","")</f>
        <v/>
      </c>
      <c r="J773" s="53">
        <f>IFERROR(VLOOKUP(B773, DATA_Johnstone_2024_ALL!B:J, 8, FALSE), "")</f>
        <v>0</v>
      </c>
      <c r="K773" s="29"/>
      <c r="L773" s="30"/>
      <c r="M773" s="29"/>
      <c r="N773" s="20" t="str">
        <f>IF(J773=1, DATA_Johnstone_2023_50!M773, "")</f>
        <v/>
      </c>
      <c r="O773" s="20" t="str">
        <f>IF($J773=1, DATA_Johnstone_2023_50!N773, "")</f>
        <v/>
      </c>
      <c r="P773" s="49"/>
      <c r="Q773" s="20" t="str">
        <f>IF($J773=1, DATA_Johnstone_2023_50!P773, "")</f>
        <v/>
      </c>
      <c r="AI773" s="75">
        <v>770</v>
      </c>
      <c r="AJ773" s="75">
        <v>100</v>
      </c>
    </row>
    <row r="774" spans="1:36" hidden="1" x14ac:dyDescent="0.35">
      <c r="A774">
        <v>3854</v>
      </c>
      <c r="B774">
        <v>3855</v>
      </c>
      <c r="C774">
        <v>146.0382759</v>
      </c>
      <c r="D774">
        <v>-17.5024677</v>
      </c>
      <c r="F774" t="s">
        <v>7439</v>
      </c>
      <c r="G774" s="1" t="str">
        <f t="shared" si="24"/>
        <v>3855_20240610_0005_L_1757.jpg</v>
      </c>
      <c r="H774">
        <v>5</v>
      </c>
      <c r="I774" t="str">
        <f t="shared" si="25"/>
        <v/>
      </c>
      <c r="J774" s="53">
        <f>IFERROR(VLOOKUP(B774, DATA_Johnstone_2024_ALL!B:J, 8, FALSE), "")</f>
        <v>0</v>
      </c>
      <c r="K774" s="29"/>
      <c r="L774" s="30"/>
      <c r="M774" s="29"/>
      <c r="N774" s="20" t="str">
        <f>IF(J774=1, DATA_Johnstone_2023_50!M774, "")</f>
        <v/>
      </c>
      <c r="O774" s="20" t="str">
        <f>IF($J774=1, DATA_Johnstone_2023_50!N774, "")</f>
        <v/>
      </c>
      <c r="P774" s="49"/>
      <c r="Q774" s="20" t="str">
        <f>IF($J774=1, DATA_Johnstone_2023_50!P774, "")</f>
        <v/>
      </c>
      <c r="AI774" s="75">
        <v>771</v>
      </c>
      <c r="AJ774" s="75">
        <v>100</v>
      </c>
    </row>
    <row r="775" spans="1:36" hidden="1" x14ac:dyDescent="0.35">
      <c r="A775">
        <v>3859</v>
      </c>
      <c r="B775">
        <v>3860</v>
      </c>
      <c r="C775">
        <v>146.0383473</v>
      </c>
      <c r="D775">
        <v>-17.502932980000001</v>
      </c>
      <c r="F775" t="s">
        <v>7440</v>
      </c>
      <c r="G775" s="1" t="str">
        <f t="shared" si="24"/>
        <v>3860_20240610_0005_L_1772.jpg</v>
      </c>
      <c r="H775">
        <v>5</v>
      </c>
      <c r="I775" t="str">
        <f t="shared" si="25"/>
        <v/>
      </c>
      <c r="J775" s="53">
        <f>IFERROR(VLOOKUP(B775, DATA_Johnstone_2024_ALL!B:J, 8, FALSE), "")</f>
        <v>0</v>
      </c>
      <c r="K775" s="29"/>
      <c r="L775" s="30"/>
      <c r="M775" s="29"/>
      <c r="N775" s="20" t="str">
        <f>IF(J775=1, DATA_Johnstone_2023_50!M775, "")</f>
        <v/>
      </c>
      <c r="O775" s="20" t="str">
        <f>IF($J775=1, DATA_Johnstone_2023_50!N775, "")</f>
        <v/>
      </c>
      <c r="P775" s="49"/>
      <c r="Q775" s="20" t="str">
        <f>IF($J775=1, DATA_Johnstone_2023_50!P775, "")</f>
        <v/>
      </c>
      <c r="AI775" s="75">
        <v>772</v>
      </c>
      <c r="AJ775" s="75">
        <v>100</v>
      </c>
    </row>
    <row r="776" spans="1:36" hidden="1" x14ac:dyDescent="0.35">
      <c r="A776">
        <v>3864</v>
      </c>
      <c r="B776">
        <v>3865</v>
      </c>
      <c r="C776">
        <v>146.0384177</v>
      </c>
      <c r="D776">
        <v>-17.503398870000002</v>
      </c>
      <c r="F776" t="s">
        <v>7441</v>
      </c>
      <c r="G776" s="1" t="str">
        <f t="shared" si="24"/>
        <v>3865_20240610_0005_L_1785.jpg</v>
      </c>
      <c r="H776">
        <v>5</v>
      </c>
      <c r="I776" t="str">
        <f t="shared" si="25"/>
        <v/>
      </c>
      <c r="J776" s="53">
        <f>IFERROR(VLOOKUP(B776, DATA_Johnstone_2024_ALL!B:J, 8, FALSE), "")</f>
        <v>0</v>
      </c>
      <c r="K776" s="29"/>
      <c r="L776" s="30"/>
      <c r="M776" s="29"/>
      <c r="N776" s="20" t="str">
        <f>IF(J776=1, DATA_Johnstone_2023_50!M776, "")</f>
        <v/>
      </c>
      <c r="O776" s="20" t="str">
        <f>IF($J776=1, DATA_Johnstone_2023_50!N776, "")</f>
        <v/>
      </c>
      <c r="P776" s="49"/>
      <c r="Q776" s="20" t="str">
        <f>IF($J776=1, DATA_Johnstone_2023_50!P776, "")</f>
        <v/>
      </c>
      <c r="AI776" s="75">
        <v>773</v>
      </c>
      <c r="AJ776" s="75">
        <v>100</v>
      </c>
    </row>
    <row r="777" spans="1:36" hidden="1" x14ac:dyDescent="0.35">
      <c r="A777">
        <v>3869</v>
      </c>
      <c r="B777">
        <v>3870</v>
      </c>
      <c r="C777">
        <v>146.03851549999999</v>
      </c>
      <c r="D777">
        <v>-17.503857360000001</v>
      </c>
      <c r="F777" t="s">
        <v>7442</v>
      </c>
      <c r="G777" s="1" t="str">
        <f t="shared" si="24"/>
        <v>3870_20240610_0005_L_1799.jpg</v>
      </c>
      <c r="H777">
        <v>5</v>
      </c>
      <c r="I777" t="str">
        <f t="shared" si="25"/>
        <v/>
      </c>
      <c r="J777" s="53">
        <f>IFERROR(VLOOKUP(B777, DATA_Johnstone_2024_ALL!B:J, 8, FALSE), "")</f>
        <v>0</v>
      </c>
      <c r="K777" s="29"/>
      <c r="L777" s="30"/>
      <c r="M777" s="29"/>
      <c r="N777" s="20" t="str">
        <f>IF(J777=1, DATA_Johnstone_2023_50!M777, "")</f>
        <v/>
      </c>
      <c r="O777" s="20" t="str">
        <f>IF($J777=1, DATA_Johnstone_2023_50!N777, "")</f>
        <v/>
      </c>
      <c r="P777" s="49"/>
      <c r="Q777" s="20" t="str">
        <f>IF($J777=1, DATA_Johnstone_2023_50!P777, "")</f>
        <v/>
      </c>
      <c r="AI777" s="75">
        <v>774</v>
      </c>
      <c r="AJ777" s="75">
        <v>100</v>
      </c>
    </row>
    <row r="778" spans="1:36" hidden="1" x14ac:dyDescent="0.35">
      <c r="A778">
        <v>3874</v>
      </c>
      <c r="B778">
        <v>3875</v>
      </c>
      <c r="C778">
        <v>146.03855780000001</v>
      </c>
      <c r="D778">
        <v>-17.50432692</v>
      </c>
      <c r="F778" t="s">
        <v>7443</v>
      </c>
      <c r="G778" s="1" t="str">
        <f t="shared" si="24"/>
        <v>3875_20240610_0005_L_1810.jpg</v>
      </c>
      <c r="H778">
        <v>5</v>
      </c>
      <c r="I778" t="str">
        <f t="shared" si="25"/>
        <v/>
      </c>
      <c r="J778" s="53">
        <f>IFERROR(VLOOKUP(B778, DATA_Johnstone_2024_ALL!B:J, 8, FALSE), "")</f>
        <v>0</v>
      </c>
      <c r="K778" s="29"/>
      <c r="L778" s="30"/>
      <c r="M778" s="29"/>
      <c r="N778" s="20" t="str">
        <f>IF(J778=1, DATA_Johnstone_2023_50!M778, "")</f>
        <v/>
      </c>
      <c r="O778" s="20" t="str">
        <f>IF($J778=1, DATA_Johnstone_2023_50!N778, "")</f>
        <v/>
      </c>
      <c r="P778" s="49"/>
      <c r="Q778" s="20" t="str">
        <f>IF($J778=1, DATA_Johnstone_2023_50!P778, "")</f>
        <v/>
      </c>
      <c r="AI778" s="75">
        <v>775</v>
      </c>
      <c r="AJ778" s="75">
        <v>100</v>
      </c>
    </row>
    <row r="779" spans="1:36" hidden="1" x14ac:dyDescent="0.35">
      <c r="A779">
        <v>3879</v>
      </c>
      <c r="B779">
        <v>3880</v>
      </c>
      <c r="C779">
        <v>146.03859560000001</v>
      </c>
      <c r="D779">
        <v>-17.50479516</v>
      </c>
      <c r="F779" t="s">
        <v>7444</v>
      </c>
      <c r="G779" s="1" t="str">
        <f t="shared" si="24"/>
        <v>3880_20240610_0005_L_1819.jpg</v>
      </c>
      <c r="H779">
        <v>5</v>
      </c>
      <c r="I779" t="str">
        <f t="shared" si="25"/>
        <v/>
      </c>
      <c r="J779" s="53">
        <f>IFERROR(VLOOKUP(B779, DATA_Johnstone_2024_ALL!B:J, 8, FALSE), "")</f>
        <v>0</v>
      </c>
      <c r="K779" s="29"/>
      <c r="L779" s="30"/>
      <c r="M779" s="29"/>
      <c r="N779" s="20" t="str">
        <f>IF(J779=1, DATA_Johnstone_2023_50!M779, "")</f>
        <v/>
      </c>
      <c r="O779" s="20" t="str">
        <f>IF($J779=1, DATA_Johnstone_2023_50!N779, "")</f>
        <v/>
      </c>
      <c r="P779" s="49"/>
      <c r="Q779" s="20" t="str">
        <f>IF($J779=1, DATA_Johnstone_2023_50!P779, "")</f>
        <v/>
      </c>
      <c r="AI779" s="75">
        <v>776</v>
      </c>
      <c r="AJ779" s="75">
        <v>100</v>
      </c>
    </row>
    <row r="780" spans="1:36" hidden="1" x14ac:dyDescent="0.35">
      <c r="A780">
        <v>3884</v>
      </c>
      <c r="B780">
        <v>3885</v>
      </c>
      <c r="C780">
        <v>146.03858020000001</v>
      </c>
      <c r="D780">
        <v>-17.50526017</v>
      </c>
      <c r="F780" t="s">
        <v>7445</v>
      </c>
      <c r="G780" s="1" t="str">
        <f t="shared" si="24"/>
        <v>3885_20240610_0005_L_1830.jpg</v>
      </c>
      <c r="H780">
        <v>5</v>
      </c>
      <c r="I780" t="str">
        <f t="shared" si="25"/>
        <v/>
      </c>
      <c r="J780" s="53">
        <f>IFERROR(VLOOKUP(B780, DATA_Johnstone_2024_ALL!B:J, 8, FALSE), "")</f>
        <v>0</v>
      </c>
      <c r="K780" s="29"/>
      <c r="L780" s="30"/>
      <c r="M780" s="29"/>
      <c r="N780" s="20" t="str">
        <f>IF(J780=1, DATA_Johnstone_2023_50!M780, "")</f>
        <v/>
      </c>
      <c r="O780" s="20" t="str">
        <f>IF($J780=1, DATA_Johnstone_2023_50!N780, "")</f>
        <v/>
      </c>
      <c r="P780" s="49"/>
      <c r="Q780" s="20" t="str">
        <f>IF($J780=1, DATA_Johnstone_2023_50!P780, "")</f>
        <v/>
      </c>
      <c r="AI780" s="75">
        <v>777</v>
      </c>
      <c r="AJ780" s="75">
        <v>100</v>
      </c>
    </row>
    <row r="781" spans="1:36" hidden="1" x14ac:dyDescent="0.35">
      <c r="A781">
        <v>3889</v>
      </c>
      <c r="B781">
        <v>3890</v>
      </c>
      <c r="C781">
        <v>146.03827759999999</v>
      </c>
      <c r="D781">
        <v>-17.505606650000001</v>
      </c>
      <c r="F781" t="s">
        <v>7446</v>
      </c>
      <c r="G781" s="1" t="str">
        <f t="shared" si="24"/>
        <v>3890_20240610_0005_L_1842.jpg</v>
      </c>
      <c r="H781">
        <v>5</v>
      </c>
      <c r="I781" t="str">
        <f t="shared" si="25"/>
        <v/>
      </c>
      <c r="J781" s="53">
        <f>IFERROR(VLOOKUP(B781, DATA_Johnstone_2024_ALL!B:J, 8, FALSE), "")</f>
        <v>0</v>
      </c>
      <c r="K781" s="29"/>
      <c r="L781" s="30"/>
      <c r="M781" s="29"/>
      <c r="N781" s="20" t="str">
        <f>IF(J781=1, DATA_Johnstone_2023_50!M781, "")</f>
        <v/>
      </c>
      <c r="O781" s="20" t="str">
        <f>IF($J781=1, DATA_Johnstone_2023_50!N781, "")</f>
        <v/>
      </c>
      <c r="P781" s="49"/>
      <c r="Q781" s="20" t="str">
        <f>IF($J781=1, DATA_Johnstone_2023_50!P781, "")</f>
        <v/>
      </c>
      <c r="AI781" s="75">
        <v>778</v>
      </c>
      <c r="AJ781" s="75">
        <v>100</v>
      </c>
    </row>
    <row r="782" spans="1:36" hidden="1" x14ac:dyDescent="0.35">
      <c r="A782">
        <v>3894</v>
      </c>
      <c r="B782">
        <v>3895</v>
      </c>
      <c r="C782">
        <v>146.03797900000001</v>
      </c>
      <c r="D782">
        <v>-17.505971370000001</v>
      </c>
      <c r="F782" t="s">
        <v>7447</v>
      </c>
      <c r="G782" s="1" t="str">
        <f t="shared" si="24"/>
        <v>3895_20240610_0005_L_1854.jpg</v>
      </c>
      <c r="H782">
        <v>5</v>
      </c>
      <c r="I782" t="str">
        <f t="shared" si="25"/>
        <v/>
      </c>
      <c r="J782" s="53">
        <f>IFERROR(VLOOKUP(B782, DATA_Johnstone_2024_ALL!B:J, 8, FALSE), "")</f>
        <v>0</v>
      </c>
      <c r="K782" s="29"/>
      <c r="L782" s="30"/>
      <c r="M782" s="29"/>
      <c r="N782" s="20" t="str">
        <f>IF(J782=1, DATA_Johnstone_2023_50!M782, "")</f>
        <v/>
      </c>
      <c r="O782" s="20" t="str">
        <f>IF($J782=1, DATA_Johnstone_2023_50!N782, "")</f>
        <v/>
      </c>
      <c r="P782" s="49"/>
      <c r="Q782" s="20" t="str">
        <f>IF($J782=1, DATA_Johnstone_2023_50!P782, "")</f>
        <v/>
      </c>
      <c r="AI782" s="75">
        <v>779</v>
      </c>
      <c r="AJ782" s="75">
        <v>100</v>
      </c>
    </row>
    <row r="783" spans="1:36" hidden="1" x14ac:dyDescent="0.35">
      <c r="A783">
        <v>3899</v>
      </c>
      <c r="B783">
        <v>3900</v>
      </c>
      <c r="C783">
        <v>146.037702</v>
      </c>
      <c r="D783">
        <v>-17.506352580000001</v>
      </c>
      <c r="F783" t="s">
        <v>7448</v>
      </c>
      <c r="G783" s="1" t="str">
        <f t="shared" si="24"/>
        <v>3900_20240610_0005_L_1867.jpg</v>
      </c>
      <c r="H783">
        <v>5</v>
      </c>
      <c r="I783" t="str">
        <f t="shared" si="25"/>
        <v/>
      </c>
      <c r="J783" s="53">
        <f>IFERROR(VLOOKUP(B783, DATA_Johnstone_2024_ALL!B:J, 8, FALSE), "")</f>
        <v>0</v>
      </c>
      <c r="K783" s="29"/>
      <c r="L783" s="30"/>
      <c r="M783" s="29"/>
      <c r="N783" s="20" t="str">
        <f>IF(J783=1, DATA_Johnstone_2023_50!M783, "")</f>
        <v/>
      </c>
      <c r="O783" s="20" t="str">
        <f>IF($J783=1, DATA_Johnstone_2023_50!N783, "")</f>
        <v/>
      </c>
      <c r="P783" s="49"/>
      <c r="Q783" s="20" t="str">
        <f>IF($J783=1, DATA_Johnstone_2023_50!P783, "")</f>
        <v/>
      </c>
      <c r="AI783" s="75">
        <v>780</v>
      </c>
      <c r="AJ783" s="75">
        <v>100</v>
      </c>
    </row>
    <row r="784" spans="1:36" hidden="1" x14ac:dyDescent="0.35">
      <c r="A784">
        <v>3904</v>
      </c>
      <c r="B784">
        <v>3905</v>
      </c>
      <c r="C784">
        <v>146.0374764</v>
      </c>
      <c r="D784">
        <v>-17.506764239999999</v>
      </c>
      <c r="F784" t="s">
        <v>7449</v>
      </c>
      <c r="G784" s="1" t="str">
        <f t="shared" si="24"/>
        <v>3905_20240610_0005_L_1880.jpg</v>
      </c>
      <c r="H784">
        <v>5</v>
      </c>
      <c r="I784" t="str">
        <f t="shared" si="25"/>
        <v/>
      </c>
      <c r="J784" s="53">
        <f>IFERROR(VLOOKUP(B784, DATA_Johnstone_2024_ALL!B:J, 8, FALSE), "")</f>
        <v>0</v>
      </c>
      <c r="K784" s="29"/>
      <c r="L784" s="30"/>
      <c r="M784" s="29"/>
      <c r="N784" s="20" t="str">
        <f>IF(J784=1, DATA_Johnstone_2023_50!M784, "")</f>
        <v/>
      </c>
      <c r="O784" s="20" t="str">
        <f>IF($J784=1, DATA_Johnstone_2023_50!N784, "")</f>
        <v/>
      </c>
      <c r="P784" s="49"/>
      <c r="Q784" s="20" t="str">
        <f>IF($J784=1, DATA_Johnstone_2023_50!P784, "")</f>
        <v/>
      </c>
      <c r="AI784" s="75">
        <v>781</v>
      </c>
      <c r="AJ784" s="75">
        <v>100</v>
      </c>
    </row>
    <row r="785" spans="1:36" hidden="1" x14ac:dyDescent="0.35">
      <c r="A785">
        <v>3909</v>
      </c>
      <c r="B785">
        <v>3910</v>
      </c>
      <c r="C785">
        <v>146.03719140000001</v>
      </c>
      <c r="D785">
        <v>-17.507136930000001</v>
      </c>
      <c r="F785" t="s">
        <v>7450</v>
      </c>
      <c r="G785" s="1" t="str">
        <f t="shared" si="24"/>
        <v>3910_20240610_0005_L_1894.jpg</v>
      </c>
      <c r="H785">
        <v>5</v>
      </c>
      <c r="I785" t="str">
        <f t="shared" si="25"/>
        <v/>
      </c>
      <c r="J785" s="53">
        <f>IFERROR(VLOOKUP(B785, DATA_Johnstone_2024_ALL!B:J, 8, FALSE), "")</f>
        <v>0</v>
      </c>
      <c r="K785" s="29"/>
      <c r="L785" s="30"/>
      <c r="M785" s="29"/>
      <c r="N785" s="20" t="str">
        <f>IF(J785=1, DATA_Johnstone_2023_50!M785, "")</f>
        <v/>
      </c>
      <c r="O785" s="20" t="str">
        <f>IF($J785=1, DATA_Johnstone_2023_50!N785, "")</f>
        <v/>
      </c>
      <c r="P785" s="49"/>
      <c r="Q785" s="20" t="str">
        <f>IF($J785=1, DATA_Johnstone_2023_50!P785, "")</f>
        <v/>
      </c>
      <c r="AI785" s="75">
        <v>782</v>
      </c>
      <c r="AJ785" s="75">
        <v>100</v>
      </c>
    </row>
    <row r="786" spans="1:36" hidden="1" x14ac:dyDescent="0.35">
      <c r="A786">
        <v>3914</v>
      </c>
      <c r="B786">
        <v>3915</v>
      </c>
      <c r="C786">
        <v>146.03694709999999</v>
      </c>
      <c r="D786">
        <v>-17.507537070000001</v>
      </c>
      <c r="F786" t="s">
        <v>7451</v>
      </c>
      <c r="G786" s="1" t="str">
        <f t="shared" si="24"/>
        <v>3915_20240610_0005_L_1907.jpg</v>
      </c>
      <c r="H786">
        <v>5</v>
      </c>
      <c r="I786" t="str">
        <f t="shared" si="25"/>
        <v/>
      </c>
      <c r="J786" s="53">
        <f>IFERROR(VLOOKUP(B786, DATA_Johnstone_2024_ALL!B:J, 8, FALSE), "")</f>
        <v>0</v>
      </c>
      <c r="K786" s="29"/>
      <c r="L786" s="30"/>
      <c r="M786" s="29"/>
      <c r="N786" s="20" t="str">
        <f>IF(J786=1, DATA_Johnstone_2023_50!M786, "")</f>
        <v/>
      </c>
      <c r="O786" s="20" t="str">
        <f>IF($J786=1, DATA_Johnstone_2023_50!N786, "")</f>
        <v/>
      </c>
      <c r="P786" s="49"/>
      <c r="Q786" s="20" t="str">
        <f>IF($J786=1, DATA_Johnstone_2023_50!P786, "")</f>
        <v/>
      </c>
      <c r="AI786" s="75">
        <v>783</v>
      </c>
      <c r="AJ786" s="75">
        <v>100</v>
      </c>
    </row>
    <row r="787" spans="1:36" hidden="1" x14ac:dyDescent="0.35">
      <c r="A787">
        <v>3919</v>
      </c>
      <c r="B787">
        <v>3920</v>
      </c>
      <c r="C787">
        <v>146.03673280000001</v>
      </c>
      <c r="D787">
        <v>-17.507953090000001</v>
      </c>
      <c r="F787" t="s">
        <v>7452</v>
      </c>
      <c r="G787" s="1" t="str">
        <f t="shared" si="24"/>
        <v>3920_20240610_0005_L_1921.jpg</v>
      </c>
      <c r="H787">
        <v>5</v>
      </c>
      <c r="I787" t="str">
        <f t="shared" si="25"/>
        <v/>
      </c>
      <c r="J787" s="53">
        <f>IFERROR(VLOOKUP(B787, DATA_Johnstone_2024_ALL!B:J, 8, FALSE), "")</f>
        <v>0</v>
      </c>
      <c r="K787" s="29"/>
      <c r="L787" s="30"/>
      <c r="M787" s="29"/>
      <c r="N787" s="20" t="str">
        <f>IF(J787=1, DATA_Johnstone_2023_50!M787, "")</f>
        <v/>
      </c>
      <c r="O787" s="20" t="str">
        <f>IF($J787=1, DATA_Johnstone_2023_50!N787, "")</f>
        <v/>
      </c>
      <c r="P787" s="49"/>
      <c r="Q787" s="20" t="str">
        <f>IF($J787=1, DATA_Johnstone_2023_50!P787, "")</f>
        <v/>
      </c>
      <c r="AI787" s="75">
        <v>784</v>
      </c>
      <c r="AJ787" s="75">
        <v>100</v>
      </c>
    </row>
    <row r="788" spans="1:36" hidden="1" x14ac:dyDescent="0.35">
      <c r="A788">
        <v>3924</v>
      </c>
      <c r="B788">
        <v>3925</v>
      </c>
      <c r="C788">
        <v>146.0365453</v>
      </c>
      <c r="D788">
        <v>-17.508380299999999</v>
      </c>
      <c r="F788" t="s">
        <v>7453</v>
      </c>
      <c r="G788" s="1" t="str">
        <f t="shared" si="24"/>
        <v>3925_20240610_0005_L_1934.jpg</v>
      </c>
      <c r="H788">
        <v>5</v>
      </c>
      <c r="I788" t="str">
        <f t="shared" si="25"/>
        <v/>
      </c>
      <c r="J788" s="53">
        <f>IFERROR(VLOOKUP(B788, DATA_Johnstone_2024_ALL!B:J, 8, FALSE), "")</f>
        <v>0</v>
      </c>
      <c r="K788" s="29"/>
      <c r="L788" s="30"/>
      <c r="M788" s="29"/>
      <c r="N788" s="20" t="str">
        <f>IF(J788=1, DATA_Johnstone_2023_50!M788, "")</f>
        <v/>
      </c>
      <c r="O788" s="20" t="str">
        <f>IF($J788=1, DATA_Johnstone_2023_50!N788, "")</f>
        <v/>
      </c>
      <c r="P788" s="49"/>
      <c r="Q788" s="20" t="str">
        <f>IF($J788=1, DATA_Johnstone_2023_50!P788, "")</f>
        <v/>
      </c>
      <c r="AI788" s="75">
        <v>785</v>
      </c>
      <c r="AJ788" s="75">
        <v>100</v>
      </c>
    </row>
    <row r="789" spans="1:36" hidden="1" x14ac:dyDescent="0.35">
      <c r="A789">
        <v>3929</v>
      </c>
      <c r="B789">
        <v>3930</v>
      </c>
      <c r="C789">
        <v>146.03636159999999</v>
      </c>
      <c r="D789">
        <v>-17.508814539999999</v>
      </c>
      <c r="F789" t="s">
        <v>7454</v>
      </c>
      <c r="G789" s="1" t="str">
        <f t="shared" si="24"/>
        <v>3930_20240610_0005_L_1947.jpg</v>
      </c>
      <c r="H789">
        <v>5</v>
      </c>
      <c r="I789" t="str">
        <f t="shared" si="25"/>
        <v/>
      </c>
      <c r="J789" s="53">
        <f>IFERROR(VLOOKUP(B789, DATA_Johnstone_2024_ALL!B:J, 8, FALSE), "")</f>
        <v>0</v>
      </c>
      <c r="K789" s="29"/>
      <c r="L789" s="30"/>
      <c r="M789" s="29"/>
      <c r="N789" s="20" t="str">
        <f>IF(J789=1, DATA_Johnstone_2023_50!M789, "")</f>
        <v/>
      </c>
      <c r="O789" s="20" t="str">
        <f>IF($J789=1, DATA_Johnstone_2023_50!N789, "")</f>
        <v/>
      </c>
      <c r="P789" s="49"/>
      <c r="Q789" s="20" t="str">
        <f>IF($J789=1, DATA_Johnstone_2023_50!P789, "")</f>
        <v/>
      </c>
      <c r="AI789" s="75">
        <v>786</v>
      </c>
      <c r="AJ789" s="75">
        <v>100</v>
      </c>
    </row>
    <row r="790" spans="1:36" hidden="1" x14ac:dyDescent="0.35">
      <c r="A790">
        <v>3934</v>
      </c>
      <c r="B790">
        <v>3935</v>
      </c>
      <c r="C790">
        <v>146.03623229999999</v>
      </c>
      <c r="D790">
        <v>-17.50926703</v>
      </c>
      <c r="F790" t="s">
        <v>7455</v>
      </c>
      <c r="G790" s="1" t="str">
        <f t="shared" si="24"/>
        <v>3935_20240610_0005_L_1960.jpg</v>
      </c>
      <c r="H790">
        <v>5</v>
      </c>
      <c r="I790" t="str">
        <f t="shared" si="25"/>
        <v/>
      </c>
      <c r="J790" s="53">
        <f>IFERROR(VLOOKUP(B790, DATA_Johnstone_2024_ALL!B:J, 8, FALSE), "")</f>
        <v>0</v>
      </c>
      <c r="K790" s="29"/>
      <c r="L790" s="30"/>
      <c r="M790" s="29"/>
      <c r="N790" s="20" t="str">
        <f>IF(J790=1, DATA_Johnstone_2023_50!M790, "")</f>
        <v/>
      </c>
      <c r="O790" s="20" t="str">
        <f>IF($J790=1, DATA_Johnstone_2023_50!N790, "")</f>
        <v/>
      </c>
      <c r="P790" s="49"/>
      <c r="Q790" s="20" t="str">
        <f>IF($J790=1, DATA_Johnstone_2023_50!P790, "")</f>
        <v/>
      </c>
      <c r="AI790" s="75">
        <v>787</v>
      </c>
      <c r="AJ790" s="75">
        <v>100</v>
      </c>
    </row>
    <row r="791" spans="1:36" hidden="1" x14ac:dyDescent="0.35">
      <c r="A791">
        <v>3939</v>
      </c>
      <c r="B791">
        <v>3940</v>
      </c>
      <c r="C791">
        <v>146.03607769999999</v>
      </c>
      <c r="D791">
        <v>-17.509711790000001</v>
      </c>
      <c r="F791" t="s">
        <v>7456</v>
      </c>
      <c r="G791" s="1" t="str">
        <f t="shared" si="24"/>
        <v>3940_20240610_0005_L_1975.jpg</v>
      </c>
      <c r="H791">
        <v>5</v>
      </c>
      <c r="I791" t="str">
        <f t="shared" si="25"/>
        <v/>
      </c>
      <c r="J791" s="53">
        <f>IFERROR(VLOOKUP(B791, DATA_Johnstone_2024_ALL!B:J, 8, FALSE), "")</f>
        <v>0</v>
      </c>
      <c r="K791" s="29"/>
      <c r="L791" s="30"/>
      <c r="M791" s="29"/>
      <c r="N791" s="20" t="str">
        <f>IF(J791=1, DATA_Johnstone_2023_50!M791, "")</f>
        <v/>
      </c>
      <c r="O791" s="20" t="str">
        <f>IF($J791=1, DATA_Johnstone_2023_50!N791, "")</f>
        <v/>
      </c>
      <c r="P791" s="49"/>
      <c r="Q791" s="20" t="str">
        <f>IF($J791=1, DATA_Johnstone_2023_50!P791, "")</f>
        <v/>
      </c>
      <c r="AI791" s="75">
        <v>788</v>
      </c>
      <c r="AJ791" s="75">
        <v>100</v>
      </c>
    </row>
    <row r="792" spans="1:36" hidden="1" x14ac:dyDescent="0.35">
      <c r="A792">
        <v>3944</v>
      </c>
      <c r="B792">
        <v>3945</v>
      </c>
      <c r="C792">
        <v>146.0358933</v>
      </c>
      <c r="D792">
        <v>-17.510145690000002</v>
      </c>
      <c r="F792" t="s">
        <v>7457</v>
      </c>
      <c r="G792" s="1" t="str">
        <f t="shared" si="24"/>
        <v>3945_20240610_0005_L_1994.jpg</v>
      </c>
      <c r="H792">
        <v>5</v>
      </c>
      <c r="I792" t="str">
        <f t="shared" si="25"/>
        <v/>
      </c>
      <c r="J792" s="53">
        <f>IFERROR(VLOOKUP(B792, DATA_Johnstone_2024_ALL!B:J, 8, FALSE), "")</f>
        <v>0</v>
      </c>
      <c r="K792" s="29"/>
      <c r="L792" s="30"/>
      <c r="M792" s="29"/>
      <c r="N792" s="20" t="str">
        <f>IF(J792=1, DATA_Johnstone_2023_50!M792, "")</f>
        <v/>
      </c>
      <c r="O792" s="20" t="str">
        <f>IF($J792=1, DATA_Johnstone_2023_50!N792, "")</f>
        <v/>
      </c>
      <c r="P792" s="49"/>
      <c r="Q792" s="20" t="str">
        <f>IF($J792=1, DATA_Johnstone_2023_50!P792, "")</f>
        <v/>
      </c>
      <c r="AI792" s="75">
        <v>789</v>
      </c>
      <c r="AJ792" s="75">
        <v>100</v>
      </c>
    </row>
    <row r="793" spans="1:36" hidden="1" x14ac:dyDescent="0.35">
      <c r="A793">
        <v>3949</v>
      </c>
      <c r="B793">
        <v>3950</v>
      </c>
      <c r="C793">
        <v>146.03572550000001</v>
      </c>
      <c r="D793">
        <v>-17.510584860000002</v>
      </c>
      <c r="F793" t="s">
        <v>7458</v>
      </c>
      <c r="G793" s="1" t="str">
        <f t="shared" si="24"/>
        <v>3950_20240610_0005_L_2013.jpg</v>
      </c>
      <c r="H793">
        <v>5</v>
      </c>
      <c r="I793" t="str">
        <f t="shared" si="25"/>
        <v/>
      </c>
      <c r="J793" s="53">
        <f>IFERROR(VLOOKUP(B793, DATA_Johnstone_2024_ALL!B:J, 8, FALSE), "")</f>
        <v>0</v>
      </c>
      <c r="K793" s="29"/>
      <c r="L793" s="30"/>
      <c r="M793" s="29"/>
      <c r="N793" s="20" t="str">
        <f>IF(J793=1, DATA_Johnstone_2023_50!M793, "")</f>
        <v/>
      </c>
      <c r="O793" s="20" t="str">
        <f>IF($J793=1, DATA_Johnstone_2023_50!N793, "")</f>
        <v/>
      </c>
      <c r="P793" s="49"/>
      <c r="Q793" s="20" t="str">
        <f>IF($J793=1, DATA_Johnstone_2023_50!P793, "")</f>
        <v/>
      </c>
      <c r="AI793" s="75">
        <v>790</v>
      </c>
      <c r="AJ793" s="75">
        <v>100</v>
      </c>
    </row>
    <row r="794" spans="1:36" hidden="1" x14ac:dyDescent="0.35">
      <c r="A794">
        <v>3954</v>
      </c>
      <c r="B794">
        <v>3955</v>
      </c>
      <c r="C794">
        <v>146.03545030000001</v>
      </c>
      <c r="D794">
        <v>-17.510965370000001</v>
      </c>
      <c r="F794" t="s">
        <v>7459</v>
      </c>
      <c r="G794" s="1" t="str">
        <f t="shared" si="24"/>
        <v>3955_20240610_0005_L_2032.jpg</v>
      </c>
      <c r="H794">
        <v>5</v>
      </c>
      <c r="I794" t="str">
        <f t="shared" si="25"/>
        <v/>
      </c>
      <c r="J794" s="53">
        <f>IFERROR(VLOOKUP(B794, DATA_Johnstone_2024_ALL!B:J, 8, FALSE), "")</f>
        <v>0</v>
      </c>
      <c r="K794" s="29"/>
      <c r="L794" s="30"/>
      <c r="M794" s="29"/>
      <c r="N794" s="20" t="str">
        <f>IF(J794=1, DATA_Johnstone_2023_50!M794, "")</f>
        <v/>
      </c>
      <c r="O794" s="20" t="str">
        <f>IF($J794=1, DATA_Johnstone_2023_50!N794, "")</f>
        <v/>
      </c>
      <c r="P794" s="49"/>
      <c r="Q794" s="20" t="str">
        <f>IF($J794=1, DATA_Johnstone_2023_50!P794, "")</f>
        <v/>
      </c>
      <c r="AI794" s="75">
        <v>791</v>
      </c>
      <c r="AJ794" s="75">
        <v>100</v>
      </c>
    </row>
    <row r="795" spans="1:36" x14ac:dyDescent="0.35">
      <c r="A795">
        <v>3959</v>
      </c>
      <c r="B795">
        <v>3960</v>
      </c>
      <c r="C795">
        <v>146.03513319999999</v>
      </c>
      <c r="D795">
        <v>-17.51131384</v>
      </c>
      <c r="F795" t="s">
        <v>7460</v>
      </c>
      <c r="G795" s="1" t="str">
        <f t="shared" si="24"/>
        <v>3960_20240610_0005_L_2052.jpg</v>
      </c>
      <c r="H795">
        <v>4</v>
      </c>
      <c r="I795" t="str">
        <f t="shared" si="25"/>
        <v/>
      </c>
      <c r="J795" s="53">
        <f>IFERROR(VLOOKUP(B795, DATA_Johnstone_2024_ALL!B:J, 8, FALSE), "")</f>
        <v>0</v>
      </c>
      <c r="K795" s="29"/>
      <c r="L795" s="30"/>
      <c r="M795" s="29"/>
      <c r="N795" s="20" t="str">
        <f>IF(J795=1, DATA_Johnstone_2023_50!M795, "")</f>
        <v/>
      </c>
      <c r="O795" s="20" t="str">
        <f>IF($J795=1, DATA_Johnstone_2023_50!N795, "")</f>
        <v/>
      </c>
      <c r="P795" s="49"/>
      <c r="Q795" s="20" t="str">
        <f>IF($J795=1, DATA_Johnstone_2023_50!P795, "")</f>
        <v/>
      </c>
      <c r="AI795" s="75">
        <v>792</v>
      </c>
      <c r="AJ795" s="75">
        <v>100</v>
      </c>
    </row>
    <row r="796" spans="1:36" x14ac:dyDescent="0.35">
      <c r="A796">
        <v>3964</v>
      </c>
      <c r="B796">
        <v>3965</v>
      </c>
      <c r="C796">
        <v>146.03483009999999</v>
      </c>
      <c r="D796">
        <v>-17.511674979999999</v>
      </c>
      <c r="F796" t="s">
        <v>7461</v>
      </c>
      <c r="G796" s="1" t="str">
        <f t="shared" si="24"/>
        <v>3965_20240610_0005_L_2078.jpg</v>
      </c>
      <c r="H796">
        <v>4</v>
      </c>
      <c r="I796" t="str">
        <f t="shared" si="25"/>
        <v/>
      </c>
      <c r="J796" s="53">
        <f>IFERROR(VLOOKUP(B796, DATA_Johnstone_2024_ALL!B:J, 8, FALSE), "")</f>
        <v>0</v>
      </c>
      <c r="K796" s="29"/>
      <c r="L796" s="30"/>
      <c r="M796" s="29"/>
      <c r="N796" s="20" t="str">
        <f>IF(J796=1, DATA_Johnstone_2023_50!M796, "")</f>
        <v/>
      </c>
      <c r="O796" s="20" t="str">
        <f>IF($J796=1, DATA_Johnstone_2023_50!N796, "")</f>
        <v/>
      </c>
      <c r="P796" s="49"/>
      <c r="Q796" s="20" t="str">
        <f>IF($J796=1, DATA_Johnstone_2023_50!P796, "")</f>
        <v/>
      </c>
      <c r="AI796" s="75">
        <v>793</v>
      </c>
      <c r="AJ796" s="75">
        <v>100</v>
      </c>
    </row>
    <row r="797" spans="1:36" x14ac:dyDescent="0.35">
      <c r="A797">
        <v>3969</v>
      </c>
      <c r="B797">
        <v>3970</v>
      </c>
      <c r="C797">
        <v>146.0345456</v>
      </c>
      <c r="D797">
        <v>-17.512050940000002</v>
      </c>
      <c r="F797" t="s">
        <v>7462</v>
      </c>
      <c r="G797" s="1" t="str">
        <f t="shared" si="24"/>
        <v>3970_20240610_0005_L_2101.jpg</v>
      </c>
      <c r="H797">
        <v>4</v>
      </c>
      <c r="I797" t="str">
        <f t="shared" si="25"/>
        <v/>
      </c>
      <c r="J797" s="53">
        <f>IFERROR(VLOOKUP(B797, DATA_Johnstone_2024_ALL!B:J, 8, FALSE), "")</f>
        <v>1</v>
      </c>
      <c r="K797" s="29"/>
      <c r="L797" s="30"/>
      <c r="M797" s="29"/>
      <c r="N797" s="20">
        <v>2</v>
      </c>
      <c r="O797" s="20">
        <v>3</v>
      </c>
      <c r="P797" s="49"/>
      <c r="Q797" s="20">
        <v>4</v>
      </c>
      <c r="AI797" s="75">
        <v>794</v>
      </c>
      <c r="AJ797" s="75">
        <v>100</v>
      </c>
    </row>
    <row r="798" spans="1:36" x14ac:dyDescent="0.35">
      <c r="A798">
        <v>3974</v>
      </c>
      <c r="B798">
        <v>3975</v>
      </c>
      <c r="C798">
        <v>146.03419930000001</v>
      </c>
      <c r="D798">
        <v>-17.512357479999999</v>
      </c>
      <c r="F798" t="s">
        <v>7463</v>
      </c>
      <c r="G798" s="1" t="str">
        <f t="shared" si="24"/>
        <v>3975_20240610_0005_L_2116.jpg</v>
      </c>
      <c r="H798">
        <v>4</v>
      </c>
      <c r="I798" t="str">
        <f t="shared" si="25"/>
        <v/>
      </c>
      <c r="J798" s="53">
        <f>IFERROR(VLOOKUP(B798, DATA_Johnstone_2024_ALL!B:J, 8, FALSE), "")</f>
        <v>0</v>
      </c>
      <c r="K798" s="29"/>
      <c r="L798" s="30"/>
      <c r="M798" s="29"/>
      <c r="N798" s="20" t="str">
        <f>IF(J798=1, DATA_Johnstone_2023_50!M798, "")</f>
        <v/>
      </c>
      <c r="O798" s="20" t="str">
        <f>IF($J798=1, DATA_Johnstone_2023_50!N798, "")</f>
        <v/>
      </c>
      <c r="P798" s="49"/>
      <c r="Q798" s="20" t="str">
        <f>IF($J798=1, DATA_Johnstone_2023_50!P798, "")</f>
        <v/>
      </c>
      <c r="AI798" s="75">
        <v>795</v>
      </c>
      <c r="AJ798" s="75">
        <v>100</v>
      </c>
    </row>
    <row r="799" spans="1:36" x14ac:dyDescent="0.35">
      <c r="A799">
        <v>3979</v>
      </c>
      <c r="B799">
        <v>3980</v>
      </c>
      <c r="C799">
        <v>146.03389759999999</v>
      </c>
      <c r="D799">
        <v>-17.512719430000001</v>
      </c>
      <c r="F799" t="s">
        <v>7464</v>
      </c>
      <c r="G799" s="1" t="str">
        <f t="shared" si="24"/>
        <v>3980_20240610_0005_L_2129.jpg</v>
      </c>
      <c r="H799">
        <v>4</v>
      </c>
      <c r="I799" t="str">
        <f t="shared" si="25"/>
        <v/>
      </c>
      <c r="J799" s="53">
        <f>IFERROR(VLOOKUP(B799, DATA_Johnstone_2024_ALL!B:J, 8, FALSE), "")</f>
        <v>0</v>
      </c>
      <c r="K799" s="29"/>
      <c r="L799" s="30"/>
      <c r="M799" s="29"/>
      <c r="N799" s="20" t="str">
        <f>IF(J799=1, DATA_Johnstone_2023_50!M799, "")</f>
        <v/>
      </c>
      <c r="O799" s="20" t="str">
        <f>IF($J799=1, DATA_Johnstone_2023_50!N799, "")</f>
        <v/>
      </c>
      <c r="P799" s="49"/>
      <c r="Q799" s="20" t="str">
        <f>IF($J799=1, DATA_Johnstone_2023_50!P799, "")</f>
        <v/>
      </c>
      <c r="AI799" s="75">
        <v>796</v>
      </c>
      <c r="AJ799" s="75">
        <v>100</v>
      </c>
    </row>
    <row r="800" spans="1:36" x14ac:dyDescent="0.35">
      <c r="A800">
        <v>3984</v>
      </c>
      <c r="B800">
        <v>3985</v>
      </c>
      <c r="C800">
        <v>146.0336332</v>
      </c>
      <c r="D800">
        <v>-17.513109679999999</v>
      </c>
      <c r="F800" t="s">
        <v>7465</v>
      </c>
      <c r="G800" s="1" t="str">
        <f t="shared" si="24"/>
        <v>3985_20240610_0005_L_2142.jpg</v>
      </c>
      <c r="H800">
        <v>4</v>
      </c>
      <c r="I800" t="str">
        <f t="shared" si="25"/>
        <v/>
      </c>
      <c r="J800" s="53">
        <f>IFERROR(VLOOKUP(B800, DATA_Johnstone_2024_ALL!B:J, 8, FALSE), "")</f>
        <v>0</v>
      </c>
      <c r="K800" s="29"/>
      <c r="L800" s="30"/>
      <c r="M800" s="29"/>
      <c r="N800" s="20" t="str">
        <f>IF(J800=1, DATA_Johnstone_2023_50!M800, "")</f>
        <v/>
      </c>
      <c r="O800" s="20" t="str">
        <f>IF($J800=1, DATA_Johnstone_2023_50!N800, "")</f>
        <v/>
      </c>
      <c r="P800" s="49"/>
      <c r="Q800" s="20" t="str">
        <f>IF($J800=1, DATA_Johnstone_2023_50!P800, "")</f>
        <v/>
      </c>
      <c r="AI800" s="75">
        <v>797</v>
      </c>
      <c r="AJ800" s="75">
        <v>100</v>
      </c>
    </row>
    <row r="801" spans="1:36" x14ac:dyDescent="0.35">
      <c r="A801">
        <v>3989</v>
      </c>
      <c r="B801">
        <v>3990</v>
      </c>
      <c r="C801">
        <v>146.03340209999999</v>
      </c>
      <c r="D801">
        <v>-17.51352065</v>
      </c>
      <c r="F801" t="s">
        <v>7466</v>
      </c>
      <c r="G801" s="1" t="str">
        <f t="shared" si="24"/>
        <v>3990_20240610_0005_L_2155.jpg</v>
      </c>
      <c r="H801">
        <v>4</v>
      </c>
      <c r="I801" t="str">
        <f t="shared" si="25"/>
        <v/>
      </c>
      <c r="J801" s="53">
        <f>IFERROR(VLOOKUP(B801, DATA_Johnstone_2024_ALL!B:J, 8, FALSE), "")</f>
        <v>0</v>
      </c>
      <c r="K801" s="29"/>
      <c r="L801" s="30"/>
      <c r="M801" s="29"/>
      <c r="N801" s="20" t="str">
        <f>IF(J801=1, DATA_Johnstone_2023_50!M801, "")</f>
        <v/>
      </c>
      <c r="O801" s="20" t="str">
        <f>IF($J801=1, DATA_Johnstone_2023_50!N801, "")</f>
        <v/>
      </c>
      <c r="P801" s="49"/>
      <c r="Q801" s="20" t="str">
        <f>IF($J801=1, DATA_Johnstone_2023_50!P801, "")</f>
        <v/>
      </c>
      <c r="AI801" s="75">
        <v>798</v>
      </c>
      <c r="AJ801" s="75">
        <v>100</v>
      </c>
    </row>
    <row r="802" spans="1:36" x14ac:dyDescent="0.35">
      <c r="A802">
        <v>3994</v>
      </c>
      <c r="B802">
        <v>3995</v>
      </c>
      <c r="C802">
        <v>146.03318669999999</v>
      </c>
      <c r="D802">
        <v>-17.513939669999999</v>
      </c>
      <c r="F802" t="s">
        <v>7467</v>
      </c>
      <c r="G802" s="1" t="str">
        <f t="shared" si="24"/>
        <v>3995_20240610_0005_L_2168.jpg</v>
      </c>
      <c r="H802">
        <v>4</v>
      </c>
      <c r="I802" t="str">
        <f t="shared" si="25"/>
        <v/>
      </c>
      <c r="J802" s="53">
        <f>IFERROR(VLOOKUP(B802, DATA_Johnstone_2024_ALL!B:J, 8, FALSE), "")</f>
        <v>0</v>
      </c>
      <c r="K802" s="29"/>
      <c r="L802" s="30"/>
      <c r="M802" s="29"/>
      <c r="N802" s="20" t="str">
        <f>IF(J802=1, DATA_Johnstone_2023_50!M802, "")</f>
        <v/>
      </c>
      <c r="O802" s="20" t="str">
        <f>IF($J802=1, DATA_Johnstone_2023_50!N802, "")</f>
        <v/>
      </c>
      <c r="P802" s="49"/>
      <c r="Q802" s="20" t="str">
        <f>IF($J802=1, DATA_Johnstone_2023_50!P802, "")</f>
        <v/>
      </c>
      <c r="AI802" s="75">
        <v>799</v>
      </c>
      <c r="AJ802" s="75">
        <v>100</v>
      </c>
    </row>
    <row r="803" spans="1:36" x14ac:dyDescent="0.35">
      <c r="A803">
        <v>3999</v>
      </c>
      <c r="B803">
        <v>4000</v>
      </c>
      <c r="C803">
        <v>146.03299380000001</v>
      </c>
      <c r="D803">
        <v>-17.51436953</v>
      </c>
      <c r="F803" t="s">
        <v>7468</v>
      </c>
      <c r="G803" s="1" t="str">
        <f t="shared" si="24"/>
        <v>4000_20240610_0005_L_2180.jpg</v>
      </c>
      <c r="H803">
        <v>4</v>
      </c>
      <c r="I803" t="str">
        <f t="shared" si="25"/>
        <v/>
      </c>
      <c r="J803" s="53">
        <f>IFERROR(VLOOKUP(B803, DATA_Johnstone_2024_ALL!B:J, 8, FALSE), "")</f>
        <v>0</v>
      </c>
      <c r="K803" s="29"/>
      <c r="L803" s="30"/>
      <c r="M803" s="29"/>
      <c r="N803" s="20" t="str">
        <f>IF(J803=1, DATA_Johnstone_2023_50!M803, "")</f>
        <v/>
      </c>
      <c r="O803" s="20" t="str">
        <f>IF($J803=1, DATA_Johnstone_2023_50!N803, "")</f>
        <v/>
      </c>
      <c r="P803" s="49"/>
      <c r="Q803" s="20" t="str">
        <f>IF($J803=1, DATA_Johnstone_2023_50!P803, "")</f>
        <v/>
      </c>
      <c r="AI803" s="75">
        <v>800</v>
      </c>
      <c r="AJ803" s="75">
        <v>100</v>
      </c>
    </row>
    <row r="804" spans="1:36" x14ac:dyDescent="0.35">
      <c r="A804">
        <v>4004</v>
      </c>
      <c r="B804">
        <v>4005</v>
      </c>
      <c r="C804">
        <v>146.03289889999999</v>
      </c>
      <c r="D804">
        <v>-17.514830910000001</v>
      </c>
      <c r="F804" t="s">
        <v>7469</v>
      </c>
      <c r="G804" s="1" t="str">
        <f t="shared" si="24"/>
        <v>4005_20240610_0005_L_2192.jpg</v>
      </c>
      <c r="H804">
        <v>4</v>
      </c>
      <c r="I804" t="str">
        <f t="shared" si="25"/>
        <v/>
      </c>
      <c r="J804" s="53">
        <f>IFERROR(VLOOKUP(B804, DATA_Johnstone_2024_ALL!B:J, 8, FALSE), "")</f>
        <v>1</v>
      </c>
      <c r="K804" s="29"/>
      <c r="L804" s="30"/>
      <c r="M804" s="29"/>
      <c r="N804" s="20">
        <f>IF(J804=1, DATA_Johnstone_2023_50!M804, "")</f>
        <v>4</v>
      </c>
      <c r="O804" s="20">
        <f>IF($J804=1, DATA_Johnstone_2023_50!N804, "")</f>
        <v>4</v>
      </c>
      <c r="P804" s="49"/>
      <c r="Q804" s="20">
        <f>IF($J804=1, DATA_Johnstone_2023_50!P804, "")</f>
        <v>4</v>
      </c>
      <c r="AI804" s="75">
        <v>801</v>
      </c>
      <c r="AJ804" s="75">
        <v>100</v>
      </c>
    </row>
    <row r="805" spans="1:36" x14ac:dyDescent="0.35">
      <c r="A805">
        <v>4009</v>
      </c>
      <c r="B805">
        <v>4010</v>
      </c>
      <c r="C805">
        <v>146.0327733</v>
      </c>
      <c r="D805">
        <v>-17.51528351</v>
      </c>
      <c r="F805" t="s">
        <v>7470</v>
      </c>
      <c r="G805" s="1" t="str">
        <f t="shared" si="24"/>
        <v>4010_20240610_0005_L_2205.jpg</v>
      </c>
      <c r="H805">
        <v>4</v>
      </c>
      <c r="I805" t="str">
        <f t="shared" si="25"/>
        <v/>
      </c>
      <c r="J805" s="53">
        <f>IFERROR(VLOOKUP(B805, DATA_Johnstone_2024_ALL!B:J, 8, FALSE), "")</f>
        <v>1</v>
      </c>
      <c r="K805" s="29"/>
      <c r="L805" s="30"/>
      <c r="M805" s="29"/>
      <c r="N805" s="20">
        <v>4</v>
      </c>
      <c r="O805" s="20">
        <f>IF($J805=1, DATA_Johnstone_2023_50!N805, "")</f>
        <v>4</v>
      </c>
      <c r="P805" s="49"/>
      <c r="Q805" s="20">
        <v>3</v>
      </c>
      <c r="AI805" s="75">
        <v>802</v>
      </c>
      <c r="AJ805" s="75">
        <v>100</v>
      </c>
    </row>
    <row r="806" spans="1:36" x14ac:dyDescent="0.35">
      <c r="A806">
        <v>4014</v>
      </c>
      <c r="B806">
        <v>4015</v>
      </c>
      <c r="C806">
        <v>146.03255390000001</v>
      </c>
      <c r="D806">
        <v>-17.515697670000002</v>
      </c>
      <c r="F806" t="s">
        <v>7471</v>
      </c>
      <c r="G806" s="1" t="str">
        <f t="shared" si="24"/>
        <v>4015_20240610_0005_L_2220.jpg</v>
      </c>
      <c r="H806">
        <v>4</v>
      </c>
      <c r="I806" t="str">
        <f t="shared" si="25"/>
        <v/>
      </c>
      <c r="J806" s="53">
        <f>IFERROR(VLOOKUP(B806, DATA_Johnstone_2024_ALL!B:J, 8, FALSE), "")</f>
        <v>1</v>
      </c>
      <c r="K806" s="29"/>
      <c r="L806" s="30"/>
      <c r="M806" s="29"/>
      <c r="N806" s="20">
        <f>IF(J806=1, DATA_Johnstone_2023_50!M806, "")</f>
        <v>4</v>
      </c>
      <c r="O806" s="20">
        <f>IF($J806=1, DATA_Johnstone_2023_50!N806, "")</f>
        <v>4</v>
      </c>
      <c r="P806" s="49"/>
      <c r="Q806" s="20">
        <v>4</v>
      </c>
      <c r="AI806" s="75">
        <v>803</v>
      </c>
      <c r="AJ806" s="75">
        <v>100</v>
      </c>
    </row>
    <row r="807" spans="1:36" x14ac:dyDescent="0.35">
      <c r="A807">
        <v>4019</v>
      </c>
      <c r="B807">
        <v>4020</v>
      </c>
      <c r="C807">
        <v>146.03238289999999</v>
      </c>
      <c r="D807">
        <v>-17.516136840000001</v>
      </c>
      <c r="F807" t="s">
        <v>7472</v>
      </c>
      <c r="G807" s="1" t="str">
        <f t="shared" si="24"/>
        <v>4020_20240610_0005_L_2236.jpg</v>
      </c>
      <c r="H807">
        <v>4</v>
      </c>
      <c r="I807" t="str">
        <f t="shared" si="25"/>
        <v/>
      </c>
      <c r="J807" s="53">
        <f>IFERROR(VLOOKUP(B807, DATA_Johnstone_2024_ALL!B:J, 8, FALSE), "")</f>
        <v>1</v>
      </c>
      <c r="K807" s="29"/>
      <c r="L807" s="30"/>
      <c r="M807" s="29"/>
      <c r="N807" s="20">
        <f>IF(J807=1, DATA_Johnstone_2023_50!M807, "")</f>
        <v>4</v>
      </c>
      <c r="O807" s="20">
        <f>IF($J807=1, DATA_Johnstone_2023_50!N807, "")</f>
        <v>4</v>
      </c>
      <c r="P807" s="49"/>
      <c r="Q807" s="20">
        <v>4</v>
      </c>
      <c r="AI807" s="75">
        <v>804</v>
      </c>
      <c r="AJ807" s="75">
        <v>100</v>
      </c>
    </row>
    <row r="808" spans="1:36" x14ac:dyDescent="0.35">
      <c r="A808">
        <v>4024</v>
      </c>
      <c r="B808">
        <v>4025</v>
      </c>
      <c r="C808">
        <v>146.0322788</v>
      </c>
      <c r="D808">
        <v>-17.51659476</v>
      </c>
      <c r="F808" t="s">
        <v>7473</v>
      </c>
      <c r="G808" s="1" t="str">
        <f t="shared" si="24"/>
        <v>4025_20240610_0005_L_2252.jpg</v>
      </c>
      <c r="H808">
        <v>4</v>
      </c>
      <c r="I808" t="str">
        <f t="shared" si="25"/>
        <v/>
      </c>
      <c r="J808" s="53">
        <f>IFERROR(VLOOKUP(B808, DATA_Johnstone_2024_ALL!B:J, 8, FALSE), "")</f>
        <v>1</v>
      </c>
      <c r="K808" s="29"/>
      <c r="L808" s="30"/>
      <c r="M808" s="29"/>
      <c r="N808" s="20">
        <f>IF(J808=1, DATA_Johnstone_2023_50!M808, "")</f>
        <v>4</v>
      </c>
      <c r="O808" s="20">
        <f>IF($J808=1, DATA_Johnstone_2023_50!N808, "")</f>
        <v>4</v>
      </c>
      <c r="P808" s="49"/>
      <c r="Q808" s="20">
        <v>4</v>
      </c>
      <c r="AI808" s="75">
        <v>805</v>
      </c>
      <c r="AJ808" s="75">
        <v>100</v>
      </c>
    </row>
    <row r="809" spans="1:36" x14ac:dyDescent="0.35">
      <c r="A809">
        <v>4029</v>
      </c>
      <c r="B809">
        <v>4030</v>
      </c>
      <c r="C809">
        <v>146.032241</v>
      </c>
      <c r="D809">
        <v>-17.517063740000001</v>
      </c>
      <c r="F809" t="s">
        <v>7474</v>
      </c>
      <c r="G809" s="1" t="str">
        <f t="shared" si="24"/>
        <v>4030_20240610_0005_L_2267.jpg</v>
      </c>
      <c r="H809">
        <v>4</v>
      </c>
      <c r="I809" t="str">
        <f t="shared" si="25"/>
        <v/>
      </c>
      <c r="J809" s="53">
        <f>IFERROR(VLOOKUP(B809, DATA_Johnstone_2024_ALL!B:J, 8, FALSE), "")</f>
        <v>1</v>
      </c>
      <c r="K809" s="29"/>
      <c r="L809" s="30"/>
      <c r="M809" s="29"/>
      <c r="N809" s="20">
        <f>IF(J809=1, DATA_Johnstone_2023_50!M809, "")</f>
        <v>4</v>
      </c>
      <c r="O809" s="20">
        <f>IF($J809=1, DATA_Johnstone_2023_50!N809, "")</f>
        <v>4</v>
      </c>
      <c r="P809" s="49"/>
      <c r="Q809" s="20">
        <f>IF($J809=1, DATA_Johnstone_2023_50!P809, "")</f>
        <v>4</v>
      </c>
      <c r="AI809" s="75">
        <v>806</v>
      </c>
      <c r="AJ809" s="75">
        <v>100</v>
      </c>
    </row>
    <row r="810" spans="1:36" x14ac:dyDescent="0.35">
      <c r="A810">
        <v>4034</v>
      </c>
      <c r="B810">
        <v>4035</v>
      </c>
      <c r="C810">
        <v>146.03218949999999</v>
      </c>
      <c r="D810">
        <v>-17.517532379999999</v>
      </c>
      <c r="F810" t="s">
        <v>7475</v>
      </c>
      <c r="G810" s="1" t="str">
        <f t="shared" si="24"/>
        <v>4035_20240610_0005_L_2284.jpg</v>
      </c>
      <c r="H810">
        <v>4</v>
      </c>
      <c r="I810" t="str">
        <f t="shared" si="25"/>
        <v/>
      </c>
      <c r="J810" s="53">
        <f>IFERROR(VLOOKUP(B810, DATA_Johnstone_2024_ALL!B:J, 8, FALSE), "")</f>
        <v>1</v>
      </c>
      <c r="K810" s="29"/>
      <c r="L810" s="30"/>
      <c r="M810" s="29"/>
      <c r="N810" s="20">
        <f>IF(J810=1, DATA_Johnstone_2023_50!M810, "")</f>
        <v>4</v>
      </c>
      <c r="O810" s="20">
        <f>IF($J810=1, DATA_Johnstone_2023_50!N810, "")</f>
        <v>4</v>
      </c>
      <c r="P810" s="49"/>
      <c r="Q810" s="20">
        <v>3</v>
      </c>
      <c r="AI810" s="75">
        <v>807</v>
      </c>
      <c r="AJ810" s="75">
        <v>100</v>
      </c>
    </row>
    <row r="811" spans="1:36" x14ac:dyDescent="0.35">
      <c r="A811">
        <v>4039</v>
      </c>
      <c r="B811">
        <v>4040</v>
      </c>
      <c r="C811">
        <v>146.03224650000001</v>
      </c>
      <c r="D811">
        <v>-17.517997359999999</v>
      </c>
      <c r="F811" t="s">
        <v>7476</v>
      </c>
      <c r="G811" s="1" t="str">
        <f t="shared" si="24"/>
        <v>4040_20240610_0005_L_2307.jpg</v>
      </c>
      <c r="H811">
        <v>4</v>
      </c>
      <c r="I811" t="str">
        <f t="shared" si="25"/>
        <v/>
      </c>
      <c r="J811" s="53">
        <f>IFERROR(VLOOKUP(B811, DATA_Johnstone_2024_ALL!B:J, 8, FALSE), "")</f>
        <v>1</v>
      </c>
      <c r="K811" s="29"/>
      <c r="L811" s="30"/>
      <c r="M811" s="29"/>
      <c r="N811" s="20">
        <v>4</v>
      </c>
      <c r="O811" s="20">
        <v>4</v>
      </c>
      <c r="P811" s="49"/>
      <c r="Q811" s="20">
        <v>3</v>
      </c>
      <c r="AI811" s="75">
        <v>808</v>
      </c>
      <c r="AJ811" s="75">
        <v>100</v>
      </c>
    </row>
    <row r="812" spans="1:36" x14ac:dyDescent="0.35">
      <c r="A812">
        <v>4044</v>
      </c>
      <c r="B812">
        <v>4045</v>
      </c>
      <c r="C812">
        <v>146.03242</v>
      </c>
      <c r="D812">
        <v>-17.51843508</v>
      </c>
      <c r="F812" t="s">
        <v>7477</v>
      </c>
      <c r="G812" s="1" t="str">
        <f t="shared" si="24"/>
        <v>4045_20240610_0005_L_2328.jpg</v>
      </c>
      <c r="H812">
        <v>4</v>
      </c>
      <c r="I812" t="str">
        <f t="shared" si="25"/>
        <v/>
      </c>
      <c r="J812" s="53">
        <f>IFERROR(VLOOKUP(B812, DATA_Johnstone_2024_ALL!B:J, 8, FALSE), "")</f>
        <v>0</v>
      </c>
      <c r="K812" s="29"/>
      <c r="L812" s="30"/>
      <c r="M812" s="29"/>
      <c r="N812" s="20" t="str">
        <f>IF(J812=1, DATA_Johnstone_2023_50!M812, "")</f>
        <v/>
      </c>
      <c r="O812" s="20" t="str">
        <f>IF($J812=1, DATA_Johnstone_2023_50!N812, "")</f>
        <v/>
      </c>
      <c r="P812" s="49"/>
      <c r="Q812" s="20" t="str">
        <f>IF($J812=1, DATA_Johnstone_2023_50!P812, "")</f>
        <v/>
      </c>
      <c r="AI812" s="75">
        <v>809</v>
      </c>
      <c r="AJ812" s="75">
        <v>100</v>
      </c>
    </row>
    <row r="813" spans="1:36" x14ac:dyDescent="0.35">
      <c r="A813">
        <v>4049</v>
      </c>
      <c r="B813">
        <v>4050</v>
      </c>
      <c r="C813">
        <v>146.03259919999999</v>
      </c>
      <c r="D813">
        <v>-17.51887069</v>
      </c>
      <c r="F813" t="s">
        <v>7478</v>
      </c>
      <c r="G813" s="1" t="str">
        <f t="shared" si="24"/>
        <v>4050_20240610_0005_L_2360.jpg</v>
      </c>
      <c r="H813">
        <v>4</v>
      </c>
      <c r="I813" t="str">
        <f t="shared" si="25"/>
        <v/>
      </c>
      <c r="J813" s="53">
        <f>IFERROR(VLOOKUP(B813, DATA_Johnstone_2024_ALL!B:J, 8, FALSE), "")</f>
        <v>1</v>
      </c>
      <c r="K813" s="29"/>
      <c r="L813" s="30"/>
      <c r="M813" s="29"/>
      <c r="N813" s="20">
        <v>3</v>
      </c>
      <c r="O813" s="20">
        <f>IF($J813=1, DATA_Johnstone_2023_50!N813, "")</f>
        <v>3</v>
      </c>
      <c r="P813" s="49"/>
      <c r="Q813" s="20">
        <v>2</v>
      </c>
      <c r="AI813" s="75">
        <v>810</v>
      </c>
      <c r="AJ813" s="75">
        <v>100</v>
      </c>
    </row>
    <row r="814" spans="1:36" x14ac:dyDescent="0.35">
      <c r="A814">
        <v>4054</v>
      </c>
      <c r="B814">
        <v>4055</v>
      </c>
      <c r="C814">
        <v>146.03281269999999</v>
      </c>
      <c r="D814">
        <v>-17.519291070000001</v>
      </c>
      <c r="F814" t="s">
        <v>7479</v>
      </c>
      <c r="G814" s="1" t="str">
        <f t="shared" si="24"/>
        <v>4055_20240610_0005_L_2377.jpg</v>
      </c>
      <c r="H814">
        <v>4</v>
      </c>
      <c r="I814" t="str">
        <f t="shared" si="25"/>
        <v/>
      </c>
      <c r="J814" s="53">
        <f>IFERROR(VLOOKUP(B814, DATA_Johnstone_2024_ALL!B:J, 8, FALSE), "")</f>
        <v>1</v>
      </c>
      <c r="K814" s="29"/>
      <c r="L814" s="30"/>
      <c r="M814" s="29"/>
      <c r="N814" s="20">
        <f>IF(J814=1, DATA_Johnstone_2023_50!M814, "")</f>
        <v>2</v>
      </c>
      <c r="O814" s="20">
        <v>2</v>
      </c>
      <c r="P814" s="49"/>
      <c r="Q814" s="20">
        <f>IF($J814=1, DATA_Johnstone_2023_50!P814, "")</f>
        <v>3</v>
      </c>
      <c r="AI814" s="75">
        <v>811</v>
      </c>
      <c r="AJ814" s="75">
        <v>100</v>
      </c>
    </row>
    <row r="815" spans="1:36" x14ac:dyDescent="0.35">
      <c r="A815">
        <v>4059</v>
      </c>
      <c r="B815">
        <v>4060</v>
      </c>
      <c r="C815">
        <v>146.03303940000001</v>
      </c>
      <c r="D815">
        <v>-17.519701699999999</v>
      </c>
      <c r="F815" t="s">
        <v>7480</v>
      </c>
      <c r="G815" s="1" t="str">
        <f t="shared" si="24"/>
        <v>4060_20240610_0005_L_2394.jpg</v>
      </c>
      <c r="H815">
        <v>4</v>
      </c>
      <c r="I815" t="str">
        <f t="shared" si="25"/>
        <v/>
      </c>
      <c r="J815" s="53">
        <f>IFERROR(VLOOKUP(B815, DATA_Johnstone_2024_ALL!B:J, 8, FALSE), "")</f>
        <v>1</v>
      </c>
      <c r="K815" s="29"/>
      <c r="L815" s="30"/>
      <c r="M815" s="29"/>
      <c r="N815" s="20">
        <v>1</v>
      </c>
      <c r="O815" s="20">
        <v>2</v>
      </c>
      <c r="P815" s="49"/>
      <c r="Q815" s="20">
        <f>IF($J815=1, DATA_Johnstone_2023_50!P815, "")</f>
        <v>4</v>
      </c>
      <c r="AI815" s="75">
        <v>812</v>
      </c>
      <c r="AJ815" s="75">
        <v>100</v>
      </c>
    </row>
    <row r="816" spans="1:36" x14ac:dyDescent="0.35">
      <c r="A816">
        <v>4064</v>
      </c>
      <c r="B816">
        <v>4065</v>
      </c>
      <c r="C816">
        <v>146.03329199999999</v>
      </c>
      <c r="D816">
        <v>-17.520094530000001</v>
      </c>
      <c r="F816" t="s">
        <v>7481</v>
      </c>
      <c r="G816" s="1" t="str">
        <f t="shared" si="24"/>
        <v>4065_20240610_0005_L_2416.jpg</v>
      </c>
      <c r="H816">
        <v>4</v>
      </c>
      <c r="I816" t="str">
        <f t="shared" si="25"/>
        <v/>
      </c>
      <c r="J816" s="53">
        <f>IFERROR(VLOOKUP(B816, DATA_Johnstone_2024_ALL!B:J, 8, FALSE), "")</f>
        <v>1</v>
      </c>
      <c r="K816" s="29"/>
      <c r="L816" s="30"/>
      <c r="M816" s="29"/>
      <c r="N816" s="20">
        <v>3</v>
      </c>
      <c r="O816" s="20">
        <f>IF($J816=1, DATA_Johnstone_2023_50!N816, "")</f>
        <v>4</v>
      </c>
      <c r="P816" s="49"/>
      <c r="Q816" s="20">
        <v>3</v>
      </c>
      <c r="AI816" s="75">
        <v>813</v>
      </c>
      <c r="AJ816" s="75">
        <v>100</v>
      </c>
    </row>
    <row r="817" spans="1:36" x14ac:dyDescent="0.35">
      <c r="A817">
        <v>4069</v>
      </c>
      <c r="B817">
        <v>4070</v>
      </c>
      <c r="C817">
        <v>146.03346379999999</v>
      </c>
      <c r="D817">
        <v>-17.520522710000002</v>
      </c>
      <c r="F817" t="s">
        <v>7482</v>
      </c>
      <c r="G817" s="1" t="str">
        <f t="shared" si="24"/>
        <v>4070_20240610_0005_L_2434.jpg</v>
      </c>
      <c r="H817">
        <v>4</v>
      </c>
      <c r="I817" t="str">
        <f t="shared" si="25"/>
        <v/>
      </c>
      <c r="J817" s="53">
        <f>IFERROR(VLOOKUP(B817, DATA_Johnstone_2024_ALL!B:J, 8, FALSE), "")</f>
        <v>0</v>
      </c>
      <c r="K817" s="29"/>
      <c r="L817" s="30"/>
      <c r="M817" s="29"/>
      <c r="N817" s="20" t="str">
        <f>IF(J817=1, DATA_Johnstone_2023_50!M817, "")</f>
        <v/>
      </c>
      <c r="O817" s="20" t="str">
        <f>IF($J817=1, DATA_Johnstone_2023_50!N817, "")</f>
        <v/>
      </c>
      <c r="P817" s="49"/>
      <c r="Q817" s="20" t="str">
        <f>IF($J817=1, DATA_Johnstone_2023_50!P817, "")</f>
        <v/>
      </c>
      <c r="AI817" s="75">
        <v>814</v>
      </c>
      <c r="AJ817" s="75">
        <v>100</v>
      </c>
    </row>
    <row r="818" spans="1:36" x14ac:dyDescent="0.35">
      <c r="A818">
        <v>4074</v>
      </c>
      <c r="B818">
        <v>4075</v>
      </c>
      <c r="C818">
        <v>146.03369789999999</v>
      </c>
      <c r="D818">
        <v>-17.520924130000001</v>
      </c>
      <c r="F818" t="s">
        <v>7483</v>
      </c>
      <c r="G818" s="1" t="str">
        <f t="shared" si="24"/>
        <v>4075_20240610_0005_L_2455.jpg</v>
      </c>
      <c r="H818">
        <v>4</v>
      </c>
      <c r="I818" t="str">
        <f t="shared" si="25"/>
        <v/>
      </c>
      <c r="J818" s="53">
        <f>IFERROR(VLOOKUP(B818, DATA_Johnstone_2024_ALL!B:J, 8, FALSE), "")</f>
        <v>1</v>
      </c>
      <c r="K818" s="29"/>
      <c r="L818" s="30"/>
      <c r="M818" s="29"/>
      <c r="N818" s="20">
        <v>3</v>
      </c>
      <c r="O818" s="20">
        <f>IF($J818=1, DATA_Johnstone_2023_50!N818, "")</f>
        <v>4</v>
      </c>
      <c r="P818" s="49"/>
      <c r="Q818" s="20">
        <f>IF($J818=1, DATA_Johnstone_2023_50!P818, "")</f>
        <v>4</v>
      </c>
      <c r="AI818" s="75">
        <v>815</v>
      </c>
      <c r="AJ818" s="75">
        <v>100</v>
      </c>
    </row>
    <row r="819" spans="1:36" x14ac:dyDescent="0.35">
      <c r="A819">
        <v>4079</v>
      </c>
      <c r="B819">
        <v>4080</v>
      </c>
      <c r="C819">
        <v>146.0339668</v>
      </c>
      <c r="D819">
        <v>-17.521311180000001</v>
      </c>
      <c r="F819" t="s">
        <v>7484</v>
      </c>
      <c r="G819" s="1" t="str">
        <f t="shared" si="24"/>
        <v>4080_20240610_0005_L_2477.jpg</v>
      </c>
      <c r="H819">
        <v>4</v>
      </c>
      <c r="I819" t="str">
        <f t="shared" si="25"/>
        <v/>
      </c>
      <c r="J819" s="53">
        <f>IFERROR(VLOOKUP(B819, DATA_Johnstone_2024_ALL!B:J, 8, FALSE), "")</f>
        <v>1</v>
      </c>
      <c r="K819" s="29"/>
      <c r="L819" s="30"/>
      <c r="M819" s="29"/>
      <c r="N819" s="20">
        <f>IF(J819=1, DATA_Johnstone_2023_50!M819, "")</f>
        <v>3</v>
      </c>
      <c r="O819" s="20">
        <f>IF($J819=1, DATA_Johnstone_2023_50!N819, "")</f>
        <v>4</v>
      </c>
      <c r="P819" s="49"/>
      <c r="Q819" s="20">
        <v>4</v>
      </c>
      <c r="AI819" s="75">
        <v>816</v>
      </c>
      <c r="AJ819" s="75">
        <v>100</v>
      </c>
    </row>
    <row r="820" spans="1:36" x14ac:dyDescent="0.35">
      <c r="A820">
        <v>4084</v>
      </c>
      <c r="B820">
        <v>4085</v>
      </c>
      <c r="C820">
        <v>146.03423280000001</v>
      </c>
      <c r="D820">
        <v>-17.521700060000001</v>
      </c>
      <c r="F820" t="s">
        <v>7485</v>
      </c>
      <c r="G820" s="1" t="str">
        <f t="shared" si="24"/>
        <v>4085_20240610_0005_L_2497.jpg</v>
      </c>
      <c r="H820">
        <v>4</v>
      </c>
      <c r="I820" t="str">
        <f t="shared" si="25"/>
        <v/>
      </c>
      <c r="J820" s="53">
        <f>IFERROR(VLOOKUP(B820, DATA_Johnstone_2024_ALL!B:J, 8, FALSE), "")</f>
        <v>1</v>
      </c>
      <c r="K820" s="29"/>
      <c r="L820" s="30"/>
      <c r="M820" s="29"/>
      <c r="N820" s="20">
        <v>3</v>
      </c>
      <c r="O820" s="20">
        <f>IF($J820=1, DATA_Johnstone_2023_50!N820, "")</f>
        <v>4</v>
      </c>
      <c r="P820" s="49"/>
      <c r="Q820" s="20">
        <v>2</v>
      </c>
      <c r="AI820" s="75">
        <v>817</v>
      </c>
      <c r="AJ820" s="75">
        <v>100</v>
      </c>
    </row>
    <row r="821" spans="1:36" x14ac:dyDescent="0.35">
      <c r="A821">
        <v>4089</v>
      </c>
      <c r="B821">
        <v>4090</v>
      </c>
      <c r="C821">
        <v>146.0345197</v>
      </c>
      <c r="D821">
        <v>-17.5220743</v>
      </c>
      <c r="F821" t="s">
        <v>7486</v>
      </c>
      <c r="G821" s="1" t="str">
        <f t="shared" si="24"/>
        <v>4090_20240610_0005_L_2518.jpg</v>
      </c>
      <c r="H821">
        <v>4</v>
      </c>
      <c r="I821" t="str">
        <f t="shared" si="25"/>
        <v/>
      </c>
      <c r="J821" s="53">
        <f>IFERROR(VLOOKUP(B821, DATA_Johnstone_2024_ALL!B:J, 8, FALSE), "")</f>
        <v>0</v>
      </c>
      <c r="K821" s="29"/>
      <c r="L821" s="30"/>
      <c r="M821" s="29"/>
      <c r="N821" s="20" t="str">
        <f>IF(J821=1, DATA_Johnstone_2023_50!M821, "")</f>
        <v/>
      </c>
      <c r="O821" s="20" t="str">
        <f>IF($J821=1, DATA_Johnstone_2023_50!N821, "")</f>
        <v/>
      </c>
      <c r="P821" s="49"/>
      <c r="Q821" s="20" t="str">
        <f>IF($J821=1, DATA_Johnstone_2023_50!P821, "")</f>
        <v/>
      </c>
      <c r="AI821" s="75">
        <v>818</v>
      </c>
      <c r="AJ821" s="75">
        <v>100</v>
      </c>
    </row>
    <row r="822" spans="1:36" x14ac:dyDescent="0.35">
      <c r="A822">
        <v>4094</v>
      </c>
      <c r="B822">
        <v>4095</v>
      </c>
      <c r="C822">
        <v>146.03480490000001</v>
      </c>
      <c r="D822">
        <v>-17.522449529999999</v>
      </c>
      <c r="F822" t="s">
        <v>7487</v>
      </c>
      <c r="G822" s="1" t="str">
        <f t="shared" si="24"/>
        <v>4095_20240610_0005_L_2539.jpg</v>
      </c>
      <c r="H822">
        <v>4</v>
      </c>
      <c r="I822" t="str">
        <f t="shared" si="25"/>
        <v/>
      </c>
      <c r="J822" s="53">
        <f>IFERROR(VLOOKUP(B822, DATA_Johnstone_2024_ALL!B:J, 8, FALSE), "")</f>
        <v>1</v>
      </c>
      <c r="K822" s="29"/>
      <c r="L822" s="30"/>
      <c r="M822" s="29"/>
      <c r="N822" s="20">
        <f>IF(J822=1, DATA_Johnstone_2023_50!M822, "")</f>
        <v>3</v>
      </c>
      <c r="O822" s="20">
        <v>2</v>
      </c>
      <c r="P822" s="49"/>
      <c r="Q822" s="20">
        <f>IF($J822=1, DATA_Johnstone_2023_50!P822, "")</f>
        <v>4</v>
      </c>
      <c r="AI822" s="75">
        <v>819</v>
      </c>
      <c r="AJ822" s="75">
        <v>100</v>
      </c>
    </row>
    <row r="823" spans="1:36" x14ac:dyDescent="0.35">
      <c r="A823">
        <v>4099</v>
      </c>
      <c r="B823">
        <v>4100</v>
      </c>
      <c r="C823">
        <v>146.03514200000001</v>
      </c>
      <c r="D823">
        <v>-17.522777139999999</v>
      </c>
      <c r="F823" t="s">
        <v>7488</v>
      </c>
      <c r="G823" s="1" t="str">
        <f t="shared" si="24"/>
        <v>4100_20240610_0005_L_2559.jpg</v>
      </c>
      <c r="H823">
        <v>4</v>
      </c>
      <c r="I823" t="str">
        <f t="shared" si="25"/>
        <v/>
      </c>
      <c r="J823" s="53">
        <f>IFERROR(VLOOKUP(B823, DATA_Johnstone_2024_ALL!B:J, 8, FALSE), "")</f>
        <v>1</v>
      </c>
      <c r="K823" s="29"/>
      <c r="L823" s="30"/>
      <c r="M823" s="29"/>
      <c r="N823" s="20">
        <f>IF(J823=1, DATA_Johnstone_2023_50!M823, "")</f>
        <v>3</v>
      </c>
      <c r="O823" s="20">
        <f>IF($J823=1, DATA_Johnstone_2023_50!N823, "")</f>
        <v>4</v>
      </c>
      <c r="P823" s="49"/>
      <c r="Q823" s="20">
        <v>3</v>
      </c>
      <c r="AI823" s="75">
        <v>820</v>
      </c>
      <c r="AJ823" s="75">
        <v>100</v>
      </c>
    </row>
    <row r="824" spans="1:36" x14ac:dyDescent="0.35">
      <c r="A824">
        <v>4104</v>
      </c>
      <c r="B824">
        <v>4105</v>
      </c>
      <c r="C824">
        <v>146.0355328</v>
      </c>
      <c r="D824">
        <v>-17.523033399999999</v>
      </c>
      <c r="F824" t="s">
        <v>7489</v>
      </c>
      <c r="G824" s="1" t="str">
        <f t="shared" si="24"/>
        <v>4105_20240610_0005_L_2588.jpg</v>
      </c>
      <c r="H824">
        <v>4</v>
      </c>
      <c r="I824" t="str">
        <f t="shared" si="25"/>
        <v/>
      </c>
      <c r="J824" s="53">
        <f>IFERROR(VLOOKUP(B824, DATA_Johnstone_2024_ALL!B:J, 8, FALSE), "")</f>
        <v>1</v>
      </c>
      <c r="K824" s="29"/>
      <c r="L824" s="30"/>
      <c r="M824" s="29"/>
      <c r="N824" s="20">
        <f>IF(J824=1, DATA_Johnstone_2023_50!M824, "")</f>
        <v>4</v>
      </c>
      <c r="O824" s="20">
        <f>IF($J824=1, DATA_Johnstone_2023_50!N824, "")</f>
        <v>4</v>
      </c>
      <c r="P824" s="49"/>
      <c r="Q824" s="20">
        <v>3</v>
      </c>
      <c r="AI824" s="75">
        <v>821</v>
      </c>
      <c r="AJ824" s="75">
        <v>100</v>
      </c>
    </row>
    <row r="825" spans="1:36" x14ac:dyDescent="0.35">
      <c r="A825">
        <v>4109</v>
      </c>
      <c r="B825">
        <v>4110</v>
      </c>
      <c r="C825">
        <v>146.03593889999999</v>
      </c>
      <c r="D825">
        <v>-17.52326965</v>
      </c>
      <c r="F825" t="s">
        <v>7490</v>
      </c>
      <c r="G825" s="1" t="str">
        <f t="shared" si="24"/>
        <v>4110_20240610_0005_L_2607.jpg</v>
      </c>
      <c r="H825">
        <v>3</v>
      </c>
      <c r="I825" t="str">
        <f t="shared" si="25"/>
        <v/>
      </c>
      <c r="J825" s="53">
        <f>IFERROR(VLOOKUP(B825, DATA_Johnstone_2024_ALL!B:J, 8, FALSE), "")</f>
        <v>1</v>
      </c>
      <c r="K825" s="29"/>
      <c r="L825" s="30"/>
      <c r="M825" s="29"/>
      <c r="N825" s="20">
        <f>IF(J825=1, DATA_Johnstone_2023_50!M825, "")</f>
        <v>4</v>
      </c>
      <c r="O825" s="20">
        <f>IF($J825=1, DATA_Johnstone_2023_50!N825, "")</f>
        <v>4</v>
      </c>
      <c r="P825" s="49"/>
      <c r="Q825" s="20">
        <f>IF($J825=1, DATA_Johnstone_2023_50!P825, "")</f>
        <v>3</v>
      </c>
      <c r="AI825" s="75">
        <v>822</v>
      </c>
      <c r="AJ825" s="75">
        <v>100</v>
      </c>
    </row>
    <row r="826" spans="1:36" x14ac:dyDescent="0.35">
      <c r="A826">
        <v>4114</v>
      </c>
      <c r="B826">
        <v>4115</v>
      </c>
      <c r="C826">
        <v>146.036339</v>
      </c>
      <c r="D826">
        <v>-17.52351732</v>
      </c>
      <c r="F826" t="s">
        <v>7491</v>
      </c>
      <c r="G826" s="1" t="str">
        <f t="shared" si="24"/>
        <v>4115_20240610_0005_L_2626.jpg</v>
      </c>
      <c r="H826">
        <v>3</v>
      </c>
      <c r="I826" t="str">
        <f t="shared" si="25"/>
        <v/>
      </c>
      <c r="J826" s="53">
        <f>IFERROR(VLOOKUP(B826, DATA_Johnstone_2024_ALL!B:J, 8, FALSE), "")</f>
        <v>1</v>
      </c>
      <c r="K826" s="29"/>
      <c r="L826" s="30"/>
      <c r="M826" s="29"/>
      <c r="N826" s="20">
        <f>IF(J826=1, DATA_Johnstone_2023_50!M826, "")</f>
        <v>4</v>
      </c>
      <c r="O826" s="20">
        <f>IF($J826=1, DATA_Johnstone_2023_50!N826, "")</f>
        <v>4</v>
      </c>
      <c r="P826" s="49"/>
      <c r="Q826" s="20">
        <f>IF($J826=1, DATA_Johnstone_2023_50!P826, "")</f>
        <v>3</v>
      </c>
      <c r="AI826" s="75">
        <v>823</v>
      </c>
      <c r="AJ826" s="75">
        <v>100</v>
      </c>
    </row>
    <row r="827" spans="1:36" x14ac:dyDescent="0.35">
      <c r="A827">
        <v>4119</v>
      </c>
      <c r="B827">
        <v>4120</v>
      </c>
      <c r="C827">
        <v>146.0367899</v>
      </c>
      <c r="D827">
        <v>-17.523644239999999</v>
      </c>
      <c r="F827" t="s">
        <v>7492</v>
      </c>
      <c r="G827" s="1" t="str">
        <f t="shared" si="24"/>
        <v>4120_20240610_0005_L_2646.jpg</v>
      </c>
      <c r="H827">
        <v>3</v>
      </c>
      <c r="I827" t="str">
        <f t="shared" si="25"/>
        <v/>
      </c>
      <c r="J827" s="53">
        <f>IFERROR(VLOOKUP(B827, DATA_Johnstone_2024_ALL!B:J, 8, FALSE), "")</f>
        <v>1</v>
      </c>
      <c r="K827" s="29"/>
      <c r="L827" s="30"/>
      <c r="M827" s="29"/>
      <c r="N827" s="20">
        <f>IF(J827=1, DATA_Johnstone_2023_50!M827, "")</f>
        <v>4</v>
      </c>
      <c r="O827" s="20">
        <f>IF($J827=1, DATA_Johnstone_2023_50!N827, "")</f>
        <v>4</v>
      </c>
      <c r="P827" s="49"/>
      <c r="Q827" s="20">
        <f>IF($J827=1, DATA_Johnstone_2023_50!P827, "")</f>
        <v>3</v>
      </c>
      <c r="AI827" s="75">
        <v>824</v>
      </c>
      <c r="AJ827" s="75">
        <v>100</v>
      </c>
    </row>
    <row r="828" spans="1:36" x14ac:dyDescent="0.35">
      <c r="A828">
        <v>4124</v>
      </c>
      <c r="B828">
        <v>4125</v>
      </c>
      <c r="C828">
        <v>146.0372533</v>
      </c>
      <c r="D828">
        <v>-17.52372338</v>
      </c>
      <c r="F828" t="s">
        <v>7493</v>
      </c>
      <c r="G828" s="1" t="str">
        <f t="shared" si="24"/>
        <v>4125_20240610_0005_L_2664.jpg</v>
      </c>
      <c r="H828">
        <v>3</v>
      </c>
      <c r="I828" t="str">
        <f t="shared" si="25"/>
        <v/>
      </c>
      <c r="J828" s="53">
        <f>IFERROR(VLOOKUP(B828, DATA_Johnstone_2024_ALL!B:J, 8, FALSE), "")</f>
        <v>1</v>
      </c>
      <c r="K828" s="29"/>
      <c r="L828" s="30"/>
      <c r="M828" s="29"/>
      <c r="N828" s="20">
        <f>IF(J828=1, DATA_Johnstone_2023_50!M828, "")</f>
        <v>4</v>
      </c>
      <c r="O828" s="20">
        <v>3</v>
      </c>
      <c r="P828" s="49"/>
      <c r="Q828" s="20">
        <f>IF($J828=1, DATA_Johnstone_2023_50!P828, "")</f>
        <v>4</v>
      </c>
      <c r="AI828" s="75">
        <v>825</v>
      </c>
      <c r="AJ828" s="75">
        <v>100</v>
      </c>
    </row>
    <row r="829" spans="1:36" x14ac:dyDescent="0.35">
      <c r="A829">
        <v>4129</v>
      </c>
      <c r="B829">
        <v>4130</v>
      </c>
      <c r="C829">
        <v>146.03772480000001</v>
      </c>
      <c r="D829">
        <v>-17.523728200000001</v>
      </c>
      <c r="F829" t="s">
        <v>7494</v>
      </c>
      <c r="G829" s="1" t="str">
        <f t="shared" si="24"/>
        <v>4130_20240610_0005_L_2678.jpg</v>
      </c>
      <c r="H829">
        <v>3</v>
      </c>
      <c r="I829" t="str">
        <f t="shared" si="25"/>
        <v/>
      </c>
      <c r="J829" s="53">
        <f>IFERROR(VLOOKUP(B829, DATA_Johnstone_2024_ALL!B:J, 8, FALSE), "")</f>
        <v>1</v>
      </c>
      <c r="K829" s="29"/>
      <c r="L829" s="30"/>
      <c r="M829" s="29"/>
      <c r="N829" s="20">
        <f>IF(J829=1, DATA_Johnstone_2023_50!M829, "")</f>
        <v>4</v>
      </c>
      <c r="O829" s="20">
        <f>IF($J829=1, DATA_Johnstone_2023_50!N829, "")</f>
        <v>4</v>
      </c>
      <c r="P829" s="49"/>
      <c r="Q829" s="20">
        <v>4</v>
      </c>
      <c r="AI829" s="75">
        <v>826</v>
      </c>
      <c r="AJ829" s="75">
        <v>100</v>
      </c>
    </row>
    <row r="830" spans="1:36" x14ac:dyDescent="0.35">
      <c r="A830">
        <v>4134</v>
      </c>
      <c r="B830">
        <v>4135</v>
      </c>
      <c r="C830">
        <v>146.038196</v>
      </c>
      <c r="D830">
        <v>-17.523714649999999</v>
      </c>
      <c r="F830" t="s">
        <v>7495</v>
      </c>
      <c r="G830" s="1" t="str">
        <f t="shared" si="24"/>
        <v>4135_20240610_0005_L_2714.jpg</v>
      </c>
      <c r="H830">
        <v>3</v>
      </c>
      <c r="I830" t="str">
        <f t="shared" si="25"/>
        <v/>
      </c>
      <c r="J830" s="53">
        <f>IFERROR(VLOOKUP(B830, DATA_Johnstone_2024_ALL!B:J, 8, FALSE), "")</f>
        <v>1</v>
      </c>
      <c r="K830" s="29"/>
      <c r="L830" s="30"/>
      <c r="M830" s="29"/>
      <c r="N830" s="20">
        <f>IF(J830=1, DATA_Johnstone_2023_50!M830, "")</f>
        <v>4</v>
      </c>
      <c r="O830" s="20">
        <v>3</v>
      </c>
      <c r="P830" s="49"/>
      <c r="Q830" s="20">
        <v>4</v>
      </c>
      <c r="AI830" s="75">
        <v>827</v>
      </c>
      <c r="AJ830" s="75">
        <v>100</v>
      </c>
    </row>
    <row r="831" spans="1:36" x14ac:dyDescent="0.35">
      <c r="A831">
        <v>4139</v>
      </c>
      <c r="B831">
        <v>4140</v>
      </c>
      <c r="C831">
        <v>146.0386666</v>
      </c>
      <c r="D831">
        <v>-17.52368637</v>
      </c>
      <c r="F831" t="s">
        <v>7496</v>
      </c>
      <c r="G831" s="1" t="str">
        <f t="shared" si="24"/>
        <v>4140_20240610_0005_L_2733.jpg</v>
      </c>
      <c r="H831">
        <v>3</v>
      </c>
      <c r="I831" t="str">
        <f t="shared" si="25"/>
        <v/>
      </c>
      <c r="J831" s="53">
        <f>IFERROR(VLOOKUP(B831, DATA_Johnstone_2024_ALL!B:J, 8, FALSE), "")</f>
        <v>1</v>
      </c>
      <c r="K831" s="29"/>
      <c r="L831" s="30"/>
      <c r="M831" s="29"/>
      <c r="N831" s="20">
        <f>IF(J831=1, DATA_Johnstone_2023_50!M831, "")</f>
        <v>4</v>
      </c>
      <c r="O831" s="20">
        <v>3</v>
      </c>
      <c r="P831" s="49"/>
      <c r="Q831" s="20">
        <v>3</v>
      </c>
      <c r="AI831" s="75">
        <v>828</v>
      </c>
      <c r="AJ831" s="75">
        <v>100</v>
      </c>
    </row>
    <row r="832" spans="1:36" x14ac:dyDescent="0.35">
      <c r="A832">
        <v>4144</v>
      </c>
      <c r="B832">
        <v>4145</v>
      </c>
      <c r="C832">
        <v>146.03913679999999</v>
      </c>
      <c r="D832">
        <v>-17.523650480000001</v>
      </c>
      <c r="F832" t="s">
        <v>7497</v>
      </c>
      <c r="G832" s="1" t="str">
        <f t="shared" si="24"/>
        <v>4145_20240610_0005_L_2747.jpg</v>
      </c>
      <c r="H832">
        <v>3</v>
      </c>
      <c r="I832" t="str">
        <f t="shared" si="25"/>
        <v/>
      </c>
      <c r="J832" s="53">
        <f>IFERROR(VLOOKUP(B832, DATA_Johnstone_2024_ALL!B:J, 8, FALSE), "")</f>
        <v>1</v>
      </c>
      <c r="K832" s="29"/>
      <c r="L832" s="30"/>
      <c r="M832" s="29"/>
      <c r="N832" s="20">
        <f>IF(J832=1, DATA_Johnstone_2023_50!M832, "")</f>
        <v>4</v>
      </c>
      <c r="O832" s="20">
        <f>IF($J832=1, DATA_Johnstone_2023_50!N832, "")</f>
        <v>4</v>
      </c>
      <c r="P832" s="49"/>
      <c r="Q832" s="20">
        <f>IF($J832=1, DATA_Johnstone_2023_50!P832, "")</f>
        <v>4</v>
      </c>
      <c r="AI832" s="75">
        <v>829</v>
      </c>
      <c r="AJ832" s="75">
        <v>100</v>
      </c>
    </row>
    <row r="833" spans="1:36" x14ac:dyDescent="0.35">
      <c r="A833">
        <v>4149</v>
      </c>
      <c r="B833">
        <v>4150</v>
      </c>
      <c r="C833">
        <v>146.03960290000001</v>
      </c>
      <c r="D833">
        <v>-17.523583840000001</v>
      </c>
      <c r="F833" t="s">
        <v>7498</v>
      </c>
      <c r="G833" s="1" t="str">
        <f t="shared" si="24"/>
        <v>4150_20240610_0005_L_2759.jpg</v>
      </c>
      <c r="H833">
        <v>3</v>
      </c>
      <c r="I833" t="str">
        <f t="shared" si="25"/>
        <v/>
      </c>
      <c r="J833" s="53">
        <f>IFERROR(VLOOKUP(B833, DATA_Johnstone_2024_ALL!B:J, 8, FALSE), "")</f>
        <v>1</v>
      </c>
      <c r="K833" s="29"/>
      <c r="L833" s="30"/>
      <c r="M833" s="29"/>
      <c r="N833" s="20">
        <f>IF(J833=1, DATA_Johnstone_2023_50!M833, "")</f>
        <v>4</v>
      </c>
      <c r="O833" s="20">
        <f>IF($J833=1, DATA_Johnstone_2023_50!N833, "")</f>
        <v>4</v>
      </c>
      <c r="P833" s="49"/>
      <c r="Q833" s="20">
        <v>3</v>
      </c>
      <c r="AI833" s="75">
        <v>830</v>
      </c>
      <c r="AJ833" s="75">
        <v>100</v>
      </c>
    </row>
    <row r="834" spans="1:36" x14ac:dyDescent="0.35">
      <c r="A834">
        <v>4154</v>
      </c>
      <c r="B834">
        <v>4155</v>
      </c>
      <c r="C834">
        <v>146.0400664</v>
      </c>
      <c r="D834">
        <v>-17.52349735</v>
      </c>
      <c r="F834" t="s">
        <v>7499</v>
      </c>
      <c r="G834" s="1" t="str">
        <f t="shared" si="24"/>
        <v>4155_20240610_0005_L_2774.jpg</v>
      </c>
      <c r="H834">
        <v>3</v>
      </c>
      <c r="I834" t="str">
        <f t="shared" si="25"/>
        <v/>
      </c>
      <c r="J834" s="53">
        <f>IFERROR(VLOOKUP(B834, DATA_Johnstone_2024_ALL!B:J, 8, FALSE), "")</f>
        <v>1</v>
      </c>
      <c r="K834" s="29"/>
      <c r="L834" s="30"/>
      <c r="M834" s="29"/>
      <c r="N834" s="20">
        <f>IF(J834=1, DATA_Johnstone_2023_50!M834, "")</f>
        <v>4</v>
      </c>
      <c r="O834" s="20">
        <v>3</v>
      </c>
      <c r="P834" s="49"/>
      <c r="Q834" s="20">
        <v>4</v>
      </c>
      <c r="AI834" s="75">
        <v>831</v>
      </c>
      <c r="AJ834" s="75">
        <v>100</v>
      </c>
    </row>
    <row r="835" spans="1:36" x14ac:dyDescent="0.35">
      <c r="A835">
        <v>4159</v>
      </c>
      <c r="B835">
        <v>4160</v>
      </c>
      <c r="C835">
        <v>146.04051609999999</v>
      </c>
      <c r="D835">
        <v>-17.523355609999999</v>
      </c>
      <c r="F835" t="s">
        <v>7500</v>
      </c>
      <c r="G835" s="1" t="str">
        <f t="shared" si="24"/>
        <v>4160_20240610_0005_L_2790.jpg</v>
      </c>
      <c r="H835">
        <v>3</v>
      </c>
      <c r="I835" t="str">
        <f t="shared" si="25"/>
        <v/>
      </c>
      <c r="J835" s="53">
        <f>IFERROR(VLOOKUP(B835, DATA_Johnstone_2024_ALL!B:J, 8, FALSE), "")</f>
        <v>1</v>
      </c>
      <c r="K835" s="29"/>
      <c r="L835" s="30"/>
      <c r="M835" s="29"/>
      <c r="N835" s="20">
        <f>IF(J835=1, DATA_Johnstone_2023_50!M835, "")</f>
        <v>4</v>
      </c>
      <c r="O835" s="20">
        <f>IF($J835=1, DATA_Johnstone_2023_50!N835, "")</f>
        <v>4</v>
      </c>
      <c r="P835" s="49"/>
      <c r="Q835" s="20">
        <v>4</v>
      </c>
      <c r="AI835" s="75">
        <v>832</v>
      </c>
      <c r="AJ835" s="75">
        <v>100</v>
      </c>
    </row>
    <row r="836" spans="1:36" x14ac:dyDescent="0.35">
      <c r="A836">
        <v>4164</v>
      </c>
      <c r="B836">
        <v>4165</v>
      </c>
      <c r="C836">
        <v>146.04096970000001</v>
      </c>
      <c r="D836">
        <v>-17.523227240000001</v>
      </c>
      <c r="F836" t="s">
        <v>7501</v>
      </c>
      <c r="G836" s="1" t="str">
        <f t="shared" si="24"/>
        <v>4165_20240610_0005_L_2805.jpg</v>
      </c>
      <c r="H836">
        <v>3</v>
      </c>
      <c r="I836" t="str">
        <f t="shared" si="25"/>
        <v/>
      </c>
      <c r="J836" s="53">
        <f>IFERROR(VLOOKUP(B836, DATA_Johnstone_2024_ALL!B:J, 8, FALSE), "")</f>
        <v>1</v>
      </c>
      <c r="K836" s="29"/>
      <c r="L836" s="30"/>
      <c r="M836" s="29"/>
      <c r="N836" s="20">
        <f>IF(J836=1, DATA_Johnstone_2023_50!M836, "")</f>
        <v>4</v>
      </c>
      <c r="O836" s="20">
        <f>IF($J836=1, DATA_Johnstone_2023_50!N836, "")</f>
        <v>4</v>
      </c>
      <c r="P836" s="49"/>
      <c r="Q836" s="20">
        <f>IF($J836=1, DATA_Johnstone_2023_50!P836, "")</f>
        <v>4</v>
      </c>
      <c r="AI836" s="75">
        <v>833</v>
      </c>
      <c r="AJ836" s="75">
        <v>100</v>
      </c>
    </row>
    <row r="837" spans="1:36" x14ac:dyDescent="0.35">
      <c r="A837">
        <v>4169</v>
      </c>
      <c r="B837">
        <v>4170</v>
      </c>
      <c r="C837">
        <v>146.0413891</v>
      </c>
      <c r="D837">
        <v>-17.523029520000001</v>
      </c>
      <c r="F837" t="s">
        <v>7502</v>
      </c>
      <c r="G837" s="1" t="str">
        <f t="shared" ref="G837:G900" si="26">IF(F837="", "", HYPERLINK("E:\Data From Lucan\2024\Johnstone\Frames_for_Analysis_50\" &amp; F837, F837))</f>
        <v>4170_20240610_0005_L_2845.jpg</v>
      </c>
      <c r="H837">
        <v>3</v>
      </c>
      <c r="I837" t="str">
        <f t="shared" ref="I837:I900" si="27">IF(G837="","X","")</f>
        <v/>
      </c>
      <c r="J837" s="53">
        <f>IFERROR(VLOOKUP(B837, DATA_Johnstone_2024_ALL!B:J, 8, FALSE), "")</f>
        <v>1</v>
      </c>
      <c r="K837" s="29"/>
      <c r="L837" s="30"/>
      <c r="M837" s="29"/>
      <c r="N837" s="20">
        <v>4</v>
      </c>
      <c r="O837" s="20">
        <v>3</v>
      </c>
      <c r="P837" s="49"/>
      <c r="Q837" s="20">
        <v>4</v>
      </c>
      <c r="AI837" s="75">
        <v>834</v>
      </c>
      <c r="AJ837" s="75">
        <v>100</v>
      </c>
    </row>
    <row r="838" spans="1:36" x14ac:dyDescent="0.35">
      <c r="A838">
        <v>4174</v>
      </c>
      <c r="B838">
        <v>4175</v>
      </c>
      <c r="C838">
        <v>146.04179529999999</v>
      </c>
      <c r="D838">
        <v>-17.522805250000001</v>
      </c>
      <c r="G838" s="1" t="str">
        <f t="shared" si="26"/>
        <v/>
      </c>
      <c r="H838">
        <v>3</v>
      </c>
      <c r="I838" t="str">
        <f t="shared" si="27"/>
        <v>X</v>
      </c>
      <c r="J838" s="53" t="str">
        <f>IFERROR(VLOOKUP(B838, DATA_Johnstone_2024_ALL!B:J, 8, FALSE), "")</f>
        <v>X</v>
      </c>
      <c r="K838" s="29"/>
      <c r="L838" s="30"/>
      <c r="M838" s="29"/>
      <c r="N838" s="20" t="str">
        <f>IF(J838=1, DATA_Johnstone_2023_50!M838, "")</f>
        <v/>
      </c>
      <c r="O838" s="20" t="str">
        <f>IF($J838=1, DATA_Johnstone_2023_50!N838, "")</f>
        <v/>
      </c>
      <c r="P838" s="49"/>
      <c r="Q838" s="20" t="str">
        <f>IF($J838=1, DATA_Johnstone_2023_50!P838, "")</f>
        <v/>
      </c>
      <c r="AI838" s="75">
        <v>835</v>
      </c>
      <c r="AJ838" s="75">
        <v>100</v>
      </c>
    </row>
    <row r="839" spans="1:36" x14ac:dyDescent="0.35">
      <c r="A839">
        <v>4179</v>
      </c>
      <c r="B839">
        <v>4180</v>
      </c>
      <c r="C839">
        <v>146.04192549999999</v>
      </c>
      <c r="D839">
        <v>-17.523423699999999</v>
      </c>
      <c r="G839" s="1" t="str">
        <f t="shared" si="26"/>
        <v/>
      </c>
      <c r="H839">
        <v>3</v>
      </c>
      <c r="I839" t="str">
        <f t="shared" si="27"/>
        <v>X</v>
      </c>
      <c r="J839" s="53" t="str">
        <f>IFERROR(VLOOKUP(B839, DATA_Johnstone_2024_ALL!B:J, 8, FALSE), "")</f>
        <v>X</v>
      </c>
      <c r="K839" s="29"/>
      <c r="L839" s="30"/>
      <c r="M839" s="29"/>
      <c r="N839" s="20" t="str">
        <f>IF(J839=1, DATA_Johnstone_2023_50!M839, "")</f>
        <v/>
      </c>
      <c r="O839" s="20" t="str">
        <f>IF($J839=1, DATA_Johnstone_2023_50!N839, "")</f>
        <v/>
      </c>
      <c r="P839" s="49"/>
      <c r="Q839" s="20" t="str">
        <f>IF($J839=1, DATA_Johnstone_2023_50!P839, "")</f>
        <v/>
      </c>
      <c r="AI839" s="75">
        <v>836</v>
      </c>
      <c r="AJ839" s="75">
        <v>100</v>
      </c>
    </row>
    <row r="840" spans="1:36" x14ac:dyDescent="0.35">
      <c r="A840">
        <v>4184</v>
      </c>
      <c r="B840">
        <v>4185</v>
      </c>
      <c r="C840">
        <v>146.0422303</v>
      </c>
      <c r="D840">
        <v>-17.523654629999999</v>
      </c>
      <c r="F840" t="s">
        <v>7503</v>
      </c>
      <c r="G840" s="1" t="str">
        <f t="shared" si="26"/>
        <v>4185_20240610_0005_L_2872.jpg</v>
      </c>
      <c r="H840">
        <v>3</v>
      </c>
      <c r="I840" t="str">
        <f t="shared" si="27"/>
        <v/>
      </c>
      <c r="J840" s="53">
        <f>IFERROR(VLOOKUP(B840, DATA_Johnstone_2024_ALL!B:J, 8, FALSE), "")</f>
        <v>1</v>
      </c>
      <c r="K840" s="29"/>
      <c r="L840" s="30"/>
      <c r="M840" s="29"/>
      <c r="N840" s="20">
        <v>3</v>
      </c>
      <c r="O840" s="20">
        <f>IF($J840=1, DATA_Johnstone_2023_50!N840, "")</f>
        <v>4</v>
      </c>
      <c r="P840" s="49"/>
      <c r="Q840" s="20">
        <f>IF($J840=1, DATA_Johnstone_2023_50!P840, "")</f>
        <v>4</v>
      </c>
      <c r="AI840" s="75">
        <v>837</v>
      </c>
      <c r="AJ840" s="75">
        <v>100</v>
      </c>
    </row>
    <row r="841" spans="1:36" x14ac:dyDescent="0.35">
      <c r="A841">
        <v>4189</v>
      </c>
      <c r="B841">
        <v>4190</v>
      </c>
      <c r="C841">
        <v>146.0427018</v>
      </c>
      <c r="D841">
        <v>-17.523652940000002</v>
      </c>
      <c r="F841" t="s">
        <v>7504</v>
      </c>
      <c r="G841" s="1" t="str">
        <f t="shared" si="26"/>
        <v>4190_20240610_0005_L_2886.jpg</v>
      </c>
      <c r="H841">
        <v>3</v>
      </c>
      <c r="I841" t="str">
        <f t="shared" si="27"/>
        <v/>
      </c>
      <c r="J841" s="53">
        <f>IFERROR(VLOOKUP(B841, DATA_Johnstone_2024_ALL!B:J, 8, FALSE), "")</f>
        <v>1</v>
      </c>
      <c r="K841" s="29"/>
      <c r="L841" s="30"/>
      <c r="M841" s="29"/>
      <c r="N841" s="20">
        <f>IF(J841=1, DATA_Johnstone_2023_50!M841, "")</f>
        <v>3</v>
      </c>
      <c r="O841" s="20">
        <f>IF($J841=1, DATA_Johnstone_2023_50!N841, "")</f>
        <v>4</v>
      </c>
      <c r="P841" s="49"/>
      <c r="Q841" s="20">
        <f>IF($J841=1, DATA_Johnstone_2023_50!P841, "")</f>
        <v>4</v>
      </c>
      <c r="AI841" s="75">
        <v>838</v>
      </c>
      <c r="AJ841" s="75">
        <v>100</v>
      </c>
    </row>
    <row r="842" spans="1:36" x14ac:dyDescent="0.35">
      <c r="A842">
        <v>4194</v>
      </c>
      <c r="B842">
        <v>4195</v>
      </c>
      <c r="C842">
        <v>146.04317330000001</v>
      </c>
      <c r="D842">
        <v>-17.52364729</v>
      </c>
      <c r="F842" t="s">
        <v>7505</v>
      </c>
      <c r="G842" s="1" t="str">
        <f t="shared" si="26"/>
        <v>4195_20240610_0005_L_2907.jpg</v>
      </c>
      <c r="H842">
        <v>3</v>
      </c>
      <c r="I842" t="str">
        <f t="shared" si="27"/>
        <v/>
      </c>
      <c r="J842" s="53">
        <f>IFERROR(VLOOKUP(B842, DATA_Johnstone_2024_ALL!B:J, 8, FALSE), "")</f>
        <v>1</v>
      </c>
      <c r="K842" s="29"/>
      <c r="L842" s="30"/>
      <c r="M842" s="29"/>
      <c r="N842" s="20">
        <v>1</v>
      </c>
      <c r="O842" s="20">
        <f>IF($J842=1, DATA_Johnstone_2023_50!N842, "")</f>
        <v>4</v>
      </c>
      <c r="P842" s="49"/>
      <c r="Q842" s="20">
        <v>3</v>
      </c>
      <c r="AI842" s="75">
        <v>839</v>
      </c>
      <c r="AJ842" s="75">
        <v>100</v>
      </c>
    </row>
    <row r="843" spans="1:36" x14ac:dyDescent="0.35">
      <c r="A843">
        <v>4199</v>
      </c>
      <c r="B843">
        <v>4200</v>
      </c>
      <c r="C843">
        <v>146.04364000000001</v>
      </c>
      <c r="D843">
        <v>-17.523617739999999</v>
      </c>
      <c r="F843" t="s">
        <v>7506</v>
      </c>
      <c r="G843" s="1" t="str">
        <f t="shared" si="26"/>
        <v>4200_20240610_0005_L_2931.jpg</v>
      </c>
      <c r="H843">
        <v>3</v>
      </c>
      <c r="I843" t="str">
        <f t="shared" si="27"/>
        <v/>
      </c>
      <c r="J843" s="53">
        <f>IFERROR(VLOOKUP(B843, DATA_Johnstone_2024_ALL!B:J, 8, FALSE), "")</f>
        <v>0</v>
      </c>
      <c r="K843" s="29"/>
      <c r="L843" s="30"/>
      <c r="M843" s="29"/>
      <c r="N843" s="20" t="str">
        <f>IF(J843=1, DATA_Johnstone_2023_50!M843, "")</f>
        <v/>
      </c>
      <c r="O843" s="20" t="str">
        <f>IF($J843=1, DATA_Johnstone_2023_50!N843, "")</f>
        <v/>
      </c>
      <c r="P843" s="49"/>
      <c r="Q843" s="20" t="str">
        <f>IF($J843=1, DATA_Johnstone_2023_50!P843, "")</f>
        <v/>
      </c>
      <c r="AI843" s="75">
        <v>840</v>
      </c>
      <c r="AJ843" s="75">
        <v>100</v>
      </c>
    </row>
    <row r="844" spans="1:36" x14ac:dyDescent="0.35">
      <c r="A844">
        <v>4204</v>
      </c>
      <c r="B844">
        <v>4205</v>
      </c>
      <c r="C844">
        <v>146.04410920000001</v>
      </c>
      <c r="D844">
        <v>-17.523572739999999</v>
      </c>
      <c r="F844" t="s">
        <v>7507</v>
      </c>
      <c r="G844" s="1" t="str">
        <f t="shared" si="26"/>
        <v>4205_20240610_0005_L_2949.jpg</v>
      </c>
      <c r="H844">
        <v>3</v>
      </c>
      <c r="I844" t="str">
        <f t="shared" si="27"/>
        <v/>
      </c>
      <c r="J844" s="53">
        <f>IFERROR(VLOOKUP(B844, DATA_Johnstone_2024_ALL!B:J, 8, FALSE), "")</f>
        <v>1</v>
      </c>
      <c r="K844" s="29"/>
      <c r="L844" s="30"/>
      <c r="M844" s="29"/>
      <c r="N844" s="20">
        <f>IF(J844=1, DATA_Johnstone_2023_50!M844, "")</f>
        <v>4</v>
      </c>
      <c r="O844" s="20">
        <f>IF($J844=1, DATA_Johnstone_2023_50!N844, "")</f>
        <v>4</v>
      </c>
      <c r="P844" s="49"/>
      <c r="Q844" s="20">
        <f>IF($J844=1, DATA_Johnstone_2023_50!P844, "")</f>
        <v>3</v>
      </c>
      <c r="AI844" s="75">
        <v>841</v>
      </c>
      <c r="AJ844" s="75">
        <v>100</v>
      </c>
    </row>
    <row r="845" spans="1:36" x14ac:dyDescent="0.35">
      <c r="A845">
        <v>4209</v>
      </c>
      <c r="B845">
        <v>4210</v>
      </c>
      <c r="C845">
        <v>146.04457550000001</v>
      </c>
      <c r="D845">
        <v>-17.523504970000001</v>
      </c>
      <c r="F845" t="s">
        <v>7508</v>
      </c>
      <c r="G845" s="1" t="str">
        <f t="shared" si="26"/>
        <v>4210_20240610_0005_L_2966.jpg</v>
      </c>
      <c r="H845">
        <v>3</v>
      </c>
      <c r="I845" t="str">
        <f t="shared" si="27"/>
        <v/>
      </c>
      <c r="J845" s="53">
        <f>IFERROR(VLOOKUP(B845, DATA_Johnstone_2024_ALL!B:J, 8, FALSE), "")</f>
        <v>1</v>
      </c>
      <c r="K845" s="29"/>
      <c r="L845" s="30"/>
      <c r="M845" s="29"/>
      <c r="N845" s="20">
        <v>1</v>
      </c>
      <c r="O845" s="20">
        <f>IF($J845=1, DATA_Johnstone_2023_50!N845, "")</f>
        <v>4</v>
      </c>
      <c r="P845" s="49"/>
      <c r="Q845" s="20">
        <f>IF($J845=1, DATA_Johnstone_2023_50!P845, "")</f>
        <v>4</v>
      </c>
      <c r="AI845" s="75">
        <v>842</v>
      </c>
      <c r="AJ845" s="75">
        <v>100</v>
      </c>
    </row>
    <row r="846" spans="1:36" x14ac:dyDescent="0.35">
      <c r="A846">
        <v>4214</v>
      </c>
      <c r="B846">
        <v>4215</v>
      </c>
      <c r="C846">
        <v>146.0450371</v>
      </c>
      <c r="D846">
        <v>-17.523408880000002</v>
      </c>
      <c r="F846" t="s">
        <v>7509</v>
      </c>
      <c r="G846" s="1" t="str">
        <f t="shared" si="26"/>
        <v>4215_20240610_0005_L_2984.jpg</v>
      </c>
      <c r="H846">
        <v>3</v>
      </c>
      <c r="I846" t="str">
        <f t="shared" si="27"/>
        <v/>
      </c>
      <c r="J846" s="53">
        <f>IFERROR(VLOOKUP(B846, DATA_Johnstone_2024_ALL!B:J, 8, FALSE), "")</f>
        <v>1</v>
      </c>
      <c r="K846" s="29"/>
      <c r="L846" s="30"/>
      <c r="M846" s="29"/>
      <c r="N846" s="20">
        <f>IF(J846=1, DATA_Johnstone_2023_50!M846, "")</f>
        <v>4</v>
      </c>
      <c r="O846" s="20">
        <f>IF($J846=1, DATA_Johnstone_2023_50!N846, "")</f>
        <v>4</v>
      </c>
      <c r="P846" s="49"/>
      <c r="Q846" s="20">
        <v>3</v>
      </c>
      <c r="AI846" s="75">
        <v>843</v>
      </c>
      <c r="AJ846" s="75">
        <v>100</v>
      </c>
    </row>
    <row r="847" spans="1:36" x14ac:dyDescent="0.35">
      <c r="A847">
        <v>4219</v>
      </c>
      <c r="B847">
        <v>4220</v>
      </c>
      <c r="C847">
        <v>146.0454972</v>
      </c>
      <c r="D847">
        <v>-17.523305929999999</v>
      </c>
      <c r="F847" t="s">
        <v>7510</v>
      </c>
      <c r="G847" s="1" t="str">
        <f t="shared" si="26"/>
        <v>4220_20240610_0005_L_3001.jpg</v>
      </c>
      <c r="H847">
        <v>3</v>
      </c>
      <c r="I847" t="str">
        <f t="shared" si="27"/>
        <v/>
      </c>
      <c r="J847" s="53">
        <f>IFERROR(VLOOKUP(B847, DATA_Johnstone_2024_ALL!B:J, 8, FALSE), "")</f>
        <v>1</v>
      </c>
      <c r="K847" s="29"/>
      <c r="L847" s="30"/>
      <c r="M847" s="29"/>
      <c r="N847" s="20">
        <f>IF(J847=1, DATA_Johnstone_2023_50!M847, "")</f>
        <v>4</v>
      </c>
      <c r="O847" s="20">
        <f>IF($J847=1, DATA_Johnstone_2023_50!N847, "")</f>
        <v>4</v>
      </c>
      <c r="P847" s="49"/>
      <c r="Q847" s="20">
        <v>3</v>
      </c>
      <c r="AI847" s="75">
        <v>844</v>
      </c>
      <c r="AJ847" s="75">
        <v>100</v>
      </c>
    </row>
    <row r="848" spans="1:36" x14ac:dyDescent="0.35">
      <c r="A848">
        <v>4224</v>
      </c>
      <c r="B848">
        <v>4225</v>
      </c>
      <c r="C848">
        <v>146.04595660000001</v>
      </c>
      <c r="D848">
        <v>-17.523199429999998</v>
      </c>
      <c r="F848" t="s">
        <v>7511</v>
      </c>
      <c r="G848" s="1" t="str">
        <f t="shared" si="26"/>
        <v>4225_20240610_0005_L_3018.jpg</v>
      </c>
      <c r="H848">
        <v>3</v>
      </c>
      <c r="I848" t="str">
        <f t="shared" si="27"/>
        <v/>
      </c>
      <c r="J848" s="53">
        <f>IFERROR(VLOOKUP(B848, DATA_Johnstone_2024_ALL!B:J, 8, FALSE), "")</f>
        <v>1</v>
      </c>
      <c r="K848" s="29"/>
      <c r="L848" s="30"/>
      <c r="M848" s="29"/>
      <c r="N848" s="20">
        <v>3</v>
      </c>
      <c r="O848" s="20">
        <v>3</v>
      </c>
      <c r="P848" s="49"/>
      <c r="Q848" s="20">
        <v>3</v>
      </c>
      <c r="AI848" s="75">
        <v>845</v>
      </c>
      <c r="AJ848" s="75">
        <v>100</v>
      </c>
    </row>
    <row r="849" spans="1:36" x14ac:dyDescent="0.35">
      <c r="A849">
        <v>4229</v>
      </c>
      <c r="B849">
        <v>4230</v>
      </c>
      <c r="C849">
        <v>146.046414</v>
      </c>
      <c r="D849">
        <v>-17.523085349999999</v>
      </c>
      <c r="F849" t="s">
        <v>7512</v>
      </c>
      <c r="G849" s="1" t="str">
        <f t="shared" si="26"/>
        <v>4230_20240610_0005_L_3037.jpg</v>
      </c>
      <c r="H849">
        <v>3</v>
      </c>
      <c r="I849" t="str">
        <f t="shared" si="27"/>
        <v/>
      </c>
      <c r="J849" s="53">
        <f>IFERROR(VLOOKUP(B849, DATA_Johnstone_2024_ALL!B:J, 8, FALSE), "")</f>
        <v>1</v>
      </c>
      <c r="K849" s="29"/>
      <c r="L849" s="30"/>
      <c r="M849" s="29"/>
      <c r="N849" s="20">
        <f>IF(J849=1, DATA_Johnstone_2023_50!M849, "")</f>
        <v>4</v>
      </c>
      <c r="O849" s="20">
        <f>IF($J849=1, DATA_Johnstone_2023_50!N849, "")</f>
        <v>4</v>
      </c>
      <c r="P849" s="49"/>
      <c r="Q849" s="20">
        <v>3</v>
      </c>
      <c r="AI849" s="75">
        <v>846</v>
      </c>
      <c r="AJ849" s="75">
        <v>100</v>
      </c>
    </row>
    <row r="850" spans="1:36" x14ac:dyDescent="0.35">
      <c r="A850">
        <v>4234</v>
      </c>
      <c r="B850">
        <v>4235</v>
      </c>
      <c r="C850">
        <v>146.04687050000001</v>
      </c>
      <c r="D850">
        <v>-17.522967080000001</v>
      </c>
      <c r="F850" t="s">
        <v>7513</v>
      </c>
      <c r="G850" s="1" t="str">
        <f t="shared" si="26"/>
        <v>4235_20240610_0005_L_3056.jpg</v>
      </c>
      <c r="H850">
        <v>3</v>
      </c>
      <c r="I850" t="str">
        <f t="shared" si="27"/>
        <v/>
      </c>
      <c r="J850" s="53">
        <f>IFERROR(VLOOKUP(B850, DATA_Johnstone_2024_ALL!B:J, 8, FALSE), "")</f>
        <v>1</v>
      </c>
      <c r="K850" s="29"/>
      <c r="L850" s="30"/>
      <c r="M850" s="29"/>
      <c r="N850" s="20">
        <f>IF(J850=1, DATA_Johnstone_2023_50!M850, "")</f>
        <v>4</v>
      </c>
      <c r="O850" s="20">
        <v>3</v>
      </c>
      <c r="P850" s="49"/>
      <c r="Q850" s="20">
        <v>4</v>
      </c>
      <c r="AI850" s="75">
        <v>847</v>
      </c>
      <c r="AJ850" s="75">
        <v>100</v>
      </c>
    </row>
    <row r="851" spans="1:36" x14ac:dyDescent="0.35">
      <c r="A851">
        <v>4239</v>
      </c>
      <c r="B851">
        <v>4240</v>
      </c>
      <c r="C851">
        <v>146.0473235</v>
      </c>
      <c r="D851">
        <v>-17.522836689999998</v>
      </c>
      <c r="F851" t="s">
        <v>7514</v>
      </c>
      <c r="G851" s="1" t="str">
        <f t="shared" si="26"/>
        <v>4240_20240610_0005_L_3078.jpg</v>
      </c>
      <c r="H851">
        <v>3</v>
      </c>
      <c r="I851" t="str">
        <f t="shared" si="27"/>
        <v/>
      </c>
      <c r="J851" s="53">
        <f>IFERROR(VLOOKUP(B851, DATA_Johnstone_2024_ALL!B:J, 8, FALSE), "")</f>
        <v>1</v>
      </c>
      <c r="K851" s="29"/>
      <c r="L851" s="30"/>
      <c r="M851" s="29"/>
      <c r="N851" s="20">
        <f>IF(J851=1, DATA_Johnstone_2023_50!M851, "")</f>
        <v>4</v>
      </c>
      <c r="O851" s="20">
        <f>IF($J851=1, DATA_Johnstone_2023_50!N851, "")</f>
        <v>4</v>
      </c>
      <c r="P851" s="49"/>
      <c r="Q851" s="20">
        <v>2</v>
      </c>
      <c r="AI851" s="75">
        <v>848</v>
      </c>
      <c r="AJ851" s="75">
        <v>100</v>
      </c>
    </row>
    <row r="852" spans="1:36" x14ac:dyDescent="0.35">
      <c r="A852">
        <v>4244</v>
      </c>
      <c r="B852">
        <v>4245</v>
      </c>
      <c r="C852">
        <v>146.04777350000001</v>
      </c>
      <c r="D852">
        <v>-17.522696289999999</v>
      </c>
      <c r="F852" t="s">
        <v>7515</v>
      </c>
      <c r="G852" s="1" t="str">
        <f t="shared" si="26"/>
        <v>4245_20240610_0005_L_3097.jpg</v>
      </c>
      <c r="H852">
        <v>3</v>
      </c>
      <c r="I852" t="str">
        <f t="shared" si="27"/>
        <v/>
      </c>
      <c r="J852" s="53">
        <f>IFERROR(VLOOKUP(B852, DATA_Johnstone_2024_ALL!B:J, 8, FALSE), "")</f>
        <v>1</v>
      </c>
      <c r="K852" s="29"/>
      <c r="L852" s="30"/>
      <c r="M852" s="29"/>
      <c r="N852" s="20">
        <f>IF(J852=1, DATA_Johnstone_2023_50!M852, "")</f>
        <v>4</v>
      </c>
      <c r="O852" s="20">
        <f>IF($J852=1, DATA_Johnstone_2023_50!N852, "")</f>
        <v>4</v>
      </c>
      <c r="P852" s="49"/>
      <c r="Q852" s="20">
        <v>4</v>
      </c>
      <c r="AI852" s="75">
        <v>849</v>
      </c>
      <c r="AJ852" s="75">
        <v>100</v>
      </c>
    </row>
    <row r="853" spans="1:36" x14ac:dyDescent="0.35">
      <c r="A853">
        <v>4249</v>
      </c>
      <c r="B853">
        <v>4250</v>
      </c>
      <c r="C853">
        <v>146.04820699999999</v>
      </c>
      <c r="D853">
        <v>-17.522510740000001</v>
      </c>
      <c r="F853" t="s">
        <v>7516</v>
      </c>
      <c r="G853" s="1" t="str">
        <f t="shared" si="26"/>
        <v>4250_20240610_0005_L_3117.jpg</v>
      </c>
      <c r="H853">
        <v>3</v>
      </c>
      <c r="I853" t="str">
        <f t="shared" si="27"/>
        <v/>
      </c>
      <c r="J853" s="53">
        <f>IFERROR(VLOOKUP(B853, DATA_Johnstone_2024_ALL!B:J, 8, FALSE), "")</f>
        <v>1</v>
      </c>
      <c r="K853" s="29"/>
      <c r="L853" s="30"/>
      <c r="M853" s="29"/>
      <c r="N853" s="20">
        <v>4</v>
      </c>
      <c r="O853" s="20">
        <v>3</v>
      </c>
      <c r="P853" s="49"/>
      <c r="Q853" s="20">
        <v>3</v>
      </c>
      <c r="AI853" s="75">
        <v>850</v>
      </c>
      <c r="AJ853" s="75">
        <v>100</v>
      </c>
    </row>
    <row r="854" spans="1:36" x14ac:dyDescent="0.35">
      <c r="A854">
        <v>4254</v>
      </c>
      <c r="B854">
        <v>4255</v>
      </c>
      <c r="C854">
        <v>146.0486161</v>
      </c>
      <c r="D854">
        <v>-17.522279090000001</v>
      </c>
      <c r="F854" t="s">
        <v>7517</v>
      </c>
      <c r="G854" s="1" t="str">
        <f t="shared" si="26"/>
        <v>4255_20240610_0005_L_3138.jpg</v>
      </c>
      <c r="H854">
        <v>3</v>
      </c>
      <c r="I854" t="str">
        <f t="shared" si="27"/>
        <v/>
      </c>
      <c r="J854" s="53">
        <f>IFERROR(VLOOKUP(B854, DATA_Johnstone_2024_ALL!B:J, 8, FALSE), "")</f>
        <v>1</v>
      </c>
      <c r="K854" s="29"/>
      <c r="L854" s="30"/>
      <c r="M854" s="29"/>
      <c r="N854" s="20">
        <v>4</v>
      </c>
      <c r="O854" s="20">
        <v>3</v>
      </c>
      <c r="P854" s="49"/>
      <c r="Q854" s="20">
        <v>1</v>
      </c>
      <c r="AI854" s="75">
        <v>851</v>
      </c>
      <c r="AJ854" s="75">
        <v>100</v>
      </c>
    </row>
    <row r="855" spans="1:36" x14ac:dyDescent="0.35">
      <c r="A855">
        <v>4259</v>
      </c>
      <c r="B855">
        <v>4260</v>
      </c>
      <c r="C855">
        <v>146.04838430000001</v>
      </c>
      <c r="D855">
        <v>-17.521955649999999</v>
      </c>
      <c r="G855" s="1" t="str">
        <f t="shared" si="26"/>
        <v/>
      </c>
      <c r="H855">
        <v>3</v>
      </c>
      <c r="I855" t="str">
        <f t="shared" si="27"/>
        <v>X</v>
      </c>
      <c r="J855" s="53" t="str">
        <f>IFERROR(VLOOKUP(B855, DATA_Johnstone_2024_ALL!B:J, 8, FALSE), "")</f>
        <v>X</v>
      </c>
      <c r="K855" s="29"/>
      <c r="L855" s="30"/>
      <c r="M855" s="29"/>
      <c r="N855" s="20" t="str">
        <f>IF(J855=1, DATA_Johnstone_2023_50!M855, "")</f>
        <v/>
      </c>
      <c r="O855" s="20" t="str">
        <f>IF($J855=1, DATA_Johnstone_2023_50!N855, "")</f>
        <v/>
      </c>
      <c r="P855" s="49"/>
      <c r="Q855" s="20" t="str">
        <f>IF($J855=1, DATA_Johnstone_2023_50!P855, "")</f>
        <v/>
      </c>
      <c r="AI855" s="75">
        <v>852</v>
      </c>
      <c r="AJ855" s="75">
        <v>100</v>
      </c>
    </row>
    <row r="856" spans="1:36" x14ac:dyDescent="0.35">
      <c r="A856">
        <v>4264</v>
      </c>
      <c r="B856">
        <v>4265</v>
      </c>
      <c r="C856">
        <v>146.04800090000001</v>
      </c>
      <c r="D856">
        <v>-17.52168692</v>
      </c>
      <c r="G856" s="1" t="str">
        <f t="shared" si="26"/>
        <v/>
      </c>
      <c r="H856">
        <v>3</v>
      </c>
      <c r="I856" t="str">
        <f t="shared" si="27"/>
        <v>X</v>
      </c>
      <c r="J856" s="53" t="str">
        <f>IFERROR(VLOOKUP(B856, DATA_Johnstone_2024_ALL!B:J, 8, FALSE), "")</f>
        <v>X</v>
      </c>
      <c r="K856" s="29"/>
      <c r="L856" s="30"/>
      <c r="M856" s="29"/>
      <c r="N856" s="20" t="str">
        <f>IF(J856=1, DATA_Johnstone_2023_50!M856, "")</f>
        <v/>
      </c>
      <c r="O856" s="20" t="str">
        <f>IF($J856=1, DATA_Johnstone_2023_50!N856, "")</f>
        <v/>
      </c>
      <c r="P856" s="49"/>
      <c r="Q856" s="20" t="str">
        <f>IF($J856=1, DATA_Johnstone_2023_50!P856, "")</f>
        <v/>
      </c>
      <c r="AI856" s="75">
        <v>853</v>
      </c>
      <c r="AJ856" s="75">
        <v>100</v>
      </c>
    </row>
    <row r="857" spans="1:36" x14ac:dyDescent="0.35">
      <c r="A857">
        <v>4269</v>
      </c>
      <c r="B857">
        <v>4270</v>
      </c>
      <c r="C857">
        <v>146.0476026</v>
      </c>
      <c r="D857">
        <v>-17.521434530000001</v>
      </c>
      <c r="G857" s="1" t="str">
        <f t="shared" si="26"/>
        <v/>
      </c>
      <c r="H857">
        <v>3</v>
      </c>
      <c r="I857" t="str">
        <f t="shared" si="27"/>
        <v>X</v>
      </c>
      <c r="J857" s="53" t="str">
        <f>IFERROR(VLOOKUP(B857, DATA_Johnstone_2024_ALL!B:J, 8, FALSE), "")</f>
        <v>X</v>
      </c>
      <c r="K857" s="29"/>
      <c r="L857" s="30"/>
      <c r="M857" s="29"/>
      <c r="N857" s="20" t="str">
        <f>IF(J857=1, DATA_Johnstone_2023_50!M857, "")</f>
        <v/>
      </c>
      <c r="O857" s="20" t="str">
        <f>IF($J857=1, DATA_Johnstone_2023_50!N857, "")</f>
        <v/>
      </c>
      <c r="P857" s="49"/>
      <c r="Q857" s="20" t="str">
        <f>IF($J857=1, DATA_Johnstone_2023_50!P857, "")</f>
        <v/>
      </c>
      <c r="AI857" s="75">
        <v>854</v>
      </c>
      <c r="AJ857" s="75">
        <v>100</v>
      </c>
    </row>
    <row r="858" spans="1:36" x14ac:dyDescent="0.35">
      <c r="A858">
        <v>4274</v>
      </c>
      <c r="B858">
        <v>4275</v>
      </c>
      <c r="C858">
        <v>146.04714419999999</v>
      </c>
      <c r="D858">
        <v>-17.521324979999999</v>
      </c>
      <c r="G858" s="1" t="str">
        <f t="shared" si="26"/>
        <v/>
      </c>
      <c r="H858">
        <v>3</v>
      </c>
      <c r="I858" t="str">
        <f t="shared" si="27"/>
        <v>X</v>
      </c>
      <c r="J858" s="53" t="str">
        <f>IFERROR(VLOOKUP(B858, DATA_Johnstone_2024_ALL!B:J, 8, FALSE), "")</f>
        <v>X</v>
      </c>
      <c r="K858" s="29"/>
      <c r="L858" s="30"/>
      <c r="M858" s="29"/>
      <c r="N858" s="20" t="str">
        <f>IF(J858=1, DATA_Johnstone_2023_50!M858, "")</f>
        <v/>
      </c>
      <c r="O858" s="20" t="str">
        <f>IF($J858=1, DATA_Johnstone_2023_50!N858, "")</f>
        <v/>
      </c>
      <c r="P858" s="49"/>
      <c r="Q858" s="20" t="str">
        <f>IF($J858=1, DATA_Johnstone_2023_50!P858, "")</f>
        <v/>
      </c>
      <c r="AI858" s="75">
        <v>855</v>
      </c>
      <c r="AJ858" s="75">
        <v>100</v>
      </c>
    </row>
    <row r="859" spans="1:36" x14ac:dyDescent="0.35">
      <c r="A859">
        <v>4279</v>
      </c>
      <c r="B859">
        <v>4280</v>
      </c>
      <c r="C859">
        <v>146.0466768</v>
      </c>
      <c r="D859">
        <v>-17.52128166</v>
      </c>
      <c r="G859" s="1" t="str">
        <f t="shared" si="26"/>
        <v/>
      </c>
      <c r="H859">
        <v>3</v>
      </c>
      <c r="I859" t="str">
        <f t="shared" si="27"/>
        <v>X</v>
      </c>
      <c r="J859" s="53" t="str">
        <f>IFERROR(VLOOKUP(B859, DATA_Johnstone_2024_ALL!B:J, 8, FALSE), "")</f>
        <v>X</v>
      </c>
      <c r="K859" s="29"/>
      <c r="L859" s="30"/>
      <c r="M859" s="29"/>
      <c r="N859" s="20" t="str">
        <f>IF(J859=1, DATA_Johnstone_2023_50!M859, "")</f>
        <v/>
      </c>
      <c r="O859" s="20" t="str">
        <f>IF($J859=1, DATA_Johnstone_2023_50!N859, "")</f>
        <v/>
      </c>
      <c r="P859" s="49"/>
      <c r="Q859" s="20" t="str">
        <f>IF($J859=1, DATA_Johnstone_2023_50!P859, "")</f>
        <v/>
      </c>
      <c r="AI859" s="75">
        <v>856</v>
      </c>
      <c r="AJ859" s="75">
        <v>100</v>
      </c>
    </row>
    <row r="860" spans="1:36" x14ac:dyDescent="0.35">
      <c r="A860">
        <v>4284</v>
      </c>
      <c r="B860">
        <v>4285</v>
      </c>
      <c r="C860">
        <v>146.0462057</v>
      </c>
      <c r="D860">
        <v>-17.52127896</v>
      </c>
      <c r="G860" s="1" t="str">
        <f t="shared" si="26"/>
        <v/>
      </c>
      <c r="H860">
        <v>3</v>
      </c>
      <c r="I860" t="str">
        <f t="shared" si="27"/>
        <v>X</v>
      </c>
      <c r="J860" s="53" t="str">
        <f>IFERROR(VLOOKUP(B860, DATA_Johnstone_2024_ALL!B:J, 8, FALSE), "")</f>
        <v>X</v>
      </c>
      <c r="K860" s="29"/>
      <c r="L860" s="30"/>
      <c r="M860" s="29"/>
      <c r="N860" s="20" t="str">
        <f>IF(J860=1, DATA_Johnstone_2023_50!M860, "")</f>
        <v/>
      </c>
      <c r="O860" s="20" t="str">
        <f>IF($J860=1, DATA_Johnstone_2023_50!N860, "")</f>
        <v/>
      </c>
      <c r="P860" s="49"/>
      <c r="Q860" s="20" t="str">
        <f>IF($J860=1, DATA_Johnstone_2023_50!P860, "")</f>
        <v/>
      </c>
      <c r="AI860" s="75">
        <v>857</v>
      </c>
      <c r="AJ860" s="75">
        <v>100</v>
      </c>
    </row>
    <row r="861" spans="1:36" x14ac:dyDescent="0.35">
      <c r="A861">
        <v>4289</v>
      </c>
      <c r="B861">
        <v>4290</v>
      </c>
      <c r="C861">
        <v>146.0457361</v>
      </c>
      <c r="D861">
        <v>-17.52132014</v>
      </c>
      <c r="G861" s="1" t="str">
        <f t="shared" si="26"/>
        <v/>
      </c>
      <c r="H861">
        <v>3</v>
      </c>
      <c r="I861" t="str">
        <f t="shared" si="27"/>
        <v>X</v>
      </c>
      <c r="J861" s="53" t="str">
        <f>IFERROR(VLOOKUP(B861, DATA_Johnstone_2024_ALL!B:J, 8, FALSE), "")</f>
        <v>X</v>
      </c>
      <c r="K861" s="29"/>
      <c r="L861" s="30"/>
      <c r="M861" s="29"/>
      <c r="N861" s="20" t="str">
        <f>IF(J861=1, DATA_Johnstone_2023_50!M861, "")</f>
        <v/>
      </c>
      <c r="O861" s="20" t="str">
        <f>IF($J861=1, DATA_Johnstone_2023_50!N861, "")</f>
        <v/>
      </c>
      <c r="P861" s="49"/>
      <c r="Q861" s="20" t="str">
        <f>IF($J861=1, DATA_Johnstone_2023_50!P861, "")</f>
        <v/>
      </c>
      <c r="AI861" s="75">
        <v>858</v>
      </c>
      <c r="AJ861" s="75">
        <v>100</v>
      </c>
    </row>
    <row r="862" spans="1:36" x14ac:dyDescent="0.35">
      <c r="A862">
        <v>4294</v>
      </c>
      <c r="B862">
        <v>4295</v>
      </c>
      <c r="C862">
        <v>146.04529059999999</v>
      </c>
      <c r="D862">
        <v>-17.521453009999998</v>
      </c>
      <c r="G862" s="1" t="str">
        <f t="shared" si="26"/>
        <v/>
      </c>
      <c r="H862">
        <v>3</v>
      </c>
      <c r="I862" t="str">
        <f t="shared" si="27"/>
        <v>X</v>
      </c>
      <c r="J862" s="53" t="str">
        <f>IFERROR(VLOOKUP(B862, DATA_Johnstone_2024_ALL!B:J, 8, FALSE), "")</f>
        <v>X</v>
      </c>
      <c r="K862" s="29"/>
      <c r="L862" s="30"/>
      <c r="M862" s="29"/>
      <c r="N862" s="20" t="str">
        <f>IF(J862=1, DATA_Johnstone_2023_50!M862, "")</f>
        <v/>
      </c>
      <c r="O862" s="20" t="str">
        <f>IF($J862=1, DATA_Johnstone_2023_50!N862, "")</f>
        <v/>
      </c>
      <c r="P862" s="49"/>
      <c r="Q862" s="20" t="str">
        <f>IF($J862=1, DATA_Johnstone_2023_50!P862, "")</f>
        <v/>
      </c>
      <c r="AI862" s="75">
        <v>859</v>
      </c>
      <c r="AJ862" s="75">
        <v>100</v>
      </c>
    </row>
    <row r="863" spans="1:36" x14ac:dyDescent="0.35">
      <c r="A863">
        <v>4299</v>
      </c>
      <c r="B863">
        <v>4300</v>
      </c>
      <c r="C863">
        <v>146.04486</v>
      </c>
      <c r="D863">
        <v>-17.521643869999998</v>
      </c>
      <c r="G863" s="1" t="str">
        <f t="shared" si="26"/>
        <v/>
      </c>
      <c r="H863">
        <v>3</v>
      </c>
      <c r="I863" t="str">
        <f t="shared" si="27"/>
        <v>X</v>
      </c>
      <c r="J863" s="53" t="str">
        <f>IFERROR(VLOOKUP(B863, DATA_Johnstone_2024_ALL!B:J, 8, FALSE), "")</f>
        <v>X</v>
      </c>
      <c r="K863" s="29"/>
      <c r="L863" s="30"/>
      <c r="M863" s="29"/>
      <c r="N863" s="20" t="str">
        <f>IF(J863=1, DATA_Johnstone_2023_50!M863, "")</f>
        <v/>
      </c>
      <c r="O863" s="20" t="str">
        <f>IF($J863=1, DATA_Johnstone_2023_50!N863, "")</f>
        <v/>
      </c>
      <c r="P863" s="49"/>
      <c r="Q863" s="20" t="str">
        <f>IF($J863=1, DATA_Johnstone_2023_50!P863, "")</f>
        <v/>
      </c>
      <c r="AI863" s="75">
        <v>860</v>
      </c>
      <c r="AJ863" s="75">
        <v>100</v>
      </c>
    </row>
    <row r="864" spans="1:36" x14ac:dyDescent="0.35">
      <c r="A864">
        <v>4304</v>
      </c>
      <c r="B864">
        <v>4305</v>
      </c>
      <c r="C864">
        <v>146.04443739999999</v>
      </c>
      <c r="D864">
        <v>-17.52185124</v>
      </c>
      <c r="G864" s="1" t="str">
        <f t="shared" si="26"/>
        <v/>
      </c>
      <c r="H864">
        <v>3</v>
      </c>
      <c r="I864" t="str">
        <f t="shared" si="27"/>
        <v>X</v>
      </c>
      <c r="J864" s="53" t="str">
        <f>IFERROR(VLOOKUP(B864, DATA_Johnstone_2024_ALL!B:J, 8, FALSE), "")</f>
        <v>X</v>
      </c>
      <c r="K864" s="29"/>
      <c r="L864" s="30"/>
      <c r="M864" s="29"/>
      <c r="N864" s="20" t="str">
        <f>IF(J864=1, DATA_Johnstone_2023_50!M864, "")</f>
        <v/>
      </c>
      <c r="O864" s="20" t="str">
        <f>IF($J864=1, DATA_Johnstone_2023_50!N864, "")</f>
        <v/>
      </c>
      <c r="P864" s="49"/>
      <c r="Q864" s="20" t="str">
        <f>IF($J864=1, DATA_Johnstone_2023_50!P864, "")</f>
        <v/>
      </c>
      <c r="AI864" s="75">
        <v>861</v>
      </c>
      <c r="AJ864" s="75">
        <v>100</v>
      </c>
    </row>
    <row r="865" spans="1:36" x14ac:dyDescent="0.35">
      <c r="A865">
        <v>4309</v>
      </c>
      <c r="B865">
        <v>4310</v>
      </c>
      <c r="C865">
        <v>146.04402049999999</v>
      </c>
      <c r="D865">
        <v>-17.52207108</v>
      </c>
      <c r="G865" s="1" t="str">
        <f t="shared" si="26"/>
        <v/>
      </c>
      <c r="H865">
        <v>3</v>
      </c>
      <c r="I865" t="str">
        <f t="shared" si="27"/>
        <v>X</v>
      </c>
      <c r="J865" s="53" t="str">
        <f>IFERROR(VLOOKUP(B865, DATA_Johnstone_2024_ALL!B:J, 8, FALSE), "")</f>
        <v>X</v>
      </c>
      <c r="K865" s="29"/>
      <c r="L865" s="30"/>
      <c r="M865" s="29"/>
      <c r="N865" s="20" t="str">
        <f>IF(J865=1, DATA_Johnstone_2023_50!M865, "")</f>
        <v/>
      </c>
      <c r="O865" s="20" t="str">
        <f>IF($J865=1, DATA_Johnstone_2023_50!N865, "")</f>
        <v/>
      </c>
      <c r="P865" s="49"/>
      <c r="Q865" s="20" t="str">
        <f>IF($J865=1, DATA_Johnstone_2023_50!P865, "")</f>
        <v/>
      </c>
      <c r="AI865" s="75">
        <v>862</v>
      </c>
      <c r="AJ865" s="75">
        <v>100</v>
      </c>
    </row>
    <row r="866" spans="1:36" x14ac:dyDescent="0.35">
      <c r="A866">
        <v>4314</v>
      </c>
      <c r="B866">
        <v>4315</v>
      </c>
      <c r="C866">
        <v>146.04359109999999</v>
      </c>
      <c r="D866">
        <v>-17.522265999999998</v>
      </c>
      <c r="G866" s="1" t="str">
        <f t="shared" si="26"/>
        <v/>
      </c>
      <c r="H866">
        <v>3</v>
      </c>
      <c r="I866" t="str">
        <f t="shared" si="27"/>
        <v>X</v>
      </c>
      <c r="J866" s="53" t="str">
        <f>IFERROR(VLOOKUP(B866, DATA_Johnstone_2024_ALL!B:J, 8, FALSE), "")</f>
        <v>X</v>
      </c>
      <c r="K866" s="29"/>
      <c r="L866" s="30"/>
      <c r="M866" s="29"/>
      <c r="N866" s="20" t="str">
        <f>IF(J866=1, DATA_Johnstone_2023_50!M866, "")</f>
        <v/>
      </c>
      <c r="O866" s="20" t="str">
        <f>IF($J866=1, DATA_Johnstone_2023_50!N866, "")</f>
        <v/>
      </c>
      <c r="P866" s="49"/>
      <c r="Q866" s="20" t="str">
        <f>IF($J866=1, DATA_Johnstone_2023_50!P866, "")</f>
        <v/>
      </c>
      <c r="AI866" s="75">
        <v>863</v>
      </c>
      <c r="AJ866" s="75">
        <v>100</v>
      </c>
    </row>
    <row r="867" spans="1:36" x14ac:dyDescent="0.35">
      <c r="A867">
        <v>4319</v>
      </c>
      <c r="B867">
        <v>4320</v>
      </c>
      <c r="C867">
        <v>146.04318050000001</v>
      </c>
      <c r="D867">
        <v>-17.522495580000001</v>
      </c>
      <c r="G867" s="1" t="str">
        <f t="shared" si="26"/>
        <v/>
      </c>
      <c r="H867">
        <v>3</v>
      </c>
      <c r="I867" t="str">
        <f t="shared" si="27"/>
        <v>X</v>
      </c>
      <c r="J867" s="53" t="str">
        <f>IFERROR(VLOOKUP(B867, DATA_Johnstone_2024_ALL!B:J, 8, FALSE), "")</f>
        <v>X</v>
      </c>
      <c r="K867" s="29"/>
      <c r="L867" s="30"/>
      <c r="M867" s="29"/>
      <c r="N867" s="20" t="str">
        <f>IF(J867=1, DATA_Johnstone_2023_50!M867, "")</f>
        <v/>
      </c>
      <c r="O867" s="20" t="str">
        <f>IF($J867=1, DATA_Johnstone_2023_50!N867, "")</f>
        <v/>
      </c>
      <c r="P867" s="49"/>
      <c r="Q867" s="20" t="str">
        <f>IF($J867=1, DATA_Johnstone_2023_50!P867, "")</f>
        <v/>
      </c>
      <c r="AI867" s="75">
        <v>864</v>
      </c>
      <c r="AJ867" s="75">
        <v>100</v>
      </c>
    </row>
    <row r="868" spans="1:36" x14ac:dyDescent="0.35">
      <c r="A868">
        <v>4324</v>
      </c>
      <c r="B868">
        <v>4325</v>
      </c>
      <c r="C868">
        <v>146.0427818</v>
      </c>
      <c r="D868">
        <v>-17.522747249999998</v>
      </c>
      <c r="G868" s="1" t="str">
        <f t="shared" si="26"/>
        <v/>
      </c>
      <c r="H868">
        <v>3</v>
      </c>
      <c r="I868" t="str">
        <f t="shared" si="27"/>
        <v>X</v>
      </c>
      <c r="J868" s="53" t="str">
        <f>IFERROR(VLOOKUP(B868, DATA_Johnstone_2024_ALL!B:J, 8, FALSE), "")</f>
        <v>X</v>
      </c>
      <c r="K868" s="29"/>
      <c r="L868" s="30"/>
      <c r="M868" s="29"/>
      <c r="N868" s="20" t="str">
        <f>IF(J868=1, DATA_Johnstone_2023_50!M868, "")</f>
        <v/>
      </c>
      <c r="O868" s="20" t="str">
        <f>IF($J868=1, DATA_Johnstone_2023_50!N868, "")</f>
        <v/>
      </c>
      <c r="P868" s="49"/>
      <c r="Q868" s="20" t="str">
        <f>IF($J868=1, DATA_Johnstone_2023_50!P868, "")</f>
        <v/>
      </c>
      <c r="AI868" s="75">
        <v>865</v>
      </c>
      <c r="AJ868" s="75">
        <v>100</v>
      </c>
    </row>
    <row r="869" spans="1:36" x14ac:dyDescent="0.35">
      <c r="A869">
        <v>4329</v>
      </c>
      <c r="B869">
        <v>4330</v>
      </c>
      <c r="C869">
        <v>146.042383</v>
      </c>
      <c r="D869">
        <v>-17.522998909999998</v>
      </c>
      <c r="G869" s="1" t="str">
        <f t="shared" si="26"/>
        <v/>
      </c>
      <c r="H869">
        <v>3</v>
      </c>
      <c r="I869" t="str">
        <f t="shared" si="27"/>
        <v>X</v>
      </c>
      <c r="J869" s="53" t="str">
        <f>IFERROR(VLOOKUP(B869, DATA_Johnstone_2024_ALL!B:J, 8, FALSE), "")</f>
        <v>X</v>
      </c>
      <c r="K869" s="29"/>
      <c r="L869" s="30"/>
      <c r="M869" s="29"/>
      <c r="N869" s="20" t="str">
        <f>IF(J869=1, DATA_Johnstone_2023_50!M869, "")</f>
        <v/>
      </c>
      <c r="O869" s="20" t="str">
        <f>IF($J869=1, DATA_Johnstone_2023_50!N869, "")</f>
        <v/>
      </c>
      <c r="P869" s="49"/>
      <c r="Q869" s="20" t="str">
        <f>IF($J869=1, DATA_Johnstone_2023_50!P869, "")</f>
        <v/>
      </c>
      <c r="AI869" s="75">
        <v>866</v>
      </c>
      <c r="AJ869" s="75">
        <v>100</v>
      </c>
    </row>
    <row r="870" spans="1:36" x14ac:dyDescent="0.35">
      <c r="A870">
        <v>4334</v>
      </c>
      <c r="B870">
        <v>4335</v>
      </c>
      <c r="C870">
        <v>146.0420014</v>
      </c>
      <c r="D870">
        <v>-17.52266371</v>
      </c>
      <c r="G870" s="1" t="str">
        <f t="shared" si="26"/>
        <v/>
      </c>
      <c r="H870">
        <v>3</v>
      </c>
      <c r="I870" t="str">
        <f t="shared" si="27"/>
        <v>X</v>
      </c>
      <c r="J870" s="53" t="str">
        <f>IFERROR(VLOOKUP(B870, DATA_Johnstone_2024_ALL!B:J, 8, FALSE), "")</f>
        <v>X</v>
      </c>
      <c r="K870" s="29"/>
      <c r="L870" s="30"/>
      <c r="M870" s="29"/>
      <c r="N870" s="20" t="str">
        <f>IF(J870=1, DATA_Johnstone_2023_50!M870, "")</f>
        <v/>
      </c>
      <c r="O870" s="20" t="str">
        <f>IF($J870=1, DATA_Johnstone_2023_50!N870, "")</f>
        <v/>
      </c>
      <c r="P870" s="49"/>
      <c r="Q870" s="20" t="str">
        <f>IF($J870=1, DATA_Johnstone_2023_50!P870, "")</f>
        <v/>
      </c>
      <c r="AI870" s="75">
        <v>867</v>
      </c>
      <c r="AJ870" s="75">
        <v>100</v>
      </c>
    </row>
    <row r="871" spans="1:36" x14ac:dyDescent="0.35">
      <c r="A871">
        <v>4339</v>
      </c>
      <c r="B871">
        <v>4340</v>
      </c>
      <c r="C871">
        <v>146.04243310000001</v>
      </c>
      <c r="D871">
        <v>-17.522479579999999</v>
      </c>
      <c r="G871" s="1" t="str">
        <f t="shared" si="26"/>
        <v/>
      </c>
      <c r="H871">
        <v>3</v>
      </c>
      <c r="I871" t="str">
        <f t="shared" si="27"/>
        <v>X</v>
      </c>
      <c r="J871" s="53" t="str">
        <f>IFERROR(VLOOKUP(B871, DATA_Johnstone_2024_ALL!B:J, 8, FALSE), "")</f>
        <v>X</v>
      </c>
      <c r="K871" s="29"/>
      <c r="L871" s="30"/>
      <c r="M871" s="29"/>
      <c r="N871" s="20" t="str">
        <f>IF(J871=1, DATA_Johnstone_2023_50!M871, "")</f>
        <v/>
      </c>
      <c r="O871" s="20" t="str">
        <f>IF($J871=1, DATA_Johnstone_2023_50!N871, "")</f>
        <v/>
      </c>
      <c r="P871" s="49"/>
      <c r="Q871" s="20" t="str">
        <f>IF($J871=1, DATA_Johnstone_2023_50!P871, "")</f>
        <v/>
      </c>
      <c r="AI871" s="75">
        <v>868</v>
      </c>
      <c r="AJ871" s="75">
        <v>100</v>
      </c>
    </row>
    <row r="872" spans="1:36" x14ac:dyDescent="0.35">
      <c r="A872">
        <v>4344</v>
      </c>
      <c r="B872">
        <v>4345</v>
      </c>
      <c r="C872">
        <v>146.0428426</v>
      </c>
      <c r="D872">
        <v>-17.52224798</v>
      </c>
      <c r="G872" s="1" t="str">
        <f t="shared" si="26"/>
        <v/>
      </c>
      <c r="H872">
        <v>3</v>
      </c>
      <c r="I872" t="str">
        <f t="shared" si="27"/>
        <v>X</v>
      </c>
      <c r="J872" s="53" t="str">
        <f>IFERROR(VLOOKUP(B872, DATA_Johnstone_2024_ALL!B:J, 8, FALSE), "")</f>
        <v>X</v>
      </c>
      <c r="K872" s="29"/>
      <c r="L872" s="30"/>
      <c r="M872" s="29"/>
      <c r="N872" s="20" t="str">
        <f>IF(J872=1, DATA_Johnstone_2023_50!M872, "")</f>
        <v/>
      </c>
      <c r="O872" s="20" t="str">
        <f>IF($J872=1, DATA_Johnstone_2023_50!N872, "")</f>
        <v/>
      </c>
      <c r="P872" s="49"/>
      <c r="Q872" s="20" t="str">
        <f>IF($J872=1, DATA_Johnstone_2023_50!P872, "")</f>
        <v/>
      </c>
      <c r="AI872" s="75">
        <v>869</v>
      </c>
      <c r="AJ872" s="75">
        <v>100</v>
      </c>
    </row>
    <row r="873" spans="1:36" x14ac:dyDescent="0.35">
      <c r="A873">
        <v>4349</v>
      </c>
      <c r="B873">
        <v>4350</v>
      </c>
      <c r="C873">
        <v>146.04325510000001</v>
      </c>
      <c r="D873">
        <v>-17.522019619999998</v>
      </c>
      <c r="G873" s="1" t="str">
        <f t="shared" si="26"/>
        <v/>
      </c>
      <c r="H873">
        <v>3</v>
      </c>
      <c r="I873" t="str">
        <f t="shared" si="27"/>
        <v>X</v>
      </c>
      <c r="J873" s="53" t="str">
        <f>IFERROR(VLOOKUP(B873, DATA_Johnstone_2024_ALL!B:J, 8, FALSE), "")</f>
        <v>X</v>
      </c>
      <c r="K873" s="29"/>
      <c r="L873" s="30"/>
      <c r="M873" s="29"/>
      <c r="N873" s="20" t="str">
        <f>IF(J873=1, DATA_Johnstone_2023_50!M873, "")</f>
        <v/>
      </c>
      <c r="O873" s="20" t="str">
        <f>IF($J873=1, DATA_Johnstone_2023_50!N873, "")</f>
        <v/>
      </c>
      <c r="P873" s="49"/>
      <c r="Q873" s="20" t="str">
        <f>IF($J873=1, DATA_Johnstone_2023_50!P873, "")</f>
        <v/>
      </c>
      <c r="AI873" s="75">
        <v>870</v>
      </c>
      <c r="AJ873" s="75">
        <v>100</v>
      </c>
    </row>
    <row r="874" spans="1:36" x14ac:dyDescent="0.35">
      <c r="A874">
        <v>4354</v>
      </c>
      <c r="B874">
        <v>4355</v>
      </c>
      <c r="C874">
        <v>146.0436747</v>
      </c>
      <c r="D874">
        <v>-17.52180461</v>
      </c>
      <c r="G874" s="1" t="str">
        <f t="shared" si="26"/>
        <v/>
      </c>
      <c r="H874">
        <v>3</v>
      </c>
      <c r="I874" t="str">
        <f t="shared" si="27"/>
        <v>X</v>
      </c>
      <c r="J874" s="53" t="str">
        <f>IFERROR(VLOOKUP(B874, DATA_Johnstone_2024_ALL!B:J, 8, FALSE), "")</f>
        <v>X</v>
      </c>
      <c r="K874" s="29"/>
      <c r="L874" s="30"/>
      <c r="M874" s="29"/>
      <c r="N874" s="20" t="str">
        <f>IF(J874=1, DATA_Johnstone_2023_50!M874, "")</f>
        <v/>
      </c>
      <c r="O874" s="20" t="str">
        <f>IF($J874=1, DATA_Johnstone_2023_50!N874, "")</f>
        <v/>
      </c>
      <c r="P874" s="49"/>
      <c r="Q874" s="20" t="str">
        <f>IF($J874=1, DATA_Johnstone_2023_50!P874, "")</f>
        <v/>
      </c>
      <c r="AI874" s="75">
        <v>871</v>
      </c>
      <c r="AJ874" s="75">
        <v>100</v>
      </c>
    </row>
    <row r="875" spans="1:36" x14ac:dyDescent="0.35">
      <c r="A875">
        <v>4359</v>
      </c>
      <c r="B875">
        <v>4360</v>
      </c>
      <c r="C875">
        <v>146.0440974</v>
      </c>
      <c r="D875">
        <v>-17.521598940000001</v>
      </c>
      <c r="G875" s="1" t="str">
        <f t="shared" si="26"/>
        <v/>
      </c>
      <c r="H875">
        <v>3</v>
      </c>
      <c r="I875" t="str">
        <f t="shared" si="27"/>
        <v>X</v>
      </c>
      <c r="J875" s="53" t="str">
        <f>IFERROR(VLOOKUP(B875, DATA_Johnstone_2024_ALL!B:J, 8, FALSE), "")</f>
        <v>X</v>
      </c>
      <c r="K875" s="29"/>
      <c r="L875" s="30"/>
      <c r="M875" s="29"/>
      <c r="N875" s="20" t="str">
        <f>IF(J875=1, DATA_Johnstone_2023_50!M875, "")</f>
        <v/>
      </c>
      <c r="O875" s="20" t="str">
        <f>IF($J875=1, DATA_Johnstone_2023_50!N875, "")</f>
        <v/>
      </c>
      <c r="P875" s="49"/>
      <c r="Q875" s="20" t="str">
        <f>IF($J875=1, DATA_Johnstone_2023_50!P875, "")</f>
        <v/>
      </c>
      <c r="AI875" s="75">
        <v>872</v>
      </c>
      <c r="AJ875" s="75">
        <v>100</v>
      </c>
    </row>
    <row r="876" spans="1:36" x14ac:dyDescent="0.35">
      <c r="A876">
        <v>4364</v>
      </c>
      <c r="B876">
        <v>4365</v>
      </c>
      <c r="C876">
        <v>146.04451520000001</v>
      </c>
      <c r="D876">
        <v>-17.521403920000001</v>
      </c>
      <c r="G876" s="1" t="str">
        <f t="shared" si="26"/>
        <v/>
      </c>
      <c r="H876">
        <v>3</v>
      </c>
      <c r="I876" t="str">
        <f t="shared" si="27"/>
        <v>X</v>
      </c>
      <c r="J876" s="53" t="str">
        <f>IFERROR(VLOOKUP(B876, DATA_Johnstone_2024_ALL!B:J, 8, FALSE), "")</f>
        <v>X</v>
      </c>
      <c r="K876" s="29"/>
      <c r="L876" s="30"/>
      <c r="M876" s="29"/>
      <c r="N876" s="20" t="str">
        <f>IF(J876=1, DATA_Johnstone_2023_50!M876, "")</f>
        <v/>
      </c>
      <c r="O876" s="20" t="str">
        <f>IF($J876=1, DATA_Johnstone_2023_50!N876, "")</f>
        <v/>
      </c>
      <c r="P876" s="49"/>
      <c r="Q876" s="20" t="str">
        <f>IF($J876=1, DATA_Johnstone_2023_50!P876, "")</f>
        <v/>
      </c>
      <c r="AI876" s="75">
        <v>873</v>
      </c>
      <c r="AJ876" s="75">
        <v>100</v>
      </c>
    </row>
    <row r="877" spans="1:36" x14ac:dyDescent="0.35">
      <c r="A877">
        <v>4369</v>
      </c>
      <c r="B877">
        <v>4370</v>
      </c>
      <c r="C877">
        <v>146.0449371</v>
      </c>
      <c r="D877">
        <v>-17.521213920000001</v>
      </c>
      <c r="G877" s="1" t="str">
        <f t="shared" si="26"/>
        <v/>
      </c>
      <c r="H877">
        <v>3</v>
      </c>
      <c r="I877" t="str">
        <f t="shared" si="27"/>
        <v>X</v>
      </c>
      <c r="J877" s="53" t="str">
        <f>IFERROR(VLOOKUP(B877, DATA_Johnstone_2024_ALL!B:J, 8, FALSE), "")</f>
        <v>X</v>
      </c>
      <c r="K877" s="29"/>
      <c r="L877" s="30"/>
      <c r="M877" s="29"/>
      <c r="N877" s="20" t="str">
        <f>IF(J877=1, DATA_Johnstone_2023_50!M877, "")</f>
        <v/>
      </c>
      <c r="O877" s="20" t="str">
        <f>IF($J877=1, DATA_Johnstone_2023_50!N877, "")</f>
        <v/>
      </c>
      <c r="P877" s="49"/>
      <c r="Q877" s="20" t="str">
        <f>IF($J877=1, DATA_Johnstone_2023_50!P877, "")</f>
        <v/>
      </c>
      <c r="AI877" s="75">
        <v>874</v>
      </c>
      <c r="AJ877" s="75">
        <v>100</v>
      </c>
    </row>
    <row r="878" spans="1:36" x14ac:dyDescent="0.35">
      <c r="A878">
        <v>4374</v>
      </c>
      <c r="B878">
        <v>4375</v>
      </c>
      <c r="C878">
        <v>146.04540130000001</v>
      </c>
      <c r="D878">
        <v>-17.521133379999998</v>
      </c>
      <c r="G878" s="1" t="str">
        <f t="shared" si="26"/>
        <v/>
      </c>
      <c r="H878">
        <v>3</v>
      </c>
      <c r="I878" t="str">
        <f t="shared" si="27"/>
        <v>X</v>
      </c>
      <c r="J878" s="53" t="str">
        <f>IFERROR(VLOOKUP(B878, DATA_Johnstone_2024_ALL!B:J, 8, FALSE), "")</f>
        <v>X</v>
      </c>
      <c r="K878" s="29"/>
      <c r="L878" s="30"/>
      <c r="M878" s="29"/>
      <c r="N878" s="20" t="str">
        <f>IF(J878=1, DATA_Johnstone_2023_50!M878, "")</f>
        <v/>
      </c>
      <c r="O878" s="20" t="str">
        <f>IF($J878=1, DATA_Johnstone_2023_50!N878, "")</f>
        <v/>
      </c>
      <c r="P878" s="49"/>
      <c r="Q878" s="20" t="str">
        <f>IF($J878=1, DATA_Johnstone_2023_50!P878, "")</f>
        <v/>
      </c>
      <c r="AI878" s="75">
        <v>875</v>
      </c>
      <c r="AJ878" s="75">
        <v>100</v>
      </c>
    </row>
    <row r="879" spans="1:36" x14ac:dyDescent="0.35">
      <c r="A879">
        <v>4379</v>
      </c>
      <c r="B879">
        <v>4380</v>
      </c>
      <c r="C879">
        <v>146.0458505</v>
      </c>
      <c r="D879">
        <v>-17.5209963</v>
      </c>
      <c r="G879" s="1" t="str">
        <f t="shared" si="26"/>
        <v/>
      </c>
      <c r="H879">
        <v>3</v>
      </c>
      <c r="I879" t="str">
        <f t="shared" si="27"/>
        <v>X</v>
      </c>
      <c r="J879" s="53" t="str">
        <f>IFERROR(VLOOKUP(B879, DATA_Johnstone_2024_ALL!B:J, 8, FALSE), "")</f>
        <v>X</v>
      </c>
      <c r="K879" s="29"/>
      <c r="L879" s="30"/>
      <c r="M879" s="29"/>
      <c r="N879" s="20" t="str">
        <f>IF(J879=1, DATA_Johnstone_2023_50!M879, "")</f>
        <v/>
      </c>
      <c r="O879" s="20" t="str">
        <f>IF($J879=1, DATA_Johnstone_2023_50!N879, "")</f>
        <v/>
      </c>
      <c r="P879" s="49"/>
      <c r="Q879" s="20" t="str">
        <f>IF($J879=1, DATA_Johnstone_2023_50!P879, "")</f>
        <v/>
      </c>
      <c r="AI879" s="75">
        <v>876</v>
      </c>
      <c r="AJ879" s="75">
        <v>100</v>
      </c>
    </row>
    <row r="880" spans="1:36" x14ac:dyDescent="0.35">
      <c r="A880">
        <v>4384</v>
      </c>
      <c r="B880">
        <v>4385</v>
      </c>
      <c r="C880">
        <v>146.04632129999999</v>
      </c>
      <c r="D880">
        <v>-17.52098148</v>
      </c>
      <c r="G880" s="1" t="str">
        <f t="shared" si="26"/>
        <v/>
      </c>
      <c r="H880">
        <v>3</v>
      </c>
      <c r="I880" t="str">
        <f t="shared" si="27"/>
        <v>X</v>
      </c>
      <c r="J880" s="53" t="str">
        <f>IFERROR(VLOOKUP(B880, DATA_Johnstone_2024_ALL!B:J, 8, FALSE), "")</f>
        <v>X</v>
      </c>
      <c r="K880" s="29"/>
      <c r="L880" s="30"/>
      <c r="M880" s="29"/>
      <c r="N880" s="20" t="str">
        <f>IF(J880=1, DATA_Johnstone_2023_50!M880, "")</f>
        <v/>
      </c>
      <c r="O880" s="20" t="str">
        <f>IF($J880=1, DATA_Johnstone_2023_50!N880, "")</f>
        <v/>
      </c>
      <c r="P880" s="49"/>
      <c r="Q880" s="20" t="str">
        <f>IF($J880=1, DATA_Johnstone_2023_50!P880, "")</f>
        <v/>
      </c>
      <c r="AI880" s="75">
        <v>877</v>
      </c>
      <c r="AJ880" s="75">
        <v>100</v>
      </c>
    </row>
    <row r="881" spans="1:36" x14ac:dyDescent="0.35">
      <c r="A881">
        <v>4389</v>
      </c>
      <c r="B881">
        <v>4390</v>
      </c>
      <c r="C881">
        <v>146.04675510000001</v>
      </c>
      <c r="D881">
        <v>-17.520943219999999</v>
      </c>
      <c r="G881" s="1" t="str">
        <f t="shared" si="26"/>
        <v/>
      </c>
      <c r="H881">
        <v>3</v>
      </c>
      <c r="I881" t="str">
        <f t="shared" si="27"/>
        <v>X</v>
      </c>
      <c r="J881" s="53" t="str">
        <f>IFERROR(VLOOKUP(B881, DATA_Johnstone_2024_ALL!B:J, 8, FALSE), "")</f>
        <v>X</v>
      </c>
      <c r="K881" s="29"/>
      <c r="L881" s="30"/>
      <c r="M881" s="29"/>
      <c r="N881" s="20" t="str">
        <f>IF(J881=1, DATA_Johnstone_2023_50!M881, "")</f>
        <v/>
      </c>
      <c r="O881" s="20" t="str">
        <f>IF($J881=1, DATA_Johnstone_2023_50!N881, "")</f>
        <v/>
      </c>
      <c r="P881" s="49"/>
      <c r="Q881" s="20" t="str">
        <f>IF($J881=1, DATA_Johnstone_2023_50!P881, "")</f>
        <v/>
      </c>
      <c r="AI881" s="75">
        <v>878</v>
      </c>
      <c r="AJ881" s="75">
        <v>100</v>
      </c>
    </row>
    <row r="882" spans="1:36" x14ac:dyDescent="0.35">
      <c r="A882">
        <v>4394</v>
      </c>
      <c r="B882">
        <v>4395</v>
      </c>
      <c r="C882">
        <v>146.04721979999999</v>
      </c>
      <c r="D882">
        <v>-17.520956219999999</v>
      </c>
      <c r="G882" s="1" t="str">
        <f t="shared" si="26"/>
        <v/>
      </c>
      <c r="H882">
        <v>3</v>
      </c>
      <c r="I882" t="str">
        <f t="shared" si="27"/>
        <v>X</v>
      </c>
      <c r="J882" s="53" t="str">
        <f>IFERROR(VLOOKUP(B882, DATA_Johnstone_2024_ALL!B:J, 8, FALSE), "")</f>
        <v>X</v>
      </c>
      <c r="K882" s="29"/>
      <c r="L882" s="30"/>
      <c r="M882" s="29"/>
      <c r="N882" s="20" t="str">
        <f>IF(J882=1, DATA_Johnstone_2023_50!M882, "")</f>
        <v/>
      </c>
      <c r="O882" s="20" t="str">
        <f>IF($J882=1, DATA_Johnstone_2023_50!N882, "")</f>
        <v/>
      </c>
      <c r="P882" s="49"/>
      <c r="Q882" s="20" t="str">
        <f>IF($J882=1, DATA_Johnstone_2023_50!P882, "")</f>
        <v/>
      </c>
      <c r="AI882" s="75">
        <v>879</v>
      </c>
      <c r="AJ882" s="75">
        <v>100</v>
      </c>
    </row>
    <row r="883" spans="1:36" x14ac:dyDescent="0.35">
      <c r="A883">
        <v>4399</v>
      </c>
      <c r="B883">
        <v>4400</v>
      </c>
      <c r="C883">
        <v>146.04767229999999</v>
      </c>
      <c r="D883">
        <v>-17.521088290000002</v>
      </c>
      <c r="G883" s="1" t="str">
        <f t="shared" si="26"/>
        <v/>
      </c>
      <c r="H883">
        <v>3</v>
      </c>
      <c r="I883" t="str">
        <f t="shared" si="27"/>
        <v>X</v>
      </c>
      <c r="J883" s="53" t="str">
        <f>IFERROR(VLOOKUP(B883, DATA_Johnstone_2024_ALL!B:J, 8, FALSE), "")</f>
        <v>X</v>
      </c>
      <c r="K883" s="29"/>
      <c r="L883" s="30"/>
      <c r="M883" s="29"/>
      <c r="N883" s="20" t="str">
        <f>IF(J883=1, DATA_Johnstone_2023_50!M883, "")</f>
        <v/>
      </c>
      <c r="O883" s="20" t="str">
        <f>IF($J883=1, DATA_Johnstone_2023_50!N883, "")</f>
        <v/>
      </c>
      <c r="P883" s="49"/>
      <c r="Q883" s="20" t="str">
        <f>IF($J883=1, DATA_Johnstone_2023_50!P883, "")</f>
        <v/>
      </c>
      <c r="AI883" s="75">
        <v>880</v>
      </c>
      <c r="AJ883" s="75">
        <v>100</v>
      </c>
    </row>
    <row r="884" spans="1:36" x14ac:dyDescent="0.35">
      <c r="A884">
        <v>4404</v>
      </c>
      <c r="B884">
        <v>4405</v>
      </c>
      <c r="C884">
        <v>146.0481206</v>
      </c>
      <c r="D884">
        <v>-17.521234369999998</v>
      </c>
      <c r="G884" s="1" t="str">
        <f t="shared" si="26"/>
        <v/>
      </c>
      <c r="H884">
        <v>3</v>
      </c>
      <c r="I884" t="str">
        <f t="shared" si="27"/>
        <v>X</v>
      </c>
      <c r="J884" s="53" t="str">
        <f>IFERROR(VLOOKUP(B884, DATA_Johnstone_2024_ALL!B:J, 8, FALSE), "")</f>
        <v>X</v>
      </c>
      <c r="K884" s="29"/>
      <c r="L884" s="30"/>
      <c r="M884" s="29"/>
      <c r="N884" s="20" t="str">
        <f>IF(J884=1, DATA_Johnstone_2023_50!M884, "")</f>
        <v/>
      </c>
      <c r="O884" s="20" t="str">
        <f>IF($J884=1, DATA_Johnstone_2023_50!N884, "")</f>
        <v/>
      </c>
      <c r="P884" s="49"/>
      <c r="Q884" s="20" t="str">
        <f>IF($J884=1, DATA_Johnstone_2023_50!P884, "")</f>
        <v/>
      </c>
      <c r="AI884" s="75">
        <v>881</v>
      </c>
      <c r="AJ884" s="75">
        <v>100</v>
      </c>
    </row>
    <row r="885" spans="1:36" x14ac:dyDescent="0.35">
      <c r="A885">
        <v>4409</v>
      </c>
      <c r="B885">
        <v>4410</v>
      </c>
      <c r="C885">
        <v>146.04857060000001</v>
      </c>
      <c r="D885">
        <v>-17.521375219999999</v>
      </c>
      <c r="F885" t="s">
        <v>7518</v>
      </c>
      <c r="G885" s="1" t="str">
        <f t="shared" si="26"/>
        <v>4410_20240610_0005_L_3149.jpg</v>
      </c>
      <c r="H885">
        <v>3</v>
      </c>
      <c r="I885" t="str">
        <f t="shared" si="27"/>
        <v/>
      </c>
      <c r="J885" s="53">
        <f>IFERROR(VLOOKUP(B885, DATA_Johnstone_2024_ALL!B:J, 8, FALSE), "")</f>
        <v>1</v>
      </c>
      <c r="K885" s="29"/>
      <c r="L885" s="30"/>
      <c r="M885" s="29"/>
      <c r="N885" s="20">
        <f>IF(J885=1, DATA_Johnstone_2023_50!M885, "")</f>
        <v>4</v>
      </c>
      <c r="O885" s="20">
        <f>IF($J885=1, DATA_Johnstone_2023_50!N885, "")</f>
        <v>4</v>
      </c>
      <c r="P885" s="49"/>
      <c r="Q885" s="20">
        <v>4</v>
      </c>
      <c r="AI885" s="75">
        <v>882</v>
      </c>
      <c r="AJ885" s="75">
        <v>100</v>
      </c>
    </row>
    <row r="886" spans="1:36" x14ac:dyDescent="0.35">
      <c r="A886">
        <v>4414</v>
      </c>
      <c r="B886">
        <v>4415</v>
      </c>
      <c r="C886">
        <v>146.04902509999999</v>
      </c>
      <c r="D886">
        <v>-17.521499909999999</v>
      </c>
      <c r="F886" t="s">
        <v>7519</v>
      </c>
      <c r="G886" s="1" t="str">
        <f t="shared" si="26"/>
        <v>4415_20240610_0005_L_3175.jpg</v>
      </c>
      <c r="H886">
        <v>3</v>
      </c>
      <c r="I886" t="str">
        <f t="shared" si="27"/>
        <v/>
      </c>
      <c r="J886" s="53">
        <f>IFERROR(VLOOKUP(B886, DATA_Johnstone_2024_ALL!B:J, 8, FALSE), "")</f>
        <v>1</v>
      </c>
      <c r="K886" s="29"/>
      <c r="L886" s="30"/>
      <c r="M886" s="29"/>
      <c r="N886" s="20">
        <f>IF(J886=1, DATA_Johnstone_2023_50!M886, "")</f>
        <v>4</v>
      </c>
      <c r="O886" s="20">
        <f>IF($J886=1, DATA_Johnstone_2023_50!N886, "")</f>
        <v>4</v>
      </c>
      <c r="P886" s="49"/>
      <c r="Q886" s="20">
        <f>IF($J886=1, DATA_Johnstone_2023_50!P886, "")</f>
        <v>3</v>
      </c>
      <c r="AI886" s="75">
        <v>883</v>
      </c>
      <c r="AJ886" s="75">
        <v>100</v>
      </c>
    </row>
    <row r="887" spans="1:36" x14ac:dyDescent="0.35">
      <c r="A887">
        <v>4419</v>
      </c>
      <c r="B887">
        <v>4420</v>
      </c>
      <c r="C887">
        <v>146.04948340000001</v>
      </c>
      <c r="D887">
        <v>-17.52161087</v>
      </c>
      <c r="F887" t="s">
        <v>7520</v>
      </c>
      <c r="G887" s="1" t="str">
        <f t="shared" si="26"/>
        <v>4420_20240610_0005_L_3204.jpg</v>
      </c>
      <c r="H887">
        <v>3</v>
      </c>
      <c r="I887" t="str">
        <f t="shared" si="27"/>
        <v/>
      </c>
      <c r="J887" s="53">
        <f>IFERROR(VLOOKUP(B887, DATA_Johnstone_2024_ALL!B:J, 8, FALSE), "")</f>
        <v>1</v>
      </c>
      <c r="K887" s="29"/>
      <c r="L887" s="30"/>
      <c r="M887" s="29"/>
      <c r="N887" s="20">
        <f>IF(J887=1, DATA_Johnstone_2023_50!M887, "")</f>
        <v>4</v>
      </c>
      <c r="O887" s="20">
        <v>3</v>
      </c>
      <c r="P887" s="49"/>
      <c r="Q887" s="20">
        <f>IF($J887=1, DATA_Johnstone_2023_50!P887, "")</f>
        <v>4</v>
      </c>
      <c r="AI887" s="75">
        <v>884</v>
      </c>
      <c r="AJ887" s="75">
        <v>100</v>
      </c>
    </row>
    <row r="888" spans="1:36" x14ac:dyDescent="0.35">
      <c r="A888">
        <v>4424</v>
      </c>
      <c r="B888">
        <v>4425</v>
      </c>
      <c r="C888">
        <v>146.0499538</v>
      </c>
      <c r="D888">
        <v>-17.521641079999998</v>
      </c>
      <c r="F888" t="s">
        <v>7521</v>
      </c>
      <c r="G888" s="1" t="str">
        <f t="shared" si="26"/>
        <v>4425_20240610_0005_L_3225.jpg</v>
      </c>
      <c r="H888">
        <v>3</v>
      </c>
      <c r="I888" t="str">
        <f t="shared" si="27"/>
        <v/>
      </c>
      <c r="J888" s="53">
        <f>IFERROR(VLOOKUP(B888, DATA_Johnstone_2024_ALL!B:J, 8, FALSE), "")</f>
        <v>1</v>
      </c>
      <c r="K888" s="29"/>
      <c r="L888" s="30"/>
      <c r="M888" s="29"/>
      <c r="N888" s="20">
        <f>IF(J888=1, DATA_Johnstone_2023_50!M888, "")</f>
        <v>4</v>
      </c>
      <c r="O888" s="20">
        <f>IF($J888=1, DATA_Johnstone_2023_50!N888, "")</f>
        <v>3</v>
      </c>
      <c r="P888" s="49"/>
      <c r="Q888" s="20">
        <f>IF($J888=1, DATA_Johnstone_2023_50!P888, "")</f>
        <v>4</v>
      </c>
      <c r="AI888" s="75">
        <v>885</v>
      </c>
      <c r="AJ888" s="75">
        <v>100</v>
      </c>
    </row>
    <row r="889" spans="1:36" x14ac:dyDescent="0.35">
      <c r="A889">
        <v>4429</v>
      </c>
      <c r="B889">
        <v>4430</v>
      </c>
      <c r="C889">
        <v>146.05042209999999</v>
      </c>
      <c r="D889">
        <v>-17.52159898</v>
      </c>
      <c r="F889" t="s">
        <v>7522</v>
      </c>
      <c r="G889" s="1" t="str">
        <f t="shared" si="26"/>
        <v>4430_20240610_0005_L_3246.jpg</v>
      </c>
      <c r="H889">
        <v>2</v>
      </c>
      <c r="I889" t="str">
        <f t="shared" si="27"/>
        <v/>
      </c>
      <c r="J889" s="53">
        <f>IFERROR(VLOOKUP(B889, DATA_Johnstone_2024_ALL!B:J, 8, FALSE), "")</f>
        <v>1</v>
      </c>
      <c r="K889" s="29"/>
      <c r="L889" s="30"/>
      <c r="M889" s="29"/>
      <c r="N889" s="20">
        <f>IF(J889=1, DATA_Johnstone_2023_50!M889, "")</f>
        <v>4</v>
      </c>
      <c r="O889" s="20">
        <v>3</v>
      </c>
      <c r="P889" s="49"/>
      <c r="Q889" s="20">
        <v>4</v>
      </c>
      <c r="AI889" s="75">
        <v>886</v>
      </c>
      <c r="AJ889" s="75">
        <v>100</v>
      </c>
    </row>
    <row r="890" spans="1:36" x14ac:dyDescent="0.35">
      <c r="A890">
        <v>4434</v>
      </c>
      <c r="B890">
        <v>4435</v>
      </c>
      <c r="C890">
        <v>146.0508657</v>
      </c>
      <c r="D890">
        <v>-17.521443900000001</v>
      </c>
      <c r="F890" t="s">
        <v>7523</v>
      </c>
      <c r="G890" s="1" t="str">
        <f t="shared" si="26"/>
        <v>4435_20240610_0005_L_3258.jpg</v>
      </c>
      <c r="H890">
        <v>2</v>
      </c>
      <c r="I890" t="str">
        <f t="shared" si="27"/>
        <v/>
      </c>
      <c r="J890" s="53">
        <f>IFERROR(VLOOKUP(B890, DATA_Johnstone_2024_ALL!B:J, 8, FALSE), "")</f>
        <v>1</v>
      </c>
      <c r="K890" s="29"/>
      <c r="L890" s="30"/>
      <c r="M890" s="29"/>
      <c r="N890" s="20">
        <f>IF(J890=1, DATA_Johnstone_2023_50!M890, "")</f>
        <v>4</v>
      </c>
      <c r="O890" s="20">
        <v>3</v>
      </c>
      <c r="P890" s="49"/>
      <c r="Q890" s="20">
        <f>IF($J890=1, DATA_Johnstone_2023_50!P890, "")</f>
        <v>4</v>
      </c>
      <c r="AI890" s="75">
        <v>887</v>
      </c>
      <c r="AJ890" s="75">
        <v>100</v>
      </c>
    </row>
    <row r="891" spans="1:36" x14ac:dyDescent="0.35">
      <c r="A891">
        <v>4439</v>
      </c>
      <c r="B891">
        <v>4440</v>
      </c>
      <c r="C891">
        <v>146.05131950000001</v>
      </c>
      <c r="D891">
        <v>-17.521316420000002</v>
      </c>
      <c r="F891" t="s">
        <v>7524</v>
      </c>
      <c r="G891" s="1" t="str">
        <f t="shared" si="26"/>
        <v>4440_20240610_0005_L_3271.jpg</v>
      </c>
      <c r="H891">
        <v>2</v>
      </c>
      <c r="I891" t="str">
        <f t="shared" si="27"/>
        <v/>
      </c>
      <c r="J891" s="53">
        <f>IFERROR(VLOOKUP(B891, DATA_Johnstone_2024_ALL!B:J, 8, FALSE), "")</f>
        <v>1</v>
      </c>
      <c r="K891" s="29"/>
      <c r="L891" s="30"/>
      <c r="M891" s="29"/>
      <c r="N891" s="20">
        <f>IF(J891=1, DATA_Johnstone_2023_50!M891, "")</f>
        <v>4</v>
      </c>
      <c r="O891" s="20">
        <v>3</v>
      </c>
      <c r="P891" s="49"/>
      <c r="Q891" s="20">
        <f>IF($J891=1, DATA_Johnstone_2023_50!P891, "")</f>
        <v>4</v>
      </c>
      <c r="AI891" s="75">
        <v>888</v>
      </c>
      <c r="AJ891" s="75">
        <v>100</v>
      </c>
    </row>
    <row r="892" spans="1:36" x14ac:dyDescent="0.35">
      <c r="A892">
        <v>4444</v>
      </c>
      <c r="B892">
        <v>4445</v>
      </c>
      <c r="C892">
        <v>146.05177860000001</v>
      </c>
      <c r="D892">
        <v>-17.521208980000001</v>
      </c>
      <c r="F892" t="s">
        <v>7525</v>
      </c>
      <c r="G892" s="1" t="str">
        <f t="shared" si="26"/>
        <v>4445_20240610_0005_L_3281.jpg</v>
      </c>
      <c r="H892">
        <v>2</v>
      </c>
      <c r="I892" t="str">
        <f t="shared" si="27"/>
        <v/>
      </c>
      <c r="J892" s="53">
        <f>IFERROR(VLOOKUP(B892, DATA_Johnstone_2024_ALL!B:J, 8, FALSE), "")</f>
        <v>1</v>
      </c>
      <c r="K892" s="29"/>
      <c r="L892" s="30"/>
      <c r="M892" s="29"/>
      <c r="N892" s="20">
        <f>IF(J892=1, DATA_Johnstone_2023_50!M892, "")</f>
        <v>4</v>
      </c>
      <c r="O892" s="20">
        <f>IF($J892=1, DATA_Johnstone_2023_50!N892, "")</f>
        <v>4</v>
      </c>
      <c r="P892" s="49"/>
      <c r="Q892" s="20">
        <f>IF($J892=1, DATA_Johnstone_2023_50!P892, "")</f>
        <v>4</v>
      </c>
      <c r="AI892" s="75">
        <v>889</v>
      </c>
      <c r="AJ892" s="75">
        <v>100</v>
      </c>
    </row>
    <row r="893" spans="1:36" x14ac:dyDescent="0.35">
      <c r="A893">
        <v>4449</v>
      </c>
      <c r="B893">
        <v>4450</v>
      </c>
      <c r="C893">
        <v>146.05223910000001</v>
      </c>
      <c r="D893">
        <v>-17.521107990000001</v>
      </c>
      <c r="F893" t="s">
        <v>7526</v>
      </c>
      <c r="G893" s="1" t="str">
        <f t="shared" si="26"/>
        <v>4450_20240610_0005_L_3293.jpg</v>
      </c>
      <c r="H893">
        <v>2</v>
      </c>
      <c r="I893" t="str">
        <f t="shared" si="27"/>
        <v/>
      </c>
      <c r="J893" s="53">
        <f>IFERROR(VLOOKUP(B893, DATA_Johnstone_2024_ALL!B:J, 8, FALSE), "")</f>
        <v>1</v>
      </c>
      <c r="K893" s="29"/>
      <c r="L893" s="30"/>
      <c r="M893" s="29"/>
      <c r="N893" s="20">
        <f>IF(J893=1, DATA_Johnstone_2023_50!M893, "")</f>
        <v>4</v>
      </c>
      <c r="O893" s="20">
        <v>3</v>
      </c>
      <c r="P893" s="49"/>
      <c r="Q893" s="20">
        <f>IF($J893=1, DATA_Johnstone_2023_50!P893, "")</f>
        <v>4</v>
      </c>
      <c r="AI893" s="75">
        <v>890</v>
      </c>
      <c r="AJ893" s="75">
        <v>100</v>
      </c>
    </row>
    <row r="894" spans="1:36" x14ac:dyDescent="0.35">
      <c r="A894">
        <v>4454</v>
      </c>
      <c r="B894">
        <v>4455</v>
      </c>
      <c r="C894">
        <v>146.05270640000001</v>
      </c>
      <c r="D894">
        <v>-17.52111193</v>
      </c>
      <c r="F894" t="s">
        <v>7527</v>
      </c>
      <c r="G894" s="1" t="str">
        <f t="shared" si="26"/>
        <v>4455_20240610_0005_L_3305.jpg</v>
      </c>
      <c r="H894">
        <v>2</v>
      </c>
      <c r="I894" t="str">
        <f t="shared" si="27"/>
        <v/>
      </c>
      <c r="J894" s="53">
        <f>IFERROR(VLOOKUP(B894, DATA_Johnstone_2024_ALL!B:J, 8, FALSE), "")</f>
        <v>1</v>
      </c>
      <c r="K894" s="29"/>
      <c r="L894" s="30"/>
      <c r="M894" s="29"/>
      <c r="N894" s="20">
        <v>3</v>
      </c>
      <c r="O894" s="20">
        <v>3</v>
      </c>
      <c r="P894" s="49"/>
      <c r="Q894" s="20">
        <v>3</v>
      </c>
      <c r="AI894" s="75">
        <v>891</v>
      </c>
      <c r="AJ894" s="75">
        <v>100</v>
      </c>
    </row>
    <row r="895" spans="1:36" x14ac:dyDescent="0.35">
      <c r="A895">
        <v>4459</v>
      </c>
      <c r="B895">
        <v>4460</v>
      </c>
      <c r="C895">
        <v>146.05316880000001</v>
      </c>
      <c r="D895">
        <v>-17.521204359999999</v>
      </c>
      <c r="F895" t="s">
        <v>7528</v>
      </c>
      <c r="G895" s="1" t="str">
        <f t="shared" si="26"/>
        <v>4460_20240610_0005_L_3320.jpg</v>
      </c>
      <c r="H895">
        <v>2</v>
      </c>
      <c r="I895" t="str">
        <f t="shared" si="27"/>
        <v/>
      </c>
      <c r="J895" s="53">
        <f>IFERROR(VLOOKUP(B895, DATA_Johnstone_2024_ALL!B:J, 8, FALSE), "")</f>
        <v>0</v>
      </c>
      <c r="K895" s="29"/>
      <c r="L895" s="30"/>
      <c r="M895" s="29"/>
      <c r="N895" s="20" t="str">
        <f>IF(J895=1, DATA_Johnstone_2023_50!M895, "")</f>
        <v/>
      </c>
      <c r="O895" s="20" t="str">
        <f>IF($J895=1, DATA_Johnstone_2023_50!N895, "")</f>
        <v/>
      </c>
      <c r="P895" s="49"/>
      <c r="Q895" s="20" t="str">
        <f>IF($J895=1, DATA_Johnstone_2023_50!P895, "")</f>
        <v/>
      </c>
      <c r="AI895" s="75">
        <v>892</v>
      </c>
      <c r="AJ895" s="75">
        <v>100</v>
      </c>
    </row>
    <row r="896" spans="1:36" x14ac:dyDescent="0.35">
      <c r="A896">
        <v>4464</v>
      </c>
      <c r="B896">
        <v>4465</v>
      </c>
      <c r="C896">
        <v>146.05363030000001</v>
      </c>
      <c r="D896">
        <v>-17.521300960000001</v>
      </c>
      <c r="F896" t="s">
        <v>7529</v>
      </c>
      <c r="G896" s="1" t="str">
        <f t="shared" si="26"/>
        <v>4465_20240610_0005_L_3332.jpg</v>
      </c>
      <c r="H896">
        <v>2</v>
      </c>
      <c r="I896" t="str">
        <f t="shared" si="27"/>
        <v/>
      </c>
      <c r="J896" s="53">
        <f>IFERROR(VLOOKUP(B896, DATA_Johnstone_2024_ALL!B:J, 8, FALSE), "")</f>
        <v>0</v>
      </c>
      <c r="K896" s="29"/>
      <c r="L896" s="30"/>
      <c r="M896" s="29"/>
      <c r="N896" s="20" t="str">
        <f>IF(J896=1, DATA_Johnstone_2023_50!M896, "")</f>
        <v/>
      </c>
      <c r="O896" s="20" t="str">
        <f>IF($J896=1, DATA_Johnstone_2023_50!N896, "")</f>
        <v/>
      </c>
      <c r="P896" s="49"/>
      <c r="Q896" s="20" t="str">
        <f>IF($J896=1, DATA_Johnstone_2023_50!P896, "")</f>
        <v/>
      </c>
      <c r="AI896" s="75">
        <v>893</v>
      </c>
      <c r="AJ896" s="75">
        <v>100</v>
      </c>
    </row>
    <row r="897" spans="1:36" x14ac:dyDescent="0.35">
      <c r="A897">
        <v>4469</v>
      </c>
      <c r="B897">
        <v>4470</v>
      </c>
      <c r="C897">
        <v>146.05409560000001</v>
      </c>
      <c r="D897">
        <v>-17.521376149999998</v>
      </c>
      <c r="F897" t="s">
        <v>7530</v>
      </c>
      <c r="G897" s="1" t="str">
        <f t="shared" si="26"/>
        <v>4470_20240610_0005_L_3346.jpg</v>
      </c>
      <c r="H897">
        <v>2</v>
      </c>
      <c r="I897" t="str">
        <f t="shared" si="27"/>
        <v/>
      </c>
      <c r="J897" s="53">
        <f>IFERROR(VLOOKUP(B897, DATA_Johnstone_2024_ALL!B:J, 8, FALSE), "")</f>
        <v>1</v>
      </c>
      <c r="K897" s="29"/>
      <c r="L897" s="30"/>
      <c r="M897" s="29"/>
      <c r="N897" s="20">
        <v>1</v>
      </c>
      <c r="O897" s="20">
        <v>4</v>
      </c>
      <c r="P897" s="49"/>
      <c r="Q897" s="20">
        <v>4</v>
      </c>
      <c r="AI897" s="75">
        <v>894</v>
      </c>
      <c r="AJ897" s="75">
        <v>100</v>
      </c>
    </row>
    <row r="898" spans="1:36" x14ac:dyDescent="0.35">
      <c r="A898">
        <v>4474</v>
      </c>
      <c r="B898">
        <v>4475</v>
      </c>
      <c r="C898">
        <v>146.05455549999999</v>
      </c>
      <c r="D898">
        <v>-17.521479630000002</v>
      </c>
      <c r="F898" t="s">
        <v>7531</v>
      </c>
      <c r="G898" s="1" t="str">
        <f t="shared" si="26"/>
        <v>4475_20240610_0005_L_3360.jpg</v>
      </c>
      <c r="H898">
        <v>2</v>
      </c>
      <c r="I898" t="str">
        <f t="shared" si="27"/>
        <v/>
      </c>
      <c r="J898" s="53">
        <f>IFERROR(VLOOKUP(B898, DATA_Johnstone_2024_ALL!B:J, 8, FALSE), "")</f>
        <v>1</v>
      </c>
      <c r="K898" s="29"/>
      <c r="L898" s="30"/>
      <c r="M898" s="29"/>
      <c r="N898" s="20">
        <v>3</v>
      </c>
      <c r="O898" s="20">
        <v>3</v>
      </c>
      <c r="P898" s="49"/>
      <c r="Q898" s="20">
        <v>4</v>
      </c>
      <c r="AI898" s="75">
        <v>895</v>
      </c>
      <c r="AJ898" s="75">
        <v>100</v>
      </c>
    </row>
    <row r="899" spans="1:36" x14ac:dyDescent="0.35">
      <c r="A899">
        <v>4479</v>
      </c>
      <c r="B899">
        <v>4480</v>
      </c>
      <c r="C899">
        <v>146.05501530000001</v>
      </c>
      <c r="D899">
        <v>-17.521584359999999</v>
      </c>
      <c r="F899" t="s">
        <v>7532</v>
      </c>
      <c r="G899" s="1" t="str">
        <f t="shared" si="26"/>
        <v>4480_20240610_0005_L_3373.jpg</v>
      </c>
      <c r="H899">
        <v>2</v>
      </c>
      <c r="I899" t="str">
        <f t="shared" si="27"/>
        <v/>
      </c>
      <c r="J899" s="53">
        <f>IFERROR(VLOOKUP(B899, DATA_Johnstone_2024_ALL!B:J, 8, FALSE), "")</f>
        <v>1</v>
      </c>
      <c r="K899" s="29"/>
      <c r="L899" s="30"/>
      <c r="M899" s="29"/>
      <c r="N899" s="20">
        <v>3</v>
      </c>
      <c r="O899" s="20">
        <f>IF($J899=1, DATA_Johnstone_2023_50!N899, "")</f>
        <v>3</v>
      </c>
      <c r="P899" s="49"/>
      <c r="Q899" s="20">
        <f>IF($J899=1, DATA_Johnstone_2023_50!P899, "")</f>
        <v>4</v>
      </c>
      <c r="AI899" s="75">
        <v>896</v>
      </c>
      <c r="AJ899" s="75">
        <v>100</v>
      </c>
    </row>
    <row r="900" spans="1:36" x14ac:dyDescent="0.35">
      <c r="A900">
        <v>4484</v>
      </c>
      <c r="B900">
        <v>4485</v>
      </c>
      <c r="C900">
        <v>146.0554836</v>
      </c>
      <c r="D900">
        <v>-17.521634219999999</v>
      </c>
      <c r="F900" t="s">
        <v>7533</v>
      </c>
      <c r="G900" s="1" t="str">
        <f t="shared" si="26"/>
        <v>4485_20240610_0005_L_3394.jpg</v>
      </c>
      <c r="H900">
        <v>2</v>
      </c>
      <c r="I900" t="str">
        <f t="shared" si="27"/>
        <v/>
      </c>
      <c r="J900" s="53">
        <f>IFERROR(VLOOKUP(B900, DATA_Johnstone_2024_ALL!B:J, 8, FALSE), "")</f>
        <v>1</v>
      </c>
      <c r="K900" s="29"/>
      <c r="L900" s="30"/>
      <c r="M900" s="29"/>
      <c r="N900" s="20">
        <f>IF(J900=1, DATA_Johnstone_2023_50!M900, "")</f>
        <v>3</v>
      </c>
      <c r="O900" s="20">
        <v>4</v>
      </c>
      <c r="P900" s="49"/>
      <c r="Q900" s="20">
        <f>IF($J900=1, DATA_Johnstone_2023_50!P900, "")</f>
        <v>4</v>
      </c>
      <c r="AI900" s="75">
        <v>897</v>
      </c>
      <c r="AJ900" s="75">
        <v>100</v>
      </c>
    </row>
    <row r="901" spans="1:36" x14ac:dyDescent="0.35">
      <c r="A901">
        <v>4489</v>
      </c>
      <c r="B901">
        <v>4490</v>
      </c>
      <c r="C901">
        <v>146.0559528</v>
      </c>
      <c r="D901">
        <v>-17.521615329999999</v>
      </c>
      <c r="F901" t="s">
        <v>7534</v>
      </c>
      <c r="G901" s="1" t="str">
        <f t="shared" ref="G901:G964" si="28">IF(F901="", "", HYPERLINK("E:\Data From Lucan\2024\Johnstone\Frames_for_Analysis_50\" &amp; F901, F901))</f>
        <v>4490_20240610_0005_L_3430.jpg</v>
      </c>
      <c r="H901">
        <v>2</v>
      </c>
      <c r="I901" t="str">
        <f t="shared" ref="I901:I964" si="29">IF(G901="","X","")</f>
        <v/>
      </c>
      <c r="J901" s="53">
        <f>IFERROR(VLOOKUP(B901, DATA_Johnstone_2024_ALL!B:J, 8, FALSE), "")</f>
        <v>1</v>
      </c>
      <c r="K901" s="29"/>
      <c r="L901" s="30"/>
      <c r="M901" s="29"/>
      <c r="N901" s="20">
        <v>3</v>
      </c>
      <c r="O901" s="20">
        <v>3</v>
      </c>
      <c r="P901" s="49"/>
      <c r="Q901" s="20">
        <v>3</v>
      </c>
      <c r="AI901" s="75">
        <v>898</v>
      </c>
      <c r="AJ901" s="75">
        <v>100</v>
      </c>
    </row>
    <row r="902" spans="1:36" x14ac:dyDescent="0.35">
      <c r="A902">
        <v>4494</v>
      </c>
      <c r="B902">
        <v>4495</v>
      </c>
      <c r="C902">
        <v>146.05637490000001</v>
      </c>
      <c r="D902">
        <v>-17.521416169999998</v>
      </c>
      <c r="G902" s="1" t="str">
        <f t="shared" si="28"/>
        <v/>
      </c>
      <c r="H902">
        <v>2</v>
      </c>
      <c r="I902" t="str">
        <f t="shared" si="29"/>
        <v>X</v>
      </c>
      <c r="J902" s="53" t="str">
        <f>IFERROR(VLOOKUP(B902, DATA_Johnstone_2024_ALL!B:J, 8, FALSE), "")</f>
        <v>X</v>
      </c>
      <c r="K902" s="29"/>
      <c r="L902" s="30"/>
      <c r="M902" s="29"/>
      <c r="N902" s="20" t="str">
        <f>IF(J902=1, DATA_Johnstone_2023_50!M902, "")</f>
        <v/>
      </c>
      <c r="O902" s="20" t="str">
        <f>IF($J902=1, DATA_Johnstone_2023_50!N902, "")</f>
        <v/>
      </c>
      <c r="P902" s="49"/>
      <c r="Q902" s="20" t="str">
        <f>IF($J902=1, DATA_Johnstone_2023_50!P902, "")</f>
        <v/>
      </c>
      <c r="AI902" s="75">
        <v>899</v>
      </c>
      <c r="AJ902" s="75">
        <v>100</v>
      </c>
    </row>
    <row r="903" spans="1:36" x14ac:dyDescent="0.35">
      <c r="A903">
        <v>4499</v>
      </c>
      <c r="B903">
        <v>4500</v>
      </c>
      <c r="C903">
        <v>146.05676639999999</v>
      </c>
      <c r="D903">
        <v>-17.521158660000001</v>
      </c>
      <c r="F903" t="s">
        <v>7535</v>
      </c>
      <c r="G903" s="1" t="str">
        <f t="shared" si="28"/>
        <v>4500_20240610_0002_R_0906.jpg</v>
      </c>
      <c r="H903">
        <v>2</v>
      </c>
      <c r="I903" t="str">
        <f t="shared" si="29"/>
        <v/>
      </c>
      <c r="J903" s="53">
        <f>IFERROR(VLOOKUP(B903, DATA_Johnstone_2024_ALL!B:J, 8, FALSE), "")</f>
        <v>1</v>
      </c>
      <c r="K903" s="29"/>
      <c r="L903" s="30"/>
      <c r="M903" s="29"/>
      <c r="N903" s="20">
        <v>1</v>
      </c>
      <c r="O903" s="20">
        <v>1</v>
      </c>
      <c r="P903" s="49"/>
      <c r="Q903" s="20">
        <v>3</v>
      </c>
      <c r="AI903" s="75">
        <v>900</v>
      </c>
      <c r="AJ903" s="75">
        <v>100</v>
      </c>
    </row>
    <row r="904" spans="1:36" x14ac:dyDescent="0.35">
      <c r="A904">
        <v>4504</v>
      </c>
      <c r="B904">
        <v>4505</v>
      </c>
      <c r="C904">
        <v>146.05707749999999</v>
      </c>
      <c r="D904">
        <v>-17.520807470000001</v>
      </c>
      <c r="F904" t="s">
        <v>7536</v>
      </c>
      <c r="G904" s="1" t="str">
        <f t="shared" si="28"/>
        <v>4505_20240610_0002_R_0876.jpg</v>
      </c>
      <c r="H904">
        <v>2</v>
      </c>
      <c r="I904" t="str">
        <f t="shared" si="29"/>
        <v/>
      </c>
      <c r="J904" s="53">
        <f>IFERROR(VLOOKUP(B904, DATA_Johnstone_2024_ALL!B:J, 8, FALSE), "")</f>
        <v>0</v>
      </c>
      <c r="K904" s="29"/>
      <c r="L904" s="30"/>
      <c r="M904" s="29"/>
      <c r="N904" s="20" t="str">
        <f>IF(J904=1, DATA_Johnstone_2023_50!M904, "")</f>
        <v/>
      </c>
      <c r="O904" s="20" t="str">
        <f>IF($J904=1, DATA_Johnstone_2023_50!N904, "")</f>
        <v/>
      </c>
      <c r="P904" s="49"/>
      <c r="Q904" s="20" t="str">
        <f>IF($J904=1, DATA_Johnstone_2023_50!P904, "")</f>
        <v/>
      </c>
      <c r="AI904" s="75">
        <v>901</v>
      </c>
      <c r="AJ904" s="75">
        <v>100</v>
      </c>
    </row>
    <row r="905" spans="1:36" x14ac:dyDescent="0.35">
      <c r="A905">
        <v>4509</v>
      </c>
      <c r="B905">
        <v>4510</v>
      </c>
      <c r="C905">
        <v>146.0574786</v>
      </c>
      <c r="D905">
        <v>-17.520564530000001</v>
      </c>
      <c r="F905" t="s">
        <v>7537</v>
      </c>
      <c r="G905" s="1" t="str">
        <f t="shared" si="28"/>
        <v>4510_20240610_0002_R_0836.jpg</v>
      </c>
      <c r="H905">
        <v>2</v>
      </c>
      <c r="I905" t="str">
        <f t="shared" si="29"/>
        <v/>
      </c>
      <c r="J905" s="53">
        <f>IFERROR(VLOOKUP(B905, DATA_Johnstone_2024_ALL!B:J, 8, FALSE), "")</f>
        <v>0</v>
      </c>
      <c r="K905" s="29"/>
      <c r="L905" s="30"/>
      <c r="M905" s="29"/>
      <c r="N905" s="20" t="str">
        <f>IF(J905=1, DATA_Johnstone_2023_50!M905, "")</f>
        <v/>
      </c>
      <c r="O905" s="20" t="str">
        <f>IF($J905=1, DATA_Johnstone_2023_50!N905, "")</f>
        <v/>
      </c>
      <c r="P905" s="49"/>
      <c r="Q905" s="20" t="str">
        <f>IF($J905=1, DATA_Johnstone_2023_50!P905, "")</f>
        <v/>
      </c>
      <c r="AI905" s="75">
        <v>902</v>
      </c>
      <c r="AJ905" s="75">
        <v>100</v>
      </c>
    </row>
    <row r="906" spans="1:36" x14ac:dyDescent="0.35">
      <c r="A906">
        <v>4514</v>
      </c>
      <c r="B906">
        <v>4515</v>
      </c>
      <c r="C906">
        <v>146.0578103</v>
      </c>
      <c r="D906">
        <v>-17.520231169999999</v>
      </c>
      <c r="F906" t="s">
        <v>7538</v>
      </c>
      <c r="G906" s="1" t="str">
        <f t="shared" si="28"/>
        <v>4515_20240610_0002_R_0813.jpg</v>
      </c>
      <c r="H906">
        <v>2</v>
      </c>
      <c r="I906" t="str">
        <f t="shared" si="29"/>
        <v/>
      </c>
      <c r="J906" s="53">
        <f>IFERROR(VLOOKUP(B906, DATA_Johnstone_2024_ALL!B:J, 8, FALSE), "")</f>
        <v>0</v>
      </c>
      <c r="K906" s="29"/>
      <c r="L906" s="30"/>
      <c r="M906" s="29"/>
      <c r="N906" s="20" t="str">
        <f>IF(J906=1, DATA_Johnstone_2023_50!M906, "")</f>
        <v/>
      </c>
      <c r="O906" s="20" t="str">
        <f>IF($J906=1, DATA_Johnstone_2023_50!N906, "")</f>
        <v/>
      </c>
      <c r="P906" s="49"/>
      <c r="Q906" s="20" t="str">
        <f>IF($J906=1, DATA_Johnstone_2023_50!P906, "")</f>
        <v/>
      </c>
      <c r="AI906" s="75">
        <v>903</v>
      </c>
      <c r="AJ906" s="75">
        <v>100</v>
      </c>
    </row>
    <row r="907" spans="1:36" x14ac:dyDescent="0.35">
      <c r="A907">
        <v>4519</v>
      </c>
      <c r="B907">
        <v>4520</v>
      </c>
      <c r="C907">
        <v>146.05801030000001</v>
      </c>
      <c r="D907">
        <v>-17.51980434</v>
      </c>
      <c r="F907" t="s">
        <v>7539</v>
      </c>
      <c r="G907" s="1" t="str">
        <f t="shared" si="28"/>
        <v>4520_20240610_0002_R_0795.jpg</v>
      </c>
      <c r="H907">
        <v>2</v>
      </c>
      <c r="I907" t="str">
        <f t="shared" si="29"/>
        <v/>
      </c>
      <c r="J907" s="53">
        <f>IFERROR(VLOOKUP(B907, DATA_Johnstone_2024_ALL!B:J, 8, FALSE), "")</f>
        <v>0</v>
      </c>
      <c r="K907" s="29"/>
      <c r="L907" s="30"/>
      <c r="M907" s="29"/>
      <c r="N907" s="20" t="str">
        <f>IF(J907=1, DATA_Johnstone_2023_50!M907, "")</f>
        <v/>
      </c>
      <c r="O907" s="20" t="str">
        <f>IF($J907=1, DATA_Johnstone_2023_50!N907, "")</f>
        <v/>
      </c>
      <c r="P907" s="49"/>
      <c r="Q907" s="20" t="str">
        <f>IF($J907=1, DATA_Johnstone_2023_50!P907, "")</f>
        <v/>
      </c>
      <c r="AI907" s="75">
        <v>904</v>
      </c>
      <c r="AJ907" s="75">
        <v>100</v>
      </c>
    </row>
    <row r="908" spans="1:36" x14ac:dyDescent="0.35">
      <c r="A908">
        <v>4524</v>
      </c>
      <c r="B908">
        <v>4525</v>
      </c>
      <c r="C908">
        <v>146.05820249999999</v>
      </c>
      <c r="D908">
        <v>-17.519373760000001</v>
      </c>
      <c r="F908" t="s">
        <v>7540</v>
      </c>
      <c r="G908" s="1" t="str">
        <f t="shared" si="28"/>
        <v>4525_20240610_0002_R_0767.jpg</v>
      </c>
      <c r="H908">
        <v>2</v>
      </c>
      <c r="I908" t="str">
        <f t="shared" si="29"/>
        <v/>
      </c>
      <c r="J908" s="53">
        <f>IFERROR(VLOOKUP(B908, DATA_Johnstone_2024_ALL!B:J, 8, FALSE), "")</f>
        <v>0</v>
      </c>
      <c r="K908" s="29"/>
      <c r="L908" s="30"/>
      <c r="M908" s="29"/>
      <c r="N908" s="20" t="str">
        <f>IF(J908=1, DATA_Johnstone_2023_50!M908, "")</f>
        <v/>
      </c>
      <c r="O908" s="20" t="str">
        <f>IF($J908=1, DATA_Johnstone_2023_50!N908, "")</f>
        <v/>
      </c>
      <c r="P908" s="49"/>
      <c r="Q908" s="20" t="str">
        <f>IF($J908=1, DATA_Johnstone_2023_50!P908, "")</f>
        <v/>
      </c>
      <c r="AI908" s="75">
        <v>905</v>
      </c>
      <c r="AJ908" s="75">
        <v>100</v>
      </c>
    </row>
    <row r="909" spans="1:36" x14ac:dyDescent="0.35">
      <c r="A909">
        <v>4529</v>
      </c>
      <c r="B909">
        <v>4530</v>
      </c>
      <c r="C909">
        <v>146.05830220000001</v>
      </c>
      <c r="D909">
        <v>-17.518926090000001</v>
      </c>
      <c r="F909" t="s">
        <v>7541</v>
      </c>
      <c r="G909" s="1" t="str">
        <f t="shared" si="28"/>
        <v>4530_20240610_0002_R_0720.jpg</v>
      </c>
      <c r="H909">
        <v>2</v>
      </c>
      <c r="I909" t="str">
        <f t="shared" si="29"/>
        <v/>
      </c>
      <c r="J909" s="53">
        <f>IFERROR(VLOOKUP(B909, DATA_Johnstone_2024_ALL!B:J, 8, FALSE), "")</f>
        <v>1</v>
      </c>
      <c r="K909" s="29"/>
      <c r="L909" s="30"/>
      <c r="M909" s="29"/>
      <c r="N909" s="20">
        <v>1</v>
      </c>
      <c r="O909" s="20">
        <v>3</v>
      </c>
      <c r="P909" s="49"/>
      <c r="Q909" s="20">
        <v>2</v>
      </c>
      <c r="AI909" s="75">
        <v>906</v>
      </c>
      <c r="AJ909" s="75">
        <v>100</v>
      </c>
    </row>
    <row r="910" spans="1:36" x14ac:dyDescent="0.35">
      <c r="A910">
        <v>4534</v>
      </c>
      <c r="B910">
        <v>4535</v>
      </c>
      <c r="C910">
        <v>146.05792009999999</v>
      </c>
      <c r="D910">
        <v>-17.518674059999999</v>
      </c>
      <c r="F910" t="s">
        <v>7542</v>
      </c>
      <c r="G910" s="1" t="str">
        <f t="shared" si="28"/>
        <v>4535_20240610_0002_R_0690.jpg</v>
      </c>
      <c r="H910">
        <v>2</v>
      </c>
      <c r="I910" t="str">
        <f t="shared" si="29"/>
        <v/>
      </c>
      <c r="J910" s="53">
        <f>IFERROR(VLOOKUP(B910, DATA_Johnstone_2024_ALL!B:J, 8, FALSE), "")</f>
        <v>1</v>
      </c>
      <c r="K910" s="29"/>
      <c r="L910" s="30"/>
      <c r="M910" s="29"/>
      <c r="N910" s="20">
        <f>IF(J910=1, DATA_Johnstone_2023_50!M910, "")</f>
        <v>4</v>
      </c>
      <c r="O910" s="20">
        <v>3</v>
      </c>
      <c r="P910" s="49"/>
      <c r="Q910" s="20">
        <v>3</v>
      </c>
      <c r="AI910" s="75">
        <v>907</v>
      </c>
      <c r="AJ910" s="75">
        <v>100</v>
      </c>
    </row>
    <row r="911" spans="1:36" x14ac:dyDescent="0.35">
      <c r="A911">
        <v>4539</v>
      </c>
      <c r="B911">
        <v>4540</v>
      </c>
      <c r="C911">
        <v>146.05752290000001</v>
      </c>
      <c r="D911">
        <v>-17.518423429999999</v>
      </c>
      <c r="F911" t="s">
        <v>7543</v>
      </c>
      <c r="G911" s="1" t="str">
        <f t="shared" si="28"/>
        <v>4540_20240610_0002_R_0655.jpg</v>
      </c>
      <c r="H911">
        <v>2</v>
      </c>
      <c r="I911" t="str">
        <f t="shared" si="29"/>
        <v/>
      </c>
      <c r="J911" s="53">
        <f>IFERROR(VLOOKUP(B911, DATA_Johnstone_2024_ALL!B:J, 8, FALSE), "")</f>
        <v>1</v>
      </c>
      <c r="K911" s="29"/>
      <c r="L911" s="30"/>
      <c r="M911" s="29"/>
      <c r="N911" s="20">
        <f>IF(J911=1, DATA_Johnstone_2023_50!M911, "")</f>
        <v>4</v>
      </c>
      <c r="O911" s="20">
        <f>IF($J911=1, DATA_Johnstone_2023_50!N911, "")</f>
        <v>4</v>
      </c>
      <c r="P911" s="49"/>
      <c r="Q911" s="20">
        <v>3</v>
      </c>
      <c r="AI911" s="75">
        <v>908</v>
      </c>
      <c r="AJ911" s="75">
        <v>100</v>
      </c>
    </row>
    <row r="912" spans="1:36" x14ac:dyDescent="0.35">
      <c r="A912">
        <v>4544</v>
      </c>
      <c r="B912">
        <v>4545</v>
      </c>
      <c r="C912">
        <v>146.05719629999999</v>
      </c>
      <c r="D912">
        <v>-17.518088729999999</v>
      </c>
      <c r="F912" t="s">
        <v>7544</v>
      </c>
      <c r="G912" s="1" t="str">
        <f t="shared" si="28"/>
        <v>4545_20240610_0002_R_0635.jpg</v>
      </c>
      <c r="H912">
        <v>2</v>
      </c>
      <c r="I912" t="str">
        <f t="shared" si="29"/>
        <v/>
      </c>
      <c r="J912" s="53">
        <f>IFERROR(VLOOKUP(B912, DATA_Johnstone_2024_ALL!B:J, 8, FALSE), "")</f>
        <v>1</v>
      </c>
      <c r="K912" s="29"/>
      <c r="L912" s="30"/>
      <c r="M912" s="29"/>
      <c r="N912" s="20">
        <f>IF(J912=1, DATA_Johnstone_2023_50!M912, "")</f>
        <v>4</v>
      </c>
      <c r="O912" s="20">
        <f>IF($J912=1, DATA_Johnstone_2023_50!N912, "")</f>
        <v>4</v>
      </c>
      <c r="P912" s="49"/>
      <c r="Q912" s="20">
        <f>IF($J912=1, DATA_Johnstone_2023_50!P912, "")</f>
        <v>3</v>
      </c>
      <c r="AI912" s="75">
        <v>909</v>
      </c>
      <c r="AJ912" s="75">
        <v>100</v>
      </c>
    </row>
    <row r="913" spans="1:36" x14ac:dyDescent="0.35">
      <c r="A913">
        <v>4549</v>
      </c>
      <c r="B913">
        <v>4550</v>
      </c>
      <c r="C913">
        <v>146.0568925</v>
      </c>
      <c r="D913">
        <v>-17.51773034</v>
      </c>
      <c r="F913" t="s">
        <v>7545</v>
      </c>
      <c r="G913" s="1" t="str">
        <f t="shared" si="28"/>
        <v>4550_20240610_0002_R_0620.jpg</v>
      </c>
      <c r="H913">
        <v>2</v>
      </c>
      <c r="I913" t="str">
        <f t="shared" si="29"/>
        <v/>
      </c>
      <c r="J913" s="53">
        <f>IFERROR(VLOOKUP(B913, DATA_Johnstone_2024_ALL!B:J, 8, FALSE), "")</f>
        <v>1</v>
      </c>
      <c r="K913" s="29"/>
      <c r="L913" s="30"/>
      <c r="M913" s="29"/>
      <c r="N913" s="20">
        <f>IF(J913=1, DATA_Johnstone_2023_50!M913, "")</f>
        <v>4</v>
      </c>
      <c r="O913" s="20">
        <f>IF($J913=1, DATA_Johnstone_2023_50!N913, "")</f>
        <v>4</v>
      </c>
      <c r="P913" s="49"/>
      <c r="Q913" s="20">
        <v>4</v>
      </c>
      <c r="AI913" s="75">
        <v>910</v>
      </c>
      <c r="AJ913" s="75">
        <v>100</v>
      </c>
    </row>
    <row r="914" spans="1:36" x14ac:dyDescent="0.35">
      <c r="A914">
        <v>4554</v>
      </c>
      <c r="B914">
        <v>4555</v>
      </c>
      <c r="C914">
        <v>146.05659800000001</v>
      </c>
      <c r="D914">
        <v>-17.517362370000001</v>
      </c>
      <c r="F914" t="s">
        <v>7546</v>
      </c>
      <c r="G914" s="1" t="str">
        <f t="shared" si="28"/>
        <v>4555_20240610_0002_R_0601.jpg</v>
      </c>
      <c r="H914">
        <v>2</v>
      </c>
      <c r="I914" t="str">
        <f t="shared" si="29"/>
        <v/>
      </c>
      <c r="J914" s="53">
        <f>IFERROR(VLOOKUP(B914, DATA_Johnstone_2024_ALL!B:J, 8, FALSE), "")</f>
        <v>1</v>
      </c>
      <c r="K914" s="29"/>
      <c r="L914" s="30"/>
      <c r="M914" s="29"/>
      <c r="N914" s="20">
        <f>IF(J914=1, DATA_Johnstone_2023_50!M914, "")</f>
        <v>4</v>
      </c>
      <c r="O914" s="20">
        <v>3</v>
      </c>
      <c r="P914" s="49"/>
      <c r="Q914" s="20">
        <f>IF($J914=1, DATA_Johnstone_2023_50!P914, "")</f>
        <v>3</v>
      </c>
      <c r="AI914" s="75">
        <v>911</v>
      </c>
      <c r="AJ914" s="75">
        <v>100</v>
      </c>
    </row>
    <row r="915" spans="1:36" x14ac:dyDescent="0.35">
      <c r="A915">
        <v>4559</v>
      </c>
      <c r="B915">
        <v>4560</v>
      </c>
      <c r="C915">
        <v>146.05632510000001</v>
      </c>
      <c r="D915">
        <v>-17.51697832</v>
      </c>
      <c r="F915" t="s">
        <v>7547</v>
      </c>
      <c r="G915" s="1" t="str">
        <f t="shared" si="28"/>
        <v>4560_20240610_0002_R_0580.jpg</v>
      </c>
      <c r="H915">
        <v>2</v>
      </c>
      <c r="I915" t="str">
        <f t="shared" si="29"/>
        <v/>
      </c>
      <c r="J915" s="53">
        <f>IFERROR(VLOOKUP(B915, DATA_Johnstone_2024_ALL!B:J, 8, FALSE), "")</f>
        <v>1</v>
      </c>
      <c r="K915" s="29"/>
      <c r="L915" s="30"/>
      <c r="M915" s="29"/>
      <c r="N915" s="20">
        <f>IF(J915=1, DATA_Johnstone_2023_50!M915, "")</f>
        <v>4</v>
      </c>
      <c r="O915" s="20">
        <f>IF($J915=1, DATA_Johnstone_2023_50!N915, "")</f>
        <v>4</v>
      </c>
      <c r="P915" s="49"/>
      <c r="Q915" s="20">
        <v>3</v>
      </c>
      <c r="AI915" s="75">
        <v>912</v>
      </c>
      <c r="AJ915" s="75">
        <v>100</v>
      </c>
    </row>
    <row r="916" spans="1:36" x14ac:dyDescent="0.35">
      <c r="A916">
        <v>4564</v>
      </c>
      <c r="B916">
        <v>4565</v>
      </c>
      <c r="C916">
        <v>146.0561702</v>
      </c>
      <c r="D916">
        <v>-17.516534719999999</v>
      </c>
      <c r="F916" t="s">
        <v>7548</v>
      </c>
      <c r="G916" s="1" t="str">
        <f t="shared" si="28"/>
        <v>4565_20240610_0002_R_0562.jpg</v>
      </c>
      <c r="H916">
        <v>2</v>
      </c>
      <c r="I916" t="str">
        <f t="shared" si="29"/>
        <v/>
      </c>
      <c r="J916" s="53">
        <f>IFERROR(VLOOKUP(B916, DATA_Johnstone_2024_ALL!B:J, 8, FALSE), "")</f>
        <v>1</v>
      </c>
      <c r="K916" s="29"/>
      <c r="L916" s="30"/>
      <c r="M916" s="29"/>
      <c r="N916" s="20">
        <v>4</v>
      </c>
      <c r="O916" s="20">
        <f>IF($J916=1, DATA_Johnstone_2023_50!N916, "")</f>
        <v>4</v>
      </c>
      <c r="P916" s="49"/>
      <c r="Q916" s="20">
        <f>IF($J916=1, DATA_Johnstone_2023_50!P916, "")</f>
        <v>4</v>
      </c>
      <c r="AI916" s="75">
        <v>913</v>
      </c>
      <c r="AJ916" s="75">
        <v>100</v>
      </c>
    </row>
    <row r="917" spans="1:36" x14ac:dyDescent="0.35">
      <c r="A917">
        <v>4569</v>
      </c>
      <c r="B917">
        <v>4570</v>
      </c>
      <c r="C917">
        <v>146.0560399</v>
      </c>
      <c r="D917">
        <v>-17.51608242</v>
      </c>
      <c r="F917" t="s">
        <v>7549</v>
      </c>
      <c r="G917" s="1" t="str">
        <f t="shared" si="28"/>
        <v>4570_20240610_0002_R_0544.jpg</v>
      </c>
      <c r="H917">
        <v>2</v>
      </c>
      <c r="I917" t="str">
        <f t="shared" si="29"/>
        <v/>
      </c>
      <c r="J917" s="53">
        <f>IFERROR(VLOOKUP(B917, DATA_Johnstone_2024_ALL!B:J, 8, FALSE), "")</f>
        <v>1</v>
      </c>
      <c r="K917" s="29"/>
      <c r="L917" s="30"/>
      <c r="M917" s="29"/>
      <c r="N917" s="20">
        <f>IF(J917=1, DATA_Johnstone_2023_50!M917, "")</f>
        <v>4</v>
      </c>
      <c r="O917" s="20">
        <f>IF($J917=1, DATA_Johnstone_2023_50!N917, "")</f>
        <v>4</v>
      </c>
      <c r="P917" s="49"/>
      <c r="Q917" s="20">
        <v>3</v>
      </c>
      <c r="AI917" s="75">
        <v>914</v>
      </c>
      <c r="AJ917" s="75">
        <v>100</v>
      </c>
    </row>
    <row r="918" spans="1:36" s="83" customFormat="1" x14ac:dyDescent="0.35">
      <c r="A918">
        <v>4574</v>
      </c>
      <c r="B918">
        <v>4575</v>
      </c>
      <c r="C918">
        <v>146.05595819999999</v>
      </c>
      <c r="D918">
        <v>-17.515618029999999</v>
      </c>
      <c r="E918"/>
      <c r="F918"/>
      <c r="G918" s="82" t="str">
        <f t="shared" si="28"/>
        <v/>
      </c>
      <c r="H918" s="83">
        <v>2</v>
      </c>
      <c r="J918" s="84">
        <f>IFERROR(VLOOKUP(B918, DATA_Johnstone_2024_ALL!B:J, 8, FALSE), "")</f>
        <v>1</v>
      </c>
      <c r="K918" s="29"/>
      <c r="L918" s="30"/>
      <c r="M918" s="29"/>
      <c r="N918" s="85">
        <f>IF(J918=1, DATA_Johnstone_2023_50!M918, "")</f>
        <v>4</v>
      </c>
      <c r="O918" s="85">
        <f>IF($J918=1, DATA_Johnstone_2023_50!N918, "")</f>
        <v>4</v>
      </c>
      <c r="P918" s="49"/>
      <c r="Q918" s="85">
        <f>IF($J918=1, DATA_Johnstone_2023_50!P918, "")</f>
        <v>3</v>
      </c>
      <c r="R918" s="21"/>
      <c r="S918" s="22"/>
      <c r="T918" s="42"/>
      <c r="U918" s="37"/>
      <c r="V918" s="38"/>
      <c r="W918" s="45"/>
      <c r="AI918" s="83">
        <v>915</v>
      </c>
      <c r="AJ918" s="83">
        <v>100</v>
      </c>
    </row>
    <row r="919" spans="1:36" s="83" customFormat="1" x14ac:dyDescent="0.35">
      <c r="A919">
        <v>4579</v>
      </c>
      <c r="B919">
        <v>4580</v>
      </c>
      <c r="C919">
        <v>146.0558891</v>
      </c>
      <c r="D919">
        <v>-17.515151929999998</v>
      </c>
      <c r="E919"/>
      <c r="F919"/>
      <c r="G919" s="82" t="str">
        <f t="shared" si="28"/>
        <v/>
      </c>
      <c r="H919" s="83">
        <v>2</v>
      </c>
      <c r="J919" s="84">
        <f>IFERROR(VLOOKUP(B919, DATA_Johnstone_2024_ALL!B:J, 8, FALSE), "")</f>
        <v>1</v>
      </c>
      <c r="K919" s="29"/>
      <c r="L919" s="30"/>
      <c r="M919" s="29"/>
      <c r="N919" s="85">
        <f>IF(J919=1, DATA_Johnstone_2023_50!M919, "")</f>
        <v>4</v>
      </c>
      <c r="O919" s="85">
        <f>IF($J919=1, DATA_Johnstone_2023_50!N919, "")</f>
        <v>4</v>
      </c>
      <c r="P919" s="49"/>
      <c r="Q919" s="85">
        <f>IF($J919=1, DATA_Johnstone_2023_50!P919, "")</f>
        <v>4</v>
      </c>
      <c r="R919" s="21"/>
      <c r="S919" s="22"/>
      <c r="T919" s="42"/>
      <c r="U919" s="37"/>
      <c r="V919" s="38"/>
      <c r="W919" s="45"/>
      <c r="AI919" s="83">
        <v>916</v>
      </c>
      <c r="AJ919" s="83">
        <v>100</v>
      </c>
    </row>
    <row r="920" spans="1:36" s="83" customFormat="1" x14ac:dyDescent="0.35">
      <c r="A920">
        <v>4584</v>
      </c>
      <c r="B920">
        <v>4585</v>
      </c>
      <c r="C920">
        <v>146.05584390000001</v>
      </c>
      <c r="D920">
        <v>-17.51468259</v>
      </c>
      <c r="E920"/>
      <c r="F920"/>
      <c r="G920" s="82" t="str">
        <f t="shared" si="28"/>
        <v/>
      </c>
      <c r="H920" s="83">
        <v>1</v>
      </c>
      <c r="J920" s="84">
        <f>IFERROR(VLOOKUP(B920, DATA_Johnstone_2024_ALL!B:J, 8, FALSE), "")</f>
        <v>1</v>
      </c>
      <c r="K920" s="29"/>
      <c r="L920" s="30"/>
      <c r="M920" s="29"/>
      <c r="N920" s="85">
        <f>IF(J920=1, DATA_Johnstone_2023_50!M920, "")</f>
        <v>4</v>
      </c>
      <c r="O920" s="85">
        <f>IF($J920=1, DATA_Johnstone_2023_50!N920, "")</f>
        <v>4</v>
      </c>
      <c r="P920" s="49"/>
      <c r="Q920" s="85">
        <f>IF($J920=1, DATA_Johnstone_2023_50!P920, "")</f>
        <v>4</v>
      </c>
      <c r="R920" s="21"/>
      <c r="S920" s="22"/>
      <c r="T920" s="42"/>
      <c r="U920" s="37"/>
      <c r="V920" s="38"/>
      <c r="W920" s="45"/>
      <c r="AI920" s="83">
        <v>917</v>
      </c>
      <c r="AJ920" s="83">
        <v>100</v>
      </c>
    </row>
    <row r="921" spans="1:36" s="83" customFormat="1" x14ac:dyDescent="0.35">
      <c r="A921">
        <v>4589</v>
      </c>
      <c r="B921">
        <v>4590</v>
      </c>
      <c r="C921">
        <v>146.05580380000001</v>
      </c>
      <c r="D921">
        <v>-17.51421311</v>
      </c>
      <c r="E921"/>
      <c r="F921"/>
      <c r="G921" s="82" t="str">
        <f t="shared" si="28"/>
        <v/>
      </c>
      <c r="H921" s="83">
        <v>1</v>
      </c>
      <c r="J921" s="84">
        <f>IFERROR(VLOOKUP(B921, DATA_Johnstone_2024_ALL!B:J, 8, FALSE), "")</f>
        <v>1</v>
      </c>
      <c r="K921" s="29"/>
      <c r="L921" s="30"/>
      <c r="M921" s="29"/>
      <c r="N921" s="85">
        <f>IF(J921=1, DATA_Johnstone_2023_50!M921, "")</f>
        <v>4</v>
      </c>
      <c r="O921" s="85">
        <f>IF($J921=1, DATA_Johnstone_2023_50!N921, "")</f>
        <v>4</v>
      </c>
      <c r="P921" s="49"/>
      <c r="Q921" s="85">
        <f>IF($J921=1, DATA_Johnstone_2023_50!P921, "")</f>
        <v>3</v>
      </c>
      <c r="R921" s="21"/>
      <c r="S921" s="22"/>
      <c r="T921" s="42"/>
      <c r="U921" s="37"/>
      <c r="V921" s="38"/>
      <c r="W921" s="45"/>
      <c r="AI921" s="83">
        <v>918</v>
      </c>
      <c r="AJ921" s="83">
        <v>100</v>
      </c>
    </row>
    <row r="922" spans="1:36" s="83" customFormat="1" x14ac:dyDescent="0.35">
      <c r="A922">
        <v>4594</v>
      </c>
      <c r="B922">
        <v>4595</v>
      </c>
      <c r="C922">
        <v>146.05582459999999</v>
      </c>
      <c r="D922">
        <v>-17.513742050000001</v>
      </c>
      <c r="E922"/>
      <c r="F922"/>
      <c r="G922" s="82" t="str">
        <f t="shared" si="28"/>
        <v/>
      </c>
      <c r="H922" s="83">
        <v>1</v>
      </c>
      <c r="J922" s="84">
        <f>IFERROR(VLOOKUP(B922, DATA_Johnstone_2024_ALL!B:J, 8, FALSE), "")</f>
        <v>1</v>
      </c>
      <c r="K922" s="29"/>
      <c r="L922" s="30"/>
      <c r="M922" s="29"/>
      <c r="N922" s="85">
        <f>IF(J922=1, DATA_Johnstone_2023_50!M922, "")</f>
        <v>4</v>
      </c>
      <c r="O922" s="85">
        <f>IF($J922=1, DATA_Johnstone_2023_50!N922, "")</f>
        <v>4</v>
      </c>
      <c r="P922" s="49"/>
      <c r="Q922" s="85">
        <f>IF($J922=1, DATA_Johnstone_2023_50!P922, "")</f>
        <v>2</v>
      </c>
      <c r="R922" s="21"/>
      <c r="S922" s="22"/>
      <c r="T922" s="42"/>
      <c r="U922" s="37"/>
      <c r="V922" s="38"/>
      <c r="W922" s="45"/>
      <c r="AI922" s="83">
        <v>919</v>
      </c>
      <c r="AJ922" s="83">
        <v>100</v>
      </c>
    </row>
    <row r="923" spans="1:36" s="83" customFormat="1" x14ac:dyDescent="0.35">
      <c r="A923">
        <v>4599</v>
      </c>
      <c r="B923">
        <v>4600</v>
      </c>
      <c r="C923">
        <v>146.05585260000001</v>
      </c>
      <c r="D923">
        <v>-17.513271419999999</v>
      </c>
      <c r="E923"/>
      <c r="F923"/>
      <c r="G923" s="82" t="str">
        <f t="shared" si="28"/>
        <v/>
      </c>
      <c r="H923" s="83">
        <v>1</v>
      </c>
      <c r="J923" s="84">
        <f>IFERROR(VLOOKUP(B923, DATA_Johnstone_2024_ALL!B:J, 8, FALSE), "")</f>
        <v>1</v>
      </c>
      <c r="K923" s="29"/>
      <c r="L923" s="30"/>
      <c r="M923" s="29"/>
      <c r="N923" s="85">
        <f>IF(J923=1, DATA_Johnstone_2023_50!M923, "")</f>
        <v>4</v>
      </c>
      <c r="O923" s="85">
        <f>IF($J923=1, DATA_Johnstone_2023_50!N923, "")</f>
        <v>4</v>
      </c>
      <c r="P923" s="49"/>
      <c r="Q923" s="85">
        <f>IF($J923=1, DATA_Johnstone_2023_50!P923, "")</f>
        <v>2</v>
      </c>
      <c r="R923" s="21"/>
      <c r="S923" s="22"/>
      <c r="T923" s="42"/>
      <c r="U923" s="37"/>
      <c r="V923" s="38"/>
      <c r="W923" s="45"/>
      <c r="AI923" s="83">
        <v>920</v>
      </c>
      <c r="AJ923" s="83">
        <v>100</v>
      </c>
    </row>
    <row r="924" spans="1:36" s="83" customFormat="1" x14ac:dyDescent="0.35">
      <c r="A924">
        <v>4604</v>
      </c>
      <c r="B924">
        <v>4605</v>
      </c>
      <c r="C924">
        <v>146.056003</v>
      </c>
      <c r="D924">
        <v>-17.512829480000001</v>
      </c>
      <c r="E924"/>
      <c r="F924"/>
      <c r="G924" s="82" t="str">
        <f t="shared" si="28"/>
        <v/>
      </c>
      <c r="H924" s="83">
        <v>1</v>
      </c>
      <c r="J924" s="84">
        <f>IFERROR(VLOOKUP(B924, DATA_Johnstone_2024_ALL!B:J, 8, FALSE), "")</f>
        <v>1</v>
      </c>
      <c r="K924" s="29"/>
      <c r="L924" s="30"/>
      <c r="M924" s="29"/>
      <c r="N924" s="85">
        <f>IF(J924=1, DATA_Johnstone_2023_50!M924, "")</f>
        <v>4</v>
      </c>
      <c r="O924" s="85">
        <f>IF($J924=1, DATA_Johnstone_2023_50!N924, "")</f>
        <v>4</v>
      </c>
      <c r="P924" s="49"/>
      <c r="Q924" s="85">
        <f>IF($J924=1, DATA_Johnstone_2023_50!P924, "")</f>
        <v>3</v>
      </c>
      <c r="R924" s="21"/>
      <c r="S924" s="22"/>
      <c r="T924" s="42"/>
      <c r="U924" s="37"/>
      <c r="V924" s="38"/>
      <c r="W924" s="45"/>
      <c r="AI924" s="83">
        <v>921</v>
      </c>
      <c r="AJ924" s="83">
        <v>100</v>
      </c>
    </row>
    <row r="925" spans="1:36" s="83" customFormat="1" x14ac:dyDescent="0.35">
      <c r="A925">
        <v>4609</v>
      </c>
      <c r="B925">
        <v>4610</v>
      </c>
      <c r="C925">
        <v>146.0560954</v>
      </c>
      <c r="D925">
        <v>-17.51236974</v>
      </c>
      <c r="E925"/>
      <c r="F925"/>
      <c r="G925" s="82" t="str">
        <f t="shared" si="28"/>
        <v/>
      </c>
      <c r="H925" s="83">
        <v>1</v>
      </c>
      <c r="J925" s="84">
        <f>IFERROR(VLOOKUP(B925, DATA_Johnstone_2024_ALL!B:J, 8, FALSE), "")</f>
        <v>1</v>
      </c>
      <c r="K925" s="29"/>
      <c r="L925" s="30"/>
      <c r="M925" s="29"/>
      <c r="N925" s="85">
        <f>IF(J925=1, DATA_Johnstone_2023_50!M925, "")</f>
        <v>4</v>
      </c>
      <c r="O925" s="85">
        <f>IF($J925=1, DATA_Johnstone_2023_50!N925, "")</f>
        <v>4</v>
      </c>
      <c r="P925" s="49"/>
      <c r="Q925" s="85">
        <f>IF($J925=1, DATA_Johnstone_2023_50!P925, "")</f>
        <v>3</v>
      </c>
      <c r="R925" s="21"/>
      <c r="S925" s="22"/>
      <c r="T925" s="42"/>
      <c r="U925" s="37"/>
      <c r="V925" s="38"/>
      <c r="W925" s="45"/>
      <c r="AI925" s="83">
        <v>922</v>
      </c>
      <c r="AJ925" s="83">
        <v>100</v>
      </c>
    </row>
    <row r="926" spans="1:36" s="83" customFormat="1" x14ac:dyDescent="0.35">
      <c r="A926">
        <v>4614</v>
      </c>
      <c r="B926">
        <v>4615</v>
      </c>
      <c r="C926">
        <v>146.05620690000001</v>
      </c>
      <c r="D926">
        <v>-17.511911659999999</v>
      </c>
      <c r="E926"/>
      <c r="F926"/>
      <c r="G926" s="82" t="str">
        <f t="shared" si="28"/>
        <v/>
      </c>
      <c r="H926" s="83">
        <v>1</v>
      </c>
      <c r="J926" s="84">
        <f>IFERROR(VLOOKUP(B926, DATA_Johnstone_2024_ALL!B:J, 8, FALSE), "")</f>
        <v>1</v>
      </c>
      <c r="K926" s="29"/>
      <c r="L926" s="30"/>
      <c r="M926" s="29"/>
      <c r="N926" s="85">
        <f>IF(J926=1, DATA_Johnstone_2023_50!M926, "")</f>
        <v>4</v>
      </c>
      <c r="O926" s="85">
        <f>IF($J926=1, DATA_Johnstone_2023_50!N926, "")</f>
        <v>4</v>
      </c>
      <c r="P926" s="49"/>
      <c r="Q926" s="85">
        <f>IF($J926=1, DATA_Johnstone_2023_50!P926, "")</f>
        <v>4</v>
      </c>
      <c r="R926" s="21"/>
      <c r="S926" s="22"/>
      <c r="T926" s="42"/>
      <c r="U926" s="37"/>
      <c r="V926" s="38"/>
      <c r="W926" s="45"/>
      <c r="AI926" s="83">
        <v>923</v>
      </c>
      <c r="AJ926" s="83">
        <v>100</v>
      </c>
    </row>
    <row r="927" spans="1:36" s="83" customFormat="1" x14ac:dyDescent="0.35">
      <c r="A927">
        <v>4619</v>
      </c>
      <c r="B927">
        <v>4620</v>
      </c>
      <c r="C927">
        <v>146.0563329</v>
      </c>
      <c r="D927">
        <v>-17.5114573</v>
      </c>
      <c r="E927"/>
      <c r="F927"/>
      <c r="G927" s="82" t="str">
        <f t="shared" si="28"/>
        <v/>
      </c>
      <c r="H927" s="83">
        <v>1</v>
      </c>
      <c r="J927" s="84">
        <f>IFERROR(VLOOKUP(B927, DATA_Johnstone_2024_ALL!B:J, 8, FALSE), "")</f>
        <v>1</v>
      </c>
      <c r="K927" s="29"/>
      <c r="L927" s="30"/>
      <c r="M927" s="29"/>
      <c r="N927" s="85">
        <f>IF(J927=1, DATA_Johnstone_2023_50!M927, "")</f>
        <v>4</v>
      </c>
      <c r="O927" s="85">
        <f>IF($J927=1, DATA_Johnstone_2023_50!N927, "")</f>
        <v>4</v>
      </c>
      <c r="P927" s="49"/>
      <c r="Q927" s="85">
        <f>IF($J927=1, DATA_Johnstone_2023_50!P927, "")</f>
        <v>4</v>
      </c>
      <c r="R927" s="21"/>
      <c r="S927" s="22"/>
      <c r="T927" s="42"/>
      <c r="U927" s="37"/>
      <c r="V927" s="38"/>
      <c r="W927" s="45"/>
      <c r="AI927" s="83">
        <v>924</v>
      </c>
      <c r="AJ927" s="83">
        <v>100</v>
      </c>
    </row>
    <row r="928" spans="1:36" s="83" customFormat="1" x14ac:dyDescent="0.35">
      <c r="A928">
        <v>4624</v>
      </c>
      <c r="B928">
        <v>4625</v>
      </c>
      <c r="C928">
        <v>146.05653119999999</v>
      </c>
      <c r="D928">
        <v>-17.511035150000001</v>
      </c>
      <c r="E928"/>
      <c r="F928"/>
      <c r="G928" s="82" t="str">
        <f t="shared" si="28"/>
        <v/>
      </c>
      <c r="H928" s="83">
        <v>1</v>
      </c>
      <c r="J928" s="84">
        <f>IFERROR(VLOOKUP(B928, DATA_Johnstone_2024_ALL!B:J, 8, FALSE), "")</f>
        <v>1</v>
      </c>
      <c r="K928" s="29"/>
      <c r="L928" s="30"/>
      <c r="M928" s="29"/>
      <c r="N928" s="85">
        <f>IF(J928=1, DATA_Johnstone_2023_50!M928, "")</f>
        <v>4</v>
      </c>
      <c r="O928" s="85">
        <f>IF($J928=1, DATA_Johnstone_2023_50!N928, "")</f>
        <v>4</v>
      </c>
      <c r="P928" s="49"/>
      <c r="Q928" s="85">
        <f>IF($J928=1, DATA_Johnstone_2023_50!P928, "")</f>
        <v>3</v>
      </c>
      <c r="R928" s="21"/>
      <c r="S928" s="22"/>
      <c r="T928" s="42"/>
      <c r="U928" s="37"/>
      <c r="V928" s="38"/>
      <c r="W928" s="45"/>
      <c r="AI928" s="83">
        <v>925</v>
      </c>
      <c r="AJ928" s="83">
        <v>100</v>
      </c>
    </row>
    <row r="929" spans="1:36" s="83" customFormat="1" x14ac:dyDescent="0.35">
      <c r="A929">
        <v>4629</v>
      </c>
      <c r="B929">
        <v>4630</v>
      </c>
      <c r="C929">
        <v>146.0567849</v>
      </c>
      <c r="D929">
        <v>-17.510637689999999</v>
      </c>
      <c r="E929"/>
      <c r="F929"/>
      <c r="G929" s="82" t="str">
        <f t="shared" si="28"/>
        <v/>
      </c>
      <c r="H929" s="83">
        <v>1</v>
      </c>
      <c r="J929" s="84">
        <f>IFERROR(VLOOKUP(B929, DATA_Johnstone_2024_ALL!B:J, 8, FALSE), "")</f>
        <v>1</v>
      </c>
      <c r="K929" s="29"/>
      <c r="L929" s="30"/>
      <c r="M929" s="29"/>
      <c r="N929" s="85">
        <f>IF(J929=1, DATA_Johnstone_2023_50!M929, "")</f>
        <v>4</v>
      </c>
      <c r="O929" s="85">
        <f>IF($J929=1, DATA_Johnstone_2023_50!N929, "")</f>
        <v>4</v>
      </c>
      <c r="P929" s="49"/>
      <c r="Q929" s="85">
        <f>IF($J929=1, DATA_Johnstone_2023_50!P929, "")</f>
        <v>3</v>
      </c>
      <c r="R929" s="21"/>
      <c r="S929" s="22"/>
      <c r="T929" s="42"/>
      <c r="U929" s="37"/>
      <c r="V929" s="38"/>
      <c r="W929" s="45"/>
      <c r="AI929" s="83">
        <v>926</v>
      </c>
      <c r="AJ929" s="83">
        <v>100</v>
      </c>
    </row>
    <row r="930" spans="1:36" s="83" customFormat="1" x14ac:dyDescent="0.35">
      <c r="A930">
        <v>4634</v>
      </c>
      <c r="B930">
        <v>4635</v>
      </c>
      <c r="C930">
        <v>146.0570621</v>
      </c>
      <c r="D930">
        <v>-17.51025787</v>
      </c>
      <c r="E930"/>
      <c r="F930"/>
      <c r="G930" s="82" t="str">
        <f t="shared" si="28"/>
        <v/>
      </c>
      <c r="H930" s="83">
        <v>1</v>
      </c>
      <c r="J930" s="84">
        <f>IFERROR(VLOOKUP(B930, DATA_Johnstone_2024_ALL!B:J, 8, FALSE), "")</f>
        <v>1</v>
      </c>
      <c r="K930" s="29"/>
      <c r="L930" s="30"/>
      <c r="M930" s="29"/>
      <c r="N930" s="85">
        <f>IF(J930=1, DATA_Johnstone_2023_50!M930, "")</f>
        <v>4</v>
      </c>
      <c r="O930" s="85">
        <f>IF($J930=1, DATA_Johnstone_2023_50!N930, "")</f>
        <v>4</v>
      </c>
      <c r="P930" s="49"/>
      <c r="Q930" s="85">
        <f>IF($J930=1, DATA_Johnstone_2023_50!P930, "")</f>
        <v>3</v>
      </c>
      <c r="R930" s="21"/>
      <c r="S930" s="22"/>
      <c r="T930" s="42"/>
      <c r="U930" s="37"/>
      <c r="V930" s="38"/>
      <c r="W930" s="45"/>
      <c r="AI930" s="83">
        <v>927</v>
      </c>
      <c r="AJ930" s="83">
        <v>100</v>
      </c>
    </row>
    <row r="931" spans="1:36" s="83" customFormat="1" x14ac:dyDescent="0.35">
      <c r="A931">
        <v>4639</v>
      </c>
      <c r="B931">
        <v>4640</v>
      </c>
      <c r="C931">
        <v>146.05725699999999</v>
      </c>
      <c r="D931">
        <v>-17.509840879999999</v>
      </c>
      <c r="E931"/>
      <c r="F931"/>
      <c r="G931" s="82" t="str">
        <f t="shared" si="28"/>
        <v/>
      </c>
      <c r="H931" s="83">
        <v>1</v>
      </c>
      <c r="J931" s="84">
        <f>IFERROR(VLOOKUP(B931, DATA_Johnstone_2024_ALL!B:J, 8, FALSE), "")</f>
        <v>1</v>
      </c>
      <c r="K931" s="29"/>
      <c r="L931" s="30"/>
      <c r="M931" s="29"/>
      <c r="N931" s="85">
        <f>IF(J931=1, DATA_Johnstone_2023_50!M931, "")</f>
        <v>4</v>
      </c>
      <c r="O931" s="85">
        <f>IF($J931=1, DATA_Johnstone_2023_50!N931, "")</f>
        <v>4</v>
      </c>
      <c r="P931" s="49"/>
      <c r="Q931" s="85">
        <f>IF($J931=1, DATA_Johnstone_2023_50!P931, "")</f>
        <v>2</v>
      </c>
      <c r="R931" s="21"/>
      <c r="S931" s="22"/>
      <c r="T931" s="42"/>
      <c r="U931" s="37"/>
      <c r="V931" s="38"/>
      <c r="W931" s="45"/>
      <c r="AI931" s="83">
        <v>928</v>
      </c>
      <c r="AJ931" s="83">
        <v>100</v>
      </c>
    </row>
    <row r="932" spans="1:36" s="83" customFormat="1" x14ac:dyDescent="0.35">
      <c r="A932">
        <v>4644</v>
      </c>
      <c r="B932">
        <v>4645</v>
      </c>
      <c r="C932">
        <v>146.0573411</v>
      </c>
      <c r="D932">
        <v>-17.509382370000001</v>
      </c>
      <c r="E932"/>
      <c r="F932"/>
      <c r="G932" s="82" t="str">
        <f t="shared" si="28"/>
        <v/>
      </c>
      <c r="H932" s="83">
        <v>1</v>
      </c>
      <c r="J932" s="84">
        <f>IFERROR(VLOOKUP(B932, DATA_Johnstone_2024_ALL!B:J, 8, FALSE), "")</f>
        <v>1</v>
      </c>
      <c r="K932" s="29"/>
      <c r="L932" s="30"/>
      <c r="M932" s="29"/>
      <c r="N932" s="85">
        <f>IF(J932=1, DATA_Johnstone_2023_50!M932, "")</f>
        <v>4</v>
      </c>
      <c r="O932" s="85">
        <f>IF($J932=1, DATA_Johnstone_2023_50!N932, "")</f>
        <v>4</v>
      </c>
      <c r="P932" s="49"/>
      <c r="Q932" s="85">
        <f>IF($J932=1, DATA_Johnstone_2023_50!P932, "")</f>
        <v>4</v>
      </c>
      <c r="R932" s="21"/>
      <c r="S932" s="22"/>
      <c r="T932" s="42"/>
      <c r="U932" s="37"/>
      <c r="V932" s="38"/>
      <c r="W932" s="45"/>
      <c r="AI932" s="83">
        <v>929</v>
      </c>
      <c r="AJ932" s="83">
        <v>100</v>
      </c>
    </row>
    <row r="933" spans="1:36" s="83" customFormat="1" x14ac:dyDescent="0.35">
      <c r="A933">
        <v>4649</v>
      </c>
      <c r="B933">
        <v>4650</v>
      </c>
      <c r="C933">
        <v>146.0572157</v>
      </c>
      <c r="D933">
        <v>-17.508930490000001</v>
      </c>
      <c r="E933"/>
      <c r="F933"/>
      <c r="G933" s="82" t="str">
        <f t="shared" si="28"/>
        <v/>
      </c>
      <c r="H933" s="83">
        <v>1</v>
      </c>
      <c r="I933" s="83" t="str">
        <f t="shared" si="29"/>
        <v>X</v>
      </c>
      <c r="J933" s="84">
        <f>IFERROR(VLOOKUP(B933, DATA_Johnstone_2024_ALL!B:J, 8, FALSE), "")</f>
        <v>1</v>
      </c>
      <c r="K933" s="29"/>
      <c r="L933" s="30"/>
      <c r="M933" s="29"/>
      <c r="N933" s="85">
        <f>IF(J933=1, DATA_Johnstone_2023_50!M933, "")</f>
        <v>0</v>
      </c>
      <c r="O933" s="85">
        <f>IF($J933=1, DATA_Johnstone_2023_50!N933, "")</f>
        <v>0</v>
      </c>
      <c r="P933" s="49"/>
      <c r="Q933" s="85">
        <f>IF($J933=1, DATA_Johnstone_2023_50!P933, "")</f>
        <v>0</v>
      </c>
      <c r="R933" s="21"/>
      <c r="S933" s="22"/>
      <c r="T933" s="42"/>
      <c r="U933" s="37"/>
      <c r="V933" s="38"/>
      <c r="W933" s="45"/>
      <c r="AI933" s="83">
        <v>930</v>
      </c>
      <c r="AJ933" s="83">
        <v>100</v>
      </c>
    </row>
    <row r="934" spans="1:36" s="83" customFormat="1" x14ac:dyDescent="0.35">
      <c r="A934">
        <v>4654</v>
      </c>
      <c r="B934">
        <v>4655</v>
      </c>
      <c r="C934">
        <v>146.05751079999999</v>
      </c>
      <c r="D934">
        <v>-17.50883803</v>
      </c>
      <c r="E934"/>
      <c r="F934"/>
      <c r="G934" s="82" t="str">
        <f t="shared" si="28"/>
        <v/>
      </c>
      <c r="H934" s="83">
        <v>1</v>
      </c>
      <c r="J934" s="84">
        <f>IFERROR(VLOOKUP(B934, DATA_Johnstone_2024_ALL!B:J, 8, FALSE), "")</f>
        <v>1</v>
      </c>
      <c r="K934" s="29"/>
      <c r="L934" s="30"/>
      <c r="M934" s="29"/>
      <c r="N934" s="85">
        <f>IF(J934=1, DATA_Johnstone_2023_50!M934, "")</f>
        <v>4</v>
      </c>
      <c r="O934" s="85">
        <f>IF($J934=1, DATA_Johnstone_2023_50!N934, "")</f>
        <v>4</v>
      </c>
      <c r="P934" s="49"/>
      <c r="Q934" s="85">
        <f>IF($J934=1, DATA_Johnstone_2023_50!P934, "")</f>
        <v>2</v>
      </c>
      <c r="R934" s="21"/>
      <c r="S934" s="22"/>
      <c r="T934" s="42"/>
      <c r="U934" s="37"/>
      <c r="V934" s="38"/>
      <c r="W934" s="45"/>
      <c r="AI934" s="83">
        <v>931</v>
      </c>
      <c r="AJ934" s="83">
        <v>100</v>
      </c>
    </row>
    <row r="935" spans="1:36" s="83" customFormat="1" x14ac:dyDescent="0.35">
      <c r="A935">
        <v>4659</v>
      </c>
      <c r="B935">
        <v>4660</v>
      </c>
      <c r="C935">
        <v>146.05790329999999</v>
      </c>
      <c r="D935">
        <v>-17.50874211</v>
      </c>
      <c r="E935"/>
      <c r="F935"/>
      <c r="G935" s="82" t="str">
        <f t="shared" si="28"/>
        <v/>
      </c>
      <c r="H935" s="83">
        <v>1</v>
      </c>
      <c r="J935" s="84">
        <f>IFERROR(VLOOKUP(B935, DATA_Johnstone_2024_ALL!B:J, 8, FALSE), "")</f>
        <v>1</v>
      </c>
      <c r="K935" s="29"/>
      <c r="L935" s="30"/>
      <c r="M935" s="29"/>
      <c r="N935" s="85">
        <f>IF(J935=1, DATA_Johnstone_2023_50!M935, "")</f>
        <v>4</v>
      </c>
      <c r="O935" s="85">
        <f>IF($J935=1, DATA_Johnstone_2023_50!N935, "")</f>
        <v>4</v>
      </c>
      <c r="P935" s="49"/>
      <c r="Q935" s="85">
        <f>IF($J935=1, DATA_Johnstone_2023_50!P935, "")</f>
        <v>3</v>
      </c>
      <c r="R935" s="21"/>
      <c r="S935" s="22"/>
      <c r="T935" s="42"/>
      <c r="U935" s="37"/>
      <c r="V935" s="38"/>
      <c r="W935" s="45"/>
      <c r="AI935" s="83">
        <v>932</v>
      </c>
      <c r="AJ935" s="83">
        <v>100</v>
      </c>
    </row>
    <row r="936" spans="1:36" s="83" customFormat="1" x14ac:dyDescent="0.35">
      <c r="A936">
        <v>4664</v>
      </c>
      <c r="B936">
        <v>4665</v>
      </c>
      <c r="C936">
        <v>146.05822090000001</v>
      </c>
      <c r="D936">
        <v>-17.50839414</v>
      </c>
      <c r="E936"/>
      <c r="F936"/>
      <c r="G936" s="82" t="str">
        <f t="shared" si="28"/>
        <v/>
      </c>
      <c r="H936" s="83">
        <v>1</v>
      </c>
      <c r="J936" s="84">
        <f>IFERROR(VLOOKUP(B936, DATA_Johnstone_2024_ALL!B:J, 8, FALSE), "")</f>
        <v>1</v>
      </c>
      <c r="K936" s="29"/>
      <c r="L936" s="30"/>
      <c r="M936" s="29"/>
      <c r="N936" s="85">
        <f>IF(J936=1, DATA_Johnstone_2023_50!M936, "")</f>
        <v>4</v>
      </c>
      <c r="O936" s="85">
        <f>IF($J936=1, DATA_Johnstone_2023_50!N936, "")</f>
        <v>4</v>
      </c>
      <c r="P936" s="49"/>
      <c r="Q936" s="85">
        <f>IF($J936=1, DATA_Johnstone_2023_50!P936, "")</f>
        <v>3</v>
      </c>
      <c r="R936" s="21"/>
      <c r="S936" s="22"/>
      <c r="T936" s="42"/>
      <c r="U936" s="37"/>
      <c r="V936" s="38"/>
      <c r="W936" s="45"/>
      <c r="AI936" s="83">
        <v>933</v>
      </c>
      <c r="AJ936" s="83">
        <v>100</v>
      </c>
    </row>
    <row r="937" spans="1:36" s="83" customFormat="1" x14ac:dyDescent="0.35">
      <c r="A937">
        <v>4669</v>
      </c>
      <c r="B937">
        <v>4670</v>
      </c>
      <c r="C937">
        <v>146.05852680000001</v>
      </c>
      <c r="D937">
        <v>-17.50803535</v>
      </c>
      <c r="E937"/>
      <c r="F937"/>
      <c r="G937" s="82" t="str">
        <f t="shared" si="28"/>
        <v/>
      </c>
      <c r="H937" s="83">
        <v>1</v>
      </c>
      <c r="J937" s="84">
        <f>IFERROR(VLOOKUP(B937, DATA_Johnstone_2024_ALL!B:J, 8, FALSE), "")</f>
        <v>1</v>
      </c>
      <c r="K937" s="29"/>
      <c r="L937" s="30"/>
      <c r="M937" s="29"/>
      <c r="N937" s="85">
        <f>IF(J937=1, DATA_Johnstone_2023_50!M937, "")</f>
        <v>4</v>
      </c>
      <c r="O937" s="85">
        <f>IF($J937=1, DATA_Johnstone_2023_50!N937, "")</f>
        <v>4</v>
      </c>
      <c r="P937" s="49"/>
      <c r="Q937" s="85">
        <f>IF($J937=1, DATA_Johnstone_2023_50!P937, "")</f>
        <v>3</v>
      </c>
      <c r="R937" s="21"/>
      <c r="S937" s="22"/>
      <c r="T937" s="42"/>
      <c r="U937" s="37"/>
      <c r="V937" s="38"/>
      <c r="W937" s="45"/>
      <c r="AI937" s="83">
        <v>934</v>
      </c>
      <c r="AJ937" s="83">
        <v>100</v>
      </c>
    </row>
    <row r="938" spans="1:36" x14ac:dyDescent="0.35">
      <c r="A938">
        <v>4674</v>
      </c>
      <c r="B938">
        <v>4675</v>
      </c>
      <c r="C938">
        <v>146.05891439999999</v>
      </c>
      <c r="D938">
        <v>-17.507768930000001</v>
      </c>
      <c r="F938" t="s">
        <v>7550</v>
      </c>
      <c r="G938" s="1" t="str">
        <f t="shared" si="28"/>
        <v>4675_20240610_0008_L_0002.jpg</v>
      </c>
      <c r="H938">
        <v>1</v>
      </c>
      <c r="I938" t="str">
        <f t="shared" si="29"/>
        <v/>
      </c>
      <c r="J938" s="53">
        <f>IFERROR(VLOOKUP(B938, DATA_Johnstone_2024_ALL!B:J, 8, FALSE), "")</f>
        <v>1</v>
      </c>
      <c r="K938" s="29"/>
      <c r="L938" s="30"/>
      <c r="M938" s="29"/>
      <c r="N938" s="20">
        <f>IF(J938=1, DATA_Johnstone_2023_50!M938, "")</f>
        <v>4</v>
      </c>
      <c r="O938" s="20">
        <f>IF($J938=1, DATA_Johnstone_2023_50!N938, "")</f>
        <v>4</v>
      </c>
      <c r="P938" s="49"/>
      <c r="Q938" s="20">
        <f>IF($J938=1, DATA_Johnstone_2023_50!P938, "")</f>
        <v>2</v>
      </c>
      <c r="AI938" s="75">
        <v>935</v>
      </c>
      <c r="AJ938" s="75">
        <v>100</v>
      </c>
    </row>
    <row r="939" spans="1:36" x14ac:dyDescent="0.35">
      <c r="A939">
        <v>4679</v>
      </c>
      <c r="B939">
        <v>4680</v>
      </c>
      <c r="C939">
        <v>146.05931630000001</v>
      </c>
      <c r="D939">
        <v>-17.507522789999999</v>
      </c>
      <c r="F939" t="s">
        <v>7551</v>
      </c>
      <c r="G939" s="1" t="str">
        <f t="shared" si="28"/>
        <v>4680_20240610_0008_L_0006.jpg</v>
      </c>
      <c r="H939">
        <v>1</v>
      </c>
      <c r="I939" t="str">
        <f t="shared" si="29"/>
        <v/>
      </c>
      <c r="J939" s="53">
        <f>IFERROR(VLOOKUP(B939, DATA_Johnstone_2024_ALL!B:J, 8, FALSE), "")</f>
        <v>1</v>
      </c>
      <c r="K939" s="29"/>
      <c r="L939" s="30"/>
      <c r="M939" s="29"/>
      <c r="N939" s="20">
        <f>IF(J939=1, DATA_Johnstone_2023_50!M939, "")</f>
        <v>4</v>
      </c>
      <c r="O939" s="20">
        <f>IF($J939=1, DATA_Johnstone_2023_50!N939, "")</f>
        <v>4</v>
      </c>
      <c r="P939" s="49"/>
      <c r="Q939" s="20">
        <f>IF($J939=1, DATA_Johnstone_2023_50!P939, "")</f>
        <v>2</v>
      </c>
      <c r="AI939" s="75">
        <v>936</v>
      </c>
      <c r="AJ939" s="75">
        <v>100</v>
      </c>
    </row>
    <row r="940" spans="1:36" x14ac:dyDescent="0.35">
      <c r="A940">
        <v>4684</v>
      </c>
      <c r="B940">
        <v>4685</v>
      </c>
      <c r="C940">
        <v>146.05976580000001</v>
      </c>
      <c r="D940">
        <v>-17.507385200000002</v>
      </c>
      <c r="F940" t="s">
        <v>7552</v>
      </c>
      <c r="G940" s="1" t="str">
        <f t="shared" si="28"/>
        <v>4685_20240610_0008_L_0021.jpg</v>
      </c>
      <c r="H940">
        <v>1</v>
      </c>
      <c r="I940" t="str">
        <f t="shared" si="29"/>
        <v/>
      </c>
      <c r="J940" s="53">
        <f>IFERROR(VLOOKUP(B940, DATA_Johnstone_2024_ALL!B:J, 8, FALSE), "")</f>
        <v>1</v>
      </c>
      <c r="K940" s="29"/>
      <c r="L940" s="30"/>
      <c r="M940" s="29"/>
      <c r="N940" s="20">
        <v>3</v>
      </c>
      <c r="O940" s="20">
        <f>IF($J940=1, DATA_Johnstone_2023_50!N940, "")</f>
        <v>4</v>
      </c>
      <c r="P940" s="49"/>
      <c r="Q940" s="20">
        <v>2</v>
      </c>
      <c r="AI940" s="75">
        <v>937</v>
      </c>
      <c r="AJ940" s="75">
        <v>100</v>
      </c>
    </row>
    <row r="941" spans="1:36" x14ac:dyDescent="0.35">
      <c r="A941">
        <v>4689</v>
      </c>
      <c r="B941">
        <v>4690</v>
      </c>
      <c r="C941">
        <v>146.06021430000001</v>
      </c>
      <c r="D941">
        <v>-17.50748029</v>
      </c>
      <c r="F941" t="s">
        <v>7553</v>
      </c>
      <c r="G941" s="1" t="str">
        <f t="shared" si="28"/>
        <v>4690_20240610_0008_L_0037.jpg</v>
      </c>
      <c r="H941">
        <v>1</v>
      </c>
      <c r="I941" t="str">
        <f t="shared" si="29"/>
        <v/>
      </c>
      <c r="J941" s="53">
        <f>IFERROR(VLOOKUP(B941, DATA_Johnstone_2024_ALL!B:J, 8, FALSE), "")</f>
        <v>1</v>
      </c>
      <c r="K941" s="29"/>
      <c r="L941" s="30"/>
      <c r="M941" s="29"/>
      <c r="N941" s="20">
        <v>2</v>
      </c>
      <c r="O941" s="20">
        <f>IF($J941=1, DATA_Johnstone_2023_50!N941, "")</f>
        <v>4</v>
      </c>
      <c r="P941" s="49"/>
      <c r="Q941" s="20">
        <v>2</v>
      </c>
      <c r="AI941" s="75">
        <v>938</v>
      </c>
      <c r="AJ941" s="75">
        <v>100</v>
      </c>
    </row>
    <row r="942" spans="1:36" x14ac:dyDescent="0.35">
      <c r="A942">
        <v>4694</v>
      </c>
      <c r="B942">
        <v>4695</v>
      </c>
      <c r="C942">
        <v>146.06066659999999</v>
      </c>
      <c r="D942">
        <v>-17.507509989999999</v>
      </c>
      <c r="F942" t="s">
        <v>7554</v>
      </c>
      <c r="G942" s="1" t="str">
        <f t="shared" si="28"/>
        <v>4695_20240610_0008_L_0053.jpg</v>
      </c>
      <c r="H942">
        <v>1</v>
      </c>
      <c r="I942" t="str">
        <f t="shared" si="29"/>
        <v/>
      </c>
      <c r="J942" s="53">
        <f>IFERROR(VLOOKUP(B942, DATA_Johnstone_2024_ALL!B:J, 8, FALSE), "")</f>
        <v>1</v>
      </c>
      <c r="K942" s="29"/>
      <c r="L942" s="30"/>
      <c r="M942" s="29"/>
      <c r="N942" s="20">
        <f>IF(J942=1, DATA_Johnstone_2023_50!M942, "")</f>
        <v>4</v>
      </c>
      <c r="O942" s="20">
        <v>4</v>
      </c>
      <c r="P942" s="49"/>
      <c r="Q942" s="20">
        <f>IF($J942=1, DATA_Johnstone_2023_50!P942, "")</f>
        <v>3</v>
      </c>
      <c r="AI942" s="75">
        <v>939</v>
      </c>
      <c r="AJ942" s="75">
        <v>100</v>
      </c>
    </row>
    <row r="943" spans="1:36" x14ac:dyDescent="0.35">
      <c r="A943">
        <v>4699</v>
      </c>
      <c r="B943">
        <v>4700</v>
      </c>
      <c r="C943">
        <v>146.06109079999999</v>
      </c>
      <c r="D943">
        <v>-17.50732193</v>
      </c>
      <c r="F943" t="s">
        <v>7555</v>
      </c>
      <c r="G943" s="1" t="str">
        <f t="shared" si="28"/>
        <v>4700_20240610_0008_L_0080.jpg</v>
      </c>
      <c r="H943">
        <v>1</v>
      </c>
      <c r="I943" t="str">
        <f t="shared" si="29"/>
        <v/>
      </c>
      <c r="J943" s="53">
        <f>IFERROR(VLOOKUP(B943, DATA_Johnstone_2024_ALL!B:J, 8, FALSE), "")</f>
        <v>1</v>
      </c>
      <c r="K943" s="29"/>
      <c r="L943" s="30"/>
      <c r="M943" s="29"/>
      <c r="N943" s="20">
        <v>3</v>
      </c>
      <c r="O943" s="20">
        <f>IF($J943=1, DATA_Johnstone_2023_50!N943, "")</f>
        <v>4</v>
      </c>
      <c r="P943" s="49"/>
      <c r="Q943" s="20">
        <v>3</v>
      </c>
      <c r="AI943" s="75">
        <v>940</v>
      </c>
      <c r="AJ943" s="75">
        <v>100</v>
      </c>
    </row>
    <row r="944" spans="1:36" x14ac:dyDescent="0.35">
      <c r="A944">
        <v>4704</v>
      </c>
      <c r="B944">
        <v>4705</v>
      </c>
      <c r="C944">
        <v>146.0613998</v>
      </c>
      <c r="D944">
        <v>-17.506971490000002</v>
      </c>
      <c r="F944" t="s">
        <v>7556</v>
      </c>
      <c r="G944" s="1" t="str">
        <f t="shared" si="28"/>
        <v>4705_20240610_0008_L_0090.jpg</v>
      </c>
      <c r="H944">
        <v>1</v>
      </c>
      <c r="I944" t="str">
        <f t="shared" si="29"/>
        <v/>
      </c>
      <c r="J944" s="53">
        <f>IFERROR(VLOOKUP(B944, DATA_Johnstone_2024_ALL!B:J, 8, FALSE), "")</f>
        <v>1</v>
      </c>
      <c r="K944" s="29"/>
      <c r="L944" s="30"/>
      <c r="M944" s="29"/>
      <c r="N944" s="20">
        <v>3</v>
      </c>
      <c r="O944" s="20">
        <v>3</v>
      </c>
      <c r="P944" s="49"/>
      <c r="Q944" s="20">
        <v>4</v>
      </c>
      <c r="AI944" s="75">
        <v>941</v>
      </c>
      <c r="AJ944" s="75">
        <v>100</v>
      </c>
    </row>
    <row r="945" spans="1:36" x14ac:dyDescent="0.35">
      <c r="A945">
        <v>4709</v>
      </c>
      <c r="B945">
        <v>4710</v>
      </c>
      <c r="C945">
        <v>146.06174540000001</v>
      </c>
      <c r="D945">
        <v>-17.506973469999998</v>
      </c>
      <c r="F945" t="s">
        <v>7557</v>
      </c>
      <c r="G945" s="1" t="str">
        <f t="shared" si="28"/>
        <v>4710_20240610_0008_L_0095.jpg</v>
      </c>
      <c r="H945">
        <v>1</v>
      </c>
      <c r="I945" t="str">
        <f t="shared" si="29"/>
        <v/>
      </c>
      <c r="J945" s="53">
        <f>IFERROR(VLOOKUP(B945, DATA_Johnstone_2024_ALL!B:J, 8, FALSE), "")</f>
        <v>0</v>
      </c>
      <c r="K945" s="29"/>
      <c r="L945" s="30"/>
      <c r="M945" s="29"/>
      <c r="N945" s="20" t="str">
        <f>IF(J945=1, DATA_Johnstone_2023_50!M945, "")</f>
        <v/>
      </c>
      <c r="O945" s="20" t="str">
        <f>IF($J945=1, DATA_Johnstone_2023_50!N945, "")</f>
        <v/>
      </c>
      <c r="P945" s="49"/>
      <c r="Q945" s="20" t="str">
        <f>IF($J945=1, DATA_Johnstone_2023_50!P945, "")</f>
        <v/>
      </c>
      <c r="AI945" s="75">
        <v>942</v>
      </c>
      <c r="AJ945" s="75">
        <v>100</v>
      </c>
    </row>
    <row r="946" spans="1:36" x14ac:dyDescent="0.35">
      <c r="A946">
        <v>4714</v>
      </c>
      <c r="B946">
        <v>4715</v>
      </c>
      <c r="C946">
        <v>146.06211400000001</v>
      </c>
      <c r="D946">
        <v>-17.50702381</v>
      </c>
      <c r="F946" t="s">
        <v>7558</v>
      </c>
      <c r="G946" s="1" t="str">
        <f t="shared" si="28"/>
        <v>4715_20240610_0008_L_0104.jpg</v>
      </c>
      <c r="H946">
        <v>1</v>
      </c>
      <c r="I946" t="str">
        <f t="shared" si="29"/>
        <v/>
      </c>
      <c r="J946" s="53">
        <f>IFERROR(VLOOKUP(B946, DATA_Johnstone_2024_ALL!B:J, 8, FALSE), "")</f>
        <v>0</v>
      </c>
      <c r="K946" s="29"/>
      <c r="L946" s="30"/>
      <c r="M946" s="29"/>
      <c r="N946" s="20" t="str">
        <f>IF(J946=1, DATA_Johnstone_2023_50!M946, "")</f>
        <v/>
      </c>
      <c r="O946" s="20" t="str">
        <f>IF($J946=1, DATA_Johnstone_2023_50!N946, "")</f>
        <v/>
      </c>
      <c r="P946" s="49"/>
      <c r="Q946" s="20" t="str">
        <f>IF($J946=1, DATA_Johnstone_2023_50!P946, "")</f>
        <v/>
      </c>
      <c r="AI946" s="75">
        <v>943</v>
      </c>
      <c r="AJ946" s="75">
        <v>100</v>
      </c>
    </row>
    <row r="947" spans="1:36" x14ac:dyDescent="0.35">
      <c r="A947">
        <v>4719</v>
      </c>
      <c r="B947">
        <v>4720</v>
      </c>
      <c r="C947">
        <v>146.06241080000001</v>
      </c>
      <c r="D947">
        <v>-17.507362539999999</v>
      </c>
      <c r="F947" t="s">
        <v>7559</v>
      </c>
      <c r="G947" s="1" t="str">
        <f t="shared" si="28"/>
        <v>4720_20240610_0008_L_0115.jpg</v>
      </c>
      <c r="H947">
        <v>1</v>
      </c>
      <c r="I947" t="str">
        <f t="shared" si="29"/>
        <v/>
      </c>
      <c r="J947" s="53">
        <f>IFERROR(VLOOKUP(B947, DATA_Johnstone_2024_ALL!B:J, 8, FALSE), "")</f>
        <v>1</v>
      </c>
      <c r="K947" s="29"/>
      <c r="L947" s="30"/>
      <c r="M947" s="29"/>
      <c r="N947" s="20">
        <v>3</v>
      </c>
      <c r="O947" s="20">
        <f>IF($J947=1, DATA_Johnstone_2023_50!N947, "")</f>
        <v>4</v>
      </c>
      <c r="P947" s="49"/>
      <c r="Q947" s="20">
        <f>IF($J947=1, DATA_Johnstone_2023_50!P947, "")</f>
        <v>3</v>
      </c>
      <c r="AI947" s="75">
        <v>944</v>
      </c>
      <c r="AJ947" s="75">
        <v>100</v>
      </c>
    </row>
    <row r="948" spans="1:36" x14ac:dyDescent="0.35">
      <c r="A948">
        <v>4724</v>
      </c>
      <c r="B948">
        <v>4725</v>
      </c>
      <c r="C948">
        <v>146.06286</v>
      </c>
      <c r="D948">
        <v>-17.507490220000001</v>
      </c>
      <c r="F948" t="s">
        <v>7560</v>
      </c>
      <c r="G948" s="1" t="str">
        <f t="shared" si="28"/>
        <v>4725_20240610_0008_L_0131.jpg</v>
      </c>
      <c r="H948">
        <v>1</v>
      </c>
      <c r="I948" t="str">
        <f t="shared" si="29"/>
        <v/>
      </c>
      <c r="J948" s="53">
        <f>IFERROR(VLOOKUP(B948, DATA_Johnstone_2024_ALL!B:J, 8, FALSE), "")</f>
        <v>1</v>
      </c>
      <c r="K948" s="29"/>
      <c r="L948" s="30"/>
      <c r="M948" s="29"/>
      <c r="N948" s="20">
        <f>IF(J948=1, DATA_Johnstone_2023_50!M948, "")</f>
        <v>3</v>
      </c>
      <c r="O948" s="20">
        <f>IF($J948=1, DATA_Johnstone_2023_50!N948, "")</f>
        <v>3</v>
      </c>
      <c r="P948" s="49"/>
      <c r="Q948" s="20">
        <f>IF($J948=1, DATA_Johnstone_2023_50!P948, "")</f>
        <v>4</v>
      </c>
      <c r="AI948" s="75">
        <v>945</v>
      </c>
      <c r="AJ948" s="75">
        <v>100</v>
      </c>
    </row>
    <row r="949" spans="1:36" x14ac:dyDescent="0.35">
      <c r="A949">
        <v>4729</v>
      </c>
      <c r="B949">
        <v>4730</v>
      </c>
      <c r="C949">
        <v>146.06332599999999</v>
      </c>
      <c r="D949">
        <v>-17.507484210000001</v>
      </c>
      <c r="F949" t="s">
        <v>7561</v>
      </c>
      <c r="G949" s="1" t="str">
        <f t="shared" si="28"/>
        <v>4730_20240610_0008_L_0156.jpg</v>
      </c>
      <c r="H949">
        <v>1</v>
      </c>
      <c r="I949" t="str">
        <f t="shared" si="29"/>
        <v/>
      </c>
      <c r="J949" s="53">
        <f>IFERROR(VLOOKUP(B949, DATA_Johnstone_2024_ALL!B:J, 8, FALSE), "")</f>
        <v>1</v>
      </c>
      <c r="K949" s="29"/>
      <c r="L949" s="30"/>
      <c r="M949" s="29"/>
      <c r="N949" s="20">
        <v>4</v>
      </c>
      <c r="O949" s="20">
        <v>2</v>
      </c>
      <c r="P949" s="49"/>
      <c r="Q949" s="20">
        <v>3</v>
      </c>
      <c r="AI949" s="75">
        <v>946</v>
      </c>
      <c r="AJ949" s="75">
        <v>100</v>
      </c>
    </row>
    <row r="950" spans="1:36" x14ac:dyDescent="0.35">
      <c r="A950">
        <v>4734</v>
      </c>
      <c r="B950">
        <v>4735</v>
      </c>
      <c r="C950">
        <v>146.06379229999999</v>
      </c>
      <c r="D950">
        <v>-17.507552449999999</v>
      </c>
      <c r="F950" t="s">
        <v>7562</v>
      </c>
      <c r="G950" s="1" t="str">
        <f t="shared" si="28"/>
        <v>4735_20240610_0008_L_0180.jpg</v>
      </c>
      <c r="H950">
        <v>1</v>
      </c>
      <c r="I950" t="str">
        <f t="shared" si="29"/>
        <v/>
      </c>
      <c r="J950" s="53">
        <f>IFERROR(VLOOKUP(B950, DATA_Johnstone_2024_ALL!B:J, 8, FALSE), "")</f>
        <v>1</v>
      </c>
      <c r="K950" s="29"/>
      <c r="L950" s="30"/>
      <c r="M950" s="29"/>
      <c r="N950" s="20">
        <v>4</v>
      </c>
      <c r="O950" s="20">
        <v>3</v>
      </c>
      <c r="P950" s="49"/>
      <c r="Q950" s="20">
        <v>4</v>
      </c>
      <c r="AI950" s="75">
        <v>947</v>
      </c>
      <c r="AJ950" s="75">
        <v>100</v>
      </c>
    </row>
    <row r="951" spans="1:36" x14ac:dyDescent="0.35">
      <c r="A951">
        <v>4739</v>
      </c>
      <c r="B951">
        <v>4740</v>
      </c>
      <c r="C951">
        <v>146.0642507</v>
      </c>
      <c r="D951">
        <v>-17.507652700000001</v>
      </c>
      <c r="F951" t="s">
        <v>7563</v>
      </c>
      <c r="G951" s="1" t="str">
        <f t="shared" si="28"/>
        <v>4740_20240610_0008_L_0197.jpg</v>
      </c>
      <c r="H951">
        <v>1</v>
      </c>
      <c r="I951" t="str">
        <f t="shared" si="29"/>
        <v/>
      </c>
      <c r="J951" s="53">
        <f>IFERROR(VLOOKUP(B951, DATA_Johnstone_2024_ALL!B:J, 8, FALSE), "")</f>
        <v>0</v>
      </c>
      <c r="K951" s="29"/>
      <c r="L951" s="30"/>
      <c r="M951" s="29"/>
      <c r="N951" s="20" t="str">
        <f>IF(J951=1, DATA_Johnstone_2023_50!M951, "")</f>
        <v/>
      </c>
      <c r="O951" s="20" t="str">
        <f>IF($J951=1, DATA_Johnstone_2023_50!N951, "")</f>
        <v/>
      </c>
      <c r="P951" s="49"/>
      <c r="Q951" s="20" t="str">
        <f>IF($J951=1, DATA_Johnstone_2023_50!P951, "")</f>
        <v/>
      </c>
      <c r="AI951" s="75">
        <v>948</v>
      </c>
      <c r="AJ951" s="75">
        <v>100</v>
      </c>
    </row>
    <row r="952" spans="1:36" x14ac:dyDescent="0.35">
      <c r="A952">
        <v>4744</v>
      </c>
      <c r="B952">
        <v>4745</v>
      </c>
      <c r="C952">
        <v>146.06469820000001</v>
      </c>
      <c r="D952">
        <v>-17.5077213</v>
      </c>
      <c r="F952" t="s">
        <v>7564</v>
      </c>
      <c r="G952" s="1" t="str">
        <f t="shared" si="28"/>
        <v>4745_20240610_0008_L_0218.jpg</v>
      </c>
      <c r="H952">
        <v>1</v>
      </c>
      <c r="I952" t="str">
        <f t="shared" si="29"/>
        <v/>
      </c>
      <c r="J952" s="53">
        <f>IFERROR(VLOOKUP(B952, DATA_Johnstone_2024_ALL!B:J, 8, FALSE), "")</f>
        <v>0</v>
      </c>
      <c r="K952" s="29"/>
      <c r="L952" s="30"/>
      <c r="M952" s="29"/>
      <c r="N952" s="20" t="str">
        <f>IF(J952=1, DATA_Johnstone_2023_50!M952, "")</f>
        <v/>
      </c>
      <c r="O952" s="20" t="str">
        <f>IF($J952=1, DATA_Johnstone_2023_50!N952, "")</f>
        <v/>
      </c>
      <c r="P952" s="49"/>
      <c r="Q952" s="20" t="str">
        <f>IF($J952=1, DATA_Johnstone_2023_50!P952, "")</f>
        <v/>
      </c>
      <c r="AI952" s="75">
        <v>949</v>
      </c>
      <c r="AJ952" s="75">
        <v>100</v>
      </c>
    </row>
    <row r="953" spans="1:36" x14ac:dyDescent="0.35">
      <c r="A953">
        <v>4749</v>
      </c>
      <c r="B953">
        <v>4750</v>
      </c>
      <c r="C953">
        <v>146.06506859999999</v>
      </c>
      <c r="D953">
        <v>-17.5074364</v>
      </c>
      <c r="G953" s="1" t="str">
        <f t="shared" si="28"/>
        <v/>
      </c>
      <c r="H953">
        <v>1</v>
      </c>
      <c r="I953" t="str">
        <f t="shared" si="29"/>
        <v>X</v>
      </c>
      <c r="J953" s="53" t="str">
        <f>IFERROR(VLOOKUP(B953, DATA_Johnstone_2024_ALL!B:J, 8, FALSE), "")</f>
        <v>X</v>
      </c>
      <c r="N953" s="20" t="str">
        <f>IF(J953=1, DATA_Johnstone_2023_50!M953, "")</f>
        <v/>
      </c>
      <c r="O953" s="20" t="str">
        <f>IF($J953=1, DATA_Johnstone_2023_50!N953, "")</f>
        <v/>
      </c>
      <c r="Q953" s="20" t="str">
        <f>IF($J953=1, DATA_Johnstone_2023_50!P953, "")</f>
        <v/>
      </c>
      <c r="AI953" s="75">
        <v>950</v>
      </c>
      <c r="AJ953" s="75">
        <v>100</v>
      </c>
    </row>
    <row r="954" spans="1:36" x14ac:dyDescent="0.35">
      <c r="A954">
        <v>4754</v>
      </c>
      <c r="B954">
        <v>4755</v>
      </c>
      <c r="C954">
        <v>146.0654524</v>
      </c>
      <c r="D954">
        <v>-17.507164410000001</v>
      </c>
      <c r="G954" s="1" t="str">
        <f t="shared" si="28"/>
        <v/>
      </c>
      <c r="H954">
        <v>1</v>
      </c>
      <c r="I954" t="str">
        <f t="shared" si="29"/>
        <v>X</v>
      </c>
      <c r="J954" s="53" t="str">
        <f>IFERROR(VLOOKUP(B954, DATA_Johnstone_2024_ALL!B:J, 8, FALSE), "")</f>
        <v>X</v>
      </c>
      <c r="N954" s="20" t="str">
        <f>IF(J954=1, DATA_Johnstone_2023_50!M954, "")</f>
        <v/>
      </c>
      <c r="O954" s="20" t="str">
        <f>IF($J954=1, DATA_Johnstone_2023_50!N954, "")</f>
        <v/>
      </c>
      <c r="Q954" s="20" t="str">
        <f>IF($J954=1, DATA_Johnstone_2023_50!P954, "")</f>
        <v/>
      </c>
      <c r="AI954" s="75">
        <v>951</v>
      </c>
      <c r="AJ954" s="75">
        <v>100</v>
      </c>
    </row>
    <row r="955" spans="1:36" x14ac:dyDescent="0.35">
      <c r="A955">
        <v>4759</v>
      </c>
      <c r="B955">
        <v>4760</v>
      </c>
      <c r="C955">
        <v>146.06576430000001</v>
      </c>
      <c r="D955">
        <v>-17.506810770000001</v>
      </c>
      <c r="G955" s="1" t="str">
        <f t="shared" si="28"/>
        <v/>
      </c>
      <c r="H955">
        <v>1</v>
      </c>
      <c r="I955" t="str">
        <f t="shared" si="29"/>
        <v>X</v>
      </c>
      <c r="J955" s="53" t="str">
        <f>IFERROR(VLOOKUP(B955, DATA_Johnstone_2024_ALL!B:J, 8, FALSE), "")</f>
        <v>X</v>
      </c>
      <c r="N955" s="20" t="str">
        <f>IF(J955=1, DATA_Johnstone_2023_50!M955, "")</f>
        <v/>
      </c>
      <c r="O955" s="20" t="str">
        <f>IF($J955=1, DATA_Johnstone_2023_50!N955, "")</f>
        <v/>
      </c>
      <c r="Q955" s="20" t="str">
        <f>IF($J955=1, DATA_Johnstone_2023_50!P955, "")</f>
        <v/>
      </c>
      <c r="AI955" s="75">
        <v>952</v>
      </c>
      <c r="AJ955" s="75">
        <v>100</v>
      </c>
    </row>
    <row r="956" spans="1:36" x14ac:dyDescent="0.35">
      <c r="A956">
        <v>4764</v>
      </c>
      <c r="B956">
        <v>4765</v>
      </c>
      <c r="C956">
        <v>146.0660512</v>
      </c>
      <c r="D956">
        <v>-17.50643672</v>
      </c>
      <c r="G956" s="1" t="str">
        <f t="shared" si="28"/>
        <v/>
      </c>
      <c r="H956">
        <v>1</v>
      </c>
      <c r="I956" t="str">
        <f t="shared" si="29"/>
        <v>X</v>
      </c>
      <c r="J956" s="53" t="str">
        <f>IFERROR(VLOOKUP(B956, DATA_Johnstone_2024_ALL!B:J, 8, FALSE), "")</f>
        <v>X</v>
      </c>
      <c r="N956" s="20" t="str">
        <f>IF(J956=1, DATA_Johnstone_2023_50!M956, "")</f>
        <v/>
      </c>
      <c r="O956" s="20" t="str">
        <f>IF($J956=1, DATA_Johnstone_2023_50!N956, "")</f>
        <v/>
      </c>
      <c r="Q956" s="20" t="str">
        <f>IF($J956=1, DATA_Johnstone_2023_50!P956, "")</f>
        <v/>
      </c>
      <c r="AI956" s="75">
        <v>953</v>
      </c>
      <c r="AJ956" s="75">
        <v>100</v>
      </c>
    </row>
    <row r="957" spans="1:36" x14ac:dyDescent="0.35">
      <c r="A957">
        <v>4769</v>
      </c>
      <c r="B957">
        <v>4770</v>
      </c>
      <c r="C957">
        <v>146.0663356</v>
      </c>
      <c r="D957">
        <v>-17.506060590000001</v>
      </c>
      <c r="G957" s="1" t="str">
        <f t="shared" si="28"/>
        <v/>
      </c>
      <c r="H957">
        <v>1</v>
      </c>
      <c r="I957" t="str">
        <f t="shared" si="29"/>
        <v>X</v>
      </c>
      <c r="J957" s="53" t="str">
        <f>IFERROR(VLOOKUP(B957, DATA_Johnstone_2024_ALL!B:J, 8, FALSE), "")</f>
        <v>X</v>
      </c>
      <c r="N957" s="20" t="str">
        <f>IF(J957=1, DATA_Johnstone_2023_50!M957, "")</f>
        <v/>
      </c>
      <c r="O957" s="20" t="str">
        <f>IF($J957=1, DATA_Johnstone_2023_50!N957, "")</f>
        <v/>
      </c>
      <c r="Q957" s="20" t="str">
        <f>IF($J957=1, DATA_Johnstone_2023_50!P957, "")</f>
        <v/>
      </c>
      <c r="AI957" s="75">
        <v>954</v>
      </c>
      <c r="AJ957" s="75">
        <v>100</v>
      </c>
    </row>
    <row r="958" spans="1:36" x14ac:dyDescent="0.35">
      <c r="A958">
        <v>4774</v>
      </c>
      <c r="B958">
        <v>4775</v>
      </c>
      <c r="C958">
        <v>146.06661879999999</v>
      </c>
      <c r="D958">
        <v>-17.505683640000001</v>
      </c>
      <c r="G958" s="1" t="str">
        <f t="shared" si="28"/>
        <v/>
      </c>
      <c r="H958">
        <v>1</v>
      </c>
      <c r="I958" t="str">
        <f t="shared" si="29"/>
        <v>X</v>
      </c>
      <c r="J958" s="53" t="str">
        <f>IFERROR(VLOOKUP(B958, DATA_Johnstone_2024_ALL!B:J, 8, FALSE), "")</f>
        <v>X</v>
      </c>
      <c r="N958" s="20" t="str">
        <f>IF(J958=1, DATA_Johnstone_2023_50!M958, "")</f>
        <v/>
      </c>
      <c r="O958" s="20" t="str">
        <f>IF($J958=1, DATA_Johnstone_2023_50!N958, "")</f>
        <v/>
      </c>
      <c r="Q958" s="20" t="str">
        <f>IF($J958=1, DATA_Johnstone_2023_50!P958, "")</f>
        <v/>
      </c>
      <c r="AI958" s="75">
        <v>955</v>
      </c>
      <c r="AJ958" s="75">
        <v>100</v>
      </c>
    </row>
    <row r="959" spans="1:36" x14ac:dyDescent="0.35">
      <c r="A959">
        <v>4779</v>
      </c>
      <c r="B959">
        <v>4780</v>
      </c>
      <c r="C959">
        <v>146.06691119999999</v>
      </c>
      <c r="D959">
        <v>-17.50531436</v>
      </c>
      <c r="G959" s="1" t="str">
        <f t="shared" si="28"/>
        <v/>
      </c>
      <c r="H959">
        <v>1</v>
      </c>
      <c r="I959" t="str">
        <f t="shared" si="29"/>
        <v>X</v>
      </c>
      <c r="J959" s="53" t="str">
        <f>IFERROR(VLOOKUP(B959, DATA_Johnstone_2024_ALL!B:J, 8, FALSE), "")</f>
        <v>X</v>
      </c>
      <c r="N959" s="20" t="str">
        <f>IF(J959=1, DATA_Johnstone_2023_50!M959, "")</f>
        <v/>
      </c>
      <c r="O959" s="20" t="str">
        <f>IF($J959=1, DATA_Johnstone_2023_50!N959, "")</f>
        <v/>
      </c>
      <c r="Q959" s="20" t="str">
        <f>IF($J959=1, DATA_Johnstone_2023_50!P959, "")</f>
        <v/>
      </c>
      <c r="AI959" s="75">
        <v>956</v>
      </c>
      <c r="AJ959" s="75">
        <v>100</v>
      </c>
    </row>
    <row r="960" spans="1:36" x14ac:dyDescent="0.35">
      <c r="A960">
        <v>4784</v>
      </c>
      <c r="B960">
        <v>4785</v>
      </c>
      <c r="C960">
        <v>146.0672319</v>
      </c>
      <c r="D960">
        <v>-17.504968680000001</v>
      </c>
      <c r="G960" s="1" t="str">
        <f t="shared" si="28"/>
        <v/>
      </c>
      <c r="H960">
        <v>1</v>
      </c>
      <c r="I960" t="str">
        <f t="shared" si="29"/>
        <v>X</v>
      </c>
      <c r="J960" s="53" t="str">
        <f>IFERROR(VLOOKUP(B960, DATA_Johnstone_2024_ALL!B:J, 8, FALSE), "")</f>
        <v>X</v>
      </c>
      <c r="N960" s="20" t="str">
        <f>IF(J960=1, DATA_Johnstone_2023_50!M960, "")</f>
        <v/>
      </c>
      <c r="O960" s="20" t="str">
        <f>IF($J960=1, DATA_Johnstone_2023_50!N960, "")</f>
        <v/>
      </c>
      <c r="Q960" s="20" t="str">
        <f>IF($J960=1, DATA_Johnstone_2023_50!P960, "")</f>
        <v/>
      </c>
      <c r="AI960" s="75">
        <v>957</v>
      </c>
      <c r="AJ960" s="75">
        <v>100</v>
      </c>
    </row>
    <row r="961" spans="1:36" x14ac:dyDescent="0.35">
      <c r="A961">
        <v>4789</v>
      </c>
      <c r="B961">
        <v>4790</v>
      </c>
      <c r="C961">
        <v>146.0675415</v>
      </c>
      <c r="D961">
        <v>-17.504613490000001</v>
      </c>
      <c r="G961" s="1" t="str">
        <f t="shared" si="28"/>
        <v/>
      </c>
      <c r="H961">
        <v>1</v>
      </c>
      <c r="I961" t="str">
        <f t="shared" si="29"/>
        <v>X</v>
      </c>
      <c r="J961" s="53" t="str">
        <f>IFERROR(VLOOKUP(B961, DATA_Johnstone_2024_ALL!B:J, 8, FALSE), "")</f>
        <v>X</v>
      </c>
      <c r="N961" s="20" t="str">
        <f>IF(J961=1, DATA_Johnstone_2023_50!M961, "")</f>
        <v/>
      </c>
      <c r="O961" s="20" t="str">
        <f>IF($J961=1, DATA_Johnstone_2023_50!N961, "")</f>
        <v/>
      </c>
      <c r="Q961" s="20" t="str">
        <f>IF($J961=1, DATA_Johnstone_2023_50!P961, "")</f>
        <v/>
      </c>
      <c r="AI961" s="75">
        <v>958</v>
      </c>
      <c r="AJ961" s="75">
        <v>100</v>
      </c>
    </row>
    <row r="962" spans="1:36" x14ac:dyDescent="0.35">
      <c r="A962">
        <v>4794</v>
      </c>
      <c r="B962">
        <v>4795</v>
      </c>
      <c r="C962">
        <v>146.06781240000001</v>
      </c>
      <c r="D962">
        <v>-17.504228770000001</v>
      </c>
      <c r="G962" s="1" t="str">
        <f t="shared" si="28"/>
        <v/>
      </c>
      <c r="H962">
        <v>1</v>
      </c>
      <c r="I962" t="str">
        <f t="shared" si="29"/>
        <v>X</v>
      </c>
      <c r="J962" s="53" t="str">
        <f>IFERROR(VLOOKUP(B962, DATA_Johnstone_2024_ALL!B:J, 8, FALSE), "")</f>
        <v>X</v>
      </c>
      <c r="N962" s="20" t="str">
        <f>IF(J962=1, DATA_Johnstone_2023_50!M962, "")</f>
        <v/>
      </c>
      <c r="O962" s="20" t="str">
        <f>IF($J962=1, DATA_Johnstone_2023_50!N962, "")</f>
        <v/>
      </c>
      <c r="Q962" s="20" t="str">
        <f>IF($J962=1, DATA_Johnstone_2023_50!P962, "")</f>
        <v/>
      </c>
      <c r="AI962" s="75">
        <v>959</v>
      </c>
      <c r="AJ962" s="75">
        <v>100</v>
      </c>
    </row>
    <row r="963" spans="1:36" x14ac:dyDescent="0.35">
      <c r="A963">
        <v>4799</v>
      </c>
      <c r="B963">
        <v>4800</v>
      </c>
      <c r="C963">
        <v>146.06806259999999</v>
      </c>
      <c r="D963">
        <v>-17.5038293</v>
      </c>
      <c r="G963" s="1" t="str">
        <f t="shared" si="28"/>
        <v/>
      </c>
      <c r="H963">
        <v>1</v>
      </c>
      <c r="I963" t="str">
        <f t="shared" si="29"/>
        <v>X</v>
      </c>
      <c r="J963" s="53" t="str">
        <f>IFERROR(VLOOKUP(B963, DATA_Johnstone_2024_ALL!B:J, 8, FALSE), "")</f>
        <v>X</v>
      </c>
      <c r="N963" s="20" t="str">
        <f>IF(J963=1, DATA_Johnstone_2023_50!M963, "")</f>
        <v/>
      </c>
      <c r="O963" s="20" t="str">
        <f>IF($J963=1, DATA_Johnstone_2023_50!N963, "")</f>
        <v/>
      </c>
      <c r="Q963" s="20" t="str">
        <f>IF($J963=1, DATA_Johnstone_2023_50!P963, "")</f>
        <v/>
      </c>
      <c r="AI963" s="75">
        <v>960</v>
      </c>
      <c r="AJ963" s="75">
        <v>100</v>
      </c>
    </row>
    <row r="964" spans="1:36" x14ac:dyDescent="0.35">
      <c r="A964">
        <v>4804</v>
      </c>
      <c r="B964">
        <v>4805</v>
      </c>
      <c r="C964">
        <v>146.0683338</v>
      </c>
      <c r="D964">
        <v>-17.503443860000001</v>
      </c>
      <c r="G964" s="1" t="str">
        <f t="shared" si="28"/>
        <v/>
      </c>
      <c r="H964">
        <v>1</v>
      </c>
      <c r="I964" t="str">
        <f t="shared" si="29"/>
        <v>X</v>
      </c>
      <c r="J964" s="53" t="str">
        <f>IFERROR(VLOOKUP(B964, DATA_Johnstone_2024_ALL!B:J, 8, FALSE), "")</f>
        <v>X</v>
      </c>
      <c r="N964" s="20" t="str">
        <f>IF(J964=1, DATA_Johnstone_2023_50!M964, "")</f>
        <v/>
      </c>
      <c r="O964" s="20" t="str">
        <f>IF($J964=1, DATA_Johnstone_2023_50!N964, "")</f>
        <v/>
      </c>
      <c r="Q964" s="20" t="str">
        <f>IF($J964=1, DATA_Johnstone_2023_50!P964, "")</f>
        <v/>
      </c>
      <c r="AI964" s="75">
        <v>961</v>
      </c>
      <c r="AJ964" s="75">
        <v>100</v>
      </c>
    </row>
    <row r="965" spans="1:36" x14ac:dyDescent="0.35">
      <c r="A965">
        <v>4809</v>
      </c>
      <c r="B965">
        <v>4810</v>
      </c>
      <c r="C965">
        <v>146.0686331</v>
      </c>
      <c r="D965">
        <v>-17.503079540000002</v>
      </c>
      <c r="G965" s="1" t="str">
        <f t="shared" ref="G965:G990" si="30">IF(F965="", "", HYPERLINK("E:\Data From Lucan\2024\Johnstone\Frames_for_Analysis_50\" &amp; F965, F965))</f>
        <v/>
      </c>
      <c r="H965">
        <v>1</v>
      </c>
      <c r="I965" t="str">
        <f t="shared" ref="I965:I990" si="31">IF(G965="","X","")</f>
        <v>X</v>
      </c>
      <c r="J965" s="53" t="str">
        <f>IFERROR(VLOOKUP(B965, DATA_Johnstone_2024_ALL!B:J, 8, FALSE), "")</f>
        <v>X</v>
      </c>
      <c r="N965" s="20" t="str">
        <f>IF(J965=1, DATA_Johnstone_2023_50!M965, "")</f>
        <v/>
      </c>
      <c r="O965" s="20" t="str">
        <f>IF($J965=1, DATA_Johnstone_2023_50!N965, "")</f>
        <v/>
      </c>
      <c r="Q965" s="20" t="str">
        <f>IF($J965=1, DATA_Johnstone_2023_50!P965, "")</f>
        <v/>
      </c>
      <c r="AI965" s="75">
        <v>962</v>
      </c>
      <c r="AJ965" s="75">
        <v>100</v>
      </c>
    </row>
    <row r="966" spans="1:36" x14ac:dyDescent="0.35">
      <c r="A966">
        <v>4814</v>
      </c>
      <c r="B966">
        <v>4815</v>
      </c>
      <c r="C966">
        <v>146.0689744</v>
      </c>
      <c r="D966">
        <v>-17.50275444</v>
      </c>
      <c r="G966" s="1" t="str">
        <f t="shared" si="30"/>
        <v/>
      </c>
      <c r="H966">
        <v>1</v>
      </c>
      <c r="I966" t="str">
        <f t="shared" si="31"/>
        <v>X</v>
      </c>
      <c r="J966" s="53" t="str">
        <f>IFERROR(VLOOKUP(B966, DATA_Johnstone_2024_ALL!B:J, 8, FALSE), "")</f>
        <v>X</v>
      </c>
      <c r="N966" s="20" t="str">
        <f>IF(J966=1, DATA_Johnstone_2023_50!M966, "")</f>
        <v/>
      </c>
      <c r="O966" s="20" t="str">
        <f>IF($J966=1, DATA_Johnstone_2023_50!N966, "")</f>
        <v/>
      </c>
      <c r="Q966" s="20" t="str">
        <f>IF($J966=1, DATA_Johnstone_2023_50!P966, "")</f>
        <v/>
      </c>
      <c r="AI966" s="75">
        <v>963</v>
      </c>
      <c r="AJ966" s="75">
        <v>100</v>
      </c>
    </row>
    <row r="967" spans="1:36" x14ac:dyDescent="0.35">
      <c r="A967">
        <v>4819</v>
      </c>
      <c r="B967">
        <v>4820</v>
      </c>
      <c r="C967">
        <v>146.06933509999999</v>
      </c>
      <c r="D967">
        <v>-17.502452309999999</v>
      </c>
      <c r="G967" s="1" t="str">
        <f t="shared" si="30"/>
        <v/>
      </c>
      <c r="H967">
        <v>1</v>
      </c>
      <c r="I967" t="str">
        <f t="shared" si="31"/>
        <v>X</v>
      </c>
      <c r="J967" s="53" t="str">
        <f>IFERROR(VLOOKUP(B967, DATA_Johnstone_2024_ALL!B:J, 8, FALSE), "")</f>
        <v>X</v>
      </c>
      <c r="N967" s="20" t="str">
        <f>IF(J967=1, DATA_Johnstone_2023_50!M967, "")</f>
        <v/>
      </c>
      <c r="O967" s="20" t="str">
        <f>IF($J967=1, DATA_Johnstone_2023_50!N967, "")</f>
        <v/>
      </c>
      <c r="Q967" s="20" t="str">
        <f>IF($J967=1, DATA_Johnstone_2023_50!P967, "")</f>
        <v/>
      </c>
      <c r="AI967" s="75">
        <v>964</v>
      </c>
      <c r="AJ967" s="75">
        <v>100</v>
      </c>
    </row>
    <row r="968" spans="1:36" x14ac:dyDescent="0.35">
      <c r="A968">
        <v>4824</v>
      </c>
      <c r="B968">
        <v>4825</v>
      </c>
      <c r="C968">
        <v>146.0697184</v>
      </c>
      <c r="D968">
        <v>-17.50217786</v>
      </c>
      <c r="G968" s="1" t="str">
        <f t="shared" si="30"/>
        <v/>
      </c>
      <c r="H968">
        <v>1</v>
      </c>
      <c r="I968" t="str">
        <f t="shared" si="31"/>
        <v>X</v>
      </c>
      <c r="J968" s="53" t="str">
        <f>IFERROR(VLOOKUP(B968, DATA_Johnstone_2024_ALL!B:J, 8, FALSE), "")</f>
        <v>X</v>
      </c>
      <c r="N968" s="20" t="str">
        <f>IF(J968=1, DATA_Johnstone_2023_50!M968, "")</f>
        <v/>
      </c>
      <c r="O968" s="20" t="str">
        <f>IF($J968=1, DATA_Johnstone_2023_50!N968, "")</f>
        <v/>
      </c>
      <c r="Q968" s="20" t="str">
        <f>IF($J968=1, DATA_Johnstone_2023_50!P968, "")</f>
        <v/>
      </c>
      <c r="AI968" s="75">
        <v>965</v>
      </c>
      <c r="AJ968" s="75">
        <v>100</v>
      </c>
    </row>
    <row r="969" spans="1:36" x14ac:dyDescent="0.35">
      <c r="A969">
        <v>4829</v>
      </c>
      <c r="B969">
        <v>4830</v>
      </c>
      <c r="C969">
        <v>146.07012570000001</v>
      </c>
      <c r="D969">
        <v>-17.501940260000001</v>
      </c>
      <c r="G969" s="1" t="str">
        <f t="shared" si="30"/>
        <v/>
      </c>
      <c r="H969">
        <v>1</v>
      </c>
      <c r="I969" t="str">
        <f t="shared" si="31"/>
        <v>X</v>
      </c>
      <c r="J969" s="53" t="str">
        <f>IFERROR(VLOOKUP(B969, DATA_Johnstone_2024_ALL!B:J, 8, FALSE), "")</f>
        <v>X</v>
      </c>
      <c r="N969" s="20" t="str">
        <f>IF(J969=1, DATA_Johnstone_2023_50!M969, "")</f>
        <v/>
      </c>
      <c r="O969" s="20" t="str">
        <f>IF($J969=1, DATA_Johnstone_2023_50!N969, "")</f>
        <v/>
      </c>
      <c r="Q969" s="20" t="str">
        <f>IF($J969=1, DATA_Johnstone_2023_50!P969, "")</f>
        <v/>
      </c>
      <c r="AI969" s="75">
        <v>966</v>
      </c>
      <c r="AJ969" s="75">
        <v>100</v>
      </c>
    </row>
    <row r="970" spans="1:36" x14ac:dyDescent="0.35">
      <c r="A970">
        <v>4834</v>
      </c>
      <c r="B970">
        <v>4835</v>
      </c>
      <c r="C970">
        <v>146.0705466</v>
      </c>
      <c r="D970">
        <v>-17.501729749999999</v>
      </c>
      <c r="G970" s="1" t="str">
        <f t="shared" si="30"/>
        <v/>
      </c>
      <c r="H970">
        <v>1</v>
      </c>
      <c r="I970" t="str">
        <f t="shared" si="31"/>
        <v>X</v>
      </c>
      <c r="J970" s="53" t="str">
        <f>IFERROR(VLOOKUP(B970, DATA_Johnstone_2024_ALL!B:J, 8, FALSE), "")</f>
        <v>X</v>
      </c>
      <c r="N970" s="20" t="str">
        <f>IF(J970=1, DATA_Johnstone_2023_50!M970, "")</f>
        <v/>
      </c>
      <c r="O970" s="20" t="str">
        <f>IF($J970=1, DATA_Johnstone_2023_50!N970, "")</f>
        <v/>
      </c>
      <c r="Q970" s="20" t="str">
        <f>IF($J970=1, DATA_Johnstone_2023_50!P970, "")</f>
        <v/>
      </c>
      <c r="AI970" s="75">
        <v>967</v>
      </c>
      <c r="AJ970" s="75">
        <v>100</v>
      </c>
    </row>
    <row r="971" spans="1:36" x14ac:dyDescent="0.35">
      <c r="A971">
        <v>4839</v>
      </c>
      <c r="B971">
        <v>4840</v>
      </c>
      <c r="C971">
        <v>146.07097709999999</v>
      </c>
      <c r="D971">
        <v>-17.50153736</v>
      </c>
      <c r="G971" s="1" t="str">
        <f t="shared" si="30"/>
        <v/>
      </c>
      <c r="H971">
        <v>1</v>
      </c>
      <c r="I971" t="str">
        <f t="shared" si="31"/>
        <v>X</v>
      </c>
      <c r="J971" s="53" t="str">
        <f>IFERROR(VLOOKUP(B971, DATA_Johnstone_2024_ALL!B:J, 8, FALSE), "")</f>
        <v>X</v>
      </c>
      <c r="N971" s="20" t="str">
        <f>IF(J971=1, DATA_Johnstone_2023_50!M971, "")</f>
        <v/>
      </c>
      <c r="O971" s="20" t="str">
        <f>IF($J971=1, DATA_Johnstone_2023_50!N971, "")</f>
        <v/>
      </c>
      <c r="Q971" s="20" t="str">
        <f>IF($J971=1, DATA_Johnstone_2023_50!P971, "")</f>
        <v/>
      </c>
      <c r="AI971" s="75">
        <v>968</v>
      </c>
      <c r="AJ971" s="75">
        <v>100</v>
      </c>
    </row>
    <row r="972" spans="1:36" x14ac:dyDescent="0.35">
      <c r="A972">
        <v>4844</v>
      </c>
      <c r="B972">
        <v>4845</v>
      </c>
      <c r="C972">
        <v>146.07141010000001</v>
      </c>
      <c r="D972">
        <v>-17.50135101</v>
      </c>
      <c r="G972" s="1" t="str">
        <f t="shared" si="30"/>
        <v/>
      </c>
      <c r="H972">
        <v>1</v>
      </c>
      <c r="I972" t="str">
        <f t="shared" si="31"/>
        <v>X</v>
      </c>
      <c r="J972" s="53" t="str">
        <f>IFERROR(VLOOKUP(B972, DATA_Johnstone_2024_ALL!B:J, 8, FALSE), "")</f>
        <v>X</v>
      </c>
      <c r="N972" s="20" t="str">
        <f>IF(J972=1, DATA_Johnstone_2023_50!M972, "")</f>
        <v/>
      </c>
      <c r="O972" s="20" t="str">
        <f>IF($J972=1, DATA_Johnstone_2023_50!N972, "")</f>
        <v/>
      </c>
      <c r="Q972" s="20" t="str">
        <f>IF($J972=1, DATA_Johnstone_2023_50!P972, "")</f>
        <v/>
      </c>
      <c r="AI972" s="75">
        <v>969</v>
      </c>
      <c r="AJ972" s="75">
        <v>100</v>
      </c>
    </row>
    <row r="973" spans="1:36" x14ac:dyDescent="0.35">
      <c r="A973">
        <v>4849</v>
      </c>
      <c r="B973">
        <v>4850</v>
      </c>
      <c r="C973">
        <v>146.07148520000001</v>
      </c>
      <c r="D973">
        <v>-17.501045980000001</v>
      </c>
      <c r="G973" s="1" t="str">
        <f t="shared" si="30"/>
        <v/>
      </c>
      <c r="H973">
        <v>1</v>
      </c>
      <c r="I973" t="str">
        <f t="shared" si="31"/>
        <v>X</v>
      </c>
      <c r="J973" s="53" t="str">
        <f>IFERROR(VLOOKUP(B973, DATA_Johnstone_2024_ALL!B:J, 8, FALSE), "")</f>
        <v>X</v>
      </c>
      <c r="N973" s="20" t="str">
        <f>IF(J973=1, DATA_Johnstone_2023_50!M973, "")</f>
        <v/>
      </c>
      <c r="O973" s="20" t="str">
        <f>IF($J973=1, DATA_Johnstone_2023_50!N973, "")</f>
        <v/>
      </c>
      <c r="Q973" s="20" t="str">
        <f>IF($J973=1, DATA_Johnstone_2023_50!P973, "")</f>
        <v/>
      </c>
      <c r="AI973" s="75">
        <v>970</v>
      </c>
      <c r="AJ973" s="75">
        <v>100</v>
      </c>
    </row>
    <row r="974" spans="1:36" x14ac:dyDescent="0.35">
      <c r="A974">
        <v>4854</v>
      </c>
      <c r="B974">
        <v>4855</v>
      </c>
      <c r="C974">
        <v>146.0716424</v>
      </c>
      <c r="D974">
        <v>-17.50080298</v>
      </c>
      <c r="G974" s="1" t="str">
        <f t="shared" si="30"/>
        <v/>
      </c>
      <c r="H974">
        <v>1</v>
      </c>
      <c r="I974" t="str">
        <f t="shared" si="31"/>
        <v>X</v>
      </c>
      <c r="J974" s="53" t="str">
        <f>IFERROR(VLOOKUP(B974, DATA_Johnstone_2024_ALL!B:J, 8, FALSE), "")</f>
        <v>X</v>
      </c>
      <c r="N974" s="20" t="str">
        <f>IF(J974=1, DATA_Johnstone_2023_50!M974, "")</f>
        <v/>
      </c>
      <c r="O974" s="20" t="str">
        <f>IF($J974=1, DATA_Johnstone_2023_50!N974, "")</f>
        <v/>
      </c>
      <c r="Q974" s="20" t="str">
        <f>IF($J974=1, DATA_Johnstone_2023_50!P974, "")</f>
        <v/>
      </c>
      <c r="AI974" s="75">
        <v>971</v>
      </c>
      <c r="AJ974" s="75">
        <v>100</v>
      </c>
    </row>
    <row r="975" spans="1:36" x14ac:dyDescent="0.35">
      <c r="A975">
        <v>4859</v>
      </c>
      <c r="B975">
        <v>4860</v>
      </c>
      <c r="C975">
        <v>146.07211290000001</v>
      </c>
      <c r="D975">
        <v>-17.500774790000001</v>
      </c>
      <c r="G975" s="1" t="str">
        <f t="shared" si="30"/>
        <v/>
      </c>
      <c r="H975">
        <v>1</v>
      </c>
      <c r="I975" t="str">
        <f t="shared" si="31"/>
        <v>X</v>
      </c>
      <c r="J975" s="53" t="str">
        <f>IFERROR(VLOOKUP(B975, DATA_Johnstone_2024_ALL!B:J, 8, FALSE), "")</f>
        <v>X</v>
      </c>
      <c r="N975" s="20" t="str">
        <f>IF(J975=1, DATA_Johnstone_2023_50!M975, "")</f>
        <v/>
      </c>
      <c r="O975" s="20" t="str">
        <f>IF($J975=1, DATA_Johnstone_2023_50!N975, "")</f>
        <v/>
      </c>
      <c r="Q975" s="20" t="str">
        <f>IF($J975=1, DATA_Johnstone_2023_50!P975, "")</f>
        <v/>
      </c>
      <c r="AI975" s="75">
        <v>972</v>
      </c>
      <c r="AJ975" s="75">
        <v>100</v>
      </c>
    </row>
    <row r="976" spans="1:36" x14ac:dyDescent="0.35">
      <c r="A976">
        <v>4864</v>
      </c>
      <c r="B976">
        <v>4865</v>
      </c>
      <c r="C976">
        <v>146.07251529999999</v>
      </c>
      <c r="D976">
        <v>-17.500946679999998</v>
      </c>
      <c r="G976" s="1" t="str">
        <f t="shared" si="30"/>
        <v/>
      </c>
      <c r="H976">
        <v>1</v>
      </c>
      <c r="I976" t="str">
        <f t="shared" si="31"/>
        <v>X</v>
      </c>
      <c r="J976" s="53" t="str">
        <f>IFERROR(VLOOKUP(B976, DATA_Johnstone_2024_ALL!B:J, 8, FALSE), "")</f>
        <v>X</v>
      </c>
      <c r="N976" s="20" t="str">
        <f>IF(J976=1, DATA_Johnstone_2023_50!M976, "")</f>
        <v/>
      </c>
      <c r="O976" s="20" t="str">
        <f>IF($J976=1, DATA_Johnstone_2023_50!N976, "")</f>
        <v/>
      </c>
      <c r="Q976" s="20" t="str">
        <f>IF($J976=1, DATA_Johnstone_2023_50!P976, "")</f>
        <v/>
      </c>
      <c r="AI976" s="75">
        <v>973</v>
      </c>
      <c r="AJ976" s="75">
        <v>100</v>
      </c>
    </row>
    <row r="977" spans="1:36" x14ac:dyDescent="0.35">
      <c r="A977">
        <v>4869</v>
      </c>
      <c r="B977">
        <v>4870</v>
      </c>
      <c r="C977">
        <v>146.07266430000001</v>
      </c>
      <c r="D977">
        <v>-17.50133361</v>
      </c>
      <c r="G977" s="1" t="str">
        <f t="shared" si="30"/>
        <v/>
      </c>
      <c r="H977">
        <v>1</v>
      </c>
      <c r="I977" t="str">
        <f t="shared" si="31"/>
        <v>X</v>
      </c>
      <c r="J977" s="53" t="str">
        <f>IFERROR(VLOOKUP(B977, DATA_Johnstone_2024_ALL!B:J, 8, FALSE), "")</f>
        <v>X</v>
      </c>
      <c r="N977" s="20" t="str">
        <f>IF(J977=1, DATA_Johnstone_2023_50!M977, "")</f>
        <v/>
      </c>
      <c r="O977" s="20" t="str">
        <f>IF($J977=1, DATA_Johnstone_2023_50!N977, "")</f>
        <v/>
      </c>
      <c r="Q977" s="20" t="str">
        <f>IF($J977=1, DATA_Johnstone_2023_50!P977, "")</f>
        <v/>
      </c>
      <c r="AI977" s="75">
        <v>974</v>
      </c>
      <c r="AJ977" s="75">
        <v>100</v>
      </c>
    </row>
    <row r="978" spans="1:36" x14ac:dyDescent="0.35">
      <c r="A978">
        <v>4874</v>
      </c>
      <c r="B978">
        <v>4875</v>
      </c>
      <c r="C978">
        <v>146.07309789999999</v>
      </c>
      <c r="D978">
        <v>-17.5015179</v>
      </c>
      <c r="G978" s="1" t="str">
        <f t="shared" si="30"/>
        <v/>
      </c>
      <c r="H978">
        <v>1</v>
      </c>
      <c r="I978" t="str">
        <f t="shared" si="31"/>
        <v>X</v>
      </c>
      <c r="J978" s="53" t="str">
        <f>IFERROR(VLOOKUP(B978, DATA_Johnstone_2024_ALL!B:J, 8, FALSE), "")</f>
        <v>X</v>
      </c>
      <c r="N978" s="20" t="str">
        <f>IF(J978=1, DATA_Johnstone_2023_50!M978, "")</f>
        <v/>
      </c>
      <c r="O978" s="20" t="str">
        <f>IF($J978=1, DATA_Johnstone_2023_50!N978, "")</f>
        <v/>
      </c>
      <c r="Q978" s="20" t="str">
        <f>IF($J978=1, DATA_Johnstone_2023_50!P978, "")</f>
        <v/>
      </c>
      <c r="AI978" s="75">
        <v>975</v>
      </c>
      <c r="AJ978" s="75">
        <v>100</v>
      </c>
    </row>
    <row r="979" spans="1:36" x14ac:dyDescent="0.35">
      <c r="A979">
        <v>4879</v>
      </c>
      <c r="B979">
        <v>4880</v>
      </c>
      <c r="C979">
        <v>146.07347720000001</v>
      </c>
      <c r="D979">
        <v>-17.50179546</v>
      </c>
      <c r="G979" s="1" t="str">
        <f t="shared" si="30"/>
        <v/>
      </c>
      <c r="H979">
        <v>1</v>
      </c>
      <c r="I979" t="str">
        <f t="shared" si="31"/>
        <v>X</v>
      </c>
      <c r="J979" s="53" t="str">
        <f>IFERROR(VLOOKUP(B979, DATA_Johnstone_2024_ALL!B:J, 8, FALSE), "")</f>
        <v>X</v>
      </c>
      <c r="N979" s="20" t="str">
        <f>IF(J979=1, DATA_Johnstone_2023_50!M979, "")</f>
        <v/>
      </c>
      <c r="O979" s="20" t="str">
        <f>IF($J979=1, DATA_Johnstone_2023_50!N979, "")</f>
        <v/>
      </c>
      <c r="Q979" s="20" t="str">
        <f>IF($J979=1, DATA_Johnstone_2023_50!P979, "")</f>
        <v/>
      </c>
      <c r="AI979" s="75">
        <v>976</v>
      </c>
      <c r="AJ979" s="75">
        <v>100</v>
      </c>
    </row>
    <row r="980" spans="1:36" x14ac:dyDescent="0.35">
      <c r="A980">
        <v>4884</v>
      </c>
      <c r="B980">
        <v>4885</v>
      </c>
      <c r="C980">
        <v>146.0738915</v>
      </c>
      <c r="D980">
        <v>-17.502020099999999</v>
      </c>
      <c r="G980" s="1" t="str">
        <f t="shared" si="30"/>
        <v/>
      </c>
      <c r="H980">
        <v>1</v>
      </c>
      <c r="I980" t="str">
        <f t="shared" si="31"/>
        <v>X</v>
      </c>
      <c r="J980" s="53" t="str">
        <f>IFERROR(VLOOKUP(B980, DATA_Johnstone_2024_ALL!B:J, 8, FALSE), "")</f>
        <v>X</v>
      </c>
      <c r="N980" s="20" t="str">
        <f>IF(J980=1, DATA_Johnstone_2023_50!M980, "")</f>
        <v/>
      </c>
      <c r="O980" s="20" t="str">
        <f>IF($J980=1, DATA_Johnstone_2023_50!N980, "")</f>
        <v/>
      </c>
      <c r="Q980" s="20" t="str">
        <f>IF($J980=1, DATA_Johnstone_2023_50!P980, "")</f>
        <v/>
      </c>
      <c r="AI980" s="75">
        <v>977</v>
      </c>
      <c r="AJ980" s="75">
        <v>100</v>
      </c>
    </row>
    <row r="981" spans="1:36" x14ac:dyDescent="0.35">
      <c r="A981">
        <v>4889</v>
      </c>
      <c r="B981">
        <v>4890</v>
      </c>
      <c r="C981">
        <v>146.07417269999999</v>
      </c>
      <c r="D981">
        <v>-17.502383630000001</v>
      </c>
      <c r="G981" s="1" t="str">
        <f t="shared" si="30"/>
        <v/>
      </c>
      <c r="H981">
        <v>1</v>
      </c>
      <c r="I981" t="str">
        <f t="shared" si="31"/>
        <v>X</v>
      </c>
      <c r="J981" s="53" t="str">
        <f>IFERROR(VLOOKUP(B981, DATA_Johnstone_2024_ALL!B:J, 8, FALSE), "")</f>
        <v>X</v>
      </c>
      <c r="N981" s="20" t="str">
        <f>IF(J981=1, DATA_Johnstone_2023_50!M981, "")</f>
        <v/>
      </c>
      <c r="O981" s="20" t="str">
        <f>IF($J981=1, DATA_Johnstone_2023_50!N981, "")</f>
        <v/>
      </c>
      <c r="Q981" s="20" t="str">
        <f>IF($J981=1, DATA_Johnstone_2023_50!P981, "")</f>
        <v/>
      </c>
      <c r="AI981" s="75">
        <v>978</v>
      </c>
      <c r="AJ981" s="75">
        <v>100</v>
      </c>
    </row>
    <row r="982" spans="1:36" x14ac:dyDescent="0.35">
      <c r="A982">
        <v>4894</v>
      </c>
      <c r="B982">
        <v>4895</v>
      </c>
      <c r="C982">
        <v>146.07447790000001</v>
      </c>
      <c r="D982">
        <v>-17.50274125</v>
      </c>
      <c r="G982" s="1" t="str">
        <f t="shared" si="30"/>
        <v/>
      </c>
      <c r="H982">
        <v>1</v>
      </c>
      <c r="I982" t="str">
        <f t="shared" si="31"/>
        <v>X</v>
      </c>
      <c r="J982" s="53" t="str">
        <f>IFERROR(VLOOKUP(B982, DATA_Johnstone_2024_ALL!B:J, 8, FALSE), "")</f>
        <v>X</v>
      </c>
      <c r="N982" s="20" t="str">
        <f>IF(J982=1, DATA_Johnstone_2023_50!M982, "")</f>
        <v/>
      </c>
      <c r="O982" s="20" t="str">
        <f>IF($J982=1, DATA_Johnstone_2023_50!N982, "")</f>
        <v/>
      </c>
      <c r="Q982" s="20" t="str">
        <f>IF($J982=1, DATA_Johnstone_2023_50!P982, "")</f>
        <v/>
      </c>
      <c r="AI982" s="75">
        <v>979</v>
      </c>
      <c r="AJ982" s="75">
        <v>100</v>
      </c>
    </row>
    <row r="983" spans="1:36" x14ac:dyDescent="0.35">
      <c r="A983">
        <v>4899</v>
      </c>
      <c r="B983">
        <v>4900</v>
      </c>
      <c r="C983">
        <v>146.0747748</v>
      </c>
      <c r="D983">
        <v>-17.503105170000001</v>
      </c>
      <c r="G983" s="1" t="str">
        <f t="shared" si="30"/>
        <v/>
      </c>
      <c r="H983">
        <v>1</v>
      </c>
      <c r="I983" t="str">
        <f t="shared" si="31"/>
        <v>X</v>
      </c>
      <c r="J983" s="53" t="str">
        <f>IFERROR(VLOOKUP(B983, DATA_Johnstone_2024_ALL!B:J, 8, FALSE), "")</f>
        <v>X</v>
      </c>
      <c r="N983" s="20" t="str">
        <f>IF(J983=1, DATA_Johnstone_2023_50!M983, "")</f>
        <v/>
      </c>
      <c r="O983" s="20" t="str">
        <f>IF($J983=1, DATA_Johnstone_2023_50!N983, "")</f>
        <v/>
      </c>
      <c r="Q983" s="20" t="str">
        <f>IF($J983=1, DATA_Johnstone_2023_50!P983, "")</f>
        <v/>
      </c>
      <c r="AI983" s="75">
        <v>980</v>
      </c>
      <c r="AJ983" s="75">
        <v>100</v>
      </c>
    </row>
    <row r="984" spans="1:36" x14ac:dyDescent="0.35">
      <c r="A984">
        <v>4904</v>
      </c>
      <c r="B984">
        <v>4905</v>
      </c>
      <c r="C984">
        <v>146.07500580000001</v>
      </c>
      <c r="D984">
        <v>-17.50350705</v>
      </c>
      <c r="G984" s="1" t="str">
        <f t="shared" si="30"/>
        <v/>
      </c>
      <c r="H984">
        <v>1</v>
      </c>
      <c r="I984" t="str">
        <f t="shared" si="31"/>
        <v>X</v>
      </c>
      <c r="J984" s="53" t="str">
        <f>IFERROR(VLOOKUP(B984, DATA_Johnstone_2024_ALL!B:J, 8, FALSE), "")</f>
        <v>X</v>
      </c>
      <c r="N984" s="20" t="str">
        <f>IF(J984=1, DATA_Johnstone_2023_50!M984, "")</f>
        <v/>
      </c>
      <c r="O984" s="20" t="str">
        <f>IF($J984=1, DATA_Johnstone_2023_50!N984, "")</f>
        <v/>
      </c>
      <c r="Q984" s="20" t="str">
        <f>IF($J984=1, DATA_Johnstone_2023_50!P984, "")</f>
        <v/>
      </c>
      <c r="AI984" s="75">
        <v>981</v>
      </c>
      <c r="AJ984" s="75">
        <v>100</v>
      </c>
    </row>
    <row r="985" spans="1:36" x14ac:dyDescent="0.35">
      <c r="A985">
        <v>4909</v>
      </c>
      <c r="B985">
        <v>4910</v>
      </c>
      <c r="C985">
        <v>146.0754025</v>
      </c>
      <c r="D985">
        <v>-17.503750740000001</v>
      </c>
      <c r="G985" s="1" t="str">
        <f t="shared" si="30"/>
        <v/>
      </c>
      <c r="H985">
        <v>1</v>
      </c>
      <c r="I985" t="str">
        <f t="shared" si="31"/>
        <v>X</v>
      </c>
      <c r="J985" s="53" t="str">
        <f>IFERROR(VLOOKUP(B985, DATA_Johnstone_2024_ALL!B:J, 8, FALSE), "")</f>
        <v>X</v>
      </c>
      <c r="N985" s="20" t="str">
        <f>IF(J985=1, DATA_Johnstone_2023_50!M985, "")</f>
        <v/>
      </c>
      <c r="O985" s="20" t="str">
        <f>IF($J985=1, DATA_Johnstone_2023_50!N985, "")</f>
        <v/>
      </c>
      <c r="Q985" s="20" t="str">
        <f>IF($J985=1, DATA_Johnstone_2023_50!P985, "")</f>
        <v/>
      </c>
      <c r="AI985" s="75">
        <v>982</v>
      </c>
      <c r="AJ985" s="75">
        <v>100</v>
      </c>
    </row>
    <row r="986" spans="1:36" x14ac:dyDescent="0.35">
      <c r="A986">
        <v>4914</v>
      </c>
      <c r="B986">
        <v>4915</v>
      </c>
      <c r="C986">
        <v>146.07572300000001</v>
      </c>
      <c r="D986">
        <v>-17.504096010000001</v>
      </c>
      <c r="G986" s="1" t="str">
        <f t="shared" si="30"/>
        <v/>
      </c>
      <c r="H986">
        <v>1</v>
      </c>
      <c r="I986" t="str">
        <f t="shared" si="31"/>
        <v>X</v>
      </c>
      <c r="J986" s="53" t="str">
        <f>IFERROR(VLOOKUP(B986, DATA_Johnstone_2024_ALL!B:J, 8, FALSE), "")</f>
        <v>X</v>
      </c>
      <c r="N986" s="20" t="str">
        <f>IF(J986=1, DATA_Johnstone_2023_50!M986, "")</f>
        <v/>
      </c>
      <c r="O986" s="20" t="str">
        <f>IF($J986=1, DATA_Johnstone_2023_50!N986, "")</f>
        <v/>
      </c>
      <c r="Q986" s="20" t="str">
        <f>IF($J986=1, DATA_Johnstone_2023_50!P986, "")</f>
        <v/>
      </c>
      <c r="AI986" s="75">
        <v>983</v>
      </c>
      <c r="AJ986" s="75">
        <v>100</v>
      </c>
    </row>
    <row r="987" spans="1:36" x14ac:dyDescent="0.35">
      <c r="A987">
        <v>4919</v>
      </c>
      <c r="B987">
        <v>4920</v>
      </c>
      <c r="C987">
        <v>146.07606480000001</v>
      </c>
      <c r="D987">
        <v>-17.504418170000001</v>
      </c>
      <c r="G987" s="1" t="str">
        <f t="shared" si="30"/>
        <v/>
      </c>
      <c r="H987">
        <v>1</v>
      </c>
      <c r="I987" t="str">
        <f t="shared" si="31"/>
        <v>X</v>
      </c>
      <c r="J987" s="53" t="str">
        <f>IFERROR(VLOOKUP(B987, DATA_Johnstone_2024_ALL!B:J, 8, FALSE), "")</f>
        <v>X</v>
      </c>
      <c r="N987" s="20" t="str">
        <f>IF(J987=1, DATA_Johnstone_2023_50!M987, "")</f>
        <v/>
      </c>
      <c r="O987" s="20" t="str">
        <f>IF($J987=1, DATA_Johnstone_2023_50!N987, "")</f>
        <v/>
      </c>
      <c r="Q987" s="20" t="str">
        <f>IF($J987=1, DATA_Johnstone_2023_50!P987, "")</f>
        <v/>
      </c>
      <c r="AI987" s="75">
        <v>984</v>
      </c>
      <c r="AJ987" s="75">
        <v>100</v>
      </c>
    </row>
    <row r="988" spans="1:36" x14ac:dyDescent="0.35">
      <c r="A988">
        <v>4924</v>
      </c>
      <c r="B988">
        <v>4925</v>
      </c>
      <c r="C988">
        <v>146.0763652</v>
      </c>
      <c r="D988">
        <v>-17.504773570000001</v>
      </c>
      <c r="G988" s="1" t="str">
        <f t="shared" si="30"/>
        <v/>
      </c>
      <c r="H988">
        <v>1</v>
      </c>
      <c r="I988" t="str">
        <f t="shared" si="31"/>
        <v>X</v>
      </c>
      <c r="J988" s="53" t="str">
        <f>IFERROR(VLOOKUP(B988, DATA_Johnstone_2024_ALL!B:J, 8, FALSE), "")</f>
        <v>X</v>
      </c>
      <c r="N988" s="20" t="str">
        <f>IF(J988=1, DATA_Johnstone_2023_50!M988, "")</f>
        <v/>
      </c>
      <c r="O988" s="20" t="str">
        <f>IF($J988=1, DATA_Johnstone_2023_50!N988, "")</f>
        <v/>
      </c>
      <c r="Q988" s="20" t="str">
        <f>IF($J988=1, DATA_Johnstone_2023_50!P988, "")</f>
        <v/>
      </c>
      <c r="AI988" s="75">
        <v>985</v>
      </c>
      <c r="AJ988" s="75">
        <v>100</v>
      </c>
    </row>
    <row r="989" spans="1:36" x14ac:dyDescent="0.35">
      <c r="A989">
        <v>4929</v>
      </c>
      <c r="B989">
        <v>4930</v>
      </c>
      <c r="C989">
        <v>146.07679379999999</v>
      </c>
      <c r="D989">
        <v>-17.504952660000001</v>
      </c>
      <c r="G989" s="1" t="str">
        <f t="shared" si="30"/>
        <v/>
      </c>
      <c r="H989">
        <v>1</v>
      </c>
      <c r="I989" t="str">
        <f t="shared" si="31"/>
        <v>X</v>
      </c>
      <c r="J989" s="53" t="str">
        <f>IFERROR(VLOOKUP(B989, DATA_Johnstone_2024_ALL!B:J, 8, FALSE), "")</f>
        <v>X</v>
      </c>
      <c r="N989" s="20" t="str">
        <f>IF(J989=1, DATA_Johnstone_2023_50!M989, "")</f>
        <v/>
      </c>
      <c r="O989" s="20" t="str">
        <f>IF($J989=1, DATA_Johnstone_2023_50!N989, "")</f>
        <v/>
      </c>
      <c r="Q989" s="20" t="str">
        <f>IF($J989=1, DATA_Johnstone_2023_50!P989, "")</f>
        <v/>
      </c>
      <c r="AI989" s="75">
        <v>986</v>
      </c>
      <c r="AJ989" s="75">
        <v>100</v>
      </c>
    </row>
    <row r="990" spans="1:36" x14ac:dyDescent="0.35">
      <c r="A990">
        <v>4934</v>
      </c>
      <c r="B990">
        <v>4935</v>
      </c>
      <c r="C990">
        <v>146.077146</v>
      </c>
      <c r="D990">
        <v>-17.505266089999999</v>
      </c>
      <c r="G990" s="1" t="str">
        <f t="shared" si="30"/>
        <v/>
      </c>
      <c r="H990">
        <v>1</v>
      </c>
      <c r="I990" t="str">
        <f t="shared" si="31"/>
        <v>X</v>
      </c>
      <c r="J990" s="53" t="str">
        <f>IFERROR(VLOOKUP(B990, DATA_Johnstone_2024_ALL!B:J, 8, FALSE), "")</f>
        <v>X</v>
      </c>
      <c r="N990" s="20" t="str">
        <f>IF(J990=1, DATA_Johnstone_2023_50!M990, "")</f>
        <v/>
      </c>
      <c r="O990" s="20" t="str">
        <f>IF($J990=1, DATA_Johnstone_2023_50!N990, "")</f>
        <v/>
      </c>
      <c r="Q990" s="20" t="str">
        <f>IF($J990=1, DATA_Johnstone_2023_50!P990, "")</f>
        <v/>
      </c>
      <c r="AI990" s="75">
        <v>987</v>
      </c>
      <c r="AJ990" s="75">
        <v>100</v>
      </c>
    </row>
    <row r="991" spans="1:36" x14ac:dyDescent="0.35">
      <c r="AI991" s="75">
        <v>988</v>
      </c>
      <c r="AJ991" s="75">
        <v>100</v>
      </c>
    </row>
    <row r="992" spans="1:36" x14ac:dyDescent="0.35">
      <c r="AI992" s="75">
        <v>989</v>
      </c>
      <c r="AJ992" s="75">
        <v>100</v>
      </c>
    </row>
    <row r="993" spans="35:36" x14ac:dyDescent="0.35">
      <c r="AI993" s="75">
        <v>990</v>
      </c>
      <c r="AJ993" s="75">
        <v>100</v>
      </c>
    </row>
    <row r="994" spans="35:36" x14ac:dyDescent="0.35">
      <c r="AI994" s="75">
        <v>991</v>
      </c>
      <c r="AJ994" s="75">
        <v>100</v>
      </c>
    </row>
    <row r="995" spans="35:36" x14ac:dyDescent="0.35">
      <c r="AI995" s="75">
        <v>992</v>
      </c>
      <c r="AJ995" s="75">
        <v>100</v>
      </c>
    </row>
    <row r="996" spans="35:36" x14ac:dyDescent="0.35">
      <c r="AI996" s="75">
        <v>993</v>
      </c>
      <c r="AJ996" s="75">
        <v>100</v>
      </c>
    </row>
    <row r="997" spans="35:36" x14ac:dyDescent="0.35">
      <c r="AI997" s="75">
        <v>994</v>
      </c>
      <c r="AJ997" s="75">
        <v>100</v>
      </c>
    </row>
    <row r="998" spans="35:36" x14ac:dyDescent="0.35">
      <c r="AI998" s="75">
        <v>995</v>
      </c>
      <c r="AJ998" s="75">
        <v>100</v>
      </c>
    </row>
    <row r="999" spans="35:36" x14ac:dyDescent="0.35">
      <c r="AI999" s="75">
        <v>996</v>
      </c>
      <c r="AJ999" s="75">
        <v>100</v>
      </c>
    </row>
    <row r="1000" spans="35:36" x14ac:dyDescent="0.35">
      <c r="AI1000" s="75">
        <v>997</v>
      </c>
      <c r="AJ1000" s="75">
        <v>100</v>
      </c>
    </row>
    <row r="1001" spans="35:36" x14ac:dyDescent="0.35">
      <c r="AI1001" s="75">
        <v>998</v>
      </c>
      <c r="AJ1001" s="75">
        <v>100</v>
      </c>
    </row>
    <row r="1002" spans="35:36" x14ac:dyDescent="0.35">
      <c r="AI1002" s="75">
        <v>999</v>
      </c>
      <c r="AJ1002" s="75">
        <v>100</v>
      </c>
    </row>
    <row r="1003" spans="35:36" x14ac:dyDescent="0.35">
      <c r="AI1003" s="75">
        <v>1000</v>
      </c>
      <c r="AJ1003" s="75">
        <v>100</v>
      </c>
    </row>
    <row r="1004" spans="35:36" x14ac:dyDescent="0.35">
      <c r="AI1004" s="75">
        <v>1001</v>
      </c>
      <c r="AJ1004" s="75">
        <v>100</v>
      </c>
    </row>
    <row r="1005" spans="35:36" x14ac:dyDescent="0.35">
      <c r="AI1005" s="75">
        <v>1002</v>
      </c>
      <c r="AJ1005" s="75">
        <v>100</v>
      </c>
    </row>
    <row r="1006" spans="35:36" x14ac:dyDescent="0.35">
      <c r="AI1006" s="75">
        <v>1003</v>
      </c>
      <c r="AJ1006" s="75">
        <v>100</v>
      </c>
    </row>
    <row r="1007" spans="35:36" x14ac:dyDescent="0.35">
      <c r="AI1007" s="75">
        <v>1004</v>
      </c>
      <c r="AJ1007" s="75">
        <v>100</v>
      </c>
    </row>
    <row r="1008" spans="35:36" x14ac:dyDescent="0.35">
      <c r="AI1008" s="75">
        <v>1005</v>
      </c>
      <c r="AJ1008" s="75">
        <v>100</v>
      </c>
    </row>
    <row r="1009" spans="35:36" x14ac:dyDescent="0.35">
      <c r="AI1009" s="75">
        <v>1006</v>
      </c>
      <c r="AJ1009" s="75">
        <v>100</v>
      </c>
    </row>
    <row r="1010" spans="35:36" x14ac:dyDescent="0.35">
      <c r="AI1010" s="75">
        <v>1007</v>
      </c>
      <c r="AJ1010" s="75">
        <v>100</v>
      </c>
    </row>
    <row r="1011" spans="35:36" x14ac:dyDescent="0.35">
      <c r="AI1011" s="75">
        <v>1008</v>
      </c>
      <c r="AJ1011" s="75">
        <v>100</v>
      </c>
    </row>
    <row r="1012" spans="35:36" x14ac:dyDescent="0.35">
      <c r="AI1012" s="75">
        <v>1009</v>
      </c>
      <c r="AJ1012" s="75">
        <v>100</v>
      </c>
    </row>
    <row r="1013" spans="35:36" x14ac:dyDescent="0.35">
      <c r="AI1013" s="75">
        <v>1010</v>
      </c>
      <c r="AJ1013" s="75">
        <v>100</v>
      </c>
    </row>
    <row r="1014" spans="35:36" x14ac:dyDescent="0.35">
      <c r="AI1014" s="75">
        <v>1011</v>
      </c>
      <c r="AJ1014" s="75">
        <v>100</v>
      </c>
    </row>
    <row r="1015" spans="35:36" x14ac:dyDescent="0.35">
      <c r="AI1015" s="75">
        <v>1012</v>
      </c>
      <c r="AJ1015" s="75">
        <v>100</v>
      </c>
    </row>
    <row r="1016" spans="35:36" x14ac:dyDescent="0.35">
      <c r="AI1016" s="75">
        <v>1013</v>
      </c>
      <c r="AJ1016" s="75">
        <v>100</v>
      </c>
    </row>
    <row r="1017" spans="35:36" x14ac:dyDescent="0.35">
      <c r="AI1017" s="75">
        <v>1014</v>
      </c>
      <c r="AJ1017" s="75">
        <v>100</v>
      </c>
    </row>
    <row r="1018" spans="35:36" x14ac:dyDescent="0.35">
      <c r="AI1018" s="75">
        <v>1015</v>
      </c>
      <c r="AJ1018" s="75">
        <v>100</v>
      </c>
    </row>
    <row r="1019" spans="35:36" x14ac:dyDescent="0.35">
      <c r="AI1019" s="75">
        <v>1016</v>
      </c>
      <c r="AJ1019" s="75">
        <v>100</v>
      </c>
    </row>
    <row r="1020" spans="35:36" x14ac:dyDescent="0.35">
      <c r="AI1020" s="75">
        <v>1017</v>
      </c>
      <c r="AJ1020" s="75">
        <v>100</v>
      </c>
    </row>
    <row r="1021" spans="35:36" x14ac:dyDescent="0.35">
      <c r="AI1021" s="75">
        <v>1018</v>
      </c>
      <c r="AJ1021" s="75">
        <v>100</v>
      </c>
    </row>
    <row r="1022" spans="35:36" x14ac:dyDescent="0.35">
      <c r="AI1022" s="75">
        <v>1019</v>
      </c>
      <c r="AJ1022" s="75">
        <v>100</v>
      </c>
    </row>
    <row r="1023" spans="35:36" x14ac:dyDescent="0.35">
      <c r="AI1023" s="75">
        <v>1020</v>
      </c>
      <c r="AJ1023" s="75">
        <v>100</v>
      </c>
    </row>
    <row r="1024" spans="35:36" x14ac:dyDescent="0.35">
      <c r="AI1024" s="75">
        <v>1021</v>
      </c>
      <c r="AJ1024" s="75">
        <v>100</v>
      </c>
    </row>
    <row r="1025" spans="35:36" x14ac:dyDescent="0.35">
      <c r="AI1025" s="75">
        <v>1022</v>
      </c>
      <c r="AJ1025" s="75">
        <v>100</v>
      </c>
    </row>
    <row r="1026" spans="35:36" x14ac:dyDescent="0.35">
      <c r="AI1026" s="75">
        <v>1023</v>
      </c>
      <c r="AJ1026" s="75">
        <v>100</v>
      </c>
    </row>
    <row r="1027" spans="35:36" x14ac:dyDescent="0.35">
      <c r="AI1027" s="75">
        <v>1024</v>
      </c>
      <c r="AJ1027" s="75">
        <v>100</v>
      </c>
    </row>
    <row r="1028" spans="35:36" x14ac:dyDescent="0.35">
      <c r="AI1028" s="75">
        <v>1025</v>
      </c>
      <c r="AJ1028" s="75">
        <v>100</v>
      </c>
    </row>
    <row r="1029" spans="35:36" x14ac:dyDescent="0.35">
      <c r="AI1029" s="75">
        <v>1026</v>
      </c>
      <c r="AJ1029" s="75">
        <v>100</v>
      </c>
    </row>
    <row r="1030" spans="35:36" x14ac:dyDescent="0.35">
      <c r="AI1030" s="75">
        <v>1027</v>
      </c>
      <c r="AJ1030" s="75">
        <v>100</v>
      </c>
    </row>
    <row r="1031" spans="35:36" x14ac:dyDescent="0.35">
      <c r="AI1031" s="75">
        <v>1028</v>
      </c>
      <c r="AJ1031" s="75">
        <v>100</v>
      </c>
    </row>
    <row r="1032" spans="35:36" x14ac:dyDescent="0.35">
      <c r="AI1032" s="75">
        <v>1029</v>
      </c>
      <c r="AJ1032" s="75">
        <v>100</v>
      </c>
    </row>
    <row r="1033" spans="35:36" x14ac:dyDescent="0.35">
      <c r="AI1033" s="75">
        <v>1030</v>
      </c>
      <c r="AJ1033" s="75">
        <v>100</v>
      </c>
    </row>
    <row r="1034" spans="35:36" x14ac:dyDescent="0.35">
      <c r="AI1034" s="75">
        <v>1031</v>
      </c>
      <c r="AJ1034" s="75">
        <v>100</v>
      </c>
    </row>
    <row r="1035" spans="35:36" x14ac:dyDescent="0.35">
      <c r="AI1035" s="75">
        <v>1032</v>
      </c>
      <c r="AJ1035" s="75">
        <v>100</v>
      </c>
    </row>
    <row r="1036" spans="35:36" x14ac:dyDescent="0.35">
      <c r="AI1036" s="75">
        <v>1033</v>
      </c>
      <c r="AJ1036" s="75">
        <v>100</v>
      </c>
    </row>
    <row r="1037" spans="35:36" x14ac:dyDescent="0.35">
      <c r="AI1037" s="75">
        <v>1034</v>
      </c>
      <c r="AJ1037" s="75">
        <v>100</v>
      </c>
    </row>
    <row r="1038" spans="35:36" x14ac:dyDescent="0.35">
      <c r="AI1038" s="75">
        <v>1035</v>
      </c>
      <c r="AJ1038" s="75">
        <v>100</v>
      </c>
    </row>
    <row r="1039" spans="35:36" x14ac:dyDescent="0.35">
      <c r="AI1039" s="75">
        <v>1036</v>
      </c>
      <c r="AJ1039" s="75">
        <v>100</v>
      </c>
    </row>
    <row r="1040" spans="35:36" x14ac:dyDescent="0.35">
      <c r="AI1040" s="75">
        <v>1037</v>
      </c>
      <c r="AJ1040" s="75">
        <v>100</v>
      </c>
    </row>
    <row r="1041" spans="35:36" x14ac:dyDescent="0.35">
      <c r="AI1041" s="75">
        <v>1038</v>
      </c>
      <c r="AJ1041" s="75">
        <v>100</v>
      </c>
    </row>
    <row r="1042" spans="35:36" x14ac:dyDescent="0.35">
      <c r="AI1042" s="75">
        <v>1039</v>
      </c>
      <c r="AJ1042" s="75">
        <v>100</v>
      </c>
    </row>
    <row r="1043" spans="35:36" x14ac:dyDescent="0.35">
      <c r="AI1043" s="75">
        <v>1040</v>
      </c>
      <c r="AJ1043" s="75">
        <v>100</v>
      </c>
    </row>
    <row r="1044" spans="35:36" x14ac:dyDescent="0.35">
      <c r="AI1044" s="75">
        <v>1041</v>
      </c>
      <c r="AJ1044" s="75">
        <v>100</v>
      </c>
    </row>
    <row r="1045" spans="35:36" x14ac:dyDescent="0.35">
      <c r="AI1045" s="75">
        <v>1042</v>
      </c>
      <c r="AJ1045" s="75">
        <v>100</v>
      </c>
    </row>
    <row r="1046" spans="35:36" x14ac:dyDescent="0.35">
      <c r="AI1046" s="75">
        <v>1043</v>
      </c>
      <c r="AJ1046" s="75">
        <v>100</v>
      </c>
    </row>
    <row r="1047" spans="35:36" x14ac:dyDescent="0.35">
      <c r="AI1047" s="75">
        <v>1044</v>
      </c>
      <c r="AJ1047" s="75">
        <v>100</v>
      </c>
    </row>
    <row r="1048" spans="35:36" x14ac:dyDescent="0.35">
      <c r="AI1048" s="75">
        <v>1045</v>
      </c>
      <c r="AJ1048" s="75">
        <v>100</v>
      </c>
    </row>
    <row r="1049" spans="35:36" x14ac:dyDescent="0.35">
      <c r="AI1049" s="75">
        <v>1046</v>
      </c>
      <c r="AJ1049" s="75">
        <v>100</v>
      </c>
    </row>
    <row r="1050" spans="35:36" x14ac:dyDescent="0.35">
      <c r="AI1050" s="75">
        <v>1047</v>
      </c>
      <c r="AJ1050" s="75">
        <v>100</v>
      </c>
    </row>
    <row r="1051" spans="35:36" x14ac:dyDescent="0.35">
      <c r="AI1051" s="75">
        <v>1048</v>
      </c>
      <c r="AJ1051" s="75">
        <v>100</v>
      </c>
    </row>
    <row r="1052" spans="35:36" x14ac:dyDescent="0.35">
      <c r="AI1052" s="75">
        <v>1049</v>
      </c>
      <c r="AJ1052" s="75">
        <v>100</v>
      </c>
    </row>
    <row r="1053" spans="35:36" x14ac:dyDescent="0.35">
      <c r="AI1053" s="75">
        <v>1050</v>
      </c>
      <c r="AJ1053" s="75">
        <v>100</v>
      </c>
    </row>
    <row r="1054" spans="35:36" x14ac:dyDescent="0.35">
      <c r="AI1054" s="75">
        <v>1051</v>
      </c>
      <c r="AJ1054" s="75">
        <v>100</v>
      </c>
    </row>
    <row r="1055" spans="35:36" x14ac:dyDescent="0.35">
      <c r="AI1055" s="75">
        <v>1052</v>
      </c>
      <c r="AJ1055" s="75">
        <v>100</v>
      </c>
    </row>
    <row r="1056" spans="35:36" x14ac:dyDescent="0.35">
      <c r="AI1056" s="75">
        <v>1053</v>
      </c>
      <c r="AJ1056" s="75">
        <v>100</v>
      </c>
    </row>
    <row r="1057" spans="35:36" x14ac:dyDescent="0.35">
      <c r="AI1057" s="75">
        <v>1054</v>
      </c>
      <c r="AJ1057" s="75">
        <v>100</v>
      </c>
    </row>
    <row r="1058" spans="35:36" x14ac:dyDescent="0.35">
      <c r="AI1058" s="75">
        <v>1055</v>
      </c>
      <c r="AJ1058" s="75">
        <v>100</v>
      </c>
    </row>
    <row r="1059" spans="35:36" x14ac:dyDescent="0.35">
      <c r="AI1059" s="75">
        <v>1056</v>
      </c>
      <c r="AJ1059" s="75">
        <v>100</v>
      </c>
    </row>
    <row r="1060" spans="35:36" x14ac:dyDescent="0.35">
      <c r="AI1060" s="75">
        <v>1057</v>
      </c>
      <c r="AJ1060" s="75">
        <v>100</v>
      </c>
    </row>
    <row r="1061" spans="35:36" x14ac:dyDescent="0.35">
      <c r="AI1061" s="75">
        <v>1058</v>
      </c>
      <c r="AJ1061" s="75">
        <v>100</v>
      </c>
    </row>
    <row r="1062" spans="35:36" x14ac:dyDescent="0.35">
      <c r="AI1062" s="75">
        <v>1059</v>
      </c>
      <c r="AJ1062" s="75">
        <v>100</v>
      </c>
    </row>
    <row r="1063" spans="35:36" x14ac:dyDescent="0.35">
      <c r="AI1063" s="75">
        <v>1060</v>
      </c>
      <c r="AJ1063" s="75">
        <v>100</v>
      </c>
    </row>
    <row r="1064" spans="35:36" x14ac:dyDescent="0.35">
      <c r="AI1064" s="75">
        <v>1061</v>
      </c>
      <c r="AJ1064" s="75">
        <v>100</v>
      </c>
    </row>
    <row r="1065" spans="35:36" x14ac:dyDescent="0.35">
      <c r="AI1065" s="75">
        <v>1062</v>
      </c>
      <c r="AJ1065" s="75">
        <v>100</v>
      </c>
    </row>
    <row r="1066" spans="35:36" x14ac:dyDescent="0.35">
      <c r="AI1066" s="75">
        <v>1063</v>
      </c>
      <c r="AJ1066" s="75">
        <v>100</v>
      </c>
    </row>
    <row r="1067" spans="35:36" x14ac:dyDescent="0.35">
      <c r="AI1067" s="75">
        <v>1064</v>
      </c>
      <c r="AJ1067" s="75">
        <v>100</v>
      </c>
    </row>
    <row r="1068" spans="35:36" x14ac:dyDescent="0.35">
      <c r="AI1068" s="75">
        <v>1065</v>
      </c>
      <c r="AJ1068" s="75">
        <v>100</v>
      </c>
    </row>
    <row r="1069" spans="35:36" x14ac:dyDescent="0.35">
      <c r="AI1069" s="75">
        <v>1066</v>
      </c>
      <c r="AJ1069" s="75">
        <v>100</v>
      </c>
    </row>
    <row r="1070" spans="35:36" x14ac:dyDescent="0.35">
      <c r="AI1070" s="75">
        <v>1067</v>
      </c>
      <c r="AJ1070" s="75">
        <v>100</v>
      </c>
    </row>
    <row r="1071" spans="35:36" x14ac:dyDescent="0.35">
      <c r="AI1071" s="75">
        <v>1068</v>
      </c>
      <c r="AJ1071" s="75">
        <v>100</v>
      </c>
    </row>
    <row r="1072" spans="35:36" x14ac:dyDescent="0.35">
      <c r="AI1072" s="75">
        <v>1069</v>
      </c>
      <c r="AJ1072" s="75">
        <v>100</v>
      </c>
    </row>
    <row r="1073" spans="35:36" x14ac:dyDescent="0.35">
      <c r="AI1073" s="75">
        <v>1070</v>
      </c>
      <c r="AJ1073" s="75">
        <v>100</v>
      </c>
    </row>
    <row r="1074" spans="35:36" x14ac:dyDescent="0.35">
      <c r="AI1074" s="75">
        <v>1071</v>
      </c>
      <c r="AJ1074" s="75">
        <v>100</v>
      </c>
    </row>
    <row r="1075" spans="35:36" x14ac:dyDescent="0.35">
      <c r="AI1075" s="75">
        <v>1072</v>
      </c>
      <c r="AJ1075" s="75">
        <v>100</v>
      </c>
    </row>
    <row r="1076" spans="35:36" x14ac:dyDescent="0.35">
      <c r="AI1076" s="75">
        <v>1073</v>
      </c>
      <c r="AJ1076" s="75">
        <v>100</v>
      </c>
    </row>
    <row r="1077" spans="35:36" x14ac:dyDescent="0.35">
      <c r="AI1077" s="75">
        <v>1074</v>
      </c>
      <c r="AJ1077" s="75">
        <v>100</v>
      </c>
    </row>
    <row r="1078" spans="35:36" x14ac:dyDescent="0.35">
      <c r="AI1078" s="75">
        <v>1075</v>
      </c>
      <c r="AJ1078" s="75">
        <v>100</v>
      </c>
    </row>
    <row r="1079" spans="35:36" x14ac:dyDescent="0.35">
      <c r="AI1079" s="75">
        <v>1076</v>
      </c>
      <c r="AJ1079" s="75">
        <v>100</v>
      </c>
    </row>
    <row r="1080" spans="35:36" x14ac:dyDescent="0.35">
      <c r="AI1080" s="75">
        <v>1077</v>
      </c>
      <c r="AJ1080" s="75">
        <v>100</v>
      </c>
    </row>
    <row r="1081" spans="35:36" x14ac:dyDescent="0.35">
      <c r="AI1081" s="75">
        <v>1078</v>
      </c>
      <c r="AJ1081" s="75">
        <v>100</v>
      </c>
    </row>
    <row r="1082" spans="35:36" x14ac:dyDescent="0.35">
      <c r="AI1082" s="75">
        <v>1079</v>
      </c>
      <c r="AJ1082" s="75">
        <v>100</v>
      </c>
    </row>
    <row r="1083" spans="35:36" x14ac:dyDescent="0.35">
      <c r="AI1083" s="75">
        <v>1080</v>
      </c>
      <c r="AJ1083" s="75">
        <v>100</v>
      </c>
    </row>
    <row r="1084" spans="35:36" x14ac:dyDescent="0.35">
      <c r="AI1084" s="75">
        <v>1081</v>
      </c>
      <c r="AJ1084" s="75">
        <v>100</v>
      </c>
    </row>
    <row r="1085" spans="35:36" x14ac:dyDescent="0.35">
      <c r="AI1085" s="75">
        <v>1082</v>
      </c>
      <c r="AJ1085" s="75">
        <v>100</v>
      </c>
    </row>
    <row r="1086" spans="35:36" x14ac:dyDescent="0.35">
      <c r="AI1086" s="75">
        <v>1083</v>
      </c>
      <c r="AJ1086" s="75">
        <v>100</v>
      </c>
    </row>
    <row r="1087" spans="35:36" x14ac:dyDescent="0.35">
      <c r="AI1087" s="75">
        <v>1084</v>
      </c>
      <c r="AJ1087" s="75">
        <v>100</v>
      </c>
    </row>
    <row r="1088" spans="35:36" x14ac:dyDescent="0.35">
      <c r="AI1088" s="75">
        <v>1085</v>
      </c>
      <c r="AJ1088" s="75">
        <v>100</v>
      </c>
    </row>
    <row r="1089" spans="35:36" x14ac:dyDescent="0.35">
      <c r="AI1089" s="75">
        <v>1086</v>
      </c>
      <c r="AJ1089" s="75">
        <v>100</v>
      </c>
    </row>
    <row r="1090" spans="35:36" x14ac:dyDescent="0.35">
      <c r="AI1090" s="75">
        <v>1087</v>
      </c>
      <c r="AJ1090" s="75">
        <v>100</v>
      </c>
    </row>
    <row r="1091" spans="35:36" x14ac:dyDescent="0.35">
      <c r="AI1091" s="75">
        <v>1088</v>
      </c>
      <c r="AJ1091" s="75">
        <v>100</v>
      </c>
    </row>
    <row r="1092" spans="35:36" x14ac:dyDescent="0.35">
      <c r="AI1092" s="75">
        <v>1089</v>
      </c>
      <c r="AJ1092" s="75">
        <v>100</v>
      </c>
    </row>
    <row r="1093" spans="35:36" x14ac:dyDescent="0.35">
      <c r="AI1093" s="75">
        <v>1090</v>
      </c>
      <c r="AJ1093" s="75">
        <v>100</v>
      </c>
    </row>
    <row r="1094" spans="35:36" x14ac:dyDescent="0.35">
      <c r="AI1094" s="75">
        <v>1091</v>
      </c>
      <c r="AJ1094" s="75">
        <v>100</v>
      </c>
    </row>
    <row r="1095" spans="35:36" x14ac:dyDescent="0.35">
      <c r="AI1095" s="75">
        <v>1092</v>
      </c>
      <c r="AJ1095" s="75">
        <v>100</v>
      </c>
    </row>
    <row r="1096" spans="35:36" x14ac:dyDescent="0.35">
      <c r="AI1096" s="75">
        <v>1093</v>
      </c>
      <c r="AJ1096" s="75">
        <v>100</v>
      </c>
    </row>
    <row r="1097" spans="35:36" x14ac:dyDescent="0.35">
      <c r="AI1097" s="75">
        <v>1094</v>
      </c>
      <c r="AJ1097" s="75">
        <v>100</v>
      </c>
    </row>
    <row r="1098" spans="35:36" x14ac:dyDescent="0.35">
      <c r="AI1098" s="75">
        <v>1095</v>
      </c>
      <c r="AJ1098" s="75">
        <v>100</v>
      </c>
    </row>
    <row r="1099" spans="35:36" x14ac:dyDescent="0.35">
      <c r="AI1099" s="75">
        <v>1096</v>
      </c>
      <c r="AJ1099" s="75">
        <v>100</v>
      </c>
    </row>
    <row r="1100" spans="35:36" x14ac:dyDescent="0.35">
      <c r="AI1100" s="75">
        <v>1097</v>
      </c>
      <c r="AJ1100" s="75">
        <v>100</v>
      </c>
    </row>
    <row r="1101" spans="35:36" x14ac:dyDescent="0.35">
      <c r="AI1101" s="75">
        <v>1098</v>
      </c>
      <c r="AJ1101" s="75">
        <v>100</v>
      </c>
    </row>
    <row r="1102" spans="35:36" x14ac:dyDescent="0.35">
      <c r="AI1102" s="75">
        <v>1099</v>
      </c>
      <c r="AJ1102" s="75">
        <v>100</v>
      </c>
    </row>
    <row r="1103" spans="35:36" x14ac:dyDescent="0.35">
      <c r="AI1103" s="75">
        <v>1100</v>
      </c>
      <c r="AJ1103" s="75">
        <v>100</v>
      </c>
    </row>
    <row r="1104" spans="35:36" x14ac:dyDescent="0.35">
      <c r="AI1104" s="75">
        <v>1101</v>
      </c>
      <c r="AJ1104" s="75">
        <v>100</v>
      </c>
    </row>
    <row r="1105" spans="35:36" x14ac:dyDescent="0.35">
      <c r="AI1105" s="75">
        <v>1102</v>
      </c>
      <c r="AJ1105" s="75">
        <v>100</v>
      </c>
    </row>
    <row r="1106" spans="35:36" x14ac:dyDescent="0.35">
      <c r="AI1106" s="75">
        <v>1103</v>
      </c>
      <c r="AJ1106" s="75">
        <v>100</v>
      </c>
    </row>
    <row r="1107" spans="35:36" x14ac:dyDescent="0.35">
      <c r="AI1107" s="75">
        <v>1104</v>
      </c>
      <c r="AJ1107" s="75">
        <v>100</v>
      </c>
    </row>
    <row r="1108" spans="35:36" x14ac:dyDescent="0.35">
      <c r="AI1108" s="75">
        <v>1105</v>
      </c>
      <c r="AJ1108" s="75">
        <v>100</v>
      </c>
    </row>
    <row r="1109" spans="35:36" x14ac:dyDescent="0.35">
      <c r="AI1109" s="75">
        <v>1106</v>
      </c>
      <c r="AJ1109" s="75">
        <v>100</v>
      </c>
    </row>
    <row r="1110" spans="35:36" x14ac:dyDescent="0.35">
      <c r="AI1110" s="75">
        <v>1107</v>
      </c>
      <c r="AJ1110" s="75">
        <v>100</v>
      </c>
    </row>
    <row r="1111" spans="35:36" x14ac:dyDescent="0.35">
      <c r="AI1111" s="75">
        <v>1108</v>
      </c>
      <c r="AJ1111" s="75">
        <v>100</v>
      </c>
    </row>
    <row r="1112" spans="35:36" x14ac:dyDescent="0.35">
      <c r="AI1112" s="75">
        <v>1109</v>
      </c>
      <c r="AJ1112" s="75">
        <v>100</v>
      </c>
    </row>
    <row r="1113" spans="35:36" x14ac:dyDescent="0.35">
      <c r="AI1113" s="75">
        <v>1110</v>
      </c>
      <c r="AJ1113" s="75">
        <v>100</v>
      </c>
    </row>
    <row r="1114" spans="35:36" x14ac:dyDescent="0.35">
      <c r="AI1114" s="75">
        <v>1111</v>
      </c>
      <c r="AJ1114" s="75">
        <v>100</v>
      </c>
    </row>
    <row r="1115" spans="35:36" x14ac:dyDescent="0.35">
      <c r="AI1115" s="75">
        <v>1112</v>
      </c>
      <c r="AJ1115" s="75">
        <v>100</v>
      </c>
    </row>
    <row r="1116" spans="35:36" x14ac:dyDescent="0.35">
      <c r="AI1116" s="75">
        <v>1113</v>
      </c>
      <c r="AJ1116" s="75">
        <v>100</v>
      </c>
    </row>
    <row r="1117" spans="35:36" x14ac:dyDescent="0.35">
      <c r="AI1117" s="75">
        <v>1114</v>
      </c>
      <c r="AJ1117" s="75">
        <v>100</v>
      </c>
    </row>
    <row r="1118" spans="35:36" x14ac:dyDescent="0.35">
      <c r="AI1118" s="75">
        <v>1115</v>
      </c>
      <c r="AJ1118" s="75">
        <v>100</v>
      </c>
    </row>
    <row r="1119" spans="35:36" x14ac:dyDescent="0.35">
      <c r="AI1119" s="75">
        <v>1116</v>
      </c>
      <c r="AJ1119" s="75">
        <v>100</v>
      </c>
    </row>
    <row r="1120" spans="35:36" x14ac:dyDescent="0.35">
      <c r="AI1120" s="75">
        <v>1117</v>
      </c>
      <c r="AJ1120" s="75">
        <v>100</v>
      </c>
    </row>
    <row r="1121" spans="35:36" x14ac:dyDescent="0.35">
      <c r="AI1121" s="75">
        <v>1118</v>
      </c>
      <c r="AJ1121" s="75">
        <v>100</v>
      </c>
    </row>
    <row r="1122" spans="35:36" x14ac:dyDescent="0.35">
      <c r="AI1122" s="75">
        <v>1119</v>
      </c>
      <c r="AJ1122" s="75">
        <v>100</v>
      </c>
    </row>
    <row r="1123" spans="35:36" x14ac:dyDescent="0.35">
      <c r="AI1123" s="75">
        <v>1120</v>
      </c>
      <c r="AJ1123" s="75">
        <v>100</v>
      </c>
    </row>
    <row r="1124" spans="35:36" x14ac:dyDescent="0.35">
      <c r="AI1124" s="75">
        <v>1121</v>
      </c>
      <c r="AJ1124" s="75">
        <v>100</v>
      </c>
    </row>
    <row r="1125" spans="35:36" x14ac:dyDescent="0.35">
      <c r="AI1125" s="75">
        <v>1122</v>
      </c>
      <c r="AJ1125" s="75">
        <v>100</v>
      </c>
    </row>
    <row r="1126" spans="35:36" x14ac:dyDescent="0.35">
      <c r="AI1126" s="75">
        <v>1123</v>
      </c>
      <c r="AJ1126" s="75">
        <v>100</v>
      </c>
    </row>
    <row r="1127" spans="35:36" x14ac:dyDescent="0.35">
      <c r="AI1127" s="75">
        <v>1124</v>
      </c>
      <c r="AJ1127" s="75">
        <v>100</v>
      </c>
    </row>
    <row r="1128" spans="35:36" x14ac:dyDescent="0.35">
      <c r="AI1128" s="75">
        <v>1125</v>
      </c>
      <c r="AJ1128" s="75">
        <v>100</v>
      </c>
    </row>
    <row r="1129" spans="35:36" x14ac:dyDescent="0.35">
      <c r="AI1129" s="75">
        <v>1126</v>
      </c>
      <c r="AJ1129" s="75">
        <v>100</v>
      </c>
    </row>
    <row r="1130" spans="35:36" x14ac:dyDescent="0.35">
      <c r="AI1130" s="75">
        <v>1127</v>
      </c>
      <c r="AJ1130" s="75">
        <v>100</v>
      </c>
    </row>
    <row r="1131" spans="35:36" x14ac:dyDescent="0.35">
      <c r="AI1131" s="75">
        <v>1128</v>
      </c>
      <c r="AJ1131" s="75">
        <v>100</v>
      </c>
    </row>
    <row r="1132" spans="35:36" x14ac:dyDescent="0.35">
      <c r="AI1132" s="75">
        <v>1129</v>
      </c>
      <c r="AJ1132" s="75">
        <v>100</v>
      </c>
    </row>
    <row r="1133" spans="35:36" x14ac:dyDescent="0.35">
      <c r="AI1133" s="75">
        <v>1130</v>
      </c>
      <c r="AJ1133" s="75">
        <v>100</v>
      </c>
    </row>
    <row r="1134" spans="35:36" x14ac:dyDescent="0.35">
      <c r="AI1134" s="75">
        <v>1131</v>
      </c>
      <c r="AJ1134" s="75">
        <v>100</v>
      </c>
    </row>
    <row r="1135" spans="35:36" x14ac:dyDescent="0.35">
      <c r="AI1135" s="75">
        <v>1132</v>
      </c>
      <c r="AJ1135" s="75">
        <v>100</v>
      </c>
    </row>
    <row r="1136" spans="35:36" x14ac:dyDescent="0.35">
      <c r="AI1136" s="75">
        <v>1133</v>
      </c>
      <c r="AJ1136" s="75">
        <v>100</v>
      </c>
    </row>
    <row r="1137" spans="35:36" x14ac:dyDescent="0.35">
      <c r="AI1137" s="75">
        <v>1134</v>
      </c>
      <c r="AJ1137" s="75">
        <v>100</v>
      </c>
    </row>
    <row r="1138" spans="35:36" x14ac:dyDescent="0.35">
      <c r="AI1138" s="75">
        <v>1135</v>
      </c>
      <c r="AJ1138" s="75">
        <v>100</v>
      </c>
    </row>
    <row r="1139" spans="35:36" x14ac:dyDescent="0.35">
      <c r="AI1139" s="75">
        <v>1136</v>
      </c>
      <c r="AJ1139" s="75">
        <v>100</v>
      </c>
    </row>
    <row r="1140" spans="35:36" x14ac:dyDescent="0.35">
      <c r="AI1140" s="75">
        <v>1137</v>
      </c>
      <c r="AJ1140" s="75">
        <v>100</v>
      </c>
    </row>
    <row r="1141" spans="35:36" x14ac:dyDescent="0.35">
      <c r="AI1141" s="75">
        <v>1138</v>
      </c>
      <c r="AJ1141" s="75">
        <v>100</v>
      </c>
    </row>
    <row r="1142" spans="35:36" x14ac:dyDescent="0.35">
      <c r="AI1142" s="75">
        <v>1139</v>
      </c>
      <c r="AJ1142" s="75">
        <v>100</v>
      </c>
    </row>
    <row r="1143" spans="35:36" x14ac:dyDescent="0.35">
      <c r="AI1143" s="75">
        <v>1140</v>
      </c>
      <c r="AJ1143" s="75">
        <v>100</v>
      </c>
    </row>
    <row r="1144" spans="35:36" x14ac:dyDescent="0.35">
      <c r="AI1144" s="75">
        <v>1141</v>
      </c>
      <c r="AJ1144" s="75">
        <v>100</v>
      </c>
    </row>
    <row r="1145" spans="35:36" x14ac:dyDescent="0.35">
      <c r="AI1145" s="75">
        <v>1142</v>
      </c>
      <c r="AJ1145" s="75">
        <v>100</v>
      </c>
    </row>
    <row r="1146" spans="35:36" x14ac:dyDescent="0.35">
      <c r="AI1146" s="75">
        <v>1143</v>
      </c>
      <c r="AJ1146" s="75">
        <v>100</v>
      </c>
    </row>
    <row r="1147" spans="35:36" x14ac:dyDescent="0.35">
      <c r="AI1147" s="75">
        <v>1144</v>
      </c>
      <c r="AJ1147" s="75">
        <v>100</v>
      </c>
    </row>
    <row r="1148" spans="35:36" x14ac:dyDescent="0.35">
      <c r="AI1148" s="75">
        <v>1145</v>
      </c>
      <c r="AJ1148" s="75">
        <v>100</v>
      </c>
    </row>
    <row r="1149" spans="35:36" x14ac:dyDescent="0.35">
      <c r="AI1149" s="75">
        <v>1146</v>
      </c>
      <c r="AJ1149" s="75">
        <v>100</v>
      </c>
    </row>
    <row r="1150" spans="35:36" x14ac:dyDescent="0.35">
      <c r="AI1150">
        <v>1147</v>
      </c>
      <c r="AJ1150">
        <v>2</v>
      </c>
    </row>
    <row r="1151" spans="35:36" x14ac:dyDescent="0.35">
      <c r="AI1151">
        <v>1148</v>
      </c>
      <c r="AJ1151">
        <v>2</v>
      </c>
    </row>
    <row r="1152" spans="35:36" x14ac:dyDescent="0.35">
      <c r="AI1152">
        <v>1149</v>
      </c>
      <c r="AJ1152">
        <v>2</v>
      </c>
    </row>
    <row r="1153" spans="35:36" x14ac:dyDescent="0.35">
      <c r="AI1153">
        <v>1150</v>
      </c>
      <c r="AJ1153">
        <v>2</v>
      </c>
    </row>
    <row r="1154" spans="35:36" x14ac:dyDescent="0.35">
      <c r="AI1154">
        <v>1151</v>
      </c>
      <c r="AJ1154">
        <v>2</v>
      </c>
    </row>
    <row r="1155" spans="35:36" x14ac:dyDescent="0.35">
      <c r="AI1155">
        <v>1152</v>
      </c>
      <c r="AJ1155">
        <v>2</v>
      </c>
    </row>
    <row r="1156" spans="35:36" x14ac:dyDescent="0.35">
      <c r="AI1156">
        <v>1153</v>
      </c>
      <c r="AJ1156">
        <v>2</v>
      </c>
    </row>
    <row r="1157" spans="35:36" x14ac:dyDescent="0.35">
      <c r="AI1157">
        <v>1154</v>
      </c>
      <c r="AJ1157">
        <v>2</v>
      </c>
    </row>
    <row r="1158" spans="35:36" x14ac:dyDescent="0.35">
      <c r="AI1158">
        <v>1155</v>
      </c>
      <c r="AJ1158">
        <v>2</v>
      </c>
    </row>
    <row r="1159" spans="35:36" x14ac:dyDescent="0.35">
      <c r="AI1159">
        <v>1156</v>
      </c>
      <c r="AJ1159">
        <v>2</v>
      </c>
    </row>
    <row r="1160" spans="35:36" x14ac:dyDescent="0.35">
      <c r="AI1160">
        <v>1157</v>
      </c>
      <c r="AJ1160">
        <v>2</v>
      </c>
    </row>
    <row r="1161" spans="35:36" x14ac:dyDescent="0.35">
      <c r="AI1161">
        <v>1158</v>
      </c>
      <c r="AJ1161">
        <v>2</v>
      </c>
    </row>
    <row r="1162" spans="35:36" x14ac:dyDescent="0.35">
      <c r="AI1162">
        <v>1159</v>
      </c>
      <c r="AJ1162">
        <v>2</v>
      </c>
    </row>
    <row r="1163" spans="35:36" x14ac:dyDescent="0.35">
      <c r="AI1163">
        <v>1160</v>
      </c>
      <c r="AJ1163">
        <v>2</v>
      </c>
    </row>
    <row r="1164" spans="35:36" x14ac:dyDescent="0.35">
      <c r="AI1164">
        <v>1161</v>
      </c>
      <c r="AJ1164">
        <v>2</v>
      </c>
    </row>
    <row r="1165" spans="35:36" x14ac:dyDescent="0.35">
      <c r="AI1165">
        <v>1162</v>
      </c>
      <c r="AJ1165">
        <v>2</v>
      </c>
    </row>
    <row r="1166" spans="35:36" x14ac:dyDescent="0.35">
      <c r="AI1166">
        <v>1163</v>
      </c>
      <c r="AJ1166">
        <v>2</v>
      </c>
    </row>
    <row r="1167" spans="35:36" x14ac:dyDescent="0.35">
      <c r="AI1167">
        <v>1164</v>
      </c>
      <c r="AJ1167">
        <v>2</v>
      </c>
    </row>
    <row r="1168" spans="35:36" x14ac:dyDescent="0.35">
      <c r="AI1168">
        <v>1165</v>
      </c>
      <c r="AJ1168">
        <v>2</v>
      </c>
    </row>
    <row r="1169" spans="35:36" x14ac:dyDescent="0.35">
      <c r="AI1169">
        <v>1166</v>
      </c>
      <c r="AJ1169">
        <v>2</v>
      </c>
    </row>
    <row r="1170" spans="35:36" x14ac:dyDescent="0.35">
      <c r="AI1170">
        <v>1167</v>
      </c>
      <c r="AJ1170">
        <v>2</v>
      </c>
    </row>
    <row r="1171" spans="35:36" x14ac:dyDescent="0.35">
      <c r="AI1171">
        <v>1168</v>
      </c>
      <c r="AJ1171">
        <v>2</v>
      </c>
    </row>
    <row r="1172" spans="35:36" x14ac:dyDescent="0.35">
      <c r="AI1172">
        <v>1169</v>
      </c>
      <c r="AJ1172">
        <v>2</v>
      </c>
    </row>
    <row r="1173" spans="35:36" x14ac:dyDescent="0.35">
      <c r="AI1173">
        <v>1170</v>
      </c>
      <c r="AJ1173">
        <v>2</v>
      </c>
    </row>
    <row r="1174" spans="35:36" x14ac:dyDescent="0.35">
      <c r="AI1174">
        <v>1171</v>
      </c>
      <c r="AJ1174">
        <v>2</v>
      </c>
    </row>
    <row r="1175" spans="35:36" x14ac:dyDescent="0.35">
      <c r="AI1175">
        <v>1172</v>
      </c>
      <c r="AJ1175">
        <v>2</v>
      </c>
    </row>
    <row r="1176" spans="35:36" x14ac:dyDescent="0.35">
      <c r="AI1176">
        <v>1173</v>
      </c>
      <c r="AJ1176">
        <v>2</v>
      </c>
    </row>
    <row r="1177" spans="35:36" x14ac:dyDescent="0.35">
      <c r="AI1177">
        <v>1174</v>
      </c>
      <c r="AJ1177">
        <v>2</v>
      </c>
    </row>
    <row r="1178" spans="35:36" x14ac:dyDescent="0.35">
      <c r="AI1178">
        <v>1175</v>
      </c>
      <c r="AJ1178">
        <v>2</v>
      </c>
    </row>
    <row r="1179" spans="35:36" x14ac:dyDescent="0.35">
      <c r="AI1179">
        <v>1176</v>
      </c>
      <c r="AJ1179">
        <v>2</v>
      </c>
    </row>
    <row r="1180" spans="35:36" x14ac:dyDescent="0.35">
      <c r="AI1180">
        <v>1177</v>
      </c>
      <c r="AJ1180">
        <v>2</v>
      </c>
    </row>
    <row r="1181" spans="35:36" x14ac:dyDescent="0.35">
      <c r="AI1181">
        <v>1178</v>
      </c>
      <c r="AJ1181">
        <v>2</v>
      </c>
    </row>
    <row r="1182" spans="35:36" x14ac:dyDescent="0.35">
      <c r="AI1182">
        <v>1179</v>
      </c>
      <c r="AJ1182">
        <v>2</v>
      </c>
    </row>
    <row r="1183" spans="35:36" x14ac:dyDescent="0.35">
      <c r="AI1183">
        <v>1180</v>
      </c>
      <c r="AJ1183">
        <v>2</v>
      </c>
    </row>
    <row r="1184" spans="35:36" x14ac:dyDescent="0.35">
      <c r="AI1184">
        <v>1181</v>
      </c>
      <c r="AJ1184">
        <v>2</v>
      </c>
    </row>
    <row r="1185" spans="35:36" x14ac:dyDescent="0.35">
      <c r="AI1185">
        <v>1182</v>
      </c>
      <c r="AJ1185">
        <v>2</v>
      </c>
    </row>
    <row r="1186" spans="35:36" x14ac:dyDescent="0.35">
      <c r="AI1186">
        <v>1183</v>
      </c>
      <c r="AJ1186">
        <v>2</v>
      </c>
    </row>
    <row r="1187" spans="35:36" x14ac:dyDescent="0.35">
      <c r="AI1187">
        <v>1184</v>
      </c>
      <c r="AJ1187">
        <v>2</v>
      </c>
    </row>
    <row r="1188" spans="35:36" x14ac:dyDescent="0.35">
      <c r="AI1188">
        <v>1185</v>
      </c>
      <c r="AJ1188">
        <v>2</v>
      </c>
    </row>
    <row r="1189" spans="35:36" x14ac:dyDescent="0.35">
      <c r="AI1189">
        <v>1186</v>
      </c>
      <c r="AJ1189">
        <v>2</v>
      </c>
    </row>
    <row r="1190" spans="35:36" x14ac:dyDescent="0.35">
      <c r="AI1190">
        <v>1187</v>
      </c>
      <c r="AJ1190">
        <v>2</v>
      </c>
    </row>
    <row r="1191" spans="35:36" x14ac:dyDescent="0.35">
      <c r="AI1191">
        <v>1188</v>
      </c>
      <c r="AJ1191">
        <v>2</v>
      </c>
    </row>
    <row r="1192" spans="35:36" x14ac:dyDescent="0.35">
      <c r="AI1192">
        <v>1189</v>
      </c>
      <c r="AJ1192">
        <v>2</v>
      </c>
    </row>
    <row r="1193" spans="35:36" x14ac:dyDescent="0.35">
      <c r="AI1193">
        <v>1190</v>
      </c>
      <c r="AJ1193">
        <v>2</v>
      </c>
    </row>
    <row r="1194" spans="35:36" x14ac:dyDescent="0.35">
      <c r="AI1194">
        <v>1191</v>
      </c>
      <c r="AJ1194">
        <v>2</v>
      </c>
    </row>
    <row r="1195" spans="35:36" x14ac:dyDescent="0.35">
      <c r="AI1195">
        <v>1192</v>
      </c>
      <c r="AJ1195">
        <v>2</v>
      </c>
    </row>
    <row r="1196" spans="35:36" x14ac:dyDescent="0.35">
      <c r="AI1196">
        <v>1193</v>
      </c>
      <c r="AJ1196">
        <v>2</v>
      </c>
    </row>
    <row r="1197" spans="35:36" x14ac:dyDescent="0.35">
      <c r="AI1197">
        <v>1194</v>
      </c>
      <c r="AJ1197">
        <v>2</v>
      </c>
    </row>
    <row r="1198" spans="35:36" x14ac:dyDescent="0.35">
      <c r="AI1198">
        <v>1195</v>
      </c>
      <c r="AJ1198">
        <v>2</v>
      </c>
    </row>
    <row r="1199" spans="35:36" x14ac:dyDescent="0.35">
      <c r="AI1199">
        <v>1196</v>
      </c>
      <c r="AJ1199">
        <v>2</v>
      </c>
    </row>
    <row r="1200" spans="35:36" x14ac:dyDescent="0.35">
      <c r="AI1200">
        <v>1197</v>
      </c>
      <c r="AJ1200">
        <v>2</v>
      </c>
    </row>
    <row r="1201" spans="35:36" x14ac:dyDescent="0.35">
      <c r="AI1201">
        <v>1198</v>
      </c>
      <c r="AJ1201">
        <v>2</v>
      </c>
    </row>
    <row r="1202" spans="35:36" x14ac:dyDescent="0.35">
      <c r="AI1202">
        <v>1199</v>
      </c>
      <c r="AJ1202">
        <v>2</v>
      </c>
    </row>
    <row r="1203" spans="35:36" x14ac:dyDescent="0.35">
      <c r="AI1203">
        <v>1200</v>
      </c>
      <c r="AJ1203">
        <v>2</v>
      </c>
    </row>
    <row r="1204" spans="35:36" x14ac:dyDescent="0.35">
      <c r="AI1204">
        <v>1201</v>
      </c>
      <c r="AJ1204">
        <v>2</v>
      </c>
    </row>
    <row r="1205" spans="35:36" x14ac:dyDescent="0.35">
      <c r="AI1205">
        <v>1202</v>
      </c>
      <c r="AJ1205">
        <v>2</v>
      </c>
    </row>
    <row r="1206" spans="35:36" x14ac:dyDescent="0.35">
      <c r="AI1206">
        <v>1203</v>
      </c>
      <c r="AJ1206">
        <v>2</v>
      </c>
    </row>
    <row r="1207" spans="35:36" x14ac:dyDescent="0.35">
      <c r="AI1207">
        <v>1204</v>
      </c>
      <c r="AJ1207">
        <v>2</v>
      </c>
    </row>
    <row r="1208" spans="35:36" x14ac:dyDescent="0.35">
      <c r="AI1208">
        <v>1205</v>
      </c>
      <c r="AJ1208">
        <v>2</v>
      </c>
    </row>
    <row r="1209" spans="35:36" x14ac:dyDescent="0.35">
      <c r="AI1209">
        <v>1206</v>
      </c>
      <c r="AJ1209">
        <v>2</v>
      </c>
    </row>
    <row r="1210" spans="35:36" x14ac:dyDescent="0.35">
      <c r="AI1210">
        <v>1207</v>
      </c>
      <c r="AJ1210">
        <v>2</v>
      </c>
    </row>
    <row r="1211" spans="35:36" x14ac:dyDescent="0.35">
      <c r="AI1211">
        <v>1208</v>
      </c>
      <c r="AJ1211">
        <v>2</v>
      </c>
    </row>
    <row r="1212" spans="35:36" x14ac:dyDescent="0.35">
      <c r="AI1212">
        <v>1209</v>
      </c>
      <c r="AJ1212">
        <v>2</v>
      </c>
    </row>
    <row r="1213" spans="35:36" x14ac:dyDescent="0.35">
      <c r="AI1213">
        <v>1210</v>
      </c>
      <c r="AJ1213">
        <v>2</v>
      </c>
    </row>
    <row r="1214" spans="35:36" x14ac:dyDescent="0.35">
      <c r="AI1214">
        <v>1211</v>
      </c>
      <c r="AJ1214">
        <v>2</v>
      </c>
    </row>
    <row r="1215" spans="35:36" x14ac:dyDescent="0.35">
      <c r="AI1215">
        <v>1212</v>
      </c>
      <c r="AJ1215">
        <v>2</v>
      </c>
    </row>
    <row r="1216" spans="35:36" x14ac:dyDescent="0.35">
      <c r="AI1216">
        <v>1213</v>
      </c>
      <c r="AJ1216">
        <v>2</v>
      </c>
    </row>
    <row r="1217" spans="35:36" x14ac:dyDescent="0.35">
      <c r="AI1217">
        <v>1214</v>
      </c>
      <c r="AJ1217">
        <v>2</v>
      </c>
    </row>
    <row r="1218" spans="35:36" x14ac:dyDescent="0.35">
      <c r="AI1218">
        <v>1215</v>
      </c>
      <c r="AJ1218">
        <v>2</v>
      </c>
    </row>
    <row r="1219" spans="35:36" x14ac:dyDescent="0.35">
      <c r="AI1219">
        <v>1216</v>
      </c>
      <c r="AJ1219">
        <v>2</v>
      </c>
    </row>
    <row r="1220" spans="35:36" x14ac:dyDescent="0.35">
      <c r="AI1220">
        <v>1217</v>
      </c>
      <c r="AJ1220">
        <v>3</v>
      </c>
    </row>
    <row r="1221" spans="35:36" x14ac:dyDescent="0.35">
      <c r="AI1221">
        <v>1218</v>
      </c>
      <c r="AJ1221">
        <v>3</v>
      </c>
    </row>
    <row r="1222" spans="35:36" x14ac:dyDescent="0.35">
      <c r="AI1222">
        <v>1219</v>
      </c>
      <c r="AJ1222">
        <v>3</v>
      </c>
    </row>
    <row r="1223" spans="35:36" x14ac:dyDescent="0.35">
      <c r="AI1223">
        <v>1220</v>
      </c>
      <c r="AJ1223">
        <v>3</v>
      </c>
    </row>
    <row r="1224" spans="35:36" x14ac:dyDescent="0.35">
      <c r="AI1224">
        <v>1221</v>
      </c>
      <c r="AJ1224">
        <v>3</v>
      </c>
    </row>
    <row r="1225" spans="35:36" x14ac:dyDescent="0.35">
      <c r="AI1225">
        <v>1222</v>
      </c>
      <c r="AJ1225">
        <v>3</v>
      </c>
    </row>
    <row r="1226" spans="35:36" x14ac:dyDescent="0.35">
      <c r="AI1226">
        <v>1223</v>
      </c>
      <c r="AJ1226">
        <v>3</v>
      </c>
    </row>
    <row r="1227" spans="35:36" x14ac:dyDescent="0.35">
      <c r="AI1227">
        <v>1224</v>
      </c>
      <c r="AJ1227">
        <v>3</v>
      </c>
    </row>
    <row r="1228" spans="35:36" x14ac:dyDescent="0.35">
      <c r="AI1228">
        <v>1225</v>
      </c>
      <c r="AJ1228">
        <v>3</v>
      </c>
    </row>
    <row r="1229" spans="35:36" x14ac:dyDescent="0.35">
      <c r="AI1229">
        <v>1226</v>
      </c>
      <c r="AJ1229">
        <v>3</v>
      </c>
    </row>
    <row r="1230" spans="35:36" x14ac:dyDescent="0.35">
      <c r="AI1230">
        <v>1227</v>
      </c>
      <c r="AJ1230">
        <v>3</v>
      </c>
    </row>
    <row r="1231" spans="35:36" x14ac:dyDescent="0.35">
      <c r="AI1231">
        <v>1228</v>
      </c>
      <c r="AJ1231">
        <v>3</v>
      </c>
    </row>
    <row r="1232" spans="35:36" x14ac:dyDescent="0.35">
      <c r="AI1232">
        <v>1229</v>
      </c>
      <c r="AJ1232">
        <v>3</v>
      </c>
    </row>
    <row r="1233" spans="35:36" x14ac:dyDescent="0.35">
      <c r="AI1233">
        <v>1230</v>
      </c>
      <c r="AJ1233">
        <v>3</v>
      </c>
    </row>
    <row r="1234" spans="35:36" x14ac:dyDescent="0.35">
      <c r="AI1234">
        <v>1231</v>
      </c>
      <c r="AJ1234">
        <v>3</v>
      </c>
    </row>
    <row r="1235" spans="35:36" x14ac:dyDescent="0.35">
      <c r="AI1235">
        <v>1232</v>
      </c>
      <c r="AJ1235">
        <v>3</v>
      </c>
    </row>
    <row r="1236" spans="35:36" x14ac:dyDescent="0.35">
      <c r="AI1236">
        <v>1233</v>
      </c>
      <c r="AJ1236">
        <v>3</v>
      </c>
    </row>
    <row r="1237" spans="35:36" x14ac:dyDescent="0.35">
      <c r="AI1237">
        <v>1234</v>
      </c>
      <c r="AJ1237">
        <v>3</v>
      </c>
    </row>
    <row r="1238" spans="35:36" x14ac:dyDescent="0.35">
      <c r="AI1238">
        <v>1235</v>
      </c>
      <c r="AJ1238">
        <v>3</v>
      </c>
    </row>
    <row r="1239" spans="35:36" x14ac:dyDescent="0.35">
      <c r="AI1239">
        <v>1236</v>
      </c>
      <c r="AJ1239">
        <v>3</v>
      </c>
    </row>
    <row r="1240" spans="35:36" x14ac:dyDescent="0.35">
      <c r="AI1240">
        <v>1237</v>
      </c>
      <c r="AJ1240">
        <v>3</v>
      </c>
    </row>
    <row r="1241" spans="35:36" x14ac:dyDescent="0.35">
      <c r="AI1241">
        <v>1238</v>
      </c>
      <c r="AJ1241">
        <v>3</v>
      </c>
    </row>
    <row r="1242" spans="35:36" x14ac:dyDescent="0.35">
      <c r="AI1242">
        <v>1239</v>
      </c>
      <c r="AJ1242">
        <v>3</v>
      </c>
    </row>
    <row r="1243" spans="35:36" x14ac:dyDescent="0.35">
      <c r="AI1243">
        <v>1240</v>
      </c>
      <c r="AJ1243">
        <v>3</v>
      </c>
    </row>
    <row r="1244" spans="35:36" x14ac:dyDescent="0.35">
      <c r="AI1244">
        <v>1241</v>
      </c>
      <c r="AJ1244">
        <v>3</v>
      </c>
    </row>
    <row r="1245" spans="35:36" x14ac:dyDescent="0.35">
      <c r="AI1245">
        <v>1242</v>
      </c>
      <c r="AJ1245">
        <v>3</v>
      </c>
    </row>
    <row r="1246" spans="35:36" x14ac:dyDescent="0.35">
      <c r="AI1246">
        <v>1243</v>
      </c>
      <c r="AJ1246">
        <v>3</v>
      </c>
    </row>
    <row r="1247" spans="35:36" x14ac:dyDescent="0.35">
      <c r="AI1247">
        <v>1244</v>
      </c>
      <c r="AJ1247">
        <v>3</v>
      </c>
    </row>
    <row r="1248" spans="35:36" x14ac:dyDescent="0.35">
      <c r="AI1248">
        <v>1245</v>
      </c>
      <c r="AJ1248">
        <v>3</v>
      </c>
    </row>
    <row r="1249" spans="35:36" x14ac:dyDescent="0.35">
      <c r="AI1249">
        <v>1246</v>
      </c>
      <c r="AJ1249">
        <v>3</v>
      </c>
    </row>
    <row r="1250" spans="35:36" x14ac:dyDescent="0.35">
      <c r="AI1250">
        <v>1247</v>
      </c>
      <c r="AJ1250">
        <v>3</v>
      </c>
    </row>
    <row r="1251" spans="35:36" x14ac:dyDescent="0.35">
      <c r="AI1251">
        <v>1248</v>
      </c>
      <c r="AJ1251">
        <v>3</v>
      </c>
    </row>
    <row r="1252" spans="35:36" x14ac:dyDescent="0.35">
      <c r="AI1252">
        <v>1249</v>
      </c>
      <c r="AJ1252">
        <v>3</v>
      </c>
    </row>
    <row r="1253" spans="35:36" x14ac:dyDescent="0.35">
      <c r="AI1253">
        <v>1250</v>
      </c>
      <c r="AJ1253">
        <v>3</v>
      </c>
    </row>
    <row r="1254" spans="35:36" x14ac:dyDescent="0.35">
      <c r="AI1254">
        <v>1251</v>
      </c>
      <c r="AJ1254">
        <v>3</v>
      </c>
    </row>
    <row r="1255" spans="35:36" x14ac:dyDescent="0.35">
      <c r="AI1255">
        <v>1252</v>
      </c>
      <c r="AJ1255">
        <v>3</v>
      </c>
    </row>
    <row r="1256" spans="35:36" x14ac:dyDescent="0.35">
      <c r="AI1256">
        <v>1253</v>
      </c>
      <c r="AJ1256">
        <v>3</v>
      </c>
    </row>
    <row r="1257" spans="35:36" x14ac:dyDescent="0.35">
      <c r="AI1257">
        <v>1254</v>
      </c>
      <c r="AJ1257">
        <v>3</v>
      </c>
    </row>
    <row r="1258" spans="35:36" x14ac:dyDescent="0.35">
      <c r="AI1258">
        <v>1255</v>
      </c>
      <c r="AJ1258">
        <v>3</v>
      </c>
    </row>
    <row r="1259" spans="35:36" x14ac:dyDescent="0.35">
      <c r="AI1259">
        <v>1256</v>
      </c>
      <c r="AJ1259">
        <v>3</v>
      </c>
    </row>
    <row r="1260" spans="35:36" x14ac:dyDescent="0.35">
      <c r="AI1260">
        <v>1257</v>
      </c>
      <c r="AJ1260">
        <v>3</v>
      </c>
    </row>
    <row r="1261" spans="35:36" x14ac:dyDescent="0.35">
      <c r="AI1261">
        <v>1258</v>
      </c>
      <c r="AJ1261">
        <v>3</v>
      </c>
    </row>
    <row r="1262" spans="35:36" x14ac:dyDescent="0.35">
      <c r="AI1262">
        <v>1259</v>
      </c>
      <c r="AJ1262">
        <v>3</v>
      </c>
    </row>
    <row r="1263" spans="35:36" x14ac:dyDescent="0.35">
      <c r="AI1263">
        <v>1260</v>
      </c>
      <c r="AJ1263">
        <v>3</v>
      </c>
    </row>
    <row r="1264" spans="35:36" x14ac:dyDescent="0.35">
      <c r="AI1264">
        <v>1261</v>
      </c>
      <c r="AJ1264">
        <v>3</v>
      </c>
    </row>
    <row r="1265" spans="35:36" x14ac:dyDescent="0.35">
      <c r="AI1265">
        <v>1262</v>
      </c>
      <c r="AJ1265">
        <v>3</v>
      </c>
    </row>
    <row r="1266" spans="35:36" x14ac:dyDescent="0.35">
      <c r="AI1266">
        <v>1263</v>
      </c>
      <c r="AJ1266">
        <v>3</v>
      </c>
    </row>
    <row r="1267" spans="35:36" x14ac:dyDescent="0.35">
      <c r="AI1267">
        <v>1264</v>
      </c>
      <c r="AJ1267">
        <v>3</v>
      </c>
    </row>
    <row r="1268" spans="35:36" x14ac:dyDescent="0.35">
      <c r="AI1268">
        <v>1265</v>
      </c>
      <c r="AJ1268">
        <v>3</v>
      </c>
    </row>
    <row r="1269" spans="35:36" x14ac:dyDescent="0.35">
      <c r="AI1269">
        <v>1266</v>
      </c>
      <c r="AJ1269">
        <v>3</v>
      </c>
    </row>
    <row r="1270" spans="35:36" x14ac:dyDescent="0.35">
      <c r="AI1270">
        <v>1267</v>
      </c>
      <c r="AJ1270">
        <v>3</v>
      </c>
    </row>
    <row r="1271" spans="35:36" x14ac:dyDescent="0.35">
      <c r="AI1271">
        <v>1268</v>
      </c>
      <c r="AJ1271">
        <v>3</v>
      </c>
    </row>
    <row r="1272" spans="35:36" x14ac:dyDescent="0.35">
      <c r="AI1272">
        <v>1269</v>
      </c>
      <c r="AJ1272">
        <v>3</v>
      </c>
    </row>
    <row r="1273" spans="35:36" x14ac:dyDescent="0.35">
      <c r="AI1273">
        <v>1270</v>
      </c>
      <c r="AJ1273">
        <v>3</v>
      </c>
    </row>
    <row r="1274" spans="35:36" x14ac:dyDescent="0.35">
      <c r="AI1274">
        <v>1271</v>
      </c>
      <c r="AJ1274">
        <v>3</v>
      </c>
    </row>
    <row r="1275" spans="35:36" x14ac:dyDescent="0.35">
      <c r="AI1275">
        <v>1272</v>
      </c>
      <c r="AJ1275">
        <v>3</v>
      </c>
    </row>
    <row r="1276" spans="35:36" x14ac:dyDescent="0.35">
      <c r="AI1276">
        <v>1273</v>
      </c>
      <c r="AJ1276">
        <v>3</v>
      </c>
    </row>
    <row r="1277" spans="35:36" x14ac:dyDescent="0.35">
      <c r="AI1277">
        <v>1274</v>
      </c>
      <c r="AJ1277">
        <v>3</v>
      </c>
    </row>
    <row r="1278" spans="35:36" x14ac:dyDescent="0.35">
      <c r="AI1278">
        <v>1275</v>
      </c>
      <c r="AJ1278">
        <v>3</v>
      </c>
    </row>
    <row r="1279" spans="35:36" x14ac:dyDescent="0.35">
      <c r="AI1279">
        <v>1276</v>
      </c>
      <c r="AJ1279">
        <v>3</v>
      </c>
    </row>
    <row r="1280" spans="35:36" x14ac:dyDescent="0.35">
      <c r="AI1280">
        <v>1277</v>
      </c>
      <c r="AJ1280">
        <v>3</v>
      </c>
    </row>
    <row r="1281" spans="35:36" x14ac:dyDescent="0.35">
      <c r="AI1281">
        <v>1278</v>
      </c>
      <c r="AJ1281">
        <v>3</v>
      </c>
    </row>
    <row r="1282" spans="35:36" x14ac:dyDescent="0.35">
      <c r="AI1282">
        <v>1279</v>
      </c>
      <c r="AJ1282">
        <v>3</v>
      </c>
    </row>
    <row r="1283" spans="35:36" x14ac:dyDescent="0.35">
      <c r="AI1283">
        <v>1280</v>
      </c>
      <c r="AJ1283">
        <v>3</v>
      </c>
    </row>
    <row r="1284" spans="35:36" x14ac:dyDescent="0.35">
      <c r="AI1284">
        <v>1281</v>
      </c>
      <c r="AJ1284">
        <v>3</v>
      </c>
    </row>
    <row r="1285" spans="35:36" x14ac:dyDescent="0.35">
      <c r="AI1285">
        <v>1282</v>
      </c>
      <c r="AJ1285">
        <v>3</v>
      </c>
    </row>
    <row r="1286" spans="35:36" x14ac:dyDescent="0.35">
      <c r="AI1286">
        <v>1283</v>
      </c>
      <c r="AJ1286">
        <v>3</v>
      </c>
    </row>
    <row r="1287" spans="35:36" x14ac:dyDescent="0.35">
      <c r="AI1287">
        <v>1284</v>
      </c>
      <c r="AJ1287">
        <v>3</v>
      </c>
    </row>
    <row r="1288" spans="35:36" x14ac:dyDescent="0.35">
      <c r="AI1288">
        <v>1285</v>
      </c>
      <c r="AJ1288">
        <v>3</v>
      </c>
    </row>
    <row r="1289" spans="35:36" x14ac:dyDescent="0.35">
      <c r="AI1289">
        <v>1286</v>
      </c>
      <c r="AJ1289">
        <v>3</v>
      </c>
    </row>
    <row r="1290" spans="35:36" x14ac:dyDescent="0.35">
      <c r="AI1290">
        <v>1287</v>
      </c>
      <c r="AJ1290">
        <v>3</v>
      </c>
    </row>
    <row r="1291" spans="35:36" x14ac:dyDescent="0.35">
      <c r="AI1291">
        <v>1288</v>
      </c>
      <c r="AJ1291">
        <v>3</v>
      </c>
    </row>
    <row r="1292" spans="35:36" x14ac:dyDescent="0.35">
      <c r="AI1292">
        <v>1289</v>
      </c>
      <c r="AJ1292">
        <v>3</v>
      </c>
    </row>
    <row r="1293" spans="35:36" x14ac:dyDescent="0.35">
      <c r="AI1293">
        <v>1290</v>
      </c>
      <c r="AJ1293">
        <v>3</v>
      </c>
    </row>
    <row r="1294" spans="35:36" x14ac:dyDescent="0.35">
      <c r="AI1294">
        <v>1291</v>
      </c>
      <c r="AJ1294">
        <v>3</v>
      </c>
    </row>
    <row r="1295" spans="35:36" x14ac:dyDescent="0.35">
      <c r="AI1295">
        <v>1292</v>
      </c>
      <c r="AJ1295">
        <v>3</v>
      </c>
    </row>
    <row r="1296" spans="35:36" x14ac:dyDescent="0.35">
      <c r="AI1296">
        <v>1293</v>
      </c>
      <c r="AJ1296">
        <v>3</v>
      </c>
    </row>
    <row r="1297" spans="35:36" x14ac:dyDescent="0.35">
      <c r="AI1297">
        <v>1294</v>
      </c>
      <c r="AJ1297">
        <v>3</v>
      </c>
    </row>
    <row r="1298" spans="35:36" x14ac:dyDescent="0.35">
      <c r="AI1298">
        <v>1295</v>
      </c>
      <c r="AJ1298">
        <v>3</v>
      </c>
    </row>
    <row r="1299" spans="35:36" x14ac:dyDescent="0.35">
      <c r="AI1299">
        <v>1296</v>
      </c>
      <c r="AJ1299">
        <v>3</v>
      </c>
    </row>
    <row r="1300" spans="35:36" x14ac:dyDescent="0.35">
      <c r="AI1300">
        <v>1297</v>
      </c>
      <c r="AJ1300">
        <v>3</v>
      </c>
    </row>
    <row r="1301" spans="35:36" x14ac:dyDescent="0.35">
      <c r="AI1301">
        <v>1298</v>
      </c>
      <c r="AJ1301">
        <v>3</v>
      </c>
    </row>
    <row r="1302" spans="35:36" x14ac:dyDescent="0.35">
      <c r="AI1302">
        <v>1299</v>
      </c>
      <c r="AJ1302">
        <v>3</v>
      </c>
    </row>
    <row r="1303" spans="35:36" x14ac:dyDescent="0.35">
      <c r="AI1303">
        <v>1300</v>
      </c>
      <c r="AJ1303">
        <v>3</v>
      </c>
    </row>
    <row r="1304" spans="35:36" x14ac:dyDescent="0.35">
      <c r="AI1304">
        <v>1301</v>
      </c>
      <c r="AJ1304">
        <v>3</v>
      </c>
    </row>
    <row r="1305" spans="35:36" x14ac:dyDescent="0.35">
      <c r="AI1305">
        <v>1302</v>
      </c>
      <c r="AJ1305">
        <v>3</v>
      </c>
    </row>
    <row r="1306" spans="35:36" x14ac:dyDescent="0.35">
      <c r="AI1306">
        <v>1303</v>
      </c>
      <c r="AJ1306">
        <v>3</v>
      </c>
    </row>
    <row r="1307" spans="35:36" x14ac:dyDescent="0.35">
      <c r="AI1307">
        <v>1304</v>
      </c>
      <c r="AJ1307">
        <v>3</v>
      </c>
    </row>
    <row r="1308" spans="35:36" x14ac:dyDescent="0.35">
      <c r="AI1308">
        <v>1305</v>
      </c>
      <c r="AJ1308">
        <v>3</v>
      </c>
    </row>
    <row r="1309" spans="35:36" x14ac:dyDescent="0.35">
      <c r="AI1309">
        <v>1306</v>
      </c>
      <c r="AJ1309">
        <v>3</v>
      </c>
    </row>
    <row r="1310" spans="35:36" x14ac:dyDescent="0.35">
      <c r="AI1310">
        <v>1307</v>
      </c>
      <c r="AJ1310">
        <v>3</v>
      </c>
    </row>
    <row r="1311" spans="35:36" x14ac:dyDescent="0.35">
      <c r="AI1311">
        <v>1308</v>
      </c>
      <c r="AJ1311">
        <v>3</v>
      </c>
    </row>
    <row r="1312" spans="35:36" x14ac:dyDescent="0.35">
      <c r="AI1312">
        <v>1309</v>
      </c>
      <c r="AJ1312">
        <v>3</v>
      </c>
    </row>
    <row r="1313" spans="35:36" x14ac:dyDescent="0.35">
      <c r="AI1313">
        <v>1310</v>
      </c>
      <c r="AJ1313">
        <v>3</v>
      </c>
    </row>
    <row r="1314" spans="35:36" x14ac:dyDescent="0.35">
      <c r="AI1314">
        <v>1311</v>
      </c>
      <c r="AJ1314">
        <v>3</v>
      </c>
    </row>
    <row r="1315" spans="35:36" x14ac:dyDescent="0.35">
      <c r="AI1315">
        <v>1312</v>
      </c>
      <c r="AJ1315">
        <v>3</v>
      </c>
    </row>
    <row r="1316" spans="35:36" x14ac:dyDescent="0.35">
      <c r="AI1316">
        <v>1313</v>
      </c>
      <c r="AJ1316">
        <v>3</v>
      </c>
    </row>
    <row r="1317" spans="35:36" x14ac:dyDescent="0.35">
      <c r="AI1317">
        <v>1314</v>
      </c>
      <c r="AJ1317">
        <v>3</v>
      </c>
    </row>
    <row r="1318" spans="35:36" x14ac:dyDescent="0.35">
      <c r="AI1318">
        <v>1315</v>
      </c>
      <c r="AJ1318">
        <v>3</v>
      </c>
    </row>
    <row r="1319" spans="35:36" x14ac:dyDescent="0.35">
      <c r="AI1319">
        <v>1316</v>
      </c>
      <c r="AJ1319">
        <v>3</v>
      </c>
    </row>
    <row r="1320" spans="35:36" x14ac:dyDescent="0.35">
      <c r="AI1320">
        <v>1317</v>
      </c>
      <c r="AJ1320">
        <v>3</v>
      </c>
    </row>
    <row r="1321" spans="35:36" x14ac:dyDescent="0.35">
      <c r="AI1321">
        <v>1318</v>
      </c>
      <c r="AJ1321">
        <v>3</v>
      </c>
    </row>
    <row r="1322" spans="35:36" x14ac:dyDescent="0.35">
      <c r="AI1322">
        <v>1319</v>
      </c>
      <c r="AJ1322">
        <v>3</v>
      </c>
    </row>
    <row r="1323" spans="35:36" x14ac:dyDescent="0.35">
      <c r="AI1323">
        <v>1320</v>
      </c>
      <c r="AJ1323">
        <v>3</v>
      </c>
    </row>
    <row r="1324" spans="35:36" x14ac:dyDescent="0.35">
      <c r="AI1324">
        <v>1321</v>
      </c>
      <c r="AJ1324">
        <v>3</v>
      </c>
    </row>
    <row r="1325" spans="35:36" x14ac:dyDescent="0.35">
      <c r="AI1325">
        <v>1322</v>
      </c>
      <c r="AJ1325">
        <v>3</v>
      </c>
    </row>
    <row r="1326" spans="35:36" x14ac:dyDescent="0.35">
      <c r="AI1326">
        <v>1323</v>
      </c>
      <c r="AJ1326">
        <v>3</v>
      </c>
    </row>
    <row r="1327" spans="35:36" x14ac:dyDescent="0.35">
      <c r="AI1327">
        <v>1324</v>
      </c>
      <c r="AJ1327">
        <v>3</v>
      </c>
    </row>
    <row r="1328" spans="35:36" x14ac:dyDescent="0.35">
      <c r="AI1328">
        <v>1325</v>
      </c>
      <c r="AJ1328">
        <v>3</v>
      </c>
    </row>
    <row r="1329" spans="35:36" x14ac:dyDescent="0.35">
      <c r="AI1329">
        <v>1326</v>
      </c>
      <c r="AJ1329">
        <v>3</v>
      </c>
    </row>
    <row r="1330" spans="35:36" x14ac:dyDescent="0.35">
      <c r="AI1330">
        <v>1327</v>
      </c>
      <c r="AJ1330">
        <v>3</v>
      </c>
    </row>
    <row r="1331" spans="35:36" x14ac:dyDescent="0.35">
      <c r="AI1331">
        <v>1328</v>
      </c>
      <c r="AJ1331">
        <v>3</v>
      </c>
    </row>
    <row r="1332" spans="35:36" x14ac:dyDescent="0.35">
      <c r="AI1332">
        <v>1329</v>
      </c>
      <c r="AJ1332">
        <v>3</v>
      </c>
    </row>
    <row r="1333" spans="35:36" x14ac:dyDescent="0.35">
      <c r="AI1333">
        <v>1330</v>
      </c>
      <c r="AJ1333">
        <v>3</v>
      </c>
    </row>
    <row r="1334" spans="35:36" x14ac:dyDescent="0.35">
      <c r="AI1334">
        <v>1331</v>
      </c>
      <c r="AJ1334">
        <v>3</v>
      </c>
    </row>
    <row r="1335" spans="35:36" x14ac:dyDescent="0.35">
      <c r="AI1335">
        <v>1332</v>
      </c>
      <c r="AJ1335">
        <v>3</v>
      </c>
    </row>
    <row r="1336" spans="35:36" x14ac:dyDescent="0.35">
      <c r="AI1336">
        <v>1333</v>
      </c>
      <c r="AJ1336">
        <v>3</v>
      </c>
    </row>
    <row r="1337" spans="35:36" x14ac:dyDescent="0.35">
      <c r="AI1337">
        <v>1334</v>
      </c>
      <c r="AJ1337">
        <v>3</v>
      </c>
    </row>
    <row r="1338" spans="35:36" x14ac:dyDescent="0.35">
      <c r="AI1338">
        <v>1335</v>
      </c>
      <c r="AJ1338">
        <v>3</v>
      </c>
    </row>
    <row r="1339" spans="35:36" x14ac:dyDescent="0.35">
      <c r="AI1339">
        <v>1336</v>
      </c>
      <c r="AJ1339">
        <v>3</v>
      </c>
    </row>
    <row r="1340" spans="35:36" x14ac:dyDescent="0.35">
      <c r="AI1340">
        <v>1337</v>
      </c>
      <c r="AJ1340">
        <v>3</v>
      </c>
    </row>
    <row r="1341" spans="35:36" x14ac:dyDescent="0.35">
      <c r="AI1341">
        <v>1338</v>
      </c>
      <c r="AJ1341">
        <v>3</v>
      </c>
    </row>
    <row r="1342" spans="35:36" x14ac:dyDescent="0.35">
      <c r="AI1342">
        <v>1339</v>
      </c>
      <c r="AJ1342">
        <v>3</v>
      </c>
    </row>
    <row r="1343" spans="35:36" x14ac:dyDescent="0.35">
      <c r="AI1343">
        <v>1340</v>
      </c>
      <c r="AJ1343">
        <v>3</v>
      </c>
    </row>
    <row r="1344" spans="35:36" x14ac:dyDescent="0.35">
      <c r="AI1344">
        <v>1341</v>
      </c>
      <c r="AJ1344">
        <v>3</v>
      </c>
    </row>
    <row r="1345" spans="35:36" x14ac:dyDescent="0.35">
      <c r="AI1345">
        <v>1342</v>
      </c>
      <c r="AJ1345">
        <v>3</v>
      </c>
    </row>
    <row r="1346" spans="35:36" x14ac:dyDescent="0.35">
      <c r="AI1346">
        <v>1343</v>
      </c>
      <c r="AJ1346">
        <v>3</v>
      </c>
    </row>
    <row r="1347" spans="35:36" x14ac:dyDescent="0.35">
      <c r="AI1347">
        <v>1344</v>
      </c>
      <c r="AJ1347">
        <v>3</v>
      </c>
    </row>
    <row r="1348" spans="35:36" x14ac:dyDescent="0.35">
      <c r="AI1348">
        <v>1345</v>
      </c>
      <c r="AJ1348">
        <v>3</v>
      </c>
    </row>
    <row r="1349" spans="35:36" x14ac:dyDescent="0.35">
      <c r="AI1349">
        <v>1346</v>
      </c>
      <c r="AJ1349">
        <v>3</v>
      </c>
    </row>
    <row r="1350" spans="35:36" x14ac:dyDescent="0.35">
      <c r="AI1350">
        <v>1347</v>
      </c>
      <c r="AJ1350">
        <v>3</v>
      </c>
    </row>
    <row r="1351" spans="35:36" x14ac:dyDescent="0.35">
      <c r="AI1351">
        <v>1348</v>
      </c>
      <c r="AJ1351">
        <v>3</v>
      </c>
    </row>
    <row r="1352" spans="35:36" x14ac:dyDescent="0.35">
      <c r="AI1352">
        <v>1349</v>
      </c>
      <c r="AJ1352">
        <v>3</v>
      </c>
    </row>
    <row r="1353" spans="35:36" x14ac:dyDescent="0.35">
      <c r="AI1353">
        <v>1350</v>
      </c>
      <c r="AJ1353">
        <v>3</v>
      </c>
    </row>
    <row r="1354" spans="35:36" x14ac:dyDescent="0.35">
      <c r="AI1354">
        <v>1351</v>
      </c>
      <c r="AJ1354">
        <v>3</v>
      </c>
    </row>
    <row r="1355" spans="35:36" x14ac:dyDescent="0.35">
      <c r="AI1355">
        <v>1352</v>
      </c>
      <c r="AJ1355">
        <v>3</v>
      </c>
    </row>
    <row r="1356" spans="35:36" x14ac:dyDescent="0.35">
      <c r="AI1356">
        <v>1353</v>
      </c>
      <c r="AJ1356">
        <v>3</v>
      </c>
    </row>
    <row r="1357" spans="35:36" x14ac:dyDescent="0.35">
      <c r="AI1357">
        <v>1354</v>
      </c>
      <c r="AJ1357">
        <v>3</v>
      </c>
    </row>
    <row r="1358" spans="35:36" x14ac:dyDescent="0.35">
      <c r="AI1358">
        <v>1355</v>
      </c>
      <c r="AJ1358">
        <v>3</v>
      </c>
    </row>
    <row r="1359" spans="35:36" x14ac:dyDescent="0.35">
      <c r="AI1359">
        <v>1356</v>
      </c>
      <c r="AJ1359">
        <v>3</v>
      </c>
    </row>
    <row r="1360" spans="35:36" x14ac:dyDescent="0.35">
      <c r="AI1360">
        <v>1357</v>
      </c>
      <c r="AJ1360">
        <v>3</v>
      </c>
    </row>
    <row r="1361" spans="35:36" x14ac:dyDescent="0.35">
      <c r="AI1361">
        <v>1358</v>
      </c>
      <c r="AJ1361">
        <v>3</v>
      </c>
    </row>
    <row r="1362" spans="35:36" x14ac:dyDescent="0.35">
      <c r="AI1362">
        <v>1359</v>
      </c>
      <c r="AJ1362">
        <v>3</v>
      </c>
    </row>
    <row r="1363" spans="35:36" x14ac:dyDescent="0.35">
      <c r="AI1363">
        <v>1360</v>
      </c>
      <c r="AJ1363">
        <v>3</v>
      </c>
    </row>
    <row r="1364" spans="35:36" x14ac:dyDescent="0.35">
      <c r="AI1364">
        <v>1361</v>
      </c>
      <c r="AJ1364">
        <v>3</v>
      </c>
    </row>
    <row r="1365" spans="35:36" x14ac:dyDescent="0.35">
      <c r="AI1365">
        <v>1362</v>
      </c>
      <c r="AJ1365">
        <v>3</v>
      </c>
    </row>
    <row r="1366" spans="35:36" x14ac:dyDescent="0.35">
      <c r="AI1366">
        <v>1363</v>
      </c>
      <c r="AJ1366">
        <v>3</v>
      </c>
    </row>
    <row r="1367" spans="35:36" x14ac:dyDescent="0.35">
      <c r="AI1367">
        <v>1364</v>
      </c>
      <c r="AJ1367">
        <v>3</v>
      </c>
    </row>
    <row r="1368" spans="35:36" x14ac:dyDescent="0.35">
      <c r="AI1368">
        <v>1365</v>
      </c>
      <c r="AJ1368">
        <v>3</v>
      </c>
    </row>
    <row r="1369" spans="35:36" x14ac:dyDescent="0.35">
      <c r="AI1369">
        <v>1366</v>
      </c>
      <c r="AJ1369">
        <v>3</v>
      </c>
    </row>
    <row r="1370" spans="35:36" x14ac:dyDescent="0.35">
      <c r="AI1370">
        <v>1367</v>
      </c>
      <c r="AJ1370">
        <v>3</v>
      </c>
    </row>
    <row r="1371" spans="35:36" x14ac:dyDescent="0.35">
      <c r="AI1371">
        <v>1368</v>
      </c>
      <c r="AJ1371">
        <v>3</v>
      </c>
    </row>
    <row r="1372" spans="35:36" x14ac:dyDescent="0.35">
      <c r="AI1372">
        <v>1369</v>
      </c>
      <c r="AJ1372">
        <v>3</v>
      </c>
    </row>
    <row r="1373" spans="35:36" x14ac:dyDescent="0.35">
      <c r="AI1373">
        <v>1370</v>
      </c>
      <c r="AJ1373">
        <v>3</v>
      </c>
    </row>
    <row r="1374" spans="35:36" x14ac:dyDescent="0.35">
      <c r="AI1374">
        <v>1371</v>
      </c>
      <c r="AJ1374">
        <v>3</v>
      </c>
    </row>
    <row r="1375" spans="35:36" x14ac:dyDescent="0.35">
      <c r="AI1375">
        <v>1372</v>
      </c>
      <c r="AJ1375">
        <v>3</v>
      </c>
    </row>
    <row r="1376" spans="35:36" x14ac:dyDescent="0.35">
      <c r="AI1376">
        <v>1373</v>
      </c>
      <c r="AJ1376">
        <v>3</v>
      </c>
    </row>
    <row r="1377" spans="35:36" x14ac:dyDescent="0.35">
      <c r="AI1377">
        <v>1374</v>
      </c>
      <c r="AJ1377">
        <v>3</v>
      </c>
    </row>
    <row r="1378" spans="35:36" x14ac:dyDescent="0.35">
      <c r="AI1378">
        <v>1375</v>
      </c>
      <c r="AJ1378">
        <v>3</v>
      </c>
    </row>
    <row r="1379" spans="35:36" x14ac:dyDescent="0.35">
      <c r="AI1379">
        <v>1376</v>
      </c>
      <c r="AJ1379">
        <v>3</v>
      </c>
    </row>
    <row r="1380" spans="35:36" x14ac:dyDescent="0.35">
      <c r="AI1380">
        <v>1377</v>
      </c>
      <c r="AJ1380">
        <v>3</v>
      </c>
    </row>
    <row r="1381" spans="35:36" x14ac:dyDescent="0.35">
      <c r="AI1381">
        <v>1378</v>
      </c>
      <c r="AJ1381">
        <v>3</v>
      </c>
    </row>
    <row r="1382" spans="35:36" x14ac:dyDescent="0.35">
      <c r="AI1382">
        <v>1379</v>
      </c>
      <c r="AJ1382">
        <v>3</v>
      </c>
    </row>
    <row r="1383" spans="35:36" x14ac:dyDescent="0.35">
      <c r="AI1383">
        <v>1380</v>
      </c>
      <c r="AJ1383">
        <v>3</v>
      </c>
    </row>
    <row r="1384" spans="35:36" x14ac:dyDescent="0.35">
      <c r="AI1384">
        <v>1381</v>
      </c>
      <c r="AJ1384">
        <v>3</v>
      </c>
    </row>
    <row r="1385" spans="35:36" x14ac:dyDescent="0.35">
      <c r="AI1385">
        <v>1382</v>
      </c>
      <c r="AJ1385">
        <v>3</v>
      </c>
    </row>
    <row r="1386" spans="35:36" x14ac:dyDescent="0.35">
      <c r="AI1386">
        <v>1383</v>
      </c>
      <c r="AJ1386">
        <v>3</v>
      </c>
    </row>
    <row r="1387" spans="35:36" x14ac:dyDescent="0.35">
      <c r="AI1387">
        <v>1384</v>
      </c>
      <c r="AJ1387">
        <v>3</v>
      </c>
    </row>
    <row r="1388" spans="35:36" x14ac:dyDescent="0.35">
      <c r="AI1388">
        <v>1385</v>
      </c>
      <c r="AJ1388">
        <v>3</v>
      </c>
    </row>
    <row r="1389" spans="35:36" x14ac:dyDescent="0.35">
      <c r="AI1389">
        <v>1386</v>
      </c>
      <c r="AJ1389">
        <v>3</v>
      </c>
    </row>
    <row r="1390" spans="35:36" x14ac:dyDescent="0.35">
      <c r="AI1390">
        <v>1387</v>
      </c>
      <c r="AJ1390">
        <v>3</v>
      </c>
    </row>
    <row r="1391" spans="35:36" x14ac:dyDescent="0.35">
      <c r="AI1391">
        <v>1388</v>
      </c>
      <c r="AJ1391">
        <v>3</v>
      </c>
    </row>
    <row r="1392" spans="35:36" x14ac:dyDescent="0.35">
      <c r="AI1392">
        <v>1389</v>
      </c>
      <c r="AJ1392">
        <v>3</v>
      </c>
    </row>
    <row r="1393" spans="35:36" x14ac:dyDescent="0.35">
      <c r="AI1393">
        <v>1390</v>
      </c>
      <c r="AJ1393">
        <v>3</v>
      </c>
    </row>
    <row r="1394" spans="35:36" x14ac:dyDescent="0.35">
      <c r="AI1394">
        <v>1391</v>
      </c>
      <c r="AJ1394">
        <v>3</v>
      </c>
    </row>
    <row r="1395" spans="35:36" x14ac:dyDescent="0.35">
      <c r="AI1395">
        <v>1392</v>
      </c>
      <c r="AJ1395">
        <v>3</v>
      </c>
    </row>
    <row r="1396" spans="35:36" x14ac:dyDescent="0.35">
      <c r="AI1396">
        <v>1393</v>
      </c>
      <c r="AJ1396">
        <v>3</v>
      </c>
    </row>
    <row r="1397" spans="35:36" x14ac:dyDescent="0.35">
      <c r="AI1397">
        <v>1394</v>
      </c>
      <c r="AJ1397">
        <v>3</v>
      </c>
    </row>
    <row r="1398" spans="35:36" x14ac:dyDescent="0.35">
      <c r="AI1398">
        <v>1395</v>
      </c>
      <c r="AJ1398">
        <v>3</v>
      </c>
    </row>
    <row r="1399" spans="35:36" x14ac:dyDescent="0.35">
      <c r="AI1399">
        <v>1396</v>
      </c>
      <c r="AJ1399">
        <v>3</v>
      </c>
    </row>
    <row r="1400" spans="35:36" x14ac:dyDescent="0.35">
      <c r="AI1400">
        <v>1397</v>
      </c>
      <c r="AJ1400">
        <v>3</v>
      </c>
    </row>
    <row r="1401" spans="35:36" x14ac:dyDescent="0.35">
      <c r="AI1401">
        <v>1398</v>
      </c>
      <c r="AJ1401">
        <v>3</v>
      </c>
    </row>
    <row r="1402" spans="35:36" x14ac:dyDescent="0.35">
      <c r="AI1402">
        <v>1399</v>
      </c>
      <c r="AJ1402">
        <v>3</v>
      </c>
    </row>
    <row r="1403" spans="35:36" x14ac:dyDescent="0.35">
      <c r="AI1403">
        <v>1400</v>
      </c>
      <c r="AJ1403">
        <v>3</v>
      </c>
    </row>
    <row r="1404" spans="35:36" x14ac:dyDescent="0.35">
      <c r="AI1404">
        <v>1401</v>
      </c>
      <c r="AJ1404">
        <v>3</v>
      </c>
    </row>
    <row r="1405" spans="35:36" x14ac:dyDescent="0.35">
      <c r="AI1405">
        <v>1402</v>
      </c>
      <c r="AJ1405">
        <v>3</v>
      </c>
    </row>
    <row r="1406" spans="35:36" x14ac:dyDescent="0.35">
      <c r="AI1406">
        <v>1403</v>
      </c>
      <c r="AJ1406">
        <v>3</v>
      </c>
    </row>
    <row r="1407" spans="35:36" x14ac:dyDescent="0.35">
      <c r="AI1407">
        <v>1404</v>
      </c>
      <c r="AJ1407">
        <v>3</v>
      </c>
    </row>
    <row r="1408" spans="35:36" x14ac:dyDescent="0.35">
      <c r="AI1408">
        <v>1405</v>
      </c>
      <c r="AJ1408">
        <v>3</v>
      </c>
    </row>
    <row r="1409" spans="35:36" x14ac:dyDescent="0.35">
      <c r="AI1409">
        <v>1406</v>
      </c>
      <c r="AJ1409">
        <v>3</v>
      </c>
    </row>
    <row r="1410" spans="35:36" x14ac:dyDescent="0.35">
      <c r="AI1410">
        <v>1407</v>
      </c>
      <c r="AJ1410">
        <v>3</v>
      </c>
    </row>
    <row r="1411" spans="35:36" x14ac:dyDescent="0.35">
      <c r="AI1411">
        <v>1408</v>
      </c>
      <c r="AJ1411">
        <v>3</v>
      </c>
    </row>
    <row r="1412" spans="35:36" x14ac:dyDescent="0.35">
      <c r="AI1412">
        <v>1409</v>
      </c>
      <c r="AJ1412">
        <v>3</v>
      </c>
    </row>
    <row r="1413" spans="35:36" x14ac:dyDescent="0.35">
      <c r="AI1413">
        <v>1410</v>
      </c>
      <c r="AJ1413">
        <v>3</v>
      </c>
    </row>
    <row r="1414" spans="35:36" x14ac:dyDescent="0.35">
      <c r="AI1414">
        <v>1411</v>
      </c>
      <c r="AJ1414">
        <v>3</v>
      </c>
    </row>
    <row r="1415" spans="35:36" x14ac:dyDescent="0.35">
      <c r="AI1415">
        <v>1412</v>
      </c>
      <c r="AJ1415">
        <v>3</v>
      </c>
    </row>
    <row r="1416" spans="35:36" x14ac:dyDescent="0.35">
      <c r="AI1416">
        <v>1413</v>
      </c>
      <c r="AJ1416">
        <v>3</v>
      </c>
    </row>
    <row r="1417" spans="35:36" x14ac:dyDescent="0.35">
      <c r="AI1417">
        <v>1414</v>
      </c>
      <c r="AJ1417">
        <v>3</v>
      </c>
    </row>
    <row r="1418" spans="35:36" x14ac:dyDescent="0.35">
      <c r="AI1418">
        <v>1415</v>
      </c>
      <c r="AJ1418">
        <v>3</v>
      </c>
    </row>
    <row r="1419" spans="35:36" x14ac:dyDescent="0.35">
      <c r="AI1419">
        <v>1416</v>
      </c>
      <c r="AJ1419">
        <v>3</v>
      </c>
    </row>
    <row r="1420" spans="35:36" x14ac:dyDescent="0.35">
      <c r="AI1420">
        <v>1417</v>
      </c>
      <c r="AJ1420">
        <v>3</v>
      </c>
    </row>
    <row r="1421" spans="35:36" x14ac:dyDescent="0.35">
      <c r="AI1421">
        <v>1418</v>
      </c>
      <c r="AJ1421">
        <v>3</v>
      </c>
    </row>
    <row r="1422" spans="35:36" x14ac:dyDescent="0.35">
      <c r="AI1422">
        <v>1419</v>
      </c>
      <c r="AJ1422">
        <v>3</v>
      </c>
    </row>
    <row r="1423" spans="35:36" x14ac:dyDescent="0.35">
      <c r="AI1423">
        <v>1420</v>
      </c>
      <c r="AJ1423">
        <v>3</v>
      </c>
    </row>
    <row r="1424" spans="35:36" x14ac:dyDescent="0.35">
      <c r="AI1424">
        <v>1421</v>
      </c>
      <c r="AJ1424">
        <v>3</v>
      </c>
    </row>
    <row r="1425" spans="35:36" x14ac:dyDescent="0.35">
      <c r="AI1425">
        <v>1422</v>
      </c>
      <c r="AJ1425">
        <v>3</v>
      </c>
    </row>
    <row r="1426" spans="35:36" x14ac:dyDescent="0.35">
      <c r="AI1426">
        <v>1423</v>
      </c>
      <c r="AJ1426">
        <v>3</v>
      </c>
    </row>
    <row r="1427" spans="35:36" x14ac:dyDescent="0.35">
      <c r="AI1427">
        <v>1424</v>
      </c>
      <c r="AJ1427">
        <v>3</v>
      </c>
    </row>
    <row r="1428" spans="35:36" x14ac:dyDescent="0.35">
      <c r="AI1428">
        <v>1425</v>
      </c>
      <c r="AJ1428">
        <v>3</v>
      </c>
    </row>
    <row r="1429" spans="35:36" x14ac:dyDescent="0.35">
      <c r="AI1429">
        <v>1426</v>
      </c>
      <c r="AJ1429">
        <v>3</v>
      </c>
    </row>
    <row r="1430" spans="35:36" x14ac:dyDescent="0.35">
      <c r="AI1430">
        <v>1427</v>
      </c>
      <c r="AJ1430">
        <v>3</v>
      </c>
    </row>
    <row r="1431" spans="35:36" x14ac:dyDescent="0.35">
      <c r="AI1431">
        <v>1428</v>
      </c>
      <c r="AJ1431">
        <v>3</v>
      </c>
    </row>
    <row r="1432" spans="35:36" x14ac:dyDescent="0.35">
      <c r="AI1432">
        <v>1429</v>
      </c>
      <c r="AJ1432">
        <v>3</v>
      </c>
    </row>
    <row r="1433" spans="35:36" x14ac:dyDescent="0.35">
      <c r="AI1433">
        <v>1430</v>
      </c>
      <c r="AJ1433">
        <v>3</v>
      </c>
    </row>
    <row r="1434" spans="35:36" x14ac:dyDescent="0.35">
      <c r="AI1434">
        <v>1431</v>
      </c>
      <c r="AJ1434">
        <v>3</v>
      </c>
    </row>
    <row r="1435" spans="35:36" x14ac:dyDescent="0.35">
      <c r="AI1435">
        <v>1432</v>
      </c>
      <c r="AJ1435">
        <v>3</v>
      </c>
    </row>
    <row r="1436" spans="35:36" x14ac:dyDescent="0.35">
      <c r="AI1436">
        <v>1433</v>
      </c>
      <c r="AJ1436">
        <v>3</v>
      </c>
    </row>
    <row r="1437" spans="35:36" x14ac:dyDescent="0.35">
      <c r="AI1437">
        <v>1434</v>
      </c>
      <c r="AJ1437">
        <v>3</v>
      </c>
    </row>
    <row r="1438" spans="35:36" x14ac:dyDescent="0.35">
      <c r="AI1438">
        <v>1435</v>
      </c>
      <c r="AJ1438">
        <v>3</v>
      </c>
    </row>
    <row r="1439" spans="35:36" x14ac:dyDescent="0.35">
      <c r="AI1439">
        <v>1436</v>
      </c>
      <c r="AJ1439">
        <v>3</v>
      </c>
    </row>
    <row r="1440" spans="35:36" x14ac:dyDescent="0.35">
      <c r="AI1440">
        <v>1437</v>
      </c>
      <c r="AJ1440">
        <v>3</v>
      </c>
    </row>
    <row r="1441" spans="35:36" x14ac:dyDescent="0.35">
      <c r="AI1441">
        <v>1438</v>
      </c>
      <c r="AJ1441">
        <v>3</v>
      </c>
    </row>
    <row r="1442" spans="35:36" x14ac:dyDescent="0.35">
      <c r="AI1442">
        <v>1439</v>
      </c>
      <c r="AJ1442">
        <v>3</v>
      </c>
    </row>
    <row r="1443" spans="35:36" x14ac:dyDescent="0.35">
      <c r="AI1443">
        <v>1440</v>
      </c>
      <c r="AJ1443">
        <v>3</v>
      </c>
    </row>
    <row r="1444" spans="35:36" x14ac:dyDescent="0.35">
      <c r="AI1444">
        <v>1441</v>
      </c>
      <c r="AJ1444">
        <v>3</v>
      </c>
    </row>
    <row r="1445" spans="35:36" x14ac:dyDescent="0.35">
      <c r="AI1445">
        <v>1442</v>
      </c>
      <c r="AJ1445">
        <v>3</v>
      </c>
    </row>
    <row r="1446" spans="35:36" x14ac:dyDescent="0.35">
      <c r="AI1446">
        <v>1443</v>
      </c>
      <c r="AJ1446">
        <v>3</v>
      </c>
    </row>
    <row r="1447" spans="35:36" x14ac:dyDescent="0.35">
      <c r="AI1447">
        <v>1444</v>
      </c>
      <c r="AJ1447">
        <v>3</v>
      </c>
    </row>
    <row r="1448" spans="35:36" x14ac:dyDescent="0.35">
      <c r="AI1448">
        <v>1445</v>
      </c>
      <c r="AJ1448">
        <v>3</v>
      </c>
    </row>
    <row r="1449" spans="35:36" x14ac:dyDescent="0.35">
      <c r="AI1449">
        <v>1446</v>
      </c>
      <c r="AJ1449">
        <v>3</v>
      </c>
    </row>
    <row r="1450" spans="35:36" x14ac:dyDescent="0.35">
      <c r="AI1450">
        <v>1447</v>
      </c>
      <c r="AJ1450">
        <v>3</v>
      </c>
    </row>
    <row r="1451" spans="35:36" x14ac:dyDescent="0.35">
      <c r="AI1451">
        <v>1448</v>
      </c>
      <c r="AJ1451">
        <v>3</v>
      </c>
    </row>
    <row r="1452" spans="35:36" x14ac:dyDescent="0.35">
      <c r="AI1452">
        <v>1449</v>
      </c>
      <c r="AJ1452">
        <v>3</v>
      </c>
    </row>
    <row r="1453" spans="35:36" x14ac:dyDescent="0.35">
      <c r="AI1453">
        <v>1450</v>
      </c>
      <c r="AJ1453">
        <v>3</v>
      </c>
    </row>
    <row r="1454" spans="35:36" x14ac:dyDescent="0.35">
      <c r="AI1454">
        <v>1451</v>
      </c>
      <c r="AJ1454">
        <v>3</v>
      </c>
    </row>
    <row r="1455" spans="35:36" x14ac:dyDescent="0.35">
      <c r="AI1455">
        <v>1452</v>
      </c>
      <c r="AJ1455">
        <v>3</v>
      </c>
    </row>
    <row r="1456" spans="35:36" x14ac:dyDescent="0.35">
      <c r="AI1456">
        <v>1453</v>
      </c>
      <c r="AJ1456">
        <v>3</v>
      </c>
    </row>
    <row r="1457" spans="35:36" x14ac:dyDescent="0.35">
      <c r="AI1457">
        <v>1454</v>
      </c>
      <c r="AJ1457">
        <v>3</v>
      </c>
    </row>
    <row r="1458" spans="35:36" x14ac:dyDescent="0.35">
      <c r="AI1458">
        <v>1455</v>
      </c>
      <c r="AJ1458">
        <v>3</v>
      </c>
    </row>
    <row r="1459" spans="35:36" x14ac:dyDescent="0.35">
      <c r="AI1459">
        <v>1456</v>
      </c>
      <c r="AJ1459">
        <v>3</v>
      </c>
    </row>
    <row r="1460" spans="35:36" x14ac:dyDescent="0.35">
      <c r="AI1460">
        <v>1457</v>
      </c>
      <c r="AJ1460">
        <v>3</v>
      </c>
    </row>
    <row r="1461" spans="35:36" x14ac:dyDescent="0.35">
      <c r="AI1461">
        <v>1458</v>
      </c>
      <c r="AJ1461">
        <v>3</v>
      </c>
    </row>
    <row r="1462" spans="35:36" x14ac:dyDescent="0.35">
      <c r="AI1462">
        <v>1459</v>
      </c>
      <c r="AJ1462">
        <v>3</v>
      </c>
    </row>
    <row r="1463" spans="35:36" x14ac:dyDescent="0.35">
      <c r="AI1463">
        <v>1460</v>
      </c>
      <c r="AJ1463">
        <v>3</v>
      </c>
    </row>
    <row r="1464" spans="35:36" x14ac:dyDescent="0.35">
      <c r="AI1464">
        <v>1461</v>
      </c>
      <c r="AJ1464">
        <v>3</v>
      </c>
    </row>
    <row r="1465" spans="35:36" x14ac:dyDescent="0.35">
      <c r="AI1465">
        <v>1462</v>
      </c>
      <c r="AJ1465">
        <v>3</v>
      </c>
    </row>
    <row r="1466" spans="35:36" x14ac:dyDescent="0.35">
      <c r="AI1466">
        <v>1463</v>
      </c>
      <c r="AJ1466">
        <v>3</v>
      </c>
    </row>
    <row r="1467" spans="35:36" x14ac:dyDescent="0.35">
      <c r="AI1467">
        <v>1464</v>
      </c>
      <c r="AJ1467">
        <v>3</v>
      </c>
    </row>
    <row r="1468" spans="35:36" x14ac:dyDescent="0.35">
      <c r="AI1468">
        <v>1465</v>
      </c>
      <c r="AJ1468">
        <v>3</v>
      </c>
    </row>
    <row r="1469" spans="35:36" x14ac:dyDescent="0.35">
      <c r="AI1469">
        <v>1466</v>
      </c>
      <c r="AJ1469">
        <v>3</v>
      </c>
    </row>
    <row r="1470" spans="35:36" x14ac:dyDescent="0.35">
      <c r="AI1470">
        <v>1467</v>
      </c>
      <c r="AJ1470">
        <v>3</v>
      </c>
    </row>
    <row r="1471" spans="35:36" x14ac:dyDescent="0.35">
      <c r="AI1471">
        <v>1468</v>
      </c>
      <c r="AJ1471">
        <v>3</v>
      </c>
    </row>
    <row r="1472" spans="35:36" x14ac:dyDescent="0.35">
      <c r="AI1472">
        <v>1469</v>
      </c>
      <c r="AJ1472">
        <v>3</v>
      </c>
    </row>
    <row r="1473" spans="35:36" x14ac:dyDescent="0.35">
      <c r="AI1473">
        <v>1470</v>
      </c>
      <c r="AJ1473">
        <v>3</v>
      </c>
    </row>
    <row r="1474" spans="35:36" x14ac:dyDescent="0.35">
      <c r="AI1474">
        <v>1471</v>
      </c>
      <c r="AJ1474">
        <v>3</v>
      </c>
    </row>
    <row r="1475" spans="35:36" x14ac:dyDescent="0.35">
      <c r="AI1475">
        <v>1472</v>
      </c>
      <c r="AJ1475">
        <v>3</v>
      </c>
    </row>
    <row r="1476" spans="35:36" x14ac:dyDescent="0.35">
      <c r="AI1476">
        <v>1473</v>
      </c>
      <c r="AJ1476">
        <v>3</v>
      </c>
    </row>
    <row r="1477" spans="35:36" x14ac:dyDescent="0.35">
      <c r="AI1477">
        <v>1474</v>
      </c>
      <c r="AJ1477">
        <v>3</v>
      </c>
    </row>
    <row r="1478" spans="35:36" x14ac:dyDescent="0.35">
      <c r="AI1478">
        <v>1475</v>
      </c>
      <c r="AJ1478">
        <v>3</v>
      </c>
    </row>
    <row r="1479" spans="35:36" x14ac:dyDescent="0.35">
      <c r="AI1479">
        <v>1476</v>
      </c>
      <c r="AJ1479">
        <v>3</v>
      </c>
    </row>
    <row r="1480" spans="35:36" x14ac:dyDescent="0.35">
      <c r="AI1480">
        <v>1477</v>
      </c>
      <c r="AJ1480">
        <v>3</v>
      </c>
    </row>
    <row r="1481" spans="35:36" x14ac:dyDescent="0.35">
      <c r="AI1481">
        <v>1478</v>
      </c>
      <c r="AJ1481">
        <v>3</v>
      </c>
    </row>
    <row r="1482" spans="35:36" x14ac:dyDescent="0.35">
      <c r="AI1482">
        <v>1479</v>
      </c>
      <c r="AJ1482">
        <v>3</v>
      </c>
    </row>
    <row r="1483" spans="35:36" x14ac:dyDescent="0.35">
      <c r="AI1483">
        <v>1480</v>
      </c>
      <c r="AJ1483">
        <v>3</v>
      </c>
    </row>
    <row r="1484" spans="35:36" x14ac:dyDescent="0.35">
      <c r="AI1484">
        <v>1481</v>
      </c>
      <c r="AJ1484">
        <v>3</v>
      </c>
    </row>
    <row r="1485" spans="35:36" x14ac:dyDescent="0.35">
      <c r="AI1485">
        <v>1482</v>
      </c>
      <c r="AJ1485">
        <v>3</v>
      </c>
    </row>
    <row r="1486" spans="35:36" x14ac:dyDescent="0.35">
      <c r="AI1486">
        <v>1483</v>
      </c>
      <c r="AJ1486">
        <v>3</v>
      </c>
    </row>
    <row r="1487" spans="35:36" x14ac:dyDescent="0.35">
      <c r="AI1487">
        <v>1484</v>
      </c>
      <c r="AJ1487">
        <v>3</v>
      </c>
    </row>
    <row r="1488" spans="35:36" x14ac:dyDescent="0.35">
      <c r="AI1488">
        <v>1485</v>
      </c>
      <c r="AJ1488">
        <v>3</v>
      </c>
    </row>
    <row r="1489" spans="35:36" x14ac:dyDescent="0.35">
      <c r="AI1489">
        <v>1486</v>
      </c>
      <c r="AJ1489">
        <v>3</v>
      </c>
    </row>
    <row r="1490" spans="35:36" x14ac:dyDescent="0.35">
      <c r="AI1490">
        <v>1487</v>
      </c>
      <c r="AJ1490">
        <v>3</v>
      </c>
    </row>
    <row r="1491" spans="35:36" x14ac:dyDescent="0.35">
      <c r="AI1491">
        <v>1488</v>
      </c>
      <c r="AJ1491">
        <v>3</v>
      </c>
    </row>
    <row r="1492" spans="35:36" x14ac:dyDescent="0.35">
      <c r="AI1492">
        <v>1489</v>
      </c>
      <c r="AJ1492">
        <v>3</v>
      </c>
    </row>
    <row r="1493" spans="35:36" x14ac:dyDescent="0.35">
      <c r="AI1493">
        <v>1490</v>
      </c>
      <c r="AJ1493">
        <v>3</v>
      </c>
    </row>
    <row r="1494" spans="35:36" x14ac:dyDescent="0.35">
      <c r="AI1494">
        <v>1491</v>
      </c>
      <c r="AJ1494">
        <v>3</v>
      </c>
    </row>
    <row r="1495" spans="35:36" x14ac:dyDescent="0.35">
      <c r="AI1495">
        <v>1492</v>
      </c>
      <c r="AJ1495">
        <v>3</v>
      </c>
    </row>
    <row r="1496" spans="35:36" x14ac:dyDescent="0.35">
      <c r="AI1496">
        <v>1493</v>
      </c>
      <c r="AJ1496">
        <v>3</v>
      </c>
    </row>
    <row r="1497" spans="35:36" x14ac:dyDescent="0.35">
      <c r="AI1497">
        <v>1494</v>
      </c>
      <c r="AJ1497">
        <v>3</v>
      </c>
    </row>
    <row r="1498" spans="35:36" x14ac:dyDescent="0.35">
      <c r="AI1498">
        <v>1495</v>
      </c>
      <c r="AJ1498">
        <v>3</v>
      </c>
    </row>
    <row r="1499" spans="35:36" x14ac:dyDescent="0.35">
      <c r="AI1499">
        <v>1496</v>
      </c>
      <c r="AJ1499">
        <v>3</v>
      </c>
    </row>
    <row r="1500" spans="35:36" x14ac:dyDescent="0.35">
      <c r="AI1500">
        <v>1497</v>
      </c>
      <c r="AJ1500">
        <v>3</v>
      </c>
    </row>
    <row r="1501" spans="35:36" x14ac:dyDescent="0.35">
      <c r="AI1501">
        <v>1498</v>
      </c>
      <c r="AJ1501">
        <v>3</v>
      </c>
    </row>
    <row r="1502" spans="35:36" x14ac:dyDescent="0.35">
      <c r="AI1502">
        <v>1499</v>
      </c>
      <c r="AJ1502">
        <v>3</v>
      </c>
    </row>
    <row r="1503" spans="35:36" x14ac:dyDescent="0.35">
      <c r="AI1503">
        <v>1500</v>
      </c>
      <c r="AJ1503">
        <v>3</v>
      </c>
    </row>
    <row r="1504" spans="35:36" x14ac:dyDescent="0.35">
      <c r="AI1504">
        <v>1501</v>
      </c>
      <c r="AJ1504">
        <v>3</v>
      </c>
    </row>
    <row r="1505" spans="35:36" x14ac:dyDescent="0.35">
      <c r="AI1505">
        <v>1502</v>
      </c>
      <c r="AJ1505">
        <v>3</v>
      </c>
    </row>
    <row r="1506" spans="35:36" x14ac:dyDescent="0.35">
      <c r="AI1506">
        <v>1503</v>
      </c>
      <c r="AJ1506">
        <v>3</v>
      </c>
    </row>
    <row r="1507" spans="35:36" x14ac:dyDescent="0.35">
      <c r="AI1507">
        <v>1504</v>
      </c>
      <c r="AJ1507">
        <v>3</v>
      </c>
    </row>
    <row r="1508" spans="35:36" x14ac:dyDescent="0.35">
      <c r="AI1508">
        <v>1505</v>
      </c>
      <c r="AJ1508">
        <v>3</v>
      </c>
    </row>
    <row r="1509" spans="35:36" x14ac:dyDescent="0.35">
      <c r="AI1509">
        <v>1506</v>
      </c>
      <c r="AJ1509">
        <v>3</v>
      </c>
    </row>
    <row r="1510" spans="35:36" x14ac:dyDescent="0.35">
      <c r="AI1510">
        <v>1507</v>
      </c>
      <c r="AJ1510">
        <v>3</v>
      </c>
    </row>
    <row r="1511" spans="35:36" x14ac:dyDescent="0.35">
      <c r="AI1511">
        <v>1508</v>
      </c>
      <c r="AJ1511">
        <v>3</v>
      </c>
    </row>
    <row r="1512" spans="35:36" x14ac:dyDescent="0.35">
      <c r="AI1512">
        <v>1509</v>
      </c>
      <c r="AJ1512">
        <v>3</v>
      </c>
    </row>
    <row r="1513" spans="35:36" x14ac:dyDescent="0.35">
      <c r="AI1513">
        <v>1510</v>
      </c>
      <c r="AJ1513">
        <v>3</v>
      </c>
    </row>
    <row r="1514" spans="35:36" x14ac:dyDescent="0.35">
      <c r="AI1514">
        <v>1511</v>
      </c>
      <c r="AJ1514">
        <v>3</v>
      </c>
    </row>
    <row r="1515" spans="35:36" x14ac:dyDescent="0.35">
      <c r="AI1515">
        <v>1512</v>
      </c>
      <c r="AJ1515">
        <v>3</v>
      </c>
    </row>
    <row r="1516" spans="35:36" x14ac:dyDescent="0.35">
      <c r="AI1516">
        <v>1513</v>
      </c>
      <c r="AJ1516">
        <v>3</v>
      </c>
    </row>
    <row r="1517" spans="35:36" x14ac:dyDescent="0.35">
      <c r="AI1517">
        <v>1514</v>
      </c>
      <c r="AJ1517">
        <v>3</v>
      </c>
    </row>
    <row r="1518" spans="35:36" x14ac:dyDescent="0.35">
      <c r="AI1518">
        <v>1515</v>
      </c>
      <c r="AJ1518">
        <v>3</v>
      </c>
    </row>
    <row r="1519" spans="35:36" x14ac:dyDescent="0.35">
      <c r="AI1519">
        <v>1516</v>
      </c>
      <c r="AJ1519">
        <v>3</v>
      </c>
    </row>
    <row r="1520" spans="35:36" x14ac:dyDescent="0.35">
      <c r="AI1520">
        <v>1517</v>
      </c>
      <c r="AJ1520">
        <v>3</v>
      </c>
    </row>
    <row r="1521" spans="35:36" x14ac:dyDescent="0.35">
      <c r="AI1521">
        <v>1518</v>
      </c>
      <c r="AJ1521">
        <v>3</v>
      </c>
    </row>
    <row r="1522" spans="35:36" x14ac:dyDescent="0.35">
      <c r="AI1522">
        <v>1519</v>
      </c>
      <c r="AJ1522">
        <v>3</v>
      </c>
    </row>
    <row r="1523" spans="35:36" x14ac:dyDescent="0.35">
      <c r="AI1523">
        <v>1520</v>
      </c>
      <c r="AJ1523">
        <v>3</v>
      </c>
    </row>
    <row r="1524" spans="35:36" x14ac:dyDescent="0.35">
      <c r="AI1524">
        <v>1521</v>
      </c>
      <c r="AJ1524">
        <v>3</v>
      </c>
    </row>
    <row r="1525" spans="35:36" x14ac:dyDescent="0.35">
      <c r="AI1525">
        <v>1522</v>
      </c>
      <c r="AJ1525">
        <v>3</v>
      </c>
    </row>
    <row r="1526" spans="35:36" x14ac:dyDescent="0.35">
      <c r="AI1526">
        <v>1523</v>
      </c>
      <c r="AJ1526">
        <v>3</v>
      </c>
    </row>
    <row r="1527" spans="35:36" x14ac:dyDescent="0.35">
      <c r="AI1527">
        <v>1524</v>
      </c>
      <c r="AJ1527">
        <v>3</v>
      </c>
    </row>
    <row r="1528" spans="35:36" x14ac:dyDescent="0.35">
      <c r="AI1528">
        <v>1525</v>
      </c>
      <c r="AJ1528">
        <v>3</v>
      </c>
    </row>
    <row r="1529" spans="35:36" x14ac:dyDescent="0.35">
      <c r="AI1529">
        <v>1526</v>
      </c>
      <c r="AJ1529">
        <v>3</v>
      </c>
    </row>
    <row r="1530" spans="35:36" x14ac:dyDescent="0.35">
      <c r="AI1530">
        <v>1527</v>
      </c>
      <c r="AJ1530">
        <v>3</v>
      </c>
    </row>
    <row r="1531" spans="35:36" x14ac:dyDescent="0.35">
      <c r="AI1531">
        <v>1528</v>
      </c>
      <c r="AJ1531">
        <v>3</v>
      </c>
    </row>
    <row r="1532" spans="35:36" x14ac:dyDescent="0.35">
      <c r="AI1532">
        <v>1529</v>
      </c>
      <c r="AJ1532">
        <v>3</v>
      </c>
    </row>
    <row r="1533" spans="35:36" x14ac:dyDescent="0.35">
      <c r="AI1533">
        <v>1530</v>
      </c>
      <c r="AJ1533">
        <v>3</v>
      </c>
    </row>
    <row r="1534" spans="35:36" x14ac:dyDescent="0.35">
      <c r="AI1534">
        <v>1531</v>
      </c>
      <c r="AJ1534">
        <v>3</v>
      </c>
    </row>
    <row r="1535" spans="35:36" x14ac:dyDescent="0.35">
      <c r="AI1535">
        <v>1532</v>
      </c>
      <c r="AJ1535">
        <v>3</v>
      </c>
    </row>
    <row r="1536" spans="35:36" x14ac:dyDescent="0.35">
      <c r="AI1536">
        <v>1533</v>
      </c>
      <c r="AJ1536">
        <v>3</v>
      </c>
    </row>
    <row r="1537" spans="35:36" x14ac:dyDescent="0.35">
      <c r="AI1537">
        <v>1534</v>
      </c>
      <c r="AJ1537">
        <v>3</v>
      </c>
    </row>
    <row r="1538" spans="35:36" x14ac:dyDescent="0.35">
      <c r="AI1538">
        <v>1535</v>
      </c>
      <c r="AJ1538">
        <v>3</v>
      </c>
    </row>
    <row r="1539" spans="35:36" x14ac:dyDescent="0.35">
      <c r="AI1539">
        <v>1536</v>
      </c>
      <c r="AJ1539">
        <v>4</v>
      </c>
    </row>
    <row r="1540" spans="35:36" x14ac:dyDescent="0.35">
      <c r="AI1540">
        <v>1537</v>
      </c>
      <c r="AJ1540">
        <v>4</v>
      </c>
    </row>
    <row r="1541" spans="35:36" x14ac:dyDescent="0.35">
      <c r="AI1541">
        <v>1538</v>
      </c>
      <c r="AJ1541">
        <v>4</v>
      </c>
    </row>
    <row r="1542" spans="35:36" x14ac:dyDescent="0.35">
      <c r="AI1542">
        <v>1539</v>
      </c>
      <c r="AJ1542">
        <v>4</v>
      </c>
    </row>
    <row r="1543" spans="35:36" x14ac:dyDescent="0.35">
      <c r="AI1543">
        <v>1540</v>
      </c>
      <c r="AJ1543">
        <v>4</v>
      </c>
    </row>
    <row r="1544" spans="35:36" x14ac:dyDescent="0.35">
      <c r="AI1544">
        <v>1541</v>
      </c>
      <c r="AJ1544">
        <v>4</v>
      </c>
    </row>
    <row r="1545" spans="35:36" x14ac:dyDescent="0.35">
      <c r="AI1545">
        <v>1542</v>
      </c>
      <c r="AJ1545">
        <v>4</v>
      </c>
    </row>
    <row r="1546" spans="35:36" x14ac:dyDescent="0.35">
      <c r="AI1546">
        <v>1543</v>
      </c>
      <c r="AJ1546">
        <v>4</v>
      </c>
    </row>
    <row r="1547" spans="35:36" x14ac:dyDescent="0.35">
      <c r="AI1547">
        <v>1544</v>
      </c>
      <c r="AJ1547">
        <v>4</v>
      </c>
    </row>
    <row r="1548" spans="35:36" x14ac:dyDescent="0.35">
      <c r="AI1548">
        <v>1545</v>
      </c>
      <c r="AJ1548">
        <v>4</v>
      </c>
    </row>
    <row r="1549" spans="35:36" x14ac:dyDescent="0.35">
      <c r="AI1549">
        <v>1546</v>
      </c>
      <c r="AJ1549">
        <v>4</v>
      </c>
    </row>
    <row r="1550" spans="35:36" x14ac:dyDescent="0.35">
      <c r="AI1550" s="75">
        <v>1547</v>
      </c>
      <c r="AJ1550" s="75">
        <v>101</v>
      </c>
    </row>
    <row r="1551" spans="35:36" x14ac:dyDescent="0.35">
      <c r="AI1551" s="75">
        <v>1548</v>
      </c>
      <c r="AJ1551" s="75">
        <v>101</v>
      </c>
    </row>
    <row r="1552" spans="35:36" x14ac:dyDescent="0.35">
      <c r="AI1552" s="75">
        <v>1549</v>
      </c>
      <c r="AJ1552" s="75">
        <v>101</v>
      </c>
    </row>
    <row r="1553" spans="35:36" x14ac:dyDescent="0.35">
      <c r="AI1553" s="75">
        <v>1550</v>
      </c>
      <c r="AJ1553" s="75">
        <v>101</v>
      </c>
    </row>
    <row r="1554" spans="35:36" x14ac:dyDescent="0.35">
      <c r="AI1554" s="75">
        <v>1551</v>
      </c>
      <c r="AJ1554" s="75">
        <v>101</v>
      </c>
    </row>
    <row r="1555" spans="35:36" x14ac:dyDescent="0.35">
      <c r="AI1555" s="75">
        <v>1552</v>
      </c>
      <c r="AJ1555" s="75">
        <v>101</v>
      </c>
    </row>
    <row r="1556" spans="35:36" x14ac:dyDescent="0.35">
      <c r="AI1556" s="75">
        <v>1553</v>
      </c>
      <c r="AJ1556" s="75">
        <v>101</v>
      </c>
    </row>
    <row r="1557" spans="35:36" x14ac:dyDescent="0.35">
      <c r="AI1557" s="75">
        <v>1554</v>
      </c>
      <c r="AJ1557" s="75">
        <v>101</v>
      </c>
    </row>
    <row r="1558" spans="35:36" x14ac:dyDescent="0.35">
      <c r="AI1558" s="75">
        <v>1555</v>
      </c>
      <c r="AJ1558" s="75">
        <v>101</v>
      </c>
    </row>
    <row r="1559" spans="35:36" x14ac:dyDescent="0.35">
      <c r="AI1559" s="75">
        <v>1556</v>
      </c>
      <c r="AJ1559" s="75">
        <v>101</v>
      </c>
    </row>
    <row r="1560" spans="35:36" x14ac:dyDescent="0.35">
      <c r="AI1560" s="75">
        <v>1557</v>
      </c>
      <c r="AJ1560" s="75">
        <v>101</v>
      </c>
    </row>
    <row r="1561" spans="35:36" x14ac:dyDescent="0.35">
      <c r="AI1561" s="75">
        <v>1558</v>
      </c>
      <c r="AJ1561" s="75">
        <v>101</v>
      </c>
    </row>
    <row r="1562" spans="35:36" x14ac:dyDescent="0.35">
      <c r="AI1562" s="75">
        <v>1559</v>
      </c>
      <c r="AJ1562" s="75">
        <v>101</v>
      </c>
    </row>
    <row r="1563" spans="35:36" x14ac:dyDescent="0.35">
      <c r="AI1563" s="75">
        <v>1560</v>
      </c>
      <c r="AJ1563" s="75">
        <v>101</v>
      </c>
    </row>
    <row r="1564" spans="35:36" x14ac:dyDescent="0.35">
      <c r="AI1564" s="75">
        <v>1561</v>
      </c>
      <c r="AJ1564" s="75">
        <v>101</v>
      </c>
    </row>
    <row r="1565" spans="35:36" x14ac:dyDescent="0.35">
      <c r="AI1565" s="75">
        <v>1562</v>
      </c>
      <c r="AJ1565" s="75">
        <v>101</v>
      </c>
    </row>
    <row r="1566" spans="35:36" x14ac:dyDescent="0.35">
      <c r="AI1566" s="75">
        <v>1563</v>
      </c>
      <c r="AJ1566" s="75">
        <v>101</v>
      </c>
    </row>
    <row r="1567" spans="35:36" x14ac:dyDescent="0.35">
      <c r="AI1567" s="75">
        <v>1564</v>
      </c>
      <c r="AJ1567" s="75">
        <v>101</v>
      </c>
    </row>
    <row r="1568" spans="35:36" x14ac:dyDescent="0.35">
      <c r="AI1568" s="75">
        <v>1565</v>
      </c>
      <c r="AJ1568" s="75">
        <v>101</v>
      </c>
    </row>
    <row r="1569" spans="35:36" x14ac:dyDescent="0.35">
      <c r="AI1569" s="75">
        <v>1566</v>
      </c>
      <c r="AJ1569" s="75">
        <v>101</v>
      </c>
    </row>
    <row r="1570" spans="35:36" x14ac:dyDescent="0.35">
      <c r="AI1570" s="75">
        <v>1567</v>
      </c>
      <c r="AJ1570" s="75">
        <v>101</v>
      </c>
    </row>
    <row r="1571" spans="35:36" x14ac:dyDescent="0.35">
      <c r="AI1571" s="75">
        <v>1568</v>
      </c>
      <c r="AJ1571" s="75">
        <v>101</v>
      </c>
    </row>
    <row r="1572" spans="35:36" x14ac:dyDescent="0.35">
      <c r="AI1572" s="75">
        <v>1569</v>
      </c>
      <c r="AJ1572" s="75">
        <v>101</v>
      </c>
    </row>
    <row r="1573" spans="35:36" x14ac:dyDescent="0.35">
      <c r="AI1573" s="75">
        <v>1570</v>
      </c>
      <c r="AJ1573" s="75">
        <v>101</v>
      </c>
    </row>
    <row r="1574" spans="35:36" x14ac:dyDescent="0.35">
      <c r="AI1574" s="75">
        <v>1571</v>
      </c>
      <c r="AJ1574" s="75">
        <v>101</v>
      </c>
    </row>
    <row r="1575" spans="35:36" x14ac:dyDescent="0.35">
      <c r="AI1575" s="75">
        <v>1572</v>
      </c>
      <c r="AJ1575" s="75">
        <v>101</v>
      </c>
    </row>
    <row r="1576" spans="35:36" x14ac:dyDescent="0.35">
      <c r="AI1576" s="75">
        <v>1573</v>
      </c>
      <c r="AJ1576" s="75">
        <v>101</v>
      </c>
    </row>
    <row r="1577" spans="35:36" x14ac:dyDescent="0.35">
      <c r="AI1577" s="75">
        <v>1574</v>
      </c>
      <c r="AJ1577" s="75">
        <v>101</v>
      </c>
    </row>
    <row r="1578" spans="35:36" x14ac:dyDescent="0.35">
      <c r="AI1578" s="75">
        <v>1575</v>
      </c>
      <c r="AJ1578" s="75">
        <v>101</v>
      </c>
    </row>
    <row r="1579" spans="35:36" x14ac:dyDescent="0.35">
      <c r="AI1579" s="75">
        <v>1576</v>
      </c>
      <c r="AJ1579" s="75">
        <v>101</v>
      </c>
    </row>
    <row r="1580" spans="35:36" x14ac:dyDescent="0.35">
      <c r="AI1580" s="75">
        <v>1577</v>
      </c>
      <c r="AJ1580" s="75">
        <v>101</v>
      </c>
    </row>
    <row r="1581" spans="35:36" x14ac:dyDescent="0.35">
      <c r="AI1581" s="75">
        <v>1578</v>
      </c>
      <c r="AJ1581" s="75">
        <v>101</v>
      </c>
    </row>
    <row r="1582" spans="35:36" x14ac:dyDescent="0.35">
      <c r="AI1582" s="75">
        <v>1579</v>
      </c>
      <c r="AJ1582" s="75">
        <v>101</v>
      </c>
    </row>
    <row r="1583" spans="35:36" x14ac:dyDescent="0.35">
      <c r="AI1583" s="75">
        <v>1580</v>
      </c>
      <c r="AJ1583" s="75">
        <v>101</v>
      </c>
    </row>
    <row r="1584" spans="35:36" x14ac:dyDescent="0.35">
      <c r="AI1584" s="75">
        <v>1581</v>
      </c>
      <c r="AJ1584" s="75">
        <v>101</v>
      </c>
    </row>
    <row r="1585" spans="35:36" x14ac:dyDescent="0.35">
      <c r="AI1585" s="75">
        <v>1582</v>
      </c>
      <c r="AJ1585" s="75">
        <v>101</v>
      </c>
    </row>
    <row r="1586" spans="35:36" x14ac:dyDescent="0.35">
      <c r="AI1586" s="75">
        <v>1583</v>
      </c>
      <c r="AJ1586" s="75">
        <v>101</v>
      </c>
    </row>
    <row r="1587" spans="35:36" x14ac:dyDescent="0.35">
      <c r="AI1587" s="75">
        <v>1584</v>
      </c>
      <c r="AJ1587" s="75">
        <v>101</v>
      </c>
    </row>
    <row r="1588" spans="35:36" x14ac:dyDescent="0.35">
      <c r="AI1588" s="75">
        <v>1585</v>
      </c>
      <c r="AJ1588" s="75">
        <v>101</v>
      </c>
    </row>
    <row r="1589" spans="35:36" x14ac:dyDescent="0.35">
      <c r="AI1589" s="75">
        <v>1586</v>
      </c>
      <c r="AJ1589" s="75">
        <v>101</v>
      </c>
    </row>
    <row r="1590" spans="35:36" x14ac:dyDescent="0.35">
      <c r="AI1590" s="75">
        <v>1587</v>
      </c>
      <c r="AJ1590" s="75">
        <v>101</v>
      </c>
    </row>
    <row r="1591" spans="35:36" x14ac:dyDescent="0.35">
      <c r="AI1591" s="75">
        <v>1588</v>
      </c>
      <c r="AJ1591" s="75">
        <v>101</v>
      </c>
    </row>
    <row r="1592" spans="35:36" x14ac:dyDescent="0.35">
      <c r="AI1592" s="75">
        <v>1589</v>
      </c>
      <c r="AJ1592" s="75">
        <v>101</v>
      </c>
    </row>
    <row r="1593" spans="35:36" x14ac:dyDescent="0.35">
      <c r="AI1593" s="75">
        <v>1590</v>
      </c>
      <c r="AJ1593" s="75">
        <v>101</v>
      </c>
    </row>
    <row r="1594" spans="35:36" x14ac:dyDescent="0.35">
      <c r="AI1594" s="75">
        <v>1591</v>
      </c>
      <c r="AJ1594" s="75">
        <v>101</v>
      </c>
    </row>
    <row r="1595" spans="35:36" x14ac:dyDescent="0.35">
      <c r="AI1595" s="75">
        <v>1592</v>
      </c>
      <c r="AJ1595" s="75">
        <v>101</v>
      </c>
    </row>
    <row r="1596" spans="35:36" x14ac:dyDescent="0.35">
      <c r="AI1596" s="75">
        <v>1593</v>
      </c>
      <c r="AJ1596" s="75">
        <v>101</v>
      </c>
    </row>
    <row r="1597" spans="35:36" x14ac:dyDescent="0.35">
      <c r="AI1597" s="75">
        <v>1594</v>
      </c>
      <c r="AJ1597" s="75">
        <v>101</v>
      </c>
    </row>
    <row r="1598" spans="35:36" x14ac:dyDescent="0.35">
      <c r="AI1598" s="75">
        <v>1595</v>
      </c>
      <c r="AJ1598" s="75">
        <v>101</v>
      </c>
    </row>
    <row r="1599" spans="35:36" x14ac:dyDescent="0.35">
      <c r="AI1599" s="75">
        <v>1596</v>
      </c>
      <c r="AJ1599" s="75">
        <v>101</v>
      </c>
    </row>
    <row r="1600" spans="35:36" x14ac:dyDescent="0.35">
      <c r="AI1600" s="75">
        <v>1597</v>
      </c>
      <c r="AJ1600" s="75">
        <v>101</v>
      </c>
    </row>
    <row r="1601" spans="35:36" x14ac:dyDescent="0.35">
      <c r="AI1601" s="75">
        <v>1598</v>
      </c>
      <c r="AJ1601" s="75">
        <v>101</v>
      </c>
    </row>
    <row r="1602" spans="35:36" x14ac:dyDescent="0.35">
      <c r="AI1602" s="75">
        <v>1599</v>
      </c>
      <c r="AJ1602" s="75">
        <v>101</v>
      </c>
    </row>
    <row r="1603" spans="35:36" x14ac:dyDescent="0.35">
      <c r="AI1603" s="75">
        <v>1600</v>
      </c>
      <c r="AJ1603" s="75">
        <v>101</v>
      </c>
    </row>
    <row r="1604" spans="35:36" x14ac:dyDescent="0.35">
      <c r="AI1604" s="75">
        <v>1601</v>
      </c>
      <c r="AJ1604" s="75">
        <v>101</v>
      </c>
    </row>
    <row r="1605" spans="35:36" x14ac:dyDescent="0.35">
      <c r="AI1605" s="75">
        <v>1602</v>
      </c>
      <c r="AJ1605" s="75">
        <v>101</v>
      </c>
    </row>
    <row r="1606" spans="35:36" x14ac:dyDescent="0.35">
      <c r="AI1606" s="75">
        <v>1603</v>
      </c>
      <c r="AJ1606" s="75">
        <v>101</v>
      </c>
    </row>
    <row r="1607" spans="35:36" x14ac:dyDescent="0.35">
      <c r="AI1607" s="75">
        <v>1604</v>
      </c>
      <c r="AJ1607" s="75">
        <v>101</v>
      </c>
    </row>
    <row r="1608" spans="35:36" x14ac:dyDescent="0.35">
      <c r="AI1608" s="75">
        <v>1605</v>
      </c>
      <c r="AJ1608" s="75">
        <v>101</v>
      </c>
    </row>
    <row r="1609" spans="35:36" x14ac:dyDescent="0.35">
      <c r="AI1609" s="75">
        <v>1606</v>
      </c>
      <c r="AJ1609" s="75">
        <v>101</v>
      </c>
    </row>
    <row r="1610" spans="35:36" x14ac:dyDescent="0.35">
      <c r="AI1610" s="75">
        <v>1607</v>
      </c>
      <c r="AJ1610" s="75">
        <v>101</v>
      </c>
    </row>
    <row r="1611" spans="35:36" x14ac:dyDescent="0.35">
      <c r="AI1611" s="75">
        <v>1608</v>
      </c>
      <c r="AJ1611" s="75">
        <v>101</v>
      </c>
    </row>
    <row r="1612" spans="35:36" x14ac:dyDescent="0.35">
      <c r="AI1612" s="75">
        <v>1609</v>
      </c>
      <c r="AJ1612" s="75">
        <v>101</v>
      </c>
    </row>
    <row r="1613" spans="35:36" x14ac:dyDescent="0.35">
      <c r="AI1613" s="75">
        <v>1610</v>
      </c>
      <c r="AJ1613" s="75">
        <v>101</v>
      </c>
    </row>
    <row r="1614" spans="35:36" x14ac:dyDescent="0.35">
      <c r="AI1614" s="75">
        <v>1611</v>
      </c>
      <c r="AJ1614" s="75">
        <v>101</v>
      </c>
    </row>
    <row r="1615" spans="35:36" x14ac:dyDescent="0.35">
      <c r="AI1615" s="75">
        <v>1612</v>
      </c>
      <c r="AJ1615" s="75">
        <v>101</v>
      </c>
    </row>
    <row r="1616" spans="35:36" x14ac:dyDescent="0.35">
      <c r="AI1616" s="75">
        <v>1613</v>
      </c>
      <c r="AJ1616" s="75">
        <v>101</v>
      </c>
    </row>
    <row r="1617" spans="35:36" x14ac:dyDescent="0.35">
      <c r="AI1617" s="75">
        <v>1614</v>
      </c>
      <c r="AJ1617" s="75">
        <v>101</v>
      </c>
    </row>
    <row r="1618" spans="35:36" x14ac:dyDescent="0.35">
      <c r="AI1618" s="75">
        <v>1615</v>
      </c>
      <c r="AJ1618" s="75">
        <v>101</v>
      </c>
    </row>
    <row r="1619" spans="35:36" x14ac:dyDescent="0.35">
      <c r="AI1619" s="75">
        <v>1616</v>
      </c>
      <c r="AJ1619" s="75">
        <v>101</v>
      </c>
    </row>
    <row r="1620" spans="35:36" x14ac:dyDescent="0.35">
      <c r="AI1620" s="75">
        <v>1617</v>
      </c>
      <c r="AJ1620" s="75">
        <v>101</v>
      </c>
    </row>
    <row r="1621" spans="35:36" x14ac:dyDescent="0.35">
      <c r="AI1621" s="75">
        <v>1618</v>
      </c>
      <c r="AJ1621" s="75">
        <v>101</v>
      </c>
    </row>
    <row r="1622" spans="35:36" x14ac:dyDescent="0.35">
      <c r="AI1622" s="75">
        <v>1619</v>
      </c>
      <c r="AJ1622" s="75">
        <v>101</v>
      </c>
    </row>
    <row r="1623" spans="35:36" x14ac:dyDescent="0.35">
      <c r="AI1623" s="75">
        <v>1620</v>
      </c>
      <c r="AJ1623" s="75">
        <v>101</v>
      </c>
    </row>
    <row r="1624" spans="35:36" x14ac:dyDescent="0.35">
      <c r="AI1624" s="75">
        <v>1621</v>
      </c>
      <c r="AJ1624" s="75">
        <v>101</v>
      </c>
    </row>
    <row r="1625" spans="35:36" x14ac:dyDescent="0.35">
      <c r="AI1625" s="75">
        <v>1622</v>
      </c>
      <c r="AJ1625" s="75">
        <v>101</v>
      </c>
    </row>
    <row r="1626" spans="35:36" x14ac:dyDescent="0.35">
      <c r="AI1626" s="75">
        <v>1623</v>
      </c>
      <c r="AJ1626" s="75">
        <v>101</v>
      </c>
    </row>
    <row r="1627" spans="35:36" x14ac:dyDescent="0.35">
      <c r="AI1627" s="75">
        <v>1624</v>
      </c>
      <c r="AJ1627" s="75">
        <v>101</v>
      </c>
    </row>
    <row r="1628" spans="35:36" x14ac:dyDescent="0.35">
      <c r="AI1628" s="75">
        <v>1625</v>
      </c>
      <c r="AJ1628" s="75">
        <v>101</v>
      </c>
    </row>
    <row r="1629" spans="35:36" x14ac:dyDescent="0.35">
      <c r="AI1629" s="75">
        <v>1626</v>
      </c>
      <c r="AJ1629" s="75">
        <v>101</v>
      </c>
    </row>
    <row r="1630" spans="35:36" x14ac:dyDescent="0.35">
      <c r="AI1630" s="75">
        <v>1627</v>
      </c>
      <c r="AJ1630" s="75">
        <v>101</v>
      </c>
    </row>
    <row r="1631" spans="35:36" x14ac:dyDescent="0.35">
      <c r="AI1631" s="75">
        <v>1628</v>
      </c>
      <c r="AJ1631" s="75">
        <v>101</v>
      </c>
    </row>
    <row r="1632" spans="35:36" x14ac:dyDescent="0.35">
      <c r="AI1632" s="75">
        <v>1629</v>
      </c>
      <c r="AJ1632" s="75">
        <v>101</v>
      </c>
    </row>
    <row r="1633" spans="35:36" x14ac:dyDescent="0.35">
      <c r="AI1633" s="75">
        <v>1630</v>
      </c>
      <c r="AJ1633" s="75">
        <v>101</v>
      </c>
    </row>
    <row r="1634" spans="35:36" x14ac:dyDescent="0.35">
      <c r="AI1634" s="75">
        <v>1631</v>
      </c>
      <c r="AJ1634" s="75">
        <v>101</v>
      </c>
    </row>
    <row r="1635" spans="35:36" x14ac:dyDescent="0.35">
      <c r="AI1635" s="75">
        <v>1632</v>
      </c>
      <c r="AJ1635" s="75">
        <v>101</v>
      </c>
    </row>
    <row r="1636" spans="35:36" x14ac:dyDescent="0.35">
      <c r="AI1636" s="75">
        <v>1633</v>
      </c>
      <c r="AJ1636" s="75">
        <v>101</v>
      </c>
    </row>
    <row r="1637" spans="35:36" x14ac:dyDescent="0.35">
      <c r="AI1637" s="75">
        <v>1634</v>
      </c>
      <c r="AJ1637" s="75">
        <v>101</v>
      </c>
    </row>
    <row r="1638" spans="35:36" x14ac:dyDescent="0.35">
      <c r="AI1638" s="75">
        <v>1635</v>
      </c>
      <c r="AJ1638" s="75">
        <v>101</v>
      </c>
    </row>
    <row r="1639" spans="35:36" x14ac:dyDescent="0.35">
      <c r="AI1639" s="75">
        <v>1636</v>
      </c>
      <c r="AJ1639" s="75">
        <v>101</v>
      </c>
    </row>
    <row r="1640" spans="35:36" x14ac:dyDescent="0.35">
      <c r="AI1640" s="75">
        <v>1637</v>
      </c>
      <c r="AJ1640" s="75">
        <v>101</v>
      </c>
    </row>
    <row r="1641" spans="35:36" x14ac:dyDescent="0.35">
      <c r="AI1641" s="75">
        <v>1638</v>
      </c>
      <c r="AJ1641" s="75">
        <v>101</v>
      </c>
    </row>
    <row r="1642" spans="35:36" x14ac:dyDescent="0.35">
      <c r="AI1642" s="75">
        <v>1639</v>
      </c>
      <c r="AJ1642" s="75">
        <v>101</v>
      </c>
    </row>
    <row r="1643" spans="35:36" x14ac:dyDescent="0.35">
      <c r="AI1643" s="75">
        <v>1640</v>
      </c>
      <c r="AJ1643" s="75">
        <v>101</v>
      </c>
    </row>
    <row r="1644" spans="35:36" x14ac:dyDescent="0.35">
      <c r="AI1644" s="75">
        <v>1641</v>
      </c>
      <c r="AJ1644" s="75">
        <v>101</v>
      </c>
    </row>
    <row r="1645" spans="35:36" x14ac:dyDescent="0.35">
      <c r="AI1645" s="75">
        <v>1642</v>
      </c>
      <c r="AJ1645" s="75">
        <v>101</v>
      </c>
    </row>
    <row r="1646" spans="35:36" x14ac:dyDescent="0.35">
      <c r="AI1646" s="75">
        <v>1643</v>
      </c>
      <c r="AJ1646" s="75">
        <v>101</v>
      </c>
    </row>
    <row r="1647" spans="35:36" x14ac:dyDescent="0.35">
      <c r="AI1647" s="75">
        <v>1644</v>
      </c>
      <c r="AJ1647" s="75">
        <v>101</v>
      </c>
    </row>
    <row r="1648" spans="35:36" x14ac:dyDescent="0.35">
      <c r="AI1648" s="75">
        <v>1645</v>
      </c>
      <c r="AJ1648" s="75">
        <v>101</v>
      </c>
    </row>
    <row r="1649" spans="35:36" x14ac:dyDescent="0.35">
      <c r="AI1649" s="75">
        <v>1646</v>
      </c>
      <c r="AJ1649" s="75">
        <v>101</v>
      </c>
    </row>
    <row r="1650" spans="35:36" x14ac:dyDescent="0.35">
      <c r="AI1650" s="75">
        <v>1647</v>
      </c>
      <c r="AJ1650" s="75">
        <v>101</v>
      </c>
    </row>
    <row r="1651" spans="35:36" x14ac:dyDescent="0.35">
      <c r="AI1651" s="75">
        <v>1648</v>
      </c>
      <c r="AJ1651" s="75">
        <v>101</v>
      </c>
    </row>
    <row r="1652" spans="35:36" x14ac:dyDescent="0.35">
      <c r="AI1652" s="75">
        <v>1649</v>
      </c>
      <c r="AJ1652" s="75">
        <v>101</v>
      </c>
    </row>
    <row r="1653" spans="35:36" x14ac:dyDescent="0.35">
      <c r="AI1653" s="75">
        <v>1650</v>
      </c>
      <c r="AJ1653" s="75">
        <v>101</v>
      </c>
    </row>
    <row r="1654" spans="35:36" x14ac:dyDescent="0.35">
      <c r="AI1654" s="75">
        <v>1651</v>
      </c>
      <c r="AJ1654" s="75">
        <v>101</v>
      </c>
    </row>
    <row r="1655" spans="35:36" x14ac:dyDescent="0.35">
      <c r="AI1655" s="75">
        <v>1652</v>
      </c>
      <c r="AJ1655" s="75">
        <v>101</v>
      </c>
    </row>
    <row r="1656" spans="35:36" x14ac:dyDescent="0.35">
      <c r="AI1656" s="75">
        <v>1653</v>
      </c>
      <c r="AJ1656" s="75">
        <v>101</v>
      </c>
    </row>
    <row r="1657" spans="35:36" x14ac:dyDescent="0.35">
      <c r="AI1657" s="75">
        <v>1654</v>
      </c>
      <c r="AJ1657" s="75">
        <v>101</v>
      </c>
    </row>
    <row r="1658" spans="35:36" x14ac:dyDescent="0.35">
      <c r="AI1658" s="75">
        <v>1655</v>
      </c>
      <c r="AJ1658" s="75">
        <v>101</v>
      </c>
    </row>
    <row r="1659" spans="35:36" x14ac:dyDescent="0.35">
      <c r="AI1659" s="75">
        <v>1656</v>
      </c>
      <c r="AJ1659" s="75">
        <v>101</v>
      </c>
    </row>
    <row r="1660" spans="35:36" x14ac:dyDescent="0.35">
      <c r="AI1660" s="75">
        <v>1657</v>
      </c>
      <c r="AJ1660" s="75">
        <v>101</v>
      </c>
    </row>
    <row r="1661" spans="35:36" x14ac:dyDescent="0.35">
      <c r="AI1661" s="75">
        <v>1658</v>
      </c>
      <c r="AJ1661" s="75">
        <v>101</v>
      </c>
    </row>
    <row r="1662" spans="35:36" x14ac:dyDescent="0.35">
      <c r="AI1662" s="75">
        <v>1659</v>
      </c>
      <c r="AJ1662" s="75">
        <v>101</v>
      </c>
    </row>
    <row r="1663" spans="35:36" x14ac:dyDescent="0.35">
      <c r="AI1663" s="75">
        <v>1660</v>
      </c>
      <c r="AJ1663" s="75">
        <v>101</v>
      </c>
    </row>
    <row r="1664" spans="35:36" x14ac:dyDescent="0.35">
      <c r="AI1664" s="75">
        <v>1661</v>
      </c>
      <c r="AJ1664" s="75">
        <v>101</v>
      </c>
    </row>
    <row r="1665" spans="35:36" x14ac:dyDescent="0.35">
      <c r="AI1665" s="75">
        <v>1662</v>
      </c>
      <c r="AJ1665" s="75">
        <v>101</v>
      </c>
    </row>
    <row r="1666" spans="35:36" x14ac:dyDescent="0.35">
      <c r="AI1666" s="75">
        <v>1663</v>
      </c>
      <c r="AJ1666" s="75">
        <v>101</v>
      </c>
    </row>
    <row r="1667" spans="35:36" x14ac:dyDescent="0.35">
      <c r="AI1667" s="75">
        <v>1664</v>
      </c>
      <c r="AJ1667" s="75">
        <v>101</v>
      </c>
    </row>
    <row r="1668" spans="35:36" x14ac:dyDescent="0.35">
      <c r="AI1668" s="75">
        <v>1665</v>
      </c>
      <c r="AJ1668" s="75">
        <v>101</v>
      </c>
    </row>
    <row r="1669" spans="35:36" x14ac:dyDescent="0.35">
      <c r="AI1669" s="75">
        <v>1666</v>
      </c>
      <c r="AJ1669" s="75">
        <v>101</v>
      </c>
    </row>
    <row r="1670" spans="35:36" x14ac:dyDescent="0.35">
      <c r="AI1670" s="75">
        <v>1667</v>
      </c>
      <c r="AJ1670" s="75">
        <v>101</v>
      </c>
    </row>
    <row r="1671" spans="35:36" x14ac:dyDescent="0.35">
      <c r="AI1671" s="75">
        <v>1668</v>
      </c>
      <c r="AJ1671" s="75">
        <v>101</v>
      </c>
    </row>
    <row r="1672" spans="35:36" x14ac:dyDescent="0.35">
      <c r="AI1672" s="75">
        <v>1669</v>
      </c>
      <c r="AJ1672" s="75">
        <v>101</v>
      </c>
    </row>
    <row r="1673" spans="35:36" x14ac:dyDescent="0.35">
      <c r="AI1673" s="75">
        <v>1670</v>
      </c>
      <c r="AJ1673" s="75">
        <v>101</v>
      </c>
    </row>
    <row r="1674" spans="35:36" x14ac:dyDescent="0.35">
      <c r="AI1674" s="75">
        <v>1671</v>
      </c>
      <c r="AJ1674" s="75">
        <v>101</v>
      </c>
    </row>
    <row r="1675" spans="35:36" x14ac:dyDescent="0.35">
      <c r="AI1675" s="75">
        <v>1672</v>
      </c>
      <c r="AJ1675" s="75">
        <v>101</v>
      </c>
    </row>
    <row r="1676" spans="35:36" x14ac:dyDescent="0.35">
      <c r="AI1676" s="75">
        <v>1673</v>
      </c>
      <c r="AJ1676" s="75">
        <v>101</v>
      </c>
    </row>
    <row r="1677" spans="35:36" x14ac:dyDescent="0.35">
      <c r="AI1677" s="75">
        <v>1674</v>
      </c>
      <c r="AJ1677" s="75">
        <v>101</v>
      </c>
    </row>
    <row r="1678" spans="35:36" x14ac:dyDescent="0.35">
      <c r="AI1678" s="75">
        <v>1675</v>
      </c>
      <c r="AJ1678" s="75">
        <v>101</v>
      </c>
    </row>
    <row r="1679" spans="35:36" x14ac:dyDescent="0.35">
      <c r="AI1679" s="75">
        <v>1676</v>
      </c>
      <c r="AJ1679" s="75">
        <v>101</v>
      </c>
    </row>
    <row r="1680" spans="35:36" x14ac:dyDescent="0.35">
      <c r="AI1680" s="75">
        <v>1677</v>
      </c>
      <c r="AJ1680" s="75">
        <v>101</v>
      </c>
    </row>
    <row r="1681" spans="35:36" x14ac:dyDescent="0.35">
      <c r="AI1681" s="75">
        <v>1678</v>
      </c>
      <c r="AJ1681" s="75">
        <v>101</v>
      </c>
    </row>
    <row r="1682" spans="35:36" x14ac:dyDescent="0.35">
      <c r="AI1682" s="75">
        <v>1679</v>
      </c>
      <c r="AJ1682" s="75">
        <v>101</v>
      </c>
    </row>
    <row r="1683" spans="35:36" x14ac:dyDescent="0.35">
      <c r="AI1683" s="75">
        <v>1680</v>
      </c>
      <c r="AJ1683" s="75">
        <v>101</v>
      </c>
    </row>
    <row r="1684" spans="35:36" x14ac:dyDescent="0.35">
      <c r="AI1684" s="75">
        <v>1681</v>
      </c>
      <c r="AJ1684" s="75">
        <v>101</v>
      </c>
    </row>
    <row r="1685" spans="35:36" x14ac:dyDescent="0.35">
      <c r="AI1685" s="75">
        <v>1682</v>
      </c>
      <c r="AJ1685" s="75">
        <v>101</v>
      </c>
    </row>
    <row r="1686" spans="35:36" x14ac:dyDescent="0.35">
      <c r="AI1686" s="75">
        <v>1683</v>
      </c>
      <c r="AJ1686" s="75">
        <v>101</v>
      </c>
    </row>
    <row r="1687" spans="35:36" x14ac:dyDescent="0.35">
      <c r="AI1687" s="75">
        <v>1684</v>
      </c>
      <c r="AJ1687" s="75">
        <v>101</v>
      </c>
    </row>
    <row r="1688" spans="35:36" x14ac:dyDescent="0.35">
      <c r="AI1688" s="75">
        <v>1685</v>
      </c>
      <c r="AJ1688" s="75">
        <v>101</v>
      </c>
    </row>
    <row r="1689" spans="35:36" x14ac:dyDescent="0.35">
      <c r="AI1689" s="75">
        <v>1686</v>
      </c>
      <c r="AJ1689" s="75">
        <v>101</v>
      </c>
    </row>
    <row r="1690" spans="35:36" x14ac:dyDescent="0.35">
      <c r="AI1690" s="75">
        <v>1687</v>
      </c>
      <c r="AJ1690" s="75">
        <v>101</v>
      </c>
    </row>
    <row r="1691" spans="35:36" x14ac:dyDescent="0.35">
      <c r="AI1691" s="75">
        <v>1688</v>
      </c>
      <c r="AJ1691" s="75">
        <v>101</v>
      </c>
    </row>
    <row r="1692" spans="35:36" x14ac:dyDescent="0.35">
      <c r="AI1692" s="75">
        <v>1689</v>
      </c>
      <c r="AJ1692" s="75">
        <v>101</v>
      </c>
    </row>
    <row r="1693" spans="35:36" x14ac:dyDescent="0.35">
      <c r="AI1693" s="75">
        <v>1690</v>
      </c>
      <c r="AJ1693" s="75">
        <v>101</v>
      </c>
    </row>
    <row r="1694" spans="35:36" x14ac:dyDescent="0.35">
      <c r="AI1694" s="75">
        <v>1691</v>
      </c>
      <c r="AJ1694" s="75">
        <v>101</v>
      </c>
    </row>
    <row r="1695" spans="35:36" x14ac:dyDescent="0.35">
      <c r="AI1695" s="75">
        <v>1692</v>
      </c>
      <c r="AJ1695" s="75">
        <v>101</v>
      </c>
    </row>
    <row r="1696" spans="35:36" x14ac:dyDescent="0.35">
      <c r="AI1696" s="75">
        <v>1693</v>
      </c>
      <c r="AJ1696" s="75">
        <v>101</v>
      </c>
    </row>
    <row r="1697" spans="35:36" x14ac:dyDescent="0.35">
      <c r="AI1697" s="75">
        <v>1694</v>
      </c>
      <c r="AJ1697" s="75">
        <v>101</v>
      </c>
    </row>
    <row r="1698" spans="35:36" x14ac:dyDescent="0.35">
      <c r="AI1698" s="75">
        <v>1695</v>
      </c>
      <c r="AJ1698" s="75">
        <v>101</v>
      </c>
    </row>
    <row r="1699" spans="35:36" x14ac:dyDescent="0.35">
      <c r="AI1699" s="75">
        <v>1696</v>
      </c>
      <c r="AJ1699" s="75">
        <v>101</v>
      </c>
    </row>
    <row r="1700" spans="35:36" x14ac:dyDescent="0.35">
      <c r="AI1700" s="75">
        <v>1697</v>
      </c>
      <c r="AJ1700" s="75">
        <v>101</v>
      </c>
    </row>
    <row r="1701" spans="35:36" x14ac:dyDescent="0.35">
      <c r="AI1701" s="75">
        <v>1698</v>
      </c>
      <c r="AJ1701" s="75">
        <v>101</v>
      </c>
    </row>
    <row r="1702" spans="35:36" x14ac:dyDescent="0.35">
      <c r="AI1702" s="75">
        <v>1699</v>
      </c>
      <c r="AJ1702" s="75">
        <v>101</v>
      </c>
    </row>
    <row r="1703" spans="35:36" x14ac:dyDescent="0.35">
      <c r="AI1703" s="75">
        <v>1700</v>
      </c>
      <c r="AJ1703" s="75">
        <v>101</v>
      </c>
    </row>
    <row r="1704" spans="35:36" x14ac:dyDescent="0.35">
      <c r="AI1704" s="75">
        <v>1701</v>
      </c>
      <c r="AJ1704" s="75">
        <v>101</v>
      </c>
    </row>
    <row r="1705" spans="35:36" x14ac:dyDescent="0.35">
      <c r="AI1705" s="75">
        <v>1702</v>
      </c>
      <c r="AJ1705" s="75">
        <v>101</v>
      </c>
    </row>
    <row r="1706" spans="35:36" x14ac:dyDescent="0.35">
      <c r="AI1706" s="75">
        <v>1703</v>
      </c>
      <c r="AJ1706" s="75">
        <v>101</v>
      </c>
    </row>
    <row r="1707" spans="35:36" x14ac:dyDescent="0.35">
      <c r="AI1707" s="75">
        <v>1704</v>
      </c>
      <c r="AJ1707" s="75">
        <v>101</v>
      </c>
    </row>
    <row r="1708" spans="35:36" x14ac:dyDescent="0.35">
      <c r="AI1708" s="75">
        <v>1705</v>
      </c>
      <c r="AJ1708" s="75">
        <v>101</v>
      </c>
    </row>
    <row r="1709" spans="35:36" x14ac:dyDescent="0.35">
      <c r="AI1709" s="75">
        <v>1706</v>
      </c>
      <c r="AJ1709" s="75">
        <v>101</v>
      </c>
    </row>
    <row r="1710" spans="35:36" x14ac:dyDescent="0.35">
      <c r="AI1710" s="75">
        <v>1707</v>
      </c>
      <c r="AJ1710" s="75">
        <v>101</v>
      </c>
    </row>
    <row r="1711" spans="35:36" x14ac:dyDescent="0.35">
      <c r="AI1711" s="75">
        <v>1708</v>
      </c>
      <c r="AJ1711" s="75">
        <v>101</v>
      </c>
    </row>
    <row r="1712" spans="35:36" x14ac:dyDescent="0.35">
      <c r="AI1712" s="75">
        <v>1709</v>
      </c>
      <c r="AJ1712" s="75">
        <v>101</v>
      </c>
    </row>
    <row r="1713" spans="35:36" x14ac:dyDescent="0.35">
      <c r="AI1713" s="75">
        <v>1710</v>
      </c>
      <c r="AJ1713" s="75">
        <v>101</v>
      </c>
    </row>
    <row r="1714" spans="35:36" x14ac:dyDescent="0.35">
      <c r="AI1714" s="75">
        <v>1711</v>
      </c>
      <c r="AJ1714" s="75">
        <v>101</v>
      </c>
    </row>
    <row r="1715" spans="35:36" x14ac:dyDescent="0.35">
      <c r="AI1715" s="75">
        <v>1712</v>
      </c>
      <c r="AJ1715" s="75">
        <v>101</v>
      </c>
    </row>
    <row r="1716" spans="35:36" x14ac:dyDescent="0.35">
      <c r="AI1716" s="75">
        <v>1713</v>
      </c>
      <c r="AJ1716" s="75">
        <v>101</v>
      </c>
    </row>
    <row r="1717" spans="35:36" x14ac:dyDescent="0.35">
      <c r="AI1717" s="75">
        <v>1714</v>
      </c>
      <c r="AJ1717" s="75">
        <v>101</v>
      </c>
    </row>
    <row r="1718" spans="35:36" x14ac:dyDescent="0.35">
      <c r="AI1718" s="75">
        <v>1715</v>
      </c>
      <c r="AJ1718" s="75">
        <v>101</v>
      </c>
    </row>
    <row r="1719" spans="35:36" x14ac:dyDescent="0.35">
      <c r="AI1719" s="75">
        <v>1716</v>
      </c>
      <c r="AJ1719" s="75">
        <v>101</v>
      </c>
    </row>
    <row r="1720" spans="35:36" x14ac:dyDescent="0.35">
      <c r="AI1720" s="75">
        <v>1717</v>
      </c>
      <c r="AJ1720" s="75">
        <v>101</v>
      </c>
    </row>
    <row r="1721" spans="35:36" x14ac:dyDescent="0.35">
      <c r="AI1721" s="75">
        <v>1718</v>
      </c>
      <c r="AJ1721" s="75">
        <v>101</v>
      </c>
    </row>
    <row r="1722" spans="35:36" x14ac:dyDescent="0.35">
      <c r="AI1722" s="75">
        <v>1719</v>
      </c>
      <c r="AJ1722" s="75">
        <v>101</v>
      </c>
    </row>
    <row r="1723" spans="35:36" x14ac:dyDescent="0.35">
      <c r="AI1723" s="75">
        <v>1720</v>
      </c>
      <c r="AJ1723" s="75">
        <v>101</v>
      </c>
    </row>
    <row r="1724" spans="35:36" x14ac:dyDescent="0.35">
      <c r="AI1724" s="75">
        <v>1721</v>
      </c>
      <c r="AJ1724" s="75">
        <v>101</v>
      </c>
    </row>
    <row r="1725" spans="35:36" x14ac:dyDescent="0.35">
      <c r="AI1725" s="75">
        <v>1722</v>
      </c>
      <c r="AJ1725" s="75">
        <v>101</v>
      </c>
    </row>
    <row r="1726" spans="35:36" x14ac:dyDescent="0.35">
      <c r="AI1726" s="75">
        <v>1723</v>
      </c>
      <c r="AJ1726" s="75">
        <v>101</v>
      </c>
    </row>
    <row r="1727" spans="35:36" x14ac:dyDescent="0.35">
      <c r="AI1727" s="75">
        <v>1724</v>
      </c>
      <c r="AJ1727" s="75">
        <v>101</v>
      </c>
    </row>
    <row r="1728" spans="35:36" x14ac:dyDescent="0.35">
      <c r="AI1728" s="75">
        <v>1725</v>
      </c>
      <c r="AJ1728" s="75">
        <v>101</v>
      </c>
    </row>
    <row r="1729" spans="35:36" x14ac:dyDescent="0.35">
      <c r="AI1729" s="75">
        <v>1726</v>
      </c>
      <c r="AJ1729" s="75">
        <v>101</v>
      </c>
    </row>
    <row r="1730" spans="35:36" x14ac:dyDescent="0.35">
      <c r="AI1730" s="75">
        <v>1727</v>
      </c>
      <c r="AJ1730" s="75">
        <v>101</v>
      </c>
    </row>
    <row r="1731" spans="35:36" x14ac:dyDescent="0.35">
      <c r="AI1731" s="75">
        <v>1728</v>
      </c>
      <c r="AJ1731" s="75">
        <v>101</v>
      </c>
    </row>
    <row r="1732" spans="35:36" x14ac:dyDescent="0.35">
      <c r="AI1732" s="75">
        <v>1729</v>
      </c>
      <c r="AJ1732" s="75">
        <v>101</v>
      </c>
    </row>
    <row r="1733" spans="35:36" x14ac:dyDescent="0.35">
      <c r="AI1733" s="75">
        <v>1730</v>
      </c>
      <c r="AJ1733" s="75">
        <v>101</v>
      </c>
    </row>
    <row r="1734" spans="35:36" x14ac:dyDescent="0.35">
      <c r="AI1734" s="75">
        <v>1731</v>
      </c>
      <c r="AJ1734" s="75">
        <v>101</v>
      </c>
    </row>
    <row r="1735" spans="35:36" x14ac:dyDescent="0.35">
      <c r="AI1735" s="75">
        <v>1732</v>
      </c>
      <c r="AJ1735" s="75">
        <v>101</v>
      </c>
    </row>
    <row r="1736" spans="35:36" x14ac:dyDescent="0.35">
      <c r="AI1736" s="75">
        <v>1733</v>
      </c>
      <c r="AJ1736" s="75">
        <v>101</v>
      </c>
    </row>
    <row r="1737" spans="35:36" x14ac:dyDescent="0.35">
      <c r="AI1737" s="75">
        <v>1734</v>
      </c>
      <c r="AJ1737" s="75">
        <v>101</v>
      </c>
    </row>
    <row r="1738" spans="35:36" x14ac:dyDescent="0.35">
      <c r="AI1738" s="75">
        <v>1735</v>
      </c>
      <c r="AJ1738" s="75">
        <v>101</v>
      </c>
    </row>
    <row r="1739" spans="35:36" x14ac:dyDescent="0.35">
      <c r="AI1739" s="75">
        <v>1736</v>
      </c>
      <c r="AJ1739">
        <v>4</v>
      </c>
    </row>
    <row r="1740" spans="35:36" x14ac:dyDescent="0.35">
      <c r="AI1740">
        <v>1737</v>
      </c>
      <c r="AJ1740">
        <v>4</v>
      </c>
    </row>
    <row r="1741" spans="35:36" x14ac:dyDescent="0.35">
      <c r="AI1741">
        <v>1738</v>
      </c>
      <c r="AJ1741">
        <v>4</v>
      </c>
    </row>
    <row r="1742" spans="35:36" x14ac:dyDescent="0.35">
      <c r="AI1742">
        <v>1739</v>
      </c>
      <c r="AJ1742">
        <v>4</v>
      </c>
    </row>
    <row r="1743" spans="35:36" x14ac:dyDescent="0.35">
      <c r="AI1743">
        <v>1740</v>
      </c>
      <c r="AJ1743">
        <v>4</v>
      </c>
    </row>
    <row r="1744" spans="35:36" x14ac:dyDescent="0.35">
      <c r="AI1744">
        <v>1741</v>
      </c>
      <c r="AJ1744">
        <v>4</v>
      </c>
    </row>
    <row r="1745" spans="35:36" x14ac:dyDescent="0.35">
      <c r="AI1745">
        <v>1742</v>
      </c>
      <c r="AJ1745">
        <v>4</v>
      </c>
    </row>
    <row r="1746" spans="35:36" x14ac:dyDescent="0.35">
      <c r="AI1746">
        <v>1743</v>
      </c>
      <c r="AJ1746">
        <v>4</v>
      </c>
    </row>
    <row r="1747" spans="35:36" x14ac:dyDescent="0.35">
      <c r="AI1747">
        <v>1744</v>
      </c>
      <c r="AJ1747">
        <v>4</v>
      </c>
    </row>
    <row r="1748" spans="35:36" x14ac:dyDescent="0.35">
      <c r="AI1748">
        <v>1745</v>
      </c>
      <c r="AJ1748">
        <v>4</v>
      </c>
    </row>
    <row r="1749" spans="35:36" x14ac:dyDescent="0.35">
      <c r="AI1749">
        <v>1746</v>
      </c>
      <c r="AJ1749">
        <v>4</v>
      </c>
    </row>
    <row r="1750" spans="35:36" x14ac:dyDescent="0.35">
      <c r="AI1750">
        <v>1747</v>
      </c>
      <c r="AJ1750">
        <v>4</v>
      </c>
    </row>
    <row r="1751" spans="35:36" x14ac:dyDescent="0.35">
      <c r="AI1751">
        <v>1748</v>
      </c>
      <c r="AJ1751">
        <v>4</v>
      </c>
    </row>
    <row r="1752" spans="35:36" x14ac:dyDescent="0.35">
      <c r="AI1752">
        <v>1749</v>
      </c>
      <c r="AJ1752">
        <v>4</v>
      </c>
    </row>
    <row r="1753" spans="35:36" x14ac:dyDescent="0.35">
      <c r="AI1753">
        <v>1750</v>
      </c>
      <c r="AJ1753">
        <v>4</v>
      </c>
    </row>
    <row r="1754" spans="35:36" x14ac:dyDescent="0.35">
      <c r="AI1754">
        <v>1751</v>
      </c>
      <c r="AJ1754">
        <v>4</v>
      </c>
    </row>
    <row r="1755" spans="35:36" x14ac:dyDescent="0.35">
      <c r="AI1755">
        <v>1752</v>
      </c>
      <c r="AJ1755">
        <v>4</v>
      </c>
    </row>
    <row r="1756" spans="35:36" x14ac:dyDescent="0.35">
      <c r="AI1756">
        <v>1753</v>
      </c>
      <c r="AJ1756">
        <v>4</v>
      </c>
    </row>
    <row r="1757" spans="35:36" x14ac:dyDescent="0.35">
      <c r="AI1757">
        <v>1754</v>
      </c>
      <c r="AJ1757">
        <v>4</v>
      </c>
    </row>
    <row r="1758" spans="35:36" x14ac:dyDescent="0.35">
      <c r="AI1758">
        <v>1755</v>
      </c>
      <c r="AJ1758">
        <v>4</v>
      </c>
    </row>
    <row r="1759" spans="35:36" x14ac:dyDescent="0.35">
      <c r="AI1759">
        <v>1756</v>
      </c>
      <c r="AJ1759">
        <v>4</v>
      </c>
    </row>
    <row r="1760" spans="35:36" x14ac:dyDescent="0.35">
      <c r="AI1760">
        <v>1757</v>
      </c>
      <c r="AJ1760">
        <v>4</v>
      </c>
    </row>
    <row r="1761" spans="35:36" x14ac:dyDescent="0.35">
      <c r="AI1761">
        <v>1758</v>
      </c>
      <c r="AJ1761">
        <v>4</v>
      </c>
    </row>
    <row r="1762" spans="35:36" x14ac:dyDescent="0.35">
      <c r="AI1762">
        <v>1759</v>
      </c>
      <c r="AJ1762">
        <v>4</v>
      </c>
    </row>
    <row r="1763" spans="35:36" x14ac:dyDescent="0.35">
      <c r="AI1763">
        <v>1760</v>
      </c>
      <c r="AJ1763">
        <v>4</v>
      </c>
    </row>
    <row r="1764" spans="35:36" x14ac:dyDescent="0.35">
      <c r="AI1764">
        <v>1761</v>
      </c>
      <c r="AJ1764">
        <v>4</v>
      </c>
    </row>
    <row r="1765" spans="35:36" x14ac:dyDescent="0.35">
      <c r="AI1765">
        <v>1762</v>
      </c>
      <c r="AJ1765">
        <v>4</v>
      </c>
    </row>
    <row r="1766" spans="35:36" x14ac:dyDescent="0.35">
      <c r="AI1766">
        <v>1763</v>
      </c>
      <c r="AJ1766">
        <v>4</v>
      </c>
    </row>
    <row r="1767" spans="35:36" x14ac:dyDescent="0.35">
      <c r="AI1767">
        <v>1764</v>
      </c>
      <c r="AJ1767">
        <v>4</v>
      </c>
    </row>
    <row r="1768" spans="35:36" x14ac:dyDescent="0.35">
      <c r="AI1768">
        <v>1765</v>
      </c>
      <c r="AJ1768">
        <v>4</v>
      </c>
    </row>
    <row r="1769" spans="35:36" x14ac:dyDescent="0.35">
      <c r="AI1769">
        <v>1766</v>
      </c>
      <c r="AJ1769">
        <v>4</v>
      </c>
    </row>
    <row r="1770" spans="35:36" x14ac:dyDescent="0.35">
      <c r="AI1770">
        <v>1767</v>
      </c>
      <c r="AJ1770">
        <v>4</v>
      </c>
    </row>
    <row r="1771" spans="35:36" x14ac:dyDescent="0.35">
      <c r="AI1771">
        <v>1768</v>
      </c>
      <c r="AJ1771">
        <v>4</v>
      </c>
    </row>
    <row r="1772" spans="35:36" x14ac:dyDescent="0.35">
      <c r="AI1772">
        <v>1769</v>
      </c>
      <c r="AJ1772">
        <v>4</v>
      </c>
    </row>
    <row r="1773" spans="35:36" x14ac:dyDescent="0.35">
      <c r="AI1773">
        <v>1770</v>
      </c>
      <c r="AJ1773">
        <v>4</v>
      </c>
    </row>
    <row r="1774" spans="35:36" x14ac:dyDescent="0.35">
      <c r="AI1774">
        <v>1771</v>
      </c>
      <c r="AJ1774">
        <v>4</v>
      </c>
    </row>
    <row r="1775" spans="35:36" x14ac:dyDescent="0.35">
      <c r="AI1775">
        <v>1772</v>
      </c>
      <c r="AJ1775">
        <v>4</v>
      </c>
    </row>
    <row r="1776" spans="35:36" x14ac:dyDescent="0.35">
      <c r="AI1776">
        <v>1773</v>
      </c>
      <c r="AJ1776">
        <v>4</v>
      </c>
    </row>
    <row r="1777" spans="35:36" x14ac:dyDescent="0.35">
      <c r="AI1777">
        <v>1774</v>
      </c>
      <c r="AJ1777">
        <v>4</v>
      </c>
    </row>
    <row r="1778" spans="35:36" x14ac:dyDescent="0.35">
      <c r="AI1778">
        <v>1775</v>
      </c>
      <c r="AJ1778">
        <v>4</v>
      </c>
    </row>
    <row r="1779" spans="35:36" x14ac:dyDescent="0.35">
      <c r="AI1779">
        <v>1776</v>
      </c>
      <c r="AJ1779">
        <v>4</v>
      </c>
    </row>
    <row r="1780" spans="35:36" x14ac:dyDescent="0.35">
      <c r="AI1780">
        <v>1777</v>
      </c>
      <c r="AJ1780">
        <v>4</v>
      </c>
    </row>
    <row r="1781" spans="35:36" x14ac:dyDescent="0.35">
      <c r="AI1781">
        <v>1778</v>
      </c>
      <c r="AJ1781">
        <v>4</v>
      </c>
    </row>
    <row r="1782" spans="35:36" x14ac:dyDescent="0.35">
      <c r="AI1782">
        <v>1779</v>
      </c>
      <c r="AJ1782">
        <v>4</v>
      </c>
    </row>
    <row r="1783" spans="35:36" x14ac:dyDescent="0.35">
      <c r="AI1783">
        <v>1780</v>
      </c>
      <c r="AJ1783">
        <v>4</v>
      </c>
    </row>
    <row r="1784" spans="35:36" x14ac:dyDescent="0.35">
      <c r="AI1784">
        <v>1781</v>
      </c>
      <c r="AJ1784">
        <v>4</v>
      </c>
    </row>
    <row r="1785" spans="35:36" x14ac:dyDescent="0.35">
      <c r="AI1785">
        <v>1782</v>
      </c>
      <c r="AJ1785">
        <v>4</v>
      </c>
    </row>
    <row r="1786" spans="35:36" x14ac:dyDescent="0.35">
      <c r="AI1786">
        <v>1783</v>
      </c>
      <c r="AJ1786">
        <v>4</v>
      </c>
    </row>
    <row r="1787" spans="35:36" x14ac:dyDescent="0.35">
      <c r="AI1787">
        <v>1784</v>
      </c>
      <c r="AJ1787">
        <v>4</v>
      </c>
    </row>
    <row r="1788" spans="35:36" x14ac:dyDescent="0.35">
      <c r="AI1788">
        <v>1785</v>
      </c>
      <c r="AJ1788">
        <v>4</v>
      </c>
    </row>
    <row r="1789" spans="35:36" x14ac:dyDescent="0.35">
      <c r="AI1789">
        <v>1786</v>
      </c>
      <c r="AJ1789">
        <v>4</v>
      </c>
    </row>
    <row r="1790" spans="35:36" x14ac:dyDescent="0.35">
      <c r="AI1790">
        <v>1787</v>
      </c>
      <c r="AJ1790">
        <v>4</v>
      </c>
    </row>
    <row r="1791" spans="35:36" x14ac:dyDescent="0.35">
      <c r="AI1791">
        <v>1788</v>
      </c>
      <c r="AJ1791">
        <v>4</v>
      </c>
    </row>
    <row r="1792" spans="35:36" x14ac:dyDescent="0.35">
      <c r="AI1792">
        <v>1789</v>
      </c>
      <c r="AJ1792">
        <v>4</v>
      </c>
    </row>
    <row r="1793" spans="35:36" x14ac:dyDescent="0.35">
      <c r="AI1793">
        <v>1790</v>
      </c>
      <c r="AJ1793">
        <v>4</v>
      </c>
    </row>
    <row r="1794" spans="35:36" x14ac:dyDescent="0.35">
      <c r="AI1794">
        <v>1791</v>
      </c>
      <c r="AJ1794">
        <v>4</v>
      </c>
    </row>
    <row r="1795" spans="35:36" x14ac:dyDescent="0.35">
      <c r="AI1795">
        <v>1792</v>
      </c>
      <c r="AJ1795">
        <v>4</v>
      </c>
    </row>
    <row r="1796" spans="35:36" x14ac:dyDescent="0.35">
      <c r="AI1796">
        <v>1793</v>
      </c>
      <c r="AJ1796">
        <v>4</v>
      </c>
    </row>
    <row r="1797" spans="35:36" x14ac:dyDescent="0.35">
      <c r="AI1797">
        <v>1794</v>
      </c>
      <c r="AJ1797">
        <v>4</v>
      </c>
    </row>
    <row r="1798" spans="35:36" x14ac:dyDescent="0.35">
      <c r="AI1798">
        <v>1795</v>
      </c>
      <c r="AJ1798">
        <v>4</v>
      </c>
    </row>
    <row r="1799" spans="35:36" x14ac:dyDescent="0.35">
      <c r="AI1799">
        <v>1796</v>
      </c>
      <c r="AJ1799">
        <v>4</v>
      </c>
    </row>
    <row r="1800" spans="35:36" x14ac:dyDescent="0.35">
      <c r="AI1800">
        <v>1797</v>
      </c>
      <c r="AJ1800">
        <v>4</v>
      </c>
    </row>
    <row r="1801" spans="35:36" x14ac:dyDescent="0.35">
      <c r="AI1801">
        <v>1798</v>
      </c>
      <c r="AJ1801">
        <v>4</v>
      </c>
    </row>
    <row r="1802" spans="35:36" x14ac:dyDescent="0.35">
      <c r="AI1802">
        <v>1799</v>
      </c>
      <c r="AJ1802">
        <v>4</v>
      </c>
    </row>
    <row r="1803" spans="35:36" x14ac:dyDescent="0.35">
      <c r="AI1803">
        <v>1800</v>
      </c>
      <c r="AJ1803">
        <v>4</v>
      </c>
    </row>
    <row r="1804" spans="35:36" x14ac:dyDescent="0.35">
      <c r="AI1804">
        <v>1801</v>
      </c>
      <c r="AJ1804">
        <v>4</v>
      </c>
    </row>
    <row r="1805" spans="35:36" x14ac:dyDescent="0.35">
      <c r="AI1805">
        <v>1802</v>
      </c>
      <c r="AJ1805">
        <v>4</v>
      </c>
    </row>
    <row r="1806" spans="35:36" x14ac:dyDescent="0.35">
      <c r="AI1806">
        <v>1803</v>
      </c>
      <c r="AJ1806">
        <v>4</v>
      </c>
    </row>
    <row r="1807" spans="35:36" x14ac:dyDescent="0.35">
      <c r="AI1807">
        <v>1804</v>
      </c>
      <c r="AJ1807">
        <v>4</v>
      </c>
    </row>
    <row r="1808" spans="35:36" x14ac:dyDescent="0.35">
      <c r="AI1808">
        <v>1805</v>
      </c>
      <c r="AJ1808">
        <v>4</v>
      </c>
    </row>
    <row r="1809" spans="35:36" x14ac:dyDescent="0.35">
      <c r="AI1809">
        <v>1806</v>
      </c>
      <c r="AJ1809">
        <v>4</v>
      </c>
    </row>
    <row r="1810" spans="35:36" x14ac:dyDescent="0.35">
      <c r="AI1810">
        <v>1807</v>
      </c>
      <c r="AJ1810">
        <v>4</v>
      </c>
    </row>
    <row r="1811" spans="35:36" x14ac:dyDescent="0.35">
      <c r="AI1811">
        <v>1808</v>
      </c>
      <c r="AJ1811">
        <v>4</v>
      </c>
    </row>
    <row r="1812" spans="35:36" x14ac:dyDescent="0.35">
      <c r="AI1812">
        <v>1809</v>
      </c>
      <c r="AJ1812">
        <v>4</v>
      </c>
    </row>
    <row r="1813" spans="35:36" x14ac:dyDescent="0.35">
      <c r="AI1813">
        <v>1810</v>
      </c>
      <c r="AJ1813">
        <v>4</v>
      </c>
    </row>
    <row r="1814" spans="35:36" x14ac:dyDescent="0.35">
      <c r="AI1814">
        <v>1811</v>
      </c>
      <c r="AJ1814">
        <v>4</v>
      </c>
    </row>
    <row r="1815" spans="35:36" x14ac:dyDescent="0.35">
      <c r="AI1815">
        <v>1812</v>
      </c>
      <c r="AJ1815">
        <v>4</v>
      </c>
    </row>
    <row r="1816" spans="35:36" x14ac:dyDescent="0.35">
      <c r="AI1816">
        <v>1813</v>
      </c>
      <c r="AJ1816">
        <v>4</v>
      </c>
    </row>
    <row r="1817" spans="35:36" x14ac:dyDescent="0.35">
      <c r="AI1817">
        <v>1814</v>
      </c>
      <c r="AJ1817">
        <v>4</v>
      </c>
    </row>
    <row r="1818" spans="35:36" x14ac:dyDescent="0.35">
      <c r="AI1818">
        <v>1815</v>
      </c>
      <c r="AJ1818">
        <v>4</v>
      </c>
    </row>
    <row r="1819" spans="35:36" x14ac:dyDescent="0.35">
      <c r="AI1819">
        <v>1816</v>
      </c>
      <c r="AJ1819">
        <v>4</v>
      </c>
    </row>
    <row r="1820" spans="35:36" x14ac:dyDescent="0.35">
      <c r="AI1820">
        <v>1817</v>
      </c>
      <c r="AJ1820">
        <v>4</v>
      </c>
    </row>
    <row r="1821" spans="35:36" x14ac:dyDescent="0.35">
      <c r="AI1821">
        <v>1818</v>
      </c>
      <c r="AJ1821">
        <v>4</v>
      </c>
    </row>
    <row r="1822" spans="35:36" x14ac:dyDescent="0.35">
      <c r="AI1822">
        <v>1819</v>
      </c>
      <c r="AJ1822">
        <v>4</v>
      </c>
    </row>
    <row r="1823" spans="35:36" x14ac:dyDescent="0.35">
      <c r="AI1823">
        <v>1820</v>
      </c>
      <c r="AJ1823">
        <v>4</v>
      </c>
    </row>
    <row r="1824" spans="35:36" x14ac:dyDescent="0.35">
      <c r="AI1824">
        <v>1821</v>
      </c>
      <c r="AJ1824">
        <v>4</v>
      </c>
    </row>
    <row r="1825" spans="35:36" x14ac:dyDescent="0.35">
      <c r="AI1825">
        <v>1822</v>
      </c>
      <c r="AJ1825">
        <v>4</v>
      </c>
    </row>
    <row r="1826" spans="35:36" x14ac:dyDescent="0.35">
      <c r="AI1826">
        <v>1823</v>
      </c>
      <c r="AJ1826">
        <v>4</v>
      </c>
    </row>
    <row r="1827" spans="35:36" x14ac:dyDescent="0.35">
      <c r="AI1827">
        <v>1824</v>
      </c>
      <c r="AJ1827">
        <v>4</v>
      </c>
    </row>
    <row r="1828" spans="35:36" x14ac:dyDescent="0.35">
      <c r="AI1828">
        <v>1825</v>
      </c>
      <c r="AJ1828">
        <v>4</v>
      </c>
    </row>
    <row r="1829" spans="35:36" x14ac:dyDescent="0.35">
      <c r="AI1829">
        <v>1826</v>
      </c>
      <c r="AJ1829">
        <v>4</v>
      </c>
    </row>
    <row r="1830" spans="35:36" x14ac:dyDescent="0.35">
      <c r="AI1830">
        <v>1827</v>
      </c>
      <c r="AJ1830">
        <v>4</v>
      </c>
    </row>
    <row r="1831" spans="35:36" x14ac:dyDescent="0.35">
      <c r="AI1831">
        <v>1828</v>
      </c>
      <c r="AJ1831">
        <v>4</v>
      </c>
    </row>
    <row r="1832" spans="35:36" x14ac:dyDescent="0.35">
      <c r="AI1832">
        <v>1829</v>
      </c>
      <c r="AJ1832">
        <v>4</v>
      </c>
    </row>
    <row r="1833" spans="35:36" x14ac:dyDescent="0.35">
      <c r="AI1833">
        <v>1830</v>
      </c>
      <c r="AJ1833">
        <v>4</v>
      </c>
    </row>
    <row r="1834" spans="35:36" x14ac:dyDescent="0.35">
      <c r="AI1834">
        <v>1831</v>
      </c>
      <c r="AJ1834">
        <v>4</v>
      </c>
    </row>
    <row r="1835" spans="35:36" x14ac:dyDescent="0.35">
      <c r="AI1835">
        <v>1832</v>
      </c>
      <c r="AJ1835">
        <v>4</v>
      </c>
    </row>
    <row r="1836" spans="35:36" x14ac:dyDescent="0.35">
      <c r="AI1836">
        <v>1833</v>
      </c>
      <c r="AJ1836">
        <v>4</v>
      </c>
    </row>
    <row r="1837" spans="35:36" x14ac:dyDescent="0.35">
      <c r="AI1837">
        <v>1834</v>
      </c>
      <c r="AJ1837">
        <v>4</v>
      </c>
    </row>
    <row r="1838" spans="35:36" x14ac:dyDescent="0.35">
      <c r="AI1838">
        <v>1835</v>
      </c>
      <c r="AJ1838">
        <v>4</v>
      </c>
    </row>
    <row r="1839" spans="35:36" x14ac:dyDescent="0.35">
      <c r="AI1839">
        <v>1836</v>
      </c>
      <c r="AJ1839">
        <v>4</v>
      </c>
    </row>
    <row r="1840" spans="35:36" x14ac:dyDescent="0.35">
      <c r="AI1840">
        <v>1837</v>
      </c>
      <c r="AJ1840">
        <v>4</v>
      </c>
    </row>
    <row r="1841" spans="35:36" x14ac:dyDescent="0.35">
      <c r="AI1841">
        <v>1838</v>
      </c>
      <c r="AJ1841">
        <v>4</v>
      </c>
    </row>
    <row r="1842" spans="35:36" x14ac:dyDescent="0.35">
      <c r="AI1842">
        <v>1839</v>
      </c>
      <c r="AJ1842">
        <v>4</v>
      </c>
    </row>
    <row r="1843" spans="35:36" x14ac:dyDescent="0.35">
      <c r="AI1843">
        <v>1840</v>
      </c>
      <c r="AJ1843">
        <v>4</v>
      </c>
    </row>
    <row r="1844" spans="35:36" x14ac:dyDescent="0.35">
      <c r="AI1844">
        <v>1841</v>
      </c>
      <c r="AJ1844">
        <v>4</v>
      </c>
    </row>
    <row r="1845" spans="35:36" x14ac:dyDescent="0.35">
      <c r="AI1845">
        <v>1842</v>
      </c>
      <c r="AJ1845">
        <v>4</v>
      </c>
    </row>
    <row r="1846" spans="35:36" x14ac:dyDescent="0.35">
      <c r="AI1846">
        <v>1843</v>
      </c>
      <c r="AJ1846">
        <v>4</v>
      </c>
    </row>
    <row r="1847" spans="35:36" x14ac:dyDescent="0.35">
      <c r="AI1847">
        <v>1844</v>
      </c>
      <c r="AJ1847">
        <v>4</v>
      </c>
    </row>
    <row r="1848" spans="35:36" x14ac:dyDescent="0.35">
      <c r="AI1848">
        <v>1845</v>
      </c>
      <c r="AJ1848">
        <v>4</v>
      </c>
    </row>
    <row r="1849" spans="35:36" x14ac:dyDescent="0.35">
      <c r="AI1849">
        <v>1846</v>
      </c>
      <c r="AJ1849">
        <v>4</v>
      </c>
    </row>
    <row r="1850" spans="35:36" x14ac:dyDescent="0.35">
      <c r="AI1850">
        <v>1847</v>
      </c>
      <c r="AJ1850">
        <v>4</v>
      </c>
    </row>
    <row r="1851" spans="35:36" x14ac:dyDescent="0.35">
      <c r="AI1851">
        <v>1848</v>
      </c>
      <c r="AJ1851">
        <v>4</v>
      </c>
    </row>
    <row r="1852" spans="35:36" x14ac:dyDescent="0.35">
      <c r="AI1852">
        <v>1849</v>
      </c>
      <c r="AJ1852">
        <v>4</v>
      </c>
    </row>
    <row r="1853" spans="35:36" x14ac:dyDescent="0.35">
      <c r="AI1853">
        <v>1850</v>
      </c>
      <c r="AJ1853">
        <v>4</v>
      </c>
    </row>
    <row r="1854" spans="35:36" x14ac:dyDescent="0.35">
      <c r="AI1854">
        <v>1851</v>
      </c>
      <c r="AJ1854">
        <v>4</v>
      </c>
    </row>
    <row r="1855" spans="35:36" x14ac:dyDescent="0.35">
      <c r="AI1855">
        <v>1852</v>
      </c>
      <c r="AJ1855">
        <v>4</v>
      </c>
    </row>
    <row r="1856" spans="35:36" x14ac:dyDescent="0.35">
      <c r="AI1856">
        <v>1853</v>
      </c>
      <c r="AJ1856">
        <v>4</v>
      </c>
    </row>
    <row r="1857" spans="35:36" x14ac:dyDescent="0.35">
      <c r="AI1857">
        <v>1854</v>
      </c>
      <c r="AJ1857">
        <v>4</v>
      </c>
    </row>
    <row r="1858" spans="35:36" x14ac:dyDescent="0.35">
      <c r="AI1858">
        <v>1855</v>
      </c>
      <c r="AJ1858">
        <v>4</v>
      </c>
    </row>
    <row r="1859" spans="35:36" x14ac:dyDescent="0.35">
      <c r="AI1859">
        <v>1856</v>
      </c>
      <c r="AJ1859">
        <v>4</v>
      </c>
    </row>
    <row r="1860" spans="35:36" x14ac:dyDescent="0.35">
      <c r="AI1860">
        <v>1857</v>
      </c>
      <c r="AJ1860">
        <v>4</v>
      </c>
    </row>
    <row r="1861" spans="35:36" x14ac:dyDescent="0.35">
      <c r="AI1861">
        <v>1858</v>
      </c>
      <c r="AJ1861">
        <v>4</v>
      </c>
    </row>
    <row r="1862" spans="35:36" x14ac:dyDescent="0.35">
      <c r="AI1862">
        <v>1859</v>
      </c>
      <c r="AJ1862">
        <v>4</v>
      </c>
    </row>
    <row r="1863" spans="35:36" x14ac:dyDescent="0.35">
      <c r="AI1863">
        <v>1860</v>
      </c>
      <c r="AJ1863">
        <v>4</v>
      </c>
    </row>
    <row r="1864" spans="35:36" x14ac:dyDescent="0.35">
      <c r="AI1864">
        <v>1861</v>
      </c>
      <c r="AJ1864">
        <v>4</v>
      </c>
    </row>
    <row r="1865" spans="35:36" x14ac:dyDescent="0.35">
      <c r="AI1865">
        <v>1862</v>
      </c>
      <c r="AJ1865">
        <v>4</v>
      </c>
    </row>
    <row r="1866" spans="35:36" x14ac:dyDescent="0.35">
      <c r="AI1866">
        <v>1863</v>
      </c>
      <c r="AJ1866">
        <v>4</v>
      </c>
    </row>
    <row r="1867" spans="35:36" x14ac:dyDescent="0.35">
      <c r="AI1867">
        <v>1864</v>
      </c>
      <c r="AJ1867">
        <v>4</v>
      </c>
    </row>
    <row r="1868" spans="35:36" x14ac:dyDescent="0.35">
      <c r="AI1868">
        <v>1865</v>
      </c>
      <c r="AJ1868">
        <v>4</v>
      </c>
    </row>
    <row r="1869" spans="35:36" x14ac:dyDescent="0.35">
      <c r="AI1869">
        <v>1866</v>
      </c>
      <c r="AJ1869">
        <v>4</v>
      </c>
    </row>
    <row r="1870" spans="35:36" x14ac:dyDescent="0.35">
      <c r="AI1870">
        <v>1867</v>
      </c>
      <c r="AJ1870">
        <v>4</v>
      </c>
    </row>
    <row r="1871" spans="35:36" x14ac:dyDescent="0.35">
      <c r="AI1871">
        <v>1868</v>
      </c>
      <c r="AJ1871">
        <v>4</v>
      </c>
    </row>
    <row r="1872" spans="35:36" x14ac:dyDescent="0.35">
      <c r="AI1872">
        <v>1869</v>
      </c>
      <c r="AJ1872">
        <v>4</v>
      </c>
    </row>
    <row r="1873" spans="35:36" x14ac:dyDescent="0.35">
      <c r="AI1873">
        <v>1870</v>
      </c>
      <c r="AJ1873">
        <v>4</v>
      </c>
    </row>
    <row r="1874" spans="35:36" x14ac:dyDescent="0.35">
      <c r="AI1874">
        <v>1871</v>
      </c>
      <c r="AJ1874">
        <v>4</v>
      </c>
    </row>
    <row r="1875" spans="35:36" x14ac:dyDescent="0.35">
      <c r="AI1875">
        <v>1872</v>
      </c>
      <c r="AJ1875">
        <v>4</v>
      </c>
    </row>
    <row r="1876" spans="35:36" x14ac:dyDescent="0.35">
      <c r="AI1876">
        <v>1873</v>
      </c>
      <c r="AJ1876">
        <v>4</v>
      </c>
    </row>
    <row r="1877" spans="35:36" x14ac:dyDescent="0.35">
      <c r="AI1877">
        <v>1874</v>
      </c>
      <c r="AJ1877">
        <v>4</v>
      </c>
    </row>
    <row r="1878" spans="35:36" x14ac:dyDescent="0.35">
      <c r="AI1878">
        <v>1875</v>
      </c>
      <c r="AJ1878">
        <v>4</v>
      </c>
    </row>
    <row r="1879" spans="35:36" x14ac:dyDescent="0.35">
      <c r="AI1879">
        <v>1876</v>
      </c>
      <c r="AJ1879">
        <v>4</v>
      </c>
    </row>
    <row r="1880" spans="35:36" x14ac:dyDescent="0.35">
      <c r="AI1880">
        <v>1877</v>
      </c>
      <c r="AJ1880">
        <v>4</v>
      </c>
    </row>
    <row r="1881" spans="35:36" x14ac:dyDescent="0.35">
      <c r="AI1881">
        <v>1878</v>
      </c>
      <c r="AJ1881">
        <v>4</v>
      </c>
    </row>
    <row r="1882" spans="35:36" x14ac:dyDescent="0.35">
      <c r="AI1882">
        <v>1879</v>
      </c>
      <c r="AJ1882">
        <v>4</v>
      </c>
    </row>
    <row r="1883" spans="35:36" x14ac:dyDescent="0.35">
      <c r="AI1883">
        <v>1880</v>
      </c>
      <c r="AJ1883">
        <v>4</v>
      </c>
    </row>
    <row r="1884" spans="35:36" x14ac:dyDescent="0.35">
      <c r="AI1884">
        <v>1881</v>
      </c>
      <c r="AJ1884">
        <v>4</v>
      </c>
    </row>
    <row r="1885" spans="35:36" x14ac:dyDescent="0.35">
      <c r="AI1885">
        <v>1882</v>
      </c>
      <c r="AJ1885">
        <v>4</v>
      </c>
    </row>
    <row r="1886" spans="35:36" x14ac:dyDescent="0.35">
      <c r="AI1886">
        <v>1883</v>
      </c>
      <c r="AJ1886">
        <v>4</v>
      </c>
    </row>
    <row r="1887" spans="35:36" x14ac:dyDescent="0.35">
      <c r="AI1887">
        <v>1884</v>
      </c>
      <c r="AJ1887">
        <v>4</v>
      </c>
    </row>
    <row r="1888" spans="35:36" x14ac:dyDescent="0.35">
      <c r="AI1888">
        <v>1885</v>
      </c>
      <c r="AJ1888">
        <v>4</v>
      </c>
    </row>
    <row r="1889" spans="35:36" x14ac:dyDescent="0.35">
      <c r="AI1889">
        <v>1886</v>
      </c>
      <c r="AJ1889">
        <v>4</v>
      </c>
    </row>
    <row r="1890" spans="35:36" x14ac:dyDescent="0.35">
      <c r="AI1890">
        <v>1887</v>
      </c>
      <c r="AJ1890">
        <v>4</v>
      </c>
    </row>
    <row r="1891" spans="35:36" x14ac:dyDescent="0.35">
      <c r="AI1891">
        <v>1888</v>
      </c>
      <c r="AJ1891">
        <v>4</v>
      </c>
    </row>
    <row r="1892" spans="35:36" x14ac:dyDescent="0.35">
      <c r="AI1892">
        <v>1889</v>
      </c>
      <c r="AJ1892">
        <v>4</v>
      </c>
    </row>
    <row r="1893" spans="35:36" x14ac:dyDescent="0.35">
      <c r="AI1893">
        <v>1890</v>
      </c>
      <c r="AJ1893">
        <v>4</v>
      </c>
    </row>
    <row r="1894" spans="35:36" x14ac:dyDescent="0.35">
      <c r="AI1894">
        <v>1891</v>
      </c>
      <c r="AJ1894">
        <v>4</v>
      </c>
    </row>
    <row r="1895" spans="35:36" x14ac:dyDescent="0.35">
      <c r="AI1895">
        <v>1892</v>
      </c>
      <c r="AJ1895">
        <v>4</v>
      </c>
    </row>
    <row r="1896" spans="35:36" x14ac:dyDescent="0.35">
      <c r="AI1896">
        <v>1893</v>
      </c>
      <c r="AJ1896">
        <v>4</v>
      </c>
    </row>
    <row r="1897" spans="35:36" x14ac:dyDescent="0.35">
      <c r="AI1897">
        <v>1894</v>
      </c>
      <c r="AJ1897">
        <v>4</v>
      </c>
    </row>
    <row r="1898" spans="35:36" x14ac:dyDescent="0.35">
      <c r="AI1898">
        <v>1895</v>
      </c>
      <c r="AJ1898">
        <v>4</v>
      </c>
    </row>
    <row r="1899" spans="35:36" x14ac:dyDescent="0.35">
      <c r="AI1899">
        <v>1896</v>
      </c>
      <c r="AJ1899">
        <v>4</v>
      </c>
    </row>
    <row r="1900" spans="35:36" x14ac:dyDescent="0.35">
      <c r="AI1900">
        <v>1897</v>
      </c>
      <c r="AJ1900">
        <v>4</v>
      </c>
    </row>
    <row r="1901" spans="35:36" x14ac:dyDescent="0.35">
      <c r="AI1901">
        <v>1898</v>
      </c>
      <c r="AJ1901">
        <v>4</v>
      </c>
    </row>
    <row r="1902" spans="35:36" x14ac:dyDescent="0.35">
      <c r="AI1902">
        <v>1899</v>
      </c>
      <c r="AJ1902">
        <v>4</v>
      </c>
    </row>
    <row r="1903" spans="35:36" x14ac:dyDescent="0.35">
      <c r="AI1903">
        <v>1900</v>
      </c>
      <c r="AJ1903">
        <v>4</v>
      </c>
    </row>
    <row r="1904" spans="35:36" x14ac:dyDescent="0.35">
      <c r="AI1904">
        <v>1901</v>
      </c>
      <c r="AJ1904">
        <v>4</v>
      </c>
    </row>
    <row r="1905" spans="35:36" x14ac:dyDescent="0.35">
      <c r="AI1905">
        <v>1902</v>
      </c>
      <c r="AJ1905">
        <v>4</v>
      </c>
    </row>
    <row r="1906" spans="35:36" x14ac:dyDescent="0.35">
      <c r="AI1906">
        <v>1903</v>
      </c>
      <c r="AJ1906">
        <v>4</v>
      </c>
    </row>
    <row r="1907" spans="35:36" x14ac:dyDescent="0.35">
      <c r="AI1907">
        <v>1904</v>
      </c>
      <c r="AJ1907">
        <v>4</v>
      </c>
    </row>
    <row r="1908" spans="35:36" x14ac:dyDescent="0.35">
      <c r="AI1908">
        <v>1905</v>
      </c>
      <c r="AJ1908">
        <v>4</v>
      </c>
    </row>
    <row r="1909" spans="35:36" x14ac:dyDescent="0.35">
      <c r="AI1909">
        <v>1906</v>
      </c>
      <c r="AJ1909">
        <v>4</v>
      </c>
    </row>
    <row r="1910" spans="35:36" x14ac:dyDescent="0.35">
      <c r="AI1910" s="75">
        <v>1907</v>
      </c>
      <c r="AJ1910" s="75">
        <v>5</v>
      </c>
    </row>
    <row r="1911" spans="35:36" x14ac:dyDescent="0.35">
      <c r="AI1911" s="75">
        <v>1908</v>
      </c>
      <c r="AJ1911" s="75">
        <v>5</v>
      </c>
    </row>
    <row r="1912" spans="35:36" x14ac:dyDescent="0.35">
      <c r="AI1912" s="75">
        <v>1909</v>
      </c>
      <c r="AJ1912" s="75">
        <v>5</v>
      </c>
    </row>
    <row r="1913" spans="35:36" x14ac:dyDescent="0.35">
      <c r="AI1913" s="75">
        <v>1910</v>
      </c>
      <c r="AJ1913" s="75">
        <v>5</v>
      </c>
    </row>
    <row r="1914" spans="35:36" x14ac:dyDescent="0.35">
      <c r="AI1914" s="75">
        <v>1911</v>
      </c>
      <c r="AJ1914" s="75">
        <v>5</v>
      </c>
    </row>
    <row r="1915" spans="35:36" x14ac:dyDescent="0.35">
      <c r="AI1915" s="75">
        <v>1912</v>
      </c>
      <c r="AJ1915" s="75">
        <v>5</v>
      </c>
    </row>
    <row r="1916" spans="35:36" x14ac:dyDescent="0.35">
      <c r="AI1916" s="75">
        <v>1913</v>
      </c>
      <c r="AJ1916" s="75">
        <v>5</v>
      </c>
    </row>
    <row r="1917" spans="35:36" x14ac:dyDescent="0.35">
      <c r="AI1917" s="75">
        <v>1914</v>
      </c>
      <c r="AJ1917" s="75">
        <v>5</v>
      </c>
    </row>
    <row r="1918" spans="35:36" x14ac:dyDescent="0.35">
      <c r="AI1918" s="75">
        <v>1915</v>
      </c>
      <c r="AJ1918" s="75">
        <v>5</v>
      </c>
    </row>
    <row r="1919" spans="35:36" x14ac:dyDescent="0.35">
      <c r="AI1919" s="75">
        <v>1916</v>
      </c>
      <c r="AJ1919" s="75">
        <v>5</v>
      </c>
    </row>
    <row r="1920" spans="35:36" x14ac:dyDescent="0.35">
      <c r="AI1920" s="75">
        <v>1917</v>
      </c>
      <c r="AJ1920" s="75">
        <v>5</v>
      </c>
    </row>
    <row r="1921" spans="35:36" x14ac:dyDescent="0.35">
      <c r="AI1921" s="75">
        <v>1918</v>
      </c>
      <c r="AJ1921" s="75">
        <v>5</v>
      </c>
    </row>
    <row r="1922" spans="35:36" x14ac:dyDescent="0.35">
      <c r="AI1922" s="75">
        <v>1919</v>
      </c>
      <c r="AJ1922" s="75">
        <v>5</v>
      </c>
    </row>
    <row r="1923" spans="35:36" x14ac:dyDescent="0.35">
      <c r="AI1923" s="75">
        <v>1920</v>
      </c>
      <c r="AJ1923" s="75">
        <v>5</v>
      </c>
    </row>
    <row r="1924" spans="35:36" x14ac:dyDescent="0.35">
      <c r="AI1924" s="75">
        <v>1921</v>
      </c>
      <c r="AJ1924" s="75">
        <v>5</v>
      </c>
    </row>
    <row r="1925" spans="35:36" x14ac:dyDescent="0.35">
      <c r="AI1925" s="75">
        <v>1922</v>
      </c>
      <c r="AJ1925" s="75">
        <v>5</v>
      </c>
    </row>
    <row r="1926" spans="35:36" x14ac:dyDescent="0.35">
      <c r="AI1926" s="75">
        <v>1923</v>
      </c>
      <c r="AJ1926" s="75">
        <v>5</v>
      </c>
    </row>
    <row r="1927" spans="35:36" x14ac:dyDescent="0.35">
      <c r="AI1927" s="75">
        <v>1924</v>
      </c>
      <c r="AJ1927" s="75">
        <v>5</v>
      </c>
    </row>
    <row r="1928" spans="35:36" x14ac:dyDescent="0.35">
      <c r="AI1928" s="75">
        <v>1925</v>
      </c>
      <c r="AJ1928" s="75">
        <v>5</v>
      </c>
    </row>
    <row r="1929" spans="35:36" x14ac:dyDescent="0.35">
      <c r="AI1929" s="75">
        <v>1926</v>
      </c>
      <c r="AJ1929" s="75">
        <v>5</v>
      </c>
    </row>
    <row r="1930" spans="35:36" x14ac:dyDescent="0.35">
      <c r="AI1930" s="75">
        <v>1927</v>
      </c>
      <c r="AJ1930" s="75">
        <v>5</v>
      </c>
    </row>
    <row r="1931" spans="35:36" x14ac:dyDescent="0.35">
      <c r="AI1931" s="75">
        <v>1928</v>
      </c>
      <c r="AJ1931" s="75">
        <v>5</v>
      </c>
    </row>
    <row r="1932" spans="35:36" x14ac:dyDescent="0.35">
      <c r="AI1932" s="75">
        <v>1929</v>
      </c>
      <c r="AJ1932" s="75">
        <v>5</v>
      </c>
    </row>
    <row r="1933" spans="35:36" x14ac:dyDescent="0.35">
      <c r="AI1933" s="75">
        <v>1930</v>
      </c>
      <c r="AJ1933" s="75">
        <v>5</v>
      </c>
    </row>
    <row r="1934" spans="35:36" x14ac:dyDescent="0.35">
      <c r="AI1934" s="75">
        <v>1931</v>
      </c>
      <c r="AJ1934" s="75">
        <v>5</v>
      </c>
    </row>
    <row r="1935" spans="35:36" x14ac:dyDescent="0.35">
      <c r="AI1935" s="75">
        <v>1932</v>
      </c>
      <c r="AJ1935" s="75">
        <v>5</v>
      </c>
    </row>
    <row r="1936" spans="35:36" x14ac:dyDescent="0.35">
      <c r="AI1936" s="75">
        <v>1933</v>
      </c>
      <c r="AJ1936" s="75">
        <v>5</v>
      </c>
    </row>
    <row r="1937" spans="35:36" x14ac:dyDescent="0.35">
      <c r="AI1937" s="75">
        <v>1934</v>
      </c>
      <c r="AJ1937" s="75">
        <v>5</v>
      </c>
    </row>
    <row r="1938" spans="35:36" x14ac:dyDescent="0.35">
      <c r="AI1938" s="75">
        <v>1935</v>
      </c>
      <c r="AJ1938" s="75">
        <v>5</v>
      </c>
    </row>
    <row r="1939" spans="35:36" x14ac:dyDescent="0.35">
      <c r="AI1939" s="75">
        <v>1936</v>
      </c>
      <c r="AJ1939" s="75">
        <v>5</v>
      </c>
    </row>
    <row r="1940" spans="35:36" x14ac:dyDescent="0.35">
      <c r="AI1940" s="75">
        <v>1937</v>
      </c>
      <c r="AJ1940" s="75">
        <v>5</v>
      </c>
    </row>
    <row r="1941" spans="35:36" x14ac:dyDescent="0.35">
      <c r="AI1941" s="75">
        <v>1938</v>
      </c>
      <c r="AJ1941" s="75">
        <v>5</v>
      </c>
    </row>
    <row r="1942" spans="35:36" x14ac:dyDescent="0.35">
      <c r="AI1942" s="75">
        <v>1939</v>
      </c>
      <c r="AJ1942" s="75">
        <v>5</v>
      </c>
    </row>
    <row r="1943" spans="35:36" x14ac:dyDescent="0.35">
      <c r="AI1943" s="75">
        <v>1940</v>
      </c>
      <c r="AJ1943" s="75">
        <v>5</v>
      </c>
    </row>
    <row r="1944" spans="35:36" x14ac:dyDescent="0.35">
      <c r="AI1944" s="75">
        <v>1941</v>
      </c>
      <c r="AJ1944" s="75">
        <v>5</v>
      </c>
    </row>
    <row r="1945" spans="35:36" x14ac:dyDescent="0.35">
      <c r="AI1945" s="75">
        <v>1942</v>
      </c>
      <c r="AJ1945" s="75">
        <v>5</v>
      </c>
    </row>
    <row r="1946" spans="35:36" x14ac:dyDescent="0.35">
      <c r="AI1946" s="75">
        <v>1943</v>
      </c>
      <c r="AJ1946" s="75">
        <v>5</v>
      </c>
    </row>
    <row r="1947" spans="35:36" x14ac:dyDescent="0.35">
      <c r="AI1947" s="75">
        <v>1944</v>
      </c>
      <c r="AJ1947" s="75">
        <v>5</v>
      </c>
    </row>
    <row r="1948" spans="35:36" x14ac:dyDescent="0.35">
      <c r="AI1948" s="75">
        <v>1945</v>
      </c>
      <c r="AJ1948" s="75">
        <v>5</v>
      </c>
    </row>
    <row r="1949" spans="35:36" x14ac:dyDescent="0.35">
      <c r="AI1949" s="75">
        <v>1946</v>
      </c>
      <c r="AJ1949" s="75">
        <v>5</v>
      </c>
    </row>
    <row r="1950" spans="35:36" x14ac:dyDescent="0.35">
      <c r="AI1950" s="75">
        <v>1947</v>
      </c>
      <c r="AJ1950" s="75">
        <v>5</v>
      </c>
    </row>
    <row r="1951" spans="35:36" x14ac:dyDescent="0.35">
      <c r="AI1951" s="75">
        <v>1948</v>
      </c>
      <c r="AJ1951" s="75">
        <v>5</v>
      </c>
    </row>
    <row r="1952" spans="35:36" x14ac:dyDescent="0.35">
      <c r="AI1952" s="75">
        <v>1949</v>
      </c>
      <c r="AJ1952" s="75">
        <v>5</v>
      </c>
    </row>
    <row r="1953" spans="35:36" x14ac:dyDescent="0.35">
      <c r="AI1953" s="75">
        <v>1950</v>
      </c>
      <c r="AJ1953" s="75">
        <v>5</v>
      </c>
    </row>
    <row r="1954" spans="35:36" x14ac:dyDescent="0.35">
      <c r="AI1954" s="75">
        <v>1951</v>
      </c>
      <c r="AJ1954" s="75">
        <v>5</v>
      </c>
    </row>
    <row r="1955" spans="35:36" x14ac:dyDescent="0.35">
      <c r="AI1955" s="75">
        <v>1952</v>
      </c>
      <c r="AJ1955" s="75">
        <v>5</v>
      </c>
    </row>
    <row r="1956" spans="35:36" x14ac:dyDescent="0.35">
      <c r="AI1956" s="75">
        <v>1953</v>
      </c>
      <c r="AJ1956" s="75">
        <v>5</v>
      </c>
    </row>
    <row r="1957" spans="35:36" x14ac:dyDescent="0.35">
      <c r="AI1957" s="75">
        <v>1954</v>
      </c>
      <c r="AJ1957" s="75">
        <v>5</v>
      </c>
    </row>
    <row r="1958" spans="35:36" x14ac:dyDescent="0.35">
      <c r="AI1958" s="75">
        <v>1955</v>
      </c>
      <c r="AJ1958" s="75">
        <v>5</v>
      </c>
    </row>
    <row r="1959" spans="35:36" x14ac:dyDescent="0.35">
      <c r="AI1959" s="75">
        <v>1956</v>
      </c>
      <c r="AJ1959" s="75">
        <v>5</v>
      </c>
    </row>
    <row r="1960" spans="35:36" x14ac:dyDescent="0.35">
      <c r="AI1960" s="75">
        <v>1957</v>
      </c>
      <c r="AJ1960" s="75">
        <v>5</v>
      </c>
    </row>
    <row r="1961" spans="35:36" x14ac:dyDescent="0.35">
      <c r="AI1961" s="75">
        <v>1958</v>
      </c>
      <c r="AJ1961" s="75">
        <v>5</v>
      </c>
    </row>
    <row r="1962" spans="35:36" x14ac:dyDescent="0.35">
      <c r="AI1962" s="75">
        <v>1959</v>
      </c>
      <c r="AJ1962" s="75">
        <v>5</v>
      </c>
    </row>
    <row r="1963" spans="35:36" x14ac:dyDescent="0.35">
      <c r="AI1963" s="75">
        <v>1960</v>
      </c>
      <c r="AJ1963" s="75">
        <v>5</v>
      </c>
    </row>
    <row r="1964" spans="35:36" x14ac:dyDescent="0.35">
      <c r="AI1964" s="75">
        <v>1961</v>
      </c>
      <c r="AJ1964" s="75">
        <v>5</v>
      </c>
    </row>
    <row r="1965" spans="35:36" x14ac:dyDescent="0.35">
      <c r="AI1965" s="75">
        <v>1962</v>
      </c>
      <c r="AJ1965" s="75">
        <v>5</v>
      </c>
    </row>
    <row r="1966" spans="35:36" x14ac:dyDescent="0.35">
      <c r="AI1966" s="75">
        <v>1963</v>
      </c>
      <c r="AJ1966" s="75">
        <v>5</v>
      </c>
    </row>
    <row r="1967" spans="35:36" x14ac:dyDescent="0.35">
      <c r="AI1967" s="75">
        <v>1964</v>
      </c>
      <c r="AJ1967" s="75">
        <v>5</v>
      </c>
    </row>
    <row r="1968" spans="35:36" x14ac:dyDescent="0.35">
      <c r="AI1968" s="75">
        <v>1965</v>
      </c>
      <c r="AJ1968" s="75">
        <v>5</v>
      </c>
    </row>
    <row r="1969" spans="35:36" x14ac:dyDescent="0.35">
      <c r="AI1969" s="75">
        <v>1966</v>
      </c>
      <c r="AJ1969" s="75">
        <v>5</v>
      </c>
    </row>
    <row r="1970" spans="35:36" x14ac:dyDescent="0.35">
      <c r="AI1970" s="75">
        <v>1967</v>
      </c>
      <c r="AJ1970" s="75">
        <v>5</v>
      </c>
    </row>
    <row r="1971" spans="35:36" x14ac:dyDescent="0.35">
      <c r="AI1971" s="75">
        <v>1968</v>
      </c>
      <c r="AJ1971" s="75">
        <v>5</v>
      </c>
    </row>
    <row r="1972" spans="35:36" x14ac:dyDescent="0.35">
      <c r="AI1972" s="75">
        <v>1969</v>
      </c>
      <c r="AJ1972" s="75">
        <v>5</v>
      </c>
    </row>
    <row r="1973" spans="35:36" x14ac:dyDescent="0.35">
      <c r="AI1973" s="75">
        <v>1970</v>
      </c>
      <c r="AJ1973" s="75">
        <v>5</v>
      </c>
    </row>
    <row r="1974" spans="35:36" x14ac:dyDescent="0.35">
      <c r="AI1974" s="75">
        <v>1971</v>
      </c>
      <c r="AJ1974" s="75">
        <v>5</v>
      </c>
    </row>
    <row r="1975" spans="35:36" x14ac:dyDescent="0.35">
      <c r="AI1975" s="75">
        <v>1972</v>
      </c>
      <c r="AJ1975" s="75">
        <v>5</v>
      </c>
    </row>
    <row r="1976" spans="35:36" x14ac:dyDescent="0.35">
      <c r="AI1976" s="75">
        <v>1973</v>
      </c>
      <c r="AJ1976" s="75">
        <v>5</v>
      </c>
    </row>
    <row r="1977" spans="35:36" x14ac:dyDescent="0.35">
      <c r="AI1977" s="75">
        <v>1974</v>
      </c>
      <c r="AJ1977" s="75">
        <v>5</v>
      </c>
    </row>
    <row r="1978" spans="35:36" x14ac:dyDescent="0.35">
      <c r="AI1978" s="75">
        <v>1975</v>
      </c>
      <c r="AJ1978" s="75">
        <v>5</v>
      </c>
    </row>
    <row r="1979" spans="35:36" x14ac:dyDescent="0.35">
      <c r="AI1979" s="75">
        <v>1976</v>
      </c>
      <c r="AJ1979" s="75">
        <v>5</v>
      </c>
    </row>
    <row r="1980" spans="35:36" x14ac:dyDescent="0.35">
      <c r="AI1980" s="75">
        <v>1977</v>
      </c>
      <c r="AJ1980" s="75">
        <v>5</v>
      </c>
    </row>
    <row r="1981" spans="35:36" x14ac:dyDescent="0.35">
      <c r="AI1981" s="75">
        <v>1978</v>
      </c>
      <c r="AJ1981" s="75">
        <v>5</v>
      </c>
    </row>
    <row r="1982" spans="35:36" x14ac:dyDescent="0.35">
      <c r="AI1982" s="75">
        <v>1979</v>
      </c>
      <c r="AJ1982" s="75">
        <v>5</v>
      </c>
    </row>
    <row r="1983" spans="35:36" x14ac:dyDescent="0.35">
      <c r="AI1983" s="75">
        <v>1980</v>
      </c>
      <c r="AJ1983" s="75">
        <v>5</v>
      </c>
    </row>
    <row r="1984" spans="35:36" x14ac:dyDescent="0.35">
      <c r="AI1984" s="75">
        <v>1981</v>
      </c>
      <c r="AJ1984" s="75">
        <v>5</v>
      </c>
    </row>
    <row r="1985" spans="35:36" x14ac:dyDescent="0.35">
      <c r="AI1985" s="75">
        <v>1982</v>
      </c>
      <c r="AJ1985" s="75">
        <v>5</v>
      </c>
    </row>
    <row r="1986" spans="35:36" x14ac:dyDescent="0.35">
      <c r="AI1986" s="75">
        <v>1983</v>
      </c>
      <c r="AJ1986" s="75">
        <v>5</v>
      </c>
    </row>
    <row r="1987" spans="35:36" x14ac:dyDescent="0.35">
      <c r="AI1987" s="75">
        <v>1984</v>
      </c>
      <c r="AJ1987" s="75">
        <v>5</v>
      </c>
    </row>
    <row r="1988" spans="35:36" x14ac:dyDescent="0.35">
      <c r="AI1988" s="75">
        <v>1985</v>
      </c>
      <c r="AJ1988" s="75">
        <v>5</v>
      </c>
    </row>
    <row r="1989" spans="35:36" x14ac:dyDescent="0.35">
      <c r="AI1989" s="75">
        <v>1986</v>
      </c>
      <c r="AJ1989" s="75">
        <v>5</v>
      </c>
    </row>
    <row r="1990" spans="35:36" x14ac:dyDescent="0.35">
      <c r="AI1990" s="75">
        <v>1987</v>
      </c>
      <c r="AJ1990" s="75">
        <v>5</v>
      </c>
    </row>
    <row r="1991" spans="35:36" x14ac:dyDescent="0.35">
      <c r="AI1991" s="75">
        <v>1988</v>
      </c>
      <c r="AJ1991" s="75">
        <v>5</v>
      </c>
    </row>
    <row r="1992" spans="35:36" x14ac:dyDescent="0.35">
      <c r="AI1992" s="75">
        <v>1989</v>
      </c>
      <c r="AJ1992" s="75">
        <v>5</v>
      </c>
    </row>
    <row r="1993" spans="35:36" x14ac:dyDescent="0.35">
      <c r="AI1993" s="75">
        <v>1990</v>
      </c>
      <c r="AJ1993" s="75">
        <v>5</v>
      </c>
    </row>
    <row r="1994" spans="35:36" x14ac:dyDescent="0.35">
      <c r="AI1994" s="75">
        <v>1991</v>
      </c>
      <c r="AJ1994" s="75">
        <v>5</v>
      </c>
    </row>
    <row r="1995" spans="35:36" x14ac:dyDescent="0.35">
      <c r="AI1995" s="75">
        <v>1992</v>
      </c>
      <c r="AJ1995" s="75">
        <v>5</v>
      </c>
    </row>
    <row r="1996" spans="35:36" x14ac:dyDescent="0.35">
      <c r="AI1996" s="75">
        <v>1993</v>
      </c>
      <c r="AJ1996" s="75">
        <v>5</v>
      </c>
    </row>
    <row r="1997" spans="35:36" x14ac:dyDescent="0.35">
      <c r="AI1997" s="75">
        <v>1994</v>
      </c>
      <c r="AJ1997" s="75">
        <v>5</v>
      </c>
    </row>
    <row r="1998" spans="35:36" x14ac:dyDescent="0.35">
      <c r="AI1998" s="75">
        <v>1995</v>
      </c>
      <c r="AJ1998" s="75">
        <v>5</v>
      </c>
    </row>
    <row r="1999" spans="35:36" x14ac:dyDescent="0.35">
      <c r="AI1999" s="75">
        <v>1996</v>
      </c>
      <c r="AJ1999" s="75">
        <v>5</v>
      </c>
    </row>
    <row r="2000" spans="35:36" x14ac:dyDescent="0.35">
      <c r="AI2000" s="75">
        <v>1997</v>
      </c>
      <c r="AJ2000" s="75">
        <v>5</v>
      </c>
    </row>
    <row r="2001" spans="35:36" x14ac:dyDescent="0.35">
      <c r="AI2001" s="75">
        <v>1998</v>
      </c>
      <c r="AJ2001" s="75">
        <v>5</v>
      </c>
    </row>
    <row r="2002" spans="35:36" x14ac:dyDescent="0.35">
      <c r="AI2002" s="75">
        <v>1999</v>
      </c>
      <c r="AJ2002" s="75">
        <v>5</v>
      </c>
    </row>
    <row r="2003" spans="35:36" x14ac:dyDescent="0.35">
      <c r="AI2003" s="75">
        <v>2000</v>
      </c>
      <c r="AJ2003" s="75">
        <v>5</v>
      </c>
    </row>
    <row r="2004" spans="35:36" x14ac:dyDescent="0.35">
      <c r="AI2004" s="75">
        <v>2001</v>
      </c>
      <c r="AJ2004" s="75">
        <v>5</v>
      </c>
    </row>
    <row r="2005" spans="35:36" x14ac:dyDescent="0.35">
      <c r="AI2005" s="75">
        <v>2002</v>
      </c>
      <c r="AJ2005" s="75">
        <v>5</v>
      </c>
    </row>
    <row r="2006" spans="35:36" x14ac:dyDescent="0.35">
      <c r="AI2006" s="75">
        <v>2003</v>
      </c>
      <c r="AJ2006" s="75">
        <v>5</v>
      </c>
    </row>
    <row r="2007" spans="35:36" x14ac:dyDescent="0.35">
      <c r="AI2007" s="75">
        <v>2004</v>
      </c>
      <c r="AJ2007" s="75">
        <v>5</v>
      </c>
    </row>
    <row r="2008" spans="35:36" x14ac:dyDescent="0.35">
      <c r="AI2008" s="75">
        <v>2005</v>
      </c>
      <c r="AJ2008" s="75">
        <v>5</v>
      </c>
    </row>
    <row r="2009" spans="35:36" x14ac:dyDescent="0.35">
      <c r="AI2009" s="75">
        <v>2006</v>
      </c>
      <c r="AJ2009" s="75">
        <v>5</v>
      </c>
    </row>
    <row r="2010" spans="35:36" x14ac:dyDescent="0.35">
      <c r="AI2010" s="75">
        <v>2007</v>
      </c>
      <c r="AJ2010" s="75">
        <v>5</v>
      </c>
    </row>
    <row r="2011" spans="35:36" x14ac:dyDescent="0.35">
      <c r="AI2011" s="75">
        <v>2008</v>
      </c>
      <c r="AJ2011" s="75">
        <v>5</v>
      </c>
    </row>
    <row r="2012" spans="35:36" x14ac:dyDescent="0.35">
      <c r="AI2012" s="75">
        <v>2009</v>
      </c>
      <c r="AJ2012" s="75">
        <v>5</v>
      </c>
    </row>
    <row r="2013" spans="35:36" x14ac:dyDescent="0.35">
      <c r="AI2013" s="75">
        <v>2010</v>
      </c>
      <c r="AJ2013" s="75">
        <v>5</v>
      </c>
    </row>
    <row r="2014" spans="35:36" x14ac:dyDescent="0.35">
      <c r="AI2014" s="75">
        <v>2011</v>
      </c>
      <c r="AJ2014" s="75">
        <v>5</v>
      </c>
    </row>
    <row r="2015" spans="35:36" x14ac:dyDescent="0.35">
      <c r="AI2015" s="75">
        <v>2012</v>
      </c>
      <c r="AJ2015" s="75">
        <v>5</v>
      </c>
    </row>
    <row r="2016" spans="35:36" x14ac:dyDescent="0.35">
      <c r="AI2016" s="75">
        <v>2013</v>
      </c>
      <c r="AJ2016" s="75">
        <v>5</v>
      </c>
    </row>
    <row r="2017" spans="35:36" x14ac:dyDescent="0.35">
      <c r="AI2017" s="75">
        <v>2014</v>
      </c>
      <c r="AJ2017" s="75">
        <v>5</v>
      </c>
    </row>
    <row r="2018" spans="35:36" x14ac:dyDescent="0.35">
      <c r="AI2018" s="75">
        <v>2015</v>
      </c>
      <c r="AJ2018" s="75">
        <v>5</v>
      </c>
    </row>
    <row r="2019" spans="35:36" x14ac:dyDescent="0.35">
      <c r="AI2019" s="75">
        <v>2016</v>
      </c>
      <c r="AJ2019" s="75">
        <v>5</v>
      </c>
    </row>
    <row r="2020" spans="35:36" x14ac:dyDescent="0.35">
      <c r="AI2020" s="75">
        <v>2017</v>
      </c>
      <c r="AJ2020" s="75">
        <v>5</v>
      </c>
    </row>
    <row r="2021" spans="35:36" x14ac:dyDescent="0.35">
      <c r="AI2021" s="75">
        <v>2018</v>
      </c>
      <c r="AJ2021" s="75">
        <v>5</v>
      </c>
    </row>
    <row r="2022" spans="35:36" x14ac:dyDescent="0.35">
      <c r="AI2022" s="75">
        <v>2019</v>
      </c>
      <c r="AJ2022" s="75">
        <v>5</v>
      </c>
    </row>
    <row r="2023" spans="35:36" x14ac:dyDescent="0.35">
      <c r="AI2023" s="75">
        <v>2020</v>
      </c>
      <c r="AJ2023" s="75">
        <v>5</v>
      </c>
    </row>
    <row r="2024" spans="35:36" x14ac:dyDescent="0.35">
      <c r="AI2024" s="75">
        <v>2021</v>
      </c>
      <c r="AJ2024" s="75">
        <v>5</v>
      </c>
    </row>
    <row r="2025" spans="35:36" x14ac:dyDescent="0.35">
      <c r="AI2025" s="75">
        <v>2022</v>
      </c>
      <c r="AJ2025" s="75">
        <v>5</v>
      </c>
    </row>
    <row r="2026" spans="35:36" x14ac:dyDescent="0.35">
      <c r="AI2026" s="75">
        <v>2023</v>
      </c>
      <c r="AJ2026" s="75">
        <v>5</v>
      </c>
    </row>
    <row r="2027" spans="35:36" x14ac:dyDescent="0.35">
      <c r="AI2027" s="75">
        <v>2024</v>
      </c>
      <c r="AJ2027" s="75">
        <v>5</v>
      </c>
    </row>
    <row r="2028" spans="35:36" x14ac:dyDescent="0.35">
      <c r="AI2028" s="75">
        <v>2025</v>
      </c>
      <c r="AJ2028" s="75">
        <v>5</v>
      </c>
    </row>
    <row r="2029" spans="35:36" x14ac:dyDescent="0.35">
      <c r="AI2029" s="75">
        <v>2026</v>
      </c>
      <c r="AJ2029" s="75">
        <v>5</v>
      </c>
    </row>
    <row r="2030" spans="35:36" x14ac:dyDescent="0.35">
      <c r="AI2030" s="75">
        <v>2027</v>
      </c>
      <c r="AJ2030" s="75">
        <v>5</v>
      </c>
    </row>
    <row r="2031" spans="35:36" x14ac:dyDescent="0.35">
      <c r="AI2031" s="75">
        <v>2028</v>
      </c>
      <c r="AJ2031" s="75">
        <v>5</v>
      </c>
    </row>
    <row r="2032" spans="35:36" x14ac:dyDescent="0.35">
      <c r="AI2032" s="75">
        <v>2029</v>
      </c>
      <c r="AJ2032" s="75">
        <v>5</v>
      </c>
    </row>
    <row r="2033" spans="35:36" x14ac:dyDescent="0.35">
      <c r="AI2033" s="75">
        <v>2030</v>
      </c>
      <c r="AJ2033" s="75">
        <v>5</v>
      </c>
    </row>
    <row r="2034" spans="35:36" x14ac:dyDescent="0.35">
      <c r="AI2034" s="75">
        <v>2031</v>
      </c>
      <c r="AJ2034" s="75">
        <v>5</v>
      </c>
    </row>
    <row r="2035" spans="35:36" x14ac:dyDescent="0.35">
      <c r="AI2035" s="75">
        <v>2032</v>
      </c>
      <c r="AJ2035" s="75">
        <v>5</v>
      </c>
    </row>
    <row r="2036" spans="35:36" x14ac:dyDescent="0.35">
      <c r="AI2036" s="75">
        <v>2033</v>
      </c>
      <c r="AJ2036" s="75">
        <v>5</v>
      </c>
    </row>
    <row r="2037" spans="35:36" x14ac:dyDescent="0.35">
      <c r="AI2037" s="75">
        <v>2034</v>
      </c>
      <c r="AJ2037" s="75">
        <v>5</v>
      </c>
    </row>
    <row r="2038" spans="35:36" x14ac:dyDescent="0.35">
      <c r="AI2038" s="75">
        <v>2035</v>
      </c>
      <c r="AJ2038" s="75">
        <v>5</v>
      </c>
    </row>
    <row r="2039" spans="35:36" x14ac:dyDescent="0.35">
      <c r="AI2039" s="75">
        <v>2036</v>
      </c>
      <c r="AJ2039" s="75">
        <v>5</v>
      </c>
    </row>
    <row r="2040" spans="35:36" x14ac:dyDescent="0.35">
      <c r="AI2040" s="75">
        <v>2037</v>
      </c>
      <c r="AJ2040" s="75">
        <v>5</v>
      </c>
    </row>
    <row r="2041" spans="35:36" x14ac:dyDescent="0.35">
      <c r="AI2041" s="75">
        <v>2038</v>
      </c>
      <c r="AJ2041" s="75">
        <v>5</v>
      </c>
    </row>
    <row r="2042" spans="35:36" x14ac:dyDescent="0.35">
      <c r="AI2042" s="75">
        <v>2039</v>
      </c>
      <c r="AJ2042" s="75">
        <v>5</v>
      </c>
    </row>
    <row r="2043" spans="35:36" x14ac:dyDescent="0.35">
      <c r="AI2043" s="75">
        <v>2040</v>
      </c>
      <c r="AJ2043" s="75">
        <v>5</v>
      </c>
    </row>
    <row r="2044" spans="35:36" x14ac:dyDescent="0.35">
      <c r="AI2044" s="75">
        <v>2041</v>
      </c>
      <c r="AJ2044" s="75">
        <v>5</v>
      </c>
    </row>
    <row r="2045" spans="35:36" x14ac:dyDescent="0.35">
      <c r="AI2045" s="75">
        <v>2042</v>
      </c>
      <c r="AJ2045" s="75">
        <v>5</v>
      </c>
    </row>
    <row r="2046" spans="35:36" x14ac:dyDescent="0.35">
      <c r="AI2046" s="75">
        <v>2043</v>
      </c>
      <c r="AJ2046" s="75">
        <v>5</v>
      </c>
    </row>
    <row r="2047" spans="35:36" x14ac:dyDescent="0.35">
      <c r="AI2047" s="75">
        <v>2044</v>
      </c>
      <c r="AJ2047" s="75">
        <v>5</v>
      </c>
    </row>
    <row r="2048" spans="35:36" x14ac:dyDescent="0.35">
      <c r="AI2048" s="75">
        <v>2045</v>
      </c>
      <c r="AJ2048" s="75">
        <v>5</v>
      </c>
    </row>
    <row r="2049" spans="35:36" x14ac:dyDescent="0.35">
      <c r="AI2049" s="75">
        <v>2046</v>
      </c>
      <c r="AJ2049" s="75">
        <v>5</v>
      </c>
    </row>
    <row r="2050" spans="35:36" x14ac:dyDescent="0.35">
      <c r="AI2050" s="75">
        <v>2047</v>
      </c>
      <c r="AJ2050" s="75">
        <v>5</v>
      </c>
    </row>
    <row r="2051" spans="35:36" x14ac:dyDescent="0.35">
      <c r="AI2051" s="75">
        <v>2048</v>
      </c>
      <c r="AJ2051" s="75">
        <v>5</v>
      </c>
    </row>
    <row r="2052" spans="35:36" x14ac:dyDescent="0.35">
      <c r="AI2052" s="75">
        <v>2049</v>
      </c>
      <c r="AJ2052" s="75">
        <v>5</v>
      </c>
    </row>
    <row r="2053" spans="35:36" x14ac:dyDescent="0.35">
      <c r="AI2053" s="75">
        <v>2050</v>
      </c>
      <c r="AJ2053" s="75">
        <v>5</v>
      </c>
    </row>
    <row r="2054" spans="35:36" x14ac:dyDescent="0.35">
      <c r="AI2054" s="75">
        <v>2051</v>
      </c>
      <c r="AJ2054" s="75">
        <v>5</v>
      </c>
    </row>
    <row r="2055" spans="35:36" x14ac:dyDescent="0.35">
      <c r="AI2055" s="75">
        <v>2052</v>
      </c>
      <c r="AJ2055" s="75">
        <v>5</v>
      </c>
    </row>
    <row r="2056" spans="35:36" x14ac:dyDescent="0.35">
      <c r="AI2056" s="75">
        <v>2053</v>
      </c>
      <c r="AJ2056" s="75">
        <v>5</v>
      </c>
    </row>
    <row r="2057" spans="35:36" x14ac:dyDescent="0.35">
      <c r="AI2057" s="75">
        <v>2054</v>
      </c>
      <c r="AJ2057" s="75">
        <v>5</v>
      </c>
    </row>
    <row r="2058" spans="35:36" x14ac:dyDescent="0.35">
      <c r="AI2058" s="75">
        <v>2055</v>
      </c>
      <c r="AJ2058" s="75">
        <v>5</v>
      </c>
    </row>
    <row r="2059" spans="35:36" x14ac:dyDescent="0.35">
      <c r="AI2059" s="75">
        <v>2056</v>
      </c>
      <c r="AJ2059" s="75">
        <v>5</v>
      </c>
    </row>
    <row r="2060" spans="35:36" x14ac:dyDescent="0.35">
      <c r="AI2060" s="75">
        <v>2057</v>
      </c>
      <c r="AJ2060" s="75">
        <v>5</v>
      </c>
    </row>
    <row r="2061" spans="35:36" x14ac:dyDescent="0.35">
      <c r="AI2061" s="75">
        <v>2058</v>
      </c>
      <c r="AJ2061" s="75">
        <v>5</v>
      </c>
    </row>
    <row r="2062" spans="35:36" x14ac:dyDescent="0.35">
      <c r="AI2062" s="75">
        <v>2059</v>
      </c>
      <c r="AJ2062" s="75">
        <v>5</v>
      </c>
    </row>
    <row r="2063" spans="35:36" x14ac:dyDescent="0.35">
      <c r="AI2063" s="75">
        <v>2060</v>
      </c>
      <c r="AJ2063" s="75">
        <v>5</v>
      </c>
    </row>
    <row r="2064" spans="35:36" x14ac:dyDescent="0.35">
      <c r="AI2064" s="75">
        <v>2061</v>
      </c>
      <c r="AJ2064" s="75">
        <v>6</v>
      </c>
    </row>
    <row r="2065" spans="35:36" x14ac:dyDescent="0.35">
      <c r="AI2065" s="75">
        <v>2062</v>
      </c>
      <c r="AJ2065" s="75">
        <v>6</v>
      </c>
    </row>
    <row r="2066" spans="35:36" x14ac:dyDescent="0.35">
      <c r="AI2066" s="75">
        <v>2063</v>
      </c>
      <c r="AJ2066" s="75">
        <v>6</v>
      </c>
    </row>
    <row r="2067" spans="35:36" x14ac:dyDescent="0.35">
      <c r="AI2067" s="75">
        <v>2064</v>
      </c>
      <c r="AJ2067" s="75">
        <v>6</v>
      </c>
    </row>
    <row r="2068" spans="35:36" x14ac:dyDescent="0.35">
      <c r="AI2068" s="75">
        <v>2065</v>
      </c>
      <c r="AJ2068" s="75">
        <v>6</v>
      </c>
    </row>
    <row r="2069" spans="35:36" x14ac:dyDescent="0.35">
      <c r="AI2069" s="75">
        <v>2066</v>
      </c>
      <c r="AJ2069" s="75">
        <v>6</v>
      </c>
    </row>
    <row r="2070" spans="35:36" x14ac:dyDescent="0.35">
      <c r="AI2070" s="75">
        <v>2067</v>
      </c>
      <c r="AJ2070" s="75">
        <v>6</v>
      </c>
    </row>
    <row r="2071" spans="35:36" x14ac:dyDescent="0.35">
      <c r="AI2071" s="75">
        <v>2068</v>
      </c>
      <c r="AJ2071" s="75">
        <v>6</v>
      </c>
    </row>
    <row r="2072" spans="35:36" x14ac:dyDescent="0.35">
      <c r="AI2072" s="75">
        <v>2069</v>
      </c>
      <c r="AJ2072" s="75">
        <v>6</v>
      </c>
    </row>
    <row r="2073" spans="35:36" x14ac:dyDescent="0.35">
      <c r="AI2073" s="75">
        <v>2070</v>
      </c>
      <c r="AJ2073" s="75">
        <v>6</v>
      </c>
    </row>
    <row r="2074" spans="35:36" x14ac:dyDescent="0.35">
      <c r="AI2074" s="75">
        <v>2071</v>
      </c>
      <c r="AJ2074" s="75">
        <v>6</v>
      </c>
    </row>
    <row r="2075" spans="35:36" x14ac:dyDescent="0.35">
      <c r="AI2075" s="75">
        <v>2072</v>
      </c>
      <c r="AJ2075" s="75">
        <v>6</v>
      </c>
    </row>
    <row r="2076" spans="35:36" x14ac:dyDescent="0.35">
      <c r="AI2076" s="75">
        <v>2073</v>
      </c>
      <c r="AJ2076" s="75">
        <v>6</v>
      </c>
    </row>
    <row r="2077" spans="35:36" x14ac:dyDescent="0.35">
      <c r="AI2077" s="75">
        <v>2074</v>
      </c>
      <c r="AJ2077" s="75">
        <v>6</v>
      </c>
    </row>
    <row r="2078" spans="35:36" x14ac:dyDescent="0.35">
      <c r="AI2078" s="75">
        <v>2075</v>
      </c>
      <c r="AJ2078" s="75">
        <v>6</v>
      </c>
    </row>
    <row r="2079" spans="35:36" x14ac:dyDescent="0.35">
      <c r="AI2079" s="75">
        <v>2076</v>
      </c>
      <c r="AJ2079" s="75">
        <v>6</v>
      </c>
    </row>
    <row r="2080" spans="35:36" x14ac:dyDescent="0.35">
      <c r="AI2080" s="75">
        <v>2077</v>
      </c>
      <c r="AJ2080" s="75">
        <v>6</v>
      </c>
    </row>
    <row r="2081" spans="35:36" x14ac:dyDescent="0.35">
      <c r="AI2081" s="75">
        <v>2078</v>
      </c>
      <c r="AJ2081" s="75">
        <v>6</v>
      </c>
    </row>
    <row r="2082" spans="35:36" x14ac:dyDescent="0.35">
      <c r="AI2082" s="75">
        <v>2079</v>
      </c>
      <c r="AJ2082" s="75">
        <v>6</v>
      </c>
    </row>
    <row r="2083" spans="35:36" x14ac:dyDescent="0.35">
      <c r="AI2083" s="75">
        <v>2080</v>
      </c>
      <c r="AJ2083" s="75">
        <v>6</v>
      </c>
    </row>
    <row r="2084" spans="35:36" x14ac:dyDescent="0.35">
      <c r="AI2084" s="75">
        <v>2081</v>
      </c>
      <c r="AJ2084" s="75">
        <v>6</v>
      </c>
    </row>
    <row r="2085" spans="35:36" x14ac:dyDescent="0.35">
      <c r="AI2085" s="75">
        <v>2082</v>
      </c>
      <c r="AJ2085" s="75">
        <v>6</v>
      </c>
    </row>
    <row r="2086" spans="35:36" x14ac:dyDescent="0.35">
      <c r="AI2086" s="75">
        <v>2083</v>
      </c>
      <c r="AJ2086" s="75">
        <v>6</v>
      </c>
    </row>
    <row r="2087" spans="35:36" x14ac:dyDescent="0.35">
      <c r="AI2087" s="75">
        <v>2084</v>
      </c>
      <c r="AJ2087" s="75">
        <v>6</v>
      </c>
    </row>
    <row r="2088" spans="35:36" x14ac:dyDescent="0.35">
      <c r="AI2088" s="75">
        <v>2085</v>
      </c>
      <c r="AJ2088" s="75">
        <v>6</v>
      </c>
    </row>
    <row r="2089" spans="35:36" x14ac:dyDescent="0.35">
      <c r="AI2089" s="75">
        <v>2086</v>
      </c>
      <c r="AJ2089" s="75">
        <v>6</v>
      </c>
    </row>
    <row r="2090" spans="35:36" x14ac:dyDescent="0.35">
      <c r="AI2090" s="75">
        <v>2087</v>
      </c>
      <c r="AJ2090" s="75">
        <v>6</v>
      </c>
    </row>
    <row r="2091" spans="35:36" x14ac:dyDescent="0.35">
      <c r="AI2091" s="75">
        <v>2088</v>
      </c>
      <c r="AJ2091" s="75">
        <v>6</v>
      </c>
    </row>
    <row r="2092" spans="35:36" x14ac:dyDescent="0.35">
      <c r="AI2092" s="75">
        <v>2089</v>
      </c>
      <c r="AJ2092" s="75">
        <v>6</v>
      </c>
    </row>
    <row r="2093" spans="35:36" x14ac:dyDescent="0.35">
      <c r="AI2093" s="75">
        <v>2090</v>
      </c>
      <c r="AJ2093" s="75">
        <v>6</v>
      </c>
    </row>
    <row r="2094" spans="35:36" x14ac:dyDescent="0.35">
      <c r="AI2094" s="75">
        <v>2091</v>
      </c>
      <c r="AJ2094" s="75">
        <v>6</v>
      </c>
    </row>
    <row r="2095" spans="35:36" x14ac:dyDescent="0.35">
      <c r="AI2095" s="75">
        <v>2092</v>
      </c>
      <c r="AJ2095" s="75">
        <v>6</v>
      </c>
    </row>
    <row r="2096" spans="35:36" x14ac:dyDescent="0.35">
      <c r="AI2096" s="75">
        <v>2093</v>
      </c>
      <c r="AJ2096" s="75">
        <v>6</v>
      </c>
    </row>
    <row r="2097" spans="35:36" x14ac:dyDescent="0.35">
      <c r="AI2097" s="75">
        <v>2094</v>
      </c>
      <c r="AJ2097" s="75">
        <v>6</v>
      </c>
    </row>
    <row r="2098" spans="35:36" x14ac:dyDescent="0.35">
      <c r="AI2098" s="75">
        <v>2095</v>
      </c>
      <c r="AJ2098" s="75">
        <v>6</v>
      </c>
    </row>
    <row r="2099" spans="35:36" x14ac:dyDescent="0.35">
      <c r="AI2099" s="75">
        <v>2096</v>
      </c>
      <c r="AJ2099" s="75">
        <v>6</v>
      </c>
    </row>
    <row r="2100" spans="35:36" x14ac:dyDescent="0.35">
      <c r="AI2100" s="75">
        <v>2097</v>
      </c>
      <c r="AJ2100" s="75">
        <v>6</v>
      </c>
    </row>
    <row r="2101" spans="35:36" x14ac:dyDescent="0.35">
      <c r="AI2101" s="75">
        <v>2098</v>
      </c>
      <c r="AJ2101" s="75">
        <v>6</v>
      </c>
    </row>
    <row r="2102" spans="35:36" x14ac:dyDescent="0.35">
      <c r="AI2102" s="75">
        <v>2099</v>
      </c>
      <c r="AJ2102" s="75">
        <v>6</v>
      </c>
    </row>
    <row r="2103" spans="35:36" x14ac:dyDescent="0.35">
      <c r="AI2103" s="75">
        <v>2100</v>
      </c>
      <c r="AJ2103" s="75">
        <v>6</v>
      </c>
    </row>
    <row r="2104" spans="35:36" x14ac:dyDescent="0.35">
      <c r="AI2104" s="75">
        <v>2101</v>
      </c>
      <c r="AJ2104" s="75">
        <v>6</v>
      </c>
    </row>
    <row r="2105" spans="35:36" x14ac:dyDescent="0.35">
      <c r="AI2105" s="75">
        <v>2102</v>
      </c>
      <c r="AJ2105" s="75">
        <v>6</v>
      </c>
    </row>
    <row r="2106" spans="35:36" x14ac:dyDescent="0.35">
      <c r="AI2106" s="75">
        <v>2103</v>
      </c>
      <c r="AJ2106" s="75">
        <v>6</v>
      </c>
    </row>
    <row r="2107" spans="35:36" x14ac:dyDescent="0.35">
      <c r="AI2107" s="75">
        <v>2104</v>
      </c>
      <c r="AJ2107" s="75">
        <v>6</v>
      </c>
    </row>
    <row r="2108" spans="35:36" x14ac:dyDescent="0.35">
      <c r="AI2108" s="75">
        <v>2105</v>
      </c>
      <c r="AJ2108" s="75">
        <v>6</v>
      </c>
    </row>
    <row r="2109" spans="35:36" x14ac:dyDescent="0.35">
      <c r="AI2109" s="75">
        <v>2106</v>
      </c>
      <c r="AJ2109" s="75">
        <v>6</v>
      </c>
    </row>
    <row r="2110" spans="35:36" x14ac:dyDescent="0.35">
      <c r="AI2110" s="75">
        <v>2107</v>
      </c>
      <c r="AJ2110" s="75">
        <v>6</v>
      </c>
    </row>
    <row r="2111" spans="35:36" x14ac:dyDescent="0.35">
      <c r="AI2111" s="75">
        <v>2108</v>
      </c>
      <c r="AJ2111" s="75">
        <v>6</v>
      </c>
    </row>
    <row r="2112" spans="35:36" x14ac:dyDescent="0.35">
      <c r="AI2112" s="75">
        <v>2109</v>
      </c>
      <c r="AJ2112" s="75">
        <v>6</v>
      </c>
    </row>
    <row r="2113" spans="35:36" x14ac:dyDescent="0.35">
      <c r="AI2113" s="75">
        <v>2110</v>
      </c>
      <c r="AJ2113" s="75">
        <v>6</v>
      </c>
    </row>
    <row r="2114" spans="35:36" x14ac:dyDescent="0.35">
      <c r="AI2114" s="75">
        <v>2111</v>
      </c>
      <c r="AJ2114" s="75">
        <v>6</v>
      </c>
    </row>
    <row r="2115" spans="35:36" x14ac:dyDescent="0.35">
      <c r="AI2115" s="75">
        <v>2112</v>
      </c>
      <c r="AJ2115" s="75">
        <v>6</v>
      </c>
    </row>
    <row r="2116" spans="35:36" x14ac:dyDescent="0.35">
      <c r="AI2116" s="75">
        <v>2113</v>
      </c>
      <c r="AJ2116" s="75">
        <v>6</v>
      </c>
    </row>
    <row r="2117" spans="35:36" x14ac:dyDescent="0.35">
      <c r="AI2117" s="75">
        <v>2114</v>
      </c>
      <c r="AJ2117" s="75">
        <v>6</v>
      </c>
    </row>
    <row r="2118" spans="35:36" x14ac:dyDescent="0.35">
      <c r="AI2118" s="75">
        <v>2115</v>
      </c>
      <c r="AJ2118" s="75">
        <v>6</v>
      </c>
    </row>
    <row r="2119" spans="35:36" x14ac:dyDescent="0.35">
      <c r="AI2119" s="75">
        <v>2116</v>
      </c>
      <c r="AJ2119" s="75">
        <v>6</v>
      </c>
    </row>
    <row r="2120" spans="35:36" x14ac:dyDescent="0.35">
      <c r="AI2120" s="75">
        <v>2117</v>
      </c>
      <c r="AJ2120" s="75">
        <v>6</v>
      </c>
    </row>
    <row r="2121" spans="35:36" x14ac:dyDescent="0.35">
      <c r="AI2121" s="75">
        <v>2118</v>
      </c>
      <c r="AJ2121" s="75">
        <v>6</v>
      </c>
    </row>
    <row r="2122" spans="35:36" x14ac:dyDescent="0.35">
      <c r="AI2122" s="75">
        <v>2119</v>
      </c>
      <c r="AJ2122" s="75">
        <v>6</v>
      </c>
    </row>
    <row r="2123" spans="35:36" x14ac:dyDescent="0.35">
      <c r="AI2123" s="75">
        <v>2120</v>
      </c>
      <c r="AJ2123" s="75">
        <v>6</v>
      </c>
    </row>
    <row r="2124" spans="35:36" x14ac:dyDescent="0.35">
      <c r="AI2124" s="75">
        <v>2121</v>
      </c>
      <c r="AJ2124" s="75">
        <v>6</v>
      </c>
    </row>
    <row r="2125" spans="35:36" x14ac:dyDescent="0.35">
      <c r="AI2125" s="75">
        <v>2122</v>
      </c>
      <c r="AJ2125" s="75">
        <v>6</v>
      </c>
    </row>
    <row r="2126" spans="35:36" x14ac:dyDescent="0.35">
      <c r="AI2126" s="75">
        <v>2123</v>
      </c>
      <c r="AJ2126" s="75">
        <v>6</v>
      </c>
    </row>
    <row r="2127" spans="35:36" x14ac:dyDescent="0.35">
      <c r="AI2127" s="75">
        <v>2124</v>
      </c>
      <c r="AJ2127" s="75">
        <v>6</v>
      </c>
    </row>
    <row r="2128" spans="35:36" x14ac:dyDescent="0.35">
      <c r="AI2128" s="75">
        <v>2125</v>
      </c>
      <c r="AJ2128" s="75">
        <v>6</v>
      </c>
    </row>
    <row r="2129" spans="35:36" x14ac:dyDescent="0.35">
      <c r="AI2129" s="75">
        <v>2126</v>
      </c>
      <c r="AJ2129" s="75">
        <v>6</v>
      </c>
    </row>
    <row r="2130" spans="35:36" x14ac:dyDescent="0.35">
      <c r="AI2130" s="75">
        <v>2127</v>
      </c>
      <c r="AJ2130" s="75">
        <v>6</v>
      </c>
    </row>
    <row r="2131" spans="35:36" x14ac:dyDescent="0.35">
      <c r="AI2131" s="75">
        <v>2128</v>
      </c>
      <c r="AJ2131" s="75">
        <v>6</v>
      </c>
    </row>
    <row r="2132" spans="35:36" x14ac:dyDescent="0.35">
      <c r="AI2132" s="75">
        <v>2129</v>
      </c>
      <c r="AJ2132" s="75">
        <v>6</v>
      </c>
    </row>
    <row r="2133" spans="35:36" x14ac:dyDescent="0.35">
      <c r="AI2133" s="75">
        <v>2130</v>
      </c>
      <c r="AJ2133" s="75">
        <v>6</v>
      </c>
    </row>
    <row r="2134" spans="35:36" x14ac:dyDescent="0.35">
      <c r="AI2134" s="75">
        <v>2131</v>
      </c>
      <c r="AJ2134" s="75">
        <v>6</v>
      </c>
    </row>
    <row r="2135" spans="35:36" x14ac:dyDescent="0.35">
      <c r="AI2135" s="75">
        <v>2132</v>
      </c>
      <c r="AJ2135" s="75">
        <v>6</v>
      </c>
    </row>
    <row r="2136" spans="35:36" x14ac:dyDescent="0.35">
      <c r="AI2136" s="75">
        <v>2133</v>
      </c>
      <c r="AJ2136" s="75">
        <v>6</v>
      </c>
    </row>
    <row r="2137" spans="35:36" x14ac:dyDescent="0.35">
      <c r="AI2137" s="75">
        <v>2134</v>
      </c>
      <c r="AJ2137" s="75">
        <v>6</v>
      </c>
    </row>
    <row r="2138" spans="35:36" x14ac:dyDescent="0.35">
      <c r="AI2138" s="75">
        <v>2135</v>
      </c>
      <c r="AJ2138" s="75">
        <v>6</v>
      </c>
    </row>
    <row r="2139" spans="35:36" x14ac:dyDescent="0.35">
      <c r="AI2139" s="75">
        <v>2136</v>
      </c>
      <c r="AJ2139" s="75">
        <v>6</v>
      </c>
    </row>
    <row r="2140" spans="35:36" x14ac:dyDescent="0.35">
      <c r="AI2140" s="75">
        <v>2137</v>
      </c>
      <c r="AJ2140" s="75">
        <v>6</v>
      </c>
    </row>
    <row r="2141" spans="35:36" x14ac:dyDescent="0.35">
      <c r="AI2141" s="75">
        <v>2138</v>
      </c>
      <c r="AJ2141" s="75">
        <v>6</v>
      </c>
    </row>
    <row r="2142" spans="35:36" x14ac:dyDescent="0.35">
      <c r="AI2142" s="75">
        <v>2139</v>
      </c>
      <c r="AJ2142" s="75">
        <v>6</v>
      </c>
    </row>
    <row r="2143" spans="35:36" x14ac:dyDescent="0.35">
      <c r="AI2143" s="75">
        <v>2140</v>
      </c>
      <c r="AJ2143" s="75">
        <v>6</v>
      </c>
    </row>
    <row r="2144" spans="35:36" x14ac:dyDescent="0.35">
      <c r="AI2144" s="75">
        <v>2141</v>
      </c>
      <c r="AJ2144" s="75">
        <v>6</v>
      </c>
    </row>
    <row r="2145" spans="35:36" x14ac:dyDescent="0.35">
      <c r="AI2145" s="75">
        <v>2142</v>
      </c>
      <c r="AJ2145" s="75">
        <v>6</v>
      </c>
    </row>
    <row r="2146" spans="35:36" x14ac:dyDescent="0.35">
      <c r="AI2146" s="75">
        <v>2143</v>
      </c>
      <c r="AJ2146" s="75">
        <v>6</v>
      </c>
    </row>
    <row r="2147" spans="35:36" x14ac:dyDescent="0.35">
      <c r="AI2147" s="75">
        <v>2144</v>
      </c>
      <c r="AJ2147" s="75">
        <v>6</v>
      </c>
    </row>
    <row r="2148" spans="35:36" x14ac:dyDescent="0.35">
      <c r="AI2148" s="75">
        <v>2145</v>
      </c>
      <c r="AJ2148" s="75">
        <v>6</v>
      </c>
    </row>
    <row r="2149" spans="35:36" x14ac:dyDescent="0.35">
      <c r="AI2149" s="75">
        <v>2146</v>
      </c>
      <c r="AJ2149" s="75">
        <v>6</v>
      </c>
    </row>
    <row r="2150" spans="35:36" x14ac:dyDescent="0.35">
      <c r="AI2150" s="75">
        <v>2147</v>
      </c>
      <c r="AJ2150" s="75">
        <v>6</v>
      </c>
    </row>
    <row r="2151" spans="35:36" x14ac:dyDescent="0.35">
      <c r="AI2151" s="75">
        <v>2148</v>
      </c>
      <c r="AJ2151" s="75">
        <v>6</v>
      </c>
    </row>
    <row r="2152" spans="35:36" x14ac:dyDescent="0.35">
      <c r="AI2152" s="75">
        <v>2149</v>
      </c>
      <c r="AJ2152" s="75">
        <v>6</v>
      </c>
    </row>
    <row r="2153" spans="35:36" x14ac:dyDescent="0.35">
      <c r="AI2153" s="75">
        <v>2150</v>
      </c>
      <c r="AJ2153" s="75">
        <v>6</v>
      </c>
    </row>
    <row r="2154" spans="35:36" x14ac:dyDescent="0.35">
      <c r="AI2154" s="75">
        <v>2151</v>
      </c>
      <c r="AJ2154" s="75">
        <v>6</v>
      </c>
    </row>
    <row r="2155" spans="35:36" x14ac:dyDescent="0.35">
      <c r="AI2155" s="75">
        <v>2152</v>
      </c>
      <c r="AJ2155" s="75">
        <v>6</v>
      </c>
    </row>
    <row r="2156" spans="35:36" x14ac:dyDescent="0.35">
      <c r="AI2156" s="75">
        <v>2153</v>
      </c>
      <c r="AJ2156" s="75">
        <v>6</v>
      </c>
    </row>
    <row r="2157" spans="35:36" x14ac:dyDescent="0.35">
      <c r="AI2157" s="75">
        <v>2154</v>
      </c>
      <c r="AJ2157" s="75">
        <v>6</v>
      </c>
    </row>
    <row r="2158" spans="35:36" x14ac:dyDescent="0.35">
      <c r="AI2158" s="75">
        <v>2155</v>
      </c>
      <c r="AJ2158" s="75">
        <v>6</v>
      </c>
    </row>
    <row r="2159" spans="35:36" x14ac:dyDescent="0.35">
      <c r="AI2159" s="75">
        <v>2156</v>
      </c>
      <c r="AJ2159" s="75">
        <v>6</v>
      </c>
    </row>
    <row r="2160" spans="35:36" x14ac:dyDescent="0.35">
      <c r="AI2160" s="75">
        <v>2157</v>
      </c>
      <c r="AJ2160" s="75">
        <v>6</v>
      </c>
    </row>
    <row r="2161" spans="35:36" x14ac:dyDescent="0.35">
      <c r="AI2161" s="75">
        <v>2158</v>
      </c>
      <c r="AJ2161" s="75">
        <v>6</v>
      </c>
    </row>
    <row r="2162" spans="35:36" x14ac:dyDescent="0.35">
      <c r="AI2162" s="75">
        <v>2159</v>
      </c>
      <c r="AJ2162" s="75">
        <v>6</v>
      </c>
    </row>
    <row r="2163" spans="35:36" x14ac:dyDescent="0.35">
      <c r="AI2163" s="75">
        <v>2160</v>
      </c>
      <c r="AJ2163" s="75">
        <v>6</v>
      </c>
    </row>
    <row r="2164" spans="35:36" x14ac:dyDescent="0.35">
      <c r="AI2164" s="75">
        <v>2161</v>
      </c>
      <c r="AJ2164" s="75">
        <v>6</v>
      </c>
    </row>
    <row r="2165" spans="35:36" x14ac:dyDescent="0.35">
      <c r="AI2165" s="75">
        <v>2162</v>
      </c>
      <c r="AJ2165" s="75">
        <v>6</v>
      </c>
    </row>
    <row r="2166" spans="35:36" x14ac:dyDescent="0.35">
      <c r="AI2166" s="75">
        <v>2163</v>
      </c>
      <c r="AJ2166" s="75">
        <v>6</v>
      </c>
    </row>
    <row r="2167" spans="35:36" x14ac:dyDescent="0.35">
      <c r="AI2167" s="75">
        <v>2164</v>
      </c>
      <c r="AJ2167" s="75">
        <v>6</v>
      </c>
    </row>
    <row r="2168" spans="35:36" x14ac:dyDescent="0.35">
      <c r="AI2168" s="75">
        <v>2165</v>
      </c>
      <c r="AJ2168" s="75">
        <v>6</v>
      </c>
    </row>
    <row r="2169" spans="35:36" x14ac:dyDescent="0.35">
      <c r="AI2169" s="75">
        <v>2166</v>
      </c>
      <c r="AJ2169" s="75">
        <v>6</v>
      </c>
    </row>
    <row r="2170" spans="35:36" x14ac:dyDescent="0.35">
      <c r="AI2170" s="75">
        <v>2167</v>
      </c>
      <c r="AJ2170" s="75">
        <v>6</v>
      </c>
    </row>
    <row r="2171" spans="35:36" x14ac:dyDescent="0.35">
      <c r="AI2171" s="75">
        <v>2168</v>
      </c>
      <c r="AJ2171" s="75">
        <v>6</v>
      </c>
    </row>
    <row r="2172" spans="35:36" x14ac:dyDescent="0.35">
      <c r="AI2172" s="75">
        <v>2169</v>
      </c>
      <c r="AJ2172" s="75">
        <v>6</v>
      </c>
    </row>
    <row r="2173" spans="35:36" x14ac:dyDescent="0.35">
      <c r="AI2173" s="75">
        <v>2170</v>
      </c>
      <c r="AJ2173" s="75">
        <v>6</v>
      </c>
    </row>
    <row r="2174" spans="35:36" x14ac:dyDescent="0.35">
      <c r="AI2174" s="75">
        <v>2171</v>
      </c>
      <c r="AJ2174" s="75">
        <v>6</v>
      </c>
    </row>
    <row r="2175" spans="35:36" x14ac:dyDescent="0.35">
      <c r="AI2175" s="75">
        <v>2172</v>
      </c>
      <c r="AJ2175" s="75">
        <v>6</v>
      </c>
    </row>
    <row r="2176" spans="35:36" x14ac:dyDescent="0.35">
      <c r="AI2176" s="75">
        <v>2173</v>
      </c>
      <c r="AJ2176" s="75">
        <v>6</v>
      </c>
    </row>
    <row r="2177" spans="35:36" x14ac:dyDescent="0.35">
      <c r="AI2177" s="75">
        <v>2174</v>
      </c>
      <c r="AJ2177" s="75">
        <v>6</v>
      </c>
    </row>
    <row r="2178" spans="35:36" x14ac:dyDescent="0.35">
      <c r="AI2178" s="75">
        <v>2175</v>
      </c>
      <c r="AJ2178" s="75">
        <v>6</v>
      </c>
    </row>
    <row r="2179" spans="35:36" x14ac:dyDescent="0.35">
      <c r="AI2179" s="75">
        <v>2176</v>
      </c>
      <c r="AJ2179" s="75">
        <v>6</v>
      </c>
    </row>
    <row r="2180" spans="35:36" x14ac:dyDescent="0.35">
      <c r="AI2180" s="75">
        <v>2177</v>
      </c>
      <c r="AJ2180" s="75">
        <v>6</v>
      </c>
    </row>
    <row r="2181" spans="35:36" x14ac:dyDescent="0.35">
      <c r="AI2181" s="75">
        <v>2178</v>
      </c>
      <c r="AJ2181" s="75">
        <v>6</v>
      </c>
    </row>
    <row r="2182" spans="35:36" x14ac:dyDescent="0.35">
      <c r="AI2182" s="75">
        <v>2179</v>
      </c>
      <c r="AJ2182" s="75">
        <v>6</v>
      </c>
    </row>
    <row r="2183" spans="35:36" x14ac:dyDescent="0.35">
      <c r="AI2183" s="75">
        <v>2180</v>
      </c>
      <c r="AJ2183" s="75">
        <v>6</v>
      </c>
    </row>
    <row r="2184" spans="35:36" x14ac:dyDescent="0.35">
      <c r="AI2184" s="75">
        <v>2181</v>
      </c>
      <c r="AJ2184" s="75">
        <v>6</v>
      </c>
    </row>
    <row r="2185" spans="35:36" x14ac:dyDescent="0.35">
      <c r="AI2185" s="75">
        <v>2182</v>
      </c>
      <c r="AJ2185" s="75">
        <v>6</v>
      </c>
    </row>
    <row r="2186" spans="35:36" x14ac:dyDescent="0.35">
      <c r="AI2186" s="75">
        <v>2183</v>
      </c>
      <c r="AJ2186" s="75">
        <v>6</v>
      </c>
    </row>
    <row r="2187" spans="35:36" x14ac:dyDescent="0.35">
      <c r="AI2187" s="75">
        <v>2184</v>
      </c>
      <c r="AJ2187" s="75">
        <v>6</v>
      </c>
    </row>
    <row r="2188" spans="35:36" x14ac:dyDescent="0.35">
      <c r="AI2188" s="75">
        <v>2185</v>
      </c>
      <c r="AJ2188" s="75">
        <v>6</v>
      </c>
    </row>
    <row r="2189" spans="35:36" x14ac:dyDescent="0.35">
      <c r="AI2189" s="75">
        <v>2186</v>
      </c>
      <c r="AJ2189" s="75">
        <v>6</v>
      </c>
    </row>
    <row r="2190" spans="35:36" x14ac:dyDescent="0.35">
      <c r="AI2190" s="75">
        <v>2187</v>
      </c>
      <c r="AJ2190" s="75">
        <v>6</v>
      </c>
    </row>
    <row r="2191" spans="35:36" x14ac:dyDescent="0.35">
      <c r="AI2191" s="75">
        <v>2188</v>
      </c>
      <c r="AJ2191" s="75">
        <v>6</v>
      </c>
    </row>
    <row r="2192" spans="35:36" x14ac:dyDescent="0.35">
      <c r="AI2192" s="75">
        <v>2189</v>
      </c>
      <c r="AJ2192" s="75">
        <v>6</v>
      </c>
    </row>
    <row r="2193" spans="35:36" x14ac:dyDescent="0.35">
      <c r="AI2193" s="75">
        <v>2190</v>
      </c>
      <c r="AJ2193" s="75">
        <v>6</v>
      </c>
    </row>
    <row r="2194" spans="35:36" x14ac:dyDescent="0.35">
      <c r="AI2194" s="75">
        <v>2191</v>
      </c>
      <c r="AJ2194" s="75">
        <v>6</v>
      </c>
    </row>
    <row r="2195" spans="35:36" x14ac:dyDescent="0.35">
      <c r="AI2195" s="75">
        <v>2192</v>
      </c>
      <c r="AJ2195" s="75">
        <v>6</v>
      </c>
    </row>
    <row r="2196" spans="35:36" x14ac:dyDescent="0.35">
      <c r="AI2196" s="75">
        <v>2193</v>
      </c>
      <c r="AJ2196" s="75">
        <v>6</v>
      </c>
    </row>
    <row r="2197" spans="35:36" x14ac:dyDescent="0.35">
      <c r="AI2197" s="75">
        <v>2194</v>
      </c>
      <c r="AJ2197" s="75">
        <v>6</v>
      </c>
    </row>
    <row r="2198" spans="35:36" x14ac:dyDescent="0.35">
      <c r="AI2198" s="75">
        <v>2195</v>
      </c>
      <c r="AJ2198" s="75">
        <v>6</v>
      </c>
    </row>
    <row r="2199" spans="35:36" x14ac:dyDescent="0.35">
      <c r="AI2199" s="75">
        <v>2196</v>
      </c>
      <c r="AJ2199" s="75">
        <v>6</v>
      </c>
    </row>
    <row r="2200" spans="35:36" x14ac:dyDescent="0.35">
      <c r="AI2200" s="75">
        <v>2197</v>
      </c>
      <c r="AJ2200" s="75">
        <v>6</v>
      </c>
    </row>
    <row r="2201" spans="35:36" x14ac:dyDescent="0.35">
      <c r="AI2201" s="75">
        <v>2198</v>
      </c>
      <c r="AJ2201" s="75">
        <v>6</v>
      </c>
    </row>
    <row r="2202" spans="35:36" x14ac:dyDescent="0.35">
      <c r="AI2202" s="75">
        <v>2199</v>
      </c>
      <c r="AJ2202" s="75">
        <v>6</v>
      </c>
    </row>
    <row r="2203" spans="35:36" x14ac:dyDescent="0.35">
      <c r="AI2203" s="75">
        <v>2200</v>
      </c>
      <c r="AJ2203" s="75">
        <v>6</v>
      </c>
    </row>
    <row r="2204" spans="35:36" x14ac:dyDescent="0.35">
      <c r="AI2204" s="75">
        <v>2201</v>
      </c>
      <c r="AJ2204" s="75">
        <v>6</v>
      </c>
    </row>
    <row r="2205" spans="35:36" x14ac:dyDescent="0.35">
      <c r="AI2205" s="75">
        <v>2202</v>
      </c>
      <c r="AJ2205" s="75">
        <v>6</v>
      </c>
    </row>
    <row r="2206" spans="35:36" x14ac:dyDescent="0.35">
      <c r="AI2206" s="75">
        <v>2203</v>
      </c>
      <c r="AJ2206" s="75">
        <v>6</v>
      </c>
    </row>
    <row r="2207" spans="35:36" x14ac:dyDescent="0.35">
      <c r="AI2207" s="75">
        <v>2204</v>
      </c>
      <c r="AJ2207" s="75">
        <v>6</v>
      </c>
    </row>
    <row r="2208" spans="35:36" x14ac:dyDescent="0.35">
      <c r="AI2208" s="75">
        <v>2205</v>
      </c>
      <c r="AJ2208" s="75">
        <v>6</v>
      </c>
    </row>
    <row r="2209" spans="35:36" x14ac:dyDescent="0.35">
      <c r="AI2209" s="75">
        <v>2206</v>
      </c>
      <c r="AJ2209" s="75">
        <v>6</v>
      </c>
    </row>
    <row r="2210" spans="35:36" x14ac:dyDescent="0.35">
      <c r="AI2210" s="75">
        <v>2207</v>
      </c>
      <c r="AJ2210" s="75">
        <v>6</v>
      </c>
    </row>
    <row r="2211" spans="35:36" x14ac:dyDescent="0.35">
      <c r="AI2211" s="75">
        <v>2208</v>
      </c>
      <c r="AJ2211" s="75">
        <v>6</v>
      </c>
    </row>
    <row r="2212" spans="35:36" x14ac:dyDescent="0.35">
      <c r="AI2212" s="75">
        <v>2209</v>
      </c>
      <c r="AJ2212" s="75">
        <v>6</v>
      </c>
    </row>
    <row r="2213" spans="35:36" x14ac:dyDescent="0.35">
      <c r="AI2213" s="75">
        <v>2210</v>
      </c>
      <c r="AJ2213" s="75">
        <v>6</v>
      </c>
    </row>
    <row r="2214" spans="35:36" x14ac:dyDescent="0.35">
      <c r="AI2214" s="75">
        <v>2211</v>
      </c>
      <c r="AJ2214" s="75">
        <v>6</v>
      </c>
    </row>
    <row r="2215" spans="35:36" x14ac:dyDescent="0.35">
      <c r="AI2215" s="75">
        <v>2212</v>
      </c>
      <c r="AJ2215" s="75">
        <v>6</v>
      </c>
    </row>
    <row r="2216" spans="35:36" x14ac:dyDescent="0.35">
      <c r="AI2216" s="75">
        <v>2213</v>
      </c>
      <c r="AJ2216" s="75">
        <v>6</v>
      </c>
    </row>
    <row r="2217" spans="35:36" x14ac:dyDescent="0.35">
      <c r="AI2217" s="75">
        <v>2214</v>
      </c>
      <c r="AJ2217" s="75">
        <v>6</v>
      </c>
    </row>
    <row r="2218" spans="35:36" x14ac:dyDescent="0.35">
      <c r="AI2218" s="75">
        <v>2215</v>
      </c>
      <c r="AJ2218" s="75">
        <v>6</v>
      </c>
    </row>
    <row r="2219" spans="35:36" x14ac:dyDescent="0.35">
      <c r="AI2219" s="75">
        <v>2216</v>
      </c>
      <c r="AJ2219" s="75">
        <v>6</v>
      </c>
    </row>
    <row r="2220" spans="35:36" x14ac:dyDescent="0.35">
      <c r="AI2220" s="75">
        <v>2217</v>
      </c>
      <c r="AJ2220" s="75">
        <v>6</v>
      </c>
    </row>
    <row r="2221" spans="35:36" x14ac:dyDescent="0.35">
      <c r="AI2221" s="75">
        <v>2218</v>
      </c>
      <c r="AJ2221" s="75">
        <v>6</v>
      </c>
    </row>
    <row r="2222" spans="35:36" x14ac:dyDescent="0.35">
      <c r="AI2222" s="75">
        <v>2219</v>
      </c>
      <c r="AJ2222" s="75">
        <v>6</v>
      </c>
    </row>
    <row r="2223" spans="35:36" x14ac:dyDescent="0.35">
      <c r="AI2223" s="75">
        <v>2220</v>
      </c>
      <c r="AJ2223" s="75">
        <v>6</v>
      </c>
    </row>
    <row r="2224" spans="35:36" x14ac:dyDescent="0.35">
      <c r="AI2224" s="75">
        <v>2221</v>
      </c>
      <c r="AJ2224" s="75">
        <v>6</v>
      </c>
    </row>
    <row r="2225" spans="35:36" x14ac:dyDescent="0.35">
      <c r="AI2225" s="75">
        <v>2222</v>
      </c>
      <c r="AJ2225" s="75"/>
    </row>
    <row r="2226" spans="35:36" x14ac:dyDescent="0.35">
      <c r="AI2226" s="75">
        <v>2223</v>
      </c>
      <c r="AJ2226" s="75"/>
    </row>
    <row r="2227" spans="35:36" x14ac:dyDescent="0.35">
      <c r="AI2227" s="75">
        <v>2224</v>
      </c>
      <c r="AJ2227" s="75"/>
    </row>
    <row r="2228" spans="35:36" x14ac:dyDescent="0.35">
      <c r="AI2228" s="75">
        <v>2225</v>
      </c>
      <c r="AJ2228" s="75"/>
    </row>
    <row r="2229" spans="35:36" x14ac:dyDescent="0.35">
      <c r="AI2229" s="75">
        <v>2226</v>
      </c>
      <c r="AJ2229" s="75"/>
    </row>
    <row r="2230" spans="35:36" x14ac:dyDescent="0.35">
      <c r="AI2230" s="75">
        <v>2227</v>
      </c>
      <c r="AJ2230" s="75"/>
    </row>
    <row r="2231" spans="35:36" x14ac:dyDescent="0.35">
      <c r="AI2231" s="75">
        <v>2228</v>
      </c>
      <c r="AJ2231" s="75"/>
    </row>
    <row r="2232" spans="35:36" x14ac:dyDescent="0.35">
      <c r="AI2232" s="75">
        <v>2229</v>
      </c>
      <c r="AJ2232" s="75"/>
    </row>
    <row r="2233" spans="35:36" x14ac:dyDescent="0.35">
      <c r="AI2233" s="75">
        <v>2230</v>
      </c>
      <c r="AJ2233" s="75"/>
    </row>
    <row r="2234" spans="35:36" x14ac:dyDescent="0.35">
      <c r="AI2234" s="75">
        <v>2231</v>
      </c>
      <c r="AJ2234" s="75"/>
    </row>
    <row r="2235" spans="35:36" x14ac:dyDescent="0.35">
      <c r="AI2235" s="75">
        <v>2232</v>
      </c>
      <c r="AJ2235" s="75"/>
    </row>
    <row r="2236" spans="35:36" x14ac:dyDescent="0.35">
      <c r="AI2236" s="75">
        <v>2233</v>
      </c>
      <c r="AJ2236" s="75"/>
    </row>
    <row r="2237" spans="35:36" x14ac:dyDescent="0.35">
      <c r="AI2237" s="75">
        <v>2234</v>
      </c>
      <c r="AJ2237" s="75"/>
    </row>
    <row r="2238" spans="35:36" x14ac:dyDescent="0.35">
      <c r="AI2238" s="75">
        <v>2235</v>
      </c>
      <c r="AJ2238" s="75"/>
    </row>
    <row r="2239" spans="35:36" x14ac:dyDescent="0.35">
      <c r="AI2239" s="75">
        <v>2236</v>
      </c>
      <c r="AJ2239" s="75"/>
    </row>
    <row r="2240" spans="35:36" x14ac:dyDescent="0.35">
      <c r="AI2240" s="75">
        <v>2237</v>
      </c>
      <c r="AJ2240" s="75"/>
    </row>
    <row r="2241" spans="35:36" x14ac:dyDescent="0.35">
      <c r="AI2241" s="75">
        <v>2238</v>
      </c>
      <c r="AJ2241" s="75"/>
    </row>
    <row r="2242" spans="35:36" x14ac:dyDescent="0.35">
      <c r="AI2242" s="75">
        <v>2239</v>
      </c>
      <c r="AJ2242" s="75"/>
    </row>
    <row r="2243" spans="35:36" x14ac:dyDescent="0.35">
      <c r="AI2243" s="75">
        <v>2240</v>
      </c>
      <c r="AJ2243" s="75"/>
    </row>
    <row r="2244" spans="35:36" x14ac:dyDescent="0.35">
      <c r="AI2244" s="75">
        <v>2241</v>
      </c>
      <c r="AJ2244" s="75"/>
    </row>
    <row r="2245" spans="35:36" x14ac:dyDescent="0.35">
      <c r="AI2245" s="75">
        <v>2242</v>
      </c>
      <c r="AJ2245" s="75"/>
    </row>
    <row r="2246" spans="35:36" x14ac:dyDescent="0.35">
      <c r="AI2246" s="75">
        <v>2243</v>
      </c>
      <c r="AJ2246" s="75"/>
    </row>
    <row r="2247" spans="35:36" x14ac:dyDescent="0.35">
      <c r="AI2247" s="75">
        <v>2244</v>
      </c>
      <c r="AJ2247" s="75"/>
    </row>
    <row r="2248" spans="35:36" x14ac:dyDescent="0.35">
      <c r="AI2248" s="75">
        <v>2245</v>
      </c>
      <c r="AJ2248" s="75"/>
    </row>
    <row r="2249" spans="35:36" x14ac:dyDescent="0.35">
      <c r="AI2249" s="75">
        <v>2246</v>
      </c>
      <c r="AJ2249" s="75"/>
    </row>
    <row r="2250" spans="35:36" x14ac:dyDescent="0.35">
      <c r="AI2250" s="75">
        <v>2247</v>
      </c>
      <c r="AJ2250" s="75"/>
    </row>
    <row r="2251" spans="35:36" x14ac:dyDescent="0.35">
      <c r="AI2251" s="75">
        <v>2248</v>
      </c>
      <c r="AJ2251" s="75"/>
    </row>
    <row r="2252" spans="35:36" x14ac:dyDescent="0.35">
      <c r="AI2252" s="75">
        <v>2249</v>
      </c>
      <c r="AJ2252" s="75"/>
    </row>
    <row r="2253" spans="35:36" x14ac:dyDescent="0.35">
      <c r="AI2253" s="75">
        <v>2250</v>
      </c>
      <c r="AJ2253" s="75"/>
    </row>
    <row r="2254" spans="35:36" x14ac:dyDescent="0.35">
      <c r="AI2254" s="75">
        <v>2251</v>
      </c>
      <c r="AJ2254" s="75"/>
    </row>
    <row r="2255" spans="35:36" x14ac:dyDescent="0.35">
      <c r="AI2255" s="75">
        <v>2252</v>
      </c>
      <c r="AJ2255" s="75"/>
    </row>
    <row r="2256" spans="35:36" x14ac:dyDescent="0.35">
      <c r="AI2256" s="75">
        <v>2253</v>
      </c>
      <c r="AJ2256" s="75"/>
    </row>
    <row r="2257" spans="35:36" x14ac:dyDescent="0.35">
      <c r="AI2257" s="75">
        <v>2254</v>
      </c>
      <c r="AJ2257" s="75"/>
    </row>
    <row r="2258" spans="35:36" x14ac:dyDescent="0.35">
      <c r="AI2258" s="75">
        <v>2255</v>
      </c>
      <c r="AJ2258" s="75"/>
    </row>
    <row r="2259" spans="35:36" x14ac:dyDescent="0.35">
      <c r="AI2259" s="75">
        <v>2256</v>
      </c>
      <c r="AJ2259" s="75"/>
    </row>
    <row r="2260" spans="35:36" x14ac:dyDescent="0.35">
      <c r="AI2260" s="75">
        <v>2257</v>
      </c>
      <c r="AJ2260" s="75"/>
    </row>
    <row r="2261" spans="35:36" x14ac:dyDescent="0.35">
      <c r="AI2261" s="75">
        <v>2258</v>
      </c>
      <c r="AJ2261" s="75"/>
    </row>
    <row r="2262" spans="35:36" x14ac:dyDescent="0.35">
      <c r="AI2262" s="75">
        <v>2259</v>
      </c>
      <c r="AJ2262" s="75"/>
    </row>
    <row r="2263" spans="35:36" x14ac:dyDescent="0.35">
      <c r="AI2263" s="75">
        <v>2260</v>
      </c>
      <c r="AJ2263" s="75"/>
    </row>
    <row r="2264" spans="35:36" x14ac:dyDescent="0.35">
      <c r="AI2264" s="75">
        <v>2261</v>
      </c>
      <c r="AJ2264" s="75"/>
    </row>
    <row r="2265" spans="35:36" x14ac:dyDescent="0.35">
      <c r="AI2265" s="75">
        <v>2262</v>
      </c>
      <c r="AJ2265" s="75"/>
    </row>
    <row r="2266" spans="35:36" x14ac:dyDescent="0.35">
      <c r="AI2266" s="75">
        <v>2263</v>
      </c>
      <c r="AJ2266" s="75"/>
    </row>
    <row r="2267" spans="35:36" x14ac:dyDescent="0.35">
      <c r="AI2267" s="75">
        <v>2264</v>
      </c>
      <c r="AJ2267" s="75"/>
    </row>
    <row r="2268" spans="35:36" x14ac:dyDescent="0.35">
      <c r="AI2268" s="75">
        <v>2265</v>
      </c>
      <c r="AJ2268" s="75"/>
    </row>
    <row r="2269" spans="35:36" x14ac:dyDescent="0.35">
      <c r="AI2269" s="75">
        <v>2266</v>
      </c>
      <c r="AJ2269" s="75"/>
    </row>
    <row r="2270" spans="35:36" x14ac:dyDescent="0.35">
      <c r="AI2270" s="75">
        <v>2267</v>
      </c>
      <c r="AJ2270" s="75"/>
    </row>
    <row r="2271" spans="35:36" x14ac:dyDescent="0.35">
      <c r="AI2271" s="75">
        <v>2268</v>
      </c>
      <c r="AJ2271" s="75"/>
    </row>
    <row r="2272" spans="35:36" x14ac:dyDescent="0.35">
      <c r="AI2272" s="75">
        <v>2269</v>
      </c>
      <c r="AJ2272" s="75"/>
    </row>
    <row r="2273" spans="35:36" x14ac:dyDescent="0.35">
      <c r="AI2273" s="75">
        <v>2270</v>
      </c>
      <c r="AJ2273" s="75"/>
    </row>
    <row r="2274" spans="35:36" x14ac:dyDescent="0.35">
      <c r="AI2274" s="75">
        <v>2271</v>
      </c>
      <c r="AJ2274" s="75"/>
    </row>
    <row r="2275" spans="35:36" x14ac:dyDescent="0.35">
      <c r="AI2275" s="75">
        <v>2272</v>
      </c>
      <c r="AJ2275" s="75"/>
    </row>
    <row r="2276" spans="35:36" x14ac:dyDescent="0.35">
      <c r="AI2276" s="75">
        <v>2273</v>
      </c>
      <c r="AJ2276" s="75"/>
    </row>
    <row r="2277" spans="35:36" x14ac:dyDescent="0.35">
      <c r="AI2277" s="75">
        <v>2274</v>
      </c>
      <c r="AJ2277" s="75"/>
    </row>
    <row r="2278" spans="35:36" x14ac:dyDescent="0.35">
      <c r="AI2278" s="75">
        <v>2275</v>
      </c>
      <c r="AJ2278" s="75"/>
    </row>
    <row r="2279" spans="35:36" x14ac:dyDescent="0.35">
      <c r="AI2279" s="75">
        <v>2276</v>
      </c>
      <c r="AJ2279" s="75"/>
    </row>
    <row r="2280" spans="35:36" x14ac:dyDescent="0.35">
      <c r="AI2280" s="75">
        <v>2277</v>
      </c>
      <c r="AJ2280" s="75"/>
    </row>
    <row r="2281" spans="35:36" x14ac:dyDescent="0.35">
      <c r="AI2281" s="75">
        <v>2278</v>
      </c>
      <c r="AJ2281" s="75"/>
    </row>
    <row r="2282" spans="35:36" x14ac:dyDescent="0.35">
      <c r="AI2282" s="75">
        <v>2279</v>
      </c>
      <c r="AJ2282" s="75"/>
    </row>
    <row r="2283" spans="35:36" x14ac:dyDescent="0.35">
      <c r="AI2283" s="75">
        <v>2280</v>
      </c>
      <c r="AJ2283" s="75"/>
    </row>
    <row r="2284" spans="35:36" x14ac:dyDescent="0.35">
      <c r="AI2284" s="75">
        <v>2281</v>
      </c>
      <c r="AJ2284" s="75"/>
    </row>
    <row r="2285" spans="35:36" x14ac:dyDescent="0.35">
      <c r="AI2285" s="75">
        <v>2282</v>
      </c>
      <c r="AJ2285" s="75"/>
    </row>
    <row r="2286" spans="35:36" x14ac:dyDescent="0.35">
      <c r="AI2286" s="75">
        <v>2283</v>
      </c>
      <c r="AJ2286" s="75"/>
    </row>
    <row r="2287" spans="35:36" x14ac:dyDescent="0.35">
      <c r="AI2287" s="75">
        <v>2284</v>
      </c>
      <c r="AJ2287" s="75"/>
    </row>
    <row r="2288" spans="35:36" x14ac:dyDescent="0.35">
      <c r="AI2288" s="75">
        <v>2285</v>
      </c>
      <c r="AJ2288" s="75"/>
    </row>
    <row r="2289" spans="35:36" x14ac:dyDescent="0.35">
      <c r="AI2289" s="75">
        <v>2286</v>
      </c>
      <c r="AJ2289" s="75"/>
    </row>
    <row r="2290" spans="35:36" x14ac:dyDescent="0.35">
      <c r="AI2290" s="75">
        <v>2287</v>
      </c>
      <c r="AJ2290" s="75"/>
    </row>
    <row r="2291" spans="35:36" x14ac:dyDescent="0.35">
      <c r="AI2291" s="75">
        <v>2288</v>
      </c>
      <c r="AJ2291" s="75"/>
    </row>
    <row r="2292" spans="35:36" x14ac:dyDescent="0.35">
      <c r="AI2292" s="75">
        <v>2289</v>
      </c>
      <c r="AJ2292" s="75"/>
    </row>
    <row r="2293" spans="35:36" x14ac:dyDescent="0.35">
      <c r="AI2293" s="75">
        <v>2290</v>
      </c>
      <c r="AJ2293" s="75"/>
    </row>
    <row r="2294" spans="35:36" x14ac:dyDescent="0.35">
      <c r="AI2294" s="75">
        <v>2291</v>
      </c>
      <c r="AJ2294" s="75"/>
    </row>
    <row r="2295" spans="35:36" x14ac:dyDescent="0.35">
      <c r="AI2295" s="75">
        <v>2292</v>
      </c>
      <c r="AJ2295" s="75"/>
    </row>
    <row r="2296" spans="35:36" x14ac:dyDescent="0.35">
      <c r="AI2296" s="75">
        <v>2293</v>
      </c>
      <c r="AJ2296" s="75"/>
    </row>
    <row r="2297" spans="35:36" x14ac:dyDescent="0.35">
      <c r="AI2297" s="75">
        <v>2294</v>
      </c>
      <c r="AJ2297" s="75"/>
    </row>
    <row r="2298" spans="35:36" x14ac:dyDescent="0.35">
      <c r="AI2298" s="75">
        <v>2295</v>
      </c>
      <c r="AJ2298" s="75"/>
    </row>
    <row r="2299" spans="35:36" x14ac:dyDescent="0.35">
      <c r="AI2299" s="75">
        <v>2296</v>
      </c>
      <c r="AJ2299" s="75"/>
    </row>
    <row r="2300" spans="35:36" x14ac:dyDescent="0.35">
      <c r="AI2300" s="75">
        <v>2297</v>
      </c>
      <c r="AJ2300" s="75"/>
    </row>
    <row r="2301" spans="35:36" x14ac:dyDescent="0.35">
      <c r="AI2301" s="75">
        <v>2298</v>
      </c>
      <c r="AJ2301" s="75"/>
    </row>
    <row r="2302" spans="35:36" x14ac:dyDescent="0.35">
      <c r="AI2302" s="75">
        <v>2299</v>
      </c>
      <c r="AJ2302" s="75"/>
    </row>
    <row r="2303" spans="35:36" x14ac:dyDescent="0.35">
      <c r="AI2303" s="75">
        <v>2300</v>
      </c>
      <c r="AJ2303" s="75"/>
    </row>
    <row r="2304" spans="35:36" x14ac:dyDescent="0.35">
      <c r="AI2304" s="75">
        <v>2301</v>
      </c>
      <c r="AJ2304" s="75"/>
    </row>
    <row r="2305" spans="35:36" x14ac:dyDescent="0.35">
      <c r="AI2305" s="75">
        <v>2302</v>
      </c>
      <c r="AJ2305" s="75"/>
    </row>
    <row r="2306" spans="35:36" x14ac:dyDescent="0.35">
      <c r="AI2306" s="75">
        <v>2303</v>
      </c>
      <c r="AJ2306" s="75"/>
    </row>
    <row r="2307" spans="35:36" x14ac:dyDescent="0.35">
      <c r="AI2307" s="75">
        <v>2304</v>
      </c>
      <c r="AJ2307" s="75"/>
    </row>
    <row r="2308" spans="35:36" x14ac:dyDescent="0.35">
      <c r="AI2308" s="75">
        <v>2305</v>
      </c>
      <c r="AJ2308" s="75"/>
    </row>
    <row r="2309" spans="35:36" x14ac:dyDescent="0.35">
      <c r="AI2309" s="75">
        <v>2306</v>
      </c>
      <c r="AJ2309" s="75"/>
    </row>
    <row r="2310" spans="35:36" x14ac:dyDescent="0.35">
      <c r="AI2310" s="75">
        <v>2307</v>
      </c>
      <c r="AJ2310" s="75"/>
    </row>
    <row r="2311" spans="35:36" x14ac:dyDescent="0.35">
      <c r="AI2311" s="75">
        <v>2308</v>
      </c>
      <c r="AJ2311" s="75"/>
    </row>
    <row r="2312" spans="35:36" x14ac:dyDescent="0.35">
      <c r="AI2312" s="75">
        <v>2309</v>
      </c>
      <c r="AJ2312" s="75"/>
    </row>
    <row r="2313" spans="35:36" x14ac:dyDescent="0.35">
      <c r="AI2313" s="75">
        <v>2310</v>
      </c>
      <c r="AJ2313" s="75"/>
    </row>
    <row r="2314" spans="35:36" x14ac:dyDescent="0.35">
      <c r="AI2314" s="75">
        <v>2311</v>
      </c>
      <c r="AJ2314" s="75"/>
    </row>
    <row r="2315" spans="35:36" x14ac:dyDescent="0.35">
      <c r="AI2315" s="75">
        <v>2312</v>
      </c>
      <c r="AJ2315" s="75"/>
    </row>
    <row r="2316" spans="35:36" x14ac:dyDescent="0.35">
      <c r="AI2316" s="75">
        <v>2313</v>
      </c>
      <c r="AJ2316" s="75"/>
    </row>
    <row r="2317" spans="35:36" x14ac:dyDescent="0.35">
      <c r="AI2317" s="75">
        <v>2314</v>
      </c>
      <c r="AJ2317" s="75"/>
    </row>
    <row r="2318" spans="35:36" x14ac:dyDescent="0.35">
      <c r="AI2318" s="75">
        <v>2315</v>
      </c>
      <c r="AJ2318" s="75"/>
    </row>
    <row r="2319" spans="35:36" x14ac:dyDescent="0.35">
      <c r="AI2319" s="75">
        <v>2316</v>
      </c>
      <c r="AJ2319" s="75"/>
    </row>
    <row r="2320" spans="35:36" x14ac:dyDescent="0.35">
      <c r="AI2320" s="75">
        <v>2317</v>
      </c>
      <c r="AJ2320" s="75"/>
    </row>
    <row r="2321" spans="35:36" x14ac:dyDescent="0.35">
      <c r="AI2321" s="75">
        <v>2318</v>
      </c>
      <c r="AJ2321" s="75"/>
    </row>
    <row r="2322" spans="35:36" x14ac:dyDescent="0.35">
      <c r="AI2322" s="75">
        <v>2319</v>
      </c>
      <c r="AJ2322" s="75"/>
    </row>
    <row r="2323" spans="35:36" x14ac:dyDescent="0.35">
      <c r="AI2323" s="75">
        <v>2320</v>
      </c>
      <c r="AJ2323" s="75"/>
    </row>
    <row r="2324" spans="35:36" x14ac:dyDescent="0.35">
      <c r="AI2324" s="75">
        <v>2321</v>
      </c>
      <c r="AJ2324" s="75"/>
    </row>
    <row r="2325" spans="35:36" x14ac:dyDescent="0.35">
      <c r="AI2325" s="75">
        <v>2322</v>
      </c>
      <c r="AJ2325" s="75"/>
    </row>
    <row r="2326" spans="35:36" x14ac:dyDescent="0.35">
      <c r="AI2326" s="75">
        <v>2323</v>
      </c>
      <c r="AJ2326" s="75"/>
    </row>
    <row r="2327" spans="35:36" x14ac:dyDescent="0.35">
      <c r="AI2327" s="75">
        <v>2324</v>
      </c>
      <c r="AJ2327" s="75"/>
    </row>
    <row r="2328" spans="35:36" x14ac:dyDescent="0.35">
      <c r="AI2328" s="75">
        <v>2325</v>
      </c>
      <c r="AJ2328" s="75"/>
    </row>
    <row r="2329" spans="35:36" x14ac:dyDescent="0.35">
      <c r="AI2329" s="75">
        <v>2326</v>
      </c>
      <c r="AJ2329" s="75"/>
    </row>
    <row r="2330" spans="35:36" x14ac:dyDescent="0.35">
      <c r="AI2330" s="75">
        <v>2327</v>
      </c>
      <c r="AJ2330" s="75"/>
    </row>
    <row r="2331" spans="35:36" x14ac:dyDescent="0.35">
      <c r="AI2331" s="75">
        <v>2328</v>
      </c>
      <c r="AJ2331" s="75"/>
    </row>
    <row r="2332" spans="35:36" x14ac:dyDescent="0.35">
      <c r="AI2332" s="75">
        <v>2329</v>
      </c>
      <c r="AJ2332" s="75"/>
    </row>
    <row r="2333" spans="35:36" x14ac:dyDescent="0.35">
      <c r="AI2333" s="75">
        <v>2330</v>
      </c>
      <c r="AJ2333" s="75"/>
    </row>
    <row r="2334" spans="35:36" x14ac:dyDescent="0.35">
      <c r="AI2334" s="75">
        <v>2331</v>
      </c>
      <c r="AJ2334" s="75"/>
    </row>
    <row r="2335" spans="35:36" x14ac:dyDescent="0.35">
      <c r="AI2335" s="75">
        <v>2332</v>
      </c>
      <c r="AJ2335" s="75"/>
    </row>
    <row r="2336" spans="35:36" x14ac:dyDescent="0.35">
      <c r="AI2336" s="75">
        <v>2333</v>
      </c>
      <c r="AJ2336" s="75"/>
    </row>
    <row r="2337" spans="35:36" x14ac:dyDescent="0.35">
      <c r="AI2337" s="75">
        <v>2334</v>
      </c>
      <c r="AJ2337" s="75"/>
    </row>
    <row r="2338" spans="35:36" x14ac:dyDescent="0.35">
      <c r="AI2338" s="75">
        <v>2335</v>
      </c>
      <c r="AJ2338" s="75"/>
    </row>
    <row r="2339" spans="35:36" x14ac:dyDescent="0.35">
      <c r="AI2339" s="75">
        <v>2336</v>
      </c>
      <c r="AJ2339" s="75"/>
    </row>
    <row r="2340" spans="35:36" x14ac:dyDescent="0.35">
      <c r="AI2340" s="75">
        <v>2337</v>
      </c>
      <c r="AJ2340" s="75"/>
    </row>
    <row r="2341" spans="35:36" x14ac:dyDescent="0.35">
      <c r="AI2341" s="75">
        <v>2338</v>
      </c>
      <c r="AJ2341" s="75"/>
    </row>
    <row r="2342" spans="35:36" x14ac:dyDescent="0.35">
      <c r="AI2342" s="75">
        <v>2339</v>
      </c>
      <c r="AJ2342" s="75"/>
    </row>
    <row r="2343" spans="35:36" x14ac:dyDescent="0.35">
      <c r="AI2343" s="75">
        <v>2340</v>
      </c>
      <c r="AJ2343" s="75"/>
    </row>
    <row r="2344" spans="35:36" x14ac:dyDescent="0.35">
      <c r="AI2344" s="75">
        <v>2341</v>
      </c>
      <c r="AJ2344" s="75"/>
    </row>
    <row r="2345" spans="35:36" x14ac:dyDescent="0.35">
      <c r="AI2345" s="75">
        <v>2342</v>
      </c>
      <c r="AJ2345" s="75"/>
    </row>
    <row r="2346" spans="35:36" x14ac:dyDescent="0.35">
      <c r="AI2346" s="75">
        <v>2343</v>
      </c>
      <c r="AJ2346" s="75"/>
    </row>
    <row r="2347" spans="35:36" x14ac:dyDescent="0.35">
      <c r="AI2347" s="75">
        <v>2344</v>
      </c>
      <c r="AJ2347" s="75"/>
    </row>
    <row r="2348" spans="35:36" x14ac:dyDescent="0.35">
      <c r="AI2348" s="75">
        <v>2345</v>
      </c>
      <c r="AJ2348" s="75"/>
    </row>
    <row r="2349" spans="35:36" x14ac:dyDescent="0.35">
      <c r="AI2349" s="75">
        <v>2346</v>
      </c>
      <c r="AJ2349" s="75"/>
    </row>
    <row r="2350" spans="35:36" x14ac:dyDescent="0.35">
      <c r="AI2350" s="75">
        <v>2347</v>
      </c>
      <c r="AJ2350" s="75"/>
    </row>
    <row r="2351" spans="35:36" x14ac:dyDescent="0.35">
      <c r="AI2351" s="75">
        <v>2348</v>
      </c>
      <c r="AJ2351" s="75"/>
    </row>
    <row r="2352" spans="35:36" x14ac:dyDescent="0.35">
      <c r="AI2352" s="75">
        <v>2349</v>
      </c>
      <c r="AJ2352" s="75"/>
    </row>
    <row r="2353" spans="35:36" x14ac:dyDescent="0.35">
      <c r="AI2353" s="75">
        <v>2350</v>
      </c>
      <c r="AJ2353" s="75"/>
    </row>
    <row r="2354" spans="35:36" x14ac:dyDescent="0.35">
      <c r="AI2354" s="75">
        <v>2351</v>
      </c>
      <c r="AJ2354" s="75"/>
    </row>
    <row r="2355" spans="35:36" x14ac:dyDescent="0.35">
      <c r="AI2355" s="75">
        <v>2352</v>
      </c>
      <c r="AJ2355" s="75"/>
    </row>
    <row r="2356" spans="35:36" x14ac:dyDescent="0.35">
      <c r="AI2356" s="75">
        <v>2353</v>
      </c>
      <c r="AJ2356" s="75"/>
    </row>
    <row r="2357" spans="35:36" x14ac:dyDescent="0.35">
      <c r="AI2357" s="75">
        <v>2354</v>
      </c>
      <c r="AJ2357" s="75"/>
    </row>
    <row r="2358" spans="35:36" x14ac:dyDescent="0.35">
      <c r="AI2358" s="75">
        <v>2355</v>
      </c>
      <c r="AJ2358" s="75"/>
    </row>
    <row r="2359" spans="35:36" x14ac:dyDescent="0.35">
      <c r="AI2359" s="75">
        <v>2356</v>
      </c>
      <c r="AJ2359" s="75"/>
    </row>
    <row r="2360" spans="35:36" x14ac:dyDescent="0.35">
      <c r="AI2360" s="75">
        <v>2357</v>
      </c>
      <c r="AJ2360" s="75"/>
    </row>
    <row r="2361" spans="35:36" x14ac:dyDescent="0.35">
      <c r="AI2361" s="75">
        <v>2358</v>
      </c>
      <c r="AJ2361" s="75"/>
    </row>
    <row r="2362" spans="35:36" x14ac:dyDescent="0.35">
      <c r="AI2362" s="75">
        <v>2359</v>
      </c>
      <c r="AJ2362" s="75"/>
    </row>
    <row r="2363" spans="35:36" x14ac:dyDescent="0.35">
      <c r="AI2363" s="75">
        <v>2360</v>
      </c>
      <c r="AJ2363" s="75"/>
    </row>
    <row r="2364" spans="35:36" x14ac:dyDescent="0.35">
      <c r="AI2364" s="75">
        <v>2361</v>
      </c>
      <c r="AJ2364" s="75"/>
    </row>
    <row r="2365" spans="35:36" x14ac:dyDescent="0.35">
      <c r="AI2365" s="75">
        <v>2362</v>
      </c>
      <c r="AJ2365" s="75"/>
    </row>
    <row r="2366" spans="35:36" x14ac:dyDescent="0.35">
      <c r="AI2366" s="75">
        <v>2363</v>
      </c>
      <c r="AJ2366" s="75"/>
    </row>
    <row r="2367" spans="35:36" x14ac:dyDescent="0.35">
      <c r="AI2367" s="75">
        <v>2364</v>
      </c>
      <c r="AJ2367" s="75"/>
    </row>
    <row r="2368" spans="35:36" x14ac:dyDescent="0.35">
      <c r="AI2368" s="75">
        <v>2365</v>
      </c>
      <c r="AJ2368" s="75"/>
    </row>
    <row r="2369" spans="35:36" x14ac:dyDescent="0.35">
      <c r="AI2369" s="75">
        <v>2366</v>
      </c>
      <c r="AJ2369" s="75"/>
    </row>
    <row r="2370" spans="35:36" x14ac:dyDescent="0.35">
      <c r="AI2370" s="75">
        <v>2367</v>
      </c>
      <c r="AJ2370" s="75"/>
    </row>
    <row r="2371" spans="35:36" x14ac:dyDescent="0.35">
      <c r="AI2371" s="75">
        <v>2368</v>
      </c>
      <c r="AJ2371" s="75"/>
    </row>
    <row r="2372" spans="35:36" x14ac:dyDescent="0.35">
      <c r="AI2372" s="75">
        <v>2369</v>
      </c>
      <c r="AJ2372" s="75"/>
    </row>
    <row r="2373" spans="35:36" x14ac:dyDescent="0.35">
      <c r="AI2373" s="75">
        <v>2370</v>
      </c>
      <c r="AJ2373" s="75"/>
    </row>
    <row r="2374" spans="35:36" x14ac:dyDescent="0.35">
      <c r="AI2374" s="75">
        <v>2371</v>
      </c>
      <c r="AJ2374" s="75"/>
    </row>
    <row r="2375" spans="35:36" x14ac:dyDescent="0.35">
      <c r="AI2375" s="75">
        <v>2372</v>
      </c>
      <c r="AJ2375" s="75"/>
    </row>
    <row r="2376" spans="35:36" x14ac:dyDescent="0.35">
      <c r="AI2376" s="75">
        <v>2373</v>
      </c>
      <c r="AJ2376" s="75"/>
    </row>
    <row r="2377" spans="35:36" x14ac:dyDescent="0.35">
      <c r="AI2377" s="75">
        <v>2374</v>
      </c>
      <c r="AJ2377" s="75"/>
    </row>
    <row r="2378" spans="35:36" x14ac:dyDescent="0.35">
      <c r="AI2378" s="75">
        <v>2375</v>
      </c>
      <c r="AJ2378" s="75"/>
    </row>
    <row r="2379" spans="35:36" x14ac:dyDescent="0.35">
      <c r="AI2379" s="75">
        <v>2376</v>
      </c>
      <c r="AJ2379" s="75"/>
    </row>
    <row r="2380" spans="35:36" x14ac:dyDescent="0.35">
      <c r="AI2380" s="75">
        <v>2377</v>
      </c>
      <c r="AJ2380" s="75"/>
    </row>
    <row r="2381" spans="35:36" x14ac:dyDescent="0.35">
      <c r="AI2381" s="75">
        <v>2378</v>
      </c>
      <c r="AJ2381" s="75">
        <v>8</v>
      </c>
    </row>
    <row r="2382" spans="35:36" x14ac:dyDescent="0.35">
      <c r="AI2382" s="75">
        <v>2379</v>
      </c>
      <c r="AJ2382" s="75">
        <v>8</v>
      </c>
    </row>
    <row r="2383" spans="35:36" x14ac:dyDescent="0.35">
      <c r="AI2383" s="75">
        <v>2380</v>
      </c>
      <c r="AJ2383" s="75">
        <v>8</v>
      </c>
    </row>
    <row r="2384" spans="35:36" x14ac:dyDescent="0.35">
      <c r="AI2384" s="75">
        <v>2381</v>
      </c>
      <c r="AJ2384" s="75">
        <v>8</v>
      </c>
    </row>
    <row r="2385" spans="35:36" x14ac:dyDescent="0.35">
      <c r="AI2385" s="75">
        <v>2382</v>
      </c>
      <c r="AJ2385" s="75">
        <v>8</v>
      </c>
    </row>
    <row r="2386" spans="35:36" x14ac:dyDescent="0.35">
      <c r="AI2386" s="75">
        <v>2383</v>
      </c>
      <c r="AJ2386" s="75">
        <v>8</v>
      </c>
    </row>
    <row r="2387" spans="35:36" x14ac:dyDescent="0.35">
      <c r="AI2387" s="75">
        <v>2384</v>
      </c>
      <c r="AJ2387" s="75">
        <v>8</v>
      </c>
    </row>
    <row r="2388" spans="35:36" x14ac:dyDescent="0.35">
      <c r="AI2388" s="75">
        <v>2385</v>
      </c>
      <c r="AJ2388" s="75">
        <v>8</v>
      </c>
    </row>
    <row r="2389" spans="35:36" x14ac:dyDescent="0.35">
      <c r="AI2389" s="75">
        <v>2386</v>
      </c>
      <c r="AJ2389" s="75">
        <v>8</v>
      </c>
    </row>
    <row r="2390" spans="35:36" x14ac:dyDescent="0.35">
      <c r="AI2390" s="75">
        <v>2387</v>
      </c>
      <c r="AJ2390" s="75">
        <v>8</v>
      </c>
    </row>
    <row r="2391" spans="35:36" x14ac:dyDescent="0.35">
      <c r="AI2391" s="75">
        <v>2388</v>
      </c>
      <c r="AJ2391" s="75">
        <v>8</v>
      </c>
    </row>
    <row r="2392" spans="35:36" x14ac:dyDescent="0.35">
      <c r="AI2392" s="75">
        <v>2389</v>
      </c>
      <c r="AJ2392" s="75">
        <v>8</v>
      </c>
    </row>
    <row r="2393" spans="35:36" x14ac:dyDescent="0.35">
      <c r="AI2393" s="75">
        <v>2390</v>
      </c>
      <c r="AJ2393" s="75">
        <v>8</v>
      </c>
    </row>
    <row r="2394" spans="35:36" x14ac:dyDescent="0.35">
      <c r="AI2394" s="75">
        <v>2391</v>
      </c>
      <c r="AJ2394" s="75">
        <v>8</v>
      </c>
    </row>
    <row r="2395" spans="35:36" x14ac:dyDescent="0.35">
      <c r="AI2395" s="75">
        <v>2392</v>
      </c>
      <c r="AJ2395" s="75">
        <v>8</v>
      </c>
    </row>
    <row r="2396" spans="35:36" x14ac:dyDescent="0.35">
      <c r="AI2396" s="75">
        <v>2393</v>
      </c>
      <c r="AJ2396" s="75">
        <v>8</v>
      </c>
    </row>
    <row r="2397" spans="35:36" x14ac:dyDescent="0.35">
      <c r="AI2397" s="75">
        <v>2394</v>
      </c>
      <c r="AJ2397" s="75">
        <v>8</v>
      </c>
    </row>
    <row r="2398" spans="35:36" x14ac:dyDescent="0.35">
      <c r="AI2398" s="75">
        <v>2395</v>
      </c>
      <c r="AJ2398" s="75">
        <v>8</v>
      </c>
    </row>
    <row r="2399" spans="35:36" x14ac:dyDescent="0.35">
      <c r="AI2399" s="75">
        <v>2396</v>
      </c>
      <c r="AJ2399" s="75">
        <v>8</v>
      </c>
    </row>
    <row r="2400" spans="35:36" x14ac:dyDescent="0.35">
      <c r="AI2400" s="75">
        <v>2397</v>
      </c>
      <c r="AJ2400" s="75">
        <v>8</v>
      </c>
    </row>
    <row r="2401" spans="35:36" x14ac:dyDescent="0.35">
      <c r="AI2401" s="75">
        <v>2398</v>
      </c>
      <c r="AJ2401" s="75">
        <v>8</v>
      </c>
    </row>
    <row r="2402" spans="35:36" x14ac:dyDescent="0.35">
      <c r="AI2402" s="75">
        <v>2399</v>
      </c>
      <c r="AJ2402" s="75">
        <v>8</v>
      </c>
    </row>
    <row r="2403" spans="35:36" x14ac:dyDescent="0.35">
      <c r="AI2403" s="75">
        <v>2400</v>
      </c>
      <c r="AJ2403" s="75">
        <v>8</v>
      </c>
    </row>
    <row r="2404" spans="35:36" x14ac:dyDescent="0.35">
      <c r="AI2404" s="75">
        <v>2401</v>
      </c>
      <c r="AJ2404" s="75">
        <v>8</v>
      </c>
    </row>
    <row r="2405" spans="35:36" x14ac:dyDescent="0.35">
      <c r="AI2405" s="75">
        <v>2402</v>
      </c>
      <c r="AJ2405" s="75">
        <v>8</v>
      </c>
    </row>
    <row r="2406" spans="35:36" x14ac:dyDescent="0.35">
      <c r="AI2406" s="75">
        <v>2403</v>
      </c>
      <c r="AJ2406" s="75">
        <v>8</v>
      </c>
    </row>
    <row r="2407" spans="35:36" x14ac:dyDescent="0.35">
      <c r="AI2407" s="75">
        <v>2404</v>
      </c>
      <c r="AJ2407" s="75">
        <v>8</v>
      </c>
    </row>
    <row r="2408" spans="35:36" x14ac:dyDescent="0.35">
      <c r="AI2408" s="75">
        <v>2405</v>
      </c>
      <c r="AJ2408" s="75">
        <v>8</v>
      </c>
    </row>
    <row r="2409" spans="35:36" x14ac:dyDescent="0.35">
      <c r="AI2409" s="75">
        <v>2406</v>
      </c>
      <c r="AJ2409" s="75">
        <v>8</v>
      </c>
    </row>
    <row r="2410" spans="35:36" x14ac:dyDescent="0.35">
      <c r="AI2410" s="75">
        <v>2407</v>
      </c>
      <c r="AJ2410" s="75">
        <v>8</v>
      </c>
    </row>
    <row r="2411" spans="35:36" x14ac:dyDescent="0.35">
      <c r="AI2411" s="75">
        <v>2408</v>
      </c>
      <c r="AJ2411" s="75">
        <v>8</v>
      </c>
    </row>
    <row r="2412" spans="35:36" x14ac:dyDescent="0.35">
      <c r="AI2412" s="75">
        <v>2409</v>
      </c>
      <c r="AJ2412" s="75">
        <v>8</v>
      </c>
    </row>
    <row r="2413" spans="35:36" x14ac:dyDescent="0.35">
      <c r="AI2413" s="75">
        <v>2410</v>
      </c>
      <c r="AJ2413" s="75">
        <v>8</v>
      </c>
    </row>
    <row r="2414" spans="35:36" x14ac:dyDescent="0.35">
      <c r="AI2414" s="75">
        <v>2411</v>
      </c>
      <c r="AJ2414" s="75">
        <v>8</v>
      </c>
    </row>
    <row r="2415" spans="35:36" x14ac:dyDescent="0.35">
      <c r="AI2415" s="75">
        <v>2412</v>
      </c>
      <c r="AJ2415" s="75">
        <v>8</v>
      </c>
    </row>
    <row r="2416" spans="35:36" x14ac:dyDescent="0.35">
      <c r="AI2416" s="75">
        <v>2413</v>
      </c>
      <c r="AJ2416" s="75">
        <v>8</v>
      </c>
    </row>
    <row r="2417" spans="35:36" x14ac:dyDescent="0.35">
      <c r="AI2417" s="75">
        <v>2414</v>
      </c>
      <c r="AJ2417" s="75">
        <v>8</v>
      </c>
    </row>
    <row r="2418" spans="35:36" x14ac:dyDescent="0.35">
      <c r="AI2418" s="75">
        <v>2415</v>
      </c>
      <c r="AJ2418" s="75">
        <v>8</v>
      </c>
    </row>
    <row r="2419" spans="35:36" x14ac:dyDescent="0.35">
      <c r="AI2419" s="75">
        <v>2416</v>
      </c>
      <c r="AJ2419" s="75">
        <v>8</v>
      </c>
    </row>
    <row r="2420" spans="35:36" x14ac:dyDescent="0.35">
      <c r="AI2420" s="75">
        <v>2417</v>
      </c>
      <c r="AJ2420" s="75">
        <v>8</v>
      </c>
    </row>
    <row r="2421" spans="35:36" x14ac:dyDescent="0.35">
      <c r="AI2421" s="75">
        <v>2418</v>
      </c>
      <c r="AJ2421" s="75">
        <v>8</v>
      </c>
    </row>
    <row r="2422" spans="35:36" x14ac:dyDescent="0.35">
      <c r="AI2422" s="75">
        <v>2419</v>
      </c>
      <c r="AJ2422" s="75">
        <v>8</v>
      </c>
    </row>
    <row r="2423" spans="35:36" x14ac:dyDescent="0.35">
      <c r="AI2423" s="75">
        <v>2420</v>
      </c>
      <c r="AJ2423" s="75">
        <v>8</v>
      </c>
    </row>
    <row r="2424" spans="35:36" x14ac:dyDescent="0.35">
      <c r="AI2424" s="75">
        <v>2421</v>
      </c>
      <c r="AJ2424" s="75">
        <v>8</v>
      </c>
    </row>
    <row r="2425" spans="35:36" x14ac:dyDescent="0.35">
      <c r="AI2425" s="75">
        <v>2422</v>
      </c>
      <c r="AJ2425" s="75">
        <v>8</v>
      </c>
    </row>
    <row r="2426" spans="35:36" x14ac:dyDescent="0.35">
      <c r="AI2426" s="75">
        <v>2423</v>
      </c>
      <c r="AJ2426" s="75">
        <v>8</v>
      </c>
    </row>
    <row r="2427" spans="35:36" x14ac:dyDescent="0.35">
      <c r="AI2427" s="75">
        <v>2424</v>
      </c>
      <c r="AJ2427" s="75">
        <v>8</v>
      </c>
    </row>
    <row r="2428" spans="35:36" x14ac:dyDescent="0.35">
      <c r="AI2428" s="75">
        <v>2425</v>
      </c>
      <c r="AJ2428" s="75">
        <v>8</v>
      </c>
    </row>
    <row r="2429" spans="35:36" x14ac:dyDescent="0.35">
      <c r="AI2429" s="75">
        <v>2426</v>
      </c>
      <c r="AJ2429" s="75">
        <v>8</v>
      </c>
    </row>
    <row r="2430" spans="35:36" x14ac:dyDescent="0.35">
      <c r="AI2430" s="75">
        <v>2427</v>
      </c>
      <c r="AJ2430" s="75">
        <v>8</v>
      </c>
    </row>
    <row r="2431" spans="35:36" x14ac:dyDescent="0.35">
      <c r="AI2431" s="75">
        <v>2428</v>
      </c>
      <c r="AJ2431" s="75">
        <v>8</v>
      </c>
    </row>
    <row r="2432" spans="35:36" x14ac:dyDescent="0.35">
      <c r="AI2432" s="75">
        <v>2429</v>
      </c>
      <c r="AJ2432" s="75">
        <v>8</v>
      </c>
    </row>
    <row r="2433" spans="35:36" x14ac:dyDescent="0.35">
      <c r="AI2433" s="75">
        <v>2430</v>
      </c>
      <c r="AJ2433" s="75">
        <v>8</v>
      </c>
    </row>
    <row r="2434" spans="35:36" x14ac:dyDescent="0.35">
      <c r="AI2434" s="75">
        <v>2431</v>
      </c>
      <c r="AJ2434" s="75">
        <v>8</v>
      </c>
    </row>
    <row r="2435" spans="35:36" x14ac:dyDescent="0.35">
      <c r="AI2435" s="75">
        <v>2432</v>
      </c>
      <c r="AJ2435" s="75">
        <v>8</v>
      </c>
    </row>
    <row r="2436" spans="35:36" x14ac:dyDescent="0.35">
      <c r="AI2436" s="75">
        <v>2433</v>
      </c>
      <c r="AJ2436" s="75">
        <v>8</v>
      </c>
    </row>
    <row r="2437" spans="35:36" x14ac:dyDescent="0.35">
      <c r="AI2437" s="75">
        <v>2434</v>
      </c>
      <c r="AJ2437" s="75">
        <v>8</v>
      </c>
    </row>
    <row r="2438" spans="35:36" x14ac:dyDescent="0.35">
      <c r="AI2438" s="75">
        <v>2435</v>
      </c>
      <c r="AJ2438" s="75">
        <v>8</v>
      </c>
    </row>
    <row r="2439" spans="35:36" x14ac:dyDescent="0.35">
      <c r="AI2439" s="75">
        <v>2436</v>
      </c>
      <c r="AJ2439" s="75">
        <v>8</v>
      </c>
    </row>
    <row r="2440" spans="35:36" x14ac:dyDescent="0.35">
      <c r="AI2440" s="75">
        <v>2437</v>
      </c>
      <c r="AJ2440" s="75">
        <v>8</v>
      </c>
    </row>
    <row r="2441" spans="35:36" x14ac:dyDescent="0.35">
      <c r="AI2441" s="75">
        <v>2438</v>
      </c>
      <c r="AJ2441" s="75">
        <v>8</v>
      </c>
    </row>
    <row r="2442" spans="35:36" x14ac:dyDescent="0.35">
      <c r="AI2442" s="75">
        <v>2439</v>
      </c>
      <c r="AJ2442" s="75">
        <v>8</v>
      </c>
    </row>
    <row r="2443" spans="35:36" x14ac:dyDescent="0.35">
      <c r="AI2443" s="75">
        <v>2440</v>
      </c>
      <c r="AJ2443" s="75">
        <v>8</v>
      </c>
    </row>
    <row r="2444" spans="35:36" x14ac:dyDescent="0.35">
      <c r="AI2444" s="75">
        <v>2441</v>
      </c>
      <c r="AJ2444" s="75">
        <v>8</v>
      </c>
    </row>
    <row r="2445" spans="35:36" x14ac:dyDescent="0.35">
      <c r="AI2445" s="75">
        <v>2442</v>
      </c>
      <c r="AJ2445" s="75">
        <v>8</v>
      </c>
    </row>
    <row r="2446" spans="35:36" x14ac:dyDescent="0.35">
      <c r="AI2446" s="75">
        <v>2443</v>
      </c>
      <c r="AJ2446" s="75">
        <v>8</v>
      </c>
    </row>
    <row r="2447" spans="35:36" x14ac:dyDescent="0.35">
      <c r="AI2447" s="75">
        <v>2444</v>
      </c>
      <c r="AJ2447" s="75">
        <v>8</v>
      </c>
    </row>
    <row r="2448" spans="35:36" x14ac:dyDescent="0.35">
      <c r="AI2448" s="75">
        <v>2445</v>
      </c>
      <c r="AJ2448" s="75">
        <v>8</v>
      </c>
    </row>
    <row r="2449" spans="35:36" x14ac:dyDescent="0.35">
      <c r="AI2449" s="75">
        <v>2446</v>
      </c>
      <c r="AJ2449" s="75">
        <v>8</v>
      </c>
    </row>
    <row r="2450" spans="35:36" x14ac:dyDescent="0.35">
      <c r="AI2450" s="75">
        <v>2447</v>
      </c>
      <c r="AJ2450" s="75">
        <v>8</v>
      </c>
    </row>
    <row r="2451" spans="35:36" x14ac:dyDescent="0.35">
      <c r="AI2451" s="75">
        <v>2448</v>
      </c>
      <c r="AJ2451" s="75">
        <v>8</v>
      </c>
    </row>
    <row r="2452" spans="35:36" x14ac:dyDescent="0.35">
      <c r="AI2452" s="75">
        <v>2449</v>
      </c>
      <c r="AJ2452" s="75">
        <v>8</v>
      </c>
    </row>
    <row r="2453" spans="35:36" x14ac:dyDescent="0.35">
      <c r="AI2453" s="75">
        <v>2450</v>
      </c>
      <c r="AJ2453" s="75">
        <v>8</v>
      </c>
    </row>
    <row r="2454" spans="35:36" x14ac:dyDescent="0.35">
      <c r="AI2454" s="75">
        <v>2451</v>
      </c>
      <c r="AJ2454" s="75">
        <v>8</v>
      </c>
    </row>
    <row r="2455" spans="35:36" x14ac:dyDescent="0.35">
      <c r="AI2455" s="75">
        <v>2452</v>
      </c>
      <c r="AJ2455" s="75">
        <v>8</v>
      </c>
    </row>
    <row r="2456" spans="35:36" x14ac:dyDescent="0.35">
      <c r="AI2456" s="75">
        <v>2453</v>
      </c>
      <c r="AJ2456" s="75">
        <v>8</v>
      </c>
    </row>
    <row r="2457" spans="35:36" x14ac:dyDescent="0.35">
      <c r="AI2457" s="75">
        <v>2454</v>
      </c>
      <c r="AJ2457" s="75">
        <v>8</v>
      </c>
    </row>
    <row r="2458" spans="35:36" x14ac:dyDescent="0.35">
      <c r="AI2458" s="75">
        <v>2455</v>
      </c>
      <c r="AJ2458" s="75">
        <v>8</v>
      </c>
    </row>
    <row r="2459" spans="35:36" x14ac:dyDescent="0.35">
      <c r="AI2459" s="75">
        <v>2456</v>
      </c>
      <c r="AJ2459" s="75">
        <v>8</v>
      </c>
    </row>
    <row r="2460" spans="35:36" x14ac:dyDescent="0.35">
      <c r="AI2460" s="75">
        <v>2457</v>
      </c>
      <c r="AJ2460" s="75">
        <v>8</v>
      </c>
    </row>
    <row r="2461" spans="35:36" x14ac:dyDescent="0.35">
      <c r="AI2461" s="75">
        <v>2458</v>
      </c>
      <c r="AJ2461" s="75">
        <v>8</v>
      </c>
    </row>
    <row r="2462" spans="35:36" x14ac:dyDescent="0.35">
      <c r="AI2462" s="75">
        <v>2459</v>
      </c>
      <c r="AJ2462" s="75">
        <v>8</v>
      </c>
    </row>
    <row r="2463" spans="35:36" x14ac:dyDescent="0.35">
      <c r="AI2463" s="75">
        <v>2460</v>
      </c>
      <c r="AJ2463" s="75">
        <v>8</v>
      </c>
    </row>
    <row r="2464" spans="35:36" x14ac:dyDescent="0.35">
      <c r="AI2464" s="75">
        <v>2461</v>
      </c>
      <c r="AJ2464" s="75">
        <v>8</v>
      </c>
    </row>
    <row r="2465" spans="35:36" x14ac:dyDescent="0.35">
      <c r="AI2465" s="75">
        <v>2462</v>
      </c>
      <c r="AJ2465" s="75">
        <v>8</v>
      </c>
    </row>
    <row r="2466" spans="35:36" x14ac:dyDescent="0.35">
      <c r="AI2466" s="75">
        <v>2463</v>
      </c>
      <c r="AJ2466" s="75">
        <v>8</v>
      </c>
    </row>
    <row r="2467" spans="35:36" x14ac:dyDescent="0.35">
      <c r="AI2467" s="75">
        <v>2464</v>
      </c>
      <c r="AJ2467" s="75">
        <v>8</v>
      </c>
    </row>
    <row r="2468" spans="35:36" x14ac:dyDescent="0.35">
      <c r="AI2468" s="75">
        <v>2465</v>
      </c>
      <c r="AJ2468" s="75">
        <v>8</v>
      </c>
    </row>
    <row r="2469" spans="35:36" x14ac:dyDescent="0.35">
      <c r="AI2469" s="75">
        <v>2466</v>
      </c>
      <c r="AJ2469" s="75">
        <v>8</v>
      </c>
    </row>
    <row r="2470" spans="35:36" x14ac:dyDescent="0.35">
      <c r="AI2470" s="75">
        <v>2467</v>
      </c>
      <c r="AJ2470" s="75">
        <v>8</v>
      </c>
    </row>
    <row r="2471" spans="35:36" x14ac:dyDescent="0.35">
      <c r="AI2471" s="75">
        <v>2468</v>
      </c>
      <c r="AJ2471" s="75">
        <v>8</v>
      </c>
    </row>
    <row r="2472" spans="35:36" x14ac:dyDescent="0.35">
      <c r="AI2472" s="75">
        <v>2469</v>
      </c>
      <c r="AJ2472" s="75">
        <v>8</v>
      </c>
    </row>
    <row r="2473" spans="35:36" x14ac:dyDescent="0.35">
      <c r="AI2473" s="75">
        <v>2470</v>
      </c>
      <c r="AJ2473" s="75">
        <v>8</v>
      </c>
    </row>
    <row r="2474" spans="35:36" x14ac:dyDescent="0.35">
      <c r="AI2474" s="75">
        <v>2471</v>
      </c>
      <c r="AJ2474" s="75">
        <v>8</v>
      </c>
    </row>
    <row r="2475" spans="35:36" x14ac:dyDescent="0.35">
      <c r="AI2475" s="75">
        <v>2472</v>
      </c>
      <c r="AJ2475" s="75">
        <v>8</v>
      </c>
    </row>
    <row r="2476" spans="35:36" x14ac:dyDescent="0.35">
      <c r="AI2476" s="75">
        <v>2473</v>
      </c>
      <c r="AJ2476" s="75">
        <v>8</v>
      </c>
    </row>
    <row r="2477" spans="35:36" x14ac:dyDescent="0.35">
      <c r="AI2477" s="75">
        <v>2474</v>
      </c>
      <c r="AJ2477" s="75">
        <v>8</v>
      </c>
    </row>
    <row r="2478" spans="35:36" x14ac:dyDescent="0.35">
      <c r="AI2478" s="75">
        <v>2475</v>
      </c>
      <c r="AJ2478" s="75">
        <v>8</v>
      </c>
    </row>
    <row r="2479" spans="35:36" x14ac:dyDescent="0.35">
      <c r="AI2479" s="75">
        <v>2476</v>
      </c>
      <c r="AJ2479" s="75">
        <v>8</v>
      </c>
    </row>
    <row r="2480" spans="35:36" x14ac:dyDescent="0.35">
      <c r="AI2480" s="75">
        <v>2477</v>
      </c>
      <c r="AJ2480" s="75">
        <v>8</v>
      </c>
    </row>
    <row r="2481" spans="35:36" x14ac:dyDescent="0.35">
      <c r="AI2481" s="75">
        <v>2478</v>
      </c>
      <c r="AJ2481" s="75">
        <v>8</v>
      </c>
    </row>
    <row r="2482" spans="35:36" x14ac:dyDescent="0.35">
      <c r="AI2482" s="75">
        <v>2479</v>
      </c>
      <c r="AJ2482" s="75">
        <v>8</v>
      </c>
    </row>
    <row r="2483" spans="35:36" x14ac:dyDescent="0.35">
      <c r="AI2483" s="75">
        <v>2480</v>
      </c>
      <c r="AJ2483" s="75">
        <v>8</v>
      </c>
    </row>
    <row r="2484" spans="35:36" x14ac:dyDescent="0.35">
      <c r="AI2484" s="75">
        <v>2481</v>
      </c>
      <c r="AJ2484" s="75">
        <v>8</v>
      </c>
    </row>
    <row r="2485" spans="35:36" x14ac:dyDescent="0.35">
      <c r="AI2485" s="75">
        <v>2482</v>
      </c>
      <c r="AJ2485" s="75">
        <v>8</v>
      </c>
    </row>
    <row r="2486" spans="35:36" x14ac:dyDescent="0.35">
      <c r="AI2486" s="75">
        <v>2483</v>
      </c>
      <c r="AJ2486" s="75">
        <v>8</v>
      </c>
    </row>
    <row r="2487" spans="35:36" x14ac:dyDescent="0.35">
      <c r="AI2487" s="75">
        <v>2484</v>
      </c>
      <c r="AJ2487" s="75">
        <v>8</v>
      </c>
    </row>
    <row r="2488" spans="35:36" x14ac:dyDescent="0.35">
      <c r="AI2488" s="75">
        <v>2485</v>
      </c>
      <c r="AJ2488" s="75">
        <v>8</v>
      </c>
    </row>
    <row r="2489" spans="35:36" x14ac:dyDescent="0.35">
      <c r="AI2489" s="75">
        <v>2486</v>
      </c>
      <c r="AJ2489" s="75">
        <v>8</v>
      </c>
    </row>
    <row r="2490" spans="35:36" x14ac:dyDescent="0.35">
      <c r="AI2490" s="75">
        <v>2487</v>
      </c>
      <c r="AJ2490" s="75">
        <v>8</v>
      </c>
    </row>
    <row r="2491" spans="35:36" x14ac:dyDescent="0.35">
      <c r="AI2491" s="75">
        <v>2488</v>
      </c>
      <c r="AJ2491" s="75">
        <v>8</v>
      </c>
    </row>
    <row r="2492" spans="35:36" x14ac:dyDescent="0.35">
      <c r="AI2492" s="75">
        <v>2489</v>
      </c>
      <c r="AJ2492" s="75">
        <v>8</v>
      </c>
    </row>
    <row r="2493" spans="35:36" x14ac:dyDescent="0.35">
      <c r="AI2493" s="75">
        <v>2490</v>
      </c>
      <c r="AJ2493" s="75">
        <v>8</v>
      </c>
    </row>
    <row r="2494" spans="35:36" x14ac:dyDescent="0.35">
      <c r="AI2494" s="75">
        <v>2491</v>
      </c>
      <c r="AJ2494" s="75">
        <v>8</v>
      </c>
    </row>
    <row r="2495" spans="35:36" x14ac:dyDescent="0.35">
      <c r="AI2495" s="75">
        <v>2492</v>
      </c>
      <c r="AJ2495" s="75">
        <v>8</v>
      </c>
    </row>
    <row r="2496" spans="35:36" x14ac:dyDescent="0.35">
      <c r="AI2496" s="75">
        <v>2493</v>
      </c>
      <c r="AJ2496" s="75">
        <v>8</v>
      </c>
    </row>
    <row r="2497" spans="35:36" x14ac:dyDescent="0.35">
      <c r="AI2497" s="75">
        <v>2494</v>
      </c>
      <c r="AJ2497" s="75">
        <v>8</v>
      </c>
    </row>
    <row r="2498" spans="35:36" x14ac:dyDescent="0.35">
      <c r="AI2498" s="75">
        <v>2495</v>
      </c>
      <c r="AJ2498" s="75">
        <v>8</v>
      </c>
    </row>
    <row r="2499" spans="35:36" x14ac:dyDescent="0.35">
      <c r="AI2499" s="75">
        <v>2496</v>
      </c>
      <c r="AJ2499" s="75">
        <v>8</v>
      </c>
    </row>
    <row r="2500" spans="35:36" x14ac:dyDescent="0.35">
      <c r="AI2500" s="75">
        <v>2497</v>
      </c>
      <c r="AJ2500" s="75">
        <v>8</v>
      </c>
    </row>
    <row r="2501" spans="35:36" x14ac:dyDescent="0.35">
      <c r="AI2501" s="75">
        <v>2498</v>
      </c>
      <c r="AJ2501" s="75">
        <v>8</v>
      </c>
    </row>
    <row r="2502" spans="35:36" x14ac:dyDescent="0.35">
      <c r="AI2502" s="75">
        <v>2499</v>
      </c>
      <c r="AJ2502" s="75">
        <v>8</v>
      </c>
    </row>
    <row r="2503" spans="35:36" x14ac:dyDescent="0.35">
      <c r="AI2503" s="75">
        <v>2500</v>
      </c>
      <c r="AJ2503" s="75">
        <v>8</v>
      </c>
    </row>
    <row r="2504" spans="35:36" x14ac:dyDescent="0.35">
      <c r="AI2504" s="75">
        <v>2501</v>
      </c>
      <c r="AJ2504" s="75">
        <v>8</v>
      </c>
    </row>
    <row r="2505" spans="35:36" x14ac:dyDescent="0.35">
      <c r="AI2505" s="75">
        <v>2502</v>
      </c>
      <c r="AJ2505" s="75">
        <v>8</v>
      </c>
    </row>
    <row r="2506" spans="35:36" x14ac:dyDescent="0.35">
      <c r="AI2506" s="75">
        <v>2503</v>
      </c>
      <c r="AJ2506" s="75">
        <v>8</v>
      </c>
    </row>
    <row r="2507" spans="35:36" x14ac:dyDescent="0.35">
      <c r="AI2507" s="75">
        <v>2504</v>
      </c>
      <c r="AJ2507" s="75">
        <v>8</v>
      </c>
    </row>
    <row r="2508" spans="35:36" x14ac:dyDescent="0.35">
      <c r="AI2508" s="75">
        <v>2505</v>
      </c>
      <c r="AJ2508" s="75">
        <v>8</v>
      </c>
    </row>
    <row r="2509" spans="35:36" x14ac:dyDescent="0.35">
      <c r="AI2509" s="75">
        <v>2506</v>
      </c>
      <c r="AJ2509" s="75">
        <v>8</v>
      </c>
    </row>
    <row r="2510" spans="35:36" x14ac:dyDescent="0.35">
      <c r="AI2510" s="75">
        <v>2507</v>
      </c>
      <c r="AJ2510" s="75">
        <v>8</v>
      </c>
    </row>
    <row r="2511" spans="35:36" x14ac:dyDescent="0.35">
      <c r="AI2511" s="75">
        <v>2508</v>
      </c>
      <c r="AJ2511" s="75">
        <v>8</v>
      </c>
    </row>
    <row r="2512" spans="35:36" x14ac:dyDescent="0.35">
      <c r="AI2512" s="75">
        <v>2509</v>
      </c>
      <c r="AJ2512" s="75">
        <v>8</v>
      </c>
    </row>
    <row r="2513" spans="35:36" x14ac:dyDescent="0.35">
      <c r="AI2513" s="75">
        <v>2510</v>
      </c>
      <c r="AJ2513" s="75">
        <v>8</v>
      </c>
    </row>
    <row r="2514" spans="35:36" x14ac:dyDescent="0.35">
      <c r="AI2514" s="75">
        <v>2511</v>
      </c>
      <c r="AJ2514" s="75">
        <v>8</v>
      </c>
    </row>
    <row r="2515" spans="35:36" x14ac:dyDescent="0.35">
      <c r="AI2515" s="75">
        <v>2512</v>
      </c>
      <c r="AJ2515" s="75">
        <v>8</v>
      </c>
    </row>
    <row r="2516" spans="35:36" x14ac:dyDescent="0.35">
      <c r="AI2516" s="75">
        <v>2513</v>
      </c>
      <c r="AJ2516" s="75">
        <v>8</v>
      </c>
    </row>
    <row r="2517" spans="35:36" x14ac:dyDescent="0.35">
      <c r="AI2517" s="75">
        <v>2514</v>
      </c>
      <c r="AJ2517" s="75">
        <v>8</v>
      </c>
    </row>
    <row r="2518" spans="35:36" x14ac:dyDescent="0.35">
      <c r="AI2518" s="75">
        <v>2515</v>
      </c>
      <c r="AJ2518" s="75">
        <v>8</v>
      </c>
    </row>
    <row r="2519" spans="35:36" x14ac:dyDescent="0.35">
      <c r="AI2519" s="75">
        <v>2516</v>
      </c>
      <c r="AJ2519" s="75">
        <v>8</v>
      </c>
    </row>
    <row r="2520" spans="35:36" x14ac:dyDescent="0.35">
      <c r="AI2520" s="75">
        <v>2517</v>
      </c>
      <c r="AJ2520" s="75">
        <v>8</v>
      </c>
    </row>
    <row r="2521" spans="35:36" x14ac:dyDescent="0.35">
      <c r="AI2521" s="75">
        <v>2518</v>
      </c>
      <c r="AJ2521" s="75">
        <v>8</v>
      </c>
    </row>
    <row r="2522" spans="35:36" x14ac:dyDescent="0.35">
      <c r="AI2522" s="75">
        <v>2519</v>
      </c>
      <c r="AJ2522" s="75">
        <v>8</v>
      </c>
    </row>
    <row r="2523" spans="35:36" x14ac:dyDescent="0.35">
      <c r="AI2523" s="75">
        <v>2520</v>
      </c>
      <c r="AJ2523" s="75">
        <v>8</v>
      </c>
    </row>
    <row r="2524" spans="35:36" x14ac:dyDescent="0.35">
      <c r="AI2524" s="75">
        <v>2521</v>
      </c>
      <c r="AJ2524" s="75">
        <v>8</v>
      </c>
    </row>
    <row r="2525" spans="35:36" x14ac:dyDescent="0.35">
      <c r="AI2525" s="75">
        <v>2522</v>
      </c>
      <c r="AJ2525" s="75">
        <v>8</v>
      </c>
    </row>
    <row r="2526" spans="35:36" x14ac:dyDescent="0.35">
      <c r="AI2526" s="75">
        <v>2523</v>
      </c>
      <c r="AJ2526" s="75">
        <v>8</v>
      </c>
    </row>
    <row r="2527" spans="35:36" x14ac:dyDescent="0.35">
      <c r="AI2527" s="75">
        <v>2524</v>
      </c>
      <c r="AJ2527" s="75">
        <v>8</v>
      </c>
    </row>
    <row r="2528" spans="35:36" x14ac:dyDescent="0.35">
      <c r="AI2528" s="75">
        <v>2525</v>
      </c>
      <c r="AJ2528" s="75">
        <v>8</v>
      </c>
    </row>
    <row r="2529" spans="35:36" x14ac:dyDescent="0.35">
      <c r="AI2529" s="75">
        <v>2526</v>
      </c>
      <c r="AJ2529" s="75">
        <v>8</v>
      </c>
    </row>
    <row r="2530" spans="35:36" x14ac:dyDescent="0.35">
      <c r="AI2530" s="75">
        <v>2527</v>
      </c>
      <c r="AJ2530" s="75">
        <v>8</v>
      </c>
    </row>
    <row r="2531" spans="35:36" x14ac:dyDescent="0.35">
      <c r="AI2531" s="75">
        <v>2528</v>
      </c>
      <c r="AJ2531" s="75">
        <v>8</v>
      </c>
    </row>
    <row r="2532" spans="35:36" x14ac:dyDescent="0.35">
      <c r="AI2532" s="75">
        <v>2529</v>
      </c>
      <c r="AJ2532" s="75">
        <v>8</v>
      </c>
    </row>
    <row r="2533" spans="35:36" x14ac:dyDescent="0.35">
      <c r="AI2533" s="75">
        <v>2530</v>
      </c>
      <c r="AJ2533" s="75">
        <v>8</v>
      </c>
    </row>
    <row r="2534" spans="35:36" x14ac:dyDescent="0.35">
      <c r="AI2534" s="75">
        <v>2531</v>
      </c>
      <c r="AJ2534" s="75">
        <v>8</v>
      </c>
    </row>
    <row r="2535" spans="35:36" x14ac:dyDescent="0.35">
      <c r="AI2535" s="75">
        <v>2532</v>
      </c>
      <c r="AJ2535" s="75">
        <v>8</v>
      </c>
    </row>
    <row r="2536" spans="35:36" x14ac:dyDescent="0.35">
      <c r="AI2536" s="75">
        <v>2533</v>
      </c>
      <c r="AJ2536" s="75">
        <v>8</v>
      </c>
    </row>
    <row r="2537" spans="35:36" x14ac:dyDescent="0.35">
      <c r="AI2537" s="75">
        <v>2534</v>
      </c>
      <c r="AJ2537" s="75">
        <v>8</v>
      </c>
    </row>
    <row r="2538" spans="35:36" x14ac:dyDescent="0.35">
      <c r="AI2538" s="75">
        <v>2535</v>
      </c>
      <c r="AJ2538" s="75">
        <v>8</v>
      </c>
    </row>
    <row r="2539" spans="35:36" x14ac:dyDescent="0.35">
      <c r="AI2539" s="75">
        <v>2536</v>
      </c>
      <c r="AJ2539" s="75">
        <v>8</v>
      </c>
    </row>
    <row r="2540" spans="35:36" x14ac:dyDescent="0.35">
      <c r="AI2540" s="75">
        <v>2537</v>
      </c>
      <c r="AJ2540" s="75">
        <v>8</v>
      </c>
    </row>
    <row r="2541" spans="35:36" x14ac:dyDescent="0.35">
      <c r="AI2541" s="75">
        <v>2538</v>
      </c>
      <c r="AJ2541" s="75">
        <v>8</v>
      </c>
    </row>
    <row r="2542" spans="35:36" x14ac:dyDescent="0.35">
      <c r="AI2542" s="75">
        <v>2539</v>
      </c>
      <c r="AJ2542" s="75">
        <v>8</v>
      </c>
    </row>
    <row r="2543" spans="35:36" x14ac:dyDescent="0.35">
      <c r="AI2543" s="75">
        <v>2540</v>
      </c>
      <c r="AJ2543" s="75">
        <v>8</v>
      </c>
    </row>
    <row r="2544" spans="35:36" x14ac:dyDescent="0.35">
      <c r="AI2544" s="75">
        <v>2541</v>
      </c>
      <c r="AJ2544" s="75">
        <v>8</v>
      </c>
    </row>
    <row r="2545" spans="35:36" x14ac:dyDescent="0.35">
      <c r="AI2545" s="75">
        <v>2542</v>
      </c>
      <c r="AJ2545" s="75">
        <v>8</v>
      </c>
    </row>
    <row r="2546" spans="35:36" x14ac:dyDescent="0.35">
      <c r="AI2546" s="75">
        <v>2543</v>
      </c>
      <c r="AJ2546" s="75">
        <v>8</v>
      </c>
    </row>
    <row r="2547" spans="35:36" x14ac:dyDescent="0.35">
      <c r="AI2547" s="75">
        <v>2544</v>
      </c>
      <c r="AJ2547" s="75">
        <v>8</v>
      </c>
    </row>
    <row r="2548" spans="35:36" x14ac:dyDescent="0.35">
      <c r="AI2548" s="75">
        <v>2545</v>
      </c>
      <c r="AJ2548" s="75">
        <v>8</v>
      </c>
    </row>
    <row r="2549" spans="35:36" x14ac:dyDescent="0.35">
      <c r="AI2549" s="75">
        <v>2546</v>
      </c>
      <c r="AJ2549" s="75">
        <v>8</v>
      </c>
    </row>
    <row r="2550" spans="35:36" x14ac:dyDescent="0.35">
      <c r="AI2550" s="75">
        <v>2547</v>
      </c>
      <c r="AJ2550" s="75">
        <v>8</v>
      </c>
    </row>
    <row r="2551" spans="35:36" x14ac:dyDescent="0.35">
      <c r="AI2551" s="75">
        <v>2548</v>
      </c>
      <c r="AJ2551" s="75">
        <v>8</v>
      </c>
    </row>
    <row r="2552" spans="35:36" x14ac:dyDescent="0.35">
      <c r="AI2552" s="75">
        <v>2549</v>
      </c>
      <c r="AJ2552" s="75">
        <v>8</v>
      </c>
    </row>
    <row r="2553" spans="35:36" x14ac:dyDescent="0.35">
      <c r="AI2553" s="75">
        <v>2550</v>
      </c>
      <c r="AJ2553" s="75">
        <v>8</v>
      </c>
    </row>
    <row r="2554" spans="35:36" x14ac:dyDescent="0.35">
      <c r="AI2554" s="75">
        <v>2551</v>
      </c>
      <c r="AJ2554" s="75">
        <v>8</v>
      </c>
    </row>
    <row r="2555" spans="35:36" x14ac:dyDescent="0.35">
      <c r="AI2555" s="75">
        <v>2552</v>
      </c>
      <c r="AJ2555" s="75">
        <v>8</v>
      </c>
    </row>
    <row r="2556" spans="35:36" x14ac:dyDescent="0.35">
      <c r="AI2556" s="75">
        <v>2553</v>
      </c>
      <c r="AJ2556" s="75">
        <v>9</v>
      </c>
    </row>
    <row r="2557" spans="35:36" x14ac:dyDescent="0.35">
      <c r="AI2557" s="75">
        <v>2554</v>
      </c>
      <c r="AJ2557" s="75">
        <v>9</v>
      </c>
    </row>
    <row r="2558" spans="35:36" x14ac:dyDescent="0.35">
      <c r="AI2558" s="75">
        <v>2555</v>
      </c>
      <c r="AJ2558" s="75">
        <v>9</v>
      </c>
    </row>
    <row r="2559" spans="35:36" x14ac:dyDescent="0.35">
      <c r="AI2559" s="75">
        <v>2556</v>
      </c>
      <c r="AJ2559" s="75">
        <v>9</v>
      </c>
    </row>
    <row r="2560" spans="35:36" x14ac:dyDescent="0.35">
      <c r="AI2560" s="75">
        <v>2557</v>
      </c>
      <c r="AJ2560" s="75">
        <v>9</v>
      </c>
    </row>
    <row r="2561" spans="35:36" x14ac:dyDescent="0.35">
      <c r="AI2561" s="75">
        <v>2558</v>
      </c>
      <c r="AJ2561" s="75">
        <v>9</v>
      </c>
    </row>
    <row r="2562" spans="35:36" x14ac:dyDescent="0.35">
      <c r="AI2562" s="75">
        <v>2559</v>
      </c>
      <c r="AJ2562" s="75">
        <v>9</v>
      </c>
    </row>
    <row r="2563" spans="35:36" x14ac:dyDescent="0.35">
      <c r="AI2563" s="75">
        <v>2560</v>
      </c>
      <c r="AJ2563" s="75">
        <v>9</v>
      </c>
    </row>
    <row r="2564" spans="35:36" x14ac:dyDescent="0.35">
      <c r="AI2564" s="75">
        <v>2561</v>
      </c>
      <c r="AJ2564" s="75">
        <v>9</v>
      </c>
    </row>
    <row r="2565" spans="35:36" x14ac:dyDescent="0.35">
      <c r="AI2565" s="75">
        <v>2562</v>
      </c>
      <c r="AJ2565" s="75">
        <v>9</v>
      </c>
    </row>
    <row r="2566" spans="35:36" x14ac:dyDescent="0.35">
      <c r="AI2566" s="75">
        <v>2563</v>
      </c>
      <c r="AJ2566" s="75">
        <v>9</v>
      </c>
    </row>
    <row r="2567" spans="35:36" x14ac:dyDescent="0.35">
      <c r="AI2567" s="75">
        <v>2564</v>
      </c>
      <c r="AJ2567" s="75">
        <v>9</v>
      </c>
    </row>
    <row r="2568" spans="35:36" x14ac:dyDescent="0.35">
      <c r="AI2568" s="75">
        <v>2565</v>
      </c>
      <c r="AJ2568" s="75">
        <v>9</v>
      </c>
    </row>
    <row r="2569" spans="35:36" x14ac:dyDescent="0.35">
      <c r="AI2569" s="75">
        <v>2566</v>
      </c>
      <c r="AJ2569" s="75">
        <v>9</v>
      </c>
    </row>
    <row r="2570" spans="35:36" x14ac:dyDescent="0.35">
      <c r="AI2570" s="75">
        <v>2567</v>
      </c>
      <c r="AJ2570" s="75">
        <v>9</v>
      </c>
    </row>
    <row r="2571" spans="35:36" x14ac:dyDescent="0.35">
      <c r="AI2571" s="75">
        <v>2568</v>
      </c>
      <c r="AJ2571" s="75">
        <v>9</v>
      </c>
    </row>
    <row r="2572" spans="35:36" x14ac:dyDescent="0.35">
      <c r="AI2572" s="75">
        <v>2569</v>
      </c>
      <c r="AJ2572" s="75">
        <v>9</v>
      </c>
    </row>
    <row r="2573" spans="35:36" x14ac:dyDescent="0.35">
      <c r="AI2573" s="75">
        <v>2570</v>
      </c>
      <c r="AJ2573" s="75">
        <v>9</v>
      </c>
    </row>
    <row r="2574" spans="35:36" x14ac:dyDescent="0.35">
      <c r="AI2574" s="75">
        <v>2571</v>
      </c>
      <c r="AJ2574" s="75">
        <v>9</v>
      </c>
    </row>
    <row r="2575" spans="35:36" x14ac:dyDescent="0.35">
      <c r="AI2575" s="75">
        <v>2572</v>
      </c>
      <c r="AJ2575" s="75">
        <v>9</v>
      </c>
    </row>
    <row r="2576" spans="35:36" x14ac:dyDescent="0.35">
      <c r="AI2576" s="75">
        <v>2573</v>
      </c>
      <c r="AJ2576" s="75">
        <v>9</v>
      </c>
    </row>
    <row r="2577" spans="35:36" x14ac:dyDescent="0.35">
      <c r="AI2577" s="75">
        <v>2574</v>
      </c>
      <c r="AJ2577" s="75">
        <v>9</v>
      </c>
    </row>
    <row r="2578" spans="35:36" x14ac:dyDescent="0.35">
      <c r="AI2578" s="75">
        <v>2575</v>
      </c>
      <c r="AJ2578" s="75">
        <v>9</v>
      </c>
    </row>
    <row r="2579" spans="35:36" x14ac:dyDescent="0.35">
      <c r="AI2579" s="75">
        <v>2576</v>
      </c>
      <c r="AJ2579" s="75">
        <v>9</v>
      </c>
    </row>
    <row r="2580" spans="35:36" x14ac:dyDescent="0.35">
      <c r="AI2580" s="75">
        <v>2577</v>
      </c>
      <c r="AJ2580" s="75">
        <v>9</v>
      </c>
    </row>
    <row r="2581" spans="35:36" x14ac:dyDescent="0.35">
      <c r="AI2581" s="75">
        <v>2578</v>
      </c>
      <c r="AJ2581" s="75">
        <v>9</v>
      </c>
    </row>
    <row r="2582" spans="35:36" x14ac:dyDescent="0.35">
      <c r="AI2582" s="75">
        <v>2579</v>
      </c>
      <c r="AJ2582" s="75">
        <v>9</v>
      </c>
    </row>
    <row r="2583" spans="35:36" x14ac:dyDescent="0.35">
      <c r="AI2583" s="75">
        <v>2580</v>
      </c>
      <c r="AJ2583" s="75">
        <v>9</v>
      </c>
    </row>
    <row r="2584" spans="35:36" x14ac:dyDescent="0.35">
      <c r="AI2584" s="75">
        <v>2581</v>
      </c>
      <c r="AJ2584" s="75">
        <v>9</v>
      </c>
    </row>
    <row r="2585" spans="35:36" x14ac:dyDescent="0.35">
      <c r="AI2585" s="75">
        <v>2582</v>
      </c>
      <c r="AJ2585" s="75">
        <v>9</v>
      </c>
    </row>
    <row r="2586" spans="35:36" x14ac:dyDescent="0.35">
      <c r="AI2586" s="75">
        <v>2583</v>
      </c>
      <c r="AJ2586" s="75">
        <v>9</v>
      </c>
    </row>
    <row r="2587" spans="35:36" x14ac:dyDescent="0.35">
      <c r="AI2587" s="75">
        <v>2584</v>
      </c>
      <c r="AJ2587" s="75">
        <v>9</v>
      </c>
    </row>
    <row r="2588" spans="35:36" x14ac:dyDescent="0.35">
      <c r="AI2588" s="75">
        <v>2585</v>
      </c>
      <c r="AJ2588" s="75">
        <v>9</v>
      </c>
    </row>
    <row r="2589" spans="35:36" x14ac:dyDescent="0.35">
      <c r="AI2589" s="75">
        <v>2586</v>
      </c>
      <c r="AJ2589" s="75">
        <v>9</v>
      </c>
    </row>
    <row r="2590" spans="35:36" x14ac:dyDescent="0.35">
      <c r="AI2590" s="75">
        <v>2587</v>
      </c>
      <c r="AJ2590" s="75">
        <v>9</v>
      </c>
    </row>
    <row r="2591" spans="35:36" x14ac:dyDescent="0.35">
      <c r="AI2591" s="75">
        <v>2588</v>
      </c>
      <c r="AJ2591" s="75">
        <v>9</v>
      </c>
    </row>
    <row r="2592" spans="35:36" x14ac:dyDescent="0.35">
      <c r="AI2592" s="75">
        <v>2589</v>
      </c>
      <c r="AJ2592" s="75">
        <v>9</v>
      </c>
    </row>
    <row r="2593" spans="35:36" x14ac:dyDescent="0.35">
      <c r="AI2593" s="75">
        <v>2590</v>
      </c>
      <c r="AJ2593" s="75">
        <v>9</v>
      </c>
    </row>
    <row r="2594" spans="35:36" x14ac:dyDescent="0.35">
      <c r="AI2594" s="75">
        <v>2591</v>
      </c>
      <c r="AJ2594" s="75">
        <v>9</v>
      </c>
    </row>
    <row r="2595" spans="35:36" x14ac:dyDescent="0.35">
      <c r="AI2595" s="75">
        <v>2592</v>
      </c>
      <c r="AJ2595" s="75">
        <v>9</v>
      </c>
    </row>
    <row r="2596" spans="35:36" x14ac:dyDescent="0.35">
      <c r="AI2596" s="75">
        <v>2593</v>
      </c>
      <c r="AJ2596" s="75">
        <v>9</v>
      </c>
    </row>
    <row r="2597" spans="35:36" x14ac:dyDescent="0.35">
      <c r="AI2597" s="75">
        <v>2594</v>
      </c>
      <c r="AJ2597" s="75">
        <v>9</v>
      </c>
    </row>
    <row r="2598" spans="35:36" x14ac:dyDescent="0.35">
      <c r="AI2598" s="75">
        <v>2595</v>
      </c>
      <c r="AJ2598" s="75">
        <v>9</v>
      </c>
    </row>
    <row r="2599" spans="35:36" x14ac:dyDescent="0.35">
      <c r="AI2599" s="75">
        <v>2596</v>
      </c>
      <c r="AJ2599" s="75">
        <v>9</v>
      </c>
    </row>
    <row r="2600" spans="35:36" x14ac:dyDescent="0.35">
      <c r="AI2600" s="75">
        <v>2597</v>
      </c>
      <c r="AJ2600" s="75">
        <v>9</v>
      </c>
    </row>
    <row r="2601" spans="35:36" x14ac:dyDescent="0.35">
      <c r="AI2601" s="75">
        <v>2598</v>
      </c>
      <c r="AJ2601" s="75">
        <v>9</v>
      </c>
    </row>
    <row r="2602" spans="35:36" x14ac:dyDescent="0.35">
      <c r="AI2602" s="75">
        <v>2599</v>
      </c>
      <c r="AJ2602" s="75">
        <v>9</v>
      </c>
    </row>
    <row r="2603" spans="35:36" x14ac:dyDescent="0.35">
      <c r="AI2603" s="75">
        <v>2600</v>
      </c>
      <c r="AJ2603" s="75">
        <v>9</v>
      </c>
    </row>
    <row r="2604" spans="35:36" x14ac:dyDescent="0.35">
      <c r="AI2604" s="75">
        <v>2601</v>
      </c>
      <c r="AJ2604" s="75">
        <v>9</v>
      </c>
    </row>
    <row r="2605" spans="35:36" x14ac:dyDescent="0.35">
      <c r="AI2605" s="75">
        <v>2602</v>
      </c>
      <c r="AJ2605" s="75">
        <v>9</v>
      </c>
    </row>
    <row r="2606" spans="35:36" x14ac:dyDescent="0.35">
      <c r="AI2606" s="75">
        <v>2603</v>
      </c>
      <c r="AJ2606" s="75">
        <v>9</v>
      </c>
    </row>
    <row r="2607" spans="35:36" x14ac:dyDescent="0.35">
      <c r="AI2607" s="75">
        <v>2604</v>
      </c>
      <c r="AJ2607" s="75">
        <v>9</v>
      </c>
    </row>
    <row r="2608" spans="35:36" x14ac:dyDescent="0.35">
      <c r="AI2608" s="75">
        <v>2605</v>
      </c>
      <c r="AJ2608" s="75">
        <v>9</v>
      </c>
    </row>
    <row r="2609" spans="35:36" x14ac:dyDescent="0.35">
      <c r="AI2609" s="75">
        <v>2606</v>
      </c>
      <c r="AJ2609" s="75">
        <v>9</v>
      </c>
    </row>
    <row r="2610" spans="35:36" x14ac:dyDescent="0.35">
      <c r="AI2610" s="75">
        <v>2607</v>
      </c>
      <c r="AJ2610" s="75">
        <v>9</v>
      </c>
    </row>
    <row r="2611" spans="35:36" x14ac:dyDescent="0.35">
      <c r="AI2611" s="75">
        <v>2608</v>
      </c>
      <c r="AJ2611" s="75">
        <v>9</v>
      </c>
    </row>
    <row r="2612" spans="35:36" x14ac:dyDescent="0.35">
      <c r="AI2612" s="75">
        <v>2609</v>
      </c>
      <c r="AJ2612" s="75">
        <v>9</v>
      </c>
    </row>
    <row r="2613" spans="35:36" x14ac:dyDescent="0.35">
      <c r="AI2613" s="75">
        <v>2610</v>
      </c>
      <c r="AJ2613" s="75">
        <v>9</v>
      </c>
    </row>
    <row r="2614" spans="35:36" x14ac:dyDescent="0.35">
      <c r="AI2614" s="75">
        <v>2611</v>
      </c>
      <c r="AJ2614" s="75">
        <v>9</v>
      </c>
    </row>
    <row r="2615" spans="35:36" x14ac:dyDescent="0.35">
      <c r="AI2615" s="75">
        <v>2612</v>
      </c>
      <c r="AJ2615" s="75">
        <v>9</v>
      </c>
    </row>
    <row r="2616" spans="35:36" x14ac:dyDescent="0.35">
      <c r="AI2616" s="75">
        <v>2613</v>
      </c>
      <c r="AJ2616" s="75">
        <v>9</v>
      </c>
    </row>
    <row r="2617" spans="35:36" x14ac:dyDescent="0.35">
      <c r="AI2617" s="75">
        <v>2614</v>
      </c>
      <c r="AJ2617" s="75">
        <v>9</v>
      </c>
    </row>
    <row r="2618" spans="35:36" x14ac:dyDescent="0.35">
      <c r="AI2618" s="75">
        <v>2615</v>
      </c>
      <c r="AJ2618" s="75">
        <v>9</v>
      </c>
    </row>
    <row r="2619" spans="35:36" x14ac:dyDescent="0.35">
      <c r="AI2619" s="75">
        <v>2616</v>
      </c>
      <c r="AJ2619" s="75">
        <v>9</v>
      </c>
    </row>
    <row r="2620" spans="35:36" x14ac:dyDescent="0.35">
      <c r="AI2620" s="75">
        <v>2617</v>
      </c>
      <c r="AJ2620" s="75">
        <v>9</v>
      </c>
    </row>
    <row r="2621" spans="35:36" x14ac:dyDescent="0.35">
      <c r="AI2621" s="75">
        <v>2618</v>
      </c>
      <c r="AJ2621" s="75">
        <v>9</v>
      </c>
    </row>
    <row r="2622" spans="35:36" x14ac:dyDescent="0.35">
      <c r="AI2622" s="75">
        <v>2619</v>
      </c>
      <c r="AJ2622" s="75">
        <v>9</v>
      </c>
    </row>
    <row r="2623" spans="35:36" x14ac:dyDescent="0.35">
      <c r="AI2623" s="75">
        <v>2620</v>
      </c>
      <c r="AJ2623" s="75">
        <v>9</v>
      </c>
    </row>
    <row r="2624" spans="35:36" x14ac:dyDescent="0.35">
      <c r="AI2624" s="75">
        <v>2621</v>
      </c>
      <c r="AJ2624" s="75">
        <v>9</v>
      </c>
    </row>
    <row r="2625" spans="35:36" x14ac:dyDescent="0.35">
      <c r="AI2625" s="75">
        <v>2622</v>
      </c>
      <c r="AJ2625" s="75">
        <v>9</v>
      </c>
    </row>
    <row r="2626" spans="35:36" x14ac:dyDescent="0.35">
      <c r="AI2626" s="75">
        <v>2623</v>
      </c>
      <c r="AJ2626" s="75">
        <v>9</v>
      </c>
    </row>
    <row r="2627" spans="35:36" x14ac:dyDescent="0.35">
      <c r="AI2627" s="75">
        <v>2624</v>
      </c>
      <c r="AJ2627" s="75">
        <v>9</v>
      </c>
    </row>
    <row r="2628" spans="35:36" x14ac:dyDescent="0.35">
      <c r="AI2628" s="75">
        <v>2625</v>
      </c>
      <c r="AJ2628" s="75">
        <v>9</v>
      </c>
    </row>
    <row r="2629" spans="35:36" x14ac:dyDescent="0.35">
      <c r="AI2629" s="75">
        <v>2626</v>
      </c>
      <c r="AJ2629" s="75">
        <v>9</v>
      </c>
    </row>
    <row r="2630" spans="35:36" x14ac:dyDescent="0.35">
      <c r="AI2630" s="75">
        <v>2627</v>
      </c>
      <c r="AJ2630" s="75">
        <v>9</v>
      </c>
    </row>
    <row r="2631" spans="35:36" x14ac:dyDescent="0.35">
      <c r="AI2631" s="75">
        <v>2628</v>
      </c>
      <c r="AJ2631" s="75">
        <v>9</v>
      </c>
    </row>
    <row r="2632" spans="35:36" x14ac:dyDescent="0.35">
      <c r="AI2632" s="75">
        <v>2629</v>
      </c>
      <c r="AJ2632" s="75">
        <v>9</v>
      </c>
    </row>
    <row r="2633" spans="35:36" x14ac:dyDescent="0.35">
      <c r="AI2633" s="75">
        <v>2630</v>
      </c>
      <c r="AJ2633" s="75">
        <v>9</v>
      </c>
    </row>
    <row r="2634" spans="35:36" x14ac:dyDescent="0.35">
      <c r="AI2634" s="75">
        <v>2631</v>
      </c>
      <c r="AJ2634" s="75">
        <v>9</v>
      </c>
    </row>
    <row r="2635" spans="35:36" x14ac:dyDescent="0.35">
      <c r="AI2635" s="75">
        <v>2632</v>
      </c>
      <c r="AJ2635" s="75">
        <v>9</v>
      </c>
    </row>
    <row r="2636" spans="35:36" x14ac:dyDescent="0.35">
      <c r="AI2636" s="75">
        <v>2633</v>
      </c>
      <c r="AJ2636" s="75">
        <v>9</v>
      </c>
    </row>
    <row r="2637" spans="35:36" x14ac:dyDescent="0.35">
      <c r="AI2637" s="75">
        <v>2634</v>
      </c>
      <c r="AJ2637" s="75">
        <v>9</v>
      </c>
    </row>
    <row r="2638" spans="35:36" x14ac:dyDescent="0.35">
      <c r="AI2638" s="75">
        <v>2635</v>
      </c>
      <c r="AJ2638" s="75">
        <v>9</v>
      </c>
    </row>
    <row r="2639" spans="35:36" x14ac:dyDescent="0.35">
      <c r="AI2639" s="75">
        <v>2636</v>
      </c>
      <c r="AJ2639" s="75">
        <v>9</v>
      </c>
    </row>
    <row r="2640" spans="35:36" x14ac:dyDescent="0.35">
      <c r="AI2640" s="75">
        <v>2637</v>
      </c>
      <c r="AJ2640" s="75">
        <v>9</v>
      </c>
    </row>
    <row r="2641" spans="35:36" x14ac:dyDescent="0.35">
      <c r="AI2641" s="75">
        <v>2638</v>
      </c>
      <c r="AJ2641" s="75">
        <v>9</v>
      </c>
    </row>
    <row r="2642" spans="35:36" x14ac:dyDescent="0.35">
      <c r="AI2642" s="75">
        <v>2639</v>
      </c>
      <c r="AJ2642" s="75">
        <v>9</v>
      </c>
    </row>
    <row r="2643" spans="35:36" x14ac:dyDescent="0.35">
      <c r="AI2643" s="75">
        <v>2640</v>
      </c>
      <c r="AJ2643" s="75">
        <v>9</v>
      </c>
    </row>
    <row r="2644" spans="35:36" x14ac:dyDescent="0.35">
      <c r="AI2644" s="75">
        <v>2641</v>
      </c>
      <c r="AJ2644" s="75">
        <v>9</v>
      </c>
    </row>
    <row r="2645" spans="35:36" x14ac:dyDescent="0.35">
      <c r="AI2645" s="75">
        <v>2642</v>
      </c>
      <c r="AJ2645" s="75">
        <v>9</v>
      </c>
    </row>
    <row r="2646" spans="35:36" x14ac:dyDescent="0.35">
      <c r="AI2646" s="75">
        <v>2643</v>
      </c>
      <c r="AJ2646" s="75">
        <v>9</v>
      </c>
    </row>
    <row r="2647" spans="35:36" x14ac:dyDescent="0.35">
      <c r="AI2647" s="75">
        <v>2644</v>
      </c>
      <c r="AJ2647" s="75">
        <v>9</v>
      </c>
    </row>
    <row r="2648" spans="35:36" x14ac:dyDescent="0.35">
      <c r="AI2648" s="75">
        <v>2645</v>
      </c>
      <c r="AJ2648" s="75">
        <v>9</v>
      </c>
    </row>
    <row r="2649" spans="35:36" x14ac:dyDescent="0.35">
      <c r="AI2649" s="75">
        <v>2646</v>
      </c>
      <c r="AJ2649" s="75">
        <v>9</v>
      </c>
    </row>
    <row r="2650" spans="35:36" x14ac:dyDescent="0.35">
      <c r="AI2650" s="75">
        <v>2647</v>
      </c>
      <c r="AJ2650" s="75">
        <v>9</v>
      </c>
    </row>
    <row r="2651" spans="35:36" x14ac:dyDescent="0.35">
      <c r="AI2651" s="75">
        <v>2648</v>
      </c>
      <c r="AJ2651" s="75">
        <v>9</v>
      </c>
    </row>
    <row r="2652" spans="35:36" x14ac:dyDescent="0.35">
      <c r="AI2652" s="75">
        <v>2649</v>
      </c>
      <c r="AJ2652" s="75">
        <v>9</v>
      </c>
    </row>
    <row r="2653" spans="35:36" x14ac:dyDescent="0.35">
      <c r="AI2653" s="75">
        <v>2650</v>
      </c>
      <c r="AJ2653" s="75">
        <v>9</v>
      </c>
    </row>
    <row r="2654" spans="35:36" x14ac:dyDescent="0.35">
      <c r="AI2654" s="75">
        <v>2651</v>
      </c>
      <c r="AJ2654" s="75">
        <v>9</v>
      </c>
    </row>
    <row r="2655" spans="35:36" x14ac:dyDescent="0.35">
      <c r="AI2655" s="75">
        <v>2652</v>
      </c>
      <c r="AJ2655" s="75">
        <v>9</v>
      </c>
    </row>
    <row r="2656" spans="35:36" x14ac:dyDescent="0.35">
      <c r="AI2656" s="75">
        <v>2653</v>
      </c>
      <c r="AJ2656" s="75">
        <v>9</v>
      </c>
    </row>
    <row r="2657" spans="35:36" x14ac:dyDescent="0.35">
      <c r="AI2657" s="75">
        <v>2654</v>
      </c>
      <c r="AJ2657" s="75">
        <v>9</v>
      </c>
    </row>
    <row r="2658" spans="35:36" x14ac:dyDescent="0.35">
      <c r="AI2658" s="75">
        <v>2655</v>
      </c>
      <c r="AJ2658" s="75">
        <v>9</v>
      </c>
    </row>
    <row r="2659" spans="35:36" x14ac:dyDescent="0.35">
      <c r="AI2659" s="75">
        <v>2656</v>
      </c>
      <c r="AJ2659" s="75">
        <v>9</v>
      </c>
    </row>
    <row r="2660" spans="35:36" x14ac:dyDescent="0.35">
      <c r="AI2660" s="75">
        <v>2657</v>
      </c>
      <c r="AJ2660" s="75">
        <v>9</v>
      </c>
    </row>
    <row r="2661" spans="35:36" x14ac:dyDescent="0.35">
      <c r="AI2661" s="75">
        <v>2658</v>
      </c>
      <c r="AJ2661" s="75">
        <v>9</v>
      </c>
    </row>
    <row r="2662" spans="35:36" x14ac:dyDescent="0.35">
      <c r="AI2662" s="75">
        <v>2659</v>
      </c>
      <c r="AJ2662" s="75">
        <v>9</v>
      </c>
    </row>
    <row r="2663" spans="35:36" x14ac:dyDescent="0.35">
      <c r="AI2663" s="75">
        <v>2660</v>
      </c>
      <c r="AJ2663" s="75">
        <v>9</v>
      </c>
    </row>
    <row r="2664" spans="35:36" x14ac:dyDescent="0.35">
      <c r="AI2664" s="75">
        <v>2661</v>
      </c>
      <c r="AJ2664" s="75">
        <v>9</v>
      </c>
    </row>
    <row r="2665" spans="35:36" x14ac:dyDescent="0.35">
      <c r="AI2665" s="75">
        <v>2662</v>
      </c>
      <c r="AJ2665" s="75">
        <v>9</v>
      </c>
    </row>
    <row r="2666" spans="35:36" x14ac:dyDescent="0.35">
      <c r="AI2666" s="75">
        <v>2663</v>
      </c>
      <c r="AJ2666" s="75">
        <v>9</v>
      </c>
    </row>
    <row r="2667" spans="35:36" x14ac:dyDescent="0.35">
      <c r="AI2667" s="75">
        <v>2664</v>
      </c>
      <c r="AJ2667" s="75">
        <v>9</v>
      </c>
    </row>
    <row r="2668" spans="35:36" x14ac:dyDescent="0.35">
      <c r="AI2668" s="75">
        <v>2665</v>
      </c>
      <c r="AJ2668" s="75">
        <v>9</v>
      </c>
    </row>
    <row r="2669" spans="35:36" x14ac:dyDescent="0.35">
      <c r="AI2669" s="75">
        <v>2666</v>
      </c>
      <c r="AJ2669" s="75">
        <v>9</v>
      </c>
    </row>
    <row r="2670" spans="35:36" x14ac:dyDescent="0.35">
      <c r="AI2670" s="75">
        <v>2667</v>
      </c>
      <c r="AJ2670" s="75">
        <v>9</v>
      </c>
    </row>
    <row r="2671" spans="35:36" x14ac:dyDescent="0.35">
      <c r="AI2671" s="75">
        <v>2668</v>
      </c>
      <c r="AJ2671" s="75">
        <v>9</v>
      </c>
    </row>
    <row r="2672" spans="35:36" x14ac:dyDescent="0.35">
      <c r="AI2672" s="75">
        <v>2669</v>
      </c>
      <c r="AJ2672" s="75">
        <v>9</v>
      </c>
    </row>
    <row r="2673" spans="35:36" x14ac:dyDescent="0.35">
      <c r="AI2673" s="75">
        <v>2670</v>
      </c>
      <c r="AJ2673" s="75">
        <v>9</v>
      </c>
    </row>
    <row r="2674" spans="35:36" x14ac:dyDescent="0.35">
      <c r="AI2674" s="75">
        <v>2671</v>
      </c>
      <c r="AJ2674" s="75">
        <v>9</v>
      </c>
    </row>
    <row r="2675" spans="35:36" x14ac:dyDescent="0.35">
      <c r="AI2675" s="75">
        <v>2672</v>
      </c>
      <c r="AJ2675" s="75">
        <v>9</v>
      </c>
    </row>
    <row r="2676" spans="35:36" x14ac:dyDescent="0.35">
      <c r="AI2676" s="75">
        <v>2673</v>
      </c>
      <c r="AJ2676" s="75">
        <v>9</v>
      </c>
    </row>
    <row r="2677" spans="35:36" x14ac:dyDescent="0.35">
      <c r="AI2677" s="75">
        <v>2674</v>
      </c>
      <c r="AJ2677" s="75">
        <v>9</v>
      </c>
    </row>
    <row r="2678" spans="35:36" x14ac:dyDescent="0.35">
      <c r="AI2678" s="75">
        <v>2675</v>
      </c>
      <c r="AJ2678" s="75">
        <v>9</v>
      </c>
    </row>
    <row r="2679" spans="35:36" x14ac:dyDescent="0.35">
      <c r="AI2679" s="75">
        <v>2676</v>
      </c>
      <c r="AJ2679" s="75">
        <v>9</v>
      </c>
    </row>
    <row r="2680" spans="35:36" x14ac:dyDescent="0.35">
      <c r="AI2680" s="75">
        <v>2677</v>
      </c>
      <c r="AJ2680" s="75">
        <v>9</v>
      </c>
    </row>
    <row r="2681" spans="35:36" x14ac:dyDescent="0.35">
      <c r="AI2681" s="75">
        <v>2678</v>
      </c>
      <c r="AJ2681" s="75">
        <v>9</v>
      </c>
    </row>
    <row r="2682" spans="35:36" x14ac:dyDescent="0.35">
      <c r="AI2682" s="75">
        <v>2679</v>
      </c>
      <c r="AJ2682" s="75">
        <v>9</v>
      </c>
    </row>
    <row r="2683" spans="35:36" x14ac:dyDescent="0.35">
      <c r="AI2683" s="75">
        <v>2680</v>
      </c>
      <c r="AJ2683" s="75">
        <v>9</v>
      </c>
    </row>
    <row r="2684" spans="35:36" x14ac:dyDescent="0.35">
      <c r="AI2684" s="75">
        <v>2681</v>
      </c>
      <c r="AJ2684" s="75">
        <v>9</v>
      </c>
    </row>
    <row r="2685" spans="35:36" x14ac:dyDescent="0.35">
      <c r="AI2685" s="75">
        <v>2682</v>
      </c>
      <c r="AJ2685" s="75">
        <v>9</v>
      </c>
    </row>
    <row r="2686" spans="35:36" x14ac:dyDescent="0.35">
      <c r="AI2686" s="75">
        <v>2683</v>
      </c>
      <c r="AJ2686" s="75">
        <v>9</v>
      </c>
    </row>
    <row r="2687" spans="35:36" x14ac:dyDescent="0.35">
      <c r="AI2687" s="75">
        <v>2684</v>
      </c>
      <c r="AJ2687" s="75">
        <v>9</v>
      </c>
    </row>
    <row r="2688" spans="35:36" x14ac:dyDescent="0.35">
      <c r="AI2688" s="75">
        <v>2685</v>
      </c>
      <c r="AJ2688" s="75">
        <v>9</v>
      </c>
    </row>
    <row r="2689" spans="35:36" x14ac:dyDescent="0.35">
      <c r="AI2689" s="75">
        <v>2686</v>
      </c>
      <c r="AJ2689" s="75">
        <v>9</v>
      </c>
    </row>
    <row r="2690" spans="35:36" x14ac:dyDescent="0.35">
      <c r="AI2690" s="75">
        <v>2687</v>
      </c>
      <c r="AJ2690" s="75">
        <v>9</v>
      </c>
    </row>
    <row r="2691" spans="35:36" x14ac:dyDescent="0.35">
      <c r="AI2691" s="75">
        <v>2688</v>
      </c>
      <c r="AJ2691" s="75">
        <v>9</v>
      </c>
    </row>
    <row r="2692" spans="35:36" x14ac:dyDescent="0.35">
      <c r="AI2692" s="75">
        <v>2689</v>
      </c>
      <c r="AJ2692" s="75">
        <v>9</v>
      </c>
    </row>
    <row r="2693" spans="35:36" x14ac:dyDescent="0.35">
      <c r="AI2693" s="75">
        <v>2690</v>
      </c>
      <c r="AJ2693" s="75">
        <v>9</v>
      </c>
    </row>
    <row r="2694" spans="35:36" x14ac:dyDescent="0.35">
      <c r="AI2694" s="75">
        <v>2691</v>
      </c>
      <c r="AJ2694" s="75">
        <v>9</v>
      </c>
    </row>
    <row r="2695" spans="35:36" x14ac:dyDescent="0.35">
      <c r="AI2695" s="75">
        <v>2692</v>
      </c>
      <c r="AJ2695" s="75">
        <v>9</v>
      </c>
    </row>
    <row r="2696" spans="35:36" x14ac:dyDescent="0.35">
      <c r="AI2696" s="75">
        <v>2693</v>
      </c>
      <c r="AJ2696" s="75">
        <v>9</v>
      </c>
    </row>
    <row r="2697" spans="35:36" x14ac:dyDescent="0.35">
      <c r="AI2697" s="75">
        <v>2694</v>
      </c>
      <c r="AJ2697" s="75">
        <v>9</v>
      </c>
    </row>
    <row r="2698" spans="35:36" x14ac:dyDescent="0.35">
      <c r="AI2698" s="75">
        <v>2695</v>
      </c>
      <c r="AJ2698" s="75">
        <v>9</v>
      </c>
    </row>
    <row r="2699" spans="35:36" x14ac:dyDescent="0.35">
      <c r="AI2699" s="75">
        <v>2696</v>
      </c>
      <c r="AJ2699" s="75">
        <v>9</v>
      </c>
    </row>
    <row r="2700" spans="35:36" x14ac:dyDescent="0.35">
      <c r="AI2700" s="75">
        <v>2697</v>
      </c>
      <c r="AJ2700" s="75">
        <v>9</v>
      </c>
    </row>
    <row r="2701" spans="35:36" x14ac:dyDescent="0.35">
      <c r="AI2701" s="75">
        <v>2698</v>
      </c>
      <c r="AJ2701" s="75">
        <v>9</v>
      </c>
    </row>
    <row r="2702" spans="35:36" x14ac:dyDescent="0.35">
      <c r="AI2702" s="75">
        <v>2699</v>
      </c>
      <c r="AJ2702" s="75">
        <v>9</v>
      </c>
    </row>
    <row r="2703" spans="35:36" x14ac:dyDescent="0.35">
      <c r="AI2703" s="75">
        <v>2700</v>
      </c>
      <c r="AJ2703" s="75">
        <v>9</v>
      </c>
    </row>
    <row r="2704" spans="35:36" x14ac:dyDescent="0.35">
      <c r="AI2704" s="75">
        <v>2701</v>
      </c>
      <c r="AJ2704" s="75">
        <v>9</v>
      </c>
    </row>
    <row r="2705" spans="35:36" x14ac:dyDescent="0.35">
      <c r="AI2705" s="75">
        <v>2702</v>
      </c>
      <c r="AJ2705" s="75">
        <v>9</v>
      </c>
    </row>
    <row r="2706" spans="35:36" x14ac:dyDescent="0.35">
      <c r="AI2706" s="75">
        <v>2703</v>
      </c>
      <c r="AJ2706" s="75">
        <v>9</v>
      </c>
    </row>
    <row r="2707" spans="35:36" x14ac:dyDescent="0.35">
      <c r="AI2707" s="75">
        <v>2704</v>
      </c>
      <c r="AJ2707" s="75">
        <v>9</v>
      </c>
    </row>
    <row r="2708" spans="35:36" x14ac:dyDescent="0.35">
      <c r="AI2708" s="75">
        <v>2705</v>
      </c>
      <c r="AJ2708" s="75">
        <v>9</v>
      </c>
    </row>
    <row r="2709" spans="35:36" x14ac:dyDescent="0.35">
      <c r="AI2709" s="75">
        <v>2706</v>
      </c>
      <c r="AJ2709" s="75">
        <v>9</v>
      </c>
    </row>
    <row r="2710" spans="35:36" x14ac:dyDescent="0.35">
      <c r="AI2710" s="75">
        <v>2707</v>
      </c>
      <c r="AJ2710" s="75">
        <v>9</v>
      </c>
    </row>
    <row r="2711" spans="35:36" x14ac:dyDescent="0.35">
      <c r="AI2711" s="75">
        <v>2708</v>
      </c>
      <c r="AJ2711" s="75">
        <v>9</v>
      </c>
    </row>
    <row r="2712" spans="35:36" x14ac:dyDescent="0.35">
      <c r="AI2712" s="75">
        <v>2709</v>
      </c>
      <c r="AJ2712" s="75">
        <v>10</v>
      </c>
    </row>
    <row r="2713" spans="35:36" x14ac:dyDescent="0.35">
      <c r="AI2713" s="75">
        <v>2710</v>
      </c>
      <c r="AJ2713" s="75">
        <v>10</v>
      </c>
    </row>
    <row r="2714" spans="35:36" x14ac:dyDescent="0.35">
      <c r="AI2714" s="75">
        <v>2711</v>
      </c>
      <c r="AJ2714" s="75">
        <v>10</v>
      </c>
    </row>
    <row r="2715" spans="35:36" x14ac:dyDescent="0.35">
      <c r="AI2715" s="75">
        <v>2712</v>
      </c>
      <c r="AJ2715" s="75">
        <v>10</v>
      </c>
    </row>
    <row r="2716" spans="35:36" x14ac:dyDescent="0.35">
      <c r="AI2716" s="75">
        <v>2713</v>
      </c>
      <c r="AJ2716" s="75">
        <v>10</v>
      </c>
    </row>
    <row r="2717" spans="35:36" x14ac:dyDescent="0.35">
      <c r="AI2717" s="75">
        <v>2714</v>
      </c>
      <c r="AJ2717" s="75">
        <v>10</v>
      </c>
    </row>
    <row r="2718" spans="35:36" x14ac:dyDescent="0.35">
      <c r="AI2718" s="75">
        <v>2715</v>
      </c>
      <c r="AJ2718" s="75">
        <v>10</v>
      </c>
    </row>
    <row r="2719" spans="35:36" x14ac:dyDescent="0.35">
      <c r="AI2719" s="75">
        <v>2716</v>
      </c>
      <c r="AJ2719" s="75">
        <v>10</v>
      </c>
    </row>
    <row r="2720" spans="35:36" x14ac:dyDescent="0.35">
      <c r="AI2720" s="75">
        <v>2717</v>
      </c>
      <c r="AJ2720" s="75">
        <v>10</v>
      </c>
    </row>
    <row r="2721" spans="35:36" x14ac:dyDescent="0.35">
      <c r="AI2721" s="75">
        <v>2718</v>
      </c>
      <c r="AJ2721" s="75">
        <v>10</v>
      </c>
    </row>
    <row r="2722" spans="35:36" x14ac:dyDescent="0.35">
      <c r="AI2722" s="75">
        <v>2719</v>
      </c>
      <c r="AJ2722" s="75">
        <v>10</v>
      </c>
    </row>
    <row r="2723" spans="35:36" x14ac:dyDescent="0.35">
      <c r="AI2723" s="75">
        <v>2720</v>
      </c>
      <c r="AJ2723" s="75">
        <v>10</v>
      </c>
    </row>
    <row r="2724" spans="35:36" x14ac:dyDescent="0.35">
      <c r="AI2724" s="75">
        <v>2721</v>
      </c>
      <c r="AJ2724" s="75">
        <v>10</v>
      </c>
    </row>
    <row r="2725" spans="35:36" x14ac:dyDescent="0.35">
      <c r="AI2725" s="75">
        <v>2722</v>
      </c>
      <c r="AJ2725" s="75">
        <v>10</v>
      </c>
    </row>
    <row r="2726" spans="35:36" x14ac:dyDescent="0.35">
      <c r="AI2726" s="75">
        <v>2723</v>
      </c>
      <c r="AJ2726" s="75">
        <v>10</v>
      </c>
    </row>
    <row r="2727" spans="35:36" x14ac:dyDescent="0.35">
      <c r="AI2727" s="75">
        <v>2724</v>
      </c>
      <c r="AJ2727" s="75">
        <v>10</v>
      </c>
    </row>
    <row r="2728" spans="35:36" x14ac:dyDescent="0.35">
      <c r="AI2728" s="75">
        <v>2725</v>
      </c>
      <c r="AJ2728" s="75">
        <v>10</v>
      </c>
    </row>
    <row r="2729" spans="35:36" x14ac:dyDescent="0.35">
      <c r="AI2729" s="75">
        <v>2726</v>
      </c>
      <c r="AJ2729" s="75">
        <v>10</v>
      </c>
    </row>
    <row r="2730" spans="35:36" x14ac:dyDescent="0.35">
      <c r="AI2730" s="75">
        <v>2727</v>
      </c>
      <c r="AJ2730" s="75">
        <v>10</v>
      </c>
    </row>
    <row r="2731" spans="35:36" x14ac:dyDescent="0.35">
      <c r="AI2731" s="75">
        <v>2728</v>
      </c>
      <c r="AJ2731" s="75">
        <v>10</v>
      </c>
    </row>
    <row r="2732" spans="35:36" x14ac:dyDescent="0.35">
      <c r="AI2732" s="75">
        <v>2729</v>
      </c>
      <c r="AJ2732" s="75">
        <v>10</v>
      </c>
    </row>
    <row r="2733" spans="35:36" x14ac:dyDescent="0.35">
      <c r="AI2733" s="75">
        <v>2730</v>
      </c>
      <c r="AJ2733" s="75">
        <v>10</v>
      </c>
    </row>
    <row r="2734" spans="35:36" x14ac:dyDescent="0.35">
      <c r="AI2734" s="75">
        <v>2731</v>
      </c>
      <c r="AJ2734" s="75">
        <v>10</v>
      </c>
    </row>
    <row r="2735" spans="35:36" x14ac:dyDescent="0.35">
      <c r="AI2735" s="75">
        <v>2732</v>
      </c>
      <c r="AJ2735" s="75">
        <v>10</v>
      </c>
    </row>
    <row r="2736" spans="35:36" x14ac:dyDescent="0.35">
      <c r="AI2736" s="75">
        <v>2733</v>
      </c>
      <c r="AJ2736" s="75">
        <v>10</v>
      </c>
    </row>
    <row r="2737" spans="35:36" x14ac:dyDescent="0.35">
      <c r="AI2737" s="75">
        <v>2734</v>
      </c>
      <c r="AJ2737" s="75">
        <v>10</v>
      </c>
    </row>
    <row r="2738" spans="35:36" x14ac:dyDescent="0.35">
      <c r="AI2738" s="75">
        <v>2735</v>
      </c>
      <c r="AJ2738" s="75">
        <v>10</v>
      </c>
    </row>
    <row r="2739" spans="35:36" x14ac:dyDescent="0.35">
      <c r="AI2739" s="75">
        <v>2736</v>
      </c>
      <c r="AJ2739" s="75">
        <v>10</v>
      </c>
    </row>
    <row r="2740" spans="35:36" x14ac:dyDescent="0.35">
      <c r="AI2740" s="75">
        <v>2737</v>
      </c>
      <c r="AJ2740" s="75">
        <v>10</v>
      </c>
    </row>
    <row r="2741" spans="35:36" x14ac:dyDescent="0.35">
      <c r="AI2741" s="75">
        <v>2738</v>
      </c>
      <c r="AJ2741" s="75">
        <v>10</v>
      </c>
    </row>
    <row r="2742" spans="35:36" x14ac:dyDescent="0.35">
      <c r="AI2742" s="75">
        <v>2739</v>
      </c>
      <c r="AJ2742" s="75">
        <v>10</v>
      </c>
    </row>
    <row r="2743" spans="35:36" x14ac:dyDescent="0.35">
      <c r="AI2743" s="75">
        <v>2740</v>
      </c>
      <c r="AJ2743" s="75">
        <v>10</v>
      </c>
    </row>
    <row r="2744" spans="35:36" x14ac:dyDescent="0.35">
      <c r="AI2744" s="75">
        <v>2741</v>
      </c>
      <c r="AJ2744" s="75">
        <v>10</v>
      </c>
    </row>
    <row r="2745" spans="35:36" x14ac:dyDescent="0.35">
      <c r="AI2745" s="75">
        <v>2742</v>
      </c>
      <c r="AJ2745" s="75">
        <v>10</v>
      </c>
    </row>
    <row r="2746" spans="35:36" x14ac:dyDescent="0.35">
      <c r="AI2746" s="75">
        <v>2743</v>
      </c>
      <c r="AJ2746" s="75">
        <v>10</v>
      </c>
    </row>
    <row r="2747" spans="35:36" x14ac:dyDescent="0.35">
      <c r="AI2747" s="75">
        <v>2744</v>
      </c>
      <c r="AJ2747" s="75">
        <v>10</v>
      </c>
    </row>
    <row r="2748" spans="35:36" x14ac:dyDescent="0.35">
      <c r="AI2748" s="75">
        <v>2745</v>
      </c>
      <c r="AJ2748" s="75">
        <v>10</v>
      </c>
    </row>
    <row r="2749" spans="35:36" x14ac:dyDescent="0.35">
      <c r="AI2749" s="75">
        <v>2746</v>
      </c>
      <c r="AJ2749" s="75">
        <v>10</v>
      </c>
    </row>
    <row r="2750" spans="35:36" x14ac:dyDescent="0.35">
      <c r="AI2750" s="75">
        <v>2747</v>
      </c>
      <c r="AJ2750" s="75">
        <v>10</v>
      </c>
    </row>
    <row r="2751" spans="35:36" x14ac:dyDescent="0.35">
      <c r="AI2751" s="75">
        <v>2748</v>
      </c>
      <c r="AJ2751" s="75">
        <v>10</v>
      </c>
    </row>
    <row r="2752" spans="35:36" x14ac:dyDescent="0.35">
      <c r="AI2752" s="75">
        <v>2749</v>
      </c>
      <c r="AJ2752" s="75">
        <v>10</v>
      </c>
    </row>
    <row r="2753" spans="35:36" x14ac:dyDescent="0.35">
      <c r="AI2753" s="75">
        <v>2750</v>
      </c>
      <c r="AJ2753" s="75">
        <v>10</v>
      </c>
    </row>
    <row r="2754" spans="35:36" x14ac:dyDescent="0.35">
      <c r="AI2754" s="75">
        <v>2751</v>
      </c>
      <c r="AJ2754" s="75">
        <v>10</v>
      </c>
    </row>
    <row r="2755" spans="35:36" x14ac:dyDescent="0.35">
      <c r="AI2755" s="75">
        <v>2752</v>
      </c>
      <c r="AJ2755" s="75">
        <v>10</v>
      </c>
    </row>
    <row r="2756" spans="35:36" x14ac:dyDescent="0.35">
      <c r="AI2756" s="75">
        <v>2753</v>
      </c>
      <c r="AJ2756" s="75">
        <v>10</v>
      </c>
    </row>
    <row r="2757" spans="35:36" x14ac:dyDescent="0.35">
      <c r="AI2757" s="75">
        <v>2754</v>
      </c>
      <c r="AJ2757" s="75">
        <v>10</v>
      </c>
    </row>
    <row r="2758" spans="35:36" x14ac:dyDescent="0.35">
      <c r="AI2758" s="75">
        <v>2755</v>
      </c>
      <c r="AJ2758" s="75">
        <v>10</v>
      </c>
    </row>
    <row r="2759" spans="35:36" x14ac:dyDescent="0.35">
      <c r="AI2759" s="75">
        <v>2756</v>
      </c>
      <c r="AJ2759" s="75">
        <v>10</v>
      </c>
    </row>
    <row r="2760" spans="35:36" x14ac:dyDescent="0.35">
      <c r="AI2760" s="75">
        <v>2757</v>
      </c>
      <c r="AJ2760" s="75">
        <v>10</v>
      </c>
    </row>
    <row r="2761" spans="35:36" x14ac:dyDescent="0.35">
      <c r="AI2761" s="75">
        <v>2758</v>
      </c>
      <c r="AJ2761" s="75">
        <v>10</v>
      </c>
    </row>
    <row r="2762" spans="35:36" x14ac:dyDescent="0.35">
      <c r="AI2762" s="75">
        <v>2759</v>
      </c>
      <c r="AJ2762" s="75">
        <v>10</v>
      </c>
    </row>
    <row r="2763" spans="35:36" x14ac:dyDescent="0.35">
      <c r="AI2763" s="75">
        <v>2760</v>
      </c>
      <c r="AJ2763" s="75">
        <v>10</v>
      </c>
    </row>
    <row r="2764" spans="35:36" x14ac:dyDescent="0.35">
      <c r="AI2764" s="75">
        <v>2761</v>
      </c>
      <c r="AJ2764" s="75">
        <v>10</v>
      </c>
    </row>
    <row r="2765" spans="35:36" x14ac:dyDescent="0.35">
      <c r="AI2765" s="75">
        <v>2762</v>
      </c>
      <c r="AJ2765" s="75">
        <v>10</v>
      </c>
    </row>
    <row r="2766" spans="35:36" x14ac:dyDescent="0.35">
      <c r="AI2766" s="75">
        <v>2763</v>
      </c>
      <c r="AJ2766" s="75">
        <v>10</v>
      </c>
    </row>
    <row r="2767" spans="35:36" x14ac:dyDescent="0.35">
      <c r="AI2767" s="75">
        <v>2764</v>
      </c>
      <c r="AJ2767" s="75">
        <v>10</v>
      </c>
    </row>
    <row r="2768" spans="35:36" x14ac:dyDescent="0.35">
      <c r="AI2768" s="75">
        <v>2765</v>
      </c>
      <c r="AJ2768" s="75">
        <v>10</v>
      </c>
    </row>
    <row r="2769" spans="35:36" x14ac:dyDescent="0.35">
      <c r="AI2769" s="75">
        <v>2766</v>
      </c>
      <c r="AJ2769" s="75">
        <v>10</v>
      </c>
    </row>
    <row r="2770" spans="35:36" x14ac:dyDescent="0.35">
      <c r="AI2770" s="75">
        <v>2767</v>
      </c>
      <c r="AJ2770" s="75">
        <v>10</v>
      </c>
    </row>
    <row r="2771" spans="35:36" x14ac:dyDescent="0.35">
      <c r="AI2771" s="75">
        <v>2768</v>
      </c>
      <c r="AJ2771" s="75">
        <v>10</v>
      </c>
    </row>
    <row r="2772" spans="35:36" x14ac:dyDescent="0.35">
      <c r="AI2772" s="75">
        <v>2769</v>
      </c>
      <c r="AJ2772" s="75">
        <v>10</v>
      </c>
    </row>
    <row r="2773" spans="35:36" x14ac:dyDescent="0.35">
      <c r="AI2773" s="75">
        <v>2770</v>
      </c>
      <c r="AJ2773" s="75">
        <v>10</v>
      </c>
    </row>
    <row r="2774" spans="35:36" x14ac:dyDescent="0.35">
      <c r="AI2774" s="75">
        <v>2771</v>
      </c>
      <c r="AJ2774" s="75">
        <v>10</v>
      </c>
    </row>
    <row r="2775" spans="35:36" x14ac:dyDescent="0.35">
      <c r="AI2775" s="75">
        <v>2772</v>
      </c>
      <c r="AJ2775" s="75">
        <v>10</v>
      </c>
    </row>
    <row r="2776" spans="35:36" x14ac:dyDescent="0.35">
      <c r="AI2776" s="75">
        <v>2773</v>
      </c>
      <c r="AJ2776" s="75">
        <v>10</v>
      </c>
    </row>
    <row r="2777" spans="35:36" x14ac:dyDescent="0.35">
      <c r="AI2777" s="75">
        <v>2774</v>
      </c>
      <c r="AJ2777" s="75">
        <v>10</v>
      </c>
    </row>
    <row r="2778" spans="35:36" x14ac:dyDescent="0.35">
      <c r="AI2778" s="75">
        <v>2775</v>
      </c>
      <c r="AJ2778" s="75">
        <v>10</v>
      </c>
    </row>
    <row r="2779" spans="35:36" x14ac:dyDescent="0.35">
      <c r="AI2779" s="75">
        <v>2776</v>
      </c>
      <c r="AJ2779" s="75">
        <v>10</v>
      </c>
    </row>
    <row r="2780" spans="35:36" x14ac:dyDescent="0.35">
      <c r="AI2780" s="75">
        <v>2777</v>
      </c>
      <c r="AJ2780" s="75">
        <v>10</v>
      </c>
    </row>
    <row r="2781" spans="35:36" x14ac:dyDescent="0.35">
      <c r="AI2781" s="75">
        <v>2778</v>
      </c>
      <c r="AJ2781" s="75">
        <v>10</v>
      </c>
    </row>
    <row r="2782" spans="35:36" x14ac:dyDescent="0.35">
      <c r="AI2782" s="75">
        <v>2779</v>
      </c>
      <c r="AJ2782" s="75">
        <v>10</v>
      </c>
    </row>
    <row r="2783" spans="35:36" x14ac:dyDescent="0.35">
      <c r="AI2783" s="75">
        <v>2780</v>
      </c>
      <c r="AJ2783" s="75">
        <v>10</v>
      </c>
    </row>
    <row r="2784" spans="35:36" x14ac:dyDescent="0.35">
      <c r="AI2784" s="75">
        <v>2781</v>
      </c>
      <c r="AJ2784" s="75">
        <v>10</v>
      </c>
    </row>
    <row r="2785" spans="35:36" x14ac:dyDescent="0.35">
      <c r="AI2785" s="75">
        <v>2782</v>
      </c>
      <c r="AJ2785" s="75">
        <v>10</v>
      </c>
    </row>
    <row r="2786" spans="35:36" x14ac:dyDescent="0.35">
      <c r="AI2786" s="75">
        <v>2783</v>
      </c>
      <c r="AJ2786" s="75">
        <v>10</v>
      </c>
    </row>
    <row r="2787" spans="35:36" x14ac:dyDescent="0.35">
      <c r="AI2787" s="75">
        <v>2784</v>
      </c>
      <c r="AJ2787" s="75">
        <v>10</v>
      </c>
    </row>
    <row r="2788" spans="35:36" x14ac:dyDescent="0.35">
      <c r="AI2788" s="75">
        <v>2785</v>
      </c>
      <c r="AJ2788" s="75">
        <v>10</v>
      </c>
    </row>
    <row r="2789" spans="35:36" x14ac:dyDescent="0.35">
      <c r="AI2789" s="75">
        <v>2786</v>
      </c>
      <c r="AJ2789" s="75">
        <v>10</v>
      </c>
    </row>
    <row r="2790" spans="35:36" x14ac:dyDescent="0.35">
      <c r="AI2790" s="75">
        <v>2787</v>
      </c>
      <c r="AJ2790" s="75">
        <v>10</v>
      </c>
    </row>
    <row r="2791" spans="35:36" x14ac:dyDescent="0.35">
      <c r="AI2791" s="75">
        <v>2788</v>
      </c>
      <c r="AJ2791" s="75">
        <v>10</v>
      </c>
    </row>
    <row r="2792" spans="35:36" x14ac:dyDescent="0.35">
      <c r="AI2792" s="75">
        <v>2789</v>
      </c>
      <c r="AJ2792" s="75">
        <v>10</v>
      </c>
    </row>
    <row r="2793" spans="35:36" x14ac:dyDescent="0.35">
      <c r="AI2793" s="75">
        <v>2790</v>
      </c>
      <c r="AJ2793" s="75">
        <v>10</v>
      </c>
    </row>
    <row r="2794" spans="35:36" x14ac:dyDescent="0.35">
      <c r="AI2794" s="75">
        <v>2791</v>
      </c>
      <c r="AJ2794" s="75">
        <v>10</v>
      </c>
    </row>
    <row r="2795" spans="35:36" x14ac:dyDescent="0.35">
      <c r="AI2795" s="75">
        <v>2792</v>
      </c>
      <c r="AJ2795" s="75">
        <v>10</v>
      </c>
    </row>
    <row r="2796" spans="35:36" x14ac:dyDescent="0.35">
      <c r="AI2796" s="75">
        <v>2793</v>
      </c>
      <c r="AJ2796" s="75">
        <v>10</v>
      </c>
    </row>
    <row r="2797" spans="35:36" x14ac:dyDescent="0.35">
      <c r="AI2797" s="75">
        <v>2794</v>
      </c>
      <c r="AJ2797" s="75">
        <v>10</v>
      </c>
    </row>
    <row r="2798" spans="35:36" x14ac:dyDescent="0.35">
      <c r="AI2798" s="75">
        <v>2795</v>
      </c>
      <c r="AJ2798" s="75">
        <v>10</v>
      </c>
    </row>
    <row r="2799" spans="35:36" x14ac:dyDescent="0.35">
      <c r="AI2799" s="75">
        <v>2796</v>
      </c>
      <c r="AJ2799" s="75">
        <v>10</v>
      </c>
    </row>
    <row r="2800" spans="35:36" x14ac:dyDescent="0.35">
      <c r="AI2800" s="75">
        <v>2797</v>
      </c>
      <c r="AJ2800" s="75">
        <v>10</v>
      </c>
    </row>
    <row r="2801" spans="35:36" x14ac:dyDescent="0.35">
      <c r="AI2801" s="75">
        <v>2798</v>
      </c>
      <c r="AJ2801" s="75">
        <v>10</v>
      </c>
    </row>
    <row r="2802" spans="35:36" x14ac:dyDescent="0.35">
      <c r="AI2802" s="75">
        <v>2799</v>
      </c>
      <c r="AJ2802" s="75">
        <v>10</v>
      </c>
    </row>
    <row r="2803" spans="35:36" x14ac:dyDescent="0.35">
      <c r="AI2803" s="75">
        <v>2800</v>
      </c>
      <c r="AJ2803" s="75">
        <v>10</v>
      </c>
    </row>
    <row r="2804" spans="35:36" x14ac:dyDescent="0.35">
      <c r="AI2804" s="75">
        <v>2801</v>
      </c>
      <c r="AJ2804" s="75">
        <v>10</v>
      </c>
    </row>
    <row r="2805" spans="35:36" x14ac:dyDescent="0.35">
      <c r="AI2805" s="75">
        <v>2802</v>
      </c>
      <c r="AJ2805" s="75">
        <v>10</v>
      </c>
    </row>
    <row r="2806" spans="35:36" x14ac:dyDescent="0.35">
      <c r="AI2806" s="75">
        <v>2803</v>
      </c>
      <c r="AJ2806" s="75">
        <v>10</v>
      </c>
    </row>
    <row r="2807" spans="35:36" x14ac:dyDescent="0.35">
      <c r="AI2807" s="75">
        <v>2804</v>
      </c>
      <c r="AJ2807" s="75">
        <v>10</v>
      </c>
    </row>
    <row r="2808" spans="35:36" x14ac:dyDescent="0.35">
      <c r="AI2808" s="75">
        <v>2805</v>
      </c>
      <c r="AJ2808" s="75">
        <v>10</v>
      </c>
    </row>
    <row r="2809" spans="35:36" x14ac:dyDescent="0.35">
      <c r="AI2809" s="75">
        <v>2806</v>
      </c>
      <c r="AJ2809" s="75">
        <v>10</v>
      </c>
    </row>
    <row r="2810" spans="35:36" x14ac:dyDescent="0.35">
      <c r="AI2810" s="75">
        <v>2807</v>
      </c>
      <c r="AJ2810" s="75">
        <v>10</v>
      </c>
    </row>
    <row r="2811" spans="35:36" x14ac:dyDescent="0.35">
      <c r="AI2811" s="75">
        <v>2808</v>
      </c>
      <c r="AJ2811" s="75">
        <v>10</v>
      </c>
    </row>
    <row r="2812" spans="35:36" x14ac:dyDescent="0.35">
      <c r="AI2812" s="75">
        <v>2809</v>
      </c>
      <c r="AJ2812" s="75">
        <v>10</v>
      </c>
    </row>
    <row r="2813" spans="35:36" x14ac:dyDescent="0.35">
      <c r="AI2813" s="75">
        <v>2810</v>
      </c>
      <c r="AJ2813" s="75">
        <v>10</v>
      </c>
    </row>
    <row r="2814" spans="35:36" x14ac:dyDescent="0.35">
      <c r="AI2814" s="75">
        <v>2811</v>
      </c>
      <c r="AJ2814" s="75">
        <v>10</v>
      </c>
    </row>
    <row r="2815" spans="35:36" x14ac:dyDescent="0.35">
      <c r="AI2815" s="75">
        <v>2812</v>
      </c>
      <c r="AJ2815" s="75">
        <v>10</v>
      </c>
    </row>
    <row r="2816" spans="35:36" x14ac:dyDescent="0.35">
      <c r="AI2816" s="75">
        <v>2813</v>
      </c>
      <c r="AJ2816" s="75">
        <v>10</v>
      </c>
    </row>
    <row r="2817" spans="35:36" x14ac:dyDescent="0.35">
      <c r="AI2817" s="75">
        <v>2814</v>
      </c>
      <c r="AJ2817" s="75">
        <v>10</v>
      </c>
    </row>
    <row r="2818" spans="35:36" x14ac:dyDescent="0.35">
      <c r="AI2818" s="75">
        <v>2815</v>
      </c>
      <c r="AJ2818" s="75">
        <v>10</v>
      </c>
    </row>
    <row r="2819" spans="35:36" x14ac:dyDescent="0.35">
      <c r="AI2819" s="75">
        <v>2816</v>
      </c>
      <c r="AJ2819" s="75">
        <v>10</v>
      </c>
    </row>
    <row r="2820" spans="35:36" x14ac:dyDescent="0.35">
      <c r="AI2820" s="75">
        <v>2817</v>
      </c>
      <c r="AJ2820" s="75">
        <v>10</v>
      </c>
    </row>
    <row r="2821" spans="35:36" x14ac:dyDescent="0.35">
      <c r="AI2821" s="75">
        <v>2818</v>
      </c>
      <c r="AJ2821" s="75">
        <v>10</v>
      </c>
    </row>
    <row r="2822" spans="35:36" x14ac:dyDescent="0.35">
      <c r="AI2822" s="75">
        <v>2819</v>
      </c>
      <c r="AJ2822" s="75">
        <v>10</v>
      </c>
    </row>
    <row r="2823" spans="35:36" x14ac:dyDescent="0.35">
      <c r="AI2823" s="75">
        <v>2820</v>
      </c>
      <c r="AJ2823" s="75">
        <v>10</v>
      </c>
    </row>
    <row r="2824" spans="35:36" x14ac:dyDescent="0.35">
      <c r="AI2824" s="75">
        <v>2821</v>
      </c>
      <c r="AJ2824" s="75">
        <v>10</v>
      </c>
    </row>
    <row r="2825" spans="35:36" x14ac:dyDescent="0.35">
      <c r="AI2825" s="75">
        <v>2822</v>
      </c>
      <c r="AJ2825" s="75">
        <v>10</v>
      </c>
    </row>
    <row r="2826" spans="35:36" x14ac:dyDescent="0.35">
      <c r="AI2826" s="75">
        <v>2823</v>
      </c>
      <c r="AJ2826" s="75">
        <v>10</v>
      </c>
    </row>
    <row r="2827" spans="35:36" x14ac:dyDescent="0.35">
      <c r="AI2827" s="75">
        <v>2824</v>
      </c>
      <c r="AJ2827" s="75">
        <v>10</v>
      </c>
    </row>
    <row r="2828" spans="35:36" x14ac:dyDescent="0.35">
      <c r="AI2828" s="75">
        <v>2825</v>
      </c>
      <c r="AJ2828" s="75">
        <v>10</v>
      </c>
    </row>
    <row r="2829" spans="35:36" x14ac:dyDescent="0.35">
      <c r="AI2829" s="75">
        <v>2826</v>
      </c>
      <c r="AJ2829" s="75">
        <v>10</v>
      </c>
    </row>
    <row r="2830" spans="35:36" x14ac:dyDescent="0.35">
      <c r="AI2830" s="75">
        <v>2827</v>
      </c>
      <c r="AJ2830" s="75">
        <v>10</v>
      </c>
    </row>
    <row r="2831" spans="35:36" x14ac:dyDescent="0.35">
      <c r="AI2831" s="75">
        <v>2828</v>
      </c>
      <c r="AJ2831" s="75">
        <v>10</v>
      </c>
    </row>
    <row r="2832" spans="35:36" x14ac:dyDescent="0.35">
      <c r="AI2832" s="75">
        <v>2829</v>
      </c>
      <c r="AJ2832" s="75">
        <v>10</v>
      </c>
    </row>
    <row r="2833" spans="35:36" x14ac:dyDescent="0.35">
      <c r="AI2833" s="75">
        <v>2830</v>
      </c>
      <c r="AJ2833" s="75">
        <v>10</v>
      </c>
    </row>
    <row r="2834" spans="35:36" x14ac:dyDescent="0.35">
      <c r="AI2834" s="75">
        <v>2831</v>
      </c>
      <c r="AJ2834" s="75">
        <v>10</v>
      </c>
    </row>
    <row r="2835" spans="35:36" x14ac:dyDescent="0.35">
      <c r="AI2835" s="75">
        <v>2832</v>
      </c>
      <c r="AJ2835" s="75">
        <v>10</v>
      </c>
    </row>
    <row r="2836" spans="35:36" x14ac:dyDescent="0.35">
      <c r="AI2836" s="75">
        <v>2833</v>
      </c>
      <c r="AJ2836" s="75">
        <v>10</v>
      </c>
    </row>
    <row r="2837" spans="35:36" x14ac:dyDescent="0.35">
      <c r="AI2837" s="75">
        <v>2834</v>
      </c>
      <c r="AJ2837" s="75">
        <v>10</v>
      </c>
    </row>
    <row r="2838" spans="35:36" x14ac:dyDescent="0.35">
      <c r="AI2838" s="75">
        <v>2835</v>
      </c>
      <c r="AJ2838" s="75">
        <v>10</v>
      </c>
    </row>
    <row r="2839" spans="35:36" x14ac:dyDescent="0.35">
      <c r="AI2839" s="75">
        <v>2836</v>
      </c>
      <c r="AJ2839" s="75">
        <v>10</v>
      </c>
    </row>
    <row r="2840" spans="35:36" x14ac:dyDescent="0.35">
      <c r="AI2840" s="75">
        <v>2837</v>
      </c>
      <c r="AJ2840" s="75">
        <v>10</v>
      </c>
    </row>
    <row r="2841" spans="35:36" x14ac:dyDescent="0.35">
      <c r="AI2841" s="75">
        <v>2838</v>
      </c>
      <c r="AJ2841" s="75">
        <v>10</v>
      </c>
    </row>
    <row r="2842" spans="35:36" x14ac:dyDescent="0.35">
      <c r="AI2842" s="75">
        <v>2839</v>
      </c>
      <c r="AJ2842" s="75">
        <v>10</v>
      </c>
    </row>
    <row r="2843" spans="35:36" x14ac:dyDescent="0.35">
      <c r="AI2843" s="75">
        <v>2840</v>
      </c>
      <c r="AJ2843" s="75">
        <v>10</v>
      </c>
    </row>
    <row r="2844" spans="35:36" x14ac:dyDescent="0.35">
      <c r="AI2844" s="75">
        <v>2841</v>
      </c>
      <c r="AJ2844" s="75">
        <v>10</v>
      </c>
    </row>
    <row r="2845" spans="35:36" x14ac:dyDescent="0.35">
      <c r="AI2845" s="75">
        <v>2842</v>
      </c>
      <c r="AJ2845" s="75">
        <v>10</v>
      </c>
    </row>
    <row r="2846" spans="35:36" x14ac:dyDescent="0.35">
      <c r="AI2846" s="75">
        <v>2843</v>
      </c>
      <c r="AJ2846" s="75">
        <v>10</v>
      </c>
    </row>
    <row r="2847" spans="35:36" x14ac:dyDescent="0.35">
      <c r="AI2847" s="75">
        <v>2844</v>
      </c>
      <c r="AJ2847" s="75">
        <v>10</v>
      </c>
    </row>
    <row r="2848" spans="35:36" x14ac:dyDescent="0.35">
      <c r="AI2848" s="75">
        <v>2845</v>
      </c>
      <c r="AJ2848" s="75">
        <v>10</v>
      </c>
    </row>
    <row r="2849" spans="35:36" x14ac:dyDescent="0.35">
      <c r="AI2849" s="75">
        <v>2846</v>
      </c>
      <c r="AJ2849" s="75">
        <v>10</v>
      </c>
    </row>
    <row r="2850" spans="35:36" x14ac:dyDescent="0.35">
      <c r="AI2850" s="75">
        <v>2847</v>
      </c>
      <c r="AJ2850" s="75">
        <v>10</v>
      </c>
    </row>
    <row r="2851" spans="35:36" x14ac:dyDescent="0.35">
      <c r="AI2851" s="75">
        <v>2848</v>
      </c>
      <c r="AJ2851" s="75">
        <v>10</v>
      </c>
    </row>
    <row r="2852" spans="35:36" x14ac:dyDescent="0.35">
      <c r="AI2852" s="75">
        <v>2849</v>
      </c>
      <c r="AJ2852" s="75">
        <v>10</v>
      </c>
    </row>
    <row r="2853" spans="35:36" x14ac:dyDescent="0.35">
      <c r="AI2853" s="75">
        <v>2850</v>
      </c>
      <c r="AJ2853" s="75">
        <v>10</v>
      </c>
    </row>
    <row r="2854" spans="35:36" x14ac:dyDescent="0.35">
      <c r="AI2854" s="75">
        <v>2851</v>
      </c>
      <c r="AJ2854" s="75">
        <v>10</v>
      </c>
    </row>
    <row r="2855" spans="35:36" x14ac:dyDescent="0.35">
      <c r="AI2855" s="75">
        <v>2852</v>
      </c>
      <c r="AJ2855" s="75">
        <v>10</v>
      </c>
    </row>
    <row r="2856" spans="35:36" x14ac:dyDescent="0.35">
      <c r="AI2856" s="75">
        <v>2853</v>
      </c>
      <c r="AJ2856" s="75">
        <v>10</v>
      </c>
    </row>
    <row r="2857" spans="35:36" x14ac:dyDescent="0.35">
      <c r="AI2857" s="75">
        <v>2854</v>
      </c>
      <c r="AJ2857" s="75">
        <v>10</v>
      </c>
    </row>
    <row r="2858" spans="35:36" x14ac:dyDescent="0.35">
      <c r="AI2858" s="75">
        <v>2855</v>
      </c>
      <c r="AJ2858" s="75">
        <v>10</v>
      </c>
    </row>
    <row r="2859" spans="35:36" x14ac:dyDescent="0.35">
      <c r="AI2859" s="75">
        <v>2856</v>
      </c>
      <c r="AJ2859" s="75">
        <v>10</v>
      </c>
    </row>
    <row r="2860" spans="35:36" x14ac:dyDescent="0.35">
      <c r="AI2860" s="75">
        <v>2857</v>
      </c>
      <c r="AJ2860" s="75">
        <v>10</v>
      </c>
    </row>
    <row r="2861" spans="35:36" x14ac:dyDescent="0.35">
      <c r="AI2861" s="75">
        <v>2858</v>
      </c>
      <c r="AJ2861" s="75">
        <v>10</v>
      </c>
    </row>
    <row r="2862" spans="35:36" x14ac:dyDescent="0.35">
      <c r="AI2862" s="75">
        <v>2859</v>
      </c>
      <c r="AJ2862" s="75">
        <v>10</v>
      </c>
    </row>
    <row r="2863" spans="35:36" x14ac:dyDescent="0.35">
      <c r="AI2863" s="75">
        <v>2860</v>
      </c>
      <c r="AJ2863" s="75">
        <v>10</v>
      </c>
    </row>
    <row r="2864" spans="35:36" x14ac:dyDescent="0.35">
      <c r="AI2864" s="75">
        <v>2861</v>
      </c>
      <c r="AJ2864" s="75">
        <v>10</v>
      </c>
    </row>
    <row r="2865" spans="35:36" x14ac:dyDescent="0.35">
      <c r="AI2865" s="75">
        <v>2862</v>
      </c>
      <c r="AJ2865" s="75">
        <v>10</v>
      </c>
    </row>
    <row r="2866" spans="35:36" x14ac:dyDescent="0.35">
      <c r="AI2866" s="75">
        <v>2863</v>
      </c>
      <c r="AJ2866" s="75">
        <v>10</v>
      </c>
    </row>
    <row r="2867" spans="35:36" x14ac:dyDescent="0.35">
      <c r="AI2867" s="75">
        <v>2864</v>
      </c>
      <c r="AJ2867" s="75">
        <v>10</v>
      </c>
    </row>
    <row r="2868" spans="35:36" x14ac:dyDescent="0.35">
      <c r="AI2868" s="75">
        <v>2865</v>
      </c>
      <c r="AJ2868" s="75">
        <v>10</v>
      </c>
    </row>
    <row r="2869" spans="35:36" x14ac:dyDescent="0.35">
      <c r="AI2869" s="75">
        <v>2866</v>
      </c>
      <c r="AJ2869" s="75">
        <v>10</v>
      </c>
    </row>
    <row r="2870" spans="35:36" x14ac:dyDescent="0.35">
      <c r="AI2870" s="75">
        <v>2867</v>
      </c>
      <c r="AJ2870" s="75">
        <v>10</v>
      </c>
    </row>
    <row r="2871" spans="35:36" x14ac:dyDescent="0.35">
      <c r="AI2871" s="75">
        <v>2868</v>
      </c>
      <c r="AJ2871" s="75">
        <v>10</v>
      </c>
    </row>
    <row r="2872" spans="35:36" x14ac:dyDescent="0.35">
      <c r="AI2872" s="75">
        <v>2869</v>
      </c>
      <c r="AJ2872" s="75">
        <v>10</v>
      </c>
    </row>
    <row r="2873" spans="35:36" x14ac:dyDescent="0.35">
      <c r="AI2873" s="75">
        <v>2870</v>
      </c>
      <c r="AJ2873" s="75">
        <v>10</v>
      </c>
    </row>
    <row r="2874" spans="35:36" x14ac:dyDescent="0.35">
      <c r="AI2874" s="75">
        <v>2871</v>
      </c>
      <c r="AJ2874" s="75">
        <v>10</v>
      </c>
    </row>
    <row r="2875" spans="35:36" x14ac:dyDescent="0.35">
      <c r="AI2875" s="75">
        <v>2872</v>
      </c>
      <c r="AJ2875" s="75">
        <v>10</v>
      </c>
    </row>
    <row r="2876" spans="35:36" x14ac:dyDescent="0.35">
      <c r="AI2876" s="75">
        <v>2873</v>
      </c>
      <c r="AJ2876" s="75">
        <v>10</v>
      </c>
    </row>
    <row r="2877" spans="35:36" x14ac:dyDescent="0.35">
      <c r="AI2877" s="75">
        <v>2874</v>
      </c>
      <c r="AJ2877" s="75">
        <v>10</v>
      </c>
    </row>
    <row r="2878" spans="35:36" x14ac:dyDescent="0.35">
      <c r="AI2878" s="75">
        <v>2875</v>
      </c>
      <c r="AJ2878" s="75">
        <v>10</v>
      </c>
    </row>
    <row r="2879" spans="35:36" x14ac:dyDescent="0.35">
      <c r="AI2879" s="75">
        <v>2876</v>
      </c>
      <c r="AJ2879" s="75">
        <v>10</v>
      </c>
    </row>
    <row r="2880" spans="35:36" x14ac:dyDescent="0.35">
      <c r="AI2880" s="75">
        <v>2877</v>
      </c>
      <c r="AJ2880" s="75">
        <v>10</v>
      </c>
    </row>
    <row r="2881" spans="35:36" x14ac:dyDescent="0.35">
      <c r="AI2881" s="75">
        <v>2878</v>
      </c>
      <c r="AJ2881" s="75">
        <v>10</v>
      </c>
    </row>
    <row r="2882" spans="35:36" x14ac:dyDescent="0.35">
      <c r="AI2882" s="75">
        <v>2879</v>
      </c>
      <c r="AJ2882" s="75">
        <v>10</v>
      </c>
    </row>
    <row r="2883" spans="35:36" x14ac:dyDescent="0.35">
      <c r="AI2883" s="75">
        <v>2880</v>
      </c>
      <c r="AJ2883" s="75">
        <v>10</v>
      </c>
    </row>
    <row r="2884" spans="35:36" x14ac:dyDescent="0.35">
      <c r="AI2884" s="75">
        <v>2881</v>
      </c>
      <c r="AJ2884" s="75">
        <v>10</v>
      </c>
    </row>
    <row r="2885" spans="35:36" x14ac:dyDescent="0.35">
      <c r="AI2885" s="75">
        <v>2882</v>
      </c>
      <c r="AJ2885" s="75">
        <v>10</v>
      </c>
    </row>
    <row r="2886" spans="35:36" x14ac:dyDescent="0.35">
      <c r="AI2886" s="75">
        <v>2883</v>
      </c>
      <c r="AJ2886" s="75">
        <v>10</v>
      </c>
    </row>
    <row r="2887" spans="35:36" x14ac:dyDescent="0.35">
      <c r="AI2887" s="75">
        <v>2884</v>
      </c>
      <c r="AJ2887" s="75">
        <v>10</v>
      </c>
    </row>
    <row r="2888" spans="35:36" x14ac:dyDescent="0.35">
      <c r="AI2888" s="75">
        <v>2885</v>
      </c>
      <c r="AJ2888" s="75"/>
    </row>
    <row r="2889" spans="35:36" x14ac:dyDescent="0.35">
      <c r="AI2889" s="75">
        <v>2886</v>
      </c>
      <c r="AJ2889" s="75"/>
    </row>
    <row r="2890" spans="35:36" x14ac:dyDescent="0.35">
      <c r="AI2890" s="75">
        <v>2887</v>
      </c>
      <c r="AJ2890" s="75">
        <v>10</v>
      </c>
    </row>
    <row r="2891" spans="35:36" x14ac:dyDescent="0.35">
      <c r="AI2891" s="75">
        <v>2888</v>
      </c>
      <c r="AJ2891" s="75">
        <v>10</v>
      </c>
    </row>
    <row r="2892" spans="35:36" x14ac:dyDescent="0.35">
      <c r="AI2892" s="75">
        <v>2889</v>
      </c>
      <c r="AJ2892" s="75">
        <v>10</v>
      </c>
    </row>
    <row r="2893" spans="35:36" x14ac:dyDescent="0.35">
      <c r="AI2893" s="75">
        <v>2890</v>
      </c>
      <c r="AJ2893" s="75">
        <v>10</v>
      </c>
    </row>
    <row r="2894" spans="35:36" x14ac:dyDescent="0.35">
      <c r="AI2894" s="75">
        <v>2891</v>
      </c>
      <c r="AJ2894" s="75">
        <v>10</v>
      </c>
    </row>
    <row r="2895" spans="35:36" x14ac:dyDescent="0.35">
      <c r="AI2895" s="75">
        <v>2892</v>
      </c>
      <c r="AJ2895" s="75">
        <v>10</v>
      </c>
    </row>
    <row r="2896" spans="35:36" x14ac:dyDescent="0.35">
      <c r="AI2896" s="75">
        <v>2893</v>
      </c>
      <c r="AJ2896" s="75">
        <v>10</v>
      </c>
    </row>
    <row r="2897" spans="35:36" x14ac:dyDescent="0.35">
      <c r="AI2897" s="75">
        <v>2894</v>
      </c>
      <c r="AJ2897" s="75">
        <v>10</v>
      </c>
    </row>
    <row r="2898" spans="35:36" x14ac:dyDescent="0.35">
      <c r="AI2898" s="75">
        <v>2895</v>
      </c>
      <c r="AJ2898" s="75">
        <v>10</v>
      </c>
    </row>
    <row r="2899" spans="35:36" x14ac:dyDescent="0.35">
      <c r="AI2899" s="75">
        <v>2896</v>
      </c>
      <c r="AJ2899" s="75">
        <v>10</v>
      </c>
    </row>
    <row r="2900" spans="35:36" x14ac:dyDescent="0.35">
      <c r="AI2900" s="75">
        <v>2897</v>
      </c>
      <c r="AJ2900" s="75">
        <v>10</v>
      </c>
    </row>
    <row r="2901" spans="35:36" x14ac:dyDescent="0.35">
      <c r="AI2901" s="75">
        <v>2898</v>
      </c>
      <c r="AJ2901" s="75">
        <v>10</v>
      </c>
    </row>
    <row r="2902" spans="35:36" x14ac:dyDescent="0.35">
      <c r="AI2902" s="75">
        <v>2899</v>
      </c>
      <c r="AJ2902" s="75">
        <v>10</v>
      </c>
    </row>
    <row r="2903" spans="35:36" x14ac:dyDescent="0.35">
      <c r="AI2903" s="75">
        <v>2900</v>
      </c>
      <c r="AJ2903" s="75">
        <v>10</v>
      </c>
    </row>
    <row r="2904" spans="35:36" x14ac:dyDescent="0.35">
      <c r="AI2904" s="75">
        <v>2901</v>
      </c>
      <c r="AJ2904" s="75">
        <v>10</v>
      </c>
    </row>
    <row r="2905" spans="35:36" x14ac:dyDescent="0.35">
      <c r="AI2905" s="75">
        <v>2902</v>
      </c>
      <c r="AJ2905" s="75">
        <v>10</v>
      </c>
    </row>
    <row r="2906" spans="35:36" x14ac:dyDescent="0.35">
      <c r="AI2906" s="75">
        <v>2903</v>
      </c>
      <c r="AJ2906" s="75">
        <v>10</v>
      </c>
    </row>
    <row r="2907" spans="35:36" x14ac:dyDescent="0.35">
      <c r="AI2907" s="75">
        <v>2904</v>
      </c>
      <c r="AJ2907" s="75">
        <v>10</v>
      </c>
    </row>
    <row r="2908" spans="35:36" x14ac:dyDescent="0.35">
      <c r="AI2908" s="75">
        <v>2905</v>
      </c>
      <c r="AJ2908" s="75">
        <v>10</v>
      </c>
    </row>
    <row r="2909" spans="35:36" x14ac:dyDescent="0.35">
      <c r="AI2909" s="75">
        <v>2906</v>
      </c>
      <c r="AJ2909" s="75">
        <v>10</v>
      </c>
    </row>
    <row r="2910" spans="35:36" x14ac:dyDescent="0.35">
      <c r="AI2910" s="75">
        <v>2907</v>
      </c>
      <c r="AJ2910" s="75">
        <v>10</v>
      </c>
    </row>
    <row r="2911" spans="35:36" x14ac:dyDescent="0.35">
      <c r="AI2911" s="75">
        <v>2908</v>
      </c>
      <c r="AJ2911" s="75">
        <v>10</v>
      </c>
    </row>
    <row r="2912" spans="35:36" x14ac:dyDescent="0.35">
      <c r="AI2912" s="75">
        <v>2909</v>
      </c>
      <c r="AJ2912" s="75">
        <v>10</v>
      </c>
    </row>
    <row r="2913" spans="35:36" x14ac:dyDescent="0.35">
      <c r="AI2913" s="75">
        <v>2910</v>
      </c>
      <c r="AJ2913" s="75">
        <v>10</v>
      </c>
    </row>
    <row r="2914" spans="35:36" x14ac:dyDescent="0.35">
      <c r="AI2914" s="75">
        <v>2911</v>
      </c>
      <c r="AJ2914" s="75">
        <v>10</v>
      </c>
    </row>
    <row r="2915" spans="35:36" x14ac:dyDescent="0.35">
      <c r="AI2915" s="75">
        <v>2912</v>
      </c>
      <c r="AJ2915" s="75">
        <v>10</v>
      </c>
    </row>
    <row r="2916" spans="35:36" x14ac:dyDescent="0.35">
      <c r="AI2916" s="75">
        <v>2913</v>
      </c>
      <c r="AJ2916" s="75">
        <v>10</v>
      </c>
    </row>
    <row r="2917" spans="35:36" x14ac:dyDescent="0.35">
      <c r="AI2917" s="75">
        <v>2914</v>
      </c>
      <c r="AJ2917" s="75">
        <v>10</v>
      </c>
    </row>
    <row r="2918" spans="35:36" x14ac:dyDescent="0.35">
      <c r="AI2918" s="75">
        <v>2915</v>
      </c>
      <c r="AJ2918" s="75">
        <v>10</v>
      </c>
    </row>
    <row r="2919" spans="35:36" x14ac:dyDescent="0.35">
      <c r="AI2919" s="75">
        <v>2916</v>
      </c>
      <c r="AJ2919" s="75">
        <v>10</v>
      </c>
    </row>
    <row r="2920" spans="35:36" x14ac:dyDescent="0.35">
      <c r="AI2920" s="75">
        <v>2917</v>
      </c>
      <c r="AJ2920" s="75">
        <v>10</v>
      </c>
    </row>
    <row r="2921" spans="35:36" x14ac:dyDescent="0.35">
      <c r="AI2921" s="75">
        <v>2918</v>
      </c>
      <c r="AJ2921" s="75">
        <v>10</v>
      </c>
    </row>
    <row r="2922" spans="35:36" x14ac:dyDescent="0.35">
      <c r="AI2922" s="75">
        <v>2919</v>
      </c>
      <c r="AJ2922" s="75">
        <v>10</v>
      </c>
    </row>
    <row r="2923" spans="35:36" x14ac:dyDescent="0.35">
      <c r="AI2923" s="75">
        <v>2920</v>
      </c>
      <c r="AJ2923" s="75">
        <v>10</v>
      </c>
    </row>
    <row r="2924" spans="35:36" x14ac:dyDescent="0.35">
      <c r="AI2924" s="75">
        <v>2921</v>
      </c>
      <c r="AJ2924" s="75">
        <v>10</v>
      </c>
    </row>
    <row r="2925" spans="35:36" x14ac:dyDescent="0.35">
      <c r="AI2925" s="75">
        <v>2922</v>
      </c>
      <c r="AJ2925" s="75">
        <v>10</v>
      </c>
    </row>
    <row r="2926" spans="35:36" x14ac:dyDescent="0.35">
      <c r="AI2926" s="75">
        <v>2923</v>
      </c>
      <c r="AJ2926" s="75">
        <v>10</v>
      </c>
    </row>
    <row r="2927" spans="35:36" x14ac:dyDescent="0.35">
      <c r="AI2927" s="75">
        <v>2924</v>
      </c>
      <c r="AJ2927" s="75">
        <v>10</v>
      </c>
    </row>
    <row r="2928" spans="35:36" x14ac:dyDescent="0.35">
      <c r="AI2928" s="75">
        <v>2925</v>
      </c>
      <c r="AJ2928" s="75">
        <v>10</v>
      </c>
    </row>
    <row r="2929" spans="35:36" x14ac:dyDescent="0.35">
      <c r="AI2929" s="75">
        <v>2926</v>
      </c>
      <c r="AJ2929" s="75">
        <v>10</v>
      </c>
    </row>
    <row r="2930" spans="35:36" x14ac:dyDescent="0.35">
      <c r="AI2930" s="75">
        <v>2927</v>
      </c>
      <c r="AJ2930" s="75">
        <v>10</v>
      </c>
    </row>
    <row r="2931" spans="35:36" x14ac:dyDescent="0.35">
      <c r="AI2931" s="75">
        <v>2928</v>
      </c>
      <c r="AJ2931" s="75">
        <v>10</v>
      </c>
    </row>
    <row r="2932" spans="35:36" x14ac:dyDescent="0.35">
      <c r="AI2932" s="75">
        <v>2929</v>
      </c>
      <c r="AJ2932" s="75">
        <v>10</v>
      </c>
    </row>
    <row r="2933" spans="35:36" x14ac:dyDescent="0.35">
      <c r="AI2933" s="75">
        <v>2930</v>
      </c>
      <c r="AJ2933" s="75">
        <v>10</v>
      </c>
    </row>
    <row r="2934" spans="35:36" x14ac:dyDescent="0.35">
      <c r="AI2934" s="75">
        <v>2931</v>
      </c>
      <c r="AJ2934" s="75">
        <v>10</v>
      </c>
    </row>
    <row r="2935" spans="35:36" x14ac:dyDescent="0.35">
      <c r="AI2935" s="75">
        <v>2932</v>
      </c>
      <c r="AJ2935" s="75">
        <v>10</v>
      </c>
    </row>
    <row r="2936" spans="35:36" x14ac:dyDescent="0.35">
      <c r="AI2936" s="75">
        <v>2933</v>
      </c>
      <c r="AJ2936" s="75">
        <v>10</v>
      </c>
    </row>
    <row r="2937" spans="35:36" x14ac:dyDescent="0.35">
      <c r="AI2937" s="75">
        <v>2934</v>
      </c>
      <c r="AJ2937" s="75">
        <v>10</v>
      </c>
    </row>
    <row r="2938" spans="35:36" x14ac:dyDescent="0.35">
      <c r="AI2938" s="75">
        <v>2935</v>
      </c>
      <c r="AJ2938" s="75">
        <v>10</v>
      </c>
    </row>
    <row r="2939" spans="35:36" x14ac:dyDescent="0.35">
      <c r="AI2939" s="75">
        <v>2936</v>
      </c>
      <c r="AJ2939" s="75">
        <v>10</v>
      </c>
    </row>
    <row r="2940" spans="35:36" x14ac:dyDescent="0.35">
      <c r="AI2940" s="75">
        <v>2937</v>
      </c>
      <c r="AJ2940" s="75">
        <v>10</v>
      </c>
    </row>
    <row r="2941" spans="35:36" x14ac:dyDescent="0.35">
      <c r="AI2941" s="75">
        <v>2938</v>
      </c>
      <c r="AJ2941" s="75">
        <v>10</v>
      </c>
    </row>
    <row r="2942" spans="35:36" x14ac:dyDescent="0.35">
      <c r="AI2942" s="75">
        <v>2939</v>
      </c>
      <c r="AJ2942" s="75">
        <v>10</v>
      </c>
    </row>
    <row r="2943" spans="35:36" x14ac:dyDescent="0.35">
      <c r="AI2943" s="75">
        <v>2940</v>
      </c>
      <c r="AJ2943" s="75">
        <v>10</v>
      </c>
    </row>
    <row r="2944" spans="35:36" x14ac:dyDescent="0.35">
      <c r="AI2944" s="75">
        <v>2941</v>
      </c>
      <c r="AJ2944" s="75">
        <v>10</v>
      </c>
    </row>
    <row r="2945" spans="35:36" x14ac:dyDescent="0.35">
      <c r="AI2945" s="75">
        <v>2942</v>
      </c>
      <c r="AJ2945" s="75">
        <v>10</v>
      </c>
    </row>
    <row r="2946" spans="35:36" x14ac:dyDescent="0.35">
      <c r="AI2946" s="75">
        <v>2943</v>
      </c>
      <c r="AJ2946" s="75">
        <v>10</v>
      </c>
    </row>
    <row r="2947" spans="35:36" x14ac:dyDescent="0.35">
      <c r="AI2947" s="75">
        <v>2944</v>
      </c>
      <c r="AJ2947" s="75">
        <v>10</v>
      </c>
    </row>
    <row r="2948" spans="35:36" x14ac:dyDescent="0.35">
      <c r="AI2948" s="75">
        <v>2945</v>
      </c>
      <c r="AJ2948" s="75">
        <v>10</v>
      </c>
    </row>
    <row r="2949" spans="35:36" x14ac:dyDescent="0.35">
      <c r="AI2949" s="75">
        <v>2946</v>
      </c>
      <c r="AJ2949" s="75">
        <v>10</v>
      </c>
    </row>
    <row r="2950" spans="35:36" x14ac:dyDescent="0.35">
      <c r="AI2950" s="75">
        <v>2947</v>
      </c>
      <c r="AJ2950" s="75">
        <v>10</v>
      </c>
    </row>
    <row r="2951" spans="35:36" x14ac:dyDescent="0.35">
      <c r="AI2951" s="75">
        <v>2948</v>
      </c>
      <c r="AJ2951" s="75">
        <v>10</v>
      </c>
    </row>
    <row r="2952" spans="35:36" x14ac:dyDescent="0.35">
      <c r="AI2952" s="75">
        <v>2949</v>
      </c>
      <c r="AJ2952" s="75">
        <v>10</v>
      </c>
    </row>
    <row r="2953" spans="35:36" x14ac:dyDescent="0.35">
      <c r="AI2953" s="75">
        <v>2950</v>
      </c>
      <c r="AJ2953" s="75">
        <v>10</v>
      </c>
    </row>
    <row r="2954" spans="35:36" x14ac:dyDescent="0.35">
      <c r="AI2954" s="75">
        <v>2951</v>
      </c>
      <c r="AJ2954" s="75">
        <v>10</v>
      </c>
    </row>
    <row r="2955" spans="35:36" x14ac:dyDescent="0.35">
      <c r="AI2955" s="75">
        <v>2952</v>
      </c>
      <c r="AJ2955" s="75">
        <v>10</v>
      </c>
    </row>
    <row r="2956" spans="35:36" x14ac:dyDescent="0.35">
      <c r="AI2956" s="75">
        <v>2953</v>
      </c>
      <c r="AJ2956" s="75">
        <v>10</v>
      </c>
    </row>
    <row r="2957" spans="35:36" x14ac:dyDescent="0.35">
      <c r="AI2957" s="75">
        <v>2954</v>
      </c>
      <c r="AJ2957" s="75">
        <v>10</v>
      </c>
    </row>
    <row r="2958" spans="35:36" x14ac:dyDescent="0.35">
      <c r="AI2958" s="75">
        <v>2955</v>
      </c>
      <c r="AJ2958" s="75">
        <v>10</v>
      </c>
    </row>
    <row r="2959" spans="35:36" x14ac:dyDescent="0.35">
      <c r="AI2959" s="75">
        <v>2956</v>
      </c>
      <c r="AJ2959" s="75">
        <v>10</v>
      </c>
    </row>
    <row r="2960" spans="35:36" x14ac:dyDescent="0.35">
      <c r="AI2960" s="75">
        <v>2957</v>
      </c>
      <c r="AJ2960" s="75">
        <v>10</v>
      </c>
    </row>
    <row r="2961" spans="35:36" x14ac:dyDescent="0.35">
      <c r="AI2961" s="75">
        <v>2958</v>
      </c>
      <c r="AJ2961" s="75">
        <v>10</v>
      </c>
    </row>
    <row r="2962" spans="35:36" x14ac:dyDescent="0.35">
      <c r="AI2962" s="75">
        <v>2959</v>
      </c>
      <c r="AJ2962" s="75">
        <v>10</v>
      </c>
    </row>
    <row r="2963" spans="35:36" x14ac:dyDescent="0.35">
      <c r="AI2963" s="75">
        <v>2960</v>
      </c>
      <c r="AJ2963" s="75">
        <v>10</v>
      </c>
    </row>
    <row r="2964" spans="35:36" x14ac:dyDescent="0.35">
      <c r="AI2964" s="75">
        <v>2961</v>
      </c>
      <c r="AJ2964" s="75">
        <v>10</v>
      </c>
    </row>
    <row r="2965" spans="35:36" x14ac:dyDescent="0.35">
      <c r="AI2965" s="75">
        <v>2962</v>
      </c>
      <c r="AJ2965" s="75">
        <v>10</v>
      </c>
    </row>
    <row r="2966" spans="35:36" x14ac:dyDescent="0.35">
      <c r="AI2966" s="75">
        <v>2963</v>
      </c>
      <c r="AJ2966" s="75">
        <v>10</v>
      </c>
    </row>
    <row r="2967" spans="35:36" x14ac:dyDescent="0.35">
      <c r="AI2967" s="75">
        <v>2964</v>
      </c>
      <c r="AJ2967" s="75">
        <v>10</v>
      </c>
    </row>
    <row r="2968" spans="35:36" x14ac:dyDescent="0.35">
      <c r="AI2968" s="75">
        <v>2965</v>
      </c>
      <c r="AJ2968" s="75">
        <v>10</v>
      </c>
    </row>
    <row r="2969" spans="35:36" x14ac:dyDescent="0.35">
      <c r="AI2969" s="75">
        <v>2966</v>
      </c>
      <c r="AJ2969" s="75">
        <v>10</v>
      </c>
    </row>
    <row r="2970" spans="35:36" x14ac:dyDescent="0.35">
      <c r="AI2970" s="75">
        <v>2967</v>
      </c>
      <c r="AJ2970" s="75">
        <v>10</v>
      </c>
    </row>
    <row r="2971" spans="35:36" x14ac:dyDescent="0.35">
      <c r="AI2971" s="75">
        <v>2968</v>
      </c>
      <c r="AJ2971" s="75">
        <v>10</v>
      </c>
    </row>
    <row r="2972" spans="35:36" x14ac:dyDescent="0.35">
      <c r="AI2972" s="75">
        <v>2969</v>
      </c>
      <c r="AJ2972" s="75">
        <v>10</v>
      </c>
    </row>
    <row r="2973" spans="35:36" x14ac:dyDescent="0.35">
      <c r="AI2973" s="75">
        <v>2970</v>
      </c>
      <c r="AJ2973" s="75">
        <v>10</v>
      </c>
    </row>
    <row r="2974" spans="35:36" x14ac:dyDescent="0.35">
      <c r="AI2974" s="75">
        <v>2971</v>
      </c>
      <c r="AJ2974" s="75">
        <v>10</v>
      </c>
    </row>
    <row r="2975" spans="35:36" x14ac:dyDescent="0.35">
      <c r="AI2975" s="75">
        <v>2972</v>
      </c>
      <c r="AJ2975" s="75">
        <v>10</v>
      </c>
    </row>
    <row r="2976" spans="35:36" x14ac:dyDescent="0.35">
      <c r="AI2976" s="75">
        <v>2973</v>
      </c>
      <c r="AJ2976" s="75">
        <v>10</v>
      </c>
    </row>
    <row r="2977" spans="35:36" x14ac:dyDescent="0.35">
      <c r="AI2977" s="75">
        <v>2974</v>
      </c>
      <c r="AJ2977" s="75">
        <v>10</v>
      </c>
    </row>
    <row r="2978" spans="35:36" x14ac:dyDescent="0.35">
      <c r="AI2978" s="75">
        <v>2975</v>
      </c>
      <c r="AJ2978" s="75">
        <v>10</v>
      </c>
    </row>
    <row r="2979" spans="35:36" x14ac:dyDescent="0.35">
      <c r="AI2979" s="75">
        <v>2976</v>
      </c>
      <c r="AJ2979" s="75">
        <v>10</v>
      </c>
    </row>
    <row r="2980" spans="35:36" x14ac:dyDescent="0.35">
      <c r="AI2980" s="75">
        <v>2977</v>
      </c>
      <c r="AJ2980" s="75">
        <v>10</v>
      </c>
    </row>
    <row r="2981" spans="35:36" x14ac:dyDescent="0.35">
      <c r="AI2981" s="75">
        <v>2978</v>
      </c>
      <c r="AJ2981" s="75">
        <v>10</v>
      </c>
    </row>
    <row r="2982" spans="35:36" x14ac:dyDescent="0.35">
      <c r="AI2982" s="75">
        <v>2979</v>
      </c>
      <c r="AJ2982" s="75">
        <v>10</v>
      </c>
    </row>
    <row r="2983" spans="35:36" x14ac:dyDescent="0.35">
      <c r="AI2983" s="75">
        <v>2980</v>
      </c>
      <c r="AJ2983" s="75">
        <v>10</v>
      </c>
    </row>
    <row r="2984" spans="35:36" x14ac:dyDescent="0.35">
      <c r="AI2984" s="75">
        <v>2981</v>
      </c>
      <c r="AJ2984" s="75">
        <v>10</v>
      </c>
    </row>
    <row r="2985" spans="35:36" x14ac:dyDescent="0.35">
      <c r="AI2985" s="75">
        <v>2982</v>
      </c>
      <c r="AJ2985" s="75">
        <v>10</v>
      </c>
    </row>
    <row r="2986" spans="35:36" x14ac:dyDescent="0.35">
      <c r="AI2986" s="75">
        <v>2983</v>
      </c>
      <c r="AJ2986" s="75">
        <v>10</v>
      </c>
    </row>
    <row r="2987" spans="35:36" x14ac:dyDescent="0.35">
      <c r="AI2987" s="75">
        <v>2984</v>
      </c>
      <c r="AJ2987" s="75">
        <v>10</v>
      </c>
    </row>
    <row r="2988" spans="35:36" x14ac:dyDescent="0.35">
      <c r="AI2988" s="75">
        <v>2985</v>
      </c>
      <c r="AJ2988" s="75">
        <v>10</v>
      </c>
    </row>
    <row r="2989" spans="35:36" x14ac:dyDescent="0.35">
      <c r="AI2989" s="75">
        <v>2986</v>
      </c>
      <c r="AJ2989" s="75">
        <v>10</v>
      </c>
    </row>
    <row r="2990" spans="35:36" x14ac:dyDescent="0.35">
      <c r="AI2990" s="75">
        <v>2987</v>
      </c>
      <c r="AJ2990" s="75">
        <v>10</v>
      </c>
    </row>
    <row r="2991" spans="35:36" x14ac:dyDescent="0.35">
      <c r="AI2991" s="75">
        <v>2988</v>
      </c>
      <c r="AJ2991" s="75">
        <v>10</v>
      </c>
    </row>
    <row r="2992" spans="35:36" x14ac:dyDescent="0.35">
      <c r="AI2992" s="75">
        <v>2989</v>
      </c>
      <c r="AJ2992" s="75">
        <v>10</v>
      </c>
    </row>
    <row r="2993" spans="35:36" x14ac:dyDescent="0.35">
      <c r="AI2993" s="75">
        <v>2990</v>
      </c>
      <c r="AJ2993" s="75">
        <v>10</v>
      </c>
    </row>
    <row r="2994" spans="35:36" x14ac:dyDescent="0.35">
      <c r="AI2994" s="75">
        <v>2991</v>
      </c>
      <c r="AJ2994" s="75">
        <v>10</v>
      </c>
    </row>
    <row r="2995" spans="35:36" x14ac:dyDescent="0.35">
      <c r="AI2995" s="75">
        <v>2992</v>
      </c>
      <c r="AJ2995" s="75">
        <v>10</v>
      </c>
    </row>
    <row r="2996" spans="35:36" x14ac:dyDescent="0.35">
      <c r="AI2996" s="75">
        <v>2993</v>
      </c>
      <c r="AJ2996" s="75">
        <v>10</v>
      </c>
    </row>
    <row r="2997" spans="35:36" x14ac:dyDescent="0.35">
      <c r="AI2997" s="75">
        <v>2994</v>
      </c>
      <c r="AJ2997" s="75">
        <v>10</v>
      </c>
    </row>
    <row r="2998" spans="35:36" x14ac:dyDescent="0.35">
      <c r="AI2998" s="75">
        <v>2995</v>
      </c>
      <c r="AJ2998" s="75">
        <v>10</v>
      </c>
    </row>
    <row r="2999" spans="35:36" x14ac:dyDescent="0.35">
      <c r="AI2999" s="75">
        <v>2996</v>
      </c>
      <c r="AJ2999" s="75">
        <v>10</v>
      </c>
    </row>
    <row r="3000" spans="35:36" x14ac:dyDescent="0.35">
      <c r="AI3000" s="75">
        <v>2997</v>
      </c>
      <c r="AJ3000" s="75">
        <v>10</v>
      </c>
    </row>
    <row r="3001" spans="35:36" x14ac:dyDescent="0.35">
      <c r="AI3001" s="75">
        <v>2998</v>
      </c>
      <c r="AJ3001" s="75">
        <v>10</v>
      </c>
    </row>
    <row r="3002" spans="35:36" x14ac:dyDescent="0.35">
      <c r="AI3002" s="75">
        <v>2999</v>
      </c>
      <c r="AJ3002" s="75">
        <v>10</v>
      </c>
    </row>
    <row r="3003" spans="35:36" x14ac:dyDescent="0.35">
      <c r="AI3003" s="75">
        <v>3000</v>
      </c>
      <c r="AJ3003" s="75">
        <v>10</v>
      </c>
    </row>
    <row r="3004" spans="35:36" x14ac:dyDescent="0.35">
      <c r="AI3004" s="75">
        <v>3001</v>
      </c>
      <c r="AJ3004" s="75">
        <v>10</v>
      </c>
    </row>
    <row r="3005" spans="35:36" x14ac:dyDescent="0.35">
      <c r="AI3005" s="75">
        <v>3002</v>
      </c>
      <c r="AJ3005" s="75">
        <v>10</v>
      </c>
    </row>
    <row r="3006" spans="35:36" x14ac:dyDescent="0.35">
      <c r="AI3006" s="75">
        <v>3003</v>
      </c>
      <c r="AJ3006" s="75">
        <v>10</v>
      </c>
    </row>
    <row r="3007" spans="35:36" x14ac:dyDescent="0.35">
      <c r="AI3007" s="75">
        <v>3004</v>
      </c>
      <c r="AJ3007" s="75">
        <v>10</v>
      </c>
    </row>
    <row r="3008" spans="35:36" x14ac:dyDescent="0.35">
      <c r="AI3008" s="75">
        <v>3005</v>
      </c>
      <c r="AJ3008" s="75">
        <v>10</v>
      </c>
    </row>
    <row r="3009" spans="35:36" x14ac:dyDescent="0.35">
      <c r="AI3009" s="75">
        <v>3006</v>
      </c>
      <c r="AJ3009" s="75">
        <v>10</v>
      </c>
    </row>
    <row r="3010" spans="35:36" x14ac:dyDescent="0.35">
      <c r="AI3010" s="75">
        <v>3007</v>
      </c>
      <c r="AJ3010" s="75">
        <v>10</v>
      </c>
    </row>
    <row r="3011" spans="35:36" x14ac:dyDescent="0.35">
      <c r="AI3011" s="75">
        <v>3008</v>
      </c>
      <c r="AJ3011" s="75">
        <v>10</v>
      </c>
    </row>
    <row r="3012" spans="35:36" x14ac:dyDescent="0.35">
      <c r="AI3012" s="75">
        <v>3009</v>
      </c>
      <c r="AJ3012" s="75">
        <v>10</v>
      </c>
    </row>
    <row r="3013" spans="35:36" x14ac:dyDescent="0.35">
      <c r="AI3013" s="75">
        <v>3010</v>
      </c>
      <c r="AJ3013" s="75">
        <v>10</v>
      </c>
    </row>
    <row r="3014" spans="35:36" x14ac:dyDescent="0.35">
      <c r="AI3014" s="75">
        <v>3011</v>
      </c>
      <c r="AJ3014" s="75">
        <v>10</v>
      </c>
    </row>
    <row r="3015" spans="35:36" x14ac:dyDescent="0.35">
      <c r="AI3015" s="75">
        <v>3012</v>
      </c>
      <c r="AJ3015" s="75">
        <v>10</v>
      </c>
    </row>
    <row r="3016" spans="35:36" x14ac:dyDescent="0.35">
      <c r="AI3016" s="75">
        <v>3013</v>
      </c>
      <c r="AJ3016" s="75">
        <v>10</v>
      </c>
    </row>
    <row r="3017" spans="35:36" x14ac:dyDescent="0.35">
      <c r="AI3017" s="75">
        <v>3014</v>
      </c>
      <c r="AJ3017" s="75">
        <v>10</v>
      </c>
    </row>
    <row r="3018" spans="35:36" x14ac:dyDescent="0.35">
      <c r="AI3018" s="75">
        <v>3015</v>
      </c>
      <c r="AJ3018" s="75">
        <v>10</v>
      </c>
    </row>
    <row r="3019" spans="35:36" x14ac:dyDescent="0.35">
      <c r="AI3019" s="75">
        <v>3016</v>
      </c>
      <c r="AJ3019" s="75">
        <v>10</v>
      </c>
    </row>
    <row r="3020" spans="35:36" x14ac:dyDescent="0.35">
      <c r="AI3020" s="75">
        <v>3017</v>
      </c>
      <c r="AJ3020" s="75">
        <v>10</v>
      </c>
    </row>
    <row r="3021" spans="35:36" x14ac:dyDescent="0.35">
      <c r="AI3021" s="75">
        <v>3018</v>
      </c>
      <c r="AJ3021" s="75">
        <v>10</v>
      </c>
    </row>
    <row r="3022" spans="35:36" x14ac:dyDescent="0.35">
      <c r="AI3022" s="75">
        <v>3019</v>
      </c>
      <c r="AJ3022" s="75">
        <v>10</v>
      </c>
    </row>
    <row r="3023" spans="35:36" x14ac:dyDescent="0.35">
      <c r="AI3023" s="75">
        <v>3020</v>
      </c>
      <c r="AJ3023" s="75">
        <v>10</v>
      </c>
    </row>
    <row r="3024" spans="35:36" x14ac:dyDescent="0.35">
      <c r="AI3024" s="75">
        <v>3021</v>
      </c>
      <c r="AJ3024" s="75">
        <v>10</v>
      </c>
    </row>
    <row r="3025" spans="35:36" x14ac:dyDescent="0.35">
      <c r="AI3025" s="75">
        <v>3022</v>
      </c>
      <c r="AJ3025" s="75">
        <v>10</v>
      </c>
    </row>
    <row r="3026" spans="35:36" x14ac:dyDescent="0.35">
      <c r="AI3026" s="75">
        <v>3023</v>
      </c>
      <c r="AJ3026" s="75">
        <v>10</v>
      </c>
    </row>
    <row r="3027" spans="35:36" x14ac:dyDescent="0.35">
      <c r="AI3027" s="75">
        <v>3024</v>
      </c>
      <c r="AJ3027" s="75">
        <v>10</v>
      </c>
    </row>
    <row r="3028" spans="35:36" x14ac:dyDescent="0.35">
      <c r="AI3028" s="75">
        <v>3025</v>
      </c>
      <c r="AJ3028" s="75">
        <v>10</v>
      </c>
    </row>
    <row r="3029" spans="35:36" x14ac:dyDescent="0.35">
      <c r="AI3029" s="75">
        <v>3026</v>
      </c>
      <c r="AJ3029" s="75">
        <v>10</v>
      </c>
    </row>
    <row r="3030" spans="35:36" x14ac:dyDescent="0.35">
      <c r="AI3030" s="75">
        <v>3027</v>
      </c>
      <c r="AJ3030" s="75">
        <v>10</v>
      </c>
    </row>
    <row r="3031" spans="35:36" x14ac:dyDescent="0.35">
      <c r="AI3031" s="75">
        <v>3028</v>
      </c>
      <c r="AJ3031" s="75">
        <v>10</v>
      </c>
    </row>
    <row r="3032" spans="35:36" x14ac:dyDescent="0.35">
      <c r="AI3032" s="75">
        <v>3029</v>
      </c>
      <c r="AJ3032" s="75">
        <v>10</v>
      </c>
    </row>
    <row r="3033" spans="35:36" x14ac:dyDescent="0.35">
      <c r="AI3033" s="75">
        <v>3030</v>
      </c>
      <c r="AJ3033" s="75">
        <v>10</v>
      </c>
    </row>
    <row r="3034" spans="35:36" x14ac:dyDescent="0.35">
      <c r="AI3034" s="75">
        <v>3031</v>
      </c>
      <c r="AJ3034" s="75">
        <v>10</v>
      </c>
    </row>
    <row r="3035" spans="35:36" x14ac:dyDescent="0.35">
      <c r="AI3035" s="75">
        <v>3032</v>
      </c>
      <c r="AJ3035" s="75">
        <v>10</v>
      </c>
    </row>
    <row r="3036" spans="35:36" x14ac:dyDescent="0.35">
      <c r="AI3036" s="75">
        <v>3033</v>
      </c>
      <c r="AJ3036" s="75">
        <v>10</v>
      </c>
    </row>
    <row r="3037" spans="35:36" x14ac:dyDescent="0.35">
      <c r="AI3037" s="75">
        <v>3034</v>
      </c>
      <c r="AJ3037" s="75">
        <v>10</v>
      </c>
    </row>
    <row r="3038" spans="35:36" x14ac:dyDescent="0.35">
      <c r="AI3038" s="75">
        <v>3035</v>
      </c>
      <c r="AJ3038" s="75">
        <v>10</v>
      </c>
    </row>
    <row r="3039" spans="35:36" x14ac:dyDescent="0.35">
      <c r="AI3039" s="75">
        <v>3036</v>
      </c>
      <c r="AJ3039" s="75">
        <v>10</v>
      </c>
    </row>
    <row r="3040" spans="35:36" x14ac:dyDescent="0.35">
      <c r="AI3040" s="75">
        <v>3037</v>
      </c>
      <c r="AJ3040" s="75">
        <v>10</v>
      </c>
    </row>
    <row r="3041" spans="35:36" x14ac:dyDescent="0.35">
      <c r="AI3041" s="75">
        <v>3038</v>
      </c>
      <c r="AJ3041" s="75">
        <v>10</v>
      </c>
    </row>
    <row r="3042" spans="35:36" x14ac:dyDescent="0.35">
      <c r="AI3042" s="75">
        <v>3039</v>
      </c>
      <c r="AJ3042" s="75">
        <v>10</v>
      </c>
    </row>
    <row r="3043" spans="35:36" x14ac:dyDescent="0.35">
      <c r="AI3043" s="75">
        <v>3040</v>
      </c>
      <c r="AJ3043" s="75">
        <v>10</v>
      </c>
    </row>
    <row r="3044" spans="35:36" x14ac:dyDescent="0.35">
      <c r="AI3044" s="75">
        <v>3041</v>
      </c>
      <c r="AJ3044" s="75">
        <v>10</v>
      </c>
    </row>
    <row r="3045" spans="35:36" x14ac:dyDescent="0.35">
      <c r="AI3045" s="75">
        <v>3042</v>
      </c>
      <c r="AJ3045" s="75">
        <v>10</v>
      </c>
    </row>
    <row r="3046" spans="35:36" x14ac:dyDescent="0.35">
      <c r="AI3046" s="75">
        <v>3043</v>
      </c>
      <c r="AJ3046" s="75">
        <v>10</v>
      </c>
    </row>
    <row r="3047" spans="35:36" x14ac:dyDescent="0.35">
      <c r="AI3047" s="75">
        <v>3044</v>
      </c>
      <c r="AJ3047" s="75">
        <v>10</v>
      </c>
    </row>
    <row r="3048" spans="35:36" x14ac:dyDescent="0.35">
      <c r="AI3048" s="75">
        <v>3045</v>
      </c>
      <c r="AJ3048" s="75">
        <v>10</v>
      </c>
    </row>
    <row r="3049" spans="35:36" x14ac:dyDescent="0.35">
      <c r="AI3049" s="75">
        <v>3046</v>
      </c>
      <c r="AJ3049" s="75">
        <v>9</v>
      </c>
    </row>
    <row r="3050" spans="35:36" x14ac:dyDescent="0.35">
      <c r="AI3050" s="75">
        <v>3047</v>
      </c>
      <c r="AJ3050" s="75">
        <v>9</v>
      </c>
    </row>
    <row r="3051" spans="35:36" x14ac:dyDescent="0.35">
      <c r="AI3051" s="75">
        <v>3048</v>
      </c>
      <c r="AJ3051" s="75">
        <v>9</v>
      </c>
    </row>
    <row r="3052" spans="35:36" x14ac:dyDescent="0.35">
      <c r="AI3052" s="75">
        <v>3049</v>
      </c>
      <c r="AJ3052" s="75">
        <v>9</v>
      </c>
    </row>
    <row r="3053" spans="35:36" x14ac:dyDescent="0.35">
      <c r="AI3053" s="75">
        <v>3050</v>
      </c>
      <c r="AJ3053" s="75">
        <v>9</v>
      </c>
    </row>
    <row r="3054" spans="35:36" x14ac:dyDescent="0.35">
      <c r="AI3054" s="75">
        <v>3051</v>
      </c>
      <c r="AJ3054" s="75">
        <v>9</v>
      </c>
    </row>
    <row r="3055" spans="35:36" x14ac:dyDescent="0.35">
      <c r="AI3055" s="75">
        <v>3052</v>
      </c>
      <c r="AJ3055" s="75">
        <v>9</v>
      </c>
    </row>
    <row r="3056" spans="35:36" x14ac:dyDescent="0.35">
      <c r="AI3056" s="75">
        <v>3053</v>
      </c>
      <c r="AJ3056" s="75">
        <v>9</v>
      </c>
    </row>
    <row r="3057" spans="35:36" x14ac:dyDescent="0.35">
      <c r="AI3057" s="75">
        <v>3054</v>
      </c>
      <c r="AJ3057" s="75">
        <v>9</v>
      </c>
    </row>
    <row r="3058" spans="35:36" x14ac:dyDescent="0.35">
      <c r="AI3058" s="75">
        <v>3055</v>
      </c>
      <c r="AJ3058" s="75">
        <v>9</v>
      </c>
    </row>
    <row r="3059" spans="35:36" x14ac:dyDescent="0.35">
      <c r="AI3059" s="75">
        <v>3056</v>
      </c>
      <c r="AJ3059" s="75">
        <v>9</v>
      </c>
    </row>
    <row r="3060" spans="35:36" x14ac:dyDescent="0.35">
      <c r="AI3060" s="75">
        <v>3057</v>
      </c>
      <c r="AJ3060" s="75">
        <v>9</v>
      </c>
    </row>
    <row r="3061" spans="35:36" x14ac:dyDescent="0.35">
      <c r="AI3061" s="75">
        <v>3058</v>
      </c>
      <c r="AJ3061" s="75">
        <v>9</v>
      </c>
    </row>
    <row r="3062" spans="35:36" x14ac:dyDescent="0.35">
      <c r="AI3062" s="75">
        <v>3059</v>
      </c>
      <c r="AJ3062" s="75">
        <v>9</v>
      </c>
    </row>
    <row r="3063" spans="35:36" x14ac:dyDescent="0.35">
      <c r="AI3063" s="75">
        <v>3060</v>
      </c>
      <c r="AJ3063" s="75">
        <v>9</v>
      </c>
    </row>
    <row r="3064" spans="35:36" x14ac:dyDescent="0.35">
      <c r="AI3064" s="75">
        <v>3061</v>
      </c>
      <c r="AJ3064" s="75">
        <v>9</v>
      </c>
    </row>
    <row r="3065" spans="35:36" x14ac:dyDescent="0.35">
      <c r="AI3065" s="75">
        <v>3062</v>
      </c>
      <c r="AJ3065" s="75">
        <v>9</v>
      </c>
    </row>
    <row r="3066" spans="35:36" x14ac:dyDescent="0.35">
      <c r="AI3066" s="75">
        <v>3063</v>
      </c>
      <c r="AJ3066" s="75">
        <v>9</v>
      </c>
    </row>
    <row r="3067" spans="35:36" x14ac:dyDescent="0.35">
      <c r="AI3067" s="75">
        <v>3064</v>
      </c>
      <c r="AJ3067" s="75">
        <v>9</v>
      </c>
    </row>
    <row r="3068" spans="35:36" x14ac:dyDescent="0.35">
      <c r="AI3068" s="75">
        <v>3065</v>
      </c>
      <c r="AJ3068" s="75">
        <v>9</v>
      </c>
    </row>
    <row r="3069" spans="35:36" x14ac:dyDescent="0.35">
      <c r="AI3069" s="75">
        <v>3066</v>
      </c>
      <c r="AJ3069" s="75">
        <v>9</v>
      </c>
    </row>
    <row r="3070" spans="35:36" x14ac:dyDescent="0.35">
      <c r="AI3070" s="75">
        <v>3067</v>
      </c>
      <c r="AJ3070" s="75">
        <v>9</v>
      </c>
    </row>
    <row r="3071" spans="35:36" x14ac:dyDescent="0.35">
      <c r="AI3071" s="75">
        <v>3068</v>
      </c>
      <c r="AJ3071" s="75">
        <v>9</v>
      </c>
    </row>
    <row r="3072" spans="35:36" x14ac:dyDescent="0.35">
      <c r="AI3072" s="75">
        <v>3069</v>
      </c>
      <c r="AJ3072" s="75">
        <v>9</v>
      </c>
    </row>
    <row r="3073" spans="35:36" x14ac:dyDescent="0.35">
      <c r="AI3073" s="75">
        <v>3070</v>
      </c>
      <c r="AJ3073" s="75">
        <v>9</v>
      </c>
    </row>
    <row r="3074" spans="35:36" x14ac:dyDescent="0.35">
      <c r="AI3074" s="75">
        <v>3071</v>
      </c>
      <c r="AJ3074" s="75">
        <v>9</v>
      </c>
    </row>
    <row r="3075" spans="35:36" x14ac:dyDescent="0.35">
      <c r="AI3075" s="75">
        <v>3072</v>
      </c>
      <c r="AJ3075" s="75">
        <v>9</v>
      </c>
    </row>
    <row r="3076" spans="35:36" x14ac:dyDescent="0.35">
      <c r="AI3076" s="75">
        <v>3073</v>
      </c>
      <c r="AJ3076" s="75">
        <v>9</v>
      </c>
    </row>
    <row r="3077" spans="35:36" x14ac:dyDescent="0.35">
      <c r="AI3077" s="75">
        <v>3074</v>
      </c>
      <c r="AJ3077" s="75">
        <v>9</v>
      </c>
    </row>
    <row r="3078" spans="35:36" x14ac:dyDescent="0.35">
      <c r="AI3078" s="75">
        <v>3075</v>
      </c>
      <c r="AJ3078" s="75">
        <v>9</v>
      </c>
    </row>
    <row r="3079" spans="35:36" x14ac:dyDescent="0.35">
      <c r="AI3079" s="75">
        <v>3076</v>
      </c>
      <c r="AJ3079" s="75">
        <v>9</v>
      </c>
    </row>
    <row r="3080" spans="35:36" x14ac:dyDescent="0.35">
      <c r="AI3080" s="75">
        <v>3077</v>
      </c>
      <c r="AJ3080" s="75">
        <v>9</v>
      </c>
    </row>
    <row r="3081" spans="35:36" x14ac:dyDescent="0.35">
      <c r="AI3081" s="75">
        <v>3078</v>
      </c>
      <c r="AJ3081" s="75">
        <v>9</v>
      </c>
    </row>
    <row r="3082" spans="35:36" x14ac:dyDescent="0.35">
      <c r="AI3082" s="75">
        <v>3079</v>
      </c>
      <c r="AJ3082" s="75">
        <v>9</v>
      </c>
    </row>
    <row r="3083" spans="35:36" x14ac:dyDescent="0.35">
      <c r="AI3083" s="75">
        <v>3080</v>
      </c>
      <c r="AJ3083" s="75">
        <v>9</v>
      </c>
    </row>
    <row r="3084" spans="35:36" x14ac:dyDescent="0.35">
      <c r="AI3084" s="75">
        <v>3081</v>
      </c>
      <c r="AJ3084" s="75">
        <v>9</v>
      </c>
    </row>
    <row r="3085" spans="35:36" x14ac:dyDescent="0.35">
      <c r="AI3085" s="75">
        <v>3082</v>
      </c>
      <c r="AJ3085" s="75">
        <v>9</v>
      </c>
    </row>
    <row r="3086" spans="35:36" x14ac:dyDescent="0.35">
      <c r="AI3086" s="75">
        <v>3083</v>
      </c>
      <c r="AJ3086" s="75">
        <v>9</v>
      </c>
    </row>
    <row r="3087" spans="35:36" x14ac:dyDescent="0.35">
      <c r="AI3087" s="75">
        <v>3084</v>
      </c>
      <c r="AJ3087" s="75">
        <v>9</v>
      </c>
    </row>
    <row r="3088" spans="35:36" x14ac:dyDescent="0.35">
      <c r="AI3088" s="75">
        <v>3085</v>
      </c>
      <c r="AJ3088" s="75">
        <v>9</v>
      </c>
    </row>
    <row r="3089" spans="35:36" x14ac:dyDescent="0.35">
      <c r="AI3089" s="75">
        <v>3086</v>
      </c>
      <c r="AJ3089" s="75">
        <v>9</v>
      </c>
    </row>
    <row r="3090" spans="35:36" x14ac:dyDescent="0.35">
      <c r="AI3090" s="75">
        <v>3087</v>
      </c>
      <c r="AJ3090" s="75">
        <v>9</v>
      </c>
    </row>
    <row r="3091" spans="35:36" x14ac:dyDescent="0.35">
      <c r="AI3091" s="75">
        <v>3088</v>
      </c>
      <c r="AJ3091" s="75">
        <v>9</v>
      </c>
    </row>
    <row r="3092" spans="35:36" x14ac:dyDescent="0.35">
      <c r="AI3092" s="75">
        <v>3089</v>
      </c>
      <c r="AJ3092" s="75">
        <v>9</v>
      </c>
    </row>
    <row r="3093" spans="35:36" x14ac:dyDescent="0.35">
      <c r="AI3093" s="75">
        <v>3090</v>
      </c>
      <c r="AJ3093" s="75">
        <v>9</v>
      </c>
    </row>
    <row r="3094" spans="35:36" x14ac:dyDescent="0.35">
      <c r="AI3094" s="75">
        <v>3091</v>
      </c>
      <c r="AJ3094" s="75">
        <v>9</v>
      </c>
    </row>
    <row r="3095" spans="35:36" x14ac:dyDescent="0.35">
      <c r="AI3095" s="75">
        <v>3092</v>
      </c>
      <c r="AJ3095" s="75">
        <v>9</v>
      </c>
    </row>
    <row r="3096" spans="35:36" x14ac:dyDescent="0.35">
      <c r="AI3096" s="75">
        <v>3093</v>
      </c>
      <c r="AJ3096" s="75">
        <v>9</v>
      </c>
    </row>
    <row r="3097" spans="35:36" x14ac:dyDescent="0.35">
      <c r="AI3097" s="75">
        <v>3094</v>
      </c>
      <c r="AJ3097" s="75">
        <v>9</v>
      </c>
    </row>
    <row r="3098" spans="35:36" x14ac:dyDescent="0.35">
      <c r="AI3098" s="75">
        <v>3095</v>
      </c>
      <c r="AJ3098" s="75">
        <v>9</v>
      </c>
    </row>
    <row r="3099" spans="35:36" x14ac:dyDescent="0.35">
      <c r="AI3099" s="75">
        <v>3096</v>
      </c>
      <c r="AJ3099" s="75">
        <v>9</v>
      </c>
    </row>
    <row r="3100" spans="35:36" x14ac:dyDescent="0.35">
      <c r="AI3100" s="75">
        <v>3097</v>
      </c>
      <c r="AJ3100" s="75">
        <v>9</v>
      </c>
    </row>
    <row r="3101" spans="35:36" x14ac:dyDescent="0.35">
      <c r="AI3101" s="75">
        <v>3098</v>
      </c>
      <c r="AJ3101" s="75">
        <v>9</v>
      </c>
    </row>
    <row r="3102" spans="35:36" x14ac:dyDescent="0.35">
      <c r="AI3102" s="75">
        <v>3099</v>
      </c>
      <c r="AJ3102" s="75">
        <v>9</v>
      </c>
    </row>
    <row r="3103" spans="35:36" x14ac:dyDescent="0.35">
      <c r="AI3103" s="75">
        <v>3100</v>
      </c>
      <c r="AJ3103" s="75">
        <v>9</v>
      </c>
    </row>
    <row r="3104" spans="35:36" x14ac:dyDescent="0.35">
      <c r="AI3104" s="75">
        <v>3101</v>
      </c>
      <c r="AJ3104" s="75">
        <v>9</v>
      </c>
    </row>
    <row r="3105" spans="35:36" x14ac:dyDescent="0.35">
      <c r="AI3105" s="75">
        <v>3102</v>
      </c>
      <c r="AJ3105" s="75">
        <v>9</v>
      </c>
    </row>
    <row r="3106" spans="35:36" x14ac:dyDescent="0.35">
      <c r="AI3106" s="75">
        <v>3103</v>
      </c>
      <c r="AJ3106" s="75">
        <v>9</v>
      </c>
    </row>
    <row r="3107" spans="35:36" x14ac:dyDescent="0.35">
      <c r="AI3107" s="75">
        <v>3104</v>
      </c>
      <c r="AJ3107" s="75">
        <v>9</v>
      </c>
    </row>
    <row r="3108" spans="35:36" x14ac:dyDescent="0.35">
      <c r="AI3108" s="75">
        <v>3105</v>
      </c>
      <c r="AJ3108" s="75">
        <v>9</v>
      </c>
    </row>
    <row r="3109" spans="35:36" x14ac:dyDescent="0.35">
      <c r="AI3109" s="75">
        <v>3106</v>
      </c>
      <c r="AJ3109" s="75">
        <v>9</v>
      </c>
    </row>
    <row r="3110" spans="35:36" x14ac:dyDescent="0.35">
      <c r="AI3110" s="75">
        <v>3107</v>
      </c>
      <c r="AJ3110" s="75">
        <v>9</v>
      </c>
    </row>
    <row r="3111" spans="35:36" x14ac:dyDescent="0.35">
      <c r="AI3111" s="75">
        <v>3108</v>
      </c>
      <c r="AJ3111" s="75">
        <v>9</v>
      </c>
    </row>
    <row r="3112" spans="35:36" x14ac:dyDescent="0.35">
      <c r="AI3112" s="75">
        <v>3109</v>
      </c>
      <c r="AJ3112" s="75">
        <v>9</v>
      </c>
    </row>
    <row r="3113" spans="35:36" x14ac:dyDescent="0.35">
      <c r="AI3113" s="75">
        <v>3110</v>
      </c>
      <c r="AJ3113" s="75">
        <v>9</v>
      </c>
    </row>
    <row r="3114" spans="35:36" x14ac:dyDescent="0.35">
      <c r="AI3114" s="75">
        <v>3111</v>
      </c>
      <c r="AJ3114" s="75">
        <v>9</v>
      </c>
    </row>
    <row r="3115" spans="35:36" x14ac:dyDescent="0.35">
      <c r="AI3115" s="75">
        <v>3112</v>
      </c>
      <c r="AJ3115" s="75">
        <v>9</v>
      </c>
    </row>
    <row r="3116" spans="35:36" x14ac:dyDescent="0.35">
      <c r="AI3116" s="75">
        <v>3113</v>
      </c>
      <c r="AJ3116" s="75">
        <v>9</v>
      </c>
    </row>
    <row r="3117" spans="35:36" x14ac:dyDescent="0.35">
      <c r="AI3117" s="75">
        <v>3114</v>
      </c>
      <c r="AJ3117" s="75">
        <v>9</v>
      </c>
    </row>
    <row r="3118" spans="35:36" x14ac:dyDescent="0.35">
      <c r="AI3118" s="75">
        <v>3115</v>
      </c>
      <c r="AJ3118" s="75">
        <v>9</v>
      </c>
    </row>
    <row r="3119" spans="35:36" x14ac:dyDescent="0.35">
      <c r="AI3119" s="75">
        <v>3116</v>
      </c>
      <c r="AJ3119" s="75">
        <v>9</v>
      </c>
    </row>
    <row r="3120" spans="35:36" x14ac:dyDescent="0.35">
      <c r="AI3120" s="75">
        <v>3117</v>
      </c>
      <c r="AJ3120" s="75">
        <v>9</v>
      </c>
    </row>
    <row r="3121" spans="35:36" x14ac:dyDescent="0.35">
      <c r="AI3121" s="75">
        <v>3118</v>
      </c>
      <c r="AJ3121" s="75">
        <v>9</v>
      </c>
    </row>
    <row r="3122" spans="35:36" x14ac:dyDescent="0.35">
      <c r="AI3122" s="75">
        <v>3119</v>
      </c>
      <c r="AJ3122" s="75">
        <v>9</v>
      </c>
    </row>
    <row r="3123" spans="35:36" x14ac:dyDescent="0.35">
      <c r="AI3123" s="75">
        <v>3120</v>
      </c>
      <c r="AJ3123" s="75">
        <v>9</v>
      </c>
    </row>
    <row r="3124" spans="35:36" x14ac:dyDescent="0.35">
      <c r="AI3124" s="75">
        <v>3121</v>
      </c>
      <c r="AJ3124" s="75">
        <v>9</v>
      </c>
    </row>
    <row r="3125" spans="35:36" x14ac:dyDescent="0.35">
      <c r="AI3125" s="75">
        <v>3122</v>
      </c>
      <c r="AJ3125" s="75">
        <v>9</v>
      </c>
    </row>
    <row r="3126" spans="35:36" x14ac:dyDescent="0.35">
      <c r="AI3126" s="75">
        <v>3123</v>
      </c>
      <c r="AJ3126" s="75">
        <v>9</v>
      </c>
    </row>
    <row r="3127" spans="35:36" x14ac:dyDescent="0.35">
      <c r="AI3127" s="75">
        <v>3124</v>
      </c>
      <c r="AJ3127" s="75">
        <v>9</v>
      </c>
    </row>
    <row r="3128" spans="35:36" x14ac:dyDescent="0.35">
      <c r="AI3128" s="75">
        <v>3125</v>
      </c>
      <c r="AJ3128" s="75">
        <v>9</v>
      </c>
    </row>
    <row r="3129" spans="35:36" x14ac:dyDescent="0.35">
      <c r="AI3129" s="75">
        <v>3126</v>
      </c>
      <c r="AJ3129" s="75">
        <v>9</v>
      </c>
    </row>
    <row r="3130" spans="35:36" x14ac:dyDescent="0.35">
      <c r="AI3130" s="75">
        <v>3127</v>
      </c>
      <c r="AJ3130" s="75">
        <v>9</v>
      </c>
    </row>
    <row r="3131" spans="35:36" x14ac:dyDescent="0.35">
      <c r="AI3131" s="75">
        <v>3128</v>
      </c>
      <c r="AJ3131" s="75">
        <v>9</v>
      </c>
    </row>
    <row r="3132" spans="35:36" x14ac:dyDescent="0.35">
      <c r="AI3132" s="75">
        <v>3129</v>
      </c>
      <c r="AJ3132" s="75">
        <v>9</v>
      </c>
    </row>
    <row r="3133" spans="35:36" x14ac:dyDescent="0.35">
      <c r="AI3133" s="75">
        <v>3130</v>
      </c>
      <c r="AJ3133" s="75">
        <v>9</v>
      </c>
    </row>
    <row r="3134" spans="35:36" x14ac:dyDescent="0.35">
      <c r="AI3134" s="75">
        <v>3131</v>
      </c>
      <c r="AJ3134" s="75">
        <v>9</v>
      </c>
    </row>
    <row r="3135" spans="35:36" x14ac:dyDescent="0.35">
      <c r="AI3135" s="75">
        <v>3132</v>
      </c>
      <c r="AJ3135" s="75">
        <v>9</v>
      </c>
    </row>
    <row r="3136" spans="35:36" x14ac:dyDescent="0.35">
      <c r="AI3136" s="75">
        <v>3133</v>
      </c>
      <c r="AJ3136" s="75">
        <v>9</v>
      </c>
    </row>
    <row r="3137" spans="35:36" x14ac:dyDescent="0.35">
      <c r="AI3137" s="75">
        <v>3134</v>
      </c>
      <c r="AJ3137" s="75">
        <v>9</v>
      </c>
    </row>
    <row r="3138" spans="35:36" x14ac:dyDescent="0.35">
      <c r="AI3138" s="75">
        <v>3135</v>
      </c>
      <c r="AJ3138" s="75">
        <v>9</v>
      </c>
    </row>
    <row r="3139" spans="35:36" x14ac:dyDescent="0.35">
      <c r="AI3139" s="75">
        <v>3136</v>
      </c>
      <c r="AJ3139" s="75">
        <v>9</v>
      </c>
    </row>
    <row r="3140" spans="35:36" x14ac:dyDescent="0.35">
      <c r="AI3140" s="75">
        <v>3137</v>
      </c>
      <c r="AJ3140" s="75">
        <v>9</v>
      </c>
    </row>
    <row r="3141" spans="35:36" x14ac:dyDescent="0.35">
      <c r="AI3141" s="75">
        <v>3138</v>
      </c>
      <c r="AJ3141" s="75">
        <v>9</v>
      </c>
    </row>
    <row r="3142" spans="35:36" x14ac:dyDescent="0.35">
      <c r="AI3142" s="75">
        <v>3139</v>
      </c>
      <c r="AJ3142" s="75">
        <v>9</v>
      </c>
    </row>
    <row r="3143" spans="35:36" x14ac:dyDescent="0.35">
      <c r="AI3143" s="75">
        <v>3140</v>
      </c>
      <c r="AJ3143" s="75">
        <v>9</v>
      </c>
    </row>
    <row r="3144" spans="35:36" x14ac:dyDescent="0.35">
      <c r="AI3144" s="75">
        <v>3141</v>
      </c>
      <c r="AJ3144" s="75">
        <v>9</v>
      </c>
    </row>
    <row r="3145" spans="35:36" x14ac:dyDescent="0.35">
      <c r="AI3145" s="75">
        <v>3142</v>
      </c>
      <c r="AJ3145" s="75">
        <v>9</v>
      </c>
    </row>
    <row r="3146" spans="35:36" x14ac:dyDescent="0.35">
      <c r="AI3146" s="75">
        <v>3143</v>
      </c>
      <c r="AJ3146" s="75">
        <v>9</v>
      </c>
    </row>
    <row r="3147" spans="35:36" x14ac:dyDescent="0.35">
      <c r="AI3147" s="75">
        <v>3144</v>
      </c>
      <c r="AJ3147" s="75">
        <v>9</v>
      </c>
    </row>
    <row r="3148" spans="35:36" x14ac:dyDescent="0.35">
      <c r="AI3148" s="75">
        <v>3145</v>
      </c>
      <c r="AJ3148" s="75">
        <v>9</v>
      </c>
    </row>
    <row r="3149" spans="35:36" x14ac:dyDescent="0.35">
      <c r="AI3149" s="75">
        <v>3146</v>
      </c>
      <c r="AJ3149" s="75">
        <v>9</v>
      </c>
    </row>
    <row r="3150" spans="35:36" x14ac:dyDescent="0.35">
      <c r="AI3150" s="75">
        <v>3147</v>
      </c>
      <c r="AJ3150" s="75">
        <v>9</v>
      </c>
    </row>
    <row r="3151" spans="35:36" x14ac:dyDescent="0.35">
      <c r="AI3151" s="75">
        <v>3148</v>
      </c>
      <c r="AJ3151" s="75">
        <v>9</v>
      </c>
    </row>
    <row r="3152" spans="35:36" x14ac:dyDescent="0.35">
      <c r="AI3152" s="75">
        <v>3149</v>
      </c>
      <c r="AJ3152" s="75">
        <v>9</v>
      </c>
    </row>
    <row r="3153" spans="35:36" x14ac:dyDescent="0.35">
      <c r="AI3153" s="75">
        <v>3150</v>
      </c>
      <c r="AJ3153" s="75">
        <v>9</v>
      </c>
    </row>
    <row r="3154" spans="35:36" x14ac:dyDescent="0.35">
      <c r="AI3154" s="75">
        <v>3151</v>
      </c>
      <c r="AJ3154" s="75">
        <v>9</v>
      </c>
    </row>
    <row r="3155" spans="35:36" x14ac:dyDescent="0.35">
      <c r="AI3155" s="75">
        <v>3152</v>
      </c>
      <c r="AJ3155" s="75">
        <v>9</v>
      </c>
    </row>
    <row r="3156" spans="35:36" x14ac:dyDescent="0.35">
      <c r="AI3156" s="75">
        <v>3153</v>
      </c>
      <c r="AJ3156" s="75">
        <v>9</v>
      </c>
    </row>
    <row r="3157" spans="35:36" x14ac:dyDescent="0.35">
      <c r="AI3157" s="75">
        <v>3154</v>
      </c>
      <c r="AJ3157" s="75">
        <v>9</v>
      </c>
    </row>
    <row r="3158" spans="35:36" x14ac:dyDescent="0.35">
      <c r="AI3158" s="75">
        <v>3155</v>
      </c>
      <c r="AJ3158" s="75">
        <v>9</v>
      </c>
    </row>
    <row r="3159" spans="35:36" x14ac:dyDescent="0.35">
      <c r="AI3159" s="75">
        <v>3156</v>
      </c>
      <c r="AJ3159" s="75">
        <v>9</v>
      </c>
    </row>
    <row r="3160" spans="35:36" x14ac:dyDescent="0.35">
      <c r="AI3160" s="75">
        <v>3157</v>
      </c>
      <c r="AJ3160" s="75">
        <v>9</v>
      </c>
    </row>
    <row r="3161" spans="35:36" x14ac:dyDescent="0.35">
      <c r="AI3161" s="75">
        <v>3158</v>
      </c>
      <c r="AJ3161" s="75">
        <v>9</v>
      </c>
    </row>
    <row r="3162" spans="35:36" x14ac:dyDescent="0.35">
      <c r="AI3162" s="75">
        <v>3159</v>
      </c>
      <c r="AJ3162" s="75">
        <v>9</v>
      </c>
    </row>
    <row r="3163" spans="35:36" x14ac:dyDescent="0.35">
      <c r="AI3163" s="75">
        <v>3160</v>
      </c>
      <c r="AJ3163" s="75">
        <v>9</v>
      </c>
    </row>
    <row r="3164" spans="35:36" x14ac:dyDescent="0.35">
      <c r="AI3164" s="75">
        <v>3161</v>
      </c>
      <c r="AJ3164" s="75">
        <v>9</v>
      </c>
    </row>
    <row r="3165" spans="35:36" x14ac:dyDescent="0.35">
      <c r="AI3165" s="75">
        <v>3162</v>
      </c>
      <c r="AJ3165" s="75">
        <v>9</v>
      </c>
    </row>
    <row r="3166" spans="35:36" x14ac:dyDescent="0.35">
      <c r="AI3166" s="75">
        <v>3163</v>
      </c>
      <c r="AJ3166" s="75">
        <v>9</v>
      </c>
    </row>
    <row r="3167" spans="35:36" x14ac:dyDescent="0.35">
      <c r="AI3167" s="75">
        <v>3164</v>
      </c>
      <c r="AJ3167" s="75">
        <v>9</v>
      </c>
    </row>
    <row r="3168" spans="35:36" x14ac:dyDescent="0.35">
      <c r="AI3168" s="75">
        <v>3165</v>
      </c>
      <c r="AJ3168" s="75">
        <v>9</v>
      </c>
    </row>
    <row r="3169" spans="35:36" x14ac:dyDescent="0.35">
      <c r="AI3169" s="75">
        <v>3166</v>
      </c>
      <c r="AJ3169" s="75">
        <v>9</v>
      </c>
    </row>
    <row r="3170" spans="35:36" x14ac:dyDescent="0.35">
      <c r="AI3170" s="75">
        <v>3167</v>
      </c>
      <c r="AJ3170" s="75">
        <v>9</v>
      </c>
    </row>
    <row r="3171" spans="35:36" x14ac:dyDescent="0.35">
      <c r="AI3171" s="75">
        <v>3168</v>
      </c>
      <c r="AJ3171" s="75">
        <v>9</v>
      </c>
    </row>
    <row r="3172" spans="35:36" x14ac:dyDescent="0.35">
      <c r="AI3172" s="75">
        <v>3169</v>
      </c>
      <c r="AJ3172" s="75">
        <v>9</v>
      </c>
    </row>
    <row r="3173" spans="35:36" x14ac:dyDescent="0.35">
      <c r="AI3173" s="75">
        <v>3170</v>
      </c>
      <c r="AJ3173" s="75">
        <v>9</v>
      </c>
    </row>
    <row r="3174" spans="35:36" x14ac:dyDescent="0.35">
      <c r="AI3174" s="75">
        <v>3171</v>
      </c>
      <c r="AJ3174" s="75">
        <v>9</v>
      </c>
    </row>
    <row r="3175" spans="35:36" x14ac:dyDescent="0.35">
      <c r="AI3175" s="75">
        <v>3172</v>
      </c>
      <c r="AJ3175" s="75">
        <v>9</v>
      </c>
    </row>
    <row r="3176" spans="35:36" x14ac:dyDescent="0.35">
      <c r="AI3176" s="75">
        <v>3173</v>
      </c>
      <c r="AJ3176" s="75">
        <v>9</v>
      </c>
    </row>
    <row r="3177" spans="35:36" x14ac:dyDescent="0.35">
      <c r="AI3177" s="75">
        <v>3174</v>
      </c>
      <c r="AJ3177" s="75">
        <v>9</v>
      </c>
    </row>
    <row r="3178" spans="35:36" x14ac:dyDescent="0.35">
      <c r="AI3178" s="75">
        <v>3175</v>
      </c>
      <c r="AJ3178" s="75">
        <v>9</v>
      </c>
    </row>
    <row r="3179" spans="35:36" x14ac:dyDescent="0.35">
      <c r="AI3179" s="75">
        <v>3176</v>
      </c>
      <c r="AJ3179" s="75">
        <v>9</v>
      </c>
    </row>
    <row r="3180" spans="35:36" x14ac:dyDescent="0.35">
      <c r="AI3180" s="75">
        <v>3177</v>
      </c>
      <c r="AJ3180" s="75">
        <v>9</v>
      </c>
    </row>
    <row r="3181" spans="35:36" x14ac:dyDescent="0.35">
      <c r="AI3181" s="75">
        <v>3178</v>
      </c>
      <c r="AJ3181" s="75">
        <v>9</v>
      </c>
    </row>
    <row r="3182" spans="35:36" x14ac:dyDescent="0.35">
      <c r="AI3182" s="75">
        <v>3179</v>
      </c>
      <c r="AJ3182" s="75">
        <v>9</v>
      </c>
    </row>
    <row r="3183" spans="35:36" x14ac:dyDescent="0.35">
      <c r="AI3183" s="75">
        <v>3180</v>
      </c>
      <c r="AJ3183" s="75">
        <v>9</v>
      </c>
    </row>
    <row r="3184" spans="35:36" x14ac:dyDescent="0.35">
      <c r="AI3184" s="75">
        <v>3181</v>
      </c>
      <c r="AJ3184" s="75">
        <v>9</v>
      </c>
    </row>
    <row r="3185" spans="35:36" x14ac:dyDescent="0.35">
      <c r="AI3185" s="75">
        <v>3182</v>
      </c>
      <c r="AJ3185" s="75">
        <v>9</v>
      </c>
    </row>
    <row r="3186" spans="35:36" x14ac:dyDescent="0.35">
      <c r="AI3186" s="75">
        <v>3183</v>
      </c>
      <c r="AJ3186" s="75">
        <v>9</v>
      </c>
    </row>
    <row r="3187" spans="35:36" x14ac:dyDescent="0.35">
      <c r="AI3187" s="75">
        <v>3184</v>
      </c>
      <c r="AJ3187" s="75">
        <v>9</v>
      </c>
    </row>
    <row r="3188" spans="35:36" x14ac:dyDescent="0.35">
      <c r="AI3188" s="75">
        <v>3185</v>
      </c>
      <c r="AJ3188" s="75">
        <v>9</v>
      </c>
    </row>
    <row r="3189" spans="35:36" x14ac:dyDescent="0.35">
      <c r="AI3189" s="75">
        <v>3186</v>
      </c>
      <c r="AJ3189" s="75">
        <v>9</v>
      </c>
    </row>
    <row r="3190" spans="35:36" x14ac:dyDescent="0.35">
      <c r="AI3190" s="75">
        <v>3187</v>
      </c>
      <c r="AJ3190" s="75">
        <v>9</v>
      </c>
    </row>
    <row r="3191" spans="35:36" x14ac:dyDescent="0.35">
      <c r="AI3191" s="75">
        <v>3188</v>
      </c>
      <c r="AJ3191" s="75">
        <v>9</v>
      </c>
    </row>
    <row r="3192" spans="35:36" x14ac:dyDescent="0.35">
      <c r="AI3192" s="75">
        <v>3189</v>
      </c>
      <c r="AJ3192" s="75">
        <v>9</v>
      </c>
    </row>
    <row r="3193" spans="35:36" x14ac:dyDescent="0.35">
      <c r="AI3193" s="75">
        <v>3190</v>
      </c>
      <c r="AJ3193" s="75">
        <v>9</v>
      </c>
    </row>
    <row r="3194" spans="35:36" x14ac:dyDescent="0.35">
      <c r="AI3194" s="75">
        <v>3191</v>
      </c>
      <c r="AJ3194" s="75">
        <v>9</v>
      </c>
    </row>
    <row r="3195" spans="35:36" x14ac:dyDescent="0.35">
      <c r="AI3195" s="75">
        <v>3192</v>
      </c>
      <c r="AJ3195" s="75">
        <v>9</v>
      </c>
    </row>
    <row r="3196" spans="35:36" x14ac:dyDescent="0.35">
      <c r="AI3196" s="75">
        <v>3193</v>
      </c>
      <c r="AJ3196" s="75">
        <v>9</v>
      </c>
    </row>
    <row r="3197" spans="35:36" x14ac:dyDescent="0.35">
      <c r="AI3197" s="75">
        <v>3194</v>
      </c>
      <c r="AJ3197" s="75">
        <v>9</v>
      </c>
    </row>
    <row r="3198" spans="35:36" x14ac:dyDescent="0.35">
      <c r="AI3198" s="75">
        <v>3195</v>
      </c>
      <c r="AJ3198" s="75">
        <v>9</v>
      </c>
    </row>
    <row r="3199" spans="35:36" x14ac:dyDescent="0.35">
      <c r="AI3199" s="75">
        <v>3196</v>
      </c>
      <c r="AJ3199" s="75">
        <v>9</v>
      </c>
    </row>
    <row r="3200" spans="35:36" x14ac:dyDescent="0.35">
      <c r="AI3200" s="75">
        <v>3197</v>
      </c>
      <c r="AJ3200" s="75">
        <v>9</v>
      </c>
    </row>
    <row r="3201" spans="35:36" x14ac:dyDescent="0.35">
      <c r="AI3201" s="75">
        <v>3198</v>
      </c>
      <c r="AJ3201" s="75">
        <v>9</v>
      </c>
    </row>
    <row r="3202" spans="35:36" x14ac:dyDescent="0.35">
      <c r="AI3202" s="75">
        <v>3199</v>
      </c>
      <c r="AJ3202" s="75">
        <v>9</v>
      </c>
    </row>
    <row r="3203" spans="35:36" x14ac:dyDescent="0.35">
      <c r="AI3203" s="75">
        <v>3200</v>
      </c>
      <c r="AJ3203" s="75">
        <v>9</v>
      </c>
    </row>
    <row r="3204" spans="35:36" x14ac:dyDescent="0.35">
      <c r="AI3204" s="75">
        <v>3201</v>
      </c>
      <c r="AJ3204" s="75">
        <v>9</v>
      </c>
    </row>
    <row r="3205" spans="35:36" x14ac:dyDescent="0.35">
      <c r="AI3205" s="75">
        <v>3202</v>
      </c>
      <c r="AJ3205" s="75">
        <v>9</v>
      </c>
    </row>
    <row r="3206" spans="35:36" x14ac:dyDescent="0.35">
      <c r="AI3206" s="75">
        <v>3203</v>
      </c>
      <c r="AJ3206" s="75">
        <v>9</v>
      </c>
    </row>
    <row r="3207" spans="35:36" x14ac:dyDescent="0.35">
      <c r="AI3207" s="75">
        <v>3204</v>
      </c>
      <c r="AJ3207" s="75">
        <v>9</v>
      </c>
    </row>
    <row r="3208" spans="35:36" x14ac:dyDescent="0.35">
      <c r="AI3208" s="75">
        <v>3205</v>
      </c>
      <c r="AJ3208" s="75">
        <v>9</v>
      </c>
    </row>
    <row r="3209" spans="35:36" x14ac:dyDescent="0.35">
      <c r="AI3209" s="75">
        <v>3206</v>
      </c>
      <c r="AJ3209" s="75">
        <v>9</v>
      </c>
    </row>
    <row r="3210" spans="35:36" x14ac:dyDescent="0.35">
      <c r="AI3210" s="75">
        <v>3207</v>
      </c>
      <c r="AJ3210" s="75">
        <v>9</v>
      </c>
    </row>
    <row r="3211" spans="35:36" x14ac:dyDescent="0.35">
      <c r="AI3211" s="75">
        <v>3208</v>
      </c>
      <c r="AJ3211" s="75">
        <v>9</v>
      </c>
    </row>
    <row r="3212" spans="35:36" x14ac:dyDescent="0.35">
      <c r="AI3212" s="75">
        <v>3209</v>
      </c>
      <c r="AJ3212" s="75">
        <v>9</v>
      </c>
    </row>
    <row r="3213" spans="35:36" x14ac:dyDescent="0.35">
      <c r="AI3213" s="75">
        <v>3210</v>
      </c>
      <c r="AJ3213" s="75">
        <v>9</v>
      </c>
    </row>
    <row r="3214" spans="35:36" x14ac:dyDescent="0.35">
      <c r="AI3214" s="75">
        <v>3211</v>
      </c>
      <c r="AJ3214" s="75">
        <v>9</v>
      </c>
    </row>
    <row r="3215" spans="35:36" x14ac:dyDescent="0.35">
      <c r="AI3215" s="75">
        <v>3212</v>
      </c>
      <c r="AJ3215" s="75">
        <v>9</v>
      </c>
    </row>
    <row r="3216" spans="35:36" x14ac:dyDescent="0.35">
      <c r="AI3216" s="75">
        <v>3213</v>
      </c>
      <c r="AJ3216" s="75">
        <v>9</v>
      </c>
    </row>
    <row r="3217" spans="35:36" x14ac:dyDescent="0.35">
      <c r="AI3217" s="75">
        <v>3214</v>
      </c>
      <c r="AJ3217" s="75">
        <v>9</v>
      </c>
    </row>
    <row r="3218" spans="35:36" x14ac:dyDescent="0.35">
      <c r="AI3218" s="75">
        <v>3215</v>
      </c>
      <c r="AJ3218" s="75">
        <v>9</v>
      </c>
    </row>
    <row r="3219" spans="35:36" x14ac:dyDescent="0.35">
      <c r="AI3219" s="75">
        <v>3216</v>
      </c>
      <c r="AJ3219" s="75">
        <v>9</v>
      </c>
    </row>
    <row r="3220" spans="35:36" x14ac:dyDescent="0.35">
      <c r="AI3220" s="75">
        <v>3217</v>
      </c>
      <c r="AJ3220" s="75">
        <v>9</v>
      </c>
    </row>
    <row r="3221" spans="35:36" x14ac:dyDescent="0.35">
      <c r="AI3221" s="75">
        <v>3218</v>
      </c>
      <c r="AJ3221" s="75">
        <v>9</v>
      </c>
    </row>
    <row r="3222" spans="35:36" x14ac:dyDescent="0.35">
      <c r="AI3222" s="75">
        <v>3219</v>
      </c>
      <c r="AJ3222" s="75">
        <v>9</v>
      </c>
    </row>
    <row r="3223" spans="35:36" x14ac:dyDescent="0.35">
      <c r="AI3223" s="75">
        <v>3220</v>
      </c>
      <c r="AJ3223" s="75">
        <v>9</v>
      </c>
    </row>
    <row r="3224" spans="35:36" x14ac:dyDescent="0.35">
      <c r="AI3224" s="75">
        <v>3221</v>
      </c>
      <c r="AJ3224" s="75">
        <v>9</v>
      </c>
    </row>
    <row r="3225" spans="35:36" x14ac:dyDescent="0.35">
      <c r="AI3225" s="75">
        <v>3222</v>
      </c>
      <c r="AJ3225" s="75">
        <v>9</v>
      </c>
    </row>
    <row r="3226" spans="35:36" x14ac:dyDescent="0.35">
      <c r="AI3226" s="75">
        <v>3223</v>
      </c>
      <c r="AJ3226" s="75">
        <v>9</v>
      </c>
    </row>
    <row r="3227" spans="35:36" x14ac:dyDescent="0.35">
      <c r="AI3227" s="75">
        <v>3224</v>
      </c>
      <c r="AJ3227" s="75">
        <v>9</v>
      </c>
    </row>
    <row r="3228" spans="35:36" x14ac:dyDescent="0.35">
      <c r="AI3228" s="75">
        <v>3225</v>
      </c>
      <c r="AJ3228" s="75">
        <v>9</v>
      </c>
    </row>
    <row r="3229" spans="35:36" x14ac:dyDescent="0.35">
      <c r="AI3229" s="75">
        <v>3226</v>
      </c>
      <c r="AJ3229" s="75">
        <v>9</v>
      </c>
    </row>
    <row r="3230" spans="35:36" x14ac:dyDescent="0.35">
      <c r="AI3230" s="75">
        <v>3227</v>
      </c>
      <c r="AJ3230" s="75">
        <v>9</v>
      </c>
    </row>
    <row r="3231" spans="35:36" x14ac:dyDescent="0.35">
      <c r="AI3231" s="75">
        <v>3228</v>
      </c>
      <c r="AJ3231" s="75">
        <v>9</v>
      </c>
    </row>
    <row r="3232" spans="35:36" x14ac:dyDescent="0.35">
      <c r="AI3232" s="75">
        <v>3229</v>
      </c>
      <c r="AJ3232" s="75">
        <v>9</v>
      </c>
    </row>
    <row r="3233" spans="35:36" x14ac:dyDescent="0.35">
      <c r="AI3233" s="75">
        <v>3230</v>
      </c>
      <c r="AJ3233" s="75">
        <v>9</v>
      </c>
    </row>
    <row r="3234" spans="35:36" x14ac:dyDescent="0.35">
      <c r="AI3234" s="75">
        <v>3231</v>
      </c>
      <c r="AJ3234" s="75">
        <v>9</v>
      </c>
    </row>
    <row r="3235" spans="35:36" x14ac:dyDescent="0.35">
      <c r="AI3235" s="75">
        <v>3232</v>
      </c>
      <c r="AJ3235" s="75">
        <v>9</v>
      </c>
    </row>
    <row r="3236" spans="35:36" x14ac:dyDescent="0.35">
      <c r="AI3236" s="75">
        <v>3233</v>
      </c>
      <c r="AJ3236" s="75">
        <v>9</v>
      </c>
    </row>
    <row r="3237" spans="35:36" x14ac:dyDescent="0.35">
      <c r="AI3237" s="75">
        <v>3234</v>
      </c>
      <c r="AJ3237" s="75">
        <v>9</v>
      </c>
    </row>
    <row r="3238" spans="35:36" x14ac:dyDescent="0.35">
      <c r="AI3238" s="75">
        <v>3235</v>
      </c>
      <c r="AJ3238" s="75">
        <v>9</v>
      </c>
    </row>
    <row r="3239" spans="35:36" x14ac:dyDescent="0.35">
      <c r="AI3239" s="75">
        <v>3236</v>
      </c>
      <c r="AJ3239" s="75">
        <v>9</v>
      </c>
    </row>
    <row r="3240" spans="35:36" x14ac:dyDescent="0.35">
      <c r="AI3240" s="75">
        <v>3237</v>
      </c>
      <c r="AJ3240" s="75">
        <v>9</v>
      </c>
    </row>
    <row r="3241" spans="35:36" x14ac:dyDescent="0.35">
      <c r="AI3241" s="75">
        <v>3238</v>
      </c>
      <c r="AJ3241" s="75">
        <v>9</v>
      </c>
    </row>
    <row r="3242" spans="35:36" x14ac:dyDescent="0.35">
      <c r="AI3242" s="75">
        <v>3239</v>
      </c>
      <c r="AJ3242" s="75">
        <v>9</v>
      </c>
    </row>
    <row r="3243" spans="35:36" x14ac:dyDescent="0.35">
      <c r="AI3243" s="75">
        <v>3240</v>
      </c>
      <c r="AJ3243" s="75">
        <v>9</v>
      </c>
    </row>
    <row r="3244" spans="35:36" x14ac:dyDescent="0.35">
      <c r="AI3244" s="75">
        <v>3241</v>
      </c>
      <c r="AJ3244" s="75">
        <v>9</v>
      </c>
    </row>
    <row r="3245" spans="35:36" x14ac:dyDescent="0.35">
      <c r="AI3245" s="75">
        <v>3242</v>
      </c>
      <c r="AJ3245" s="75">
        <v>9</v>
      </c>
    </row>
    <row r="3246" spans="35:36" x14ac:dyDescent="0.35">
      <c r="AI3246" s="75">
        <v>3243</v>
      </c>
      <c r="AJ3246" s="75">
        <v>9</v>
      </c>
    </row>
    <row r="3247" spans="35:36" x14ac:dyDescent="0.35">
      <c r="AI3247" s="75">
        <v>3244</v>
      </c>
      <c r="AJ3247" s="75">
        <v>9</v>
      </c>
    </row>
    <row r="3248" spans="35:36" x14ac:dyDescent="0.35">
      <c r="AI3248" s="75">
        <v>3245</v>
      </c>
      <c r="AJ3248" s="75">
        <v>9</v>
      </c>
    </row>
    <row r="3249" spans="35:36" x14ac:dyDescent="0.35">
      <c r="AI3249" s="75">
        <v>3246</v>
      </c>
      <c r="AJ3249" s="75">
        <v>9</v>
      </c>
    </row>
    <row r="3250" spans="35:36" x14ac:dyDescent="0.35">
      <c r="AI3250" s="75">
        <v>3247</v>
      </c>
      <c r="AJ3250" s="75">
        <v>9</v>
      </c>
    </row>
    <row r="3251" spans="35:36" x14ac:dyDescent="0.35">
      <c r="AI3251" s="75">
        <v>3248</v>
      </c>
      <c r="AJ3251" s="75">
        <v>9</v>
      </c>
    </row>
    <row r="3252" spans="35:36" x14ac:dyDescent="0.35">
      <c r="AI3252" s="75">
        <v>3249</v>
      </c>
      <c r="AJ3252" s="75">
        <v>9</v>
      </c>
    </row>
    <row r="3253" spans="35:36" x14ac:dyDescent="0.35">
      <c r="AI3253" s="75">
        <v>3250</v>
      </c>
      <c r="AJ3253" s="75">
        <v>9</v>
      </c>
    </row>
    <row r="3254" spans="35:36" x14ac:dyDescent="0.35">
      <c r="AI3254" s="75">
        <v>3251</v>
      </c>
      <c r="AJ3254" s="75">
        <v>9</v>
      </c>
    </row>
    <row r="3255" spans="35:36" x14ac:dyDescent="0.35">
      <c r="AI3255" s="75">
        <v>3252</v>
      </c>
      <c r="AJ3255" s="75">
        <v>9</v>
      </c>
    </row>
    <row r="3256" spans="35:36" x14ac:dyDescent="0.35">
      <c r="AI3256" s="75">
        <v>3253</v>
      </c>
      <c r="AJ3256" s="75">
        <v>9</v>
      </c>
    </row>
    <row r="3257" spans="35:36" x14ac:dyDescent="0.35">
      <c r="AI3257" s="75">
        <v>3254</v>
      </c>
      <c r="AJ3257" s="75">
        <v>9</v>
      </c>
    </row>
    <row r="3258" spans="35:36" x14ac:dyDescent="0.35">
      <c r="AI3258" s="75">
        <v>3255</v>
      </c>
      <c r="AJ3258" s="75">
        <v>9</v>
      </c>
    </row>
    <row r="3259" spans="35:36" x14ac:dyDescent="0.35">
      <c r="AI3259" s="75">
        <v>3256</v>
      </c>
      <c r="AJ3259" s="75">
        <v>9</v>
      </c>
    </row>
    <row r="3260" spans="35:36" x14ac:dyDescent="0.35">
      <c r="AI3260" s="75">
        <v>3257</v>
      </c>
      <c r="AJ3260" s="75">
        <v>9</v>
      </c>
    </row>
    <row r="3261" spans="35:36" x14ac:dyDescent="0.35">
      <c r="AI3261" s="75">
        <v>3258</v>
      </c>
      <c r="AJ3261" s="75">
        <v>9</v>
      </c>
    </row>
    <row r="3262" spans="35:36" x14ac:dyDescent="0.35">
      <c r="AI3262" s="75">
        <v>3259</v>
      </c>
      <c r="AJ3262" s="75">
        <v>9</v>
      </c>
    </row>
    <row r="3263" spans="35:36" x14ac:dyDescent="0.35">
      <c r="AI3263" s="75">
        <v>3260</v>
      </c>
      <c r="AJ3263" s="75">
        <v>9</v>
      </c>
    </row>
    <row r="3264" spans="35:36" x14ac:dyDescent="0.35">
      <c r="AI3264" s="75">
        <v>3261</v>
      </c>
      <c r="AJ3264" s="75">
        <v>9</v>
      </c>
    </row>
    <row r="3265" spans="35:36" x14ac:dyDescent="0.35">
      <c r="AI3265" s="75">
        <v>3262</v>
      </c>
      <c r="AJ3265" s="75">
        <v>9</v>
      </c>
    </row>
    <row r="3266" spans="35:36" x14ac:dyDescent="0.35">
      <c r="AI3266" s="75">
        <v>3263</v>
      </c>
      <c r="AJ3266" s="75">
        <v>9</v>
      </c>
    </row>
    <row r="3267" spans="35:36" x14ac:dyDescent="0.35">
      <c r="AI3267" s="75">
        <v>3264</v>
      </c>
      <c r="AJ3267" s="75">
        <v>9</v>
      </c>
    </row>
    <row r="3268" spans="35:36" x14ac:dyDescent="0.35">
      <c r="AI3268" s="75">
        <v>3265</v>
      </c>
      <c r="AJ3268" s="75">
        <v>9</v>
      </c>
    </row>
    <row r="3269" spans="35:36" x14ac:dyDescent="0.35">
      <c r="AI3269" s="75">
        <v>3266</v>
      </c>
      <c r="AJ3269" s="75">
        <v>9</v>
      </c>
    </row>
    <row r="3270" spans="35:36" x14ac:dyDescent="0.35">
      <c r="AI3270" s="75">
        <v>3267</v>
      </c>
      <c r="AJ3270" s="75">
        <v>9</v>
      </c>
    </row>
    <row r="3271" spans="35:36" x14ac:dyDescent="0.35">
      <c r="AI3271" s="75">
        <v>3268</v>
      </c>
      <c r="AJ3271" s="75">
        <v>9</v>
      </c>
    </row>
    <row r="3272" spans="35:36" x14ac:dyDescent="0.35">
      <c r="AI3272" s="75">
        <v>3269</v>
      </c>
      <c r="AJ3272" s="75">
        <v>9</v>
      </c>
    </row>
    <row r="3273" spans="35:36" x14ac:dyDescent="0.35">
      <c r="AI3273" s="75">
        <v>3270</v>
      </c>
      <c r="AJ3273" s="75">
        <v>9</v>
      </c>
    </row>
    <row r="3274" spans="35:36" x14ac:dyDescent="0.35">
      <c r="AI3274" s="75">
        <v>3271</v>
      </c>
      <c r="AJ3274" s="75">
        <v>9</v>
      </c>
    </row>
    <row r="3275" spans="35:36" x14ac:dyDescent="0.35">
      <c r="AI3275" s="75">
        <v>3272</v>
      </c>
      <c r="AJ3275" s="75">
        <v>9</v>
      </c>
    </row>
    <row r="3276" spans="35:36" x14ac:dyDescent="0.35">
      <c r="AI3276" s="75">
        <v>3273</v>
      </c>
      <c r="AJ3276" s="75">
        <v>9</v>
      </c>
    </row>
    <row r="3277" spans="35:36" x14ac:dyDescent="0.35">
      <c r="AI3277" s="75">
        <v>3274</v>
      </c>
      <c r="AJ3277" s="75">
        <v>9</v>
      </c>
    </row>
    <row r="3278" spans="35:36" x14ac:dyDescent="0.35">
      <c r="AI3278" s="75">
        <v>3275</v>
      </c>
      <c r="AJ3278" s="75">
        <v>9</v>
      </c>
    </row>
    <row r="3279" spans="35:36" x14ac:dyDescent="0.35">
      <c r="AI3279" s="75">
        <v>3276</v>
      </c>
      <c r="AJ3279" s="75">
        <v>9</v>
      </c>
    </row>
    <row r="3280" spans="35:36" x14ac:dyDescent="0.35">
      <c r="AI3280" s="75">
        <v>3277</v>
      </c>
      <c r="AJ3280" s="75">
        <v>9</v>
      </c>
    </row>
    <row r="3281" spans="35:36" x14ac:dyDescent="0.35">
      <c r="AI3281" s="75">
        <v>3278</v>
      </c>
      <c r="AJ3281" s="75">
        <v>9</v>
      </c>
    </row>
    <row r="3282" spans="35:36" x14ac:dyDescent="0.35">
      <c r="AI3282" s="75">
        <v>3279</v>
      </c>
      <c r="AJ3282" s="75">
        <v>9</v>
      </c>
    </row>
    <row r="3283" spans="35:36" x14ac:dyDescent="0.35">
      <c r="AI3283" s="75">
        <v>3280</v>
      </c>
      <c r="AJ3283" s="75">
        <v>9</v>
      </c>
    </row>
    <row r="3284" spans="35:36" x14ac:dyDescent="0.35">
      <c r="AI3284" s="75">
        <v>3281</v>
      </c>
      <c r="AJ3284" s="75">
        <v>9</v>
      </c>
    </row>
    <row r="3285" spans="35:36" x14ac:dyDescent="0.35">
      <c r="AI3285" s="75">
        <v>3282</v>
      </c>
      <c r="AJ3285" s="75">
        <v>8</v>
      </c>
    </row>
    <row r="3286" spans="35:36" x14ac:dyDescent="0.35">
      <c r="AI3286" s="75">
        <v>3283</v>
      </c>
      <c r="AJ3286" s="75">
        <v>8</v>
      </c>
    </row>
    <row r="3287" spans="35:36" x14ac:dyDescent="0.35">
      <c r="AI3287" s="75">
        <v>3284</v>
      </c>
      <c r="AJ3287" s="75">
        <v>8</v>
      </c>
    </row>
    <row r="3288" spans="35:36" x14ac:dyDescent="0.35">
      <c r="AI3288" s="75">
        <v>3285</v>
      </c>
      <c r="AJ3288" s="75">
        <v>8</v>
      </c>
    </row>
    <row r="3289" spans="35:36" x14ac:dyDescent="0.35">
      <c r="AI3289" s="75">
        <v>3286</v>
      </c>
      <c r="AJ3289" s="75">
        <v>8</v>
      </c>
    </row>
    <row r="3290" spans="35:36" x14ac:dyDescent="0.35">
      <c r="AI3290" s="75">
        <v>3287</v>
      </c>
      <c r="AJ3290" s="75">
        <v>8</v>
      </c>
    </row>
    <row r="3291" spans="35:36" x14ac:dyDescent="0.35">
      <c r="AI3291" s="75">
        <v>3288</v>
      </c>
      <c r="AJ3291" s="75">
        <v>8</v>
      </c>
    </row>
    <row r="3292" spans="35:36" x14ac:dyDescent="0.35">
      <c r="AI3292" s="75">
        <v>3289</v>
      </c>
      <c r="AJ3292" s="75">
        <v>8</v>
      </c>
    </row>
    <row r="3293" spans="35:36" x14ac:dyDescent="0.35">
      <c r="AI3293" s="75">
        <v>3290</v>
      </c>
      <c r="AJ3293" s="75">
        <v>8</v>
      </c>
    </row>
    <row r="3294" spans="35:36" x14ac:dyDescent="0.35">
      <c r="AI3294" s="75">
        <v>3291</v>
      </c>
      <c r="AJ3294" s="75">
        <v>8</v>
      </c>
    </row>
    <row r="3295" spans="35:36" x14ac:dyDescent="0.35">
      <c r="AI3295" s="75">
        <v>3292</v>
      </c>
      <c r="AJ3295" s="75">
        <v>8</v>
      </c>
    </row>
    <row r="3296" spans="35:36" x14ac:dyDescent="0.35">
      <c r="AI3296" s="75">
        <v>3293</v>
      </c>
      <c r="AJ3296" s="75">
        <v>8</v>
      </c>
    </row>
    <row r="3297" spans="35:36" x14ac:dyDescent="0.35">
      <c r="AI3297" s="75">
        <v>3294</v>
      </c>
      <c r="AJ3297" s="75">
        <v>8</v>
      </c>
    </row>
    <row r="3298" spans="35:36" x14ac:dyDescent="0.35">
      <c r="AI3298" s="75">
        <v>3295</v>
      </c>
      <c r="AJ3298" s="75">
        <v>8</v>
      </c>
    </row>
    <row r="3299" spans="35:36" x14ac:dyDescent="0.35">
      <c r="AI3299" s="75">
        <v>3296</v>
      </c>
      <c r="AJ3299" s="75">
        <v>8</v>
      </c>
    </row>
    <row r="3300" spans="35:36" x14ac:dyDescent="0.35">
      <c r="AI3300" s="75">
        <v>3297</v>
      </c>
      <c r="AJ3300" s="75">
        <v>8</v>
      </c>
    </row>
    <row r="3301" spans="35:36" x14ac:dyDescent="0.35">
      <c r="AI3301" s="75">
        <v>3298</v>
      </c>
      <c r="AJ3301" s="75">
        <v>8</v>
      </c>
    </row>
    <row r="3302" spans="35:36" x14ac:dyDescent="0.35">
      <c r="AI3302" s="75">
        <v>3299</v>
      </c>
      <c r="AJ3302" s="75">
        <v>8</v>
      </c>
    </row>
    <row r="3303" spans="35:36" x14ac:dyDescent="0.35">
      <c r="AI3303" s="75">
        <v>3300</v>
      </c>
      <c r="AJ3303" s="75">
        <v>8</v>
      </c>
    </row>
    <row r="3304" spans="35:36" x14ac:dyDescent="0.35">
      <c r="AI3304" s="75">
        <v>3301</v>
      </c>
      <c r="AJ3304" s="75">
        <v>8</v>
      </c>
    </row>
    <row r="3305" spans="35:36" x14ac:dyDescent="0.35">
      <c r="AI3305" s="75">
        <v>3302</v>
      </c>
      <c r="AJ3305" s="75">
        <v>8</v>
      </c>
    </row>
    <row r="3306" spans="35:36" x14ac:dyDescent="0.35">
      <c r="AI3306" s="75">
        <v>3303</v>
      </c>
      <c r="AJ3306" s="75">
        <v>8</v>
      </c>
    </row>
    <row r="3307" spans="35:36" x14ac:dyDescent="0.35">
      <c r="AI3307" s="75">
        <v>3304</v>
      </c>
      <c r="AJ3307" s="75">
        <v>8</v>
      </c>
    </row>
    <row r="3308" spans="35:36" x14ac:dyDescent="0.35">
      <c r="AI3308" s="75">
        <v>3305</v>
      </c>
      <c r="AJ3308" s="75">
        <v>8</v>
      </c>
    </row>
    <row r="3309" spans="35:36" x14ac:dyDescent="0.35">
      <c r="AI3309" s="75">
        <v>3306</v>
      </c>
      <c r="AJ3309" s="75">
        <v>8</v>
      </c>
    </row>
    <row r="3310" spans="35:36" x14ac:dyDescent="0.35">
      <c r="AI3310" s="75">
        <v>3307</v>
      </c>
      <c r="AJ3310" s="75">
        <v>8</v>
      </c>
    </row>
    <row r="3311" spans="35:36" x14ac:dyDescent="0.35">
      <c r="AI3311" s="75">
        <v>3308</v>
      </c>
      <c r="AJ3311" s="75">
        <v>8</v>
      </c>
    </row>
    <row r="3312" spans="35:36" x14ac:dyDescent="0.35">
      <c r="AI3312" s="75">
        <v>3309</v>
      </c>
      <c r="AJ3312" s="75">
        <v>8</v>
      </c>
    </row>
    <row r="3313" spans="35:36" x14ac:dyDescent="0.35">
      <c r="AI3313" s="75">
        <v>3310</v>
      </c>
      <c r="AJ3313" s="75">
        <v>8</v>
      </c>
    </row>
    <row r="3314" spans="35:36" x14ac:dyDescent="0.35">
      <c r="AI3314" s="75">
        <v>3311</v>
      </c>
      <c r="AJ3314" s="75">
        <v>8</v>
      </c>
    </row>
    <row r="3315" spans="35:36" x14ac:dyDescent="0.35">
      <c r="AI3315" s="75">
        <v>3312</v>
      </c>
      <c r="AJ3315" s="75">
        <v>8</v>
      </c>
    </row>
    <row r="3316" spans="35:36" x14ac:dyDescent="0.35">
      <c r="AI3316" s="75">
        <v>3313</v>
      </c>
      <c r="AJ3316" s="75">
        <v>8</v>
      </c>
    </row>
    <row r="3317" spans="35:36" x14ac:dyDescent="0.35">
      <c r="AI3317" s="75">
        <v>3314</v>
      </c>
      <c r="AJ3317" s="75">
        <v>8</v>
      </c>
    </row>
    <row r="3318" spans="35:36" x14ac:dyDescent="0.35">
      <c r="AI3318" s="75">
        <v>3315</v>
      </c>
      <c r="AJ3318" s="75">
        <v>8</v>
      </c>
    </row>
    <row r="3319" spans="35:36" x14ac:dyDescent="0.35">
      <c r="AI3319" s="75">
        <v>3316</v>
      </c>
      <c r="AJ3319" s="75">
        <v>8</v>
      </c>
    </row>
    <row r="3320" spans="35:36" x14ac:dyDescent="0.35">
      <c r="AI3320" s="75">
        <v>3317</v>
      </c>
      <c r="AJ3320" s="75">
        <v>8</v>
      </c>
    </row>
    <row r="3321" spans="35:36" x14ac:dyDescent="0.35">
      <c r="AI3321" s="75">
        <v>3318</v>
      </c>
      <c r="AJ3321" s="75">
        <v>8</v>
      </c>
    </row>
    <row r="3322" spans="35:36" x14ac:dyDescent="0.35">
      <c r="AI3322" s="75">
        <v>3319</v>
      </c>
      <c r="AJ3322" s="75">
        <v>8</v>
      </c>
    </row>
    <row r="3323" spans="35:36" x14ac:dyDescent="0.35">
      <c r="AI3323" s="75">
        <v>3320</v>
      </c>
      <c r="AJ3323" s="75">
        <v>8</v>
      </c>
    </row>
    <row r="3324" spans="35:36" x14ac:dyDescent="0.35">
      <c r="AI3324" s="75">
        <v>3321</v>
      </c>
      <c r="AJ3324" s="75">
        <v>8</v>
      </c>
    </row>
    <row r="3325" spans="35:36" x14ac:dyDescent="0.35">
      <c r="AI3325" s="75">
        <v>3322</v>
      </c>
      <c r="AJ3325" s="75">
        <v>8</v>
      </c>
    </row>
    <row r="3326" spans="35:36" x14ac:dyDescent="0.35">
      <c r="AI3326" s="75">
        <v>3323</v>
      </c>
      <c r="AJ3326" s="75">
        <v>8</v>
      </c>
    </row>
    <row r="3327" spans="35:36" x14ac:dyDescent="0.35">
      <c r="AI3327" s="75">
        <v>3324</v>
      </c>
      <c r="AJ3327" s="75">
        <v>8</v>
      </c>
    </row>
    <row r="3328" spans="35:36" x14ac:dyDescent="0.35">
      <c r="AI3328" s="75">
        <v>3325</v>
      </c>
      <c r="AJ3328" s="75">
        <v>8</v>
      </c>
    </row>
    <row r="3329" spans="35:36" x14ac:dyDescent="0.35">
      <c r="AI3329" s="75">
        <v>3326</v>
      </c>
      <c r="AJ3329" s="75">
        <v>8</v>
      </c>
    </row>
    <row r="3330" spans="35:36" x14ac:dyDescent="0.35">
      <c r="AI3330" s="75">
        <v>3327</v>
      </c>
      <c r="AJ3330" s="75">
        <v>8</v>
      </c>
    </row>
    <row r="3331" spans="35:36" x14ac:dyDescent="0.35">
      <c r="AI3331" s="75">
        <v>3328</v>
      </c>
      <c r="AJ3331" s="75">
        <v>8</v>
      </c>
    </row>
    <row r="3332" spans="35:36" x14ac:dyDescent="0.35">
      <c r="AI3332" s="75">
        <v>3329</v>
      </c>
      <c r="AJ3332" s="75">
        <v>8</v>
      </c>
    </row>
    <row r="3333" spans="35:36" x14ac:dyDescent="0.35">
      <c r="AI3333" s="75">
        <v>3330</v>
      </c>
      <c r="AJ3333" s="75">
        <v>8</v>
      </c>
    </row>
    <row r="3334" spans="35:36" x14ac:dyDescent="0.35">
      <c r="AI3334" s="75">
        <v>3331</v>
      </c>
      <c r="AJ3334" s="75">
        <v>8</v>
      </c>
    </row>
    <row r="3335" spans="35:36" x14ac:dyDescent="0.35">
      <c r="AI3335" s="75">
        <v>3332</v>
      </c>
      <c r="AJ3335" s="75">
        <v>8</v>
      </c>
    </row>
    <row r="3336" spans="35:36" x14ac:dyDescent="0.35">
      <c r="AI3336" s="75">
        <v>3333</v>
      </c>
      <c r="AJ3336" s="75">
        <v>8</v>
      </c>
    </row>
    <row r="3337" spans="35:36" x14ac:dyDescent="0.35">
      <c r="AI3337" s="75">
        <v>3334</v>
      </c>
      <c r="AJ3337" s="75">
        <v>8</v>
      </c>
    </row>
    <row r="3338" spans="35:36" x14ac:dyDescent="0.35">
      <c r="AI3338" s="75">
        <v>3335</v>
      </c>
      <c r="AJ3338" s="75">
        <v>8</v>
      </c>
    </row>
    <row r="3339" spans="35:36" x14ac:dyDescent="0.35">
      <c r="AI3339" s="75">
        <v>3336</v>
      </c>
      <c r="AJ3339" s="75">
        <v>8</v>
      </c>
    </row>
    <row r="3340" spans="35:36" x14ac:dyDescent="0.35">
      <c r="AI3340" s="75">
        <v>3337</v>
      </c>
      <c r="AJ3340" s="75">
        <v>8</v>
      </c>
    </row>
    <row r="3341" spans="35:36" x14ac:dyDescent="0.35">
      <c r="AI3341" s="75">
        <v>3338</v>
      </c>
      <c r="AJ3341" s="75">
        <v>8</v>
      </c>
    </row>
    <row r="3342" spans="35:36" x14ac:dyDescent="0.35">
      <c r="AI3342" s="75">
        <v>3339</v>
      </c>
      <c r="AJ3342" s="75">
        <v>8</v>
      </c>
    </row>
    <row r="3343" spans="35:36" x14ac:dyDescent="0.35">
      <c r="AI3343" s="75">
        <v>3340</v>
      </c>
      <c r="AJ3343" s="75">
        <v>8</v>
      </c>
    </row>
    <row r="3344" spans="35:36" x14ac:dyDescent="0.35">
      <c r="AI3344" s="75">
        <v>3341</v>
      </c>
      <c r="AJ3344" s="75">
        <v>8</v>
      </c>
    </row>
    <row r="3345" spans="35:36" x14ac:dyDescent="0.35">
      <c r="AI3345" s="75">
        <v>3342</v>
      </c>
      <c r="AJ3345" s="75">
        <v>8</v>
      </c>
    </row>
    <row r="3346" spans="35:36" x14ac:dyDescent="0.35">
      <c r="AI3346" s="75">
        <v>3343</v>
      </c>
      <c r="AJ3346" s="75">
        <v>8</v>
      </c>
    </row>
    <row r="3347" spans="35:36" x14ac:dyDescent="0.35">
      <c r="AI3347" s="75">
        <v>3344</v>
      </c>
      <c r="AJ3347" s="75">
        <v>8</v>
      </c>
    </row>
    <row r="3348" spans="35:36" x14ac:dyDescent="0.35">
      <c r="AI3348" s="75">
        <v>3345</v>
      </c>
      <c r="AJ3348" s="75">
        <v>8</v>
      </c>
    </row>
    <row r="3349" spans="35:36" x14ac:dyDescent="0.35">
      <c r="AI3349" s="75">
        <v>3346</v>
      </c>
      <c r="AJ3349" s="75">
        <v>8</v>
      </c>
    </row>
    <row r="3350" spans="35:36" x14ac:dyDescent="0.35">
      <c r="AI3350" s="75">
        <v>3347</v>
      </c>
      <c r="AJ3350" s="75">
        <v>8</v>
      </c>
    </row>
    <row r="3351" spans="35:36" x14ac:dyDescent="0.35">
      <c r="AI3351" s="75">
        <v>3348</v>
      </c>
      <c r="AJ3351" s="75">
        <v>8</v>
      </c>
    </row>
    <row r="3352" spans="35:36" x14ac:dyDescent="0.35">
      <c r="AI3352" s="75">
        <v>3349</v>
      </c>
      <c r="AJ3352" s="75">
        <v>8</v>
      </c>
    </row>
    <row r="3353" spans="35:36" x14ac:dyDescent="0.35">
      <c r="AI3353" s="75">
        <v>3350</v>
      </c>
      <c r="AJ3353" s="75">
        <v>8</v>
      </c>
    </row>
    <row r="3354" spans="35:36" x14ac:dyDescent="0.35">
      <c r="AI3354" s="75">
        <v>3351</v>
      </c>
      <c r="AJ3354" s="75">
        <v>8</v>
      </c>
    </row>
    <row r="3355" spans="35:36" x14ac:dyDescent="0.35">
      <c r="AI3355" s="75">
        <v>3352</v>
      </c>
      <c r="AJ3355" s="75">
        <v>8</v>
      </c>
    </row>
    <row r="3356" spans="35:36" x14ac:dyDescent="0.35">
      <c r="AI3356" s="75">
        <v>3353</v>
      </c>
      <c r="AJ3356" s="75">
        <v>8</v>
      </c>
    </row>
    <row r="3357" spans="35:36" x14ac:dyDescent="0.35">
      <c r="AI3357" s="75">
        <v>3354</v>
      </c>
      <c r="AJ3357" s="75">
        <v>8</v>
      </c>
    </row>
    <row r="3358" spans="35:36" x14ac:dyDescent="0.35">
      <c r="AI3358" s="75">
        <v>3355</v>
      </c>
      <c r="AJ3358" s="75">
        <v>8</v>
      </c>
    </row>
    <row r="3359" spans="35:36" x14ac:dyDescent="0.35">
      <c r="AI3359" s="75">
        <v>3356</v>
      </c>
      <c r="AJ3359" s="75">
        <v>8</v>
      </c>
    </row>
    <row r="3360" spans="35:36" x14ac:dyDescent="0.35">
      <c r="AI3360" s="75">
        <v>3357</v>
      </c>
      <c r="AJ3360" s="75">
        <v>8</v>
      </c>
    </row>
    <row r="3361" spans="35:36" x14ac:dyDescent="0.35">
      <c r="AI3361" s="75">
        <v>3358</v>
      </c>
      <c r="AJ3361" s="75">
        <v>8</v>
      </c>
    </row>
    <row r="3362" spans="35:36" x14ac:dyDescent="0.35">
      <c r="AI3362" s="75">
        <v>3359</v>
      </c>
      <c r="AJ3362" s="75">
        <v>8</v>
      </c>
    </row>
    <row r="3363" spans="35:36" x14ac:dyDescent="0.35">
      <c r="AI3363" s="75">
        <v>3360</v>
      </c>
      <c r="AJ3363" s="75">
        <v>8</v>
      </c>
    </row>
    <row r="3364" spans="35:36" x14ac:dyDescent="0.35">
      <c r="AI3364" s="75">
        <v>3361</v>
      </c>
      <c r="AJ3364" s="75">
        <v>8</v>
      </c>
    </row>
    <row r="3365" spans="35:36" x14ac:dyDescent="0.35">
      <c r="AI3365" s="75">
        <v>3362</v>
      </c>
      <c r="AJ3365" s="75">
        <v>8</v>
      </c>
    </row>
    <row r="3366" spans="35:36" x14ac:dyDescent="0.35">
      <c r="AI3366" s="75">
        <v>3363</v>
      </c>
      <c r="AJ3366" s="75">
        <v>8</v>
      </c>
    </row>
    <row r="3367" spans="35:36" x14ac:dyDescent="0.35">
      <c r="AI3367" s="75">
        <v>3364</v>
      </c>
      <c r="AJ3367" s="75">
        <v>8</v>
      </c>
    </row>
    <row r="3368" spans="35:36" x14ac:dyDescent="0.35">
      <c r="AI3368" s="75">
        <v>3365</v>
      </c>
      <c r="AJ3368" s="75">
        <v>8</v>
      </c>
    </row>
    <row r="3369" spans="35:36" x14ac:dyDescent="0.35">
      <c r="AI3369" s="75">
        <v>3366</v>
      </c>
      <c r="AJ3369" s="75">
        <v>8</v>
      </c>
    </row>
    <row r="3370" spans="35:36" x14ac:dyDescent="0.35">
      <c r="AI3370" s="75">
        <v>3367</v>
      </c>
      <c r="AJ3370" s="75">
        <v>8</v>
      </c>
    </row>
    <row r="3371" spans="35:36" x14ac:dyDescent="0.35">
      <c r="AI3371" s="75">
        <v>3368</v>
      </c>
      <c r="AJ3371" s="75">
        <v>8</v>
      </c>
    </row>
    <row r="3372" spans="35:36" x14ac:dyDescent="0.35">
      <c r="AI3372" s="75">
        <v>3369</v>
      </c>
      <c r="AJ3372" s="75">
        <v>8</v>
      </c>
    </row>
    <row r="3373" spans="35:36" x14ac:dyDescent="0.35">
      <c r="AI3373" s="75">
        <v>3370</v>
      </c>
      <c r="AJ3373" s="75">
        <v>8</v>
      </c>
    </row>
    <row r="3374" spans="35:36" x14ac:dyDescent="0.35">
      <c r="AI3374" s="75">
        <v>3371</v>
      </c>
      <c r="AJ3374" s="75">
        <v>8</v>
      </c>
    </row>
    <row r="3375" spans="35:36" x14ac:dyDescent="0.35">
      <c r="AI3375" s="75">
        <v>3372</v>
      </c>
      <c r="AJ3375" s="75">
        <v>8</v>
      </c>
    </row>
    <row r="3376" spans="35:36" x14ac:dyDescent="0.35">
      <c r="AI3376" s="75">
        <v>3373</v>
      </c>
      <c r="AJ3376" s="75">
        <v>8</v>
      </c>
    </row>
    <row r="3377" spans="35:36" x14ac:dyDescent="0.35">
      <c r="AI3377" s="75">
        <v>3374</v>
      </c>
      <c r="AJ3377" s="75">
        <v>8</v>
      </c>
    </row>
    <row r="3378" spans="35:36" x14ac:dyDescent="0.35">
      <c r="AI3378" s="75">
        <v>3375</v>
      </c>
      <c r="AJ3378" s="75">
        <v>8</v>
      </c>
    </row>
    <row r="3379" spans="35:36" x14ac:dyDescent="0.35">
      <c r="AI3379" s="75">
        <v>3376</v>
      </c>
      <c r="AJ3379" s="75">
        <v>8</v>
      </c>
    </row>
    <row r="3380" spans="35:36" x14ac:dyDescent="0.35">
      <c r="AI3380" s="75">
        <v>3377</v>
      </c>
      <c r="AJ3380" s="75">
        <v>8</v>
      </c>
    </row>
    <row r="3381" spans="35:36" x14ac:dyDescent="0.35">
      <c r="AI3381" s="75">
        <v>3378</v>
      </c>
      <c r="AJ3381" s="75">
        <v>8</v>
      </c>
    </row>
    <row r="3382" spans="35:36" x14ac:dyDescent="0.35">
      <c r="AI3382" s="75">
        <v>3379</v>
      </c>
      <c r="AJ3382" s="75">
        <v>8</v>
      </c>
    </row>
    <row r="3383" spans="35:36" x14ac:dyDescent="0.35">
      <c r="AI3383" s="75">
        <v>3380</v>
      </c>
      <c r="AJ3383" s="75">
        <v>8</v>
      </c>
    </row>
    <row r="3384" spans="35:36" x14ac:dyDescent="0.35">
      <c r="AI3384" s="75">
        <v>3381</v>
      </c>
      <c r="AJ3384" s="75">
        <v>8</v>
      </c>
    </row>
    <row r="3385" spans="35:36" x14ac:dyDescent="0.35">
      <c r="AI3385" s="75">
        <v>3382</v>
      </c>
      <c r="AJ3385" s="75">
        <v>8</v>
      </c>
    </row>
    <row r="3386" spans="35:36" x14ac:dyDescent="0.35">
      <c r="AI3386" s="75">
        <v>3383</v>
      </c>
      <c r="AJ3386" s="75">
        <v>8</v>
      </c>
    </row>
    <row r="3387" spans="35:36" x14ac:dyDescent="0.35">
      <c r="AI3387" s="75">
        <v>3384</v>
      </c>
      <c r="AJ3387" s="75">
        <v>8</v>
      </c>
    </row>
    <row r="3388" spans="35:36" x14ac:dyDescent="0.35">
      <c r="AI3388" s="75">
        <v>3385</v>
      </c>
      <c r="AJ3388" s="75">
        <v>8</v>
      </c>
    </row>
    <row r="3389" spans="35:36" x14ac:dyDescent="0.35">
      <c r="AI3389" s="75">
        <v>3386</v>
      </c>
      <c r="AJ3389" s="75">
        <v>8</v>
      </c>
    </row>
    <row r="3390" spans="35:36" x14ac:dyDescent="0.35">
      <c r="AI3390" s="75">
        <v>3387</v>
      </c>
      <c r="AJ3390" s="75">
        <v>8</v>
      </c>
    </row>
    <row r="3391" spans="35:36" x14ac:dyDescent="0.35">
      <c r="AI3391" s="75">
        <v>3388</v>
      </c>
      <c r="AJ3391" s="75">
        <v>8</v>
      </c>
    </row>
    <row r="3392" spans="35:36" x14ac:dyDescent="0.35">
      <c r="AI3392" s="75">
        <v>3389</v>
      </c>
      <c r="AJ3392" s="75">
        <v>8</v>
      </c>
    </row>
    <row r="3393" spans="35:36" x14ac:dyDescent="0.35">
      <c r="AI3393" s="75">
        <v>3390</v>
      </c>
      <c r="AJ3393" s="75">
        <v>8</v>
      </c>
    </row>
    <row r="3394" spans="35:36" x14ac:dyDescent="0.35">
      <c r="AI3394" s="75">
        <v>3391</v>
      </c>
      <c r="AJ3394" s="75">
        <v>8</v>
      </c>
    </row>
    <row r="3395" spans="35:36" x14ac:dyDescent="0.35">
      <c r="AI3395" s="75">
        <v>3392</v>
      </c>
      <c r="AJ3395" s="75">
        <v>8</v>
      </c>
    </row>
    <row r="3396" spans="35:36" x14ac:dyDescent="0.35">
      <c r="AI3396" s="75">
        <v>3393</v>
      </c>
      <c r="AJ3396" s="75">
        <v>8</v>
      </c>
    </row>
    <row r="3397" spans="35:36" x14ac:dyDescent="0.35">
      <c r="AI3397" s="75">
        <v>3394</v>
      </c>
      <c r="AJ3397" s="75">
        <v>8</v>
      </c>
    </row>
    <row r="3398" spans="35:36" x14ac:dyDescent="0.35">
      <c r="AI3398" s="75">
        <v>3395</v>
      </c>
      <c r="AJ3398" s="75">
        <v>8</v>
      </c>
    </row>
    <row r="3399" spans="35:36" x14ac:dyDescent="0.35">
      <c r="AI3399" s="75">
        <v>3396</v>
      </c>
      <c r="AJ3399" s="75">
        <v>8</v>
      </c>
    </row>
    <row r="3400" spans="35:36" x14ac:dyDescent="0.35">
      <c r="AI3400" s="75">
        <v>3397</v>
      </c>
      <c r="AJ3400" s="75">
        <v>8</v>
      </c>
    </row>
    <row r="3401" spans="35:36" x14ac:dyDescent="0.35">
      <c r="AI3401" s="75">
        <v>3398</v>
      </c>
      <c r="AJ3401" s="75">
        <v>8</v>
      </c>
    </row>
    <row r="3402" spans="35:36" x14ac:dyDescent="0.35">
      <c r="AI3402" s="75">
        <v>3399</v>
      </c>
      <c r="AJ3402" s="75">
        <v>8</v>
      </c>
    </row>
    <row r="3403" spans="35:36" x14ac:dyDescent="0.35">
      <c r="AI3403" s="75">
        <v>3400</v>
      </c>
      <c r="AJ3403" s="75">
        <v>8</v>
      </c>
    </row>
    <row r="3404" spans="35:36" x14ac:dyDescent="0.35">
      <c r="AI3404" s="75">
        <v>3401</v>
      </c>
      <c r="AJ3404" s="75">
        <v>8</v>
      </c>
    </row>
    <row r="3405" spans="35:36" x14ac:dyDescent="0.35">
      <c r="AI3405" s="75">
        <v>3402</v>
      </c>
      <c r="AJ3405" s="75">
        <v>8</v>
      </c>
    </row>
    <row r="3406" spans="35:36" x14ac:dyDescent="0.35">
      <c r="AI3406" s="75">
        <v>3403</v>
      </c>
      <c r="AJ3406" s="75">
        <v>8</v>
      </c>
    </row>
    <row r="3407" spans="35:36" x14ac:dyDescent="0.35">
      <c r="AI3407" s="75">
        <v>3404</v>
      </c>
      <c r="AJ3407" s="75">
        <v>8</v>
      </c>
    </row>
    <row r="3408" spans="35:36" x14ac:dyDescent="0.35">
      <c r="AI3408" s="75">
        <v>3405</v>
      </c>
      <c r="AJ3408" s="75">
        <v>8</v>
      </c>
    </row>
    <row r="3409" spans="35:36" x14ac:dyDescent="0.35">
      <c r="AI3409" s="75">
        <v>3406</v>
      </c>
      <c r="AJ3409" s="75">
        <v>8</v>
      </c>
    </row>
    <row r="3410" spans="35:36" x14ac:dyDescent="0.35">
      <c r="AI3410" s="75">
        <v>3407</v>
      </c>
      <c r="AJ3410" s="75">
        <v>8</v>
      </c>
    </row>
    <row r="3411" spans="35:36" x14ac:dyDescent="0.35">
      <c r="AI3411" s="75">
        <v>3408</v>
      </c>
      <c r="AJ3411" s="75">
        <v>8</v>
      </c>
    </row>
    <row r="3412" spans="35:36" x14ac:dyDescent="0.35">
      <c r="AI3412" s="75">
        <v>3409</v>
      </c>
      <c r="AJ3412" s="75">
        <v>8</v>
      </c>
    </row>
    <row r="3413" spans="35:36" x14ac:dyDescent="0.35">
      <c r="AI3413" s="75">
        <v>3410</v>
      </c>
      <c r="AJ3413" s="75">
        <v>8</v>
      </c>
    </row>
    <row r="3414" spans="35:36" x14ac:dyDescent="0.35">
      <c r="AI3414" s="75">
        <v>3411</v>
      </c>
      <c r="AJ3414" s="75">
        <v>8</v>
      </c>
    </row>
    <row r="3415" spans="35:36" x14ac:dyDescent="0.35">
      <c r="AI3415" s="75">
        <v>3412</v>
      </c>
      <c r="AJ3415" s="75">
        <v>8</v>
      </c>
    </row>
    <row r="3416" spans="35:36" x14ac:dyDescent="0.35">
      <c r="AI3416" s="75">
        <v>3413</v>
      </c>
      <c r="AJ3416" s="75">
        <v>8</v>
      </c>
    </row>
    <row r="3417" spans="35:36" x14ac:dyDescent="0.35">
      <c r="AI3417" s="75">
        <v>3414</v>
      </c>
      <c r="AJ3417" s="75">
        <v>8</v>
      </c>
    </row>
    <row r="3418" spans="35:36" x14ac:dyDescent="0.35">
      <c r="AI3418" s="75">
        <v>3415</v>
      </c>
      <c r="AJ3418" s="75">
        <v>8</v>
      </c>
    </row>
    <row r="3419" spans="35:36" x14ac:dyDescent="0.35">
      <c r="AI3419" s="75">
        <v>3416</v>
      </c>
      <c r="AJ3419" s="75">
        <v>8</v>
      </c>
    </row>
    <row r="3420" spans="35:36" x14ac:dyDescent="0.35">
      <c r="AI3420" s="75">
        <v>3417</v>
      </c>
      <c r="AJ3420" s="75">
        <v>8</v>
      </c>
    </row>
    <row r="3421" spans="35:36" x14ac:dyDescent="0.35">
      <c r="AI3421" s="75">
        <v>3418</v>
      </c>
      <c r="AJ3421" s="75">
        <v>8</v>
      </c>
    </row>
    <row r="3422" spans="35:36" x14ac:dyDescent="0.35">
      <c r="AI3422" s="75">
        <v>3419</v>
      </c>
      <c r="AJ3422" s="75">
        <v>8</v>
      </c>
    </row>
    <row r="3423" spans="35:36" x14ac:dyDescent="0.35">
      <c r="AI3423" s="75">
        <v>3420</v>
      </c>
      <c r="AJ3423" s="75">
        <v>8</v>
      </c>
    </row>
    <row r="3424" spans="35:36" x14ac:dyDescent="0.35">
      <c r="AI3424" s="75">
        <v>3421</v>
      </c>
      <c r="AJ3424" s="75">
        <v>8</v>
      </c>
    </row>
    <row r="3425" spans="35:36" x14ac:dyDescent="0.35">
      <c r="AI3425" s="75">
        <v>3422</v>
      </c>
      <c r="AJ3425" s="75">
        <v>8</v>
      </c>
    </row>
    <row r="3426" spans="35:36" x14ac:dyDescent="0.35">
      <c r="AI3426" s="75">
        <v>3423</v>
      </c>
      <c r="AJ3426" s="75">
        <v>8</v>
      </c>
    </row>
    <row r="3427" spans="35:36" x14ac:dyDescent="0.35">
      <c r="AI3427" s="75">
        <v>3424</v>
      </c>
      <c r="AJ3427" s="75">
        <v>8</v>
      </c>
    </row>
    <row r="3428" spans="35:36" x14ac:dyDescent="0.35">
      <c r="AI3428" s="75">
        <v>3425</v>
      </c>
      <c r="AJ3428" s="75">
        <v>8</v>
      </c>
    </row>
    <row r="3429" spans="35:36" x14ac:dyDescent="0.35">
      <c r="AI3429" s="75">
        <v>3426</v>
      </c>
      <c r="AJ3429" s="75">
        <v>8</v>
      </c>
    </row>
    <row r="3430" spans="35:36" x14ac:dyDescent="0.35">
      <c r="AI3430" s="75">
        <v>3427</v>
      </c>
      <c r="AJ3430" s="75">
        <v>8</v>
      </c>
    </row>
    <row r="3431" spans="35:36" x14ac:dyDescent="0.35">
      <c r="AI3431" s="75">
        <v>3428</v>
      </c>
      <c r="AJ3431" s="75">
        <v>8</v>
      </c>
    </row>
    <row r="3432" spans="35:36" x14ac:dyDescent="0.35">
      <c r="AI3432" s="75">
        <v>3429</v>
      </c>
      <c r="AJ3432" s="75"/>
    </row>
    <row r="3433" spans="35:36" x14ac:dyDescent="0.35">
      <c r="AI3433" s="75">
        <v>3430</v>
      </c>
      <c r="AJ3433" s="75"/>
    </row>
    <row r="3434" spans="35:36" x14ac:dyDescent="0.35">
      <c r="AI3434" s="75">
        <v>3431</v>
      </c>
      <c r="AJ3434" s="75"/>
    </row>
    <row r="3435" spans="35:36" x14ac:dyDescent="0.35">
      <c r="AI3435" s="75">
        <v>3432</v>
      </c>
      <c r="AJ3435" s="75"/>
    </row>
    <row r="3436" spans="35:36" x14ac:dyDescent="0.35">
      <c r="AI3436" s="75">
        <v>3433</v>
      </c>
      <c r="AJ3436" s="75"/>
    </row>
    <row r="3437" spans="35:36" x14ac:dyDescent="0.35">
      <c r="AI3437" s="75">
        <v>3434</v>
      </c>
      <c r="AJ3437" s="75"/>
    </row>
    <row r="3438" spans="35:36" x14ac:dyDescent="0.35">
      <c r="AI3438" s="75">
        <v>3435</v>
      </c>
      <c r="AJ3438" s="75"/>
    </row>
    <row r="3439" spans="35:36" x14ac:dyDescent="0.35">
      <c r="AI3439" s="75">
        <v>3436</v>
      </c>
      <c r="AJ3439" s="75"/>
    </row>
    <row r="3440" spans="35:36" x14ac:dyDescent="0.35">
      <c r="AI3440" s="75">
        <v>3437</v>
      </c>
      <c r="AJ3440" s="75"/>
    </row>
    <row r="3441" spans="35:36" x14ac:dyDescent="0.35">
      <c r="AI3441" s="75">
        <v>3438</v>
      </c>
      <c r="AJ3441" s="75"/>
    </row>
    <row r="3442" spans="35:36" x14ac:dyDescent="0.35">
      <c r="AI3442" s="75">
        <v>3439</v>
      </c>
      <c r="AJ3442" s="75"/>
    </row>
    <row r="3443" spans="35:36" x14ac:dyDescent="0.35">
      <c r="AI3443" s="75">
        <v>3440</v>
      </c>
      <c r="AJ3443" s="75"/>
    </row>
    <row r="3444" spans="35:36" x14ac:dyDescent="0.35">
      <c r="AI3444" s="75">
        <v>3441</v>
      </c>
      <c r="AJ3444" s="75"/>
    </row>
    <row r="3445" spans="35:36" x14ac:dyDescent="0.35">
      <c r="AI3445" s="75">
        <v>3442</v>
      </c>
      <c r="AJ3445" s="75"/>
    </row>
    <row r="3446" spans="35:36" x14ac:dyDescent="0.35">
      <c r="AI3446" s="75">
        <v>3443</v>
      </c>
      <c r="AJ3446" s="75"/>
    </row>
    <row r="3447" spans="35:36" x14ac:dyDescent="0.35">
      <c r="AI3447" s="75">
        <v>3444</v>
      </c>
      <c r="AJ3447" s="75"/>
    </row>
    <row r="3448" spans="35:36" x14ac:dyDescent="0.35">
      <c r="AI3448" s="75">
        <v>3445</v>
      </c>
      <c r="AJ3448" s="75"/>
    </row>
    <row r="3449" spans="35:36" x14ac:dyDescent="0.35">
      <c r="AI3449" s="75">
        <v>3446</v>
      </c>
      <c r="AJ3449" s="75"/>
    </row>
    <row r="3450" spans="35:36" x14ac:dyDescent="0.35">
      <c r="AI3450" s="75">
        <v>3447</v>
      </c>
      <c r="AJ3450" s="75"/>
    </row>
    <row r="3451" spans="35:36" x14ac:dyDescent="0.35">
      <c r="AI3451" s="75">
        <v>3448</v>
      </c>
      <c r="AJ3451" s="75"/>
    </row>
    <row r="3452" spans="35:36" x14ac:dyDescent="0.35">
      <c r="AI3452" s="75">
        <v>3449</v>
      </c>
      <c r="AJ3452" s="75"/>
    </row>
    <row r="3453" spans="35:36" x14ac:dyDescent="0.35">
      <c r="AI3453" s="75">
        <v>3450</v>
      </c>
      <c r="AJ3453" s="75"/>
    </row>
    <row r="3454" spans="35:36" x14ac:dyDescent="0.35">
      <c r="AI3454" s="75">
        <v>3451</v>
      </c>
      <c r="AJ3454" s="75"/>
    </row>
    <row r="3455" spans="35:36" x14ac:dyDescent="0.35">
      <c r="AI3455" s="75">
        <v>3452</v>
      </c>
      <c r="AJ3455" s="75"/>
    </row>
    <row r="3456" spans="35:36" x14ac:dyDescent="0.35">
      <c r="AI3456" s="75">
        <v>3453</v>
      </c>
      <c r="AJ3456" s="75"/>
    </row>
    <row r="3457" spans="35:36" x14ac:dyDescent="0.35">
      <c r="AI3457" s="75">
        <v>3454</v>
      </c>
      <c r="AJ3457" s="75"/>
    </row>
    <row r="3458" spans="35:36" x14ac:dyDescent="0.35">
      <c r="AI3458" s="75">
        <v>3455</v>
      </c>
      <c r="AJ3458" s="75"/>
    </row>
    <row r="3459" spans="35:36" x14ac:dyDescent="0.35">
      <c r="AI3459" s="75">
        <v>3456</v>
      </c>
      <c r="AJ3459" s="75"/>
    </row>
    <row r="3460" spans="35:36" x14ac:dyDescent="0.35">
      <c r="AI3460" s="75">
        <v>3457</v>
      </c>
      <c r="AJ3460" s="75"/>
    </row>
    <row r="3461" spans="35:36" x14ac:dyDescent="0.35">
      <c r="AI3461" s="75">
        <v>3458</v>
      </c>
      <c r="AJ3461" s="75"/>
    </row>
    <row r="3462" spans="35:36" x14ac:dyDescent="0.35">
      <c r="AI3462" s="75">
        <v>3459</v>
      </c>
      <c r="AJ3462" s="75"/>
    </row>
    <row r="3463" spans="35:36" x14ac:dyDescent="0.35">
      <c r="AI3463" s="75">
        <v>3460</v>
      </c>
      <c r="AJ3463" s="75"/>
    </row>
    <row r="3464" spans="35:36" x14ac:dyDescent="0.35">
      <c r="AI3464" s="75">
        <v>3461</v>
      </c>
      <c r="AJ3464" s="75"/>
    </row>
    <row r="3465" spans="35:36" x14ac:dyDescent="0.35">
      <c r="AI3465" s="75">
        <v>3462</v>
      </c>
      <c r="AJ3465" s="75"/>
    </row>
    <row r="3466" spans="35:36" x14ac:dyDescent="0.35">
      <c r="AI3466" s="75">
        <v>3463</v>
      </c>
      <c r="AJ3466" s="75"/>
    </row>
    <row r="3467" spans="35:36" x14ac:dyDescent="0.35">
      <c r="AI3467" s="75">
        <v>3464</v>
      </c>
      <c r="AJ3467" s="75"/>
    </row>
    <row r="3468" spans="35:36" x14ac:dyDescent="0.35">
      <c r="AI3468" s="75">
        <v>3465</v>
      </c>
      <c r="AJ3468" s="75"/>
    </row>
    <row r="3469" spans="35:36" x14ac:dyDescent="0.35">
      <c r="AI3469" s="75">
        <v>3466</v>
      </c>
      <c r="AJ3469" s="75"/>
    </row>
    <row r="3470" spans="35:36" x14ac:dyDescent="0.35">
      <c r="AI3470" s="75">
        <v>3467</v>
      </c>
      <c r="AJ3470" s="75"/>
    </row>
    <row r="3471" spans="35:36" x14ac:dyDescent="0.35">
      <c r="AI3471" s="75">
        <v>3468</v>
      </c>
      <c r="AJ3471" s="75"/>
    </row>
    <row r="3472" spans="35:36" x14ac:dyDescent="0.35">
      <c r="AI3472" s="75">
        <v>3469</v>
      </c>
      <c r="AJ3472" s="75"/>
    </row>
    <row r="3473" spans="35:36" x14ac:dyDescent="0.35">
      <c r="AI3473" s="75">
        <v>3470</v>
      </c>
      <c r="AJ3473" s="75"/>
    </row>
    <row r="3474" spans="35:36" x14ac:dyDescent="0.35">
      <c r="AI3474" s="75">
        <v>3471</v>
      </c>
      <c r="AJ3474" s="75"/>
    </row>
    <row r="3475" spans="35:36" x14ac:dyDescent="0.35">
      <c r="AI3475" s="75">
        <v>3472</v>
      </c>
      <c r="AJ3475" s="75"/>
    </row>
    <row r="3476" spans="35:36" x14ac:dyDescent="0.35">
      <c r="AI3476" s="75">
        <v>3473</v>
      </c>
      <c r="AJ3476" s="75"/>
    </row>
    <row r="3477" spans="35:36" x14ac:dyDescent="0.35">
      <c r="AI3477" s="75">
        <v>3474</v>
      </c>
      <c r="AJ3477" s="75"/>
    </row>
    <row r="3478" spans="35:36" x14ac:dyDescent="0.35">
      <c r="AI3478" s="75">
        <v>3475</v>
      </c>
      <c r="AJ3478" s="75"/>
    </row>
    <row r="3479" spans="35:36" x14ac:dyDescent="0.35">
      <c r="AI3479" s="75">
        <v>3476</v>
      </c>
      <c r="AJ3479" s="75"/>
    </row>
    <row r="3480" spans="35:36" x14ac:dyDescent="0.35">
      <c r="AI3480" s="75">
        <v>3477</v>
      </c>
      <c r="AJ3480" s="75"/>
    </row>
    <row r="3481" spans="35:36" x14ac:dyDescent="0.35">
      <c r="AI3481" s="75">
        <v>3478</v>
      </c>
      <c r="AJ3481" s="75"/>
    </row>
    <row r="3482" spans="35:36" x14ac:dyDescent="0.35">
      <c r="AI3482" s="75">
        <v>3479</v>
      </c>
      <c r="AJ3482" s="75"/>
    </row>
    <row r="3483" spans="35:36" x14ac:dyDescent="0.35">
      <c r="AI3483" s="75">
        <v>3480</v>
      </c>
      <c r="AJ3483" s="75"/>
    </row>
    <row r="3484" spans="35:36" x14ac:dyDescent="0.35">
      <c r="AI3484" s="75">
        <v>3481</v>
      </c>
      <c r="AJ3484" s="75"/>
    </row>
    <row r="3485" spans="35:36" x14ac:dyDescent="0.35">
      <c r="AI3485" s="75">
        <v>3482</v>
      </c>
      <c r="AJ3485" s="75"/>
    </row>
    <row r="3486" spans="35:36" x14ac:dyDescent="0.35">
      <c r="AI3486" s="75">
        <v>3483</v>
      </c>
      <c r="AJ3486" s="75"/>
    </row>
    <row r="3487" spans="35:36" x14ac:dyDescent="0.35">
      <c r="AI3487" s="75">
        <v>3484</v>
      </c>
      <c r="AJ3487" s="75"/>
    </row>
    <row r="3488" spans="35:36" x14ac:dyDescent="0.35">
      <c r="AI3488" s="75">
        <v>3485</v>
      </c>
      <c r="AJ3488" s="75"/>
    </row>
    <row r="3489" spans="35:36" x14ac:dyDescent="0.35">
      <c r="AI3489" s="75">
        <v>3486</v>
      </c>
      <c r="AJ3489" s="75"/>
    </row>
    <row r="3490" spans="35:36" x14ac:dyDescent="0.35">
      <c r="AI3490" s="75">
        <v>3487</v>
      </c>
      <c r="AJ3490" s="75"/>
    </row>
    <row r="3491" spans="35:36" x14ac:dyDescent="0.35">
      <c r="AI3491" s="75">
        <v>3488</v>
      </c>
      <c r="AJ3491" s="75"/>
    </row>
    <row r="3492" spans="35:36" x14ac:dyDescent="0.35">
      <c r="AI3492" s="75">
        <v>3489</v>
      </c>
      <c r="AJ3492" s="75"/>
    </row>
    <row r="3493" spans="35:36" x14ac:dyDescent="0.35">
      <c r="AI3493" s="75">
        <v>3490</v>
      </c>
      <c r="AJ3493" s="75"/>
    </row>
    <row r="3494" spans="35:36" x14ac:dyDescent="0.35">
      <c r="AI3494" s="75">
        <v>3491</v>
      </c>
      <c r="AJ3494" s="75"/>
    </row>
    <row r="3495" spans="35:36" x14ac:dyDescent="0.35">
      <c r="AI3495" s="75">
        <v>3492</v>
      </c>
      <c r="AJ3495" s="75"/>
    </row>
    <row r="3496" spans="35:36" x14ac:dyDescent="0.35">
      <c r="AI3496" s="75">
        <v>3493</v>
      </c>
      <c r="AJ3496" s="75"/>
    </row>
    <row r="3497" spans="35:36" x14ac:dyDescent="0.35">
      <c r="AI3497" s="75">
        <v>3494</v>
      </c>
      <c r="AJ3497" s="75"/>
    </row>
    <row r="3498" spans="35:36" x14ac:dyDescent="0.35">
      <c r="AI3498" s="75">
        <v>3495</v>
      </c>
      <c r="AJ3498" s="75"/>
    </row>
    <row r="3499" spans="35:36" x14ac:dyDescent="0.35">
      <c r="AI3499" s="75">
        <v>3496</v>
      </c>
      <c r="AJ3499" s="75"/>
    </row>
    <row r="3500" spans="35:36" x14ac:dyDescent="0.35">
      <c r="AI3500" s="75">
        <v>3497</v>
      </c>
      <c r="AJ3500" s="75"/>
    </row>
    <row r="3501" spans="35:36" x14ac:dyDescent="0.35">
      <c r="AI3501" s="75">
        <v>3498</v>
      </c>
      <c r="AJ3501" s="75"/>
    </row>
    <row r="3502" spans="35:36" x14ac:dyDescent="0.35">
      <c r="AI3502" s="75">
        <v>3499</v>
      </c>
      <c r="AJ3502" s="75"/>
    </row>
    <row r="3503" spans="35:36" x14ac:dyDescent="0.35">
      <c r="AI3503" s="75">
        <v>3500</v>
      </c>
      <c r="AJ3503" s="75"/>
    </row>
    <row r="3504" spans="35:36" x14ac:dyDescent="0.35">
      <c r="AI3504" s="75">
        <v>3501</v>
      </c>
      <c r="AJ3504" s="75"/>
    </row>
    <row r="3505" spans="35:36" x14ac:dyDescent="0.35">
      <c r="AI3505" s="75">
        <v>3502</v>
      </c>
      <c r="AJ3505" s="75"/>
    </row>
    <row r="3506" spans="35:36" x14ac:dyDescent="0.35">
      <c r="AI3506" s="75">
        <v>3503</v>
      </c>
      <c r="AJ3506" s="75"/>
    </row>
    <row r="3507" spans="35:36" x14ac:dyDescent="0.35">
      <c r="AI3507" s="75">
        <v>3504</v>
      </c>
      <c r="AJ3507" s="75"/>
    </row>
    <row r="3508" spans="35:36" x14ac:dyDescent="0.35">
      <c r="AI3508" s="75">
        <v>3505</v>
      </c>
      <c r="AJ3508" s="75"/>
    </row>
    <row r="3509" spans="35:36" x14ac:dyDescent="0.35">
      <c r="AI3509" s="75">
        <v>3506</v>
      </c>
      <c r="AJ3509" s="75"/>
    </row>
    <row r="3510" spans="35:36" x14ac:dyDescent="0.35">
      <c r="AI3510" s="75">
        <v>3507</v>
      </c>
      <c r="AJ3510" s="75"/>
    </row>
    <row r="3511" spans="35:36" x14ac:dyDescent="0.35">
      <c r="AI3511" s="75">
        <v>3508</v>
      </c>
      <c r="AJ3511" s="75"/>
    </row>
    <row r="3512" spans="35:36" x14ac:dyDescent="0.35">
      <c r="AI3512" s="75">
        <v>3509</v>
      </c>
      <c r="AJ3512" s="75"/>
    </row>
    <row r="3513" spans="35:36" x14ac:dyDescent="0.35">
      <c r="AI3513" s="75">
        <v>3510</v>
      </c>
      <c r="AJ3513" s="75"/>
    </row>
    <row r="3514" spans="35:36" x14ac:dyDescent="0.35">
      <c r="AI3514" s="75">
        <v>3511</v>
      </c>
      <c r="AJ3514" s="75"/>
    </row>
    <row r="3515" spans="35:36" x14ac:dyDescent="0.35">
      <c r="AI3515" s="75">
        <v>3512</v>
      </c>
      <c r="AJ3515" s="75"/>
    </row>
    <row r="3516" spans="35:36" x14ac:dyDescent="0.35">
      <c r="AI3516" s="75">
        <v>3513</v>
      </c>
      <c r="AJ3516" s="75"/>
    </row>
    <row r="3517" spans="35:36" x14ac:dyDescent="0.35">
      <c r="AI3517" s="75">
        <v>3514</v>
      </c>
      <c r="AJ3517" s="75"/>
    </row>
    <row r="3518" spans="35:36" x14ac:dyDescent="0.35">
      <c r="AI3518" s="75">
        <v>3515</v>
      </c>
      <c r="AJ3518" s="75"/>
    </row>
    <row r="3519" spans="35:36" x14ac:dyDescent="0.35">
      <c r="AI3519" s="75">
        <v>3516</v>
      </c>
      <c r="AJ3519" s="75"/>
    </row>
    <row r="3520" spans="35:36" x14ac:dyDescent="0.35">
      <c r="AI3520" s="75">
        <v>3517</v>
      </c>
      <c r="AJ3520" s="75"/>
    </row>
    <row r="3521" spans="35:36" x14ac:dyDescent="0.35">
      <c r="AI3521" s="75">
        <v>3518</v>
      </c>
      <c r="AJ3521" s="75"/>
    </row>
    <row r="3522" spans="35:36" x14ac:dyDescent="0.35">
      <c r="AI3522" s="75">
        <v>3519</v>
      </c>
      <c r="AJ3522" s="75"/>
    </row>
    <row r="3523" spans="35:36" x14ac:dyDescent="0.35">
      <c r="AI3523" s="75">
        <v>3520</v>
      </c>
      <c r="AJ3523" s="75"/>
    </row>
    <row r="3524" spans="35:36" x14ac:dyDescent="0.35">
      <c r="AI3524" s="75">
        <v>3521</v>
      </c>
      <c r="AJ3524" s="75"/>
    </row>
    <row r="3525" spans="35:36" x14ac:dyDescent="0.35">
      <c r="AI3525" s="75">
        <v>3522</v>
      </c>
      <c r="AJ3525" s="75"/>
    </row>
    <row r="3526" spans="35:36" x14ac:dyDescent="0.35">
      <c r="AI3526" s="75">
        <v>3523</v>
      </c>
      <c r="AJ3526" s="75"/>
    </row>
    <row r="3527" spans="35:36" x14ac:dyDescent="0.35">
      <c r="AI3527" s="75">
        <v>3524</v>
      </c>
      <c r="AJ3527" s="75"/>
    </row>
    <row r="3528" spans="35:36" x14ac:dyDescent="0.35">
      <c r="AI3528" s="75">
        <v>3525</v>
      </c>
      <c r="AJ3528" s="75"/>
    </row>
    <row r="3529" spans="35:36" x14ac:dyDescent="0.35">
      <c r="AI3529" s="75">
        <v>3526</v>
      </c>
      <c r="AJ3529" s="75"/>
    </row>
    <row r="3530" spans="35:36" x14ac:dyDescent="0.35">
      <c r="AI3530" s="75">
        <v>3527</v>
      </c>
      <c r="AJ3530" s="75"/>
    </row>
    <row r="3531" spans="35:36" x14ac:dyDescent="0.35">
      <c r="AI3531" s="75">
        <v>3528</v>
      </c>
      <c r="AJ3531" s="75"/>
    </row>
    <row r="3532" spans="35:36" x14ac:dyDescent="0.35">
      <c r="AI3532" s="75">
        <v>3529</v>
      </c>
      <c r="AJ3532" s="75"/>
    </row>
    <row r="3533" spans="35:36" x14ac:dyDescent="0.35">
      <c r="AI3533" s="75">
        <v>3530</v>
      </c>
      <c r="AJ3533" s="75"/>
    </row>
    <row r="3534" spans="35:36" x14ac:dyDescent="0.35">
      <c r="AI3534" s="75">
        <v>3531</v>
      </c>
      <c r="AJ3534" s="75"/>
    </row>
    <row r="3535" spans="35:36" x14ac:dyDescent="0.35">
      <c r="AI3535" s="75">
        <v>3532</v>
      </c>
      <c r="AJ3535" s="75"/>
    </row>
    <row r="3536" spans="35:36" x14ac:dyDescent="0.35">
      <c r="AI3536" s="75">
        <v>3533</v>
      </c>
      <c r="AJ3536" s="75"/>
    </row>
    <row r="3537" spans="35:36" x14ac:dyDescent="0.35">
      <c r="AI3537" s="75">
        <v>3534</v>
      </c>
      <c r="AJ3537" s="75"/>
    </row>
    <row r="3538" spans="35:36" x14ac:dyDescent="0.35">
      <c r="AI3538" s="75">
        <v>3535</v>
      </c>
      <c r="AJ3538" s="75"/>
    </row>
    <row r="3539" spans="35:36" x14ac:dyDescent="0.35">
      <c r="AI3539" s="75">
        <v>3536</v>
      </c>
      <c r="AJ3539" s="75"/>
    </row>
    <row r="3540" spans="35:36" x14ac:dyDescent="0.35">
      <c r="AI3540" s="75">
        <v>3537</v>
      </c>
      <c r="AJ3540" s="75"/>
    </row>
    <row r="3541" spans="35:36" x14ac:dyDescent="0.35">
      <c r="AI3541" s="75">
        <v>3538</v>
      </c>
      <c r="AJ3541" s="75"/>
    </row>
    <row r="3542" spans="35:36" x14ac:dyDescent="0.35">
      <c r="AI3542" s="75">
        <v>3539</v>
      </c>
      <c r="AJ3542" s="75"/>
    </row>
    <row r="3543" spans="35:36" x14ac:dyDescent="0.35">
      <c r="AI3543" s="75">
        <v>3540</v>
      </c>
      <c r="AJ3543" s="75"/>
    </row>
    <row r="3544" spans="35:36" x14ac:dyDescent="0.35">
      <c r="AI3544" s="75">
        <v>3541</v>
      </c>
      <c r="AJ3544" s="75"/>
    </row>
    <row r="3545" spans="35:36" x14ac:dyDescent="0.35">
      <c r="AI3545" s="75">
        <v>3542</v>
      </c>
      <c r="AJ3545" s="75"/>
    </row>
    <row r="3546" spans="35:36" x14ac:dyDescent="0.35">
      <c r="AI3546" s="75">
        <v>3543</v>
      </c>
      <c r="AJ3546" s="75"/>
    </row>
    <row r="3547" spans="35:36" x14ac:dyDescent="0.35">
      <c r="AI3547" s="75">
        <v>3544</v>
      </c>
      <c r="AJ3547" s="75"/>
    </row>
    <row r="3548" spans="35:36" x14ac:dyDescent="0.35">
      <c r="AI3548" s="75">
        <v>3545</v>
      </c>
      <c r="AJ3548" s="75"/>
    </row>
    <row r="3549" spans="35:36" x14ac:dyDescent="0.35">
      <c r="AI3549" s="75">
        <v>3546</v>
      </c>
      <c r="AJ3549" s="75"/>
    </row>
    <row r="3550" spans="35:36" x14ac:dyDescent="0.35">
      <c r="AI3550" s="75">
        <v>3547</v>
      </c>
      <c r="AJ3550" s="75"/>
    </row>
    <row r="3551" spans="35:36" x14ac:dyDescent="0.35">
      <c r="AI3551" s="75">
        <v>3548</v>
      </c>
      <c r="AJ3551" s="75"/>
    </row>
    <row r="3552" spans="35:36" x14ac:dyDescent="0.35">
      <c r="AI3552" s="75">
        <v>3549</v>
      </c>
      <c r="AJ3552" s="75"/>
    </row>
    <row r="3553" spans="35:36" x14ac:dyDescent="0.35">
      <c r="AI3553" s="75">
        <v>3550</v>
      </c>
      <c r="AJ3553" s="75"/>
    </row>
    <row r="3554" spans="35:36" x14ac:dyDescent="0.35">
      <c r="AI3554" s="75">
        <v>3551</v>
      </c>
      <c r="AJ3554" s="75"/>
    </row>
    <row r="3555" spans="35:36" x14ac:dyDescent="0.35">
      <c r="AI3555" s="75">
        <v>3552</v>
      </c>
      <c r="AJ3555" s="75"/>
    </row>
    <row r="3556" spans="35:36" x14ac:dyDescent="0.35">
      <c r="AI3556" s="75">
        <v>3553</v>
      </c>
      <c r="AJ3556" s="75"/>
    </row>
    <row r="3557" spans="35:36" x14ac:dyDescent="0.35">
      <c r="AI3557" s="75">
        <v>3554</v>
      </c>
      <c r="AJ3557" s="75"/>
    </row>
    <row r="3558" spans="35:36" x14ac:dyDescent="0.35">
      <c r="AI3558" s="75">
        <v>3555</v>
      </c>
      <c r="AJ3558" s="75"/>
    </row>
    <row r="3559" spans="35:36" x14ac:dyDescent="0.35">
      <c r="AI3559" s="75">
        <v>3556</v>
      </c>
      <c r="AJ3559" s="75"/>
    </row>
    <row r="3560" spans="35:36" x14ac:dyDescent="0.35">
      <c r="AI3560" s="75">
        <v>3557</v>
      </c>
      <c r="AJ3560" s="75"/>
    </row>
    <row r="3561" spans="35:36" x14ac:dyDescent="0.35">
      <c r="AI3561" s="75">
        <v>3558</v>
      </c>
      <c r="AJ3561" s="75"/>
    </row>
    <row r="3562" spans="35:36" x14ac:dyDescent="0.35">
      <c r="AI3562" s="75">
        <v>3559</v>
      </c>
      <c r="AJ3562" s="75"/>
    </row>
    <row r="3563" spans="35:36" x14ac:dyDescent="0.35">
      <c r="AI3563" s="75">
        <v>3560</v>
      </c>
      <c r="AJ3563" s="75"/>
    </row>
    <row r="3564" spans="35:36" x14ac:dyDescent="0.35">
      <c r="AI3564" s="75">
        <v>3561</v>
      </c>
      <c r="AJ3564" s="75"/>
    </row>
    <row r="3565" spans="35:36" x14ac:dyDescent="0.35">
      <c r="AI3565" s="75">
        <v>3562</v>
      </c>
      <c r="AJ3565" s="75"/>
    </row>
    <row r="3566" spans="35:36" x14ac:dyDescent="0.35">
      <c r="AI3566" s="75">
        <v>3563</v>
      </c>
      <c r="AJ3566" s="75"/>
    </row>
    <row r="3567" spans="35:36" x14ac:dyDescent="0.35">
      <c r="AI3567" s="75">
        <v>3564</v>
      </c>
      <c r="AJ3567" s="75"/>
    </row>
    <row r="3568" spans="35:36" x14ac:dyDescent="0.35">
      <c r="AI3568" s="75">
        <v>3565</v>
      </c>
      <c r="AJ3568" s="75"/>
    </row>
    <row r="3569" spans="35:36" x14ac:dyDescent="0.35">
      <c r="AI3569" s="75">
        <v>3566</v>
      </c>
      <c r="AJ3569" s="75"/>
    </row>
    <row r="3570" spans="35:36" x14ac:dyDescent="0.35">
      <c r="AI3570" s="75">
        <v>3567</v>
      </c>
      <c r="AJ3570" s="75"/>
    </row>
    <row r="3571" spans="35:36" x14ac:dyDescent="0.35">
      <c r="AI3571" s="75">
        <v>3568</v>
      </c>
      <c r="AJ3571" s="75"/>
    </row>
    <row r="3572" spans="35:36" x14ac:dyDescent="0.35">
      <c r="AI3572" s="75">
        <v>3569</v>
      </c>
      <c r="AJ3572" s="75"/>
    </row>
    <row r="3573" spans="35:36" x14ac:dyDescent="0.35">
      <c r="AI3573" s="75">
        <v>3570</v>
      </c>
      <c r="AJ3573" s="75"/>
    </row>
    <row r="3574" spans="35:36" x14ac:dyDescent="0.35">
      <c r="AI3574" s="75">
        <v>3571</v>
      </c>
      <c r="AJ3574" s="75"/>
    </row>
    <row r="3575" spans="35:36" x14ac:dyDescent="0.35">
      <c r="AI3575" s="75">
        <v>3572</v>
      </c>
      <c r="AJ3575" s="75"/>
    </row>
    <row r="3576" spans="35:36" x14ac:dyDescent="0.35">
      <c r="AI3576" s="75">
        <v>3573</v>
      </c>
      <c r="AJ3576" s="75"/>
    </row>
    <row r="3577" spans="35:36" x14ac:dyDescent="0.35">
      <c r="AI3577" s="75">
        <v>3574</v>
      </c>
      <c r="AJ3577" s="75"/>
    </row>
    <row r="3578" spans="35:36" x14ac:dyDescent="0.35">
      <c r="AI3578" s="75">
        <v>3575</v>
      </c>
      <c r="AJ3578" s="75"/>
    </row>
    <row r="3579" spans="35:36" x14ac:dyDescent="0.35">
      <c r="AI3579" s="75">
        <v>3576</v>
      </c>
      <c r="AJ3579" s="75"/>
    </row>
    <row r="3580" spans="35:36" x14ac:dyDescent="0.35">
      <c r="AI3580" s="75">
        <v>3577</v>
      </c>
      <c r="AJ3580" s="75"/>
    </row>
    <row r="3581" spans="35:36" x14ac:dyDescent="0.35">
      <c r="AI3581" s="75">
        <v>3578</v>
      </c>
      <c r="AJ3581" s="75"/>
    </row>
    <row r="3582" spans="35:36" x14ac:dyDescent="0.35">
      <c r="AI3582" s="75">
        <v>3579</v>
      </c>
      <c r="AJ3582" s="75"/>
    </row>
    <row r="3583" spans="35:36" x14ac:dyDescent="0.35">
      <c r="AI3583" s="75">
        <v>3580</v>
      </c>
      <c r="AJ3583" s="75"/>
    </row>
    <row r="3584" spans="35:36" x14ac:dyDescent="0.35">
      <c r="AI3584" s="75">
        <v>3581</v>
      </c>
      <c r="AJ3584" s="75"/>
    </row>
    <row r="3585" spans="35:36" x14ac:dyDescent="0.35">
      <c r="AI3585" s="75">
        <v>3582</v>
      </c>
      <c r="AJ3585" s="75"/>
    </row>
    <row r="3586" spans="35:36" x14ac:dyDescent="0.35">
      <c r="AI3586" s="75">
        <v>3583</v>
      </c>
      <c r="AJ3586" s="75"/>
    </row>
    <row r="3587" spans="35:36" x14ac:dyDescent="0.35">
      <c r="AI3587" s="75">
        <v>3584</v>
      </c>
      <c r="AJ3587" s="75"/>
    </row>
    <row r="3588" spans="35:36" x14ac:dyDescent="0.35">
      <c r="AI3588" s="75">
        <v>3585</v>
      </c>
      <c r="AJ3588" s="75"/>
    </row>
    <row r="3589" spans="35:36" x14ac:dyDescent="0.35">
      <c r="AI3589" s="75">
        <v>3586</v>
      </c>
      <c r="AJ3589" s="75"/>
    </row>
    <row r="3590" spans="35:36" x14ac:dyDescent="0.35">
      <c r="AI3590" s="75">
        <v>3587</v>
      </c>
      <c r="AJ3590" s="75"/>
    </row>
    <row r="3591" spans="35:36" x14ac:dyDescent="0.35">
      <c r="AI3591" s="75">
        <v>3588</v>
      </c>
      <c r="AJ3591" s="75"/>
    </row>
    <row r="3592" spans="35:36" x14ac:dyDescent="0.35">
      <c r="AI3592" s="75">
        <v>3589</v>
      </c>
      <c r="AJ3592" s="75"/>
    </row>
    <row r="3593" spans="35:36" x14ac:dyDescent="0.35">
      <c r="AI3593" s="75">
        <v>3590</v>
      </c>
      <c r="AJ3593" s="75"/>
    </row>
    <row r="3594" spans="35:36" x14ac:dyDescent="0.35">
      <c r="AI3594" s="75">
        <v>3591</v>
      </c>
      <c r="AJ3594" s="75"/>
    </row>
    <row r="3595" spans="35:36" x14ac:dyDescent="0.35">
      <c r="AI3595" s="75">
        <v>3592</v>
      </c>
      <c r="AJ3595" s="75"/>
    </row>
    <row r="3596" spans="35:36" x14ac:dyDescent="0.35">
      <c r="AI3596" s="75">
        <v>3593</v>
      </c>
      <c r="AJ3596" s="75"/>
    </row>
    <row r="3597" spans="35:36" x14ac:dyDescent="0.35">
      <c r="AI3597" s="75">
        <v>3594</v>
      </c>
      <c r="AJ3597" s="75"/>
    </row>
    <row r="3598" spans="35:36" x14ac:dyDescent="0.35">
      <c r="AI3598" s="75">
        <v>3595</v>
      </c>
      <c r="AJ3598" s="75"/>
    </row>
    <row r="3599" spans="35:36" x14ac:dyDescent="0.35">
      <c r="AI3599" s="75">
        <v>3596</v>
      </c>
      <c r="AJ3599" s="75"/>
    </row>
    <row r="3600" spans="35:36" x14ac:dyDescent="0.35">
      <c r="AI3600" s="75">
        <v>3597</v>
      </c>
      <c r="AJ3600" s="75"/>
    </row>
    <row r="3601" spans="35:36" x14ac:dyDescent="0.35">
      <c r="AI3601" s="75">
        <v>3598</v>
      </c>
      <c r="AJ3601" s="75"/>
    </row>
    <row r="3602" spans="35:36" x14ac:dyDescent="0.35">
      <c r="AI3602" s="75">
        <v>3599</v>
      </c>
      <c r="AJ3602" s="75"/>
    </row>
    <row r="3603" spans="35:36" x14ac:dyDescent="0.35">
      <c r="AI3603" s="75">
        <v>3600</v>
      </c>
      <c r="AJ3603" s="75"/>
    </row>
    <row r="3604" spans="35:36" x14ac:dyDescent="0.35">
      <c r="AI3604" s="75">
        <v>3601</v>
      </c>
      <c r="AJ3604" s="75"/>
    </row>
    <row r="3605" spans="35:36" x14ac:dyDescent="0.35">
      <c r="AI3605" s="75">
        <v>3602</v>
      </c>
      <c r="AJ3605" s="75"/>
    </row>
    <row r="3606" spans="35:36" x14ac:dyDescent="0.35">
      <c r="AI3606" s="75">
        <v>3603</v>
      </c>
      <c r="AJ3606" s="75"/>
    </row>
    <row r="3607" spans="35:36" x14ac:dyDescent="0.35">
      <c r="AI3607" s="75">
        <v>3604</v>
      </c>
      <c r="AJ3607" s="75"/>
    </row>
    <row r="3608" spans="35:36" x14ac:dyDescent="0.35">
      <c r="AI3608" s="75">
        <v>3605</v>
      </c>
      <c r="AJ3608" s="75"/>
    </row>
    <row r="3609" spans="35:36" x14ac:dyDescent="0.35">
      <c r="AI3609" s="75">
        <v>3606</v>
      </c>
      <c r="AJ3609" s="75"/>
    </row>
    <row r="3610" spans="35:36" x14ac:dyDescent="0.35">
      <c r="AI3610" s="75">
        <v>3607</v>
      </c>
      <c r="AJ3610" s="75"/>
    </row>
    <row r="3611" spans="35:36" x14ac:dyDescent="0.35">
      <c r="AI3611" s="75">
        <v>3608</v>
      </c>
      <c r="AJ3611" s="75"/>
    </row>
    <row r="3612" spans="35:36" x14ac:dyDescent="0.35">
      <c r="AI3612" s="75">
        <v>3609</v>
      </c>
      <c r="AJ3612" s="75">
        <v>6</v>
      </c>
    </row>
    <row r="3613" spans="35:36" x14ac:dyDescent="0.35">
      <c r="AI3613" s="75">
        <v>3610</v>
      </c>
      <c r="AJ3613" s="75">
        <v>6</v>
      </c>
    </row>
    <row r="3614" spans="35:36" x14ac:dyDescent="0.35">
      <c r="AI3614" s="75">
        <v>3611</v>
      </c>
      <c r="AJ3614" s="75">
        <v>6</v>
      </c>
    </row>
    <row r="3615" spans="35:36" x14ac:dyDescent="0.35">
      <c r="AI3615" s="75">
        <v>3612</v>
      </c>
      <c r="AJ3615" s="75">
        <v>6</v>
      </c>
    </row>
    <row r="3616" spans="35:36" x14ac:dyDescent="0.35">
      <c r="AI3616" s="75">
        <v>3613</v>
      </c>
      <c r="AJ3616" s="75">
        <v>6</v>
      </c>
    </row>
    <row r="3617" spans="35:36" x14ac:dyDescent="0.35">
      <c r="AI3617" s="75">
        <v>3614</v>
      </c>
      <c r="AJ3617" s="75">
        <v>6</v>
      </c>
    </row>
    <row r="3618" spans="35:36" x14ac:dyDescent="0.35">
      <c r="AI3618" s="75">
        <v>3615</v>
      </c>
      <c r="AJ3618" s="75">
        <v>6</v>
      </c>
    </row>
    <row r="3619" spans="35:36" x14ac:dyDescent="0.35">
      <c r="AI3619" s="75">
        <v>3616</v>
      </c>
      <c r="AJ3619" s="75">
        <v>6</v>
      </c>
    </row>
    <row r="3620" spans="35:36" x14ac:dyDescent="0.35">
      <c r="AI3620" s="75">
        <v>3617</v>
      </c>
      <c r="AJ3620" s="75">
        <v>6</v>
      </c>
    </row>
    <row r="3621" spans="35:36" x14ac:dyDescent="0.35">
      <c r="AI3621" s="75">
        <v>3618</v>
      </c>
      <c r="AJ3621" s="75">
        <v>6</v>
      </c>
    </row>
    <row r="3622" spans="35:36" x14ac:dyDescent="0.35">
      <c r="AI3622" s="75">
        <v>3619</v>
      </c>
      <c r="AJ3622" s="75">
        <v>6</v>
      </c>
    </row>
    <row r="3623" spans="35:36" x14ac:dyDescent="0.35">
      <c r="AI3623" s="75">
        <v>3620</v>
      </c>
      <c r="AJ3623" s="75">
        <v>6</v>
      </c>
    </row>
    <row r="3624" spans="35:36" x14ac:dyDescent="0.35">
      <c r="AI3624" s="75">
        <v>3621</v>
      </c>
      <c r="AJ3624" s="75">
        <v>6</v>
      </c>
    </row>
    <row r="3625" spans="35:36" x14ac:dyDescent="0.35">
      <c r="AI3625" s="75">
        <v>3622</v>
      </c>
      <c r="AJ3625" s="75">
        <v>6</v>
      </c>
    </row>
    <row r="3626" spans="35:36" x14ac:dyDescent="0.35">
      <c r="AI3626" s="75">
        <v>3623</v>
      </c>
      <c r="AJ3626" s="75">
        <v>6</v>
      </c>
    </row>
    <row r="3627" spans="35:36" x14ac:dyDescent="0.35">
      <c r="AI3627" s="75">
        <v>3624</v>
      </c>
      <c r="AJ3627" s="75">
        <v>6</v>
      </c>
    </row>
    <row r="3628" spans="35:36" x14ac:dyDescent="0.35">
      <c r="AI3628" s="75">
        <v>3625</v>
      </c>
      <c r="AJ3628" s="75">
        <v>6</v>
      </c>
    </row>
    <row r="3629" spans="35:36" x14ac:dyDescent="0.35">
      <c r="AI3629" s="75">
        <v>3626</v>
      </c>
      <c r="AJ3629" s="75">
        <v>6</v>
      </c>
    </row>
    <row r="3630" spans="35:36" x14ac:dyDescent="0.35">
      <c r="AI3630" s="75">
        <v>3627</v>
      </c>
      <c r="AJ3630" s="75">
        <v>6</v>
      </c>
    </row>
    <row r="3631" spans="35:36" x14ac:dyDescent="0.35">
      <c r="AI3631" s="75">
        <v>3628</v>
      </c>
      <c r="AJ3631" s="75">
        <v>6</v>
      </c>
    </row>
    <row r="3632" spans="35:36" x14ac:dyDescent="0.35">
      <c r="AI3632" s="75">
        <v>3629</v>
      </c>
      <c r="AJ3632" s="75">
        <v>6</v>
      </c>
    </row>
    <row r="3633" spans="35:36" x14ac:dyDescent="0.35">
      <c r="AI3633" s="75">
        <v>3630</v>
      </c>
      <c r="AJ3633" s="75">
        <v>6</v>
      </c>
    </row>
    <row r="3634" spans="35:36" x14ac:dyDescent="0.35">
      <c r="AI3634" s="75">
        <v>3631</v>
      </c>
      <c r="AJ3634" s="75">
        <v>6</v>
      </c>
    </row>
    <row r="3635" spans="35:36" x14ac:dyDescent="0.35">
      <c r="AI3635" s="75">
        <v>3632</v>
      </c>
      <c r="AJ3635" s="75">
        <v>6</v>
      </c>
    </row>
    <row r="3636" spans="35:36" x14ac:dyDescent="0.35">
      <c r="AI3636" s="75">
        <v>3633</v>
      </c>
      <c r="AJ3636" s="75">
        <v>6</v>
      </c>
    </row>
    <row r="3637" spans="35:36" x14ac:dyDescent="0.35">
      <c r="AI3637" s="75">
        <v>3634</v>
      </c>
      <c r="AJ3637" s="75">
        <v>6</v>
      </c>
    </row>
    <row r="3638" spans="35:36" x14ac:dyDescent="0.35">
      <c r="AI3638" s="75">
        <v>3635</v>
      </c>
      <c r="AJ3638" s="75">
        <v>6</v>
      </c>
    </row>
    <row r="3639" spans="35:36" x14ac:dyDescent="0.35">
      <c r="AI3639" s="75">
        <v>3636</v>
      </c>
      <c r="AJ3639" s="75">
        <v>6</v>
      </c>
    </row>
    <row r="3640" spans="35:36" x14ac:dyDescent="0.35">
      <c r="AI3640" s="75">
        <v>3637</v>
      </c>
      <c r="AJ3640" s="75">
        <v>6</v>
      </c>
    </row>
    <row r="3641" spans="35:36" x14ac:dyDescent="0.35">
      <c r="AI3641" s="75">
        <v>3638</v>
      </c>
      <c r="AJ3641" s="75">
        <v>6</v>
      </c>
    </row>
    <row r="3642" spans="35:36" x14ac:dyDescent="0.35">
      <c r="AI3642" s="75">
        <v>3639</v>
      </c>
      <c r="AJ3642" s="75">
        <v>6</v>
      </c>
    </row>
    <row r="3643" spans="35:36" x14ac:dyDescent="0.35">
      <c r="AI3643" s="75">
        <v>3640</v>
      </c>
      <c r="AJ3643" s="75">
        <v>6</v>
      </c>
    </row>
    <row r="3644" spans="35:36" x14ac:dyDescent="0.35">
      <c r="AI3644" s="75">
        <v>3641</v>
      </c>
      <c r="AJ3644" s="75">
        <v>6</v>
      </c>
    </row>
    <row r="3645" spans="35:36" x14ac:dyDescent="0.35">
      <c r="AI3645" s="75">
        <v>3642</v>
      </c>
      <c r="AJ3645" s="75">
        <v>6</v>
      </c>
    </row>
    <row r="3646" spans="35:36" x14ac:dyDescent="0.35">
      <c r="AI3646" s="75">
        <v>3643</v>
      </c>
      <c r="AJ3646" s="75">
        <v>6</v>
      </c>
    </row>
    <row r="3647" spans="35:36" x14ac:dyDescent="0.35">
      <c r="AI3647" s="75">
        <v>3644</v>
      </c>
      <c r="AJ3647" s="75">
        <v>6</v>
      </c>
    </row>
    <row r="3648" spans="35:36" x14ac:dyDescent="0.35">
      <c r="AI3648" s="75">
        <v>3645</v>
      </c>
      <c r="AJ3648" s="75">
        <v>6</v>
      </c>
    </row>
    <row r="3649" spans="35:36" x14ac:dyDescent="0.35">
      <c r="AI3649" s="75">
        <v>3646</v>
      </c>
      <c r="AJ3649" s="75">
        <v>6</v>
      </c>
    </row>
    <row r="3650" spans="35:36" x14ac:dyDescent="0.35">
      <c r="AI3650" s="75">
        <v>3647</v>
      </c>
      <c r="AJ3650" s="75">
        <v>6</v>
      </c>
    </row>
    <row r="3651" spans="35:36" x14ac:dyDescent="0.35">
      <c r="AI3651" s="75">
        <v>3648</v>
      </c>
      <c r="AJ3651" s="75">
        <v>6</v>
      </c>
    </row>
    <row r="3652" spans="35:36" x14ac:dyDescent="0.35">
      <c r="AI3652" s="75">
        <v>3649</v>
      </c>
      <c r="AJ3652" s="75">
        <v>6</v>
      </c>
    </row>
    <row r="3653" spans="35:36" x14ac:dyDescent="0.35">
      <c r="AI3653" s="75">
        <v>3650</v>
      </c>
      <c r="AJ3653" s="75">
        <v>6</v>
      </c>
    </row>
    <row r="3654" spans="35:36" x14ac:dyDescent="0.35">
      <c r="AI3654" s="75">
        <v>3651</v>
      </c>
      <c r="AJ3654" s="75">
        <v>6</v>
      </c>
    </row>
    <row r="3655" spans="35:36" x14ac:dyDescent="0.35">
      <c r="AI3655" s="75">
        <v>3652</v>
      </c>
      <c r="AJ3655" s="75">
        <v>6</v>
      </c>
    </row>
    <row r="3656" spans="35:36" x14ac:dyDescent="0.35">
      <c r="AI3656" s="75">
        <v>3653</v>
      </c>
      <c r="AJ3656" s="75">
        <v>6</v>
      </c>
    </row>
    <row r="3657" spans="35:36" x14ac:dyDescent="0.35">
      <c r="AI3657" s="75">
        <v>3654</v>
      </c>
      <c r="AJ3657" s="75">
        <v>6</v>
      </c>
    </row>
    <row r="3658" spans="35:36" x14ac:dyDescent="0.35">
      <c r="AI3658" s="75">
        <v>3655</v>
      </c>
      <c r="AJ3658" s="75">
        <v>6</v>
      </c>
    </row>
    <row r="3659" spans="35:36" x14ac:dyDescent="0.35">
      <c r="AI3659" s="75">
        <v>3656</v>
      </c>
      <c r="AJ3659" s="75">
        <v>6</v>
      </c>
    </row>
    <row r="3660" spans="35:36" x14ac:dyDescent="0.35">
      <c r="AI3660" s="75">
        <v>3657</v>
      </c>
      <c r="AJ3660" s="75">
        <v>6</v>
      </c>
    </row>
    <row r="3661" spans="35:36" x14ac:dyDescent="0.35">
      <c r="AI3661" s="75">
        <v>3658</v>
      </c>
      <c r="AJ3661" s="75">
        <v>6</v>
      </c>
    </row>
    <row r="3662" spans="35:36" x14ac:dyDescent="0.35">
      <c r="AI3662" s="75">
        <v>3659</v>
      </c>
      <c r="AJ3662" s="75">
        <v>6</v>
      </c>
    </row>
    <row r="3663" spans="35:36" x14ac:dyDescent="0.35">
      <c r="AI3663" s="75">
        <v>3660</v>
      </c>
      <c r="AJ3663" s="75">
        <v>6</v>
      </c>
    </row>
    <row r="3664" spans="35:36" x14ac:dyDescent="0.35">
      <c r="AI3664" s="75">
        <v>3661</v>
      </c>
      <c r="AJ3664" s="75">
        <v>6</v>
      </c>
    </row>
    <row r="3665" spans="35:36" x14ac:dyDescent="0.35">
      <c r="AI3665" s="75">
        <v>3662</v>
      </c>
      <c r="AJ3665" s="75">
        <v>6</v>
      </c>
    </row>
    <row r="3666" spans="35:36" x14ac:dyDescent="0.35">
      <c r="AI3666" s="75">
        <v>3663</v>
      </c>
      <c r="AJ3666" s="75">
        <v>6</v>
      </c>
    </row>
    <row r="3667" spans="35:36" x14ac:dyDescent="0.35">
      <c r="AI3667" s="75">
        <v>3664</v>
      </c>
      <c r="AJ3667" s="75">
        <v>6</v>
      </c>
    </row>
    <row r="3668" spans="35:36" x14ac:dyDescent="0.35">
      <c r="AI3668" s="75">
        <v>3665</v>
      </c>
      <c r="AJ3668" s="75">
        <v>6</v>
      </c>
    </row>
    <row r="3669" spans="35:36" x14ac:dyDescent="0.35">
      <c r="AI3669" s="75">
        <v>3666</v>
      </c>
      <c r="AJ3669" s="75">
        <v>6</v>
      </c>
    </row>
    <row r="3670" spans="35:36" x14ac:dyDescent="0.35">
      <c r="AI3670" s="75">
        <v>3667</v>
      </c>
      <c r="AJ3670" s="75">
        <v>6</v>
      </c>
    </row>
    <row r="3671" spans="35:36" x14ac:dyDescent="0.35">
      <c r="AI3671" s="75">
        <v>3668</v>
      </c>
      <c r="AJ3671" s="75">
        <v>6</v>
      </c>
    </row>
    <row r="3672" spans="35:36" x14ac:dyDescent="0.35">
      <c r="AI3672" s="75">
        <v>3669</v>
      </c>
      <c r="AJ3672" s="75">
        <v>6</v>
      </c>
    </row>
    <row r="3673" spans="35:36" x14ac:dyDescent="0.35">
      <c r="AI3673" s="75">
        <v>3670</v>
      </c>
      <c r="AJ3673" s="75">
        <v>6</v>
      </c>
    </row>
    <row r="3674" spans="35:36" x14ac:dyDescent="0.35">
      <c r="AI3674" s="75">
        <v>3671</v>
      </c>
      <c r="AJ3674" s="75">
        <v>6</v>
      </c>
    </row>
    <row r="3675" spans="35:36" x14ac:dyDescent="0.35">
      <c r="AI3675" s="75">
        <v>3672</v>
      </c>
      <c r="AJ3675" s="75">
        <v>6</v>
      </c>
    </row>
    <row r="3676" spans="35:36" x14ac:dyDescent="0.35">
      <c r="AI3676" s="75">
        <v>3673</v>
      </c>
      <c r="AJ3676" s="75">
        <v>6</v>
      </c>
    </row>
    <row r="3677" spans="35:36" x14ac:dyDescent="0.35">
      <c r="AI3677" s="75">
        <v>3674</v>
      </c>
      <c r="AJ3677" s="75">
        <v>6</v>
      </c>
    </row>
    <row r="3678" spans="35:36" x14ac:dyDescent="0.35">
      <c r="AI3678" s="75">
        <v>3675</v>
      </c>
      <c r="AJ3678" s="75">
        <v>6</v>
      </c>
    </row>
    <row r="3679" spans="35:36" x14ac:dyDescent="0.35">
      <c r="AI3679" s="75">
        <v>3676</v>
      </c>
      <c r="AJ3679" s="75">
        <v>6</v>
      </c>
    </row>
    <row r="3680" spans="35:36" x14ac:dyDescent="0.35">
      <c r="AI3680" s="75">
        <v>3677</v>
      </c>
      <c r="AJ3680" s="75">
        <v>6</v>
      </c>
    </row>
    <row r="3681" spans="35:36" x14ac:dyDescent="0.35">
      <c r="AI3681" s="75">
        <v>3678</v>
      </c>
      <c r="AJ3681" s="75">
        <v>6</v>
      </c>
    </row>
    <row r="3682" spans="35:36" x14ac:dyDescent="0.35">
      <c r="AI3682" s="75">
        <v>3679</v>
      </c>
      <c r="AJ3682" s="75">
        <v>6</v>
      </c>
    </row>
    <row r="3683" spans="35:36" x14ac:dyDescent="0.35">
      <c r="AI3683" s="75">
        <v>3680</v>
      </c>
      <c r="AJ3683" s="75">
        <v>6</v>
      </c>
    </row>
    <row r="3684" spans="35:36" x14ac:dyDescent="0.35">
      <c r="AI3684" s="75">
        <v>3681</v>
      </c>
      <c r="AJ3684" s="75">
        <v>6</v>
      </c>
    </row>
    <row r="3685" spans="35:36" x14ac:dyDescent="0.35">
      <c r="AI3685" s="75">
        <v>3682</v>
      </c>
      <c r="AJ3685" s="75">
        <v>6</v>
      </c>
    </row>
    <row r="3686" spans="35:36" x14ac:dyDescent="0.35">
      <c r="AI3686" s="75">
        <v>3683</v>
      </c>
      <c r="AJ3686" s="75">
        <v>6</v>
      </c>
    </row>
    <row r="3687" spans="35:36" x14ac:dyDescent="0.35">
      <c r="AI3687" s="75">
        <v>3684</v>
      </c>
      <c r="AJ3687" s="75">
        <v>6</v>
      </c>
    </row>
    <row r="3688" spans="35:36" x14ac:dyDescent="0.35">
      <c r="AI3688" s="75">
        <v>3685</v>
      </c>
      <c r="AJ3688" s="75">
        <v>6</v>
      </c>
    </row>
    <row r="3689" spans="35:36" x14ac:dyDescent="0.35">
      <c r="AI3689" s="75">
        <v>3686</v>
      </c>
      <c r="AJ3689" s="75">
        <v>6</v>
      </c>
    </row>
    <row r="3690" spans="35:36" x14ac:dyDescent="0.35">
      <c r="AI3690" s="75">
        <v>3687</v>
      </c>
      <c r="AJ3690" s="75">
        <v>6</v>
      </c>
    </row>
    <row r="3691" spans="35:36" x14ac:dyDescent="0.35">
      <c r="AI3691" s="75">
        <v>3688</v>
      </c>
      <c r="AJ3691" s="75">
        <v>6</v>
      </c>
    </row>
    <row r="3692" spans="35:36" x14ac:dyDescent="0.35">
      <c r="AI3692" s="75">
        <v>3689</v>
      </c>
      <c r="AJ3692" s="75">
        <v>6</v>
      </c>
    </row>
    <row r="3693" spans="35:36" x14ac:dyDescent="0.35">
      <c r="AI3693" s="75">
        <v>3690</v>
      </c>
      <c r="AJ3693" s="75">
        <v>6</v>
      </c>
    </row>
    <row r="3694" spans="35:36" x14ac:dyDescent="0.35">
      <c r="AI3694" s="75">
        <v>3691</v>
      </c>
      <c r="AJ3694" s="75">
        <v>6</v>
      </c>
    </row>
    <row r="3695" spans="35:36" x14ac:dyDescent="0.35">
      <c r="AI3695" s="75">
        <v>3692</v>
      </c>
      <c r="AJ3695" s="75">
        <v>6</v>
      </c>
    </row>
    <row r="3696" spans="35:36" x14ac:dyDescent="0.35">
      <c r="AI3696" s="75">
        <v>3693</v>
      </c>
      <c r="AJ3696" s="75">
        <v>6</v>
      </c>
    </row>
    <row r="3697" spans="35:36" x14ac:dyDescent="0.35">
      <c r="AI3697" s="75">
        <v>3694</v>
      </c>
      <c r="AJ3697" s="75">
        <v>6</v>
      </c>
    </row>
    <row r="3698" spans="35:36" x14ac:dyDescent="0.35">
      <c r="AI3698" s="75">
        <v>3695</v>
      </c>
      <c r="AJ3698" s="75">
        <v>6</v>
      </c>
    </row>
    <row r="3699" spans="35:36" x14ac:dyDescent="0.35">
      <c r="AI3699" s="75">
        <v>3696</v>
      </c>
      <c r="AJ3699" s="75">
        <v>6</v>
      </c>
    </row>
    <row r="3700" spans="35:36" x14ac:dyDescent="0.35">
      <c r="AI3700" s="75">
        <v>3697</v>
      </c>
      <c r="AJ3700" s="75">
        <v>6</v>
      </c>
    </row>
    <row r="3701" spans="35:36" x14ac:dyDescent="0.35">
      <c r="AI3701" s="75">
        <v>3698</v>
      </c>
      <c r="AJ3701" s="75">
        <v>6</v>
      </c>
    </row>
    <row r="3702" spans="35:36" x14ac:dyDescent="0.35">
      <c r="AI3702" s="75">
        <v>3699</v>
      </c>
      <c r="AJ3702" s="75">
        <v>6</v>
      </c>
    </row>
    <row r="3703" spans="35:36" x14ac:dyDescent="0.35">
      <c r="AI3703" s="75">
        <v>3700</v>
      </c>
      <c r="AJ3703" s="75">
        <v>6</v>
      </c>
    </row>
    <row r="3704" spans="35:36" x14ac:dyDescent="0.35">
      <c r="AI3704" s="75">
        <v>3701</v>
      </c>
      <c r="AJ3704" s="75">
        <v>6</v>
      </c>
    </row>
    <row r="3705" spans="35:36" x14ac:dyDescent="0.35">
      <c r="AI3705" s="75">
        <v>3702</v>
      </c>
      <c r="AJ3705" s="75">
        <v>6</v>
      </c>
    </row>
    <row r="3706" spans="35:36" x14ac:dyDescent="0.35">
      <c r="AI3706" s="75">
        <v>3703</v>
      </c>
      <c r="AJ3706" s="75">
        <v>6</v>
      </c>
    </row>
    <row r="3707" spans="35:36" x14ac:dyDescent="0.35">
      <c r="AI3707" s="75">
        <v>3704</v>
      </c>
      <c r="AJ3707" s="75">
        <v>6</v>
      </c>
    </row>
    <row r="3708" spans="35:36" x14ac:dyDescent="0.35">
      <c r="AI3708" s="75">
        <v>3705</v>
      </c>
      <c r="AJ3708" s="75">
        <v>6</v>
      </c>
    </row>
    <row r="3709" spans="35:36" x14ac:dyDescent="0.35">
      <c r="AI3709" s="75">
        <v>3706</v>
      </c>
      <c r="AJ3709" s="75">
        <v>6</v>
      </c>
    </row>
    <row r="3710" spans="35:36" x14ac:dyDescent="0.35">
      <c r="AI3710" s="75">
        <v>3707</v>
      </c>
      <c r="AJ3710" s="75">
        <v>6</v>
      </c>
    </row>
    <row r="3711" spans="35:36" x14ac:dyDescent="0.35">
      <c r="AI3711" s="75">
        <v>3708</v>
      </c>
      <c r="AJ3711" s="75">
        <v>6</v>
      </c>
    </row>
    <row r="3712" spans="35:36" x14ac:dyDescent="0.35">
      <c r="AI3712" s="75">
        <v>3709</v>
      </c>
      <c r="AJ3712" s="75">
        <v>6</v>
      </c>
    </row>
    <row r="3713" spans="35:36" x14ac:dyDescent="0.35">
      <c r="AI3713" s="75">
        <v>3710</v>
      </c>
      <c r="AJ3713" s="75">
        <v>6</v>
      </c>
    </row>
    <row r="3714" spans="35:36" x14ac:dyDescent="0.35">
      <c r="AI3714" s="75">
        <v>3711</v>
      </c>
      <c r="AJ3714" s="75">
        <v>6</v>
      </c>
    </row>
    <row r="3715" spans="35:36" x14ac:dyDescent="0.35">
      <c r="AI3715" s="75">
        <v>3712</v>
      </c>
      <c r="AJ3715" s="75">
        <v>6</v>
      </c>
    </row>
    <row r="3716" spans="35:36" x14ac:dyDescent="0.35">
      <c r="AI3716" s="75">
        <v>3713</v>
      </c>
      <c r="AJ3716" s="75">
        <v>6</v>
      </c>
    </row>
    <row r="3717" spans="35:36" x14ac:dyDescent="0.35">
      <c r="AI3717" s="75">
        <v>3714</v>
      </c>
      <c r="AJ3717" s="75">
        <v>6</v>
      </c>
    </row>
    <row r="3718" spans="35:36" x14ac:dyDescent="0.35">
      <c r="AI3718" s="75">
        <v>3715</v>
      </c>
      <c r="AJ3718" s="75">
        <v>6</v>
      </c>
    </row>
    <row r="3719" spans="35:36" x14ac:dyDescent="0.35">
      <c r="AI3719" s="75">
        <v>3716</v>
      </c>
      <c r="AJ3719" s="75">
        <v>6</v>
      </c>
    </row>
    <row r="3720" spans="35:36" x14ac:dyDescent="0.35">
      <c r="AI3720" s="75">
        <v>3717</v>
      </c>
      <c r="AJ3720" s="75">
        <v>6</v>
      </c>
    </row>
    <row r="3721" spans="35:36" x14ac:dyDescent="0.35">
      <c r="AI3721" s="75">
        <v>3718</v>
      </c>
      <c r="AJ3721" s="75">
        <v>6</v>
      </c>
    </row>
    <row r="3722" spans="35:36" x14ac:dyDescent="0.35">
      <c r="AI3722" s="75">
        <v>3719</v>
      </c>
      <c r="AJ3722" s="75">
        <v>6</v>
      </c>
    </row>
    <row r="3723" spans="35:36" x14ac:dyDescent="0.35">
      <c r="AI3723" s="75">
        <v>3720</v>
      </c>
      <c r="AJ3723" s="75">
        <v>6</v>
      </c>
    </row>
    <row r="3724" spans="35:36" x14ac:dyDescent="0.35">
      <c r="AI3724" s="75">
        <v>3721</v>
      </c>
      <c r="AJ3724" s="75">
        <v>6</v>
      </c>
    </row>
    <row r="3725" spans="35:36" x14ac:dyDescent="0.35">
      <c r="AI3725" s="75">
        <v>3722</v>
      </c>
      <c r="AJ3725" s="75">
        <v>6</v>
      </c>
    </row>
    <row r="3726" spans="35:36" x14ac:dyDescent="0.35">
      <c r="AI3726" s="75">
        <v>3723</v>
      </c>
      <c r="AJ3726" s="75">
        <v>6</v>
      </c>
    </row>
    <row r="3727" spans="35:36" x14ac:dyDescent="0.35">
      <c r="AI3727" s="75">
        <v>3724</v>
      </c>
      <c r="AJ3727" s="75">
        <v>6</v>
      </c>
    </row>
    <row r="3728" spans="35:36" x14ac:dyDescent="0.35">
      <c r="AI3728" s="75">
        <v>3725</v>
      </c>
      <c r="AJ3728" s="75">
        <v>6</v>
      </c>
    </row>
    <row r="3729" spans="35:36" x14ac:dyDescent="0.35">
      <c r="AI3729" s="75">
        <v>3726</v>
      </c>
      <c r="AJ3729" s="75">
        <v>6</v>
      </c>
    </row>
    <row r="3730" spans="35:36" x14ac:dyDescent="0.35">
      <c r="AI3730" s="75">
        <v>3727</v>
      </c>
      <c r="AJ3730" s="75">
        <v>6</v>
      </c>
    </row>
    <row r="3731" spans="35:36" x14ac:dyDescent="0.35">
      <c r="AI3731" s="75">
        <v>3728</v>
      </c>
      <c r="AJ3731" s="75">
        <v>6</v>
      </c>
    </row>
    <row r="3732" spans="35:36" x14ac:dyDescent="0.35">
      <c r="AI3732" s="75">
        <v>3729</v>
      </c>
      <c r="AJ3732" s="75">
        <v>6</v>
      </c>
    </row>
    <row r="3733" spans="35:36" x14ac:dyDescent="0.35">
      <c r="AI3733" s="75">
        <v>3730</v>
      </c>
      <c r="AJ3733" s="75">
        <v>6</v>
      </c>
    </row>
    <row r="3734" spans="35:36" x14ac:dyDescent="0.35">
      <c r="AI3734" s="75">
        <v>3731</v>
      </c>
      <c r="AJ3734" s="75">
        <v>6</v>
      </c>
    </row>
    <row r="3735" spans="35:36" x14ac:dyDescent="0.35">
      <c r="AI3735" s="75">
        <v>3732</v>
      </c>
      <c r="AJ3735" s="75">
        <v>6</v>
      </c>
    </row>
    <row r="3736" spans="35:36" x14ac:dyDescent="0.35">
      <c r="AI3736" s="75">
        <v>3733</v>
      </c>
      <c r="AJ3736" s="75">
        <v>6</v>
      </c>
    </row>
    <row r="3737" spans="35:36" x14ac:dyDescent="0.35">
      <c r="AI3737" s="75">
        <v>3734</v>
      </c>
      <c r="AJ3737" s="75">
        <v>6</v>
      </c>
    </row>
    <row r="3738" spans="35:36" x14ac:dyDescent="0.35">
      <c r="AI3738" s="75">
        <v>3735</v>
      </c>
      <c r="AJ3738" s="75">
        <v>6</v>
      </c>
    </row>
    <row r="3739" spans="35:36" x14ac:dyDescent="0.35">
      <c r="AI3739" s="75">
        <v>3736</v>
      </c>
      <c r="AJ3739" s="75">
        <v>6</v>
      </c>
    </row>
    <row r="3740" spans="35:36" x14ac:dyDescent="0.35">
      <c r="AI3740" s="75">
        <v>3737</v>
      </c>
      <c r="AJ3740" s="75">
        <v>6</v>
      </c>
    </row>
    <row r="3741" spans="35:36" x14ac:dyDescent="0.35">
      <c r="AI3741" s="75">
        <v>3738</v>
      </c>
      <c r="AJ3741" s="75">
        <v>6</v>
      </c>
    </row>
    <row r="3742" spans="35:36" x14ac:dyDescent="0.35">
      <c r="AI3742" s="75">
        <v>3739</v>
      </c>
      <c r="AJ3742" s="75">
        <v>6</v>
      </c>
    </row>
    <row r="3743" spans="35:36" x14ac:dyDescent="0.35">
      <c r="AI3743" s="75">
        <v>3740</v>
      </c>
      <c r="AJ3743" s="75">
        <v>6</v>
      </c>
    </row>
    <row r="3744" spans="35:36" x14ac:dyDescent="0.35">
      <c r="AI3744" s="75">
        <v>3741</v>
      </c>
      <c r="AJ3744" s="75">
        <v>6</v>
      </c>
    </row>
    <row r="3745" spans="35:36" x14ac:dyDescent="0.35">
      <c r="AI3745" s="75">
        <v>3742</v>
      </c>
      <c r="AJ3745" s="75">
        <v>6</v>
      </c>
    </row>
    <row r="3746" spans="35:36" x14ac:dyDescent="0.35">
      <c r="AI3746" s="75">
        <v>3743</v>
      </c>
      <c r="AJ3746" s="75">
        <v>6</v>
      </c>
    </row>
    <row r="3747" spans="35:36" x14ac:dyDescent="0.35">
      <c r="AI3747" s="75">
        <v>3744</v>
      </c>
      <c r="AJ3747" s="75">
        <v>6</v>
      </c>
    </row>
    <row r="3748" spans="35:36" x14ac:dyDescent="0.35">
      <c r="AI3748" s="75">
        <v>3745</v>
      </c>
      <c r="AJ3748" s="75">
        <v>6</v>
      </c>
    </row>
    <row r="3749" spans="35:36" x14ac:dyDescent="0.35">
      <c r="AI3749" s="75">
        <v>3746</v>
      </c>
      <c r="AJ3749" s="75">
        <v>6</v>
      </c>
    </row>
    <row r="3750" spans="35:36" x14ac:dyDescent="0.35">
      <c r="AI3750" s="75">
        <v>3747</v>
      </c>
      <c r="AJ3750" s="75">
        <v>6</v>
      </c>
    </row>
    <row r="3751" spans="35:36" x14ac:dyDescent="0.35">
      <c r="AI3751" s="75">
        <v>3748</v>
      </c>
      <c r="AJ3751" s="75">
        <v>6</v>
      </c>
    </row>
    <row r="3752" spans="35:36" x14ac:dyDescent="0.35">
      <c r="AI3752" s="75">
        <v>3749</v>
      </c>
      <c r="AJ3752" s="75">
        <v>6</v>
      </c>
    </row>
    <row r="3753" spans="35:36" x14ac:dyDescent="0.35">
      <c r="AI3753" s="75">
        <v>3750</v>
      </c>
      <c r="AJ3753" s="75">
        <v>6</v>
      </c>
    </row>
    <row r="3754" spans="35:36" x14ac:dyDescent="0.35">
      <c r="AI3754" s="75">
        <v>3751</v>
      </c>
      <c r="AJ3754" s="75">
        <v>6</v>
      </c>
    </row>
    <row r="3755" spans="35:36" x14ac:dyDescent="0.35">
      <c r="AI3755" s="75">
        <v>3752</v>
      </c>
      <c r="AJ3755" s="75">
        <v>6</v>
      </c>
    </row>
    <row r="3756" spans="35:36" x14ac:dyDescent="0.35">
      <c r="AI3756" s="75">
        <v>3753</v>
      </c>
      <c r="AJ3756" s="75">
        <v>6</v>
      </c>
    </row>
    <row r="3757" spans="35:36" x14ac:dyDescent="0.35">
      <c r="AI3757" s="75">
        <v>3754</v>
      </c>
      <c r="AJ3757" s="75">
        <v>6</v>
      </c>
    </row>
    <row r="3758" spans="35:36" x14ac:dyDescent="0.35">
      <c r="AI3758" s="75">
        <v>3755</v>
      </c>
      <c r="AJ3758" s="75">
        <v>6</v>
      </c>
    </row>
    <row r="3759" spans="35:36" x14ac:dyDescent="0.35">
      <c r="AI3759" s="75">
        <v>3756</v>
      </c>
      <c r="AJ3759" s="75">
        <v>6</v>
      </c>
    </row>
    <row r="3760" spans="35:36" x14ac:dyDescent="0.35">
      <c r="AI3760" s="75">
        <v>3757</v>
      </c>
      <c r="AJ3760" s="75">
        <v>6</v>
      </c>
    </row>
    <row r="3761" spans="35:36" x14ac:dyDescent="0.35">
      <c r="AI3761" s="75">
        <v>3758</v>
      </c>
      <c r="AJ3761" s="75">
        <v>6</v>
      </c>
    </row>
    <row r="3762" spans="35:36" x14ac:dyDescent="0.35">
      <c r="AI3762" s="75">
        <v>3759</v>
      </c>
      <c r="AJ3762" s="75">
        <v>6</v>
      </c>
    </row>
    <row r="3763" spans="35:36" x14ac:dyDescent="0.35">
      <c r="AI3763" s="75">
        <v>3760</v>
      </c>
      <c r="AJ3763" s="75">
        <v>6</v>
      </c>
    </row>
    <row r="3764" spans="35:36" x14ac:dyDescent="0.35">
      <c r="AI3764" s="75">
        <v>3761</v>
      </c>
      <c r="AJ3764" s="75">
        <v>6</v>
      </c>
    </row>
    <row r="3765" spans="35:36" x14ac:dyDescent="0.35">
      <c r="AI3765" s="75">
        <v>3762</v>
      </c>
      <c r="AJ3765" s="75">
        <v>6</v>
      </c>
    </row>
    <row r="3766" spans="35:36" x14ac:dyDescent="0.35">
      <c r="AI3766" s="75">
        <v>3763</v>
      </c>
      <c r="AJ3766" s="75">
        <v>6</v>
      </c>
    </row>
    <row r="3767" spans="35:36" x14ac:dyDescent="0.35">
      <c r="AI3767" s="75">
        <v>3764</v>
      </c>
      <c r="AJ3767" s="75">
        <v>6</v>
      </c>
    </row>
    <row r="3768" spans="35:36" x14ac:dyDescent="0.35">
      <c r="AI3768" s="75">
        <v>3765</v>
      </c>
      <c r="AJ3768" s="75">
        <v>6</v>
      </c>
    </row>
    <row r="3769" spans="35:36" x14ac:dyDescent="0.35">
      <c r="AI3769" s="75">
        <v>3766</v>
      </c>
      <c r="AJ3769" s="75">
        <v>6</v>
      </c>
    </row>
    <row r="3770" spans="35:36" x14ac:dyDescent="0.35">
      <c r="AI3770" s="75">
        <v>3767</v>
      </c>
      <c r="AJ3770" s="75">
        <v>6</v>
      </c>
    </row>
    <row r="3771" spans="35:36" x14ac:dyDescent="0.35">
      <c r="AI3771" s="75">
        <v>3768</v>
      </c>
      <c r="AJ3771" s="75">
        <v>6</v>
      </c>
    </row>
    <row r="3772" spans="35:36" x14ac:dyDescent="0.35">
      <c r="AI3772" s="75">
        <v>3769</v>
      </c>
      <c r="AJ3772" s="75">
        <v>6</v>
      </c>
    </row>
    <row r="3773" spans="35:36" x14ac:dyDescent="0.35">
      <c r="AI3773" s="75">
        <v>3770</v>
      </c>
      <c r="AJ3773" s="75">
        <v>6</v>
      </c>
    </row>
    <row r="3774" spans="35:36" x14ac:dyDescent="0.35">
      <c r="AI3774" s="75">
        <v>3771</v>
      </c>
      <c r="AJ3774" s="75">
        <v>6</v>
      </c>
    </row>
    <row r="3775" spans="35:36" x14ac:dyDescent="0.35">
      <c r="AI3775" s="75">
        <v>3772</v>
      </c>
      <c r="AJ3775" s="75">
        <v>6</v>
      </c>
    </row>
    <row r="3776" spans="35:36" x14ac:dyDescent="0.35">
      <c r="AI3776" s="75">
        <v>3773</v>
      </c>
      <c r="AJ3776" s="75">
        <v>6</v>
      </c>
    </row>
    <row r="3777" spans="35:36" x14ac:dyDescent="0.35">
      <c r="AI3777" s="75">
        <v>3774</v>
      </c>
      <c r="AJ3777" s="75">
        <v>6</v>
      </c>
    </row>
    <row r="3778" spans="35:36" x14ac:dyDescent="0.35">
      <c r="AI3778" s="75">
        <v>3775</v>
      </c>
      <c r="AJ3778" s="75">
        <v>6</v>
      </c>
    </row>
    <row r="3779" spans="35:36" x14ac:dyDescent="0.35">
      <c r="AI3779" s="75">
        <v>3776</v>
      </c>
      <c r="AJ3779" s="75">
        <v>6</v>
      </c>
    </row>
    <row r="3780" spans="35:36" x14ac:dyDescent="0.35">
      <c r="AI3780" s="75">
        <v>3777</v>
      </c>
      <c r="AJ3780" s="75">
        <v>6</v>
      </c>
    </row>
    <row r="3781" spans="35:36" x14ac:dyDescent="0.35">
      <c r="AI3781" s="75">
        <v>3778</v>
      </c>
      <c r="AJ3781" s="75">
        <v>6</v>
      </c>
    </row>
    <row r="3782" spans="35:36" x14ac:dyDescent="0.35">
      <c r="AI3782" s="75">
        <v>3779</v>
      </c>
      <c r="AJ3782" s="75">
        <v>6</v>
      </c>
    </row>
    <row r="3783" spans="35:36" x14ac:dyDescent="0.35">
      <c r="AI3783" s="75">
        <v>3780</v>
      </c>
      <c r="AJ3783" s="75">
        <v>6</v>
      </c>
    </row>
    <row r="3784" spans="35:36" x14ac:dyDescent="0.35">
      <c r="AI3784" s="75">
        <v>3781</v>
      </c>
      <c r="AJ3784" s="75">
        <v>6</v>
      </c>
    </row>
    <row r="3785" spans="35:36" x14ac:dyDescent="0.35">
      <c r="AI3785" s="75">
        <v>3782</v>
      </c>
      <c r="AJ3785" s="75">
        <v>5</v>
      </c>
    </row>
    <row r="3786" spans="35:36" x14ac:dyDescent="0.35">
      <c r="AI3786" s="75">
        <v>3783</v>
      </c>
      <c r="AJ3786" s="75">
        <v>5</v>
      </c>
    </row>
    <row r="3787" spans="35:36" x14ac:dyDescent="0.35">
      <c r="AI3787" s="75">
        <v>3784</v>
      </c>
      <c r="AJ3787" s="75">
        <v>5</v>
      </c>
    </row>
    <row r="3788" spans="35:36" x14ac:dyDescent="0.35">
      <c r="AI3788" s="75">
        <v>3785</v>
      </c>
      <c r="AJ3788" s="75">
        <v>5</v>
      </c>
    </row>
    <row r="3789" spans="35:36" x14ac:dyDescent="0.35">
      <c r="AI3789" s="75">
        <v>3786</v>
      </c>
      <c r="AJ3789" s="75">
        <v>5</v>
      </c>
    </row>
    <row r="3790" spans="35:36" x14ac:dyDescent="0.35">
      <c r="AI3790" s="75">
        <v>3787</v>
      </c>
      <c r="AJ3790" s="75">
        <v>5</v>
      </c>
    </row>
    <row r="3791" spans="35:36" x14ac:dyDescent="0.35">
      <c r="AI3791" s="75">
        <v>3788</v>
      </c>
      <c r="AJ3791" s="75">
        <v>5</v>
      </c>
    </row>
    <row r="3792" spans="35:36" x14ac:dyDescent="0.35">
      <c r="AI3792" s="75">
        <v>3789</v>
      </c>
      <c r="AJ3792" s="75">
        <v>5</v>
      </c>
    </row>
    <row r="3793" spans="35:36" x14ac:dyDescent="0.35">
      <c r="AI3793" s="75">
        <v>3790</v>
      </c>
      <c r="AJ3793" s="75">
        <v>5</v>
      </c>
    </row>
    <row r="3794" spans="35:36" x14ac:dyDescent="0.35">
      <c r="AI3794" s="75">
        <v>3791</v>
      </c>
      <c r="AJ3794" s="75">
        <v>5</v>
      </c>
    </row>
    <row r="3795" spans="35:36" x14ac:dyDescent="0.35">
      <c r="AI3795" s="75">
        <v>3792</v>
      </c>
      <c r="AJ3795" s="75">
        <v>5</v>
      </c>
    </row>
    <row r="3796" spans="35:36" x14ac:dyDescent="0.35">
      <c r="AI3796" s="75">
        <v>3793</v>
      </c>
      <c r="AJ3796" s="75">
        <v>5</v>
      </c>
    </row>
    <row r="3797" spans="35:36" x14ac:dyDescent="0.35">
      <c r="AI3797" s="75">
        <v>3794</v>
      </c>
      <c r="AJ3797" s="75">
        <v>5</v>
      </c>
    </row>
    <row r="3798" spans="35:36" x14ac:dyDescent="0.35">
      <c r="AI3798" s="75">
        <v>3795</v>
      </c>
      <c r="AJ3798" s="75">
        <v>5</v>
      </c>
    </row>
    <row r="3799" spans="35:36" x14ac:dyDescent="0.35">
      <c r="AI3799" s="75">
        <v>3796</v>
      </c>
      <c r="AJ3799" s="75">
        <v>5</v>
      </c>
    </row>
    <row r="3800" spans="35:36" x14ac:dyDescent="0.35">
      <c r="AI3800" s="75">
        <v>3797</v>
      </c>
      <c r="AJ3800" s="75">
        <v>5</v>
      </c>
    </row>
    <row r="3801" spans="35:36" x14ac:dyDescent="0.35">
      <c r="AI3801" s="75">
        <v>3798</v>
      </c>
      <c r="AJ3801" s="75">
        <v>5</v>
      </c>
    </row>
    <row r="3802" spans="35:36" x14ac:dyDescent="0.35">
      <c r="AI3802" s="75">
        <v>3799</v>
      </c>
      <c r="AJ3802" s="75">
        <v>5</v>
      </c>
    </row>
    <row r="3803" spans="35:36" x14ac:dyDescent="0.35">
      <c r="AI3803" s="75">
        <v>3800</v>
      </c>
      <c r="AJ3803" s="75">
        <v>5</v>
      </c>
    </row>
    <row r="3804" spans="35:36" x14ac:dyDescent="0.35">
      <c r="AI3804" s="75">
        <v>3801</v>
      </c>
      <c r="AJ3804" s="75">
        <v>5</v>
      </c>
    </row>
    <row r="3805" spans="35:36" x14ac:dyDescent="0.35">
      <c r="AI3805" s="75">
        <v>3802</v>
      </c>
      <c r="AJ3805" s="75">
        <v>5</v>
      </c>
    </row>
    <row r="3806" spans="35:36" x14ac:dyDescent="0.35">
      <c r="AI3806" s="75">
        <v>3803</v>
      </c>
      <c r="AJ3806" s="75">
        <v>5</v>
      </c>
    </row>
    <row r="3807" spans="35:36" x14ac:dyDescent="0.35">
      <c r="AI3807" s="75">
        <v>3804</v>
      </c>
      <c r="AJ3807" s="75">
        <v>5</v>
      </c>
    </row>
    <row r="3808" spans="35:36" x14ac:dyDescent="0.35">
      <c r="AI3808" s="75">
        <v>3805</v>
      </c>
      <c r="AJ3808" s="75">
        <v>5</v>
      </c>
    </row>
    <row r="3809" spans="35:36" x14ac:dyDescent="0.35">
      <c r="AI3809" s="75">
        <v>3806</v>
      </c>
      <c r="AJ3809" s="75">
        <v>5</v>
      </c>
    </row>
    <row r="3810" spans="35:36" x14ac:dyDescent="0.35">
      <c r="AI3810" s="75">
        <v>3807</v>
      </c>
      <c r="AJ3810" s="75">
        <v>5</v>
      </c>
    </row>
    <row r="3811" spans="35:36" x14ac:dyDescent="0.35">
      <c r="AI3811" s="75">
        <v>3808</v>
      </c>
      <c r="AJ3811" s="75">
        <v>5</v>
      </c>
    </row>
    <row r="3812" spans="35:36" x14ac:dyDescent="0.35">
      <c r="AI3812" s="75">
        <v>3809</v>
      </c>
      <c r="AJ3812" s="75">
        <v>5</v>
      </c>
    </row>
    <row r="3813" spans="35:36" x14ac:dyDescent="0.35">
      <c r="AI3813" s="75">
        <v>3810</v>
      </c>
      <c r="AJ3813" s="75">
        <v>5</v>
      </c>
    </row>
    <row r="3814" spans="35:36" x14ac:dyDescent="0.35">
      <c r="AI3814" s="75">
        <v>3811</v>
      </c>
      <c r="AJ3814" s="75">
        <v>5</v>
      </c>
    </row>
    <row r="3815" spans="35:36" x14ac:dyDescent="0.35">
      <c r="AI3815" s="75">
        <v>3812</v>
      </c>
      <c r="AJ3815" s="75">
        <v>5</v>
      </c>
    </row>
    <row r="3816" spans="35:36" x14ac:dyDescent="0.35">
      <c r="AI3816" s="75">
        <v>3813</v>
      </c>
      <c r="AJ3816" s="75">
        <v>5</v>
      </c>
    </row>
    <row r="3817" spans="35:36" x14ac:dyDescent="0.35">
      <c r="AI3817" s="75">
        <v>3814</v>
      </c>
      <c r="AJ3817" s="75">
        <v>5</v>
      </c>
    </row>
    <row r="3818" spans="35:36" x14ac:dyDescent="0.35">
      <c r="AI3818" s="75">
        <v>3815</v>
      </c>
      <c r="AJ3818" s="75">
        <v>5</v>
      </c>
    </row>
    <row r="3819" spans="35:36" x14ac:dyDescent="0.35">
      <c r="AI3819" s="75">
        <v>3816</v>
      </c>
      <c r="AJ3819" s="75">
        <v>5</v>
      </c>
    </row>
    <row r="3820" spans="35:36" x14ac:dyDescent="0.35">
      <c r="AI3820" s="75">
        <v>3817</v>
      </c>
      <c r="AJ3820" s="75">
        <v>5</v>
      </c>
    </row>
    <row r="3821" spans="35:36" x14ac:dyDescent="0.35">
      <c r="AI3821" s="75">
        <v>3818</v>
      </c>
      <c r="AJ3821" s="75">
        <v>5</v>
      </c>
    </row>
    <row r="3822" spans="35:36" x14ac:dyDescent="0.35">
      <c r="AI3822" s="75">
        <v>3819</v>
      </c>
      <c r="AJ3822" s="75">
        <v>5</v>
      </c>
    </row>
    <row r="3823" spans="35:36" x14ac:dyDescent="0.35">
      <c r="AI3823" s="75">
        <v>3820</v>
      </c>
      <c r="AJ3823" s="75">
        <v>5</v>
      </c>
    </row>
    <row r="3824" spans="35:36" x14ac:dyDescent="0.35">
      <c r="AI3824" s="75">
        <v>3821</v>
      </c>
      <c r="AJ3824" s="75">
        <v>5</v>
      </c>
    </row>
    <row r="3825" spans="35:36" x14ac:dyDescent="0.35">
      <c r="AI3825" s="75">
        <v>3822</v>
      </c>
      <c r="AJ3825" s="75">
        <v>5</v>
      </c>
    </row>
    <row r="3826" spans="35:36" x14ac:dyDescent="0.35">
      <c r="AI3826" s="75">
        <v>3823</v>
      </c>
      <c r="AJ3826" s="75">
        <v>5</v>
      </c>
    </row>
    <row r="3827" spans="35:36" x14ac:dyDescent="0.35">
      <c r="AI3827" s="75">
        <v>3824</v>
      </c>
      <c r="AJ3827" s="75">
        <v>5</v>
      </c>
    </row>
    <row r="3828" spans="35:36" x14ac:dyDescent="0.35">
      <c r="AI3828" s="75">
        <v>3825</v>
      </c>
      <c r="AJ3828" s="75">
        <v>5</v>
      </c>
    </row>
    <row r="3829" spans="35:36" x14ac:dyDescent="0.35">
      <c r="AI3829" s="75">
        <v>3826</v>
      </c>
      <c r="AJ3829" s="75">
        <v>5</v>
      </c>
    </row>
    <row r="3830" spans="35:36" x14ac:dyDescent="0.35">
      <c r="AI3830" s="75">
        <v>3827</v>
      </c>
      <c r="AJ3830" s="75">
        <v>5</v>
      </c>
    </row>
    <row r="3831" spans="35:36" x14ac:dyDescent="0.35">
      <c r="AI3831" s="75">
        <v>3828</v>
      </c>
      <c r="AJ3831" s="75">
        <v>5</v>
      </c>
    </row>
    <row r="3832" spans="35:36" x14ac:dyDescent="0.35">
      <c r="AI3832" s="75">
        <v>3829</v>
      </c>
      <c r="AJ3832" s="75">
        <v>5</v>
      </c>
    </row>
    <row r="3833" spans="35:36" x14ac:dyDescent="0.35">
      <c r="AI3833" s="75">
        <v>3830</v>
      </c>
      <c r="AJ3833" s="75">
        <v>5</v>
      </c>
    </row>
    <row r="3834" spans="35:36" x14ac:dyDescent="0.35">
      <c r="AI3834" s="75">
        <v>3831</v>
      </c>
      <c r="AJ3834" s="75">
        <v>5</v>
      </c>
    </row>
    <row r="3835" spans="35:36" x14ac:dyDescent="0.35">
      <c r="AI3835" s="75">
        <v>3832</v>
      </c>
      <c r="AJ3835" s="75">
        <v>5</v>
      </c>
    </row>
    <row r="3836" spans="35:36" x14ac:dyDescent="0.35">
      <c r="AI3836" s="75">
        <v>3833</v>
      </c>
      <c r="AJ3836" s="75">
        <v>5</v>
      </c>
    </row>
    <row r="3837" spans="35:36" x14ac:dyDescent="0.35">
      <c r="AI3837" s="75">
        <v>3834</v>
      </c>
      <c r="AJ3837" s="75">
        <v>5</v>
      </c>
    </row>
    <row r="3838" spans="35:36" x14ac:dyDescent="0.35">
      <c r="AI3838" s="75">
        <v>3835</v>
      </c>
      <c r="AJ3838" s="75">
        <v>5</v>
      </c>
    </row>
    <row r="3839" spans="35:36" x14ac:dyDescent="0.35">
      <c r="AI3839" s="75">
        <v>3836</v>
      </c>
      <c r="AJ3839" s="75">
        <v>5</v>
      </c>
    </row>
    <row r="3840" spans="35:36" x14ac:dyDescent="0.35">
      <c r="AI3840" s="75">
        <v>3837</v>
      </c>
      <c r="AJ3840" s="75">
        <v>5</v>
      </c>
    </row>
    <row r="3841" spans="35:36" x14ac:dyDescent="0.35">
      <c r="AI3841" s="75">
        <v>3838</v>
      </c>
      <c r="AJ3841" s="75">
        <v>5</v>
      </c>
    </row>
    <row r="3842" spans="35:36" x14ac:dyDescent="0.35">
      <c r="AI3842" s="75">
        <v>3839</v>
      </c>
      <c r="AJ3842" s="75">
        <v>5</v>
      </c>
    </row>
    <row r="3843" spans="35:36" x14ac:dyDescent="0.35">
      <c r="AI3843" s="75">
        <v>3840</v>
      </c>
      <c r="AJ3843" s="75">
        <v>5</v>
      </c>
    </row>
    <row r="3844" spans="35:36" x14ac:dyDescent="0.35">
      <c r="AI3844" s="75">
        <v>3841</v>
      </c>
      <c r="AJ3844" s="75">
        <v>5</v>
      </c>
    </row>
    <row r="3845" spans="35:36" x14ac:dyDescent="0.35">
      <c r="AI3845" s="75">
        <v>3842</v>
      </c>
      <c r="AJ3845" s="75">
        <v>5</v>
      </c>
    </row>
    <row r="3846" spans="35:36" x14ac:dyDescent="0.35">
      <c r="AI3846" s="75">
        <v>3843</v>
      </c>
      <c r="AJ3846" s="75">
        <v>5</v>
      </c>
    </row>
    <row r="3847" spans="35:36" x14ac:dyDescent="0.35">
      <c r="AI3847" s="75">
        <v>3844</v>
      </c>
      <c r="AJ3847" s="75">
        <v>5</v>
      </c>
    </row>
    <row r="3848" spans="35:36" x14ac:dyDescent="0.35">
      <c r="AI3848" s="75">
        <v>3845</v>
      </c>
      <c r="AJ3848" s="75">
        <v>5</v>
      </c>
    </row>
    <row r="3849" spans="35:36" x14ac:dyDescent="0.35">
      <c r="AI3849" s="75">
        <v>3846</v>
      </c>
      <c r="AJ3849" s="75">
        <v>5</v>
      </c>
    </row>
    <row r="3850" spans="35:36" x14ac:dyDescent="0.35">
      <c r="AI3850" s="75">
        <v>3847</v>
      </c>
      <c r="AJ3850" s="75">
        <v>5</v>
      </c>
    </row>
    <row r="3851" spans="35:36" x14ac:dyDescent="0.35">
      <c r="AI3851" s="75">
        <v>3848</v>
      </c>
      <c r="AJ3851" s="75">
        <v>5</v>
      </c>
    </row>
    <row r="3852" spans="35:36" x14ac:dyDescent="0.35">
      <c r="AI3852" s="75">
        <v>3849</v>
      </c>
      <c r="AJ3852" s="75">
        <v>5</v>
      </c>
    </row>
    <row r="3853" spans="35:36" x14ac:dyDescent="0.35">
      <c r="AI3853" s="75">
        <v>3850</v>
      </c>
      <c r="AJ3853" s="75">
        <v>5</v>
      </c>
    </row>
    <row r="3854" spans="35:36" x14ac:dyDescent="0.35">
      <c r="AI3854" s="75">
        <v>3851</v>
      </c>
      <c r="AJ3854" s="75">
        <v>5</v>
      </c>
    </row>
    <row r="3855" spans="35:36" x14ac:dyDescent="0.35">
      <c r="AI3855" s="75">
        <v>3852</v>
      </c>
      <c r="AJ3855" s="75">
        <v>5</v>
      </c>
    </row>
    <row r="3856" spans="35:36" x14ac:dyDescent="0.35">
      <c r="AI3856" s="75">
        <v>3853</v>
      </c>
      <c r="AJ3856" s="75">
        <v>5</v>
      </c>
    </row>
    <row r="3857" spans="35:36" x14ac:dyDescent="0.35">
      <c r="AI3857" s="75">
        <v>3854</v>
      </c>
      <c r="AJ3857" s="75">
        <v>5</v>
      </c>
    </row>
    <row r="3858" spans="35:36" x14ac:dyDescent="0.35">
      <c r="AI3858" s="75">
        <v>3855</v>
      </c>
      <c r="AJ3858" s="75">
        <v>5</v>
      </c>
    </row>
    <row r="3859" spans="35:36" x14ac:dyDescent="0.35">
      <c r="AI3859" s="75">
        <v>3856</v>
      </c>
      <c r="AJ3859" s="75">
        <v>5</v>
      </c>
    </row>
    <row r="3860" spans="35:36" x14ac:dyDescent="0.35">
      <c r="AI3860" s="75">
        <v>3857</v>
      </c>
      <c r="AJ3860" s="75">
        <v>5</v>
      </c>
    </row>
    <row r="3861" spans="35:36" x14ac:dyDescent="0.35">
      <c r="AI3861" s="75">
        <v>3858</v>
      </c>
      <c r="AJ3861" s="75">
        <v>5</v>
      </c>
    </row>
    <row r="3862" spans="35:36" x14ac:dyDescent="0.35">
      <c r="AI3862" s="75">
        <v>3859</v>
      </c>
      <c r="AJ3862" s="75">
        <v>5</v>
      </c>
    </row>
    <row r="3863" spans="35:36" x14ac:dyDescent="0.35">
      <c r="AI3863" s="75">
        <v>3860</v>
      </c>
      <c r="AJ3863" s="75">
        <v>5</v>
      </c>
    </row>
    <row r="3864" spans="35:36" x14ac:dyDescent="0.35">
      <c r="AI3864" s="75">
        <v>3861</v>
      </c>
      <c r="AJ3864" s="75">
        <v>5</v>
      </c>
    </row>
    <row r="3865" spans="35:36" x14ac:dyDescent="0.35">
      <c r="AI3865" s="75">
        <v>3862</v>
      </c>
      <c r="AJ3865" s="75">
        <v>5</v>
      </c>
    </row>
    <row r="3866" spans="35:36" x14ac:dyDescent="0.35">
      <c r="AI3866" s="75">
        <v>3863</v>
      </c>
      <c r="AJ3866" s="75">
        <v>5</v>
      </c>
    </row>
    <row r="3867" spans="35:36" x14ac:dyDescent="0.35">
      <c r="AI3867" s="75">
        <v>3864</v>
      </c>
      <c r="AJ3867" s="75">
        <v>5</v>
      </c>
    </row>
    <row r="3868" spans="35:36" x14ac:dyDescent="0.35">
      <c r="AI3868" s="75">
        <v>3865</v>
      </c>
      <c r="AJ3868" s="75">
        <v>5</v>
      </c>
    </row>
    <row r="3869" spans="35:36" x14ac:dyDescent="0.35">
      <c r="AI3869" s="75">
        <v>3866</v>
      </c>
      <c r="AJ3869" s="75">
        <v>5</v>
      </c>
    </row>
    <row r="3870" spans="35:36" x14ac:dyDescent="0.35">
      <c r="AI3870" s="75">
        <v>3867</v>
      </c>
      <c r="AJ3870" s="75">
        <v>5</v>
      </c>
    </row>
    <row r="3871" spans="35:36" x14ac:dyDescent="0.35">
      <c r="AI3871" s="75">
        <v>3868</v>
      </c>
      <c r="AJ3871" s="75">
        <v>5</v>
      </c>
    </row>
    <row r="3872" spans="35:36" x14ac:dyDescent="0.35">
      <c r="AI3872" s="75">
        <v>3869</v>
      </c>
      <c r="AJ3872" s="75">
        <v>5</v>
      </c>
    </row>
    <row r="3873" spans="35:36" x14ac:dyDescent="0.35">
      <c r="AI3873" s="75">
        <v>3870</v>
      </c>
      <c r="AJ3873" s="75">
        <v>5</v>
      </c>
    </row>
    <row r="3874" spans="35:36" x14ac:dyDescent="0.35">
      <c r="AI3874" s="75">
        <v>3871</v>
      </c>
      <c r="AJ3874" s="75">
        <v>5</v>
      </c>
    </row>
    <row r="3875" spans="35:36" x14ac:dyDescent="0.35">
      <c r="AI3875" s="75">
        <v>3872</v>
      </c>
      <c r="AJ3875" s="75">
        <v>5</v>
      </c>
    </row>
    <row r="3876" spans="35:36" x14ac:dyDescent="0.35">
      <c r="AI3876" s="75">
        <v>3873</v>
      </c>
      <c r="AJ3876" s="75">
        <v>5</v>
      </c>
    </row>
    <row r="3877" spans="35:36" x14ac:dyDescent="0.35">
      <c r="AI3877" s="75">
        <v>3874</v>
      </c>
      <c r="AJ3877" s="75">
        <v>5</v>
      </c>
    </row>
    <row r="3878" spans="35:36" x14ac:dyDescent="0.35">
      <c r="AI3878" s="75">
        <v>3875</v>
      </c>
      <c r="AJ3878" s="75">
        <v>5</v>
      </c>
    </row>
    <row r="3879" spans="35:36" x14ac:dyDescent="0.35">
      <c r="AI3879" s="75">
        <v>3876</v>
      </c>
      <c r="AJ3879" s="75">
        <v>5</v>
      </c>
    </row>
    <row r="3880" spans="35:36" x14ac:dyDescent="0.35">
      <c r="AI3880" s="75">
        <v>3877</v>
      </c>
      <c r="AJ3880" s="75">
        <v>5</v>
      </c>
    </row>
    <row r="3881" spans="35:36" x14ac:dyDescent="0.35">
      <c r="AI3881" s="75">
        <v>3878</v>
      </c>
      <c r="AJ3881" s="75">
        <v>5</v>
      </c>
    </row>
    <row r="3882" spans="35:36" x14ac:dyDescent="0.35">
      <c r="AI3882" s="75">
        <v>3879</v>
      </c>
      <c r="AJ3882" s="75">
        <v>5</v>
      </c>
    </row>
    <row r="3883" spans="35:36" x14ac:dyDescent="0.35">
      <c r="AI3883" s="75">
        <v>3880</v>
      </c>
      <c r="AJ3883" s="75">
        <v>5</v>
      </c>
    </row>
    <row r="3884" spans="35:36" x14ac:dyDescent="0.35">
      <c r="AI3884" s="75">
        <v>3881</v>
      </c>
      <c r="AJ3884" s="75">
        <v>5</v>
      </c>
    </row>
    <row r="3885" spans="35:36" x14ac:dyDescent="0.35">
      <c r="AI3885" s="75">
        <v>3882</v>
      </c>
      <c r="AJ3885" s="75">
        <v>5</v>
      </c>
    </row>
    <row r="3886" spans="35:36" x14ac:dyDescent="0.35">
      <c r="AI3886" s="75">
        <v>3883</v>
      </c>
      <c r="AJ3886" s="75">
        <v>5</v>
      </c>
    </row>
    <row r="3887" spans="35:36" x14ac:dyDescent="0.35">
      <c r="AI3887" s="75">
        <v>3884</v>
      </c>
      <c r="AJ3887" s="75">
        <v>5</v>
      </c>
    </row>
    <row r="3888" spans="35:36" x14ac:dyDescent="0.35">
      <c r="AI3888" s="75">
        <v>3885</v>
      </c>
      <c r="AJ3888" s="75">
        <v>5</v>
      </c>
    </row>
    <row r="3889" spans="35:36" x14ac:dyDescent="0.35">
      <c r="AI3889" s="75">
        <v>3886</v>
      </c>
      <c r="AJ3889" s="75">
        <v>5</v>
      </c>
    </row>
    <row r="3890" spans="35:36" x14ac:dyDescent="0.35">
      <c r="AI3890" s="75">
        <v>3887</v>
      </c>
      <c r="AJ3890" s="75">
        <v>5</v>
      </c>
    </row>
    <row r="3891" spans="35:36" x14ac:dyDescent="0.35">
      <c r="AI3891" s="75">
        <v>3888</v>
      </c>
      <c r="AJ3891" s="75">
        <v>5</v>
      </c>
    </row>
    <row r="3892" spans="35:36" x14ac:dyDescent="0.35">
      <c r="AI3892" s="75">
        <v>3889</v>
      </c>
      <c r="AJ3892" s="75">
        <v>5</v>
      </c>
    </row>
    <row r="3893" spans="35:36" x14ac:dyDescent="0.35">
      <c r="AI3893" s="75">
        <v>3890</v>
      </c>
      <c r="AJ3893" s="75">
        <v>5</v>
      </c>
    </row>
    <row r="3894" spans="35:36" x14ac:dyDescent="0.35">
      <c r="AI3894" s="75">
        <v>3891</v>
      </c>
      <c r="AJ3894" s="75">
        <v>5</v>
      </c>
    </row>
    <row r="3895" spans="35:36" x14ac:dyDescent="0.35">
      <c r="AI3895" s="75">
        <v>3892</v>
      </c>
      <c r="AJ3895" s="75">
        <v>5</v>
      </c>
    </row>
    <row r="3896" spans="35:36" x14ac:dyDescent="0.35">
      <c r="AI3896" s="75">
        <v>3893</v>
      </c>
      <c r="AJ3896" s="75">
        <v>5</v>
      </c>
    </row>
    <row r="3897" spans="35:36" x14ac:dyDescent="0.35">
      <c r="AI3897" s="75">
        <v>3894</v>
      </c>
      <c r="AJ3897" s="75">
        <v>5</v>
      </c>
    </row>
    <row r="3898" spans="35:36" x14ac:dyDescent="0.35">
      <c r="AI3898" s="75">
        <v>3895</v>
      </c>
      <c r="AJ3898" s="75">
        <v>5</v>
      </c>
    </row>
    <row r="3899" spans="35:36" x14ac:dyDescent="0.35">
      <c r="AI3899" s="75">
        <v>3896</v>
      </c>
      <c r="AJ3899" s="75">
        <v>5</v>
      </c>
    </row>
    <row r="3900" spans="35:36" x14ac:dyDescent="0.35">
      <c r="AI3900" s="75">
        <v>3897</v>
      </c>
      <c r="AJ3900" s="75">
        <v>5</v>
      </c>
    </row>
    <row r="3901" spans="35:36" x14ac:dyDescent="0.35">
      <c r="AI3901" s="75">
        <v>3898</v>
      </c>
      <c r="AJ3901" s="75">
        <v>5</v>
      </c>
    </row>
    <row r="3902" spans="35:36" x14ac:dyDescent="0.35">
      <c r="AI3902" s="75">
        <v>3899</v>
      </c>
      <c r="AJ3902" s="75">
        <v>5</v>
      </c>
    </row>
    <row r="3903" spans="35:36" x14ac:dyDescent="0.35">
      <c r="AI3903" s="75">
        <v>3900</v>
      </c>
      <c r="AJ3903" s="75">
        <v>5</v>
      </c>
    </row>
    <row r="3904" spans="35:36" x14ac:dyDescent="0.35">
      <c r="AI3904" s="75">
        <v>3901</v>
      </c>
      <c r="AJ3904" s="75">
        <v>5</v>
      </c>
    </row>
    <row r="3905" spans="35:36" x14ac:dyDescent="0.35">
      <c r="AI3905" s="75">
        <v>3902</v>
      </c>
      <c r="AJ3905" s="75">
        <v>5</v>
      </c>
    </row>
    <row r="3906" spans="35:36" x14ac:dyDescent="0.35">
      <c r="AI3906" s="75">
        <v>3903</v>
      </c>
      <c r="AJ3906" s="75">
        <v>5</v>
      </c>
    </row>
    <row r="3907" spans="35:36" x14ac:dyDescent="0.35">
      <c r="AI3907" s="75">
        <v>3904</v>
      </c>
      <c r="AJ3907" s="75">
        <v>5</v>
      </c>
    </row>
    <row r="3908" spans="35:36" x14ac:dyDescent="0.35">
      <c r="AI3908" s="75">
        <v>3905</v>
      </c>
      <c r="AJ3908" s="75">
        <v>5</v>
      </c>
    </row>
    <row r="3909" spans="35:36" x14ac:dyDescent="0.35">
      <c r="AI3909" s="75">
        <v>3906</v>
      </c>
      <c r="AJ3909" s="75">
        <v>5</v>
      </c>
    </row>
    <row r="3910" spans="35:36" x14ac:dyDescent="0.35">
      <c r="AI3910" s="75">
        <v>3907</v>
      </c>
      <c r="AJ3910" s="75">
        <v>5</v>
      </c>
    </row>
    <row r="3911" spans="35:36" x14ac:dyDescent="0.35">
      <c r="AI3911" s="75">
        <v>3908</v>
      </c>
      <c r="AJ3911" s="75">
        <v>5</v>
      </c>
    </row>
    <row r="3912" spans="35:36" x14ac:dyDescent="0.35">
      <c r="AI3912" s="75">
        <v>3909</v>
      </c>
      <c r="AJ3912" s="75">
        <v>5</v>
      </c>
    </row>
    <row r="3913" spans="35:36" x14ac:dyDescent="0.35">
      <c r="AI3913" s="75">
        <v>3910</v>
      </c>
      <c r="AJ3913" s="75">
        <v>5</v>
      </c>
    </row>
    <row r="3914" spans="35:36" x14ac:dyDescent="0.35">
      <c r="AI3914" s="75">
        <v>3911</v>
      </c>
      <c r="AJ3914" s="75">
        <v>5</v>
      </c>
    </row>
    <row r="3915" spans="35:36" x14ac:dyDescent="0.35">
      <c r="AI3915" s="75">
        <v>3912</v>
      </c>
      <c r="AJ3915" s="75">
        <v>5</v>
      </c>
    </row>
    <row r="3916" spans="35:36" x14ac:dyDescent="0.35">
      <c r="AI3916" s="75">
        <v>3913</v>
      </c>
      <c r="AJ3916" s="75">
        <v>5</v>
      </c>
    </row>
    <row r="3917" spans="35:36" x14ac:dyDescent="0.35">
      <c r="AI3917" s="75">
        <v>3914</v>
      </c>
      <c r="AJ3917" s="75">
        <v>5</v>
      </c>
    </row>
    <row r="3918" spans="35:36" x14ac:dyDescent="0.35">
      <c r="AI3918" s="75">
        <v>3915</v>
      </c>
      <c r="AJ3918" s="75">
        <v>5</v>
      </c>
    </row>
    <row r="3919" spans="35:36" x14ac:dyDescent="0.35">
      <c r="AI3919" s="75">
        <v>3916</v>
      </c>
      <c r="AJ3919" s="75">
        <v>5</v>
      </c>
    </row>
    <row r="3920" spans="35:36" x14ac:dyDescent="0.35">
      <c r="AI3920" s="75">
        <v>3917</v>
      </c>
      <c r="AJ3920" s="75">
        <v>5</v>
      </c>
    </row>
    <row r="3921" spans="35:36" x14ac:dyDescent="0.35">
      <c r="AI3921" s="75">
        <v>3918</v>
      </c>
      <c r="AJ3921" s="75">
        <v>5</v>
      </c>
    </row>
    <row r="3922" spans="35:36" x14ac:dyDescent="0.35">
      <c r="AI3922" s="75">
        <v>3919</v>
      </c>
      <c r="AJ3922" s="75">
        <v>5</v>
      </c>
    </row>
    <row r="3923" spans="35:36" x14ac:dyDescent="0.35">
      <c r="AI3923" s="75">
        <v>3920</v>
      </c>
      <c r="AJ3923" s="75">
        <v>5</v>
      </c>
    </row>
    <row r="3924" spans="35:36" x14ac:dyDescent="0.35">
      <c r="AI3924" s="75">
        <v>3921</v>
      </c>
      <c r="AJ3924" s="75">
        <v>5</v>
      </c>
    </row>
    <row r="3925" spans="35:36" x14ac:dyDescent="0.35">
      <c r="AI3925" s="75">
        <v>3922</v>
      </c>
      <c r="AJ3925" s="75">
        <v>5</v>
      </c>
    </row>
    <row r="3926" spans="35:36" x14ac:dyDescent="0.35">
      <c r="AI3926" s="75">
        <v>3923</v>
      </c>
      <c r="AJ3926" s="75">
        <v>5</v>
      </c>
    </row>
    <row r="3927" spans="35:36" x14ac:dyDescent="0.35">
      <c r="AI3927" s="75">
        <v>3924</v>
      </c>
      <c r="AJ3927" s="75">
        <v>5</v>
      </c>
    </row>
    <row r="3928" spans="35:36" x14ac:dyDescent="0.35">
      <c r="AI3928" s="75">
        <v>3925</v>
      </c>
      <c r="AJ3928" s="75">
        <v>5</v>
      </c>
    </row>
    <row r="3929" spans="35:36" x14ac:dyDescent="0.35">
      <c r="AI3929" s="75">
        <v>3926</v>
      </c>
      <c r="AJ3929" s="75">
        <v>5</v>
      </c>
    </row>
    <row r="3930" spans="35:36" x14ac:dyDescent="0.35">
      <c r="AI3930" s="75">
        <v>3927</v>
      </c>
      <c r="AJ3930" s="75">
        <v>5</v>
      </c>
    </row>
    <row r="3931" spans="35:36" x14ac:dyDescent="0.35">
      <c r="AI3931" s="75">
        <v>3928</v>
      </c>
      <c r="AJ3931" s="75">
        <v>5</v>
      </c>
    </row>
    <row r="3932" spans="35:36" x14ac:dyDescent="0.35">
      <c r="AI3932" s="75">
        <v>3929</v>
      </c>
      <c r="AJ3932" s="75">
        <v>5</v>
      </c>
    </row>
    <row r="3933" spans="35:36" x14ac:dyDescent="0.35">
      <c r="AI3933" s="75">
        <v>3930</v>
      </c>
      <c r="AJ3933" s="75">
        <v>5</v>
      </c>
    </row>
    <row r="3934" spans="35:36" x14ac:dyDescent="0.35">
      <c r="AI3934" s="75">
        <v>3931</v>
      </c>
      <c r="AJ3934" s="75">
        <v>5</v>
      </c>
    </row>
    <row r="3935" spans="35:36" x14ac:dyDescent="0.35">
      <c r="AI3935" s="75">
        <v>3932</v>
      </c>
      <c r="AJ3935" s="75">
        <v>5</v>
      </c>
    </row>
    <row r="3936" spans="35:36" x14ac:dyDescent="0.35">
      <c r="AI3936" s="75">
        <v>3933</v>
      </c>
      <c r="AJ3936" s="75">
        <v>5</v>
      </c>
    </row>
    <row r="3937" spans="35:36" x14ac:dyDescent="0.35">
      <c r="AI3937" s="75">
        <v>3934</v>
      </c>
      <c r="AJ3937" s="75">
        <v>5</v>
      </c>
    </row>
    <row r="3938" spans="35:36" x14ac:dyDescent="0.35">
      <c r="AI3938" s="75">
        <v>3935</v>
      </c>
      <c r="AJ3938" s="75">
        <v>5</v>
      </c>
    </row>
    <row r="3939" spans="35:36" x14ac:dyDescent="0.35">
      <c r="AI3939" s="75">
        <v>3936</v>
      </c>
      <c r="AJ3939" s="75">
        <v>5</v>
      </c>
    </row>
    <row r="3940" spans="35:36" x14ac:dyDescent="0.35">
      <c r="AI3940" s="75">
        <v>3937</v>
      </c>
      <c r="AJ3940" s="75">
        <v>5</v>
      </c>
    </row>
    <row r="3941" spans="35:36" x14ac:dyDescent="0.35">
      <c r="AI3941" s="75">
        <v>3938</v>
      </c>
      <c r="AJ3941" s="75">
        <v>5</v>
      </c>
    </row>
    <row r="3942" spans="35:36" x14ac:dyDescent="0.35">
      <c r="AI3942" s="75">
        <v>3939</v>
      </c>
      <c r="AJ3942" s="75">
        <v>5</v>
      </c>
    </row>
    <row r="3943" spans="35:36" x14ac:dyDescent="0.35">
      <c r="AI3943" s="75">
        <v>3940</v>
      </c>
      <c r="AJ3943" s="75">
        <v>5</v>
      </c>
    </row>
    <row r="3944" spans="35:36" x14ac:dyDescent="0.35">
      <c r="AI3944" s="75">
        <v>3941</v>
      </c>
      <c r="AJ3944" s="75">
        <v>5</v>
      </c>
    </row>
    <row r="3945" spans="35:36" x14ac:dyDescent="0.35">
      <c r="AI3945" s="75">
        <v>3942</v>
      </c>
      <c r="AJ3945" s="75">
        <v>5</v>
      </c>
    </row>
    <row r="3946" spans="35:36" x14ac:dyDescent="0.35">
      <c r="AI3946" s="75">
        <v>3943</v>
      </c>
      <c r="AJ3946" s="75">
        <v>5</v>
      </c>
    </row>
    <row r="3947" spans="35:36" x14ac:dyDescent="0.35">
      <c r="AI3947" s="75">
        <v>3944</v>
      </c>
      <c r="AJ3947" s="75">
        <v>5</v>
      </c>
    </row>
    <row r="3948" spans="35:36" x14ac:dyDescent="0.35">
      <c r="AI3948" s="75">
        <v>3945</v>
      </c>
      <c r="AJ3948" s="75">
        <v>5</v>
      </c>
    </row>
    <row r="3949" spans="35:36" x14ac:dyDescent="0.35">
      <c r="AI3949" s="75">
        <v>3946</v>
      </c>
      <c r="AJ3949" s="75">
        <v>5</v>
      </c>
    </row>
    <row r="3950" spans="35:36" x14ac:dyDescent="0.35">
      <c r="AI3950" s="75">
        <v>3947</v>
      </c>
      <c r="AJ3950" s="75">
        <v>5</v>
      </c>
    </row>
    <row r="3951" spans="35:36" x14ac:dyDescent="0.35">
      <c r="AI3951" s="75">
        <v>3948</v>
      </c>
      <c r="AJ3951" s="75">
        <v>5</v>
      </c>
    </row>
    <row r="3952" spans="35:36" x14ac:dyDescent="0.35">
      <c r="AI3952" s="75">
        <v>3949</v>
      </c>
      <c r="AJ3952" s="75">
        <v>5</v>
      </c>
    </row>
    <row r="3953" spans="35:36" x14ac:dyDescent="0.35">
      <c r="AI3953" s="75">
        <v>3950</v>
      </c>
      <c r="AJ3953" s="75">
        <v>5</v>
      </c>
    </row>
    <row r="3954" spans="35:36" x14ac:dyDescent="0.35">
      <c r="AI3954" s="75">
        <v>3951</v>
      </c>
      <c r="AJ3954" s="75">
        <v>5</v>
      </c>
    </row>
    <row r="3955" spans="35:36" x14ac:dyDescent="0.35">
      <c r="AI3955" s="75">
        <v>3952</v>
      </c>
      <c r="AJ3955" s="75">
        <v>5</v>
      </c>
    </row>
    <row r="3956" spans="35:36" x14ac:dyDescent="0.35">
      <c r="AI3956" s="75">
        <v>3953</v>
      </c>
      <c r="AJ3956" s="75">
        <v>5</v>
      </c>
    </row>
    <row r="3957" spans="35:36" x14ac:dyDescent="0.35">
      <c r="AI3957" s="75">
        <v>3954</v>
      </c>
      <c r="AJ3957" s="75">
        <v>5</v>
      </c>
    </row>
    <row r="3958" spans="35:36" x14ac:dyDescent="0.35">
      <c r="AI3958" s="75">
        <v>3955</v>
      </c>
      <c r="AJ3958" s="75">
        <v>5</v>
      </c>
    </row>
    <row r="3959" spans="35:36" x14ac:dyDescent="0.35">
      <c r="AI3959" s="75">
        <v>3956</v>
      </c>
      <c r="AJ3959" s="75">
        <v>5</v>
      </c>
    </row>
    <row r="3960" spans="35:36" x14ac:dyDescent="0.35">
      <c r="AI3960" s="75">
        <v>3957</v>
      </c>
      <c r="AJ3960" s="75">
        <v>5</v>
      </c>
    </row>
    <row r="3961" spans="35:36" x14ac:dyDescent="0.35">
      <c r="AI3961">
        <v>3958</v>
      </c>
      <c r="AJ3961">
        <v>4</v>
      </c>
    </row>
    <row r="3962" spans="35:36" x14ac:dyDescent="0.35">
      <c r="AI3962">
        <v>3959</v>
      </c>
      <c r="AJ3962">
        <v>4</v>
      </c>
    </row>
    <row r="3963" spans="35:36" x14ac:dyDescent="0.35">
      <c r="AI3963">
        <v>3960</v>
      </c>
      <c r="AJ3963">
        <v>4</v>
      </c>
    </row>
    <row r="3964" spans="35:36" x14ac:dyDescent="0.35">
      <c r="AI3964">
        <v>3961</v>
      </c>
      <c r="AJ3964">
        <v>4</v>
      </c>
    </row>
    <row r="3965" spans="35:36" x14ac:dyDescent="0.35">
      <c r="AI3965">
        <v>3962</v>
      </c>
      <c r="AJ3965">
        <v>4</v>
      </c>
    </row>
    <row r="3966" spans="35:36" x14ac:dyDescent="0.35">
      <c r="AI3966">
        <v>3963</v>
      </c>
      <c r="AJ3966">
        <v>4</v>
      </c>
    </row>
    <row r="3967" spans="35:36" x14ac:dyDescent="0.35">
      <c r="AI3967">
        <v>3964</v>
      </c>
      <c r="AJ3967">
        <v>4</v>
      </c>
    </row>
    <row r="3968" spans="35:36" x14ac:dyDescent="0.35">
      <c r="AI3968">
        <v>3965</v>
      </c>
      <c r="AJ3968">
        <v>4</v>
      </c>
    </row>
    <row r="3969" spans="35:36" x14ac:dyDescent="0.35">
      <c r="AI3969">
        <v>3966</v>
      </c>
      <c r="AJ3969">
        <v>4</v>
      </c>
    </row>
    <row r="3970" spans="35:36" x14ac:dyDescent="0.35">
      <c r="AI3970">
        <v>3967</v>
      </c>
      <c r="AJ3970">
        <v>4</v>
      </c>
    </row>
    <row r="3971" spans="35:36" x14ac:dyDescent="0.35">
      <c r="AI3971">
        <v>3968</v>
      </c>
      <c r="AJ3971">
        <v>4</v>
      </c>
    </row>
    <row r="3972" spans="35:36" x14ac:dyDescent="0.35">
      <c r="AI3972">
        <v>3969</v>
      </c>
      <c r="AJ3972">
        <v>4</v>
      </c>
    </row>
    <row r="3973" spans="35:36" x14ac:dyDescent="0.35">
      <c r="AI3973">
        <v>3970</v>
      </c>
      <c r="AJ3973">
        <v>4</v>
      </c>
    </row>
    <row r="3974" spans="35:36" x14ac:dyDescent="0.35">
      <c r="AI3974">
        <v>3971</v>
      </c>
      <c r="AJ3974">
        <v>4</v>
      </c>
    </row>
    <row r="3975" spans="35:36" x14ac:dyDescent="0.35">
      <c r="AI3975">
        <v>3972</v>
      </c>
      <c r="AJ3975">
        <v>4</v>
      </c>
    </row>
    <row r="3976" spans="35:36" x14ac:dyDescent="0.35">
      <c r="AI3976">
        <v>3973</v>
      </c>
      <c r="AJ3976">
        <v>4</v>
      </c>
    </row>
    <row r="3977" spans="35:36" x14ac:dyDescent="0.35">
      <c r="AI3977">
        <v>3974</v>
      </c>
      <c r="AJ3977">
        <v>4</v>
      </c>
    </row>
    <row r="3978" spans="35:36" x14ac:dyDescent="0.35">
      <c r="AI3978">
        <v>3975</v>
      </c>
      <c r="AJ3978">
        <v>4</v>
      </c>
    </row>
    <row r="3979" spans="35:36" x14ac:dyDescent="0.35">
      <c r="AI3979">
        <v>3976</v>
      </c>
      <c r="AJ3979">
        <v>4</v>
      </c>
    </row>
    <row r="3980" spans="35:36" x14ac:dyDescent="0.35">
      <c r="AI3980">
        <v>3977</v>
      </c>
      <c r="AJ3980">
        <v>4</v>
      </c>
    </row>
    <row r="3981" spans="35:36" x14ac:dyDescent="0.35">
      <c r="AI3981">
        <v>3978</v>
      </c>
      <c r="AJ3981">
        <v>4</v>
      </c>
    </row>
    <row r="3982" spans="35:36" x14ac:dyDescent="0.35">
      <c r="AI3982">
        <v>3979</v>
      </c>
      <c r="AJ3982">
        <v>4</v>
      </c>
    </row>
    <row r="3983" spans="35:36" x14ac:dyDescent="0.35">
      <c r="AI3983">
        <v>3980</v>
      </c>
      <c r="AJ3983">
        <v>4</v>
      </c>
    </row>
    <row r="3984" spans="35:36" x14ac:dyDescent="0.35">
      <c r="AI3984">
        <v>3981</v>
      </c>
      <c r="AJ3984">
        <v>4</v>
      </c>
    </row>
    <row r="3985" spans="35:36" x14ac:dyDescent="0.35">
      <c r="AI3985">
        <v>3982</v>
      </c>
      <c r="AJ3985">
        <v>4</v>
      </c>
    </row>
    <row r="3986" spans="35:36" x14ac:dyDescent="0.35">
      <c r="AI3986">
        <v>3983</v>
      </c>
      <c r="AJ3986">
        <v>4</v>
      </c>
    </row>
    <row r="3987" spans="35:36" x14ac:dyDescent="0.35">
      <c r="AI3987">
        <v>3984</v>
      </c>
      <c r="AJ3987">
        <v>4</v>
      </c>
    </row>
    <row r="3988" spans="35:36" x14ac:dyDescent="0.35">
      <c r="AI3988">
        <v>3985</v>
      </c>
      <c r="AJ3988">
        <v>4</v>
      </c>
    </row>
    <row r="3989" spans="35:36" x14ac:dyDescent="0.35">
      <c r="AI3989">
        <v>3986</v>
      </c>
      <c r="AJ3989">
        <v>4</v>
      </c>
    </row>
    <row r="3990" spans="35:36" x14ac:dyDescent="0.35">
      <c r="AI3990">
        <v>3987</v>
      </c>
      <c r="AJ3990">
        <v>4</v>
      </c>
    </row>
    <row r="3991" spans="35:36" x14ac:dyDescent="0.35">
      <c r="AI3991">
        <v>3988</v>
      </c>
      <c r="AJ3991">
        <v>4</v>
      </c>
    </row>
    <row r="3992" spans="35:36" x14ac:dyDescent="0.35">
      <c r="AI3992">
        <v>3989</v>
      </c>
      <c r="AJ3992">
        <v>4</v>
      </c>
    </row>
    <row r="3993" spans="35:36" x14ac:dyDescent="0.35">
      <c r="AI3993">
        <v>3990</v>
      </c>
      <c r="AJ3993">
        <v>4</v>
      </c>
    </row>
    <row r="3994" spans="35:36" x14ac:dyDescent="0.35">
      <c r="AI3994">
        <v>3991</v>
      </c>
      <c r="AJ3994">
        <v>4</v>
      </c>
    </row>
    <row r="3995" spans="35:36" x14ac:dyDescent="0.35">
      <c r="AI3995">
        <v>3992</v>
      </c>
      <c r="AJ3995">
        <v>4</v>
      </c>
    </row>
    <row r="3996" spans="35:36" x14ac:dyDescent="0.35">
      <c r="AI3996">
        <v>3993</v>
      </c>
      <c r="AJ3996">
        <v>4</v>
      </c>
    </row>
    <row r="3997" spans="35:36" x14ac:dyDescent="0.35">
      <c r="AI3997">
        <v>3994</v>
      </c>
      <c r="AJ3997">
        <v>4</v>
      </c>
    </row>
    <row r="3998" spans="35:36" x14ac:dyDescent="0.35">
      <c r="AI3998">
        <v>3995</v>
      </c>
      <c r="AJ3998">
        <v>4</v>
      </c>
    </row>
    <row r="3999" spans="35:36" x14ac:dyDescent="0.35">
      <c r="AI3999">
        <v>3996</v>
      </c>
      <c r="AJ3999">
        <v>4</v>
      </c>
    </row>
    <row r="4000" spans="35:36" x14ac:dyDescent="0.35">
      <c r="AI4000">
        <v>3997</v>
      </c>
      <c r="AJ4000">
        <v>4</v>
      </c>
    </row>
    <row r="4001" spans="35:36" x14ac:dyDescent="0.35">
      <c r="AI4001">
        <v>3998</v>
      </c>
      <c r="AJ4001">
        <v>4</v>
      </c>
    </row>
    <row r="4002" spans="35:36" x14ac:dyDescent="0.35">
      <c r="AI4002">
        <v>3999</v>
      </c>
      <c r="AJ4002">
        <v>4</v>
      </c>
    </row>
    <row r="4003" spans="35:36" x14ac:dyDescent="0.35">
      <c r="AI4003">
        <v>4000</v>
      </c>
      <c r="AJ4003">
        <v>4</v>
      </c>
    </row>
    <row r="4004" spans="35:36" x14ac:dyDescent="0.35">
      <c r="AI4004">
        <v>4001</v>
      </c>
      <c r="AJ4004">
        <v>4</v>
      </c>
    </row>
    <row r="4005" spans="35:36" x14ac:dyDescent="0.35">
      <c r="AI4005">
        <v>4002</v>
      </c>
      <c r="AJ4005">
        <v>4</v>
      </c>
    </row>
    <row r="4006" spans="35:36" x14ac:dyDescent="0.35">
      <c r="AI4006">
        <v>4003</v>
      </c>
      <c r="AJ4006">
        <v>4</v>
      </c>
    </row>
    <row r="4007" spans="35:36" x14ac:dyDescent="0.35">
      <c r="AI4007">
        <v>4004</v>
      </c>
      <c r="AJ4007">
        <v>4</v>
      </c>
    </row>
    <row r="4008" spans="35:36" x14ac:dyDescent="0.35">
      <c r="AI4008">
        <v>4005</v>
      </c>
      <c r="AJ4008">
        <v>4</v>
      </c>
    </row>
    <row r="4009" spans="35:36" x14ac:dyDescent="0.35">
      <c r="AI4009">
        <v>4006</v>
      </c>
      <c r="AJ4009">
        <v>4</v>
      </c>
    </row>
    <row r="4010" spans="35:36" x14ac:dyDescent="0.35">
      <c r="AI4010">
        <v>4007</v>
      </c>
      <c r="AJ4010">
        <v>4</v>
      </c>
    </row>
    <row r="4011" spans="35:36" x14ac:dyDescent="0.35">
      <c r="AI4011">
        <v>4008</v>
      </c>
      <c r="AJ4011">
        <v>4</v>
      </c>
    </row>
    <row r="4012" spans="35:36" x14ac:dyDescent="0.35">
      <c r="AI4012">
        <v>4009</v>
      </c>
      <c r="AJ4012">
        <v>4</v>
      </c>
    </row>
    <row r="4013" spans="35:36" x14ac:dyDescent="0.35">
      <c r="AI4013">
        <v>4010</v>
      </c>
      <c r="AJ4013">
        <v>4</v>
      </c>
    </row>
    <row r="4014" spans="35:36" x14ac:dyDescent="0.35">
      <c r="AI4014">
        <v>4011</v>
      </c>
      <c r="AJ4014">
        <v>4</v>
      </c>
    </row>
    <row r="4015" spans="35:36" x14ac:dyDescent="0.35">
      <c r="AI4015">
        <v>4012</v>
      </c>
      <c r="AJ4015">
        <v>4</v>
      </c>
    </row>
    <row r="4016" spans="35:36" x14ac:dyDescent="0.35">
      <c r="AI4016">
        <v>4013</v>
      </c>
      <c r="AJ4016">
        <v>4</v>
      </c>
    </row>
    <row r="4017" spans="35:36" x14ac:dyDescent="0.35">
      <c r="AI4017">
        <v>4014</v>
      </c>
      <c r="AJ4017">
        <v>4</v>
      </c>
    </row>
    <row r="4018" spans="35:36" x14ac:dyDescent="0.35">
      <c r="AI4018">
        <v>4015</v>
      </c>
      <c r="AJ4018">
        <v>4</v>
      </c>
    </row>
    <row r="4019" spans="35:36" x14ac:dyDescent="0.35">
      <c r="AI4019">
        <v>4016</v>
      </c>
      <c r="AJ4019">
        <v>4</v>
      </c>
    </row>
    <row r="4020" spans="35:36" x14ac:dyDescent="0.35">
      <c r="AI4020">
        <v>4017</v>
      </c>
      <c r="AJ4020">
        <v>4</v>
      </c>
    </row>
    <row r="4021" spans="35:36" x14ac:dyDescent="0.35">
      <c r="AI4021">
        <v>4018</v>
      </c>
      <c r="AJ4021">
        <v>4</v>
      </c>
    </row>
    <row r="4022" spans="35:36" x14ac:dyDescent="0.35">
      <c r="AI4022">
        <v>4019</v>
      </c>
      <c r="AJ4022">
        <v>4</v>
      </c>
    </row>
    <row r="4023" spans="35:36" x14ac:dyDescent="0.35">
      <c r="AI4023">
        <v>4020</v>
      </c>
      <c r="AJ4023">
        <v>4</v>
      </c>
    </row>
    <row r="4024" spans="35:36" x14ac:dyDescent="0.35">
      <c r="AI4024">
        <v>4021</v>
      </c>
      <c r="AJ4024">
        <v>4</v>
      </c>
    </row>
    <row r="4025" spans="35:36" x14ac:dyDescent="0.35">
      <c r="AI4025">
        <v>4022</v>
      </c>
      <c r="AJ4025">
        <v>4</v>
      </c>
    </row>
    <row r="4026" spans="35:36" x14ac:dyDescent="0.35">
      <c r="AI4026">
        <v>4023</v>
      </c>
      <c r="AJ4026">
        <v>4</v>
      </c>
    </row>
    <row r="4027" spans="35:36" x14ac:dyDescent="0.35">
      <c r="AI4027">
        <v>4024</v>
      </c>
      <c r="AJ4027">
        <v>4</v>
      </c>
    </row>
    <row r="4028" spans="35:36" x14ac:dyDescent="0.35">
      <c r="AI4028">
        <v>4025</v>
      </c>
      <c r="AJ4028">
        <v>4</v>
      </c>
    </row>
    <row r="4029" spans="35:36" x14ac:dyDescent="0.35">
      <c r="AI4029">
        <v>4026</v>
      </c>
      <c r="AJ4029">
        <v>4</v>
      </c>
    </row>
    <row r="4030" spans="35:36" x14ac:dyDescent="0.35">
      <c r="AI4030">
        <v>4027</v>
      </c>
      <c r="AJ4030">
        <v>4</v>
      </c>
    </row>
    <row r="4031" spans="35:36" x14ac:dyDescent="0.35">
      <c r="AI4031">
        <v>4028</v>
      </c>
      <c r="AJ4031">
        <v>4</v>
      </c>
    </row>
    <row r="4032" spans="35:36" x14ac:dyDescent="0.35">
      <c r="AI4032">
        <v>4029</v>
      </c>
      <c r="AJ4032">
        <v>4</v>
      </c>
    </row>
    <row r="4033" spans="35:36" x14ac:dyDescent="0.35">
      <c r="AI4033">
        <v>4030</v>
      </c>
      <c r="AJ4033">
        <v>4</v>
      </c>
    </row>
    <row r="4034" spans="35:36" x14ac:dyDescent="0.35">
      <c r="AI4034">
        <v>4031</v>
      </c>
      <c r="AJ4034">
        <v>4</v>
      </c>
    </row>
    <row r="4035" spans="35:36" x14ac:dyDescent="0.35">
      <c r="AI4035">
        <v>4032</v>
      </c>
      <c r="AJ4035">
        <v>4</v>
      </c>
    </row>
    <row r="4036" spans="35:36" x14ac:dyDescent="0.35">
      <c r="AI4036">
        <v>4033</v>
      </c>
      <c r="AJ4036">
        <v>4</v>
      </c>
    </row>
    <row r="4037" spans="35:36" x14ac:dyDescent="0.35">
      <c r="AI4037">
        <v>4034</v>
      </c>
      <c r="AJ4037">
        <v>4</v>
      </c>
    </row>
    <row r="4038" spans="35:36" x14ac:dyDescent="0.35">
      <c r="AI4038">
        <v>4035</v>
      </c>
      <c r="AJ4038">
        <v>4</v>
      </c>
    </row>
    <row r="4039" spans="35:36" x14ac:dyDescent="0.35">
      <c r="AI4039">
        <v>4036</v>
      </c>
      <c r="AJ4039">
        <v>4</v>
      </c>
    </row>
    <row r="4040" spans="35:36" x14ac:dyDescent="0.35">
      <c r="AI4040">
        <v>4037</v>
      </c>
      <c r="AJ4040">
        <v>4</v>
      </c>
    </row>
    <row r="4041" spans="35:36" x14ac:dyDescent="0.35">
      <c r="AI4041">
        <v>4038</v>
      </c>
      <c r="AJ4041">
        <v>4</v>
      </c>
    </row>
    <row r="4042" spans="35:36" x14ac:dyDescent="0.35">
      <c r="AI4042">
        <v>4039</v>
      </c>
      <c r="AJ4042">
        <v>4</v>
      </c>
    </row>
    <row r="4043" spans="35:36" x14ac:dyDescent="0.35">
      <c r="AI4043">
        <v>4040</v>
      </c>
      <c r="AJ4043">
        <v>4</v>
      </c>
    </row>
    <row r="4044" spans="35:36" x14ac:dyDescent="0.35">
      <c r="AI4044">
        <v>4041</v>
      </c>
      <c r="AJ4044">
        <v>4</v>
      </c>
    </row>
    <row r="4045" spans="35:36" x14ac:dyDescent="0.35">
      <c r="AI4045">
        <v>4042</v>
      </c>
      <c r="AJ4045">
        <v>4</v>
      </c>
    </row>
    <row r="4046" spans="35:36" x14ac:dyDescent="0.35">
      <c r="AI4046">
        <v>4043</v>
      </c>
      <c r="AJ4046">
        <v>4</v>
      </c>
    </row>
    <row r="4047" spans="35:36" x14ac:dyDescent="0.35">
      <c r="AI4047">
        <v>4044</v>
      </c>
      <c r="AJ4047">
        <v>4</v>
      </c>
    </row>
    <row r="4048" spans="35:36" x14ac:dyDescent="0.35">
      <c r="AI4048">
        <v>4045</v>
      </c>
      <c r="AJ4048">
        <v>4</v>
      </c>
    </row>
    <row r="4049" spans="35:36" x14ac:dyDescent="0.35">
      <c r="AI4049">
        <v>4046</v>
      </c>
      <c r="AJ4049">
        <v>4</v>
      </c>
    </row>
    <row r="4050" spans="35:36" x14ac:dyDescent="0.35">
      <c r="AI4050">
        <v>4047</v>
      </c>
      <c r="AJ4050">
        <v>4</v>
      </c>
    </row>
    <row r="4051" spans="35:36" x14ac:dyDescent="0.35">
      <c r="AI4051">
        <v>4048</v>
      </c>
      <c r="AJ4051">
        <v>4</v>
      </c>
    </row>
    <row r="4052" spans="35:36" x14ac:dyDescent="0.35">
      <c r="AI4052">
        <v>4049</v>
      </c>
      <c r="AJ4052">
        <v>4</v>
      </c>
    </row>
    <row r="4053" spans="35:36" x14ac:dyDescent="0.35">
      <c r="AI4053">
        <v>4050</v>
      </c>
      <c r="AJ4053">
        <v>4</v>
      </c>
    </row>
    <row r="4054" spans="35:36" x14ac:dyDescent="0.35">
      <c r="AI4054">
        <v>4051</v>
      </c>
      <c r="AJ4054">
        <v>4</v>
      </c>
    </row>
    <row r="4055" spans="35:36" x14ac:dyDescent="0.35">
      <c r="AI4055">
        <v>4052</v>
      </c>
      <c r="AJ4055">
        <v>4</v>
      </c>
    </row>
    <row r="4056" spans="35:36" x14ac:dyDescent="0.35">
      <c r="AI4056">
        <v>4053</v>
      </c>
      <c r="AJ4056">
        <v>4</v>
      </c>
    </row>
    <row r="4057" spans="35:36" x14ac:dyDescent="0.35">
      <c r="AI4057">
        <v>4054</v>
      </c>
      <c r="AJ4057">
        <v>4</v>
      </c>
    </row>
    <row r="4058" spans="35:36" x14ac:dyDescent="0.35">
      <c r="AI4058">
        <v>4055</v>
      </c>
      <c r="AJ4058">
        <v>4</v>
      </c>
    </row>
    <row r="4059" spans="35:36" x14ac:dyDescent="0.35">
      <c r="AI4059">
        <v>4056</v>
      </c>
      <c r="AJ4059">
        <v>4</v>
      </c>
    </row>
    <row r="4060" spans="35:36" x14ac:dyDescent="0.35">
      <c r="AI4060">
        <v>4057</v>
      </c>
      <c r="AJ4060">
        <v>4</v>
      </c>
    </row>
    <row r="4061" spans="35:36" x14ac:dyDescent="0.35">
      <c r="AI4061">
        <v>4058</v>
      </c>
      <c r="AJ4061">
        <v>4</v>
      </c>
    </row>
    <row r="4062" spans="35:36" x14ac:dyDescent="0.35">
      <c r="AI4062">
        <v>4059</v>
      </c>
      <c r="AJ4062">
        <v>4</v>
      </c>
    </row>
    <row r="4063" spans="35:36" x14ac:dyDescent="0.35">
      <c r="AI4063">
        <v>4060</v>
      </c>
      <c r="AJ4063">
        <v>4</v>
      </c>
    </row>
    <row r="4064" spans="35:36" x14ac:dyDescent="0.35">
      <c r="AI4064">
        <v>4061</v>
      </c>
      <c r="AJ4064">
        <v>4</v>
      </c>
    </row>
    <row r="4065" spans="35:36" x14ac:dyDescent="0.35">
      <c r="AI4065">
        <v>4062</v>
      </c>
      <c r="AJ4065">
        <v>4</v>
      </c>
    </row>
    <row r="4066" spans="35:36" x14ac:dyDescent="0.35">
      <c r="AI4066">
        <v>4063</v>
      </c>
      <c r="AJ4066">
        <v>4</v>
      </c>
    </row>
    <row r="4067" spans="35:36" x14ac:dyDescent="0.35">
      <c r="AI4067">
        <v>4064</v>
      </c>
      <c r="AJ4067">
        <v>4</v>
      </c>
    </row>
    <row r="4068" spans="35:36" x14ac:dyDescent="0.35">
      <c r="AI4068">
        <v>4065</v>
      </c>
      <c r="AJ4068">
        <v>4</v>
      </c>
    </row>
    <row r="4069" spans="35:36" x14ac:dyDescent="0.35">
      <c r="AI4069">
        <v>4066</v>
      </c>
      <c r="AJ4069">
        <v>4</v>
      </c>
    </row>
    <row r="4070" spans="35:36" x14ac:dyDescent="0.35">
      <c r="AI4070">
        <v>4067</v>
      </c>
      <c r="AJ4070">
        <v>4</v>
      </c>
    </row>
    <row r="4071" spans="35:36" x14ac:dyDescent="0.35">
      <c r="AI4071">
        <v>4068</v>
      </c>
      <c r="AJ4071">
        <v>4</v>
      </c>
    </row>
    <row r="4072" spans="35:36" x14ac:dyDescent="0.35">
      <c r="AI4072">
        <v>4069</v>
      </c>
      <c r="AJ4072">
        <v>4</v>
      </c>
    </row>
    <row r="4073" spans="35:36" x14ac:dyDescent="0.35">
      <c r="AI4073">
        <v>4070</v>
      </c>
      <c r="AJ4073">
        <v>4</v>
      </c>
    </row>
    <row r="4074" spans="35:36" x14ac:dyDescent="0.35">
      <c r="AI4074">
        <v>4071</v>
      </c>
      <c r="AJ4074">
        <v>4</v>
      </c>
    </row>
    <row r="4075" spans="35:36" x14ac:dyDescent="0.35">
      <c r="AI4075">
        <v>4072</v>
      </c>
      <c r="AJ4075">
        <v>4</v>
      </c>
    </row>
    <row r="4076" spans="35:36" x14ac:dyDescent="0.35">
      <c r="AI4076">
        <v>4073</v>
      </c>
      <c r="AJ4076">
        <v>4</v>
      </c>
    </row>
    <row r="4077" spans="35:36" x14ac:dyDescent="0.35">
      <c r="AI4077">
        <v>4074</v>
      </c>
      <c r="AJ4077">
        <v>4</v>
      </c>
    </row>
    <row r="4078" spans="35:36" x14ac:dyDescent="0.35">
      <c r="AI4078">
        <v>4075</v>
      </c>
      <c r="AJ4078">
        <v>4</v>
      </c>
    </row>
    <row r="4079" spans="35:36" x14ac:dyDescent="0.35">
      <c r="AI4079">
        <v>4076</v>
      </c>
      <c r="AJ4079">
        <v>4</v>
      </c>
    </row>
    <row r="4080" spans="35:36" x14ac:dyDescent="0.35">
      <c r="AI4080">
        <v>4077</v>
      </c>
      <c r="AJ4080">
        <v>4</v>
      </c>
    </row>
    <row r="4081" spans="35:36" x14ac:dyDescent="0.35">
      <c r="AI4081">
        <v>4078</v>
      </c>
      <c r="AJ4081">
        <v>4</v>
      </c>
    </row>
    <row r="4082" spans="35:36" x14ac:dyDescent="0.35">
      <c r="AI4082">
        <v>4079</v>
      </c>
      <c r="AJ4082">
        <v>4</v>
      </c>
    </row>
    <row r="4083" spans="35:36" x14ac:dyDescent="0.35">
      <c r="AI4083">
        <v>4080</v>
      </c>
      <c r="AJ4083">
        <v>4</v>
      </c>
    </row>
    <row r="4084" spans="35:36" x14ac:dyDescent="0.35">
      <c r="AI4084">
        <v>4081</v>
      </c>
      <c r="AJ4084">
        <v>4</v>
      </c>
    </row>
    <row r="4085" spans="35:36" x14ac:dyDescent="0.35">
      <c r="AI4085">
        <v>4082</v>
      </c>
      <c r="AJ4085">
        <v>4</v>
      </c>
    </row>
    <row r="4086" spans="35:36" x14ac:dyDescent="0.35">
      <c r="AI4086">
        <v>4083</v>
      </c>
      <c r="AJ4086">
        <v>4</v>
      </c>
    </row>
    <row r="4087" spans="35:36" x14ac:dyDescent="0.35">
      <c r="AI4087">
        <v>4084</v>
      </c>
      <c r="AJ4087">
        <v>4</v>
      </c>
    </row>
    <row r="4088" spans="35:36" x14ac:dyDescent="0.35">
      <c r="AI4088">
        <v>4085</v>
      </c>
      <c r="AJ4088">
        <v>4</v>
      </c>
    </row>
    <row r="4089" spans="35:36" x14ac:dyDescent="0.35">
      <c r="AI4089">
        <v>4086</v>
      </c>
      <c r="AJ4089">
        <v>4</v>
      </c>
    </row>
    <row r="4090" spans="35:36" x14ac:dyDescent="0.35">
      <c r="AI4090">
        <v>4087</v>
      </c>
      <c r="AJ4090">
        <v>4</v>
      </c>
    </row>
    <row r="4091" spans="35:36" x14ac:dyDescent="0.35">
      <c r="AI4091">
        <v>4088</v>
      </c>
      <c r="AJ4091">
        <v>4</v>
      </c>
    </row>
    <row r="4092" spans="35:36" x14ac:dyDescent="0.35">
      <c r="AI4092">
        <v>4089</v>
      </c>
      <c r="AJ4092">
        <v>4</v>
      </c>
    </row>
    <row r="4093" spans="35:36" x14ac:dyDescent="0.35">
      <c r="AI4093">
        <v>4090</v>
      </c>
      <c r="AJ4093">
        <v>4</v>
      </c>
    </row>
    <row r="4094" spans="35:36" x14ac:dyDescent="0.35">
      <c r="AI4094">
        <v>4091</v>
      </c>
      <c r="AJ4094">
        <v>4</v>
      </c>
    </row>
    <row r="4095" spans="35:36" x14ac:dyDescent="0.35">
      <c r="AI4095">
        <v>4092</v>
      </c>
      <c r="AJ4095">
        <v>4</v>
      </c>
    </row>
    <row r="4096" spans="35:36" x14ac:dyDescent="0.35">
      <c r="AI4096">
        <v>4093</v>
      </c>
      <c r="AJ4096">
        <v>4</v>
      </c>
    </row>
    <row r="4097" spans="35:36" x14ac:dyDescent="0.35">
      <c r="AI4097">
        <v>4094</v>
      </c>
      <c r="AJ4097">
        <v>4</v>
      </c>
    </row>
    <row r="4098" spans="35:36" x14ac:dyDescent="0.35">
      <c r="AI4098">
        <v>4095</v>
      </c>
      <c r="AJ4098">
        <v>4</v>
      </c>
    </row>
    <row r="4099" spans="35:36" x14ac:dyDescent="0.35">
      <c r="AI4099">
        <v>4096</v>
      </c>
      <c r="AJ4099">
        <v>4</v>
      </c>
    </row>
    <row r="4100" spans="35:36" x14ac:dyDescent="0.35">
      <c r="AI4100">
        <v>4097</v>
      </c>
      <c r="AJ4100">
        <v>4</v>
      </c>
    </row>
    <row r="4101" spans="35:36" x14ac:dyDescent="0.35">
      <c r="AI4101">
        <v>4098</v>
      </c>
      <c r="AJ4101">
        <v>4</v>
      </c>
    </row>
    <row r="4102" spans="35:36" x14ac:dyDescent="0.35">
      <c r="AI4102">
        <v>4099</v>
      </c>
      <c r="AJ4102">
        <v>4</v>
      </c>
    </row>
    <row r="4103" spans="35:36" x14ac:dyDescent="0.35">
      <c r="AI4103">
        <v>4100</v>
      </c>
      <c r="AJ4103">
        <v>4</v>
      </c>
    </row>
    <row r="4104" spans="35:36" x14ac:dyDescent="0.35">
      <c r="AI4104">
        <v>4101</v>
      </c>
      <c r="AJ4104">
        <v>4</v>
      </c>
    </row>
    <row r="4105" spans="35:36" x14ac:dyDescent="0.35">
      <c r="AI4105">
        <v>4102</v>
      </c>
      <c r="AJ4105">
        <v>4</v>
      </c>
    </row>
    <row r="4106" spans="35:36" x14ac:dyDescent="0.35">
      <c r="AI4106">
        <v>4103</v>
      </c>
      <c r="AJ4106">
        <v>4</v>
      </c>
    </row>
    <row r="4107" spans="35:36" x14ac:dyDescent="0.35">
      <c r="AI4107">
        <v>4104</v>
      </c>
      <c r="AJ4107">
        <v>4</v>
      </c>
    </row>
    <row r="4108" spans="35:36" x14ac:dyDescent="0.35">
      <c r="AI4108">
        <v>4105</v>
      </c>
      <c r="AJ4108">
        <v>4</v>
      </c>
    </row>
    <row r="4109" spans="35:36" x14ac:dyDescent="0.35">
      <c r="AI4109">
        <v>4106</v>
      </c>
      <c r="AJ4109">
        <v>4</v>
      </c>
    </row>
    <row r="4110" spans="35:36" x14ac:dyDescent="0.35">
      <c r="AI4110">
        <v>4107</v>
      </c>
      <c r="AJ4110">
        <v>3</v>
      </c>
    </row>
    <row r="4111" spans="35:36" x14ac:dyDescent="0.35">
      <c r="AI4111">
        <v>4108</v>
      </c>
      <c r="AJ4111">
        <v>3</v>
      </c>
    </row>
    <row r="4112" spans="35:36" x14ac:dyDescent="0.35">
      <c r="AI4112">
        <v>4109</v>
      </c>
      <c r="AJ4112">
        <v>3</v>
      </c>
    </row>
    <row r="4113" spans="35:36" x14ac:dyDescent="0.35">
      <c r="AI4113">
        <v>4110</v>
      </c>
      <c r="AJ4113">
        <v>3</v>
      </c>
    </row>
    <row r="4114" spans="35:36" x14ac:dyDescent="0.35">
      <c r="AI4114">
        <v>4111</v>
      </c>
      <c r="AJ4114">
        <v>3</v>
      </c>
    </row>
    <row r="4115" spans="35:36" x14ac:dyDescent="0.35">
      <c r="AI4115">
        <v>4112</v>
      </c>
      <c r="AJ4115">
        <v>3</v>
      </c>
    </row>
    <row r="4116" spans="35:36" x14ac:dyDescent="0.35">
      <c r="AI4116">
        <v>4113</v>
      </c>
      <c r="AJ4116">
        <v>3</v>
      </c>
    </row>
    <row r="4117" spans="35:36" x14ac:dyDescent="0.35">
      <c r="AI4117">
        <v>4114</v>
      </c>
      <c r="AJ4117">
        <v>3</v>
      </c>
    </row>
    <row r="4118" spans="35:36" x14ac:dyDescent="0.35">
      <c r="AI4118">
        <v>4115</v>
      </c>
      <c r="AJ4118">
        <v>3</v>
      </c>
    </row>
    <row r="4119" spans="35:36" x14ac:dyDescent="0.35">
      <c r="AI4119">
        <v>4116</v>
      </c>
      <c r="AJ4119">
        <v>3</v>
      </c>
    </row>
    <row r="4120" spans="35:36" x14ac:dyDescent="0.35">
      <c r="AI4120">
        <v>4117</v>
      </c>
      <c r="AJ4120">
        <v>3</v>
      </c>
    </row>
    <row r="4121" spans="35:36" x14ac:dyDescent="0.35">
      <c r="AI4121">
        <v>4118</v>
      </c>
      <c r="AJ4121">
        <v>3</v>
      </c>
    </row>
    <row r="4122" spans="35:36" x14ac:dyDescent="0.35">
      <c r="AI4122">
        <v>4119</v>
      </c>
      <c r="AJ4122">
        <v>3</v>
      </c>
    </row>
    <row r="4123" spans="35:36" x14ac:dyDescent="0.35">
      <c r="AI4123">
        <v>4120</v>
      </c>
      <c r="AJ4123">
        <v>3</v>
      </c>
    </row>
    <row r="4124" spans="35:36" x14ac:dyDescent="0.35">
      <c r="AI4124">
        <v>4121</v>
      </c>
      <c r="AJ4124">
        <v>3</v>
      </c>
    </row>
    <row r="4125" spans="35:36" x14ac:dyDescent="0.35">
      <c r="AI4125">
        <v>4122</v>
      </c>
      <c r="AJ4125">
        <v>3</v>
      </c>
    </row>
    <row r="4126" spans="35:36" x14ac:dyDescent="0.35">
      <c r="AI4126">
        <v>4123</v>
      </c>
      <c r="AJ4126">
        <v>3</v>
      </c>
    </row>
    <row r="4127" spans="35:36" x14ac:dyDescent="0.35">
      <c r="AI4127">
        <v>4124</v>
      </c>
      <c r="AJ4127">
        <v>3</v>
      </c>
    </row>
    <row r="4128" spans="35:36" x14ac:dyDescent="0.35">
      <c r="AI4128">
        <v>4125</v>
      </c>
      <c r="AJ4128">
        <v>3</v>
      </c>
    </row>
    <row r="4129" spans="35:36" x14ac:dyDescent="0.35">
      <c r="AI4129">
        <v>4126</v>
      </c>
      <c r="AJ4129">
        <v>3</v>
      </c>
    </row>
    <row r="4130" spans="35:36" x14ac:dyDescent="0.35">
      <c r="AI4130">
        <v>4127</v>
      </c>
      <c r="AJ4130">
        <v>3</v>
      </c>
    </row>
    <row r="4131" spans="35:36" x14ac:dyDescent="0.35">
      <c r="AI4131">
        <v>4128</v>
      </c>
      <c r="AJ4131">
        <v>3</v>
      </c>
    </row>
    <row r="4132" spans="35:36" x14ac:dyDescent="0.35">
      <c r="AI4132">
        <v>4129</v>
      </c>
      <c r="AJ4132">
        <v>3</v>
      </c>
    </row>
    <row r="4133" spans="35:36" x14ac:dyDescent="0.35">
      <c r="AI4133">
        <v>4130</v>
      </c>
      <c r="AJ4133">
        <v>3</v>
      </c>
    </row>
    <row r="4134" spans="35:36" x14ac:dyDescent="0.35">
      <c r="AI4134">
        <v>4131</v>
      </c>
      <c r="AJ4134">
        <v>3</v>
      </c>
    </row>
    <row r="4135" spans="35:36" x14ac:dyDescent="0.35">
      <c r="AI4135">
        <v>4132</v>
      </c>
      <c r="AJ4135">
        <v>3</v>
      </c>
    </row>
    <row r="4136" spans="35:36" x14ac:dyDescent="0.35">
      <c r="AI4136">
        <v>4133</v>
      </c>
      <c r="AJ4136">
        <v>3</v>
      </c>
    </row>
    <row r="4137" spans="35:36" x14ac:dyDescent="0.35">
      <c r="AI4137">
        <v>4134</v>
      </c>
      <c r="AJ4137">
        <v>3</v>
      </c>
    </row>
    <row r="4138" spans="35:36" x14ac:dyDescent="0.35">
      <c r="AI4138">
        <v>4135</v>
      </c>
      <c r="AJ4138">
        <v>3</v>
      </c>
    </row>
    <row r="4139" spans="35:36" x14ac:dyDescent="0.35">
      <c r="AI4139">
        <v>4136</v>
      </c>
      <c r="AJ4139">
        <v>3</v>
      </c>
    </row>
    <row r="4140" spans="35:36" x14ac:dyDescent="0.35">
      <c r="AI4140">
        <v>4137</v>
      </c>
      <c r="AJ4140">
        <v>3</v>
      </c>
    </row>
    <row r="4141" spans="35:36" x14ac:dyDescent="0.35">
      <c r="AI4141">
        <v>4138</v>
      </c>
      <c r="AJ4141">
        <v>3</v>
      </c>
    </row>
    <row r="4142" spans="35:36" x14ac:dyDescent="0.35">
      <c r="AI4142">
        <v>4139</v>
      </c>
      <c r="AJ4142">
        <v>3</v>
      </c>
    </row>
    <row r="4143" spans="35:36" x14ac:dyDescent="0.35">
      <c r="AI4143">
        <v>4140</v>
      </c>
      <c r="AJ4143">
        <v>3</v>
      </c>
    </row>
    <row r="4144" spans="35:36" x14ac:dyDescent="0.35">
      <c r="AI4144">
        <v>4141</v>
      </c>
      <c r="AJ4144">
        <v>3</v>
      </c>
    </row>
    <row r="4145" spans="35:36" x14ac:dyDescent="0.35">
      <c r="AI4145">
        <v>4142</v>
      </c>
      <c r="AJ4145">
        <v>3</v>
      </c>
    </row>
    <row r="4146" spans="35:36" x14ac:dyDescent="0.35">
      <c r="AI4146">
        <v>4143</v>
      </c>
      <c r="AJ4146">
        <v>3</v>
      </c>
    </row>
    <row r="4147" spans="35:36" x14ac:dyDescent="0.35">
      <c r="AI4147">
        <v>4144</v>
      </c>
      <c r="AJ4147">
        <v>3</v>
      </c>
    </row>
    <row r="4148" spans="35:36" x14ac:dyDescent="0.35">
      <c r="AI4148">
        <v>4145</v>
      </c>
      <c r="AJ4148">
        <v>3</v>
      </c>
    </row>
    <row r="4149" spans="35:36" x14ac:dyDescent="0.35">
      <c r="AI4149">
        <v>4146</v>
      </c>
      <c r="AJ4149">
        <v>3</v>
      </c>
    </row>
    <row r="4150" spans="35:36" x14ac:dyDescent="0.35">
      <c r="AI4150">
        <v>4147</v>
      </c>
      <c r="AJ4150">
        <v>3</v>
      </c>
    </row>
    <row r="4151" spans="35:36" x14ac:dyDescent="0.35">
      <c r="AI4151">
        <v>4148</v>
      </c>
      <c r="AJ4151">
        <v>3</v>
      </c>
    </row>
    <row r="4152" spans="35:36" x14ac:dyDescent="0.35">
      <c r="AI4152">
        <v>4149</v>
      </c>
      <c r="AJ4152">
        <v>3</v>
      </c>
    </row>
    <row r="4153" spans="35:36" x14ac:dyDescent="0.35">
      <c r="AI4153">
        <v>4150</v>
      </c>
      <c r="AJ4153">
        <v>3</v>
      </c>
    </row>
    <row r="4154" spans="35:36" x14ac:dyDescent="0.35">
      <c r="AI4154">
        <v>4151</v>
      </c>
      <c r="AJ4154">
        <v>3</v>
      </c>
    </row>
    <row r="4155" spans="35:36" x14ac:dyDescent="0.35">
      <c r="AI4155">
        <v>4152</v>
      </c>
      <c r="AJ4155">
        <v>3</v>
      </c>
    </row>
    <row r="4156" spans="35:36" x14ac:dyDescent="0.35">
      <c r="AI4156">
        <v>4153</v>
      </c>
      <c r="AJ4156">
        <v>3</v>
      </c>
    </row>
    <row r="4157" spans="35:36" x14ac:dyDescent="0.35">
      <c r="AI4157">
        <v>4154</v>
      </c>
      <c r="AJ4157">
        <v>3</v>
      </c>
    </row>
    <row r="4158" spans="35:36" x14ac:dyDescent="0.35">
      <c r="AI4158">
        <v>4155</v>
      </c>
      <c r="AJ4158">
        <v>3</v>
      </c>
    </row>
    <row r="4159" spans="35:36" x14ac:dyDescent="0.35">
      <c r="AI4159">
        <v>4156</v>
      </c>
      <c r="AJ4159">
        <v>3</v>
      </c>
    </row>
    <row r="4160" spans="35:36" x14ac:dyDescent="0.35">
      <c r="AI4160">
        <v>4157</v>
      </c>
      <c r="AJ4160">
        <v>3</v>
      </c>
    </row>
    <row r="4161" spans="35:36" x14ac:dyDescent="0.35">
      <c r="AI4161">
        <v>4158</v>
      </c>
      <c r="AJ4161">
        <v>3</v>
      </c>
    </row>
    <row r="4162" spans="35:36" x14ac:dyDescent="0.35">
      <c r="AI4162">
        <v>4159</v>
      </c>
      <c r="AJ4162">
        <v>3</v>
      </c>
    </row>
    <row r="4163" spans="35:36" x14ac:dyDescent="0.35">
      <c r="AI4163">
        <v>4160</v>
      </c>
      <c r="AJ4163">
        <v>3</v>
      </c>
    </row>
    <row r="4164" spans="35:36" x14ac:dyDescent="0.35">
      <c r="AI4164">
        <v>4161</v>
      </c>
      <c r="AJ4164">
        <v>3</v>
      </c>
    </row>
    <row r="4165" spans="35:36" x14ac:dyDescent="0.35">
      <c r="AI4165">
        <v>4162</v>
      </c>
      <c r="AJ4165">
        <v>3</v>
      </c>
    </row>
    <row r="4166" spans="35:36" x14ac:dyDescent="0.35">
      <c r="AI4166">
        <v>4163</v>
      </c>
      <c r="AJ4166">
        <v>3</v>
      </c>
    </row>
    <row r="4167" spans="35:36" x14ac:dyDescent="0.35">
      <c r="AI4167">
        <v>4164</v>
      </c>
      <c r="AJ4167">
        <v>3</v>
      </c>
    </row>
    <row r="4168" spans="35:36" x14ac:dyDescent="0.35">
      <c r="AI4168">
        <v>4165</v>
      </c>
      <c r="AJ4168">
        <v>3</v>
      </c>
    </row>
    <row r="4169" spans="35:36" x14ac:dyDescent="0.35">
      <c r="AI4169">
        <v>4166</v>
      </c>
      <c r="AJ4169">
        <v>3</v>
      </c>
    </row>
    <row r="4170" spans="35:36" x14ac:dyDescent="0.35">
      <c r="AI4170">
        <v>4167</v>
      </c>
      <c r="AJ4170">
        <v>3</v>
      </c>
    </row>
    <row r="4171" spans="35:36" x14ac:dyDescent="0.35">
      <c r="AI4171">
        <v>4168</v>
      </c>
      <c r="AJ4171">
        <v>3</v>
      </c>
    </row>
    <row r="4172" spans="35:36" x14ac:dyDescent="0.35">
      <c r="AI4172">
        <v>4169</v>
      </c>
      <c r="AJ4172">
        <v>3</v>
      </c>
    </row>
    <row r="4173" spans="35:36" x14ac:dyDescent="0.35">
      <c r="AI4173">
        <v>4170</v>
      </c>
      <c r="AJ4173">
        <v>3</v>
      </c>
    </row>
    <row r="4174" spans="35:36" x14ac:dyDescent="0.35">
      <c r="AI4174">
        <v>4171</v>
      </c>
      <c r="AJ4174">
        <v>3</v>
      </c>
    </row>
    <row r="4175" spans="35:36" x14ac:dyDescent="0.35">
      <c r="AI4175">
        <v>4172</v>
      </c>
      <c r="AJ4175">
        <v>3</v>
      </c>
    </row>
    <row r="4176" spans="35:36" x14ac:dyDescent="0.35">
      <c r="AI4176">
        <v>4173</v>
      </c>
      <c r="AJ4176">
        <v>3</v>
      </c>
    </row>
    <row r="4177" spans="35:36" x14ac:dyDescent="0.35">
      <c r="AI4177">
        <v>4174</v>
      </c>
      <c r="AJ4177">
        <v>3</v>
      </c>
    </row>
    <row r="4178" spans="35:36" x14ac:dyDescent="0.35">
      <c r="AI4178">
        <v>4175</v>
      </c>
      <c r="AJ4178">
        <v>3</v>
      </c>
    </row>
    <row r="4179" spans="35:36" x14ac:dyDescent="0.35">
      <c r="AI4179">
        <v>4176</v>
      </c>
      <c r="AJ4179">
        <v>3</v>
      </c>
    </row>
    <row r="4180" spans="35:36" x14ac:dyDescent="0.35">
      <c r="AI4180">
        <v>4177</v>
      </c>
      <c r="AJ4180">
        <v>3</v>
      </c>
    </row>
    <row r="4181" spans="35:36" x14ac:dyDescent="0.35">
      <c r="AI4181">
        <v>4178</v>
      </c>
      <c r="AJ4181">
        <v>3</v>
      </c>
    </row>
    <row r="4182" spans="35:36" x14ac:dyDescent="0.35">
      <c r="AI4182">
        <v>4179</v>
      </c>
      <c r="AJ4182">
        <v>3</v>
      </c>
    </row>
    <row r="4183" spans="35:36" x14ac:dyDescent="0.35">
      <c r="AI4183">
        <v>4180</v>
      </c>
      <c r="AJ4183">
        <v>3</v>
      </c>
    </row>
    <row r="4184" spans="35:36" x14ac:dyDescent="0.35">
      <c r="AI4184">
        <v>4181</v>
      </c>
      <c r="AJ4184">
        <v>3</v>
      </c>
    </row>
    <row r="4185" spans="35:36" x14ac:dyDescent="0.35">
      <c r="AI4185">
        <v>4182</v>
      </c>
      <c r="AJ4185">
        <v>3</v>
      </c>
    </row>
    <row r="4186" spans="35:36" x14ac:dyDescent="0.35">
      <c r="AI4186">
        <v>4183</v>
      </c>
      <c r="AJ4186">
        <v>3</v>
      </c>
    </row>
    <row r="4187" spans="35:36" x14ac:dyDescent="0.35">
      <c r="AI4187">
        <v>4184</v>
      </c>
      <c r="AJ4187">
        <v>3</v>
      </c>
    </row>
    <row r="4188" spans="35:36" x14ac:dyDescent="0.35">
      <c r="AI4188">
        <v>4185</v>
      </c>
      <c r="AJ4188">
        <v>3</v>
      </c>
    </row>
    <row r="4189" spans="35:36" x14ac:dyDescent="0.35">
      <c r="AI4189">
        <v>4186</v>
      </c>
      <c r="AJ4189">
        <v>3</v>
      </c>
    </row>
    <row r="4190" spans="35:36" x14ac:dyDescent="0.35">
      <c r="AI4190">
        <v>4187</v>
      </c>
      <c r="AJ4190">
        <v>3</v>
      </c>
    </row>
    <row r="4191" spans="35:36" x14ac:dyDescent="0.35">
      <c r="AI4191">
        <v>4188</v>
      </c>
      <c r="AJ4191">
        <v>3</v>
      </c>
    </row>
    <row r="4192" spans="35:36" x14ac:dyDescent="0.35">
      <c r="AI4192">
        <v>4189</v>
      </c>
      <c r="AJ4192">
        <v>3</v>
      </c>
    </row>
    <row r="4193" spans="35:36" x14ac:dyDescent="0.35">
      <c r="AI4193">
        <v>4190</v>
      </c>
      <c r="AJ4193">
        <v>3</v>
      </c>
    </row>
    <row r="4194" spans="35:36" x14ac:dyDescent="0.35">
      <c r="AI4194">
        <v>4191</v>
      </c>
      <c r="AJ4194">
        <v>3</v>
      </c>
    </row>
    <row r="4195" spans="35:36" x14ac:dyDescent="0.35">
      <c r="AI4195">
        <v>4192</v>
      </c>
      <c r="AJ4195">
        <v>3</v>
      </c>
    </row>
    <row r="4196" spans="35:36" x14ac:dyDescent="0.35">
      <c r="AI4196">
        <v>4193</v>
      </c>
      <c r="AJ4196">
        <v>3</v>
      </c>
    </row>
    <row r="4197" spans="35:36" x14ac:dyDescent="0.35">
      <c r="AI4197">
        <v>4194</v>
      </c>
      <c r="AJ4197">
        <v>3</v>
      </c>
    </row>
    <row r="4198" spans="35:36" x14ac:dyDescent="0.35">
      <c r="AI4198">
        <v>4195</v>
      </c>
      <c r="AJ4198">
        <v>3</v>
      </c>
    </row>
    <row r="4199" spans="35:36" x14ac:dyDescent="0.35">
      <c r="AI4199">
        <v>4196</v>
      </c>
      <c r="AJ4199">
        <v>3</v>
      </c>
    </row>
    <row r="4200" spans="35:36" x14ac:dyDescent="0.35">
      <c r="AI4200">
        <v>4197</v>
      </c>
      <c r="AJ4200">
        <v>3</v>
      </c>
    </row>
    <row r="4201" spans="35:36" x14ac:dyDescent="0.35">
      <c r="AI4201">
        <v>4198</v>
      </c>
      <c r="AJ4201">
        <v>3</v>
      </c>
    </row>
    <row r="4202" spans="35:36" x14ac:dyDescent="0.35">
      <c r="AI4202">
        <v>4199</v>
      </c>
      <c r="AJ4202">
        <v>3</v>
      </c>
    </row>
    <row r="4203" spans="35:36" x14ac:dyDescent="0.35">
      <c r="AI4203">
        <v>4200</v>
      </c>
      <c r="AJ4203">
        <v>3</v>
      </c>
    </row>
    <row r="4204" spans="35:36" x14ac:dyDescent="0.35">
      <c r="AI4204">
        <v>4201</v>
      </c>
      <c r="AJ4204">
        <v>3</v>
      </c>
    </row>
    <row r="4205" spans="35:36" x14ac:dyDescent="0.35">
      <c r="AI4205">
        <v>4202</v>
      </c>
      <c r="AJ4205">
        <v>3</v>
      </c>
    </row>
    <row r="4206" spans="35:36" x14ac:dyDescent="0.35">
      <c r="AI4206">
        <v>4203</v>
      </c>
      <c r="AJ4206">
        <v>3</v>
      </c>
    </row>
    <row r="4207" spans="35:36" x14ac:dyDescent="0.35">
      <c r="AI4207">
        <v>4204</v>
      </c>
      <c r="AJ4207">
        <v>3</v>
      </c>
    </row>
    <row r="4208" spans="35:36" x14ac:dyDescent="0.35">
      <c r="AI4208">
        <v>4205</v>
      </c>
      <c r="AJ4208">
        <v>3</v>
      </c>
    </row>
    <row r="4209" spans="35:36" x14ac:dyDescent="0.35">
      <c r="AI4209">
        <v>4206</v>
      </c>
      <c r="AJ4209">
        <v>3</v>
      </c>
    </row>
    <row r="4210" spans="35:36" x14ac:dyDescent="0.35">
      <c r="AI4210">
        <v>4207</v>
      </c>
      <c r="AJ4210">
        <v>3</v>
      </c>
    </row>
    <row r="4211" spans="35:36" x14ac:dyDescent="0.35">
      <c r="AI4211">
        <v>4208</v>
      </c>
      <c r="AJ4211">
        <v>3</v>
      </c>
    </row>
    <row r="4212" spans="35:36" x14ac:dyDescent="0.35">
      <c r="AI4212">
        <v>4209</v>
      </c>
      <c r="AJ4212">
        <v>3</v>
      </c>
    </row>
    <row r="4213" spans="35:36" x14ac:dyDescent="0.35">
      <c r="AI4213">
        <v>4210</v>
      </c>
      <c r="AJ4213">
        <v>3</v>
      </c>
    </row>
    <row r="4214" spans="35:36" x14ac:dyDescent="0.35">
      <c r="AI4214">
        <v>4211</v>
      </c>
      <c r="AJ4214">
        <v>3</v>
      </c>
    </row>
    <row r="4215" spans="35:36" x14ac:dyDescent="0.35">
      <c r="AI4215">
        <v>4212</v>
      </c>
      <c r="AJ4215">
        <v>3</v>
      </c>
    </row>
    <row r="4216" spans="35:36" x14ac:dyDescent="0.35">
      <c r="AI4216">
        <v>4213</v>
      </c>
      <c r="AJ4216">
        <v>3</v>
      </c>
    </row>
    <row r="4217" spans="35:36" x14ac:dyDescent="0.35">
      <c r="AI4217">
        <v>4214</v>
      </c>
      <c r="AJ4217">
        <v>3</v>
      </c>
    </row>
    <row r="4218" spans="35:36" x14ac:dyDescent="0.35">
      <c r="AI4218">
        <v>4215</v>
      </c>
      <c r="AJ4218">
        <v>3</v>
      </c>
    </row>
    <row r="4219" spans="35:36" x14ac:dyDescent="0.35">
      <c r="AI4219">
        <v>4216</v>
      </c>
      <c r="AJ4219">
        <v>3</v>
      </c>
    </row>
    <row r="4220" spans="35:36" x14ac:dyDescent="0.35">
      <c r="AI4220">
        <v>4217</v>
      </c>
      <c r="AJ4220">
        <v>3</v>
      </c>
    </row>
    <row r="4221" spans="35:36" x14ac:dyDescent="0.35">
      <c r="AI4221">
        <v>4218</v>
      </c>
      <c r="AJ4221">
        <v>3</v>
      </c>
    </row>
    <row r="4222" spans="35:36" x14ac:dyDescent="0.35">
      <c r="AI4222">
        <v>4219</v>
      </c>
      <c r="AJ4222">
        <v>3</v>
      </c>
    </row>
    <row r="4223" spans="35:36" x14ac:dyDescent="0.35">
      <c r="AI4223">
        <v>4220</v>
      </c>
      <c r="AJ4223">
        <v>3</v>
      </c>
    </row>
    <row r="4224" spans="35:36" x14ac:dyDescent="0.35">
      <c r="AI4224">
        <v>4221</v>
      </c>
      <c r="AJ4224">
        <v>3</v>
      </c>
    </row>
    <row r="4225" spans="35:36" x14ac:dyDescent="0.35">
      <c r="AI4225">
        <v>4222</v>
      </c>
      <c r="AJ4225">
        <v>3</v>
      </c>
    </row>
    <row r="4226" spans="35:36" x14ac:dyDescent="0.35">
      <c r="AI4226">
        <v>4223</v>
      </c>
      <c r="AJ4226">
        <v>3</v>
      </c>
    </row>
    <row r="4227" spans="35:36" x14ac:dyDescent="0.35">
      <c r="AI4227">
        <v>4224</v>
      </c>
      <c r="AJ4227">
        <v>3</v>
      </c>
    </row>
    <row r="4228" spans="35:36" x14ac:dyDescent="0.35">
      <c r="AI4228">
        <v>4225</v>
      </c>
      <c r="AJ4228">
        <v>3</v>
      </c>
    </row>
    <row r="4229" spans="35:36" x14ac:dyDescent="0.35">
      <c r="AI4229">
        <v>4226</v>
      </c>
      <c r="AJ4229">
        <v>3</v>
      </c>
    </row>
    <row r="4230" spans="35:36" x14ac:dyDescent="0.35">
      <c r="AI4230">
        <v>4227</v>
      </c>
      <c r="AJ4230">
        <v>3</v>
      </c>
    </row>
    <row r="4231" spans="35:36" x14ac:dyDescent="0.35">
      <c r="AI4231">
        <v>4228</v>
      </c>
      <c r="AJ4231">
        <v>3</v>
      </c>
    </row>
    <row r="4232" spans="35:36" x14ac:dyDescent="0.35">
      <c r="AI4232">
        <v>4229</v>
      </c>
      <c r="AJ4232">
        <v>3</v>
      </c>
    </row>
    <row r="4233" spans="35:36" x14ac:dyDescent="0.35">
      <c r="AI4233">
        <v>4230</v>
      </c>
      <c r="AJ4233">
        <v>3</v>
      </c>
    </row>
    <row r="4234" spans="35:36" x14ac:dyDescent="0.35">
      <c r="AI4234">
        <v>4231</v>
      </c>
      <c r="AJ4234">
        <v>3</v>
      </c>
    </row>
    <row r="4235" spans="35:36" x14ac:dyDescent="0.35">
      <c r="AI4235">
        <v>4232</v>
      </c>
      <c r="AJ4235">
        <v>3</v>
      </c>
    </row>
    <row r="4236" spans="35:36" x14ac:dyDescent="0.35">
      <c r="AI4236">
        <v>4233</v>
      </c>
      <c r="AJ4236">
        <v>3</v>
      </c>
    </row>
    <row r="4237" spans="35:36" x14ac:dyDescent="0.35">
      <c r="AI4237">
        <v>4234</v>
      </c>
      <c r="AJ4237">
        <v>3</v>
      </c>
    </row>
    <row r="4238" spans="35:36" x14ac:dyDescent="0.35">
      <c r="AI4238">
        <v>4235</v>
      </c>
      <c r="AJ4238">
        <v>3</v>
      </c>
    </row>
    <row r="4239" spans="35:36" x14ac:dyDescent="0.35">
      <c r="AI4239">
        <v>4236</v>
      </c>
      <c r="AJ4239">
        <v>3</v>
      </c>
    </row>
    <row r="4240" spans="35:36" x14ac:dyDescent="0.35">
      <c r="AI4240">
        <v>4237</v>
      </c>
      <c r="AJ4240">
        <v>3</v>
      </c>
    </row>
    <row r="4241" spans="35:36" x14ac:dyDescent="0.35">
      <c r="AI4241">
        <v>4238</v>
      </c>
      <c r="AJ4241">
        <v>3</v>
      </c>
    </row>
    <row r="4242" spans="35:36" x14ac:dyDescent="0.35">
      <c r="AI4242">
        <v>4239</v>
      </c>
      <c r="AJ4242">
        <v>3</v>
      </c>
    </row>
    <row r="4243" spans="35:36" x14ac:dyDescent="0.35">
      <c r="AI4243">
        <v>4240</v>
      </c>
      <c r="AJ4243">
        <v>3</v>
      </c>
    </row>
    <row r="4244" spans="35:36" x14ac:dyDescent="0.35">
      <c r="AI4244">
        <v>4241</v>
      </c>
      <c r="AJ4244">
        <v>3</v>
      </c>
    </row>
    <row r="4245" spans="35:36" x14ac:dyDescent="0.35">
      <c r="AI4245">
        <v>4242</v>
      </c>
      <c r="AJ4245">
        <v>3</v>
      </c>
    </row>
    <row r="4246" spans="35:36" x14ac:dyDescent="0.35">
      <c r="AI4246">
        <v>4243</v>
      </c>
      <c r="AJ4246">
        <v>3</v>
      </c>
    </row>
    <row r="4247" spans="35:36" x14ac:dyDescent="0.35">
      <c r="AI4247">
        <v>4244</v>
      </c>
      <c r="AJ4247">
        <v>3</v>
      </c>
    </row>
    <row r="4248" spans="35:36" x14ac:dyDescent="0.35">
      <c r="AI4248">
        <v>4245</v>
      </c>
      <c r="AJ4248">
        <v>3</v>
      </c>
    </row>
    <row r="4249" spans="35:36" x14ac:dyDescent="0.35">
      <c r="AI4249">
        <v>4246</v>
      </c>
      <c r="AJ4249">
        <v>3</v>
      </c>
    </row>
    <row r="4250" spans="35:36" x14ac:dyDescent="0.35">
      <c r="AI4250">
        <v>4247</v>
      </c>
      <c r="AJ4250">
        <v>3</v>
      </c>
    </row>
    <row r="4251" spans="35:36" x14ac:dyDescent="0.35">
      <c r="AI4251">
        <v>4248</v>
      </c>
      <c r="AJ4251">
        <v>3</v>
      </c>
    </row>
    <row r="4252" spans="35:36" x14ac:dyDescent="0.35">
      <c r="AI4252">
        <v>4249</v>
      </c>
      <c r="AJ4252">
        <v>3</v>
      </c>
    </row>
    <row r="4253" spans="35:36" x14ac:dyDescent="0.35">
      <c r="AI4253">
        <v>4250</v>
      </c>
      <c r="AJ4253">
        <v>3</v>
      </c>
    </row>
    <row r="4254" spans="35:36" x14ac:dyDescent="0.35">
      <c r="AI4254">
        <v>4251</v>
      </c>
      <c r="AJ4254">
        <v>3</v>
      </c>
    </row>
    <row r="4255" spans="35:36" x14ac:dyDescent="0.35">
      <c r="AI4255">
        <v>4252</v>
      </c>
      <c r="AJ4255">
        <v>3</v>
      </c>
    </row>
    <row r="4256" spans="35:36" x14ac:dyDescent="0.35">
      <c r="AI4256">
        <v>4253</v>
      </c>
      <c r="AJ4256">
        <v>3</v>
      </c>
    </row>
    <row r="4257" spans="35:36" x14ac:dyDescent="0.35">
      <c r="AI4257">
        <v>4254</v>
      </c>
      <c r="AJ4257">
        <v>3</v>
      </c>
    </row>
    <row r="4258" spans="35:36" x14ac:dyDescent="0.35">
      <c r="AI4258">
        <v>4255</v>
      </c>
      <c r="AJ4258">
        <v>3</v>
      </c>
    </row>
    <row r="4259" spans="35:36" x14ac:dyDescent="0.35">
      <c r="AI4259">
        <v>4256</v>
      </c>
      <c r="AJ4259">
        <v>3</v>
      </c>
    </row>
    <row r="4260" spans="35:36" x14ac:dyDescent="0.35">
      <c r="AI4260">
        <v>4257</v>
      </c>
      <c r="AJ4260">
        <v>3</v>
      </c>
    </row>
    <row r="4261" spans="35:36" x14ac:dyDescent="0.35">
      <c r="AI4261">
        <v>4258</v>
      </c>
      <c r="AJ4261">
        <v>3</v>
      </c>
    </row>
    <row r="4262" spans="35:36" x14ac:dyDescent="0.35">
      <c r="AI4262">
        <v>4259</v>
      </c>
      <c r="AJ4262">
        <v>3</v>
      </c>
    </row>
    <row r="4263" spans="35:36" x14ac:dyDescent="0.35">
      <c r="AI4263">
        <v>4260</v>
      </c>
      <c r="AJ4263">
        <v>3</v>
      </c>
    </row>
    <row r="4264" spans="35:36" x14ac:dyDescent="0.35">
      <c r="AI4264">
        <v>4261</v>
      </c>
      <c r="AJ4264">
        <v>3</v>
      </c>
    </row>
    <row r="4265" spans="35:36" x14ac:dyDescent="0.35">
      <c r="AI4265">
        <v>4262</v>
      </c>
      <c r="AJ4265">
        <v>3</v>
      </c>
    </row>
    <row r="4266" spans="35:36" x14ac:dyDescent="0.35">
      <c r="AI4266">
        <v>4263</v>
      </c>
      <c r="AJ4266">
        <v>3</v>
      </c>
    </row>
    <row r="4267" spans="35:36" x14ac:dyDescent="0.35">
      <c r="AI4267">
        <v>4264</v>
      </c>
      <c r="AJ4267">
        <v>3</v>
      </c>
    </row>
    <row r="4268" spans="35:36" x14ac:dyDescent="0.35">
      <c r="AI4268">
        <v>4265</v>
      </c>
      <c r="AJ4268">
        <v>3</v>
      </c>
    </row>
    <row r="4269" spans="35:36" x14ac:dyDescent="0.35">
      <c r="AI4269">
        <v>4266</v>
      </c>
      <c r="AJ4269">
        <v>3</v>
      </c>
    </row>
    <row r="4270" spans="35:36" x14ac:dyDescent="0.35">
      <c r="AI4270">
        <v>4267</v>
      </c>
      <c r="AJ4270">
        <v>3</v>
      </c>
    </row>
    <row r="4271" spans="35:36" x14ac:dyDescent="0.35">
      <c r="AI4271">
        <v>4268</v>
      </c>
      <c r="AJ4271">
        <v>3</v>
      </c>
    </row>
    <row r="4272" spans="35:36" x14ac:dyDescent="0.35">
      <c r="AI4272">
        <v>4269</v>
      </c>
      <c r="AJ4272">
        <v>3</v>
      </c>
    </row>
    <row r="4273" spans="35:36" x14ac:dyDescent="0.35">
      <c r="AI4273">
        <v>4270</v>
      </c>
      <c r="AJ4273">
        <v>3</v>
      </c>
    </row>
    <row r="4274" spans="35:36" x14ac:dyDescent="0.35">
      <c r="AI4274">
        <v>4271</v>
      </c>
      <c r="AJ4274">
        <v>3</v>
      </c>
    </row>
    <row r="4275" spans="35:36" x14ac:dyDescent="0.35">
      <c r="AI4275">
        <v>4272</v>
      </c>
      <c r="AJ4275">
        <v>3</v>
      </c>
    </row>
    <row r="4276" spans="35:36" x14ac:dyDescent="0.35">
      <c r="AI4276">
        <v>4273</v>
      </c>
      <c r="AJ4276">
        <v>3</v>
      </c>
    </row>
    <row r="4277" spans="35:36" x14ac:dyDescent="0.35">
      <c r="AI4277">
        <v>4274</v>
      </c>
      <c r="AJ4277">
        <v>3</v>
      </c>
    </row>
    <row r="4278" spans="35:36" x14ac:dyDescent="0.35">
      <c r="AI4278">
        <v>4275</v>
      </c>
      <c r="AJ4278">
        <v>3</v>
      </c>
    </row>
    <row r="4279" spans="35:36" x14ac:dyDescent="0.35">
      <c r="AI4279">
        <v>4276</v>
      </c>
      <c r="AJ4279">
        <v>3</v>
      </c>
    </row>
    <row r="4280" spans="35:36" x14ac:dyDescent="0.35">
      <c r="AI4280">
        <v>4277</v>
      </c>
      <c r="AJ4280">
        <v>3</v>
      </c>
    </row>
    <row r="4281" spans="35:36" x14ac:dyDescent="0.35">
      <c r="AI4281">
        <v>4278</v>
      </c>
      <c r="AJ4281">
        <v>3</v>
      </c>
    </row>
    <row r="4282" spans="35:36" x14ac:dyDescent="0.35">
      <c r="AI4282">
        <v>4279</v>
      </c>
      <c r="AJ4282">
        <v>3</v>
      </c>
    </row>
    <row r="4283" spans="35:36" x14ac:dyDescent="0.35">
      <c r="AI4283">
        <v>4280</v>
      </c>
      <c r="AJ4283">
        <v>3</v>
      </c>
    </row>
    <row r="4284" spans="35:36" x14ac:dyDescent="0.35">
      <c r="AI4284">
        <v>4281</v>
      </c>
      <c r="AJ4284">
        <v>3</v>
      </c>
    </row>
    <row r="4285" spans="35:36" x14ac:dyDescent="0.35">
      <c r="AI4285">
        <v>4282</v>
      </c>
      <c r="AJ4285">
        <v>3</v>
      </c>
    </row>
    <row r="4286" spans="35:36" x14ac:dyDescent="0.35">
      <c r="AI4286">
        <v>4283</v>
      </c>
      <c r="AJ4286">
        <v>3</v>
      </c>
    </row>
    <row r="4287" spans="35:36" x14ac:dyDescent="0.35">
      <c r="AI4287">
        <v>4284</v>
      </c>
      <c r="AJ4287">
        <v>3</v>
      </c>
    </row>
    <row r="4288" spans="35:36" x14ac:dyDescent="0.35">
      <c r="AI4288">
        <v>4285</v>
      </c>
      <c r="AJ4288">
        <v>3</v>
      </c>
    </row>
    <row r="4289" spans="35:36" x14ac:dyDescent="0.35">
      <c r="AI4289">
        <v>4286</v>
      </c>
      <c r="AJ4289">
        <v>3</v>
      </c>
    </row>
    <row r="4290" spans="35:36" x14ac:dyDescent="0.35">
      <c r="AI4290">
        <v>4287</v>
      </c>
      <c r="AJ4290">
        <v>3</v>
      </c>
    </row>
    <row r="4291" spans="35:36" x14ac:dyDescent="0.35">
      <c r="AI4291">
        <v>4288</v>
      </c>
      <c r="AJ4291">
        <v>3</v>
      </c>
    </row>
    <row r="4292" spans="35:36" x14ac:dyDescent="0.35">
      <c r="AI4292">
        <v>4289</v>
      </c>
      <c r="AJ4292">
        <v>3</v>
      </c>
    </row>
    <row r="4293" spans="35:36" x14ac:dyDescent="0.35">
      <c r="AI4293">
        <v>4290</v>
      </c>
      <c r="AJ4293">
        <v>3</v>
      </c>
    </row>
    <row r="4294" spans="35:36" x14ac:dyDescent="0.35">
      <c r="AI4294">
        <v>4291</v>
      </c>
      <c r="AJ4294">
        <v>3</v>
      </c>
    </row>
    <row r="4295" spans="35:36" x14ac:dyDescent="0.35">
      <c r="AI4295">
        <v>4292</v>
      </c>
      <c r="AJ4295">
        <v>3</v>
      </c>
    </row>
    <row r="4296" spans="35:36" x14ac:dyDescent="0.35">
      <c r="AI4296">
        <v>4293</v>
      </c>
      <c r="AJ4296">
        <v>3</v>
      </c>
    </row>
    <row r="4297" spans="35:36" x14ac:dyDescent="0.35">
      <c r="AI4297">
        <v>4294</v>
      </c>
      <c r="AJ4297">
        <v>3</v>
      </c>
    </row>
    <row r="4298" spans="35:36" x14ac:dyDescent="0.35">
      <c r="AI4298">
        <v>4295</v>
      </c>
      <c r="AJ4298">
        <v>3</v>
      </c>
    </row>
    <row r="4299" spans="35:36" x14ac:dyDescent="0.35">
      <c r="AI4299">
        <v>4296</v>
      </c>
      <c r="AJ4299">
        <v>3</v>
      </c>
    </row>
    <row r="4300" spans="35:36" x14ac:dyDescent="0.35">
      <c r="AI4300">
        <v>4297</v>
      </c>
      <c r="AJ4300">
        <v>3</v>
      </c>
    </row>
    <row r="4301" spans="35:36" x14ac:dyDescent="0.35">
      <c r="AI4301">
        <v>4298</v>
      </c>
      <c r="AJ4301">
        <v>3</v>
      </c>
    </row>
    <row r="4302" spans="35:36" x14ac:dyDescent="0.35">
      <c r="AI4302">
        <v>4299</v>
      </c>
      <c r="AJ4302">
        <v>3</v>
      </c>
    </row>
    <row r="4303" spans="35:36" x14ac:dyDescent="0.35">
      <c r="AI4303">
        <v>4300</v>
      </c>
      <c r="AJ4303">
        <v>3</v>
      </c>
    </row>
    <row r="4304" spans="35:36" x14ac:dyDescent="0.35">
      <c r="AI4304">
        <v>4301</v>
      </c>
      <c r="AJ4304">
        <v>3</v>
      </c>
    </row>
    <row r="4305" spans="35:36" x14ac:dyDescent="0.35">
      <c r="AI4305">
        <v>4302</v>
      </c>
      <c r="AJ4305">
        <v>3</v>
      </c>
    </row>
    <row r="4306" spans="35:36" x14ac:dyDescent="0.35">
      <c r="AI4306">
        <v>4303</v>
      </c>
      <c r="AJ4306">
        <v>3</v>
      </c>
    </row>
    <row r="4307" spans="35:36" x14ac:dyDescent="0.35">
      <c r="AI4307">
        <v>4304</v>
      </c>
      <c r="AJ4307">
        <v>3</v>
      </c>
    </row>
    <row r="4308" spans="35:36" x14ac:dyDescent="0.35">
      <c r="AI4308">
        <v>4305</v>
      </c>
      <c r="AJ4308">
        <v>3</v>
      </c>
    </row>
    <row r="4309" spans="35:36" x14ac:dyDescent="0.35">
      <c r="AI4309">
        <v>4306</v>
      </c>
      <c r="AJ4309">
        <v>3</v>
      </c>
    </row>
    <row r="4310" spans="35:36" x14ac:dyDescent="0.35">
      <c r="AI4310">
        <v>4307</v>
      </c>
      <c r="AJ4310">
        <v>3</v>
      </c>
    </row>
    <row r="4311" spans="35:36" x14ac:dyDescent="0.35">
      <c r="AI4311">
        <v>4308</v>
      </c>
      <c r="AJ4311">
        <v>3</v>
      </c>
    </row>
    <row r="4312" spans="35:36" x14ac:dyDescent="0.35">
      <c r="AI4312">
        <v>4309</v>
      </c>
      <c r="AJ4312">
        <v>3</v>
      </c>
    </row>
    <row r="4313" spans="35:36" x14ac:dyDescent="0.35">
      <c r="AI4313">
        <v>4310</v>
      </c>
      <c r="AJ4313">
        <v>3</v>
      </c>
    </row>
    <row r="4314" spans="35:36" x14ac:dyDescent="0.35">
      <c r="AI4314">
        <v>4311</v>
      </c>
      <c r="AJ4314">
        <v>3</v>
      </c>
    </row>
    <row r="4315" spans="35:36" x14ac:dyDescent="0.35">
      <c r="AI4315">
        <v>4312</v>
      </c>
      <c r="AJ4315">
        <v>3</v>
      </c>
    </row>
    <row r="4316" spans="35:36" x14ac:dyDescent="0.35">
      <c r="AI4316">
        <v>4313</v>
      </c>
      <c r="AJ4316">
        <v>3</v>
      </c>
    </row>
    <row r="4317" spans="35:36" x14ac:dyDescent="0.35">
      <c r="AI4317">
        <v>4314</v>
      </c>
      <c r="AJ4317">
        <v>3</v>
      </c>
    </row>
    <row r="4318" spans="35:36" x14ac:dyDescent="0.35">
      <c r="AI4318">
        <v>4315</v>
      </c>
      <c r="AJ4318">
        <v>3</v>
      </c>
    </row>
    <row r="4319" spans="35:36" x14ac:dyDescent="0.35">
      <c r="AI4319">
        <v>4316</v>
      </c>
      <c r="AJ4319">
        <v>3</v>
      </c>
    </row>
    <row r="4320" spans="35:36" x14ac:dyDescent="0.35">
      <c r="AI4320">
        <v>4317</v>
      </c>
      <c r="AJ4320">
        <v>3</v>
      </c>
    </row>
    <row r="4321" spans="35:36" x14ac:dyDescent="0.35">
      <c r="AI4321">
        <v>4318</v>
      </c>
      <c r="AJ4321">
        <v>3</v>
      </c>
    </row>
    <row r="4322" spans="35:36" x14ac:dyDescent="0.35">
      <c r="AI4322">
        <v>4319</v>
      </c>
      <c r="AJ4322">
        <v>3</v>
      </c>
    </row>
    <row r="4323" spans="35:36" x14ac:dyDescent="0.35">
      <c r="AI4323">
        <v>4320</v>
      </c>
      <c r="AJ4323">
        <v>3</v>
      </c>
    </row>
    <row r="4324" spans="35:36" x14ac:dyDescent="0.35">
      <c r="AI4324">
        <v>4321</v>
      </c>
      <c r="AJ4324">
        <v>3</v>
      </c>
    </row>
    <row r="4325" spans="35:36" x14ac:dyDescent="0.35">
      <c r="AI4325">
        <v>4322</v>
      </c>
      <c r="AJ4325">
        <v>3</v>
      </c>
    </row>
    <row r="4326" spans="35:36" x14ac:dyDescent="0.35">
      <c r="AI4326">
        <v>4323</v>
      </c>
      <c r="AJ4326">
        <v>3</v>
      </c>
    </row>
    <row r="4327" spans="35:36" x14ac:dyDescent="0.35">
      <c r="AI4327">
        <v>4324</v>
      </c>
      <c r="AJ4327">
        <v>3</v>
      </c>
    </row>
    <row r="4328" spans="35:36" x14ac:dyDescent="0.35">
      <c r="AI4328">
        <v>4325</v>
      </c>
      <c r="AJ4328">
        <v>3</v>
      </c>
    </row>
    <row r="4329" spans="35:36" x14ac:dyDescent="0.35">
      <c r="AI4329">
        <v>4326</v>
      </c>
      <c r="AJ4329">
        <v>3</v>
      </c>
    </row>
    <row r="4330" spans="35:36" x14ac:dyDescent="0.35">
      <c r="AI4330">
        <v>4327</v>
      </c>
      <c r="AJ4330">
        <v>3</v>
      </c>
    </row>
    <row r="4331" spans="35:36" x14ac:dyDescent="0.35">
      <c r="AI4331">
        <v>4328</v>
      </c>
      <c r="AJ4331">
        <v>3</v>
      </c>
    </row>
    <row r="4332" spans="35:36" x14ac:dyDescent="0.35">
      <c r="AI4332">
        <v>4329</v>
      </c>
      <c r="AJ4332">
        <v>3</v>
      </c>
    </row>
    <row r="4333" spans="35:36" x14ac:dyDescent="0.35">
      <c r="AI4333">
        <v>4330</v>
      </c>
      <c r="AJ4333">
        <v>3</v>
      </c>
    </row>
    <row r="4334" spans="35:36" x14ac:dyDescent="0.35">
      <c r="AI4334">
        <v>4331</v>
      </c>
      <c r="AJ4334">
        <v>3</v>
      </c>
    </row>
    <row r="4335" spans="35:36" x14ac:dyDescent="0.35">
      <c r="AI4335">
        <v>4332</v>
      </c>
      <c r="AJ4335">
        <v>3</v>
      </c>
    </row>
    <row r="4336" spans="35:36" x14ac:dyDescent="0.35">
      <c r="AI4336">
        <v>4333</v>
      </c>
      <c r="AJ4336">
        <v>3</v>
      </c>
    </row>
    <row r="4337" spans="35:36" x14ac:dyDescent="0.35">
      <c r="AI4337">
        <v>4334</v>
      </c>
      <c r="AJ4337">
        <v>3</v>
      </c>
    </row>
    <row r="4338" spans="35:36" x14ac:dyDescent="0.35">
      <c r="AI4338">
        <v>4335</v>
      </c>
      <c r="AJ4338">
        <v>3</v>
      </c>
    </row>
    <row r="4339" spans="35:36" x14ac:dyDescent="0.35">
      <c r="AI4339">
        <v>4336</v>
      </c>
      <c r="AJ4339">
        <v>3</v>
      </c>
    </row>
    <row r="4340" spans="35:36" x14ac:dyDescent="0.35">
      <c r="AI4340">
        <v>4337</v>
      </c>
      <c r="AJ4340">
        <v>3</v>
      </c>
    </row>
    <row r="4341" spans="35:36" x14ac:dyDescent="0.35">
      <c r="AI4341">
        <v>4338</v>
      </c>
      <c r="AJ4341">
        <v>3</v>
      </c>
    </row>
    <row r="4342" spans="35:36" x14ac:dyDescent="0.35">
      <c r="AI4342">
        <v>4339</v>
      </c>
      <c r="AJ4342">
        <v>3</v>
      </c>
    </row>
    <row r="4343" spans="35:36" x14ac:dyDescent="0.35">
      <c r="AI4343">
        <v>4340</v>
      </c>
      <c r="AJ4343">
        <v>3</v>
      </c>
    </row>
    <row r="4344" spans="35:36" x14ac:dyDescent="0.35">
      <c r="AI4344">
        <v>4341</v>
      </c>
      <c r="AJ4344">
        <v>3</v>
      </c>
    </row>
    <row r="4345" spans="35:36" x14ac:dyDescent="0.35">
      <c r="AI4345">
        <v>4342</v>
      </c>
      <c r="AJ4345">
        <v>3</v>
      </c>
    </row>
    <row r="4346" spans="35:36" x14ac:dyDescent="0.35">
      <c r="AI4346">
        <v>4343</v>
      </c>
      <c r="AJ4346">
        <v>3</v>
      </c>
    </row>
    <row r="4347" spans="35:36" x14ac:dyDescent="0.35">
      <c r="AI4347">
        <v>4344</v>
      </c>
      <c r="AJ4347">
        <v>3</v>
      </c>
    </row>
    <row r="4348" spans="35:36" x14ac:dyDescent="0.35">
      <c r="AI4348">
        <v>4345</v>
      </c>
      <c r="AJ4348">
        <v>3</v>
      </c>
    </row>
    <row r="4349" spans="35:36" x14ac:dyDescent="0.35">
      <c r="AI4349">
        <v>4346</v>
      </c>
      <c r="AJ4349">
        <v>3</v>
      </c>
    </row>
    <row r="4350" spans="35:36" x14ac:dyDescent="0.35">
      <c r="AI4350">
        <v>4347</v>
      </c>
      <c r="AJ4350">
        <v>3</v>
      </c>
    </row>
    <row r="4351" spans="35:36" x14ac:dyDescent="0.35">
      <c r="AI4351">
        <v>4348</v>
      </c>
      <c r="AJ4351">
        <v>3</v>
      </c>
    </row>
    <row r="4352" spans="35:36" x14ac:dyDescent="0.35">
      <c r="AI4352">
        <v>4349</v>
      </c>
      <c r="AJ4352">
        <v>3</v>
      </c>
    </row>
    <row r="4353" spans="35:36" x14ac:dyDescent="0.35">
      <c r="AI4353">
        <v>4350</v>
      </c>
      <c r="AJ4353">
        <v>3</v>
      </c>
    </row>
    <row r="4354" spans="35:36" x14ac:dyDescent="0.35">
      <c r="AI4354">
        <v>4351</v>
      </c>
      <c r="AJ4354">
        <v>3</v>
      </c>
    </row>
    <row r="4355" spans="35:36" x14ac:dyDescent="0.35">
      <c r="AI4355">
        <v>4352</v>
      </c>
      <c r="AJ4355">
        <v>3</v>
      </c>
    </row>
    <row r="4356" spans="35:36" x14ac:dyDescent="0.35">
      <c r="AI4356">
        <v>4353</v>
      </c>
      <c r="AJ4356">
        <v>3</v>
      </c>
    </row>
    <row r="4357" spans="35:36" x14ac:dyDescent="0.35">
      <c r="AI4357">
        <v>4354</v>
      </c>
      <c r="AJ4357">
        <v>3</v>
      </c>
    </row>
    <row r="4358" spans="35:36" x14ac:dyDescent="0.35">
      <c r="AI4358">
        <v>4355</v>
      </c>
      <c r="AJ4358">
        <v>3</v>
      </c>
    </row>
    <row r="4359" spans="35:36" x14ac:dyDescent="0.35">
      <c r="AI4359">
        <v>4356</v>
      </c>
      <c r="AJ4359">
        <v>3</v>
      </c>
    </row>
    <row r="4360" spans="35:36" x14ac:dyDescent="0.35">
      <c r="AI4360">
        <v>4357</v>
      </c>
      <c r="AJ4360">
        <v>3</v>
      </c>
    </row>
    <row r="4361" spans="35:36" x14ac:dyDescent="0.35">
      <c r="AI4361">
        <v>4358</v>
      </c>
      <c r="AJ4361">
        <v>3</v>
      </c>
    </row>
    <row r="4362" spans="35:36" x14ac:dyDescent="0.35">
      <c r="AI4362">
        <v>4359</v>
      </c>
      <c r="AJ4362">
        <v>3</v>
      </c>
    </row>
    <row r="4363" spans="35:36" x14ac:dyDescent="0.35">
      <c r="AI4363">
        <v>4360</v>
      </c>
      <c r="AJ4363">
        <v>3</v>
      </c>
    </row>
    <row r="4364" spans="35:36" x14ac:dyDescent="0.35">
      <c r="AI4364">
        <v>4361</v>
      </c>
      <c r="AJ4364">
        <v>3</v>
      </c>
    </row>
    <row r="4365" spans="35:36" x14ac:dyDescent="0.35">
      <c r="AI4365">
        <v>4362</v>
      </c>
      <c r="AJ4365">
        <v>3</v>
      </c>
    </row>
    <row r="4366" spans="35:36" x14ac:dyDescent="0.35">
      <c r="AI4366">
        <v>4363</v>
      </c>
      <c r="AJ4366">
        <v>3</v>
      </c>
    </row>
    <row r="4367" spans="35:36" x14ac:dyDescent="0.35">
      <c r="AI4367">
        <v>4364</v>
      </c>
      <c r="AJ4367">
        <v>3</v>
      </c>
    </row>
    <row r="4368" spans="35:36" x14ac:dyDescent="0.35">
      <c r="AI4368">
        <v>4365</v>
      </c>
      <c r="AJ4368">
        <v>3</v>
      </c>
    </row>
    <row r="4369" spans="35:36" x14ac:dyDescent="0.35">
      <c r="AI4369">
        <v>4366</v>
      </c>
      <c r="AJ4369">
        <v>3</v>
      </c>
    </row>
    <row r="4370" spans="35:36" x14ac:dyDescent="0.35">
      <c r="AI4370">
        <v>4367</v>
      </c>
      <c r="AJ4370">
        <v>3</v>
      </c>
    </row>
    <row r="4371" spans="35:36" x14ac:dyDescent="0.35">
      <c r="AI4371">
        <v>4368</v>
      </c>
      <c r="AJ4371">
        <v>3</v>
      </c>
    </row>
    <row r="4372" spans="35:36" x14ac:dyDescent="0.35">
      <c r="AI4372">
        <v>4369</v>
      </c>
      <c r="AJ4372">
        <v>3</v>
      </c>
    </row>
    <row r="4373" spans="35:36" x14ac:dyDescent="0.35">
      <c r="AI4373">
        <v>4370</v>
      </c>
      <c r="AJ4373">
        <v>3</v>
      </c>
    </row>
    <row r="4374" spans="35:36" x14ac:dyDescent="0.35">
      <c r="AI4374">
        <v>4371</v>
      </c>
      <c r="AJ4374">
        <v>3</v>
      </c>
    </row>
    <row r="4375" spans="35:36" x14ac:dyDescent="0.35">
      <c r="AI4375">
        <v>4372</v>
      </c>
      <c r="AJ4375">
        <v>3</v>
      </c>
    </row>
    <row r="4376" spans="35:36" x14ac:dyDescent="0.35">
      <c r="AI4376">
        <v>4373</v>
      </c>
      <c r="AJ4376">
        <v>3</v>
      </c>
    </row>
    <row r="4377" spans="35:36" x14ac:dyDescent="0.35">
      <c r="AI4377">
        <v>4374</v>
      </c>
      <c r="AJ4377">
        <v>3</v>
      </c>
    </row>
    <row r="4378" spans="35:36" x14ac:dyDescent="0.35">
      <c r="AI4378">
        <v>4375</v>
      </c>
      <c r="AJ4378">
        <v>3</v>
      </c>
    </row>
    <row r="4379" spans="35:36" x14ac:dyDescent="0.35">
      <c r="AI4379">
        <v>4376</v>
      </c>
      <c r="AJ4379">
        <v>3</v>
      </c>
    </row>
    <row r="4380" spans="35:36" x14ac:dyDescent="0.35">
      <c r="AI4380">
        <v>4377</v>
      </c>
      <c r="AJ4380">
        <v>3</v>
      </c>
    </row>
    <row r="4381" spans="35:36" x14ac:dyDescent="0.35">
      <c r="AI4381">
        <v>4378</v>
      </c>
      <c r="AJ4381">
        <v>3</v>
      </c>
    </row>
    <row r="4382" spans="35:36" x14ac:dyDescent="0.35">
      <c r="AI4382">
        <v>4379</v>
      </c>
      <c r="AJ4382">
        <v>3</v>
      </c>
    </row>
    <row r="4383" spans="35:36" x14ac:dyDescent="0.35">
      <c r="AI4383">
        <v>4380</v>
      </c>
      <c r="AJ4383">
        <v>3</v>
      </c>
    </row>
    <row r="4384" spans="35:36" x14ac:dyDescent="0.35">
      <c r="AI4384">
        <v>4381</v>
      </c>
      <c r="AJ4384">
        <v>3</v>
      </c>
    </row>
    <row r="4385" spans="35:36" x14ac:dyDescent="0.35">
      <c r="AI4385">
        <v>4382</v>
      </c>
      <c r="AJ4385">
        <v>3</v>
      </c>
    </row>
    <row r="4386" spans="35:36" x14ac:dyDescent="0.35">
      <c r="AI4386">
        <v>4383</v>
      </c>
      <c r="AJ4386">
        <v>3</v>
      </c>
    </row>
    <row r="4387" spans="35:36" x14ac:dyDescent="0.35">
      <c r="AI4387">
        <v>4384</v>
      </c>
      <c r="AJ4387">
        <v>3</v>
      </c>
    </row>
    <row r="4388" spans="35:36" x14ac:dyDescent="0.35">
      <c r="AI4388">
        <v>4385</v>
      </c>
      <c r="AJ4388">
        <v>3</v>
      </c>
    </row>
    <row r="4389" spans="35:36" x14ac:dyDescent="0.35">
      <c r="AI4389">
        <v>4386</v>
      </c>
      <c r="AJ4389">
        <v>3</v>
      </c>
    </row>
    <row r="4390" spans="35:36" x14ac:dyDescent="0.35">
      <c r="AI4390">
        <v>4387</v>
      </c>
      <c r="AJ4390">
        <v>3</v>
      </c>
    </row>
    <row r="4391" spans="35:36" x14ac:dyDescent="0.35">
      <c r="AI4391">
        <v>4388</v>
      </c>
      <c r="AJ4391">
        <v>3</v>
      </c>
    </row>
    <row r="4392" spans="35:36" x14ac:dyDescent="0.35">
      <c r="AI4392">
        <v>4389</v>
      </c>
      <c r="AJ4392">
        <v>3</v>
      </c>
    </row>
    <row r="4393" spans="35:36" x14ac:dyDescent="0.35">
      <c r="AI4393">
        <v>4390</v>
      </c>
      <c r="AJ4393">
        <v>3</v>
      </c>
    </row>
    <row r="4394" spans="35:36" x14ac:dyDescent="0.35">
      <c r="AI4394">
        <v>4391</v>
      </c>
      <c r="AJ4394">
        <v>3</v>
      </c>
    </row>
    <row r="4395" spans="35:36" x14ac:dyDescent="0.35">
      <c r="AI4395">
        <v>4392</v>
      </c>
      <c r="AJ4395">
        <v>3</v>
      </c>
    </row>
    <row r="4396" spans="35:36" x14ac:dyDescent="0.35">
      <c r="AI4396">
        <v>4393</v>
      </c>
      <c r="AJ4396">
        <v>3</v>
      </c>
    </row>
    <row r="4397" spans="35:36" x14ac:dyDescent="0.35">
      <c r="AI4397">
        <v>4394</v>
      </c>
      <c r="AJ4397">
        <v>3</v>
      </c>
    </row>
    <row r="4398" spans="35:36" x14ac:dyDescent="0.35">
      <c r="AI4398">
        <v>4395</v>
      </c>
      <c r="AJ4398">
        <v>3</v>
      </c>
    </row>
    <row r="4399" spans="35:36" x14ac:dyDescent="0.35">
      <c r="AI4399">
        <v>4396</v>
      </c>
      <c r="AJ4399">
        <v>3</v>
      </c>
    </row>
    <row r="4400" spans="35:36" x14ac:dyDescent="0.35">
      <c r="AI4400">
        <v>4397</v>
      </c>
      <c r="AJ4400">
        <v>3</v>
      </c>
    </row>
    <row r="4401" spans="35:36" x14ac:dyDescent="0.35">
      <c r="AI4401">
        <v>4398</v>
      </c>
      <c r="AJ4401">
        <v>3</v>
      </c>
    </row>
    <row r="4402" spans="35:36" x14ac:dyDescent="0.35">
      <c r="AI4402">
        <v>4399</v>
      </c>
      <c r="AJ4402">
        <v>3</v>
      </c>
    </row>
    <row r="4403" spans="35:36" x14ac:dyDescent="0.35">
      <c r="AI4403">
        <v>4400</v>
      </c>
      <c r="AJ4403">
        <v>3</v>
      </c>
    </row>
    <row r="4404" spans="35:36" x14ac:dyDescent="0.35">
      <c r="AI4404">
        <v>4401</v>
      </c>
      <c r="AJ4404">
        <v>3</v>
      </c>
    </row>
    <row r="4405" spans="35:36" x14ac:dyDescent="0.35">
      <c r="AI4405">
        <v>4402</v>
      </c>
      <c r="AJ4405">
        <v>3</v>
      </c>
    </row>
    <row r="4406" spans="35:36" x14ac:dyDescent="0.35">
      <c r="AI4406">
        <v>4403</v>
      </c>
      <c r="AJ4406">
        <v>3</v>
      </c>
    </row>
    <row r="4407" spans="35:36" x14ac:dyDescent="0.35">
      <c r="AI4407">
        <v>4404</v>
      </c>
      <c r="AJ4407">
        <v>3</v>
      </c>
    </row>
    <row r="4408" spans="35:36" x14ac:dyDescent="0.35">
      <c r="AI4408">
        <v>4405</v>
      </c>
      <c r="AJ4408">
        <v>3</v>
      </c>
    </row>
    <row r="4409" spans="35:36" x14ac:dyDescent="0.35">
      <c r="AI4409">
        <v>4406</v>
      </c>
      <c r="AJ4409">
        <v>3</v>
      </c>
    </row>
    <row r="4410" spans="35:36" x14ac:dyDescent="0.35">
      <c r="AI4410">
        <v>4407</v>
      </c>
      <c r="AJ4410">
        <v>3</v>
      </c>
    </row>
    <row r="4411" spans="35:36" x14ac:dyDescent="0.35">
      <c r="AI4411">
        <v>4408</v>
      </c>
      <c r="AJ4411">
        <v>3</v>
      </c>
    </row>
    <row r="4412" spans="35:36" x14ac:dyDescent="0.35">
      <c r="AI4412">
        <v>4409</v>
      </c>
      <c r="AJ4412">
        <v>3</v>
      </c>
    </row>
    <row r="4413" spans="35:36" x14ac:dyDescent="0.35">
      <c r="AI4413">
        <v>4410</v>
      </c>
      <c r="AJ4413">
        <v>3</v>
      </c>
    </row>
    <row r="4414" spans="35:36" x14ac:dyDescent="0.35">
      <c r="AI4414">
        <v>4411</v>
      </c>
      <c r="AJ4414">
        <v>3</v>
      </c>
    </row>
    <row r="4415" spans="35:36" x14ac:dyDescent="0.35">
      <c r="AI4415">
        <v>4412</v>
      </c>
      <c r="AJ4415">
        <v>3</v>
      </c>
    </row>
    <row r="4416" spans="35:36" x14ac:dyDescent="0.35">
      <c r="AI4416">
        <v>4413</v>
      </c>
      <c r="AJ4416">
        <v>3</v>
      </c>
    </row>
    <row r="4417" spans="35:36" x14ac:dyDescent="0.35">
      <c r="AI4417">
        <v>4414</v>
      </c>
      <c r="AJ4417">
        <v>3</v>
      </c>
    </row>
    <row r="4418" spans="35:36" x14ac:dyDescent="0.35">
      <c r="AI4418">
        <v>4415</v>
      </c>
      <c r="AJ4418">
        <v>3</v>
      </c>
    </row>
    <row r="4419" spans="35:36" x14ac:dyDescent="0.35">
      <c r="AI4419">
        <v>4416</v>
      </c>
      <c r="AJ4419">
        <v>3</v>
      </c>
    </row>
    <row r="4420" spans="35:36" x14ac:dyDescent="0.35">
      <c r="AI4420">
        <v>4417</v>
      </c>
      <c r="AJ4420">
        <v>3</v>
      </c>
    </row>
    <row r="4421" spans="35:36" x14ac:dyDescent="0.35">
      <c r="AI4421">
        <v>4418</v>
      </c>
      <c r="AJ4421">
        <v>3</v>
      </c>
    </row>
    <row r="4422" spans="35:36" x14ac:dyDescent="0.35">
      <c r="AI4422">
        <v>4419</v>
      </c>
      <c r="AJ4422">
        <v>3</v>
      </c>
    </row>
    <row r="4423" spans="35:36" x14ac:dyDescent="0.35">
      <c r="AI4423">
        <v>4420</v>
      </c>
      <c r="AJ4423">
        <v>3</v>
      </c>
    </row>
    <row r="4424" spans="35:36" x14ac:dyDescent="0.35">
      <c r="AI4424">
        <v>4421</v>
      </c>
      <c r="AJ4424">
        <v>3</v>
      </c>
    </row>
    <row r="4425" spans="35:36" x14ac:dyDescent="0.35">
      <c r="AI4425">
        <v>4422</v>
      </c>
      <c r="AJ4425">
        <v>3</v>
      </c>
    </row>
    <row r="4426" spans="35:36" x14ac:dyDescent="0.35">
      <c r="AI4426">
        <v>4423</v>
      </c>
      <c r="AJ4426">
        <v>3</v>
      </c>
    </row>
    <row r="4427" spans="35:36" x14ac:dyDescent="0.35">
      <c r="AI4427">
        <v>4424</v>
      </c>
      <c r="AJ4427">
        <v>3</v>
      </c>
    </row>
    <row r="4428" spans="35:36" x14ac:dyDescent="0.35">
      <c r="AI4428">
        <v>4425</v>
      </c>
      <c r="AJ4428">
        <v>3</v>
      </c>
    </row>
    <row r="4429" spans="35:36" x14ac:dyDescent="0.35">
      <c r="AI4429">
        <v>4426</v>
      </c>
      <c r="AJ4429">
        <v>3</v>
      </c>
    </row>
    <row r="4430" spans="35:36" x14ac:dyDescent="0.35">
      <c r="AI4430">
        <v>4427</v>
      </c>
      <c r="AJ4430">
        <v>3</v>
      </c>
    </row>
    <row r="4431" spans="35:36" x14ac:dyDescent="0.35">
      <c r="AI4431">
        <v>4428</v>
      </c>
      <c r="AJ4431">
        <v>3</v>
      </c>
    </row>
    <row r="4432" spans="35:36" x14ac:dyDescent="0.35">
      <c r="AI4432">
        <v>4429</v>
      </c>
      <c r="AJ4432">
        <v>3</v>
      </c>
    </row>
    <row r="4433" spans="35:36" x14ac:dyDescent="0.35">
      <c r="AI4433">
        <v>4430</v>
      </c>
      <c r="AJ4433">
        <v>2</v>
      </c>
    </row>
    <row r="4434" spans="35:36" x14ac:dyDescent="0.35">
      <c r="AI4434">
        <v>4431</v>
      </c>
      <c r="AJ4434">
        <v>2</v>
      </c>
    </row>
    <row r="4435" spans="35:36" x14ac:dyDescent="0.35">
      <c r="AI4435">
        <v>4432</v>
      </c>
      <c r="AJ4435">
        <v>2</v>
      </c>
    </row>
    <row r="4436" spans="35:36" x14ac:dyDescent="0.35">
      <c r="AI4436">
        <v>4433</v>
      </c>
      <c r="AJ4436">
        <v>2</v>
      </c>
    </row>
    <row r="4437" spans="35:36" x14ac:dyDescent="0.35">
      <c r="AI4437">
        <v>4434</v>
      </c>
      <c r="AJ4437">
        <v>2</v>
      </c>
    </row>
    <row r="4438" spans="35:36" x14ac:dyDescent="0.35">
      <c r="AI4438">
        <v>4435</v>
      </c>
      <c r="AJ4438">
        <v>2</v>
      </c>
    </row>
    <row r="4439" spans="35:36" x14ac:dyDescent="0.35">
      <c r="AI4439">
        <v>4436</v>
      </c>
      <c r="AJ4439">
        <v>2</v>
      </c>
    </row>
    <row r="4440" spans="35:36" x14ac:dyDescent="0.35">
      <c r="AI4440">
        <v>4437</v>
      </c>
      <c r="AJ4440">
        <v>2</v>
      </c>
    </row>
    <row r="4441" spans="35:36" x14ac:dyDescent="0.35">
      <c r="AI4441">
        <v>4438</v>
      </c>
      <c r="AJ4441">
        <v>2</v>
      </c>
    </row>
    <row r="4442" spans="35:36" x14ac:dyDescent="0.35">
      <c r="AI4442">
        <v>4439</v>
      </c>
      <c r="AJ4442">
        <v>2</v>
      </c>
    </row>
    <row r="4443" spans="35:36" x14ac:dyDescent="0.35">
      <c r="AI4443">
        <v>4440</v>
      </c>
      <c r="AJ4443">
        <v>2</v>
      </c>
    </row>
    <row r="4444" spans="35:36" x14ac:dyDescent="0.35">
      <c r="AI4444">
        <v>4441</v>
      </c>
      <c r="AJ4444">
        <v>2</v>
      </c>
    </row>
    <row r="4445" spans="35:36" x14ac:dyDescent="0.35">
      <c r="AI4445">
        <v>4442</v>
      </c>
      <c r="AJ4445">
        <v>2</v>
      </c>
    </row>
    <row r="4446" spans="35:36" x14ac:dyDescent="0.35">
      <c r="AI4446">
        <v>4443</v>
      </c>
      <c r="AJ4446">
        <v>2</v>
      </c>
    </row>
    <row r="4447" spans="35:36" x14ac:dyDescent="0.35">
      <c r="AI4447">
        <v>4444</v>
      </c>
      <c r="AJ4447">
        <v>2</v>
      </c>
    </row>
    <row r="4448" spans="35:36" x14ac:dyDescent="0.35">
      <c r="AI4448">
        <v>4445</v>
      </c>
      <c r="AJ4448">
        <v>2</v>
      </c>
    </row>
    <row r="4449" spans="35:36" x14ac:dyDescent="0.35">
      <c r="AI4449">
        <v>4446</v>
      </c>
      <c r="AJ4449">
        <v>2</v>
      </c>
    </row>
    <row r="4450" spans="35:36" x14ac:dyDescent="0.35">
      <c r="AI4450">
        <v>4447</v>
      </c>
      <c r="AJ4450">
        <v>2</v>
      </c>
    </row>
    <row r="4451" spans="35:36" x14ac:dyDescent="0.35">
      <c r="AI4451">
        <v>4448</v>
      </c>
      <c r="AJ4451">
        <v>2</v>
      </c>
    </row>
    <row r="4452" spans="35:36" x14ac:dyDescent="0.35">
      <c r="AI4452">
        <v>4449</v>
      </c>
      <c r="AJ4452">
        <v>2</v>
      </c>
    </row>
    <row r="4453" spans="35:36" x14ac:dyDescent="0.35">
      <c r="AI4453">
        <v>4450</v>
      </c>
      <c r="AJ4453">
        <v>2</v>
      </c>
    </row>
    <row r="4454" spans="35:36" x14ac:dyDescent="0.35">
      <c r="AI4454">
        <v>4451</v>
      </c>
      <c r="AJ4454">
        <v>2</v>
      </c>
    </row>
    <row r="4455" spans="35:36" x14ac:dyDescent="0.35">
      <c r="AI4455">
        <v>4452</v>
      </c>
      <c r="AJ4455">
        <v>2</v>
      </c>
    </row>
    <row r="4456" spans="35:36" x14ac:dyDescent="0.35">
      <c r="AI4456">
        <v>4453</v>
      </c>
      <c r="AJ4456">
        <v>2</v>
      </c>
    </row>
    <row r="4457" spans="35:36" x14ac:dyDescent="0.35">
      <c r="AI4457">
        <v>4454</v>
      </c>
      <c r="AJ4457">
        <v>2</v>
      </c>
    </row>
    <row r="4458" spans="35:36" x14ac:dyDescent="0.35">
      <c r="AI4458">
        <v>4455</v>
      </c>
      <c r="AJ4458">
        <v>2</v>
      </c>
    </row>
    <row r="4459" spans="35:36" x14ac:dyDescent="0.35">
      <c r="AI4459">
        <v>4456</v>
      </c>
      <c r="AJ4459">
        <v>2</v>
      </c>
    </row>
    <row r="4460" spans="35:36" x14ac:dyDescent="0.35">
      <c r="AI4460">
        <v>4457</v>
      </c>
      <c r="AJ4460">
        <v>2</v>
      </c>
    </row>
    <row r="4461" spans="35:36" x14ac:dyDescent="0.35">
      <c r="AI4461">
        <v>4458</v>
      </c>
      <c r="AJ4461">
        <v>2</v>
      </c>
    </row>
    <row r="4462" spans="35:36" x14ac:dyDescent="0.35">
      <c r="AI4462">
        <v>4459</v>
      </c>
      <c r="AJ4462">
        <v>2</v>
      </c>
    </row>
    <row r="4463" spans="35:36" x14ac:dyDescent="0.35">
      <c r="AI4463">
        <v>4460</v>
      </c>
      <c r="AJ4463">
        <v>2</v>
      </c>
    </row>
    <row r="4464" spans="35:36" x14ac:dyDescent="0.35">
      <c r="AI4464">
        <v>4461</v>
      </c>
      <c r="AJ4464">
        <v>2</v>
      </c>
    </row>
    <row r="4465" spans="35:36" x14ac:dyDescent="0.35">
      <c r="AI4465">
        <v>4462</v>
      </c>
      <c r="AJ4465">
        <v>2</v>
      </c>
    </row>
    <row r="4466" spans="35:36" x14ac:dyDescent="0.35">
      <c r="AI4466">
        <v>4463</v>
      </c>
      <c r="AJ4466">
        <v>2</v>
      </c>
    </row>
    <row r="4467" spans="35:36" x14ac:dyDescent="0.35">
      <c r="AI4467">
        <v>4464</v>
      </c>
      <c r="AJ4467">
        <v>2</v>
      </c>
    </row>
    <row r="4468" spans="35:36" x14ac:dyDescent="0.35">
      <c r="AI4468">
        <v>4465</v>
      </c>
      <c r="AJ4468">
        <v>2</v>
      </c>
    </row>
    <row r="4469" spans="35:36" x14ac:dyDescent="0.35">
      <c r="AI4469">
        <v>4466</v>
      </c>
      <c r="AJ4469">
        <v>2</v>
      </c>
    </row>
    <row r="4470" spans="35:36" x14ac:dyDescent="0.35">
      <c r="AI4470">
        <v>4467</v>
      </c>
      <c r="AJ4470">
        <v>2</v>
      </c>
    </row>
    <row r="4471" spans="35:36" x14ac:dyDescent="0.35">
      <c r="AI4471">
        <v>4468</v>
      </c>
      <c r="AJ4471">
        <v>2</v>
      </c>
    </row>
    <row r="4472" spans="35:36" x14ac:dyDescent="0.35">
      <c r="AI4472">
        <v>4469</v>
      </c>
      <c r="AJ4472">
        <v>2</v>
      </c>
    </row>
    <row r="4473" spans="35:36" x14ac:dyDescent="0.35">
      <c r="AI4473">
        <v>4470</v>
      </c>
      <c r="AJ4473">
        <v>2</v>
      </c>
    </row>
    <row r="4474" spans="35:36" x14ac:dyDescent="0.35">
      <c r="AI4474">
        <v>4471</v>
      </c>
      <c r="AJ4474">
        <v>2</v>
      </c>
    </row>
    <row r="4475" spans="35:36" x14ac:dyDescent="0.35">
      <c r="AI4475">
        <v>4472</v>
      </c>
      <c r="AJ4475">
        <v>2</v>
      </c>
    </row>
    <row r="4476" spans="35:36" x14ac:dyDescent="0.35">
      <c r="AI4476">
        <v>4473</v>
      </c>
      <c r="AJ4476">
        <v>2</v>
      </c>
    </row>
    <row r="4477" spans="35:36" x14ac:dyDescent="0.35">
      <c r="AI4477">
        <v>4474</v>
      </c>
      <c r="AJ4477">
        <v>2</v>
      </c>
    </row>
    <row r="4478" spans="35:36" x14ac:dyDescent="0.35">
      <c r="AI4478">
        <v>4475</v>
      </c>
      <c r="AJ4478">
        <v>2</v>
      </c>
    </row>
    <row r="4479" spans="35:36" x14ac:dyDescent="0.35">
      <c r="AI4479">
        <v>4476</v>
      </c>
      <c r="AJ4479">
        <v>2</v>
      </c>
    </row>
    <row r="4480" spans="35:36" x14ac:dyDescent="0.35">
      <c r="AI4480">
        <v>4477</v>
      </c>
      <c r="AJ4480">
        <v>2</v>
      </c>
    </row>
    <row r="4481" spans="35:36" x14ac:dyDescent="0.35">
      <c r="AI4481">
        <v>4478</v>
      </c>
      <c r="AJ4481">
        <v>2</v>
      </c>
    </row>
    <row r="4482" spans="35:36" x14ac:dyDescent="0.35">
      <c r="AI4482">
        <v>4479</v>
      </c>
      <c r="AJ4482">
        <v>2</v>
      </c>
    </row>
    <row r="4483" spans="35:36" x14ac:dyDescent="0.35">
      <c r="AI4483">
        <v>4480</v>
      </c>
      <c r="AJ4483">
        <v>2</v>
      </c>
    </row>
    <row r="4484" spans="35:36" x14ac:dyDescent="0.35">
      <c r="AI4484">
        <v>4481</v>
      </c>
      <c r="AJ4484">
        <v>2</v>
      </c>
    </row>
    <row r="4485" spans="35:36" x14ac:dyDescent="0.35">
      <c r="AI4485">
        <v>4482</v>
      </c>
      <c r="AJ4485">
        <v>2</v>
      </c>
    </row>
    <row r="4486" spans="35:36" x14ac:dyDescent="0.35">
      <c r="AI4486">
        <v>4483</v>
      </c>
      <c r="AJ4486">
        <v>2</v>
      </c>
    </row>
    <row r="4487" spans="35:36" x14ac:dyDescent="0.35">
      <c r="AI4487">
        <v>4484</v>
      </c>
      <c r="AJ4487">
        <v>2</v>
      </c>
    </row>
    <row r="4488" spans="35:36" x14ac:dyDescent="0.35">
      <c r="AI4488">
        <v>4485</v>
      </c>
      <c r="AJ4488">
        <v>2</v>
      </c>
    </row>
    <row r="4489" spans="35:36" x14ac:dyDescent="0.35">
      <c r="AI4489">
        <v>4486</v>
      </c>
      <c r="AJ4489">
        <v>2</v>
      </c>
    </row>
    <row r="4490" spans="35:36" x14ac:dyDescent="0.35">
      <c r="AI4490">
        <v>4487</v>
      </c>
      <c r="AJ4490">
        <v>2</v>
      </c>
    </row>
    <row r="4491" spans="35:36" x14ac:dyDescent="0.35">
      <c r="AI4491">
        <v>4488</v>
      </c>
      <c r="AJ4491">
        <v>2</v>
      </c>
    </row>
    <row r="4492" spans="35:36" x14ac:dyDescent="0.35">
      <c r="AI4492">
        <v>4489</v>
      </c>
      <c r="AJ4492">
        <v>2</v>
      </c>
    </row>
    <row r="4493" spans="35:36" x14ac:dyDescent="0.35">
      <c r="AI4493">
        <v>4490</v>
      </c>
      <c r="AJ4493">
        <v>2</v>
      </c>
    </row>
    <row r="4494" spans="35:36" x14ac:dyDescent="0.35">
      <c r="AI4494">
        <v>4491</v>
      </c>
      <c r="AJ4494">
        <v>2</v>
      </c>
    </row>
    <row r="4495" spans="35:36" x14ac:dyDescent="0.35">
      <c r="AI4495">
        <v>4492</v>
      </c>
      <c r="AJ4495">
        <v>2</v>
      </c>
    </row>
    <row r="4496" spans="35:36" x14ac:dyDescent="0.35">
      <c r="AI4496">
        <v>4493</v>
      </c>
      <c r="AJ4496">
        <v>2</v>
      </c>
    </row>
    <row r="4497" spans="35:36" x14ac:dyDescent="0.35">
      <c r="AI4497">
        <v>4494</v>
      </c>
      <c r="AJ4497">
        <v>2</v>
      </c>
    </row>
    <row r="4498" spans="35:36" x14ac:dyDescent="0.35">
      <c r="AI4498">
        <v>4495</v>
      </c>
      <c r="AJ4498">
        <v>2</v>
      </c>
    </row>
    <row r="4499" spans="35:36" x14ac:dyDescent="0.35">
      <c r="AI4499">
        <v>4496</v>
      </c>
      <c r="AJ4499">
        <v>2</v>
      </c>
    </row>
    <row r="4500" spans="35:36" x14ac:dyDescent="0.35">
      <c r="AI4500">
        <v>4497</v>
      </c>
      <c r="AJ4500">
        <v>2</v>
      </c>
    </row>
    <row r="4501" spans="35:36" x14ac:dyDescent="0.35">
      <c r="AI4501">
        <v>4498</v>
      </c>
      <c r="AJ4501">
        <v>2</v>
      </c>
    </row>
    <row r="4502" spans="35:36" x14ac:dyDescent="0.35">
      <c r="AI4502">
        <v>4499</v>
      </c>
      <c r="AJ4502">
        <v>2</v>
      </c>
    </row>
    <row r="4503" spans="35:36" x14ac:dyDescent="0.35">
      <c r="AI4503">
        <v>4500</v>
      </c>
      <c r="AJ4503">
        <v>2</v>
      </c>
    </row>
    <row r="4504" spans="35:36" x14ac:dyDescent="0.35">
      <c r="AI4504">
        <v>4501</v>
      </c>
      <c r="AJ4504">
        <v>2</v>
      </c>
    </row>
    <row r="4505" spans="35:36" x14ac:dyDescent="0.35">
      <c r="AI4505">
        <v>4502</v>
      </c>
      <c r="AJ4505">
        <v>2</v>
      </c>
    </row>
    <row r="4506" spans="35:36" x14ac:dyDescent="0.35">
      <c r="AI4506">
        <v>4503</v>
      </c>
      <c r="AJ4506">
        <v>2</v>
      </c>
    </row>
    <row r="4507" spans="35:36" x14ac:dyDescent="0.35">
      <c r="AI4507">
        <v>4504</v>
      </c>
      <c r="AJ4507">
        <v>2</v>
      </c>
    </row>
    <row r="4508" spans="35:36" x14ac:dyDescent="0.35">
      <c r="AI4508">
        <v>4505</v>
      </c>
      <c r="AJ4508">
        <v>2</v>
      </c>
    </row>
    <row r="4509" spans="35:36" x14ac:dyDescent="0.35">
      <c r="AI4509">
        <v>4506</v>
      </c>
      <c r="AJ4509">
        <v>2</v>
      </c>
    </row>
    <row r="4510" spans="35:36" x14ac:dyDescent="0.35">
      <c r="AI4510">
        <v>4507</v>
      </c>
      <c r="AJ4510">
        <v>2</v>
      </c>
    </row>
    <row r="4511" spans="35:36" x14ac:dyDescent="0.35">
      <c r="AI4511">
        <v>4508</v>
      </c>
      <c r="AJ4511">
        <v>2</v>
      </c>
    </row>
    <row r="4512" spans="35:36" x14ac:dyDescent="0.35">
      <c r="AI4512">
        <v>4509</v>
      </c>
      <c r="AJ4512">
        <v>2</v>
      </c>
    </row>
    <row r="4513" spans="35:36" x14ac:dyDescent="0.35">
      <c r="AI4513">
        <v>4510</v>
      </c>
      <c r="AJ4513">
        <v>2</v>
      </c>
    </row>
    <row r="4514" spans="35:36" x14ac:dyDescent="0.35">
      <c r="AI4514">
        <v>4511</v>
      </c>
      <c r="AJ4514">
        <v>2</v>
      </c>
    </row>
    <row r="4515" spans="35:36" x14ac:dyDescent="0.35">
      <c r="AI4515">
        <v>4512</v>
      </c>
      <c r="AJ4515">
        <v>2</v>
      </c>
    </row>
    <row r="4516" spans="35:36" x14ac:dyDescent="0.35">
      <c r="AI4516">
        <v>4513</v>
      </c>
      <c r="AJ4516">
        <v>2</v>
      </c>
    </row>
    <row r="4517" spans="35:36" x14ac:dyDescent="0.35">
      <c r="AI4517">
        <v>4514</v>
      </c>
      <c r="AJ4517">
        <v>2</v>
      </c>
    </row>
    <row r="4518" spans="35:36" x14ac:dyDescent="0.35">
      <c r="AI4518">
        <v>4515</v>
      </c>
      <c r="AJ4518">
        <v>2</v>
      </c>
    </row>
    <row r="4519" spans="35:36" x14ac:dyDescent="0.35">
      <c r="AI4519">
        <v>4516</v>
      </c>
      <c r="AJ4519">
        <v>2</v>
      </c>
    </row>
    <row r="4520" spans="35:36" x14ac:dyDescent="0.35">
      <c r="AI4520">
        <v>4517</v>
      </c>
      <c r="AJ4520">
        <v>2</v>
      </c>
    </row>
    <row r="4521" spans="35:36" x14ac:dyDescent="0.35">
      <c r="AI4521">
        <v>4518</v>
      </c>
      <c r="AJ4521">
        <v>2</v>
      </c>
    </row>
    <row r="4522" spans="35:36" x14ac:dyDescent="0.35">
      <c r="AI4522">
        <v>4519</v>
      </c>
      <c r="AJ4522">
        <v>2</v>
      </c>
    </row>
    <row r="4523" spans="35:36" x14ac:dyDescent="0.35">
      <c r="AI4523">
        <v>4520</v>
      </c>
      <c r="AJ4523">
        <v>2</v>
      </c>
    </row>
    <row r="4524" spans="35:36" x14ac:dyDescent="0.35">
      <c r="AI4524">
        <v>4521</v>
      </c>
      <c r="AJ4524">
        <v>2</v>
      </c>
    </row>
    <row r="4525" spans="35:36" x14ac:dyDescent="0.35">
      <c r="AI4525">
        <v>4522</v>
      </c>
      <c r="AJ4525">
        <v>2</v>
      </c>
    </row>
    <row r="4526" spans="35:36" x14ac:dyDescent="0.35">
      <c r="AI4526">
        <v>4523</v>
      </c>
      <c r="AJ4526">
        <v>2</v>
      </c>
    </row>
    <row r="4527" spans="35:36" x14ac:dyDescent="0.35">
      <c r="AI4527">
        <v>4524</v>
      </c>
      <c r="AJ4527">
        <v>2</v>
      </c>
    </row>
    <row r="4528" spans="35:36" x14ac:dyDescent="0.35">
      <c r="AI4528">
        <v>4525</v>
      </c>
      <c r="AJ4528">
        <v>2</v>
      </c>
    </row>
    <row r="4529" spans="35:36" x14ac:dyDescent="0.35">
      <c r="AI4529">
        <v>4526</v>
      </c>
      <c r="AJ4529">
        <v>2</v>
      </c>
    </row>
    <row r="4530" spans="35:36" x14ac:dyDescent="0.35">
      <c r="AI4530">
        <v>4527</v>
      </c>
      <c r="AJ4530">
        <v>2</v>
      </c>
    </row>
    <row r="4531" spans="35:36" x14ac:dyDescent="0.35">
      <c r="AI4531">
        <v>4528</v>
      </c>
      <c r="AJ4531">
        <v>2</v>
      </c>
    </row>
    <row r="4532" spans="35:36" x14ac:dyDescent="0.35">
      <c r="AI4532">
        <v>4529</v>
      </c>
      <c r="AJ4532">
        <v>2</v>
      </c>
    </row>
    <row r="4533" spans="35:36" x14ac:dyDescent="0.35">
      <c r="AI4533">
        <v>4530</v>
      </c>
      <c r="AJ4533">
        <v>2</v>
      </c>
    </row>
    <row r="4534" spans="35:36" x14ac:dyDescent="0.35">
      <c r="AI4534">
        <v>4531</v>
      </c>
      <c r="AJ4534">
        <v>2</v>
      </c>
    </row>
    <row r="4535" spans="35:36" x14ac:dyDescent="0.35">
      <c r="AI4535">
        <v>4532</v>
      </c>
      <c r="AJ4535">
        <v>2</v>
      </c>
    </row>
    <row r="4536" spans="35:36" x14ac:dyDescent="0.35">
      <c r="AI4536">
        <v>4533</v>
      </c>
      <c r="AJ4536">
        <v>2</v>
      </c>
    </row>
    <row r="4537" spans="35:36" x14ac:dyDescent="0.35">
      <c r="AI4537">
        <v>4534</v>
      </c>
      <c r="AJ4537">
        <v>2</v>
      </c>
    </row>
    <row r="4538" spans="35:36" x14ac:dyDescent="0.35">
      <c r="AI4538">
        <v>4535</v>
      </c>
      <c r="AJ4538">
        <v>2</v>
      </c>
    </row>
    <row r="4539" spans="35:36" x14ac:dyDescent="0.35">
      <c r="AI4539">
        <v>4536</v>
      </c>
      <c r="AJ4539">
        <v>2</v>
      </c>
    </row>
    <row r="4540" spans="35:36" x14ac:dyDescent="0.35">
      <c r="AI4540">
        <v>4537</v>
      </c>
      <c r="AJ4540">
        <v>2</v>
      </c>
    </row>
    <row r="4541" spans="35:36" x14ac:dyDescent="0.35">
      <c r="AI4541">
        <v>4538</v>
      </c>
      <c r="AJ4541">
        <v>2</v>
      </c>
    </row>
    <row r="4542" spans="35:36" x14ac:dyDescent="0.35">
      <c r="AI4542">
        <v>4539</v>
      </c>
      <c r="AJ4542">
        <v>2</v>
      </c>
    </row>
    <row r="4543" spans="35:36" x14ac:dyDescent="0.35">
      <c r="AI4543">
        <v>4540</v>
      </c>
      <c r="AJ4543">
        <v>2</v>
      </c>
    </row>
    <row r="4544" spans="35:36" x14ac:dyDescent="0.35">
      <c r="AI4544">
        <v>4541</v>
      </c>
      <c r="AJ4544">
        <v>2</v>
      </c>
    </row>
    <row r="4545" spans="35:36" x14ac:dyDescent="0.35">
      <c r="AI4545">
        <v>4542</v>
      </c>
      <c r="AJ4545">
        <v>2</v>
      </c>
    </row>
    <row r="4546" spans="35:36" x14ac:dyDescent="0.35">
      <c r="AI4546">
        <v>4543</v>
      </c>
      <c r="AJ4546">
        <v>2</v>
      </c>
    </row>
    <row r="4547" spans="35:36" x14ac:dyDescent="0.35">
      <c r="AI4547">
        <v>4544</v>
      </c>
      <c r="AJ4547">
        <v>2</v>
      </c>
    </row>
    <row r="4548" spans="35:36" x14ac:dyDescent="0.35">
      <c r="AI4548">
        <v>4545</v>
      </c>
      <c r="AJ4548">
        <v>2</v>
      </c>
    </row>
    <row r="4549" spans="35:36" x14ac:dyDescent="0.35">
      <c r="AI4549">
        <v>4546</v>
      </c>
      <c r="AJ4549">
        <v>2</v>
      </c>
    </row>
    <row r="4550" spans="35:36" x14ac:dyDescent="0.35">
      <c r="AI4550">
        <v>4547</v>
      </c>
      <c r="AJ4550">
        <v>2</v>
      </c>
    </row>
    <row r="4551" spans="35:36" x14ac:dyDescent="0.35">
      <c r="AI4551">
        <v>4548</v>
      </c>
      <c r="AJ4551">
        <v>2</v>
      </c>
    </row>
    <row r="4552" spans="35:36" x14ac:dyDescent="0.35">
      <c r="AI4552">
        <v>4549</v>
      </c>
      <c r="AJ4552">
        <v>2</v>
      </c>
    </row>
    <row r="4553" spans="35:36" x14ac:dyDescent="0.35">
      <c r="AI4553">
        <v>4550</v>
      </c>
      <c r="AJ4553">
        <v>2</v>
      </c>
    </row>
    <row r="4554" spans="35:36" x14ac:dyDescent="0.35">
      <c r="AI4554">
        <v>4551</v>
      </c>
      <c r="AJ4554">
        <v>2</v>
      </c>
    </row>
    <row r="4555" spans="35:36" x14ac:dyDescent="0.35">
      <c r="AI4555">
        <v>4552</v>
      </c>
      <c r="AJ4555">
        <v>2</v>
      </c>
    </row>
    <row r="4556" spans="35:36" x14ac:dyDescent="0.35">
      <c r="AI4556">
        <v>4553</v>
      </c>
      <c r="AJ4556">
        <v>2</v>
      </c>
    </row>
    <row r="4557" spans="35:36" x14ac:dyDescent="0.35">
      <c r="AI4557">
        <v>4554</v>
      </c>
      <c r="AJ4557">
        <v>2</v>
      </c>
    </row>
    <row r="4558" spans="35:36" x14ac:dyDescent="0.35">
      <c r="AI4558">
        <v>4555</v>
      </c>
      <c r="AJ4558">
        <v>2</v>
      </c>
    </row>
    <row r="4559" spans="35:36" x14ac:dyDescent="0.35">
      <c r="AI4559">
        <v>4556</v>
      </c>
      <c r="AJ4559">
        <v>2</v>
      </c>
    </row>
    <row r="4560" spans="35:36" x14ac:dyDescent="0.35">
      <c r="AI4560">
        <v>4557</v>
      </c>
      <c r="AJ4560">
        <v>2</v>
      </c>
    </row>
    <row r="4561" spans="35:36" x14ac:dyDescent="0.35">
      <c r="AI4561">
        <v>4558</v>
      </c>
      <c r="AJ4561">
        <v>2</v>
      </c>
    </row>
    <row r="4562" spans="35:36" x14ac:dyDescent="0.35">
      <c r="AI4562">
        <v>4559</v>
      </c>
      <c r="AJ4562">
        <v>2</v>
      </c>
    </row>
    <row r="4563" spans="35:36" x14ac:dyDescent="0.35">
      <c r="AI4563">
        <v>4560</v>
      </c>
      <c r="AJ4563">
        <v>2</v>
      </c>
    </row>
    <row r="4564" spans="35:36" x14ac:dyDescent="0.35">
      <c r="AI4564">
        <v>4561</v>
      </c>
      <c r="AJ4564">
        <v>2</v>
      </c>
    </row>
    <row r="4565" spans="35:36" x14ac:dyDescent="0.35">
      <c r="AI4565">
        <v>4562</v>
      </c>
      <c r="AJ4565">
        <v>2</v>
      </c>
    </row>
    <row r="4566" spans="35:36" x14ac:dyDescent="0.35">
      <c r="AI4566">
        <v>4563</v>
      </c>
      <c r="AJ4566">
        <v>2</v>
      </c>
    </row>
    <row r="4567" spans="35:36" x14ac:dyDescent="0.35">
      <c r="AI4567">
        <v>4564</v>
      </c>
      <c r="AJ4567">
        <v>2</v>
      </c>
    </row>
    <row r="4568" spans="35:36" x14ac:dyDescent="0.35">
      <c r="AI4568">
        <v>4565</v>
      </c>
      <c r="AJ4568">
        <v>2</v>
      </c>
    </row>
    <row r="4569" spans="35:36" x14ac:dyDescent="0.35">
      <c r="AI4569">
        <v>4566</v>
      </c>
      <c r="AJ4569">
        <v>2</v>
      </c>
    </row>
    <row r="4570" spans="35:36" x14ac:dyDescent="0.35">
      <c r="AI4570">
        <v>4567</v>
      </c>
      <c r="AJ4570">
        <v>2</v>
      </c>
    </row>
    <row r="4571" spans="35:36" x14ac:dyDescent="0.35">
      <c r="AI4571">
        <v>4568</v>
      </c>
      <c r="AJ4571">
        <v>2</v>
      </c>
    </row>
    <row r="4572" spans="35:36" x14ac:dyDescent="0.35">
      <c r="AI4572">
        <v>4569</v>
      </c>
      <c r="AJ4572">
        <v>2</v>
      </c>
    </row>
    <row r="4573" spans="35:36" x14ac:dyDescent="0.35">
      <c r="AI4573">
        <v>4570</v>
      </c>
      <c r="AJ4573">
        <v>2</v>
      </c>
    </row>
    <row r="4574" spans="35:36" x14ac:dyDescent="0.35">
      <c r="AI4574">
        <v>4571</v>
      </c>
      <c r="AJ4574">
        <v>2</v>
      </c>
    </row>
    <row r="4575" spans="35:36" x14ac:dyDescent="0.35">
      <c r="AI4575">
        <v>4572</v>
      </c>
      <c r="AJ4575">
        <v>2</v>
      </c>
    </row>
    <row r="4576" spans="35:36" x14ac:dyDescent="0.35">
      <c r="AI4576">
        <v>4573</v>
      </c>
      <c r="AJ4576">
        <v>2</v>
      </c>
    </row>
    <row r="4577" spans="35:36" x14ac:dyDescent="0.35">
      <c r="AI4577">
        <v>4574</v>
      </c>
      <c r="AJ4577">
        <v>2</v>
      </c>
    </row>
    <row r="4578" spans="35:36" x14ac:dyDescent="0.35">
      <c r="AI4578">
        <v>4575</v>
      </c>
      <c r="AJ4578">
        <v>2</v>
      </c>
    </row>
    <row r="4579" spans="35:36" x14ac:dyDescent="0.35">
      <c r="AI4579">
        <v>4576</v>
      </c>
      <c r="AJ4579">
        <v>2</v>
      </c>
    </row>
    <row r="4580" spans="35:36" x14ac:dyDescent="0.35">
      <c r="AI4580">
        <v>4577</v>
      </c>
      <c r="AJ4580">
        <v>2</v>
      </c>
    </row>
    <row r="4581" spans="35:36" x14ac:dyDescent="0.35">
      <c r="AI4581">
        <v>4578</v>
      </c>
      <c r="AJ4581">
        <v>2</v>
      </c>
    </row>
    <row r="4582" spans="35:36" x14ac:dyDescent="0.35">
      <c r="AI4582">
        <v>4579</v>
      </c>
      <c r="AJ4582">
        <v>2</v>
      </c>
    </row>
    <row r="4583" spans="35:36" x14ac:dyDescent="0.35">
      <c r="AI4583">
        <v>4580</v>
      </c>
      <c r="AJ4583">
        <v>2</v>
      </c>
    </row>
    <row r="4584" spans="35:36" x14ac:dyDescent="0.35">
      <c r="AI4584">
        <v>4581</v>
      </c>
      <c r="AJ4584">
        <v>2</v>
      </c>
    </row>
    <row r="4585" spans="35:36" x14ac:dyDescent="0.35">
      <c r="AI4585">
        <v>4582</v>
      </c>
      <c r="AJ4585">
        <v>2</v>
      </c>
    </row>
    <row r="4586" spans="35:36" x14ac:dyDescent="0.35">
      <c r="AI4586">
        <v>4583</v>
      </c>
      <c r="AJ4586">
        <v>2</v>
      </c>
    </row>
    <row r="4587" spans="35:36" x14ac:dyDescent="0.35">
      <c r="AI4587">
        <v>4584</v>
      </c>
      <c r="AJ4587">
        <v>2</v>
      </c>
    </row>
    <row r="4588" spans="35:36" x14ac:dyDescent="0.35">
      <c r="AI4588">
        <v>4585</v>
      </c>
      <c r="AJ4588">
        <v>1</v>
      </c>
    </row>
    <row r="4589" spans="35:36" x14ac:dyDescent="0.35">
      <c r="AI4589">
        <v>4586</v>
      </c>
      <c r="AJ4589">
        <v>1</v>
      </c>
    </row>
    <row r="4590" spans="35:36" x14ac:dyDescent="0.35">
      <c r="AI4590">
        <v>4587</v>
      </c>
      <c r="AJ4590">
        <v>1</v>
      </c>
    </row>
    <row r="4591" spans="35:36" x14ac:dyDescent="0.35">
      <c r="AI4591">
        <v>4588</v>
      </c>
      <c r="AJ4591">
        <v>1</v>
      </c>
    </row>
    <row r="4592" spans="35:36" x14ac:dyDescent="0.35">
      <c r="AI4592">
        <v>4589</v>
      </c>
      <c r="AJ4592">
        <v>1</v>
      </c>
    </row>
    <row r="4593" spans="35:36" x14ac:dyDescent="0.35">
      <c r="AI4593">
        <v>4590</v>
      </c>
      <c r="AJ4593">
        <v>1</v>
      </c>
    </row>
    <row r="4594" spans="35:36" x14ac:dyDescent="0.35">
      <c r="AI4594">
        <v>4591</v>
      </c>
      <c r="AJ4594">
        <v>1</v>
      </c>
    </row>
    <row r="4595" spans="35:36" x14ac:dyDescent="0.35">
      <c r="AI4595">
        <v>4592</v>
      </c>
      <c r="AJ4595">
        <v>1</v>
      </c>
    </row>
    <row r="4596" spans="35:36" x14ac:dyDescent="0.35">
      <c r="AI4596">
        <v>4593</v>
      </c>
      <c r="AJ4596">
        <v>1</v>
      </c>
    </row>
    <row r="4597" spans="35:36" x14ac:dyDescent="0.35">
      <c r="AI4597">
        <v>4594</v>
      </c>
      <c r="AJ4597">
        <v>1</v>
      </c>
    </row>
    <row r="4598" spans="35:36" x14ac:dyDescent="0.35">
      <c r="AI4598">
        <v>4595</v>
      </c>
      <c r="AJ4598">
        <v>1</v>
      </c>
    </row>
    <row r="4599" spans="35:36" x14ac:dyDescent="0.35">
      <c r="AI4599">
        <v>4596</v>
      </c>
      <c r="AJ4599">
        <v>1</v>
      </c>
    </row>
    <row r="4600" spans="35:36" x14ac:dyDescent="0.35">
      <c r="AI4600">
        <v>4597</v>
      </c>
      <c r="AJ4600">
        <v>1</v>
      </c>
    </row>
    <row r="4601" spans="35:36" x14ac:dyDescent="0.35">
      <c r="AI4601">
        <v>4598</v>
      </c>
      <c r="AJ4601">
        <v>1</v>
      </c>
    </row>
    <row r="4602" spans="35:36" x14ac:dyDescent="0.35">
      <c r="AI4602">
        <v>4599</v>
      </c>
      <c r="AJ4602">
        <v>1</v>
      </c>
    </row>
    <row r="4603" spans="35:36" x14ac:dyDescent="0.35">
      <c r="AI4603">
        <v>4600</v>
      </c>
      <c r="AJ4603">
        <v>1</v>
      </c>
    </row>
    <row r="4604" spans="35:36" x14ac:dyDescent="0.35">
      <c r="AI4604">
        <v>4601</v>
      </c>
      <c r="AJ4604">
        <v>1</v>
      </c>
    </row>
    <row r="4605" spans="35:36" x14ac:dyDescent="0.35">
      <c r="AI4605">
        <v>4602</v>
      </c>
      <c r="AJ4605">
        <v>1</v>
      </c>
    </row>
    <row r="4606" spans="35:36" x14ac:dyDescent="0.35">
      <c r="AI4606">
        <v>4603</v>
      </c>
      <c r="AJ4606">
        <v>1</v>
      </c>
    </row>
    <row r="4607" spans="35:36" x14ac:dyDescent="0.35">
      <c r="AI4607">
        <v>4604</v>
      </c>
      <c r="AJ4607">
        <v>1</v>
      </c>
    </row>
    <row r="4608" spans="35:36" x14ac:dyDescent="0.35">
      <c r="AI4608">
        <v>4605</v>
      </c>
      <c r="AJ4608">
        <v>1</v>
      </c>
    </row>
    <row r="4609" spans="35:36" x14ac:dyDescent="0.35">
      <c r="AI4609">
        <v>4606</v>
      </c>
      <c r="AJ4609">
        <v>1</v>
      </c>
    </row>
    <row r="4610" spans="35:36" x14ac:dyDescent="0.35">
      <c r="AI4610">
        <v>4607</v>
      </c>
      <c r="AJ4610">
        <v>1</v>
      </c>
    </row>
    <row r="4611" spans="35:36" x14ac:dyDescent="0.35">
      <c r="AI4611">
        <v>4608</v>
      </c>
      <c r="AJ4611">
        <v>1</v>
      </c>
    </row>
    <row r="4612" spans="35:36" x14ac:dyDescent="0.35">
      <c r="AI4612">
        <v>4609</v>
      </c>
      <c r="AJ4612">
        <v>1</v>
      </c>
    </row>
    <row r="4613" spans="35:36" x14ac:dyDescent="0.35">
      <c r="AI4613">
        <v>4610</v>
      </c>
      <c r="AJ4613">
        <v>1</v>
      </c>
    </row>
    <row r="4614" spans="35:36" x14ac:dyDescent="0.35">
      <c r="AI4614">
        <v>4611</v>
      </c>
      <c r="AJ4614">
        <v>1</v>
      </c>
    </row>
    <row r="4615" spans="35:36" x14ac:dyDescent="0.35">
      <c r="AI4615">
        <v>4612</v>
      </c>
      <c r="AJ4615">
        <v>1</v>
      </c>
    </row>
    <row r="4616" spans="35:36" x14ac:dyDescent="0.35">
      <c r="AI4616">
        <v>4613</v>
      </c>
      <c r="AJ4616">
        <v>1</v>
      </c>
    </row>
    <row r="4617" spans="35:36" x14ac:dyDescent="0.35">
      <c r="AI4617">
        <v>4614</v>
      </c>
      <c r="AJ4617">
        <v>1</v>
      </c>
    </row>
    <row r="4618" spans="35:36" x14ac:dyDescent="0.35">
      <c r="AI4618">
        <v>4615</v>
      </c>
      <c r="AJ4618">
        <v>1</v>
      </c>
    </row>
    <row r="4619" spans="35:36" x14ac:dyDescent="0.35">
      <c r="AI4619">
        <v>4616</v>
      </c>
      <c r="AJ4619">
        <v>1</v>
      </c>
    </row>
    <row r="4620" spans="35:36" x14ac:dyDescent="0.35">
      <c r="AI4620">
        <v>4617</v>
      </c>
      <c r="AJ4620">
        <v>1</v>
      </c>
    </row>
    <row r="4621" spans="35:36" x14ac:dyDescent="0.35">
      <c r="AI4621">
        <v>4618</v>
      </c>
      <c r="AJ4621">
        <v>1</v>
      </c>
    </row>
    <row r="4622" spans="35:36" x14ac:dyDescent="0.35">
      <c r="AI4622">
        <v>4619</v>
      </c>
      <c r="AJ4622">
        <v>1</v>
      </c>
    </row>
    <row r="4623" spans="35:36" x14ac:dyDescent="0.35">
      <c r="AI4623">
        <v>4620</v>
      </c>
      <c r="AJ4623">
        <v>1</v>
      </c>
    </row>
    <row r="4624" spans="35:36" x14ac:dyDescent="0.35">
      <c r="AI4624">
        <v>4621</v>
      </c>
      <c r="AJ4624">
        <v>1</v>
      </c>
    </row>
    <row r="4625" spans="35:36" x14ac:dyDescent="0.35">
      <c r="AI4625">
        <v>4622</v>
      </c>
      <c r="AJ4625">
        <v>1</v>
      </c>
    </row>
    <row r="4626" spans="35:36" x14ac:dyDescent="0.35">
      <c r="AI4626">
        <v>4623</v>
      </c>
      <c r="AJ4626">
        <v>1</v>
      </c>
    </row>
    <row r="4627" spans="35:36" x14ac:dyDescent="0.35">
      <c r="AI4627">
        <v>4624</v>
      </c>
      <c r="AJ4627">
        <v>1</v>
      </c>
    </row>
    <row r="4628" spans="35:36" x14ac:dyDescent="0.35">
      <c r="AI4628">
        <v>4625</v>
      </c>
      <c r="AJ4628">
        <v>1</v>
      </c>
    </row>
    <row r="4629" spans="35:36" x14ac:dyDescent="0.35">
      <c r="AI4629">
        <v>4626</v>
      </c>
      <c r="AJ4629">
        <v>1</v>
      </c>
    </row>
    <row r="4630" spans="35:36" x14ac:dyDescent="0.35">
      <c r="AI4630">
        <v>4627</v>
      </c>
      <c r="AJ4630">
        <v>1</v>
      </c>
    </row>
    <row r="4631" spans="35:36" x14ac:dyDescent="0.35">
      <c r="AI4631">
        <v>4628</v>
      </c>
      <c r="AJ4631">
        <v>1</v>
      </c>
    </row>
    <row r="4632" spans="35:36" x14ac:dyDescent="0.35">
      <c r="AI4632">
        <v>4629</v>
      </c>
      <c r="AJ4632">
        <v>1</v>
      </c>
    </row>
    <row r="4633" spans="35:36" x14ac:dyDescent="0.35">
      <c r="AI4633">
        <v>4630</v>
      </c>
      <c r="AJ4633">
        <v>1</v>
      </c>
    </row>
    <row r="4634" spans="35:36" x14ac:dyDescent="0.35">
      <c r="AI4634">
        <v>4631</v>
      </c>
      <c r="AJ4634">
        <v>1</v>
      </c>
    </row>
    <row r="4635" spans="35:36" x14ac:dyDescent="0.35">
      <c r="AI4635">
        <v>4632</v>
      </c>
      <c r="AJ4635">
        <v>1</v>
      </c>
    </row>
    <row r="4636" spans="35:36" x14ac:dyDescent="0.35">
      <c r="AI4636">
        <v>4633</v>
      </c>
      <c r="AJ4636">
        <v>1</v>
      </c>
    </row>
    <row r="4637" spans="35:36" x14ac:dyDescent="0.35">
      <c r="AI4637">
        <v>4634</v>
      </c>
      <c r="AJ4637">
        <v>1</v>
      </c>
    </row>
    <row r="4638" spans="35:36" x14ac:dyDescent="0.35">
      <c r="AI4638">
        <v>4635</v>
      </c>
      <c r="AJ4638">
        <v>1</v>
      </c>
    </row>
    <row r="4639" spans="35:36" x14ac:dyDescent="0.35">
      <c r="AI4639">
        <v>4636</v>
      </c>
      <c r="AJ4639">
        <v>1</v>
      </c>
    </row>
    <row r="4640" spans="35:36" x14ac:dyDescent="0.35">
      <c r="AI4640">
        <v>4637</v>
      </c>
      <c r="AJ4640">
        <v>1</v>
      </c>
    </row>
    <row r="4641" spans="35:36" x14ac:dyDescent="0.35">
      <c r="AI4641">
        <v>4638</v>
      </c>
      <c r="AJ4641">
        <v>1</v>
      </c>
    </row>
    <row r="4642" spans="35:36" x14ac:dyDescent="0.35">
      <c r="AI4642">
        <v>4639</v>
      </c>
      <c r="AJ4642">
        <v>1</v>
      </c>
    </row>
    <row r="4643" spans="35:36" x14ac:dyDescent="0.35">
      <c r="AI4643">
        <v>4640</v>
      </c>
      <c r="AJ4643">
        <v>1</v>
      </c>
    </row>
    <row r="4644" spans="35:36" x14ac:dyDescent="0.35">
      <c r="AI4644">
        <v>4641</v>
      </c>
      <c r="AJ4644">
        <v>1</v>
      </c>
    </row>
    <row r="4645" spans="35:36" x14ac:dyDescent="0.35">
      <c r="AI4645">
        <v>4642</v>
      </c>
      <c r="AJ4645">
        <v>1</v>
      </c>
    </row>
    <row r="4646" spans="35:36" x14ac:dyDescent="0.35">
      <c r="AI4646">
        <v>4643</v>
      </c>
      <c r="AJ4646">
        <v>1</v>
      </c>
    </row>
    <row r="4647" spans="35:36" x14ac:dyDescent="0.35">
      <c r="AI4647">
        <v>4644</v>
      </c>
      <c r="AJ4647">
        <v>1</v>
      </c>
    </row>
    <row r="4648" spans="35:36" x14ac:dyDescent="0.35">
      <c r="AI4648">
        <v>4645</v>
      </c>
      <c r="AJ4648">
        <v>1</v>
      </c>
    </row>
    <row r="4649" spans="35:36" x14ac:dyDescent="0.35">
      <c r="AI4649">
        <v>4646</v>
      </c>
      <c r="AJ4649">
        <v>1</v>
      </c>
    </row>
    <row r="4650" spans="35:36" x14ac:dyDescent="0.35">
      <c r="AI4650">
        <v>4647</v>
      </c>
      <c r="AJ4650">
        <v>1</v>
      </c>
    </row>
    <row r="4651" spans="35:36" x14ac:dyDescent="0.35">
      <c r="AI4651">
        <v>4648</v>
      </c>
      <c r="AJ4651">
        <v>1</v>
      </c>
    </row>
    <row r="4652" spans="35:36" x14ac:dyDescent="0.35">
      <c r="AI4652">
        <v>4649</v>
      </c>
      <c r="AJ4652">
        <v>1</v>
      </c>
    </row>
    <row r="4653" spans="35:36" x14ac:dyDescent="0.35">
      <c r="AI4653">
        <v>4650</v>
      </c>
      <c r="AJ4653">
        <v>1</v>
      </c>
    </row>
    <row r="4654" spans="35:36" x14ac:dyDescent="0.35">
      <c r="AI4654">
        <v>4651</v>
      </c>
      <c r="AJ4654">
        <v>1</v>
      </c>
    </row>
    <row r="4655" spans="35:36" x14ac:dyDescent="0.35">
      <c r="AI4655">
        <v>4652</v>
      </c>
      <c r="AJ4655">
        <v>1</v>
      </c>
    </row>
    <row r="4656" spans="35:36" x14ac:dyDescent="0.35">
      <c r="AI4656">
        <v>4653</v>
      </c>
      <c r="AJ4656">
        <v>1</v>
      </c>
    </row>
    <row r="4657" spans="35:36" x14ac:dyDescent="0.35">
      <c r="AI4657">
        <v>4654</v>
      </c>
      <c r="AJ4657">
        <v>1</v>
      </c>
    </row>
    <row r="4658" spans="35:36" x14ac:dyDescent="0.35">
      <c r="AI4658">
        <v>4655</v>
      </c>
      <c r="AJ4658">
        <v>1</v>
      </c>
    </row>
    <row r="4659" spans="35:36" x14ac:dyDescent="0.35">
      <c r="AI4659">
        <v>4656</v>
      </c>
      <c r="AJ4659">
        <v>1</v>
      </c>
    </row>
    <row r="4660" spans="35:36" x14ac:dyDescent="0.35">
      <c r="AI4660">
        <v>4657</v>
      </c>
      <c r="AJ4660">
        <v>1</v>
      </c>
    </row>
    <row r="4661" spans="35:36" x14ac:dyDescent="0.35">
      <c r="AI4661">
        <v>4658</v>
      </c>
      <c r="AJ4661">
        <v>1</v>
      </c>
    </row>
    <row r="4662" spans="35:36" x14ac:dyDescent="0.35">
      <c r="AI4662">
        <v>4659</v>
      </c>
      <c r="AJ4662">
        <v>1</v>
      </c>
    </row>
    <row r="4663" spans="35:36" x14ac:dyDescent="0.35">
      <c r="AI4663">
        <v>4660</v>
      </c>
      <c r="AJ4663">
        <v>1</v>
      </c>
    </row>
    <row r="4664" spans="35:36" x14ac:dyDescent="0.35">
      <c r="AI4664">
        <v>4661</v>
      </c>
      <c r="AJ4664">
        <v>1</v>
      </c>
    </row>
    <row r="4665" spans="35:36" x14ac:dyDescent="0.35">
      <c r="AI4665">
        <v>4662</v>
      </c>
      <c r="AJ4665">
        <v>1</v>
      </c>
    </row>
    <row r="4666" spans="35:36" x14ac:dyDescent="0.35">
      <c r="AI4666">
        <v>4663</v>
      </c>
      <c r="AJ4666">
        <v>1</v>
      </c>
    </row>
    <row r="4667" spans="35:36" x14ac:dyDescent="0.35">
      <c r="AI4667">
        <v>4664</v>
      </c>
      <c r="AJ4667">
        <v>1</v>
      </c>
    </row>
    <row r="4668" spans="35:36" x14ac:dyDescent="0.35">
      <c r="AI4668">
        <v>4665</v>
      </c>
      <c r="AJ4668">
        <v>1</v>
      </c>
    </row>
    <row r="4669" spans="35:36" x14ac:dyDescent="0.35">
      <c r="AI4669">
        <v>4666</v>
      </c>
      <c r="AJ4669">
        <v>1</v>
      </c>
    </row>
    <row r="4670" spans="35:36" x14ac:dyDescent="0.35">
      <c r="AI4670">
        <v>4667</v>
      </c>
      <c r="AJ4670">
        <v>1</v>
      </c>
    </row>
    <row r="4671" spans="35:36" x14ac:dyDescent="0.35">
      <c r="AI4671">
        <v>4668</v>
      </c>
      <c r="AJ4671">
        <v>1</v>
      </c>
    </row>
    <row r="4672" spans="35:36" x14ac:dyDescent="0.35">
      <c r="AI4672">
        <v>4669</v>
      </c>
      <c r="AJ4672">
        <v>1</v>
      </c>
    </row>
    <row r="4673" spans="35:36" x14ac:dyDescent="0.35">
      <c r="AI4673">
        <v>4670</v>
      </c>
      <c r="AJ4673">
        <v>1</v>
      </c>
    </row>
    <row r="4674" spans="35:36" x14ac:dyDescent="0.35">
      <c r="AI4674">
        <v>4671</v>
      </c>
      <c r="AJ4674">
        <v>1</v>
      </c>
    </row>
    <row r="4675" spans="35:36" x14ac:dyDescent="0.35">
      <c r="AI4675">
        <v>4672</v>
      </c>
      <c r="AJ4675">
        <v>1</v>
      </c>
    </row>
    <row r="4676" spans="35:36" x14ac:dyDescent="0.35">
      <c r="AI4676">
        <v>4673</v>
      </c>
      <c r="AJ4676">
        <v>1</v>
      </c>
    </row>
    <row r="4677" spans="35:36" x14ac:dyDescent="0.35">
      <c r="AI4677">
        <v>4674</v>
      </c>
      <c r="AJ4677">
        <v>1</v>
      </c>
    </row>
    <row r="4678" spans="35:36" x14ac:dyDescent="0.35">
      <c r="AI4678">
        <v>4675</v>
      </c>
      <c r="AJ4678">
        <v>1</v>
      </c>
    </row>
    <row r="4679" spans="35:36" x14ac:dyDescent="0.35">
      <c r="AI4679">
        <v>4676</v>
      </c>
      <c r="AJ4679">
        <v>1</v>
      </c>
    </row>
    <row r="4680" spans="35:36" x14ac:dyDescent="0.35">
      <c r="AI4680">
        <v>4677</v>
      </c>
      <c r="AJ4680">
        <v>1</v>
      </c>
    </row>
    <row r="4681" spans="35:36" x14ac:dyDescent="0.35">
      <c r="AI4681">
        <v>4678</v>
      </c>
      <c r="AJ4681">
        <v>1</v>
      </c>
    </row>
    <row r="4682" spans="35:36" x14ac:dyDescent="0.35">
      <c r="AI4682">
        <v>4679</v>
      </c>
      <c r="AJ4682">
        <v>1</v>
      </c>
    </row>
    <row r="4683" spans="35:36" x14ac:dyDescent="0.35">
      <c r="AI4683">
        <v>4680</v>
      </c>
      <c r="AJ4683">
        <v>1</v>
      </c>
    </row>
    <row r="4684" spans="35:36" x14ac:dyDescent="0.35">
      <c r="AI4684">
        <v>4681</v>
      </c>
      <c r="AJ4684">
        <v>1</v>
      </c>
    </row>
    <row r="4685" spans="35:36" x14ac:dyDescent="0.35">
      <c r="AI4685">
        <v>4682</v>
      </c>
      <c r="AJ4685">
        <v>1</v>
      </c>
    </row>
    <row r="4686" spans="35:36" x14ac:dyDescent="0.35">
      <c r="AI4686">
        <v>4683</v>
      </c>
      <c r="AJ4686">
        <v>1</v>
      </c>
    </row>
    <row r="4687" spans="35:36" x14ac:dyDescent="0.35">
      <c r="AI4687">
        <v>4684</v>
      </c>
      <c r="AJ4687">
        <v>1</v>
      </c>
    </row>
    <row r="4688" spans="35:36" x14ac:dyDescent="0.35">
      <c r="AI4688">
        <v>4685</v>
      </c>
      <c r="AJ4688">
        <v>1</v>
      </c>
    </row>
    <row r="4689" spans="35:36" x14ac:dyDescent="0.35">
      <c r="AI4689">
        <v>4686</v>
      </c>
      <c r="AJ4689">
        <v>1</v>
      </c>
    </row>
    <row r="4690" spans="35:36" x14ac:dyDescent="0.35">
      <c r="AI4690">
        <v>4687</v>
      </c>
      <c r="AJ4690">
        <v>1</v>
      </c>
    </row>
    <row r="4691" spans="35:36" x14ac:dyDescent="0.35">
      <c r="AI4691">
        <v>4688</v>
      </c>
      <c r="AJ4691">
        <v>1</v>
      </c>
    </row>
    <row r="4692" spans="35:36" x14ac:dyDescent="0.35">
      <c r="AI4692">
        <v>4689</v>
      </c>
      <c r="AJ4692">
        <v>1</v>
      </c>
    </row>
    <row r="4693" spans="35:36" x14ac:dyDescent="0.35">
      <c r="AI4693">
        <v>4690</v>
      </c>
      <c r="AJ4693">
        <v>1</v>
      </c>
    </row>
    <row r="4694" spans="35:36" x14ac:dyDescent="0.35">
      <c r="AI4694">
        <v>4691</v>
      </c>
      <c r="AJ4694">
        <v>1</v>
      </c>
    </row>
    <row r="4695" spans="35:36" x14ac:dyDescent="0.35">
      <c r="AI4695">
        <v>4692</v>
      </c>
      <c r="AJ4695">
        <v>1</v>
      </c>
    </row>
    <row r="4696" spans="35:36" x14ac:dyDescent="0.35">
      <c r="AI4696">
        <v>4693</v>
      </c>
      <c r="AJ4696">
        <v>1</v>
      </c>
    </row>
    <row r="4697" spans="35:36" x14ac:dyDescent="0.35">
      <c r="AI4697">
        <v>4694</v>
      </c>
      <c r="AJ4697">
        <v>1</v>
      </c>
    </row>
    <row r="4698" spans="35:36" x14ac:dyDescent="0.35">
      <c r="AI4698">
        <v>4695</v>
      </c>
      <c r="AJ4698">
        <v>1</v>
      </c>
    </row>
    <row r="4699" spans="35:36" x14ac:dyDescent="0.35">
      <c r="AI4699">
        <v>4696</v>
      </c>
      <c r="AJ4699">
        <v>1</v>
      </c>
    </row>
    <row r="4700" spans="35:36" x14ac:dyDescent="0.35">
      <c r="AI4700">
        <v>4697</v>
      </c>
      <c r="AJ4700">
        <v>1</v>
      </c>
    </row>
    <row r="4701" spans="35:36" x14ac:dyDescent="0.35">
      <c r="AI4701">
        <v>4698</v>
      </c>
      <c r="AJ4701">
        <v>1</v>
      </c>
    </row>
    <row r="4702" spans="35:36" x14ac:dyDescent="0.35">
      <c r="AI4702">
        <v>4699</v>
      </c>
      <c r="AJ4702">
        <v>1</v>
      </c>
    </row>
    <row r="4703" spans="35:36" x14ac:dyDescent="0.35">
      <c r="AI4703">
        <v>4700</v>
      </c>
      <c r="AJ4703">
        <v>1</v>
      </c>
    </row>
    <row r="4704" spans="35:36" x14ac:dyDescent="0.35">
      <c r="AI4704">
        <v>4701</v>
      </c>
      <c r="AJ4704">
        <v>1</v>
      </c>
    </row>
    <row r="4705" spans="35:36" x14ac:dyDescent="0.35">
      <c r="AI4705">
        <v>4702</v>
      </c>
      <c r="AJ4705">
        <v>1</v>
      </c>
    </row>
    <row r="4706" spans="35:36" x14ac:dyDescent="0.35">
      <c r="AI4706">
        <v>4703</v>
      </c>
      <c r="AJ4706">
        <v>1</v>
      </c>
    </row>
    <row r="4707" spans="35:36" x14ac:dyDescent="0.35">
      <c r="AI4707">
        <v>4704</v>
      </c>
      <c r="AJ4707">
        <v>1</v>
      </c>
    </row>
    <row r="4708" spans="35:36" x14ac:dyDescent="0.35">
      <c r="AI4708">
        <v>4705</v>
      </c>
      <c r="AJ4708">
        <v>1</v>
      </c>
    </row>
    <row r="4709" spans="35:36" x14ac:dyDescent="0.35">
      <c r="AI4709">
        <v>4706</v>
      </c>
      <c r="AJ4709">
        <v>1</v>
      </c>
    </row>
    <row r="4710" spans="35:36" x14ac:dyDescent="0.35">
      <c r="AI4710">
        <v>4707</v>
      </c>
      <c r="AJ4710">
        <v>1</v>
      </c>
    </row>
    <row r="4711" spans="35:36" x14ac:dyDescent="0.35">
      <c r="AI4711">
        <v>4708</v>
      </c>
      <c r="AJ4711">
        <v>1</v>
      </c>
    </row>
    <row r="4712" spans="35:36" x14ac:dyDescent="0.35">
      <c r="AI4712">
        <v>4709</v>
      </c>
      <c r="AJ4712">
        <v>1</v>
      </c>
    </row>
    <row r="4713" spans="35:36" x14ac:dyDescent="0.35">
      <c r="AI4713">
        <v>4710</v>
      </c>
      <c r="AJ4713">
        <v>1</v>
      </c>
    </row>
    <row r="4714" spans="35:36" x14ac:dyDescent="0.35">
      <c r="AI4714">
        <v>4711</v>
      </c>
      <c r="AJ4714">
        <v>1</v>
      </c>
    </row>
    <row r="4715" spans="35:36" x14ac:dyDescent="0.35">
      <c r="AI4715">
        <v>4712</v>
      </c>
      <c r="AJ4715">
        <v>1</v>
      </c>
    </row>
    <row r="4716" spans="35:36" x14ac:dyDescent="0.35">
      <c r="AI4716">
        <v>4713</v>
      </c>
      <c r="AJ4716">
        <v>1</v>
      </c>
    </row>
    <row r="4717" spans="35:36" x14ac:dyDescent="0.35">
      <c r="AI4717">
        <v>4714</v>
      </c>
      <c r="AJ4717">
        <v>1</v>
      </c>
    </row>
    <row r="4718" spans="35:36" x14ac:dyDescent="0.35">
      <c r="AI4718">
        <v>4715</v>
      </c>
      <c r="AJ4718">
        <v>1</v>
      </c>
    </row>
    <row r="4719" spans="35:36" x14ac:dyDescent="0.35">
      <c r="AI4719">
        <v>4716</v>
      </c>
      <c r="AJ4719">
        <v>1</v>
      </c>
    </row>
    <row r="4720" spans="35:36" x14ac:dyDescent="0.35">
      <c r="AI4720">
        <v>4717</v>
      </c>
      <c r="AJ4720">
        <v>1</v>
      </c>
    </row>
    <row r="4721" spans="35:36" x14ac:dyDescent="0.35">
      <c r="AI4721">
        <v>4718</v>
      </c>
      <c r="AJ4721">
        <v>1</v>
      </c>
    </row>
    <row r="4722" spans="35:36" x14ac:dyDescent="0.35">
      <c r="AI4722">
        <v>4719</v>
      </c>
      <c r="AJ4722">
        <v>1</v>
      </c>
    </row>
    <row r="4723" spans="35:36" x14ac:dyDescent="0.35">
      <c r="AI4723">
        <v>4720</v>
      </c>
      <c r="AJ4723">
        <v>1</v>
      </c>
    </row>
    <row r="4724" spans="35:36" x14ac:dyDescent="0.35">
      <c r="AI4724">
        <v>4721</v>
      </c>
      <c r="AJ4724">
        <v>1</v>
      </c>
    </row>
    <row r="4725" spans="35:36" x14ac:dyDescent="0.35">
      <c r="AI4725">
        <v>4722</v>
      </c>
      <c r="AJ4725">
        <v>1</v>
      </c>
    </row>
    <row r="4726" spans="35:36" x14ac:dyDescent="0.35">
      <c r="AI4726">
        <v>4723</v>
      </c>
      <c r="AJ4726">
        <v>1</v>
      </c>
    </row>
    <row r="4727" spans="35:36" x14ac:dyDescent="0.35">
      <c r="AI4727">
        <v>4724</v>
      </c>
      <c r="AJ4727">
        <v>1</v>
      </c>
    </row>
    <row r="4728" spans="35:36" x14ac:dyDescent="0.35">
      <c r="AI4728">
        <v>4725</v>
      </c>
      <c r="AJ4728">
        <v>1</v>
      </c>
    </row>
    <row r="4729" spans="35:36" x14ac:dyDescent="0.35">
      <c r="AI4729">
        <v>4726</v>
      </c>
      <c r="AJ4729">
        <v>1</v>
      </c>
    </row>
    <row r="4730" spans="35:36" x14ac:dyDescent="0.35">
      <c r="AI4730">
        <v>4727</v>
      </c>
      <c r="AJ4730">
        <v>1</v>
      </c>
    </row>
    <row r="4731" spans="35:36" x14ac:dyDescent="0.35">
      <c r="AI4731">
        <v>4728</v>
      </c>
      <c r="AJ4731">
        <v>1</v>
      </c>
    </row>
    <row r="4732" spans="35:36" x14ac:dyDescent="0.35">
      <c r="AI4732">
        <v>4729</v>
      </c>
      <c r="AJ4732">
        <v>1</v>
      </c>
    </row>
    <row r="4733" spans="35:36" x14ac:dyDescent="0.35">
      <c r="AI4733">
        <v>4730</v>
      </c>
      <c r="AJ4733">
        <v>1</v>
      </c>
    </row>
    <row r="4734" spans="35:36" x14ac:dyDescent="0.35">
      <c r="AI4734">
        <v>4731</v>
      </c>
      <c r="AJ4734">
        <v>1</v>
      </c>
    </row>
    <row r="4735" spans="35:36" x14ac:dyDescent="0.35">
      <c r="AI4735">
        <v>4732</v>
      </c>
      <c r="AJ4735">
        <v>1</v>
      </c>
    </row>
    <row r="4736" spans="35:36" x14ac:dyDescent="0.35">
      <c r="AI4736">
        <v>4733</v>
      </c>
      <c r="AJ4736">
        <v>1</v>
      </c>
    </row>
    <row r="4737" spans="35:36" x14ac:dyDescent="0.35">
      <c r="AI4737">
        <v>4734</v>
      </c>
      <c r="AJ4737">
        <v>1</v>
      </c>
    </row>
    <row r="4738" spans="35:36" x14ac:dyDescent="0.35">
      <c r="AI4738">
        <v>4735</v>
      </c>
      <c r="AJ4738">
        <v>1</v>
      </c>
    </row>
    <row r="4739" spans="35:36" x14ac:dyDescent="0.35">
      <c r="AI4739">
        <v>4736</v>
      </c>
      <c r="AJ4739">
        <v>1</v>
      </c>
    </row>
    <row r="4740" spans="35:36" x14ac:dyDescent="0.35">
      <c r="AI4740">
        <v>4737</v>
      </c>
      <c r="AJ4740">
        <v>1</v>
      </c>
    </row>
    <row r="4741" spans="35:36" x14ac:dyDescent="0.35">
      <c r="AI4741">
        <v>4738</v>
      </c>
      <c r="AJ4741">
        <v>1</v>
      </c>
    </row>
    <row r="4742" spans="35:36" x14ac:dyDescent="0.35">
      <c r="AI4742">
        <v>4739</v>
      </c>
      <c r="AJ4742">
        <v>1</v>
      </c>
    </row>
    <row r="4743" spans="35:36" x14ac:dyDescent="0.35">
      <c r="AI4743">
        <v>4740</v>
      </c>
      <c r="AJ4743">
        <v>1</v>
      </c>
    </row>
    <row r="4744" spans="35:36" x14ac:dyDescent="0.35">
      <c r="AI4744">
        <v>4741</v>
      </c>
      <c r="AJ4744">
        <v>1</v>
      </c>
    </row>
    <row r="4745" spans="35:36" x14ac:dyDescent="0.35">
      <c r="AI4745">
        <v>4742</v>
      </c>
      <c r="AJ4745">
        <v>1</v>
      </c>
    </row>
    <row r="4746" spans="35:36" x14ac:dyDescent="0.35">
      <c r="AI4746">
        <v>4743</v>
      </c>
      <c r="AJ4746">
        <v>1</v>
      </c>
    </row>
    <row r="4747" spans="35:36" x14ac:dyDescent="0.35">
      <c r="AI4747">
        <v>4744</v>
      </c>
      <c r="AJ4747">
        <v>1</v>
      </c>
    </row>
    <row r="4748" spans="35:36" x14ac:dyDescent="0.35">
      <c r="AI4748">
        <v>4745</v>
      </c>
      <c r="AJ4748">
        <v>1</v>
      </c>
    </row>
    <row r="4749" spans="35:36" x14ac:dyDescent="0.35">
      <c r="AI4749">
        <v>4746</v>
      </c>
      <c r="AJ4749">
        <v>1</v>
      </c>
    </row>
    <row r="4750" spans="35:36" x14ac:dyDescent="0.35">
      <c r="AI4750">
        <v>4747</v>
      </c>
      <c r="AJ4750">
        <v>1</v>
      </c>
    </row>
    <row r="4751" spans="35:36" x14ac:dyDescent="0.35">
      <c r="AI4751">
        <v>4748</v>
      </c>
      <c r="AJ4751">
        <v>1</v>
      </c>
    </row>
    <row r="4752" spans="35:36" x14ac:dyDescent="0.35">
      <c r="AI4752">
        <v>4749</v>
      </c>
      <c r="AJ4752">
        <v>1</v>
      </c>
    </row>
    <row r="4753" spans="35:36" x14ac:dyDescent="0.35">
      <c r="AI4753">
        <v>4750</v>
      </c>
      <c r="AJ4753">
        <v>1</v>
      </c>
    </row>
    <row r="4754" spans="35:36" x14ac:dyDescent="0.35">
      <c r="AI4754">
        <v>4751</v>
      </c>
      <c r="AJ4754">
        <v>1</v>
      </c>
    </row>
    <row r="4755" spans="35:36" x14ac:dyDescent="0.35">
      <c r="AI4755">
        <v>4752</v>
      </c>
      <c r="AJ4755">
        <v>1</v>
      </c>
    </row>
    <row r="4756" spans="35:36" x14ac:dyDescent="0.35">
      <c r="AI4756">
        <v>4753</v>
      </c>
      <c r="AJ4756">
        <v>1</v>
      </c>
    </row>
    <row r="4757" spans="35:36" x14ac:dyDescent="0.35">
      <c r="AI4757">
        <v>4754</v>
      </c>
      <c r="AJ4757">
        <v>1</v>
      </c>
    </row>
    <row r="4758" spans="35:36" x14ac:dyDescent="0.35">
      <c r="AI4758">
        <v>4755</v>
      </c>
      <c r="AJ4758">
        <v>1</v>
      </c>
    </row>
    <row r="4759" spans="35:36" x14ac:dyDescent="0.35">
      <c r="AI4759">
        <v>4756</v>
      </c>
      <c r="AJ4759">
        <v>1</v>
      </c>
    </row>
    <row r="4760" spans="35:36" x14ac:dyDescent="0.35">
      <c r="AI4760">
        <v>4757</v>
      </c>
      <c r="AJ4760">
        <v>1</v>
      </c>
    </row>
    <row r="4761" spans="35:36" x14ac:dyDescent="0.35">
      <c r="AI4761">
        <v>4758</v>
      </c>
      <c r="AJ4761">
        <v>1</v>
      </c>
    </row>
    <row r="4762" spans="35:36" x14ac:dyDescent="0.35">
      <c r="AI4762">
        <v>4759</v>
      </c>
      <c r="AJ4762">
        <v>1</v>
      </c>
    </row>
    <row r="4763" spans="35:36" x14ac:dyDescent="0.35">
      <c r="AI4763">
        <v>4760</v>
      </c>
      <c r="AJ4763">
        <v>1</v>
      </c>
    </row>
    <row r="4764" spans="35:36" x14ac:dyDescent="0.35">
      <c r="AI4764">
        <v>4761</v>
      </c>
      <c r="AJ4764">
        <v>1</v>
      </c>
    </row>
    <row r="4765" spans="35:36" x14ac:dyDescent="0.35">
      <c r="AI4765">
        <v>4762</v>
      </c>
      <c r="AJ4765">
        <v>1</v>
      </c>
    </row>
    <row r="4766" spans="35:36" x14ac:dyDescent="0.35">
      <c r="AI4766">
        <v>4763</v>
      </c>
      <c r="AJ4766">
        <v>1</v>
      </c>
    </row>
    <row r="4767" spans="35:36" x14ac:dyDescent="0.35">
      <c r="AI4767">
        <v>4764</v>
      </c>
      <c r="AJ4767">
        <v>1</v>
      </c>
    </row>
    <row r="4768" spans="35:36" x14ac:dyDescent="0.35">
      <c r="AI4768">
        <v>4765</v>
      </c>
      <c r="AJ4768">
        <v>1</v>
      </c>
    </row>
    <row r="4769" spans="35:36" x14ac:dyDescent="0.35">
      <c r="AI4769">
        <v>4766</v>
      </c>
      <c r="AJ4769">
        <v>1</v>
      </c>
    </row>
    <row r="4770" spans="35:36" x14ac:dyDescent="0.35">
      <c r="AI4770">
        <v>4767</v>
      </c>
      <c r="AJ4770">
        <v>1</v>
      </c>
    </row>
    <row r="4771" spans="35:36" x14ac:dyDescent="0.35">
      <c r="AI4771">
        <v>4768</v>
      </c>
      <c r="AJ4771">
        <v>1</v>
      </c>
    </row>
    <row r="4772" spans="35:36" x14ac:dyDescent="0.35">
      <c r="AI4772">
        <v>4769</v>
      </c>
      <c r="AJ4772">
        <v>1</v>
      </c>
    </row>
    <row r="4773" spans="35:36" x14ac:dyDescent="0.35">
      <c r="AI4773">
        <v>4770</v>
      </c>
      <c r="AJ4773">
        <v>1</v>
      </c>
    </row>
    <row r="4774" spans="35:36" x14ac:dyDescent="0.35">
      <c r="AI4774">
        <v>4771</v>
      </c>
      <c r="AJ4774">
        <v>1</v>
      </c>
    </row>
    <row r="4775" spans="35:36" x14ac:dyDescent="0.35">
      <c r="AI4775">
        <v>4772</v>
      </c>
      <c r="AJ4775">
        <v>1</v>
      </c>
    </row>
    <row r="4776" spans="35:36" x14ac:dyDescent="0.35">
      <c r="AI4776">
        <v>4773</v>
      </c>
      <c r="AJ4776">
        <v>1</v>
      </c>
    </row>
    <row r="4777" spans="35:36" x14ac:dyDescent="0.35">
      <c r="AI4777">
        <v>4774</v>
      </c>
      <c r="AJ4777">
        <v>1</v>
      </c>
    </row>
    <row r="4778" spans="35:36" x14ac:dyDescent="0.35">
      <c r="AI4778">
        <v>4775</v>
      </c>
      <c r="AJ4778">
        <v>1</v>
      </c>
    </row>
    <row r="4779" spans="35:36" x14ac:dyDescent="0.35">
      <c r="AI4779">
        <v>4776</v>
      </c>
      <c r="AJ4779">
        <v>1</v>
      </c>
    </row>
    <row r="4780" spans="35:36" x14ac:dyDescent="0.35">
      <c r="AI4780">
        <v>4777</v>
      </c>
      <c r="AJ4780">
        <v>1</v>
      </c>
    </row>
    <row r="4781" spans="35:36" x14ac:dyDescent="0.35">
      <c r="AI4781">
        <v>4778</v>
      </c>
      <c r="AJ4781">
        <v>1</v>
      </c>
    </row>
    <row r="4782" spans="35:36" x14ac:dyDescent="0.35">
      <c r="AI4782">
        <v>4779</v>
      </c>
      <c r="AJ4782">
        <v>1</v>
      </c>
    </row>
    <row r="4783" spans="35:36" x14ac:dyDescent="0.35">
      <c r="AI4783">
        <v>4780</v>
      </c>
      <c r="AJ4783">
        <v>1</v>
      </c>
    </row>
    <row r="4784" spans="35:36" x14ac:dyDescent="0.35">
      <c r="AI4784">
        <v>4781</v>
      </c>
      <c r="AJ4784">
        <v>1</v>
      </c>
    </row>
    <row r="4785" spans="35:36" x14ac:dyDescent="0.35">
      <c r="AI4785">
        <v>4782</v>
      </c>
      <c r="AJ4785">
        <v>1</v>
      </c>
    </row>
    <row r="4786" spans="35:36" x14ac:dyDescent="0.35">
      <c r="AI4786">
        <v>4783</v>
      </c>
      <c r="AJ4786">
        <v>1</v>
      </c>
    </row>
    <row r="4787" spans="35:36" x14ac:dyDescent="0.35">
      <c r="AI4787">
        <v>4784</v>
      </c>
      <c r="AJ4787">
        <v>1</v>
      </c>
    </row>
    <row r="4788" spans="35:36" x14ac:dyDescent="0.35">
      <c r="AI4788">
        <v>4785</v>
      </c>
      <c r="AJ4788">
        <v>1</v>
      </c>
    </row>
    <row r="4789" spans="35:36" x14ac:dyDescent="0.35">
      <c r="AI4789">
        <v>4786</v>
      </c>
      <c r="AJ4789">
        <v>1</v>
      </c>
    </row>
    <row r="4790" spans="35:36" x14ac:dyDescent="0.35">
      <c r="AI4790">
        <v>4787</v>
      </c>
      <c r="AJ4790">
        <v>1</v>
      </c>
    </row>
    <row r="4791" spans="35:36" x14ac:dyDescent="0.35">
      <c r="AI4791">
        <v>4788</v>
      </c>
      <c r="AJ4791">
        <v>1</v>
      </c>
    </row>
    <row r="4792" spans="35:36" x14ac:dyDescent="0.35">
      <c r="AI4792">
        <v>4789</v>
      </c>
      <c r="AJ4792">
        <v>1</v>
      </c>
    </row>
    <row r="4793" spans="35:36" x14ac:dyDescent="0.35">
      <c r="AI4793">
        <v>4790</v>
      </c>
      <c r="AJ4793">
        <v>1</v>
      </c>
    </row>
    <row r="4794" spans="35:36" x14ac:dyDescent="0.35">
      <c r="AI4794">
        <v>4791</v>
      </c>
      <c r="AJ4794">
        <v>1</v>
      </c>
    </row>
    <row r="4795" spans="35:36" x14ac:dyDescent="0.35">
      <c r="AI4795">
        <v>4792</v>
      </c>
      <c r="AJ4795">
        <v>1</v>
      </c>
    </row>
    <row r="4796" spans="35:36" x14ac:dyDescent="0.35">
      <c r="AI4796">
        <v>4793</v>
      </c>
      <c r="AJ4796">
        <v>1</v>
      </c>
    </row>
    <row r="4797" spans="35:36" x14ac:dyDescent="0.35">
      <c r="AI4797">
        <v>4794</v>
      </c>
      <c r="AJ4797">
        <v>1</v>
      </c>
    </row>
    <row r="4798" spans="35:36" x14ac:dyDescent="0.35">
      <c r="AI4798">
        <v>4795</v>
      </c>
      <c r="AJ4798">
        <v>1</v>
      </c>
    </row>
    <row r="4799" spans="35:36" x14ac:dyDescent="0.35">
      <c r="AI4799">
        <v>4796</v>
      </c>
      <c r="AJ4799">
        <v>1</v>
      </c>
    </row>
    <row r="4800" spans="35:36" x14ac:dyDescent="0.35">
      <c r="AI4800">
        <v>4797</v>
      </c>
      <c r="AJ4800">
        <v>1</v>
      </c>
    </row>
    <row r="4801" spans="35:36" x14ac:dyDescent="0.35">
      <c r="AI4801">
        <v>4798</v>
      </c>
      <c r="AJ4801">
        <v>1</v>
      </c>
    </row>
    <row r="4802" spans="35:36" x14ac:dyDescent="0.35">
      <c r="AI4802">
        <v>4799</v>
      </c>
      <c r="AJ4802">
        <v>1</v>
      </c>
    </row>
    <row r="4803" spans="35:36" x14ac:dyDescent="0.35">
      <c r="AI4803">
        <v>4800</v>
      </c>
      <c r="AJ4803">
        <v>1</v>
      </c>
    </row>
    <row r="4804" spans="35:36" x14ac:dyDescent="0.35">
      <c r="AI4804">
        <v>4801</v>
      </c>
      <c r="AJ4804">
        <v>1</v>
      </c>
    </row>
    <row r="4805" spans="35:36" x14ac:dyDescent="0.35">
      <c r="AI4805">
        <v>4802</v>
      </c>
      <c r="AJ4805">
        <v>1</v>
      </c>
    </row>
    <row r="4806" spans="35:36" x14ac:dyDescent="0.35">
      <c r="AI4806">
        <v>4803</v>
      </c>
      <c r="AJ4806">
        <v>1</v>
      </c>
    </row>
    <row r="4807" spans="35:36" x14ac:dyDescent="0.35">
      <c r="AI4807">
        <v>4804</v>
      </c>
      <c r="AJ4807">
        <v>1</v>
      </c>
    </row>
    <row r="4808" spans="35:36" x14ac:dyDescent="0.35">
      <c r="AI4808">
        <v>4805</v>
      </c>
      <c r="AJ4808">
        <v>1</v>
      </c>
    </row>
    <row r="4809" spans="35:36" x14ac:dyDescent="0.35">
      <c r="AI4809">
        <v>4806</v>
      </c>
      <c r="AJ4809">
        <v>1</v>
      </c>
    </row>
    <row r="4810" spans="35:36" x14ac:dyDescent="0.35">
      <c r="AI4810">
        <v>4807</v>
      </c>
      <c r="AJ4810">
        <v>1</v>
      </c>
    </row>
    <row r="4811" spans="35:36" x14ac:dyDescent="0.35">
      <c r="AI4811">
        <v>4808</v>
      </c>
      <c r="AJ4811">
        <v>1</v>
      </c>
    </row>
    <row r="4812" spans="35:36" x14ac:dyDescent="0.35">
      <c r="AI4812">
        <v>4809</v>
      </c>
      <c r="AJ4812">
        <v>1</v>
      </c>
    </row>
    <row r="4813" spans="35:36" x14ac:dyDescent="0.35">
      <c r="AI4813">
        <v>4810</v>
      </c>
      <c r="AJ4813">
        <v>1</v>
      </c>
    </row>
    <row r="4814" spans="35:36" x14ac:dyDescent="0.35">
      <c r="AI4814">
        <v>4811</v>
      </c>
      <c r="AJ4814">
        <v>1</v>
      </c>
    </row>
    <row r="4815" spans="35:36" x14ac:dyDescent="0.35">
      <c r="AI4815">
        <v>4812</v>
      </c>
      <c r="AJ4815">
        <v>1</v>
      </c>
    </row>
    <row r="4816" spans="35:36" x14ac:dyDescent="0.35">
      <c r="AI4816">
        <v>4813</v>
      </c>
      <c r="AJ4816">
        <v>1</v>
      </c>
    </row>
    <row r="4817" spans="35:36" x14ac:dyDescent="0.35">
      <c r="AI4817">
        <v>4814</v>
      </c>
      <c r="AJ4817">
        <v>1</v>
      </c>
    </row>
    <row r="4818" spans="35:36" x14ac:dyDescent="0.35">
      <c r="AI4818">
        <v>4815</v>
      </c>
      <c r="AJ4818">
        <v>1</v>
      </c>
    </row>
    <row r="4819" spans="35:36" x14ac:dyDescent="0.35">
      <c r="AI4819">
        <v>4816</v>
      </c>
      <c r="AJ4819">
        <v>1</v>
      </c>
    </row>
    <row r="4820" spans="35:36" x14ac:dyDescent="0.35">
      <c r="AI4820">
        <v>4817</v>
      </c>
      <c r="AJ4820">
        <v>1</v>
      </c>
    </row>
    <row r="4821" spans="35:36" x14ac:dyDescent="0.35">
      <c r="AI4821">
        <v>4818</v>
      </c>
      <c r="AJ4821">
        <v>1</v>
      </c>
    </row>
    <row r="4822" spans="35:36" x14ac:dyDescent="0.35">
      <c r="AI4822">
        <v>4819</v>
      </c>
      <c r="AJ4822">
        <v>1</v>
      </c>
    </row>
    <row r="4823" spans="35:36" x14ac:dyDescent="0.35">
      <c r="AI4823">
        <v>4820</v>
      </c>
      <c r="AJ4823">
        <v>1</v>
      </c>
    </row>
    <row r="4824" spans="35:36" x14ac:dyDescent="0.35">
      <c r="AI4824">
        <v>4821</v>
      </c>
      <c r="AJ4824">
        <v>1</v>
      </c>
    </row>
    <row r="4825" spans="35:36" x14ac:dyDescent="0.35">
      <c r="AI4825">
        <v>4822</v>
      </c>
      <c r="AJ4825">
        <v>1</v>
      </c>
    </row>
    <row r="4826" spans="35:36" x14ac:dyDescent="0.35">
      <c r="AI4826">
        <v>4823</v>
      </c>
      <c r="AJ4826">
        <v>1</v>
      </c>
    </row>
    <row r="4827" spans="35:36" x14ac:dyDescent="0.35">
      <c r="AI4827">
        <v>4824</v>
      </c>
      <c r="AJ4827">
        <v>1</v>
      </c>
    </row>
    <row r="4828" spans="35:36" x14ac:dyDescent="0.35">
      <c r="AI4828">
        <v>4825</v>
      </c>
      <c r="AJ4828">
        <v>1</v>
      </c>
    </row>
    <row r="4829" spans="35:36" x14ac:dyDescent="0.35">
      <c r="AI4829">
        <v>4826</v>
      </c>
      <c r="AJ4829">
        <v>1</v>
      </c>
    </row>
    <row r="4830" spans="35:36" x14ac:dyDescent="0.35">
      <c r="AI4830">
        <v>4827</v>
      </c>
      <c r="AJ4830">
        <v>1</v>
      </c>
    </row>
    <row r="4831" spans="35:36" x14ac:dyDescent="0.35">
      <c r="AI4831">
        <v>4828</v>
      </c>
      <c r="AJ4831">
        <v>1</v>
      </c>
    </row>
    <row r="4832" spans="35:36" x14ac:dyDescent="0.35">
      <c r="AI4832">
        <v>4829</v>
      </c>
      <c r="AJ4832">
        <v>1</v>
      </c>
    </row>
    <row r="4833" spans="35:36" x14ac:dyDescent="0.35">
      <c r="AI4833">
        <v>4830</v>
      </c>
      <c r="AJ4833">
        <v>1</v>
      </c>
    </row>
    <row r="4834" spans="35:36" x14ac:dyDescent="0.35">
      <c r="AI4834">
        <v>4831</v>
      </c>
      <c r="AJ4834">
        <v>1</v>
      </c>
    </row>
    <row r="4835" spans="35:36" x14ac:dyDescent="0.35">
      <c r="AI4835">
        <v>4832</v>
      </c>
      <c r="AJ4835">
        <v>1</v>
      </c>
    </row>
    <row r="4836" spans="35:36" x14ac:dyDescent="0.35">
      <c r="AI4836">
        <v>4833</v>
      </c>
      <c r="AJ4836">
        <v>1</v>
      </c>
    </row>
    <row r="4837" spans="35:36" x14ac:dyDescent="0.35">
      <c r="AI4837">
        <v>4834</v>
      </c>
      <c r="AJ4837">
        <v>1</v>
      </c>
    </row>
    <row r="4838" spans="35:36" x14ac:dyDescent="0.35">
      <c r="AI4838">
        <v>4835</v>
      </c>
      <c r="AJ4838">
        <v>1</v>
      </c>
    </row>
    <row r="4839" spans="35:36" x14ac:dyDescent="0.35">
      <c r="AI4839">
        <v>4836</v>
      </c>
      <c r="AJ4839">
        <v>1</v>
      </c>
    </row>
    <row r="4840" spans="35:36" x14ac:dyDescent="0.35">
      <c r="AI4840">
        <v>4837</v>
      </c>
      <c r="AJ4840">
        <v>1</v>
      </c>
    </row>
    <row r="4841" spans="35:36" x14ac:dyDescent="0.35">
      <c r="AI4841">
        <v>4838</v>
      </c>
      <c r="AJ4841">
        <v>1</v>
      </c>
    </row>
    <row r="4842" spans="35:36" x14ac:dyDescent="0.35">
      <c r="AI4842">
        <v>4839</v>
      </c>
      <c r="AJ4842">
        <v>1</v>
      </c>
    </row>
    <row r="4843" spans="35:36" x14ac:dyDescent="0.35">
      <c r="AI4843">
        <v>4840</v>
      </c>
      <c r="AJ4843">
        <v>1</v>
      </c>
    </row>
    <row r="4844" spans="35:36" x14ac:dyDescent="0.35">
      <c r="AI4844">
        <v>4841</v>
      </c>
      <c r="AJ4844">
        <v>1</v>
      </c>
    </row>
    <row r="4845" spans="35:36" x14ac:dyDescent="0.35">
      <c r="AI4845">
        <v>4842</v>
      </c>
      <c r="AJ4845">
        <v>1</v>
      </c>
    </row>
    <row r="4846" spans="35:36" x14ac:dyDescent="0.35">
      <c r="AI4846">
        <v>4843</v>
      </c>
      <c r="AJ4846">
        <v>1</v>
      </c>
    </row>
    <row r="4847" spans="35:36" x14ac:dyDescent="0.35">
      <c r="AI4847">
        <v>4844</v>
      </c>
      <c r="AJ4847">
        <v>1</v>
      </c>
    </row>
    <row r="4848" spans="35:36" x14ac:dyDescent="0.35">
      <c r="AI4848">
        <v>4845</v>
      </c>
      <c r="AJ4848">
        <v>1</v>
      </c>
    </row>
    <row r="4849" spans="35:36" x14ac:dyDescent="0.35">
      <c r="AI4849">
        <v>4846</v>
      </c>
      <c r="AJ4849">
        <v>1</v>
      </c>
    </row>
    <row r="4850" spans="35:36" x14ac:dyDescent="0.35">
      <c r="AI4850">
        <v>4847</v>
      </c>
      <c r="AJ4850">
        <v>1</v>
      </c>
    </row>
    <row r="4851" spans="35:36" x14ac:dyDescent="0.35">
      <c r="AI4851">
        <v>4848</v>
      </c>
      <c r="AJ4851">
        <v>1</v>
      </c>
    </row>
    <row r="4852" spans="35:36" x14ac:dyDescent="0.35">
      <c r="AI4852">
        <v>4849</v>
      </c>
      <c r="AJ4852">
        <v>1</v>
      </c>
    </row>
    <row r="4853" spans="35:36" x14ac:dyDescent="0.35">
      <c r="AI4853">
        <v>4850</v>
      </c>
      <c r="AJ4853">
        <v>1</v>
      </c>
    </row>
    <row r="4854" spans="35:36" x14ac:dyDescent="0.35">
      <c r="AI4854">
        <v>4851</v>
      </c>
      <c r="AJ4854">
        <v>1</v>
      </c>
    </row>
    <row r="4855" spans="35:36" x14ac:dyDescent="0.35">
      <c r="AI4855">
        <v>4852</v>
      </c>
      <c r="AJ4855">
        <v>1</v>
      </c>
    </row>
    <row r="4856" spans="35:36" x14ac:dyDescent="0.35">
      <c r="AI4856">
        <v>4853</v>
      </c>
      <c r="AJ4856">
        <v>1</v>
      </c>
    </row>
    <row r="4857" spans="35:36" x14ac:dyDescent="0.35">
      <c r="AI4857">
        <v>4854</v>
      </c>
      <c r="AJ4857">
        <v>1</v>
      </c>
    </row>
    <row r="4858" spans="35:36" x14ac:dyDescent="0.35">
      <c r="AI4858">
        <v>4855</v>
      </c>
      <c r="AJ4858">
        <v>1</v>
      </c>
    </row>
    <row r="4859" spans="35:36" x14ac:dyDescent="0.35">
      <c r="AI4859">
        <v>4856</v>
      </c>
      <c r="AJ4859">
        <v>1</v>
      </c>
    </row>
    <row r="4860" spans="35:36" x14ac:dyDescent="0.35">
      <c r="AI4860">
        <v>4857</v>
      </c>
      <c r="AJ4860">
        <v>1</v>
      </c>
    </row>
    <row r="4861" spans="35:36" x14ac:dyDescent="0.35">
      <c r="AI4861">
        <v>4858</v>
      </c>
      <c r="AJ4861">
        <v>1</v>
      </c>
    </row>
    <row r="4862" spans="35:36" x14ac:dyDescent="0.35">
      <c r="AI4862">
        <v>4859</v>
      </c>
      <c r="AJ4862">
        <v>1</v>
      </c>
    </row>
    <row r="4863" spans="35:36" x14ac:dyDescent="0.35">
      <c r="AI4863">
        <v>4860</v>
      </c>
      <c r="AJ4863">
        <v>1</v>
      </c>
    </row>
    <row r="4864" spans="35:36" x14ac:dyDescent="0.35">
      <c r="AI4864">
        <v>4861</v>
      </c>
      <c r="AJ4864">
        <v>1</v>
      </c>
    </row>
    <row r="4865" spans="35:36" x14ac:dyDescent="0.35">
      <c r="AI4865">
        <v>4862</v>
      </c>
      <c r="AJ4865">
        <v>1</v>
      </c>
    </row>
    <row r="4866" spans="35:36" x14ac:dyDescent="0.35">
      <c r="AI4866">
        <v>4863</v>
      </c>
      <c r="AJ4866">
        <v>1</v>
      </c>
    </row>
    <row r="4867" spans="35:36" x14ac:dyDescent="0.35">
      <c r="AI4867">
        <v>4864</v>
      </c>
      <c r="AJ4867">
        <v>1</v>
      </c>
    </row>
    <row r="4868" spans="35:36" x14ac:dyDescent="0.35">
      <c r="AI4868">
        <v>4865</v>
      </c>
      <c r="AJ4868">
        <v>1</v>
      </c>
    </row>
    <row r="4869" spans="35:36" x14ac:dyDescent="0.35">
      <c r="AI4869">
        <v>4866</v>
      </c>
      <c r="AJ4869">
        <v>1</v>
      </c>
    </row>
    <row r="4870" spans="35:36" x14ac:dyDescent="0.35">
      <c r="AI4870">
        <v>4867</v>
      </c>
      <c r="AJ4870">
        <v>1</v>
      </c>
    </row>
    <row r="4871" spans="35:36" x14ac:dyDescent="0.35">
      <c r="AI4871">
        <v>4868</v>
      </c>
      <c r="AJ4871">
        <v>1</v>
      </c>
    </row>
    <row r="4872" spans="35:36" x14ac:dyDescent="0.35">
      <c r="AI4872">
        <v>4869</v>
      </c>
      <c r="AJ4872">
        <v>1</v>
      </c>
    </row>
    <row r="4873" spans="35:36" x14ac:dyDescent="0.35">
      <c r="AI4873">
        <v>4870</v>
      </c>
      <c r="AJ4873">
        <v>1</v>
      </c>
    </row>
    <row r="4874" spans="35:36" x14ac:dyDescent="0.35">
      <c r="AI4874">
        <v>4871</v>
      </c>
      <c r="AJ4874">
        <v>1</v>
      </c>
    </row>
    <row r="4875" spans="35:36" x14ac:dyDescent="0.35">
      <c r="AI4875">
        <v>4872</v>
      </c>
      <c r="AJ4875">
        <v>1</v>
      </c>
    </row>
    <row r="4876" spans="35:36" x14ac:dyDescent="0.35">
      <c r="AI4876">
        <v>4873</v>
      </c>
      <c r="AJ4876">
        <v>1</v>
      </c>
    </row>
    <row r="4877" spans="35:36" x14ac:dyDescent="0.35">
      <c r="AI4877">
        <v>4874</v>
      </c>
      <c r="AJ4877">
        <v>1</v>
      </c>
    </row>
    <row r="4878" spans="35:36" x14ac:dyDescent="0.35">
      <c r="AI4878">
        <v>4875</v>
      </c>
      <c r="AJ4878">
        <v>1</v>
      </c>
    </row>
    <row r="4879" spans="35:36" x14ac:dyDescent="0.35">
      <c r="AI4879">
        <v>4876</v>
      </c>
      <c r="AJ4879">
        <v>1</v>
      </c>
    </row>
    <row r="4880" spans="35:36" x14ac:dyDescent="0.35">
      <c r="AI4880">
        <v>4877</v>
      </c>
      <c r="AJ4880">
        <v>1</v>
      </c>
    </row>
    <row r="4881" spans="35:36" x14ac:dyDescent="0.35">
      <c r="AI4881">
        <v>4878</v>
      </c>
      <c r="AJ4881">
        <v>1</v>
      </c>
    </row>
    <row r="4882" spans="35:36" x14ac:dyDescent="0.35">
      <c r="AI4882">
        <v>4879</v>
      </c>
      <c r="AJ4882">
        <v>1</v>
      </c>
    </row>
    <row r="4883" spans="35:36" x14ac:dyDescent="0.35">
      <c r="AI4883">
        <v>4880</v>
      </c>
      <c r="AJ4883">
        <v>1</v>
      </c>
    </row>
    <row r="4884" spans="35:36" x14ac:dyDescent="0.35">
      <c r="AI4884">
        <v>4881</v>
      </c>
      <c r="AJ4884">
        <v>1</v>
      </c>
    </row>
    <row r="4885" spans="35:36" x14ac:dyDescent="0.35">
      <c r="AI4885">
        <v>4882</v>
      </c>
      <c r="AJ4885">
        <v>1</v>
      </c>
    </row>
    <row r="4886" spans="35:36" x14ac:dyDescent="0.35">
      <c r="AI4886">
        <v>4883</v>
      </c>
      <c r="AJ4886">
        <v>1</v>
      </c>
    </row>
    <row r="4887" spans="35:36" x14ac:dyDescent="0.35">
      <c r="AI4887">
        <v>4884</v>
      </c>
      <c r="AJ4887">
        <v>1</v>
      </c>
    </row>
    <row r="4888" spans="35:36" x14ac:dyDescent="0.35">
      <c r="AI4888">
        <v>4885</v>
      </c>
      <c r="AJ4888">
        <v>1</v>
      </c>
    </row>
    <row r="4889" spans="35:36" x14ac:dyDescent="0.35">
      <c r="AI4889">
        <v>4886</v>
      </c>
      <c r="AJ4889">
        <v>1</v>
      </c>
    </row>
    <row r="4890" spans="35:36" x14ac:dyDescent="0.35">
      <c r="AI4890">
        <v>4887</v>
      </c>
      <c r="AJ4890">
        <v>1</v>
      </c>
    </row>
    <row r="4891" spans="35:36" x14ac:dyDescent="0.35">
      <c r="AI4891">
        <v>4888</v>
      </c>
      <c r="AJ4891">
        <v>1</v>
      </c>
    </row>
    <row r="4892" spans="35:36" x14ac:dyDescent="0.35">
      <c r="AI4892">
        <v>4889</v>
      </c>
      <c r="AJ4892">
        <v>1</v>
      </c>
    </row>
    <row r="4893" spans="35:36" x14ac:dyDescent="0.35">
      <c r="AI4893">
        <v>4890</v>
      </c>
      <c r="AJ4893">
        <v>1</v>
      </c>
    </row>
    <row r="4894" spans="35:36" x14ac:dyDescent="0.35">
      <c r="AI4894">
        <v>4891</v>
      </c>
      <c r="AJ4894">
        <v>1</v>
      </c>
    </row>
    <row r="4895" spans="35:36" x14ac:dyDescent="0.35">
      <c r="AI4895">
        <v>4892</v>
      </c>
      <c r="AJ4895">
        <v>1</v>
      </c>
    </row>
    <row r="4896" spans="35:36" x14ac:dyDescent="0.35">
      <c r="AI4896">
        <v>4893</v>
      </c>
      <c r="AJ4896">
        <v>1</v>
      </c>
    </row>
    <row r="4897" spans="35:36" x14ac:dyDescent="0.35">
      <c r="AI4897">
        <v>4894</v>
      </c>
      <c r="AJ4897">
        <v>1</v>
      </c>
    </row>
    <row r="4898" spans="35:36" x14ac:dyDescent="0.35">
      <c r="AI4898">
        <v>4895</v>
      </c>
      <c r="AJ4898">
        <v>1</v>
      </c>
    </row>
    <row r="4899" spans="35:36" x14ac:dyDescent="0.35">
      <c r="AI4899">
        <v>4896</v>
      </c>
      <c r="AJ4899">
        <v>1</v>
      </c>
    </row>
    <row r="4900" spans="35:36" x14ac:dyDescent="0.35">
      <c r="AI4900">
        <v>4897</v>
      </c>
      <c r="AJ4900">
        <v>1</v>
      </c>
    </row>
    <row r="4901" spans="35:36" x14ac:dyDescent="0.35">
      <c r="AI4901">
        <v>4898</v>
      </c>
      <c r="AJ4901">
        <v>1</v>
      </c>
    </row>
    <row r="4902" spans="35:36" x14ac:dyDescent="0.35">
      <c r="AI4902">
        <v>4899</v>
      </c>
      <c r="AJ4902">
        <v>1</v>
      </c>
    </row>
    <row r="4903" spans="35:36" x14ac:dyDescent="0.35">
      <c r="AI4903">
        <v>4900</v>
      </c>
      <c r="AJ4903">
        <v>1</v>
      </c>
    </row>
    <row r="4904" spans="35:36" x14ac:dyDescent="0.35">
      <c r="AI4904">
        <v>4901</v>
      </c>
      <c r="AJ4904">
        <v>1</v>
      </c>
    </row>
    <row r="4905" spans="35:36" x14ac:dyDescent="0.35">
      <c r="AI4905">
        <v>4902</v>
      </c>
      <c r="AJ4905">
        <v>1</v>
      </c>
    </row>
    <row r="4906" spans="35:36" x14ac:dyDescent="0.35">
      <c r="AI4906">
        <v>4903</v>
      </c>
      <c r="AJ4906">
        <v>1</v>
      </c>
    </row>
    <row r="4907" spans="35:36" x14ac:dyDescent="0.35">
      <c r="AI4907">
        <v>4904</v>
      </c>
      <c r="AJ4907">
        <v>1</v>
      </c>
    </row>
    <row r="4908" spans="35:36" x14ac:dyDescent="0.35">
      <c r="AI4908">
        <v>4905</v>
      </c>
      <c r="AJ4908">
        <v>1</v>
      </c>
    </row>
    <row r="4909" spans="35:36" x14ac:dyDescent="0.35">
      <c r="AI4909">
        <v>4906</v>
      </c>
      <c r="AJ4909">
        <v>1</v>
      </c>
    </row>
    <row r="4910" spans="35:36" x14ac:dyDescent="0.35">
      <c r="AI4910">
        <v>4907</v>
      </c>
      <c r="AJ4910">
        <v>1</v>
      </c>
    </row>
    <row r="4911" spans="35:36" x14ac:dyDescent="0.35">
      <c r="AI4911">
        <v>4908</v>
      </c>
      <c r="AJ4911">
        <v>1</v>
      </c>
    </row>
    <row r="4912" spans="35:36" x14ac:dyDescent="0.35">
      <c r="AI4912">
        <v>4909</v>
      </c>
      <c r="AJ4912">
        <v>1</v>
      </c>
    </row>
    <row r="4913" spans="35:36" x14ac:dyDescent="0.35">
      <c r="AI4913">
        <v>4910</v>
      </c>
      <c r="AJ4913">
        <v>1</v>
      </c>
    </row>
    <row r="4914" spans="35:36" x14ac:dyDescent="0.35">
      <c r="AI4914">
        <v>4911</v>
      </c>
      <c r="AJ4914">
        <v>1</v>
      </c>
    </row>
    <row r="4915" spans="35:36" x14ac:dyDescent="0.35">
      <c r="AI4915">
        <v>4912</v>
      </c>
      <c r="AJ4915">
        <v>1</v>
      </c>
    </row>
    <row r="4916" spans="35:36" x14ac:dyDescent="0.35">
      <c r="AI4916">
        <v>4913</v>
      </c>
      <c r="AJ4916">
        <v>1</v>
      </c>
    </row>
    <row r="4917" spans="35:36" x14ac:dyDescent="0.35">
      <c r="AI4917">
        <v>4914</v>
      </c>
      <c r="AJ4917">
        <v>1</v>
      </c>
    </row>
    <row r="4918" spans="35:36" x14ac:dyDescent="0.35">
      <c r="AI4918">
        <v>4915</v>
      </c>
      <c r="AJ4918">
        <v>1</v>
      </c>
    </row>
    <row r="4919" spans="35:36" x14ac:dyDescent="0.35">
      <c r="AI4919">
        <v>4916</v>
      </c>
      <c r="AJ4919">
        <v>1</v>
      </c>
    </row>
    <row r="4920" spans="35:36" x14ac:dyDescent="0.35">
      <c r="AI4920">
        <v>4917</v>
      </c>
      <c r="AJ4920">
        <v>1</v>
      </c>
    </row>
    <row r="4921" spans="35:36" x14ac:dyDescent="0.35">
      <c r="AI4921">
        <v>4918</v>
      </c>
      <c r="AJ4921">
        <v>1</v>
      </c>
    </row>
    <row r="4922" spans="35:36" x14ac:dyDescent="0.35">
      <c r="AI4922">
        <v>4919</v>
      </c>
      <c r="AJ4922">
        <v>1</v>
      </c>
    </row>
    <row r="4923" spans="35:36" x14ac:dyDescent="0.35">
      <c r="AI4923">
        <v>4920</v>
      </c>
      <c r="AJ4923">
        <v>1</v>
      </c>
    </row>
    <row r="4924" spans="35:36" x14ac:dyDescent="0.35">
      <c r="AI4924">
        <v>4921</v>
      </c>
      <c r="AJ4924">
        <v>1</v>
      </c>
    </row>
    <row r="4925" spans="35:36" x14ac:dyDescent="0.35">
      <c r="AI4925">
        <v>4922</v>
      </c>
      <c r="AJ4925">
        <v>1</v>
      </c>
    </row>
    <row r="4926" spans="35:36" x14ac:dyDescent="0.35">
      <c r="AI4926">
        <v>4923</v>
      </c>
      <c r="AJ4926">
        <v>1</v>
      </c>
    </row>
    <row r="4927" spans="35:36" x14ac:dyDescent="0.35">
      <c r="AI4927">
        <v>4924</v>
      </c>
      <c r="AJ4927">
        <v>1</v>
      </c>
    </row>
    <row r="4928" spans="35:36" x14ac:dyDescent="0.35">
      <c r="AI4928">
        <v>4925</v>
      </c>
      <c r="AJ4928">
        <v>1</v>
      </c>
    </row>
    <row r="4929" spans="35:36" x14ac:dyDescent="0.35">
      <c r="AI4929">
        <v>4926</v>
      </c>
      <c r="AJ4929">
        <v>1</v>
      </c>
    </row>
    <row r="4930" spans="35:36" x14ac:dyDescent="0.35">
      <c r="AI4930">
        <v>4927</v>
      </c>
      <c r="AJ4930">
        <v>1</v>
      </c>
    </row>
    <row r="4931" spans="35:36" x14ac:dyDescent="0.35">
      <c r="AI4931">
        <v>4928</v>
      </c>
      <c r="AJ4931">
        <v>1</v>
      </c>
    </row>
    <row r="4932" spans="35:36" x14ac:dyDescent="0.35">
      <c r="AI4932">
        <v>4929</v>
      </c>
      <c r="AJ4932">
        <v>1</v>
      </c>
    </row>
    <row r="4933" spans="35:36" x14ac:dyDescent="0.35">
      <c r="AI4933">
        <v>4930</v>
      </c>
      <c r="AJ4933">
        <v>1</v>
      </c>
    </row>
    <row r="4934" spans="35:36" x14ac:dyDescent="0.35">
      <c r="AI4934">
        <v>4931</v>
      </c>
      <c r="AJ4934">
        <v>1</v>
      </c>
    </row>
    <row r="4935" spans="35:36" x14ac:dyDescent="0.35">
      <c r="AI4935">
        <v>4932</v>
      </c>
      <c r="AJ4935">
        <v>1</v>
      </c>
    </row>
    <row r="4936" spans="35:36" x14ac:dyDescent="0.35">
      <c r="AI4936">
        <v>4933</v>
      </c>
      <c r="AJ4936">
        <v>1</v>
      </c>
    </row>
    <row r="4937" spans="35:36" x14ac:dyDescent="0.35">
      <c r="AI4937">
        <v>4934</v>
      </c>
      <c r="AJ4937">
        <v>1</v>
      </c>
    </row>
    <row r="4938" spans="35:36" x14ac:dyDescent="0.35">
      <c r="AI4938">
        <v>4935</v>
      </c>
      <c r="AJ4938">
        <v>1</v>
      </c>
    </row>
    <row r="4939" spans="35:36" x14ac:dyDescent="0.35">
      <c r="AI4939">
        <v>4936</v>
      </c>
    </row>
  </sheetData>
  <autoFilter ref="A4:Q990" xr:uid="{59F489CB-E076-473A-B763-27007B3EEF83}">
    <filterColumn colId="7">
      <filters>
        <filter val="1"/>
        <filter val="2"/>
        <filter val="3"/>
        <filter val="4"/>
      </filters>
    </filterColumn>
  </autoFilter>
  <conditionalFormatting sqref="J25">
    <cfRule type="expression" dxfId="1" priority="4">
      <formula>AND($J2=1, N2=0)</formula>
    </cfRule>
  </conditionalFormatting>
  <conditionalFormatting sqref="N4:Q4934">
    <cfRule type="expression" dxfId="0" priority="1">
      <formula>N4=0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A3CFC-A0FA-4F71-AE81-DCD23AFA7764}">
  <sheetPr codeName="Sheet5"/>
  <dimension ref="A1:L49"/>
  <sheetViews>
    <sheetView tabSelected="1" topLeftCell="D4" workbookViewId="0">
      <selection activeCell="K31" sqref="K31"/>
    </sheetView>
  </sheetViews>
  <sheetFormatPr defaultRowHeight="14.5" x14ac:dyDescent="0.35"/>
  <cols>
    <col min="1" max="1" width="31.90625" bestFit="1" customWidth="1"/>
    <col min="2" max="2" width="16.26953125" bestFit="1" customWidth="1"/>
    <col min="3" max="3" width="7.08984375" bestFit="1" customWidth="1"/>
    <col min="4" max="5" width="11.08984375" bestFit="1" customWidth="1"/>
    <col min="11" max="11" width="27.7265625" bestFit="1" customWidth="1"/>
    <col min="12" max="12" width="15.81640625" bestFit="1" customWidth="1"/>
  </cols>
  <sheetData>
    <row r="1" spans="1:12" x14ac:dyDescent="0.35">
      <c r="A1" s="74">
        <v>2024</v>
      </c>
      <c r="D1" s="69" t="s">
        <v>6921</v>
      </c>
    </row>
    <row r="2" spans="1:12" x14ac:dyDescent="0.35">
      <c r="A2" s="69" t="s">
        <v>6922</v>
      </c>
      <c r="B2" s="72">
        <f>AVERAGE(DATA_Johnstone_2024_50!N25:N952)</f>
        <v>3.1196013289036544</v>
      </c>
      <c r="C2" s="70"/>
      <c r="D2" s="70">
        <f>IF(B2&lt;2,
    (20.9 + ((B2 - 1.99) * (20.9 / 1.99))),
    IF(AND(B2&gt;=2, B2&lt;=2.5),
        21 + ((19.9 + ((B2 - 2.5) * (19.9 / 0.49)))),
        IF(AND(B2&gt;2.5, B2&lt;=3.25),
            41 + ((19.9 + ((B2 - 3.25) * (19.9 / 0.49)))),
            IF(AND(B2&gt;3.25, B2&lt;=3.75),
                61 + ((19.9 + ((B2 - 3.75) * (19.9 / 0.49)))),
                81 + ((19 + ((B2 - 4) * (19 / 0.24))))))))</f>
        <v>55.604217235066777</v>
      </c>
    </row>
    <row r="3" spans="1:12" x14ac:dyDescent="0.35">
      <c r="A3" s="69" t="s">
        <v>6923</v>
      </c>
      <c r="B3" s="72">
        <f>AVERAGE(DATA_Johnstone_2024_50!O25:O952)</f>
        <v>3.4285714285714284</v>
      </c>
      <c r="C3" s="70"/>
      <c r="D3" s="70">
        <f>IF(B3&lt;2,
    (20.9 + ((B3 - 1.99) * (20.9 / 1.99))),
    IF(AND(B3&gt;=2, B3&lt;=2.5),
        21 + ((19.9 + ((B3 - 2.5) * (19.9 / 0.49)))),
        IF(AND(B3&gt;2.5, B3&lt;=3.25),
            41 + ((19.9 + ((B3 - 3.25) * (19.9 / 0.49)))),
            IF(AND(B3&gt;3.25, B3&lt;=3.75),
                61 + ((19.9 + ((B3 - 3.75) * (19.9 / 0.49)))),
                81 + ((19 + ((B3 - 4) * (19 / 0.24))))))))</f>
        <v>67.846064139941689</v>
      </c>
    </row>
    <row r="4" spans="1:12" x14ac:dyDescent="0.35">
      <c r="A4" s="69" t="s">
        <v>6931</v>
      </c>
      <c r="B4" s="71">
        <f>AVERAGE(DATA_Johnstone_2024_50!Q25:Q952)</f>
        <v>3.2990033222591362</v>
      </c>
      <c r="C4" s="70"/>
      <c r="D4" s="70">
        <f>IF(B4&lt;2,
    (20.9 + ((B4 - 1.99) * (20.9 / 1.99))),
    IF(AND(B4&gt;=2, B4&lt;=2.5),
        21 + ((19.9 + ((B4 - 2.5) * (19.9 / 0.5)))),
        IF(AND(B4&gt;2.5, B4&lt;=3),
            41 + ((19.9 + ((B4 - 3) * (19.9 / 0.49)))),
            IF(AND(B4&gt;3, B4&lt;=3.5),
                61 + ((19.9 + ((B4 - 3.5) * (19.9 / 0.49)))),
                81 + ((19 + ((B4 - 4) * (19 / 0.49))))))))</f>
        <v>72.737073699911861</v>
      </c>
    </row>
    <row r="5" spans="1:12" x14ac:dyDescent="0.35">
      <c r="A5" s="69" t="s">
        <v>6932</v>
      </c>
      <c r="B5" s="71">
        <f>COUNTIF(DATA_Johnstone_2024_ALL!J104:J6601, 1) / (COUNTIF(DATA_Johnstone_2024_ALL!J104:J6601, 1) + COUNTIF(DATA_Johnstone_2024_ALL!J104:J6601, 0))*100</f>
        <v>49.726600192988094</v>
      </c>
      <c r="C5" s="70"/>
      <c r="D5" s="70">
        <f>IF(B5&lt;50,
    (20.9 + ((B5 - 49.9) * (20.9 / 49.9))),
    IF(AND(B5&gt;=50, B5&lt;=70),
        21 + ((19.9 + ((B5 - 70) * (19.9 / 20)))),
        IF(AND(B5&gt;70, B5&lt;=80),
            41 + ((19.9 + ((B5 - 80) * (19.9 / 9.9)))),
            IF(AND(B5&gt;80, B5&lt;=90),
                61 + ((19.9 + ((B5 - 90) * (19.9 / 9.9)))),
                81 + ((19 + ((B5 - 100) * (19 / 9.9))))))))</f>
        <v>20.827373627924871</v>
      </c>
    </row>
    <row r="6" spans="1:12" x14ac:dyDescent="0.35">
      <c r="A6" s="69"/>
      <c r="B6" s="70"/>
      <c r="C6" s="70"/>
      <c r="D6" s="70"/>
    </row>
    <row r="7" spans="1:12" x14ac:dyDescent="0.35">
      <c r="B7" s="70"/>
      <c r="C7" s="70"/>
      <c r="D7" s="70"/>
    </row>
    <row r="8" spans="1:12" x14ac:dyDescent="0.35">
      <c r="A8" s="69" t="s">
        <v>6924</v>
      </c>
      <c r="B8" s="73">
        <f xml:space="preserve"> ((COUNTIF(DATA_Johnstone_2024_ALL!W:W, 1) * 0.5) + (COUNTIF(DATA_Johnstone_2024_ALL!W:W, 2) * 1)) * ((COUNTIF(DATA_Johnstone_2024_ALL!W:W, 1) + COUNTIF(DATA_Johnstone_2024_ALL!W:W, 2)) / COUNTA(DATA_Johnstone_2024_ALL!W:W))</f>
        <v>25.989200863930886</v>
      </c>
      <c r="C8" s="70"/>
      <c r="D8" s="70">
        <f>IF(B8&gt;30,
    (20.9-((B8-30.1)*(20.9/69.9))),
    IF(AND(B8&gt;=14, B8&lt;=30),
       21 + ((19.9 - ((B8-14.1)*(19.9/15.9)))),
        IF(AND(B8&gt;6, B8&lt;=14),
            41 + ((19.9 + ((B8 - 6.1) * (19.9 / 7.9)))),
            IF(AND(B8&gt;2, B8&lt;=6),
                61 + ((19.9 + ((B8 - 2.1) * (19.9 / 3.9)))),
                81 + ((19 - (B8 * (19 / 1.9))))))))</f>
        <v>26.019805208036185</v>
      </c>
    </row>
    <row r="9" spans="1:12" x14ac:dyDescent="0.35">
      <c r="A9" s="69" t="s">
        <v>6925</v>
      </c>
      <c r="B9" s="71">
        <f xml:space="preserve"> ((COUNTIF(DATA_Johnstone_2024_ALL!R:R, 1) * 0.5) + (COUNTIF(DATA_Johnstone_2024_ALL!R:R, 2) * 1)) * ((COUNTIF(DATA_Johnstone_2024_ALL!R:R, 1) + COUNTIF(DATA_Johnstone_2024_ALL!R:R, 2)) / COUNTA(DATA_Johnstone_2024_ALL!R:R))</f>
        <v>0.4629344816979391</v>
      </c>
      <c r="C9" s="70"/>
      <c r="D9" s="70">
        <f>IF(B9&gt;15,
    (20.9-((B9-15.1)*(20.9/84.9))),
    IF(AND(B9&gt;=7, B9&lt;=15),
       21 + ((19.9 - ((B9-15.1)*(19.9/7.9)))),
        IF(AND(B9&gt;3, B9&lt;=7),
            41 + ((19.9 + ((B9 - 3.1) * (19.9 / 3.9)))),
            IF(AND(B9&gt;1, B9&lt;=3),
                61 + ((19.9 + ((B9 - 1.1) * (19.9 / 1.9)))),
                81 + ((19 - (B9 * 19)))))))</f>
        <v>91.204244847739162</v>
      </c>
    </row>
    <row r="10" spans="1:12" x14ac:dyDescent="0.35">
      <c r="B10" s="70"/>
      <c r="C10" s="70"/>
      <c r="D10" s="70"/>
    </row>
    <row r="11" spans="1:12" x14ac:dyDescent="0.35">
      <c r="A11" s="69" t="s">
        <v>6926</v>
      </c>
      <c r="C11" s="70"/>
      <c r="D11" s="70">
        <f>(D5+D3+D2)/3</f>
        <v>48.092551667644443</v>
      </c>
    </row>
    <row r="12" spans="1:12" x14ac:dyDescent="0.35">
      <c r="A12" s="69" t="s">
        <v>6927</v>
      </c>
      <c r="C12" s="70"/>
      <c r="D12" s="70">
        <f>(D9+D8)/2</f>
        <v>58.612025027887675</v>
      </c>
      <c r="K12" s="80" t="s">
        <v>9</v>
      </c>
      <c r="L12" t="s">
        <v>7570</v>
      </c>
    </row>
    <row r="13" spans="1:12" x14ac:dyDescent="0.35">
      <c r="A13" s="69" t="s">
        <v>6928</v>
      </c>
      <c r="C13" s="70"/>
      <c r="D13" s="70">
        <f>(D11+D4+D12)/3</f>
        <v>59.813883465147995</v>
      </c>
      <c r="K13" s="80" t="s">
        <v>10</v>
      </c>
    </row>
    <row r="14" spans="1:12" x14ac:dyDescent="0.35">
      <c r="K14" s="80" t="s">
        <v>7565</v>
      </c>
      <c r="L14" s="70">
        <v>1</v>
      </c>
    </row>
    <row r="16" spans="1:12" x14ac:dyDescent="0.35">
      <c r="A16" s="80" t="s">
        <v>9</v>
      </c>
      <c r="B16" t="s">
        <v>7570</v>
      </c>
      <c r="K16" t="s">
        <v>7575</v>
      </c>
    </row>
    <row r="17" spans="1:12" x14ac:dyDescent="0.35">
      <c r="K17" s="81">
        <v>3.3017751479289941</v>
      </c>
    </row>
    <row r="18" spans="1:12" x14ac:dyDescent="0.35">
      <c r="B18" s="80" t="s">
        <v>7566</v>
      </c>
    </row>
    <row r="19" spans="1:12" x14ac:dyDescent="0.35">
      <c r="B19" t="s">
        <v>26</v>
      </c>
      <c r="C19" t="s">
        <v>7567</v>
      </c>
      <c r="D19" t="s">
        <v>7568</v>
      </c>
      <c r="K19" s="80" t="s">
        <v>9</v>
      </c>
      <c r="L19" t="s">
        <v>7570</v>
      </c>
    </row>
    <row r="20" spans="1:12" x14ac:dyDescent="0.35">
      <c r="A20" t="s">
        <v>7572</v>
      </c>
      <c r="B20" s="81">
        <v>601</v>
      </c>
      <c r="C20" s="81">
        <v>1229</v>
      </c>
      <c r="D20" s="81">
        <v>1830</v>
      </c>
      <c r="G20">
        <f>C20/D20*100</f>
        <v>67.158469945355193</v>
      </c>
      <c r="K20" s="80" t="s">
        <v>10</v>
      </c>
    </row>
    <row r="21" spans="1:12" x14ac:dyDescent="0.35">
      <c r="K21" s="80" t="s">
        <v>7565</v>
      </c>
      <c r="L21" s="70">
        <v>1</v>
      </c>
    </row>
    <row r="22" spans="1:12" x14ac:dyDescent="0.35">
      <c r="A22" s="80" t="s">
        <v>9</v>
      </c>
      <c r="B22" t="s">
        <v>7570</v>
      </c>
    </row>
    <row r="23" spans="1:12" x14ac:dyDescent="0.35">
      <c r="A23" s="80" t="s">
        <v>10</v>
      </c>
      <c r="B23" t="s">
        <v>7567</v>
      </c>
      <c r="K23" t="s">
        <v>7577</v>
      </c>
    </row>
    <row r="24" spans="1:12" x14ac:dyDescent="0.35">
      <c r="K24" s="81">
        <v>3.5562130177514795</v>
      </c>
    </row>
    <row r="25" spans="1:12" x14ac:dyDescent="0.35">
      <c r="A25" s="80" t="s">
        <v>7569</v>
      </c>
      <c r="B25" t="s">
        <v>7572</v>
      </c>
    </row>
    <row r="26" spans="1:12" x14ac:dyDescent="0.35">
      <c r="A26" s="70">
        <v>0</v>
      </c>
      <c r="B26" s="81">
        <v>292</v>
      </c>
      <c r="K26" s="80" t="s">
        <v>9</v>
      </c>
      <c r="L26" t="s">
        <v>7570</v>
      </c>
    </row>
    <row r="27" spans="1:12" x14ac:dyDescent="0.35">
      <c r="A27" s="70">
        <v>1</v>
      </c>
      <c r="B27" s="81">
        <v>937</v>
      </c>
      <c r="G27">
        <f>B27/B28*100</f>
        <v>76.240846216436125</v>
      </c>
      <c r="K27" s="80" t="s">
        <v>10</v>
      </c>
    </row>
    <row r="28" spans="1:12" x14ac:dyDescent="0.35">
      <c r="A28" s="70" t="s">
        <v>7568</v>
      </c>
      <c r="B28" s="81">
        <v>1229</v>
      </c>
      <c r="D28" s="70"/>
      <c r="K28" s="80" t="s">
        <v>7565</v>
      </c>
      <c r="L28" s="70">
        <v>1</v>
      </c>
    </row>
    <row r="29" spans="1:12" x14ac:dyDescent="0.35">
      <c r="A29" s="70"/>
      <c r="B29" s="81"/>
      <c r="D29" s="70"/>
    </row>
    <row r="30" spans="1:12" x14ac:dyDescent="0.35">
      <c r="A30" s="80" t="s">
        <v>9</v>
      </c>
      <c r="B30" t="s">
        <v>7570</v>
      </c>
      <c r="D30" s="70"/>
      <c r="K30" t="s">
        <v>7578</v>
      </c>
    </row>
    <row r="31" spans="1:12" x14ac:dyDescent="0.35">
      <c r="A31" s="80" t="s">
        <v>10</v>
      </c>
      <c r="B31" t="s">
        <v>7567</v>
      </c>
      <c r="D31" s="70"/>
      <c r="K31" s="81">
        <v>3.5325443786982249</v>
      </c>
    </row>
    <row r="32" spans="1:12" x14ac:dyDescent="0.35">
      <c r="A32" s="80" t="s">
        <v>7571</v>
      </c>
      <c r="B32" s="70">
        <v>1</v>
      </c>
      <c r="D32" s="70"/>
    </row>
    <row r="34" spans="1:4" x14ac:dyDescent="0.35">
      <c r="A34" s="80" t="s">
        <v>7569</v>
      </c>
      <c r="B34" t="s">
        <v>7573</v>
      </c>
    </row>
    <row r="35" spans="1:4" x14ac:dyDescent="0.35">
      <c r="A35" s="70">
        <v>0</v>
      </c>
      <c r="B35" s="81">
        <v>898</v>
      </c>
    </row>
    <row r="36" spans="1:4" x14ac:dyDescent="0.35">
      <c r="A36" s="70">
        <v>1</v>
      </c>
      <c r="B36" s="81">
        <v>14</v>
      </c>
      <c r="C36">
        <f>B36</f>
        <v>14</v>
      </c>
      <c r="D36">
        <f>B36/$B$39*100</f>
        <v>1.4941302027748131</v>
      </c>
    </row>
    <row r="37" spans="1:4" x14ac:dyDescent="0.35">
      <c r="A37" s="70">
        <v>2</v>
      </c>
      <c r="B37" s="81">
        <v>22</v>
      </c>
      <c r="C37">
        <f>B37*1.5</f>
        <v>33</v>
      </c>
      <c r="D37">
        <f t="shared" ref="D37:D38" si="0">B37/$B$39*100</f>
        <v>2.3479188900747063</v>
      </c>
    </row>
    <row r="38" spans="1:4" x14ac:dyDescent="0.35">
      <c r="A38" s="70">
        <v>3</v>
      </c>
      <c r="B38" s="81">
        <v>3</v>
      </c>
      <c r="C38">
        <f>B38*2</f>
        <v>6</v>
      </c>
      <c r="D38">
        <f t="shared" si="0"/>
        <v>0.32017075773745995</v>
      </c>
    </row>
    <row r="39" spans="1:4" x14ac:dyDescent="0.35">
      <c r="A39" s="70" t="s">
        <v>7568</v>
      </c>
      <c r="B39" s="81">
        <v>937</v>
      </c>
      <c r="C39">
        <f>SUM(C36:C38)/B39*100</f>
        <v>5.656350053361793</v>
      </c>
    </row>
    <row r="41" spans="1:4" x14ac:dyDescent="0.35">
      <c r="A41" s="80" t="s">
        <v>9</v>
      </c>
      <c r="B41" t="s">
        <v>7570</v>
      </c>
    </row>
    <row r="42" spans="1:4" x14ac:dyDescent="0.35">
      <c r="A42" s="80" t="s">
        <v>10</v>
      </c>
      <c r="B42" t="s">
        <v>7567</v>
      </c>
    </row>
    <row r="43" spans="1:4" x14ac:dyDescent="0.35">
      <c r="A43" s="80" t="s">
        <v>7571</v>
      </c>
      <c r="B43" t="s">
        <v>7570</v>
      </c>
    </row>
    <row r="45" spans="1:4" x14ac:dyDescent="0.35">
      <c r="A45" s="80" t="s">
        <v>7569</v>
      </c>
      <c r="B45" t="s">
        <v>7574</v>
      </c>
    </row>
    <row r="46" spans="1:4" x14ac:dyDescent="0.35">
      <c r="A46" s="70">
        <v>0</v>
      </c>
      <c r="B46" s="81">
        <v>1017</v>
      </c>
    </row>
    <row r="47" spans="1:4" x14ac:dyDescent="0.35">
      <c r="A47" s="70">
        <v>1</v>
      </c>
      <c r="B47" s="81">
        <v>158</v>
      </c>
      <c r="C47">
        <f>B47*0.5</f>
        <v>79</v>
      </c>
      <c r="D47">
        <f>B47/$B$49*100</f>
        <v>12.855980471928397</v>
      </c>
    </row>
    <row r="48" spans="1:4" x14ac:dyDescent="0.35">
      <c r="A48" s="70">
        <v>2</v>
      </c>
      <c r="B48" s="81">
        <v>54</v>
      </c>
      <c r="C48">
        <f>B48</f>
        <v>54</v>
      </c>
      <c r="D48">
        <f>B48/$B$49*100</f>
        <v>4.3938161106590723</v>
      </c>
    </row>
    <row r="49" spans="1:2" x14ac:dyDescent="0.35">
      <c r="A49" s="70" t="s">
        <v>7568</v>
      </c>
      <c r="B49" s="81">
        <v>1229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DD425F1AC83D4682C5092AA2B1BA0D" ma:contentTypeVersion="21" ma:contentTypeDescription="Create a new document." ma:contentTypeScope="" ma:versionID="51256c5b5a2f95259e8f6bc5f24b9f12">
  <xsd:schema xmlns:xsd="http://www.w3.org/2001/XMLSchema" xmlns:xs="http://www.w3.org/2001/XMLSchema" xmlns:p="http://schemas.microsoft.com/office/2006/metadata/properties" xmlns:ns2="05f86d41-f6e0-43b2-a913-247ac5810638" xmlns:ns3="3c70e591-ee3a-49ff-abe7-f483d26c4117" targetNamespace="http://schemas.microsoft.com/office/2006/metadata/properties" ma:root="true" ma:fieldsID="250bc82ef6d0594b48b55690c9b99ebc" ns2:_="" ns3:_="">
    <xsd:import namespace="05f86d41-f6e0-43b2-a913-247ac5810638"/>
    <xsd:import namespace="3c70e591-ee3a-49ff-abe7-f483d26c41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harewith" minOccurs="0"/>
                <xsd:element ref="ns2:Access" minOccurs="0"/>
                <xsd:element ref="ns2:Numbe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f86d41-f6e0-43b2-a913-247ac5810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harewith" ma:index="21" nillable="true" ma:displayName="Share with" ma:format="Dropdown" ma:list="UserInfo" ma:SharePointGroup="0" ma:internalName="Sharewith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ccess" ma:index="22" nillable="true" ma:displayName="Access" ma:default="1" ma:internalName="Access">
      <xsd:simpleType>
        <xsd:restriction base="dms:Boolean"/>
      </xsd:simpleType>
    </xsd:element>
    <xsd:element name="Number" ma:index="23" nillable="true" ma:displayName="Number" ma:format="Dropdown" ma:internalName="Number" ma:percentage="FALSE">
      <xsd:simpleType>
        <xsd:restriction base="dms:Number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f58cf635-27fa-473c-8fe9-9d9a3ddffc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70e591-ee3a-49ff-abe7-f483d26c411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eea27c9-b83f-4aff-83bd-f2823f3a5d0a}" ma:internalName="TaxCatchAll" ma:showField="CatchAllData" ma:web="3c70e591-ee3a-49ff-abe7-f483d26c4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ccess xmlns="05f86d41-f6e0-43b2-a913-247ac5810638">true</Access>
    <Number xmlns="05f86d41-f6e0-43b2-a913-247ac5810638" xsi:nil="true"/>
    <lcf76f155ced4ddcb4097134ff3c332f xmlns="05f86d41-f6e0-43b2-a913-247ac5810638">
      <Terms xmlns="http://schemas.microsoft.com/office/infopath/2007/PartnerControls"/>
    </lcf76f155ced4ddcb4097134ff3c332f>
    <Sharewith xmlns="05f86d41-f6e0-43b2-a913-247ac5810638">
      <UserInfo>
        <DisplayName/>
        <AccountId xsi:nil="true"/>
        <AccountType/>
      </UserInfo>
    </Sharewith>
    <TaxCatchAll xmlns="3c70e591-ee3a-49ff-abe7-f483d26c411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C4255B4-C11E-4976-A640-1C8AA9B280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f86d41-f6e0-43b2-a913-247ac5810638"/>
    <ds:schemaRef ds:uri="3c70e591-ee3a-49ff-abe7-f483d26c41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6DD18E-9600-48B1-A68E-0A8BA8DBC64D}">
  <ds:schemaRefs>
    <ds:schemaRef ds:uri="http://schemas.microsoft.com/office/2006/metadata/properties"/>
    <ds:schemaRef ds:uri="http://schemas.microsoft.com/office/infopath/2007/PartnerControls"/>
    <ds:schemaRef ds:uri="05f86d41-f6e0-43b2-a913-247ac5810638"/>
    <ds:schemaRef ds:uri="3c70e591-ee3a-49ff-abe7-f483d26c4117"/>
  </ds:schemaRefs>
</ds:datastoreItem>
</file>

<file path=customXml/itemProps3.xml><?xml version="1.0" encoding="utf-8"?>
<ds:datastoreItem xmlns:ds="http://schemas.openxmlformats.org/officeDocument/2006/customXml" ds:itemID="{47276FE3-08B9-42A3-8357-09DCBAB232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DATA_Johnstone_2023_ALL</vt:lpstr>
      <vt:lpstr>DATA_Johnstone_2024_ALL</vt:lpstr>
      <vt:lpstr>DATA_Johnstone_2023_50</vt:lpstr>
      <vt:lpstr>DATA_Johnstone_2024_50</vt:lpstr>
      <vt:lpstr>Stats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Jock Mackenzie</dc:creator>
  <cp:keywords/>
  <dc:description/>
  <cp:lastModifiedBy>Jock Mackenzie</cp:lastModifiedBy>
  <cp:revision/>
  <dcterms:created xsi:type="dcterms:W3CDTF">2024-08-11T06:36:36Z</dcterms:created>
  <dcterms:modified xsi:type="dcterms:W3CDTF">2025-05-01T23:54:37Z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0x010100F8DD425F1AC83D4682C5092AA2B1BA0D</vt:lpwstr>
  </property>
  <property fmtid="{D5CDD505-2E9C-101B-9397-08002B2CF9AE}" pid="3" name="MediaServiceImageTags">
    <vt:lpwstr/>
  </property>
</Properties>
</file>